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6.xml" ContentType="application/vnd.openxmlformats-officedocument.drawing+xml"/>
  <Override PartName="/xl/ctrlProps/ctrlProp10.xml" ContentType="application/vnd.ms-excel.controlproperties+xml"/>
  <Override PartName="/xl/drawings/drawing17.xml" ContentType="application/vnd.openxmlformats-officedocument.drawing+xml"/>
  <Override PartName="/xl/comments3.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trlProps/ctrlProp11.xml" ContentType="application/vnd.ms-excel.controlproperties+xml"/>
  <Override PartName="/xl/drawings/drawing21.xml" ContentType="application/vnd.openxmlformats-officedocument.drawing+xml"/>
  <Override PartName="/xl/ctrlProps/ctrlProp12.xml" ContentType="application/vnd.ms-excel.controlproperties+xml"/>
  <Override PartName="/xl/drawings/drawing2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2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4.xml" ContentType="application/vnd.openxmlformats-officedocument.drawing+xml"/>
  <Override PartName="/xl/drawings/drawing25.xml" ContentType="application/vnd.openxmlformats-officedocument.drawing+xml"/>
  <Override PartName="/xl/ctrlProps/ctrlProp15.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ctrlProps/ctrlProp16.xml" ContentType="application/vnd.ms-excel.controlproperties+xml"/>
  <Override PartName="/xl/drawings/drawing28.xml" ContentType="application/vnd.openxmlformats-officedocument.drawing+xml"/>
  <Override PartName="/xl/ctrlProps/ctrlProp17.xml" ContentType="application/vnd.ms-excel.controlproperties+xml"/>
  <Override PartName="/xl/drawings/drawing29.xml" ContentType="application/vnd.openxmlformats-officedocument.drawing+xml"/>
  <Override PartName="/xl/drawings/drawing30.xml" ContentType="application/vnd.openxmlformats-officedocument.drawing+xml"/>
  <Override PartName="/xl/ctrlProps/ctrlProp18.xml" ContentType="application/vnd.ms-excel.controlproperties+xml"/>
  <Override PartName="/xl/drawings/drawing31.xml" ContentType="application/vnd.openxmlformats-officedocument.drawing+xml"/>
  <Override PartName="/xl/comments4.xml" ContentType="application/vnd.openxmlformats-officedocument.spreadsheetml.comments+xml"/>
  <Override PartName="/xl/drawings/drawing32.xml" ContentType="application/vnd.openxmlformats-officedocument.drawing+xml"/>
  <Override PartName="/xl/ctrlProps/ctrlProp19.xml" ContentType="application/vnd.ms-excel.controlproperties+xml"/>
  <Override PartName="/xl/drawings/drawing33.xml" ContentType="application/vnd.openxmlformats-officedocument.drawing+xml"/>
  <Override PartName="/xl/ctrlProps/ctrlProp20.xml" ContentType="application/vnd.ms-excel.controlproperties+xml"/>
  <Override PartName="/xl/drawings/drawing34.xml" ContentType="application/vnd.openxmlformats-officedocument.drawing+xml"/>
  <Override PartName="/xl/ctrlProps/ctrlProp21.xml" ContentType="application/vnd.ms-excel.controlproperties+xml"/>
  <Override PartName="/xl/drawings/drawing35.xml" ContentType="application/vnd.openxmlformats-officedocument.drawing+xml"/>
  <Override PartName="/xl/ctrlProps/ctrlProp22.xml" ContentType="application/vnd.ms-excel.controlproperties+xml"/>
  <Override PartName="/xl/drawings/drawing36.xml" ContentType="application/vnd.openxmlformats-officedocument.drawing+xml"/>
  <Override PartName="/xl/ctrlProps/ctrlProp23.xml" ContentType="application/vnd.ms-excel.controlproperties+xml"/>
  <Override PartName="/xl/drawings/drawing37.xml" ContentType="application/vnd.openxmlformats-officedocument.drawing+xml"/>
  <Override PartName="/xl/ctrlProps/ctrlProp24.xml" ContentType="application/vnd.ms-excel.controlproperties+xml"/>
  <Override PartName="/xl/drawings/drawing38.xml" ContentType="application/vnd.openxmlformats-officedocument.drawing+xml"/>
  <Override PartName="/xl/ctrlProps/ctrlProp25.xml" ContentType="application/vnd.ms-excel.controlproperties+xml"/>
  <Override PartName="/xl/drawings/drawing39.xml" ContentType="application/vnd.openxmlformats-officedocument.drawing+xml"/>
  <Override PartName="/xl/ctrlProps/ctrlProp26.xml" ContentType="application/vnd.ms-excel.controlproperties+xml"/>
  <Override PartName="/xl/drawings/drawing40.xml" ContentType="application/vnd.openxmlformats-officedocument.drawing+xml"/>
  <Override PartName="/xl/ctrlProps/ctrlProp27.xml" ContentType="application/vnd.ms-excel.controlproperties+xml"/>
  <Override PartName="/xl/drawings/drawing41.xml" ContentType="application/vnd.openxmlformats-officedocument.drawing+xml"/>
  <Override PartName="/xl/drawings/drawing42.xml" ContentType="application/vnd.openxmlformats-officedocument.drawing+xml"/>
  <Override PartName="/xl/ctrlProps/ctrlProp28.xml" ContentType="application/vnd.ms-excel.controlproperties+xml"/>
  <Override PartName="/xl/drawings/drawing43.xml" ContentType="application/vnd.openxmlformats-officedocument.drawing+xml"/>
  <Override PartName="/xl/comments5.xml" ContentType="application/vnd.openxmlformats-officedocument.spreadsheetml.comments+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omments6.xml" ContentType="application/vnd.openxmlformats-officedocument.spreadsheetml.comments+xml"/>
  <Override PartName="/xl/drawings/drawing54.xml" ContentType="application/vnd.openxmlformats-officedocument.drawing+xml"/>
  <Override PartName="/xl/comments7.xml" ContentType="application/vnd.openxmlformats-officedocument.spreadsheetml.comments+xml"/>
  <Override PartName="/xl/drawings/drawing55.xml" ContentType="application/vnd.openxmlformats-officedocument.drawing+xml"/>
  <Override PartName="/xl/comments8.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6.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57.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58.xml" ContentType="application/vnd.openxmlformats-officedocument.drawing+xml"/>
  <Override PartName="/xl/comments9.xml" ContentType="application/vnd.openxmlformats-officedocument.spreadsheetml.comments+xml"/>
  <Override PartName="/xl/drawings/drawing5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H:\RED\LIBROS 2024\"/>
    </mc:Choice>
  </mc:AlternateContent>
  <xr:revisionPtr revIDLastSave="0" documentId="13_ncr:1_{FB4118B9-79F7-45B5-9258-E8DAF8C338B7}" xr6:coauthVersionLast="47" xr6:coauthVersionMax="47" xr10:uidLastSave="{00000000-0000-0000-0000-000000000000}"/>
  <bookViews>
    <workbookView xWindow="-20610" yWindow="2475" windowWidth="20730" windowHeight="11160" xr2:uid="{00000000-000D-0000-FFFF-FFFF00000000}"/>
  </bookViews>
  <sheets>
    <sheet name="MENU" sheetId="1" r:id="rId1"/>
    <sheet name="PORTADA (sin indice)" sheetId="64" r:id="rId2"/>
    <sheet name="PORTADA" sheetId="63" r:id="rId3"/>
    <sheet name="instrucciones" sheetId="54" r:id="rId4"/>
    <sheet name="A3SOC" sheetId="27" r:id="rId5"/>
    <sheet name="SYS_cliente" sheetId="4" r:id="rId6"/>
    <sheet name="SYS_4_3_Digitos" sheetId="11" r:id="rId7"/>
    <sheet name="BALANCE" sheetId="2" r:id="rId8"/>
    <sheet name="asientos" sheetId="20" r:id="rId9"/>
    <sheet name="BCE ABREVIADO" sheetId="10" r:id="rId10"/>
    <sheet name="PG" sheetId="6" r:id="rId11"/>
    <sheet name="ENTPUB (TRIM)" sheetId="41" state="hidden" r:id="rId12"/>
    <sheet name="CUENTAS BCE" sheetId="5" state="hidden" r:id="rId13"/>
    <sheet name="CUENTAS PG" sheetId="7" state="hidden" r:id="rId14"/>
    <sheet name="Leasg." sheetId="18" state="hidden" r:id="rId15"/>
    <sheet name="Leasg. (2)" sheetId="21" state="hidden" r:id="rId16"/>
    <sheet name="Revisión Exención Patrimonio" sheetId="70" r:id="rId17"/>
    <sheet name="Seguros coches" sheetId="71" r:id="rId18"/>
    <sheet name="Préstamos socios_Dividendos" sheetId="72" r:id="rId19"/>
    <sheet name="Inmovilizado" sheetId="12" r:id="rId20"/>
    <sheet name="Inversiones" sheetId="14" r:id="rId21"/>
    <sheet name="Leasg. (prueba)" sheetId="25" r:id="rId22"/>
    <sheet name="BASE DATOS LEASING" sheetId="16" r:id="rId23"/>
    <sheet name="IRPF (mensual)" sheetId="26" r:id="rId24"/>
    <sheet name="IRPF (TRIM)" sheetId="28" r:id="rId25"/>
    <sheet name="Retribución Administradores" sheetId="69" r:id="rId26"/>
    <sheet name="Arrendamiento (mensual)" sheetId="29" r:id="rId27"/>
    <sheet name="Arrendamiento (TRIM)" sheetId="30" r:id="rId28"/>
    <sheet name="AJUIRC (MES)" sheetId="67" r:id="rId29"/>
    <sheet name="AJUIRC (TRIM)" sheetId="31" state="hidden" r:id="rId30"/>
    <sheet name="MESIVA" sheetId="32" r:id="rId31"/>
    <sheet name="IVA (TRIM)" sheetId="36" r:id="rId32"/>
    <sheet name="MESIVA (check)" sheetId="33" r:id="rId33"/>
    <sheet name="IVA (check_TRIM)" sheetId="37" r:id="rId34"/>
    <sheet name="MESREGISTROIVA" sheetId="34" r:id="rId35"/>
    <sheet name="REGISTROIVA (TRIM)" sheetId="38" r:id="rId36"/>
    <sheet name="MESAJUIVA" sheetId="35" r:id="rId37"/>
    <sheet name="AJUIVA (TRIM)" sheetId="39" r:id="rId38"/>
    <sheet name="MESENTPUB" sheetId="40" r:id="rId39"/>
    <sheet name="MOROSOS" sheetId="42" r:id="rId40"/>
    <sheet name="EXISTENCIAS" sheetId="43" r:id="rId41"/>
    <sheet name="AJUIS" sheetId="44" r:id="rId42"/>
    <sheet name="CALCIS" sheetId="45" r:id="rId43"/>
    <sheet name="BONIFICACIONES" sheetId="55" r:id="rId44"/>
    <sheet name="MTTO.RESERV.CAP." sheetId="60" r:id="rId45"/>
    <sheet name="MTTO.RESERV.NIV." sheetId="61" r:id="rId46"/>
    <sheet name="PATRIMONIO NETO" sheetId="46" r:id="rId47"/>
    <sheet name="PAGOS PROVEEDORES" sheetId="65" r:id="rId48"/>
    <sheet name="PENDIENTES" sheetId="66" r:id="rId49"/>
    <sheet name="COVID19-OTRAS REVISIONES CIERRE" sheetId="68" r:id="rId50"/>
    <sheet name="DANA" sheetId="73" r:id="rId51"/>
    <sheet name="INCIDENCIAS" sheetId="57" r:id="rId52"/>
    <sheet name="Datos" sheetId="48" r:id="rId53"/>
    <sheet name="En %" sheetId="49" r:id="rId54"/>
    <sheet name="Financiero" sheetId="50" r:id="rId55"/>
    <sheet name="Rentabilidad" sheetId="51" r:id="rId56"/>
    <sheet name="Operativos" sheetId="52" r:id="rId57"/>
    <sheet name="Descomposición Rentabilidad" sheetId="53" r:id="rId58"/>
    <sheet name="CONTRAPORTADA" sheetId="62" r:id="rId59"/>
  </sheets>
  <definedNames>
    <definedName name="_xlnm._FilterDatabase" localSheetId="4" hidden="1">A3SOC!$A$1:$A$404</definedName>
    <definedName name="_xlnm._FilterDatabase" localSheetId="41" hidden="1">AJUIS!#REF!</definedName>
    <definedName name="_xlnm._FilterDatabase" localSheetId="8" hidden="1">asientos!$A$4:$L$1693</definedName>
    <definedName name="_xlnm._FilterDatabase" localSheetId="43" hidden="1">BONIFICACIONES!#REF!</definedName>
    <definedName name="_xlnm._FilterDatabase" localSheetId="42" hidden="1">CALCIS!$C$40:$H$49</definedName>
    <definedName name="_xlnm._FilterDatabase" localSheetId="40" hidden="1">EXISTENCIAS!$C$15:$F$16</definedName>
    <definedName name="_xlnm._FilterDatabase" localSheetId="46" hidden="1">'PATRIMONIO NETO'!#REF!</definedName>
    <definedName name="_xlnm._FilterDatabase" localSheetId="6" hidden="1">SYS_4_3_Digitos!$A$4:$H$1684</definedName>
    <definedName name="_xlnm._FilterDatabase" localSheetId="5" hidden="1">SYS_cliente!$A$4:$D$1680</definedName>
    <definedName name="A" localSheetId="28" hidden="1">{#N/A,#N/A,FALSE,"INDICE.XLS";#N/A,#N/A,FALSE,"INCID.XLS (2)";#N/A,#N/A,FALSE,"INMINMAT.XLS";#N/A,#N/A,FALSE,"GASTAMOR.XLS";#N/A,#N/A,FALSE,"INMOVILZ.XLS";#N/A,#N/A,FALSE,"INVERS.XLS";#N/A,#N/A,FALSE,"FERIAS.XLS";#N/A,#N/A,FALSE,"LEASG.XLS";#N/A,#N/A,FALSE,"IRPF.XLS";#N/A,#N/A,FALSE,"AJUIRC.XLS";#N/A,#N/A,FALSE,"IVA.XLS";#N/A,#N/A,FALSE,"AJUIVA.XLS";#N/A,#N/A,FALSE,"ENTPUB.XLS";#N/A,#N/A,FALSE,"MOROSOS.XLS";#N/A,#N/A,FALSE,"EXIST.XLS";#N/A,#N/A,FALSE,"AJUIS.XLS";#N/A,#N/A,FALSE,"CALCIS.XLS";#N/A,#N/A,FALSE,"PERIOD.XLS";#N/A,#N/A,FALSE,"VINCUL.XLS";#N/A,#N/A,FALSE,"BALANCE.XLS";#N/A,#N/A,FALSE,"PDTES.XLS";#N/A,#N/A,FALSE,"SITUACION";#N/A,#N/A,FALSE,"EXPLOTAC.";#N/A,#N/A,FALSE,"EVOLUC."}</definedName>
    <definedName name="A" localSheetId="48" hidden="1">{#N/A,#N/A,FALSE,"INDICE.XLS";#N/A,#N/A,FALSE,"INCID.XLS (2)";#N/A,#N/A,FALSE,"INMINMAT.XLS";#N/A,#N/A,FALSE,"GASTAMOR.XLS";#N/A,#N/A,FALSE,"INMOVILZ.XLS";#N/A,#N/A,FALSE,"INVERS.XLS";#N/A,#N/A,FALSE,"FERIAS.XLS";#N/A,#N/A,FALSE,"LEASG.XLS";#N/A,#N/A,FALSE,"IRPF.XLS";#N/A,#N/A,FALSE,"AJUIRC.XLS";#N/A,#N/A,FALSE,"IVA.XLS";#N/A,#N/A,FALSE,"AJUIVA.XLS";#N/A,#N/A,FALSE,"ENTPUB.XLS";#N/A,#N/A,FALSE,"MOROSOS.XLS";#N/A,#N/A,FALSE,"EXIST.XLS";#N/A,#N/A,FALSE,"AJUIS.XLS";#N/A,#N/A,FALSE,"CALCIS.XLS";#N/A,#N/A,FALSE,"PERIOD.XLS";#N/A,#N/A,FALSE,"VINCUL.XLS";#N/A,#N/A,FALSE,"BALANCE.XLS";#N/A,#N/A,FALSE,"PDTES.XLS";#N/A,#N/A,FALSE,"SITUACION";#N/A,#N/A,FALSE,"EXPLOTAC.";#N/A,#N/A,FALSE,"EVOLUC."}</definedName>
    <definedName name="A" hidden="1">{#N/A,#N/A,FALSE,"INDICE.XLS";#N/A,#N/A,FALSE,"INCID.XLS (2)";#N/A,#N/A,FALSE,"INMINMAT.XLS";#N/A,#N/A,FALSE,"GASTAMOR.XLS";#N/A,#N/A,FALSE,"INMOVILZ.XLS";#N/A,#N/A,FALSE,"INVERS.XLS";#N/A,#N/A,FALSE,"FERIAS.XLS";#N/A,#N/A,FALSE,"LEASG.XLS";#N/A,#N/A,FALSE,"IRPF.XLS";#N/A,#N/A,FALSE,"AJUIRC.XLS";#N/A,#N/A,FALSE,"IVA.XLS";#N/A,#N/A,FALSE,"AJUIVA.XLS";#N/A,#N/A,FALSE,"ENTPUB.XLS";#N/A,#N/A,FALSE,"MOROSOS.XLS";#N/A,#N/A,FALSE,"EXIST.XLS";#N/A,#N/A,FALSE,"AJUIS.XLS";#N/A,#N/A,FALSE,"CALCIS.XLS";#N/A,#N/A,FALSE,"PERIOD.XLS";#N/A,#N/A,FALSE,"VINCUL.XLS";#N/A,#N/A,FALSE,"BALANCE.XLS";#N/A,#N/A,FALSE,"PDTES.XLS";#N/A,#N/A,FALSE,"SITUACION";#N/A,#N/A,FALSE,"EXPLOTAC.";#N/A,#N/A,FALSE,"EVOLUC."}</definedName>
    <definedName name="AJUSTES_FISCALES_EJ._2012_NUEVA" localSheetId="22" hidden="1">'BASE DATOS LEASING'!$A$4:$IU$30</definedName>
    <definedName name="_xlnm.Print_Area" localSheetId="28">'AJUIRC (MES)'!$A$2:$L$88</definedName>
    <definedName name="_xlnm.Print_Area" localSheetId="29">'AJUIRC (TRIM)'!$A$2:$L$50</definedName>
    <definedName name="_xlnm.Print_Area" localSheetId="41">AJUIS!$C$1:$G$78</definedName>
    <definedName name="_xlnm.Print_Area" localSheetId="37">'AJUIVA (TRIM)'!$A$3:$H$42</definedName>
    <definedName name="_xlnm.Print_Area" localSheetId="26">'Arrendamiento (mensual)'!$A$2:$L$59</definedName>
    <definedName name="_xlnm.Print_Area" localSheetId="27">'Arrendamiento (TRIM)'!$A$2:$L$52</definedName>
    <definedName name="_xlnm.Print_Area" localSheetId="8">asientos!$B$2:$J$245</definedName>
    <definedName name="_xlnm.Print_Area" localSheetId="7">BALANCE!$C$1:$R$82</definedName>
    <definedName name="_xlnm.Print_Area" localSheetId="9">'BCE ABREVIADO'!$C$1:$J$103</definedName>
    <definedName name="_xlnm.Print_Area" localSheetId="43">BONIFICACIONES!$D$4:$K$84</definedName>
    <definedName name="_xlnm.Print_Area" localSheetId="42">CALCIS!$C$4:$H$91</definedName>
    <definedName name="_xlnm.Print_Area" localSheetId="58">CONTRAPORTADA!$A$1:$H$39</definedName>
    <definedName name="_xlnm.Print_Area" localSheetId="49">'COVID19-OTRAS REVISIONES CIERRE'!$A$1:$I$146</definedName>
    <definedName name="_xlnm.Print_Area" localSheetId="52">Datos!$B$2:$E$65</definedName>
    <definedName name="_xlnm.Print_Area" localSheetId="57">'Descomposición Rentabilidad'!$B$2:$J$25</definedName>
    <definedName name="_xlnm.Print_Area" localSheetId="53">'En %'!$B$2:$E$62</definedName>
    <definedName name="_xlnm.Print_Area" localSheetId="11">'ENTPUB (TRIM)'!$A$3:$H$94</definedName>
    <definedName name="_xlnm.Print_Area" localSheetId="40">EXISTENCIAS!$A$2:$I$58</definedName>
    <definedName name="_xlnm.Print_Area" localSheetId="54">Financiero!$B$2:$I$144</definedName>
    <definedName name="_xlnm.Print_Area" localSheetId="51">INCIDENCIAS!$A$3:$Q$136</definedName>
    <definedName name="_xlnm.Print_Area" localSheetId="19">Inmovilizado!$C$2:$Q$127</definedName>
    <definedName name="_xlnm.Print_Area" localSheetId="3">instrucciones!$A$2:$Q$63</definedName>
    <definedName name="_xlnm.Print_Area" localSheetId="20">Inversiones!$C$2:$S$54</definedName>
    <definedName name="_xlnm.Print_Area" localSheetId="23">'IRPF (mensual)'!$A$2:$L$52</definedName>
    <definedName name="_xlnm.Print_Area" localSheetId="24">'IRPF (TRIM)'!$A$2:$L$61</definedName>
    <definedName name="_xlnm.Print_Area" localSheetId="33">'IVA (check_TRIM)'!$A$5:$AD$81</definedName>
    <definedName name="_xlnm.Print_Area" localSheetId="31">'IVA (TRIM)'!$A$5:$N$66</definedName>
    <definedName name="_xlnm.Print_Area" localSheetId="14">Leasg.!$C$2:$Q$16</definedName>
    <definedName name="_xlnm.Print_Area" localSheetId="15">'Leasg. (2)'!$C$2:$Q$16</definedName>
    <definedName name="_xlnm.Print_Area" localSheetId="21">'Leasg. (prueba)'!$C$2:$Q$107</definedName>
    <definedName name="_xlnm.Print_Area" localSheetId="36">MESAJUIVA!$A$3:$H$42</definedName>
    <definedName name="_xlnm.Print_Area" localSheetId="38">MESENTPUB!$A$3:$H$73</definedName>
    <definedName name="_xlnm.Print_Area" localSheetId="30">MESIVA!$A$5:$AD$66</definedName>
    <definedName name="_xlnm.Print_Area" localSheetId="32">'MESIVA (check)'!$A$5:$K$82</definedName>
    <definedName name="_xlnm.Print_Area" localSheetId="34">MESREGISTROIVA!$A$5:$R$114</definedName>
    <definedName name="_xlnm.Print_Area" localSheetId="39">MOROSOS!$A$3:$I$101</definedName>
    <definedName name="_xlnm.Print_Area" localSheetId="56">Operativos!$B$2:$E$100</definedName>
    <definedName name="_xlnm.Print_Area" localSheetId="46">'PATRIMONIO NETO'!$A$3:$U$67</definedName>
    <definedName name="_xlnm.Print_Area" localSheetId="48">PENDIENTES!$A$3:$I$130</definedName>
    <definedName name="_xlnm.Print_Area" localSheetId="10">PG!$C$1:$J$81</definedName>
    <definedName name="_xlnm.Print_Area" localSheetId="2">PORTADA!$A$1:$H$49</definedName>
    <definedName name="_xlnm.Print_Area" localSheetId="1">'PORTADA (sin indice)'!$A$1:$J$52</definedName>
    <definedName name="_xlnm.Print_Area" localSheetId="35">'REGISTROIVA (TRIM)'!$A$5:$R$58</definedName>
    <definedName name="_xlnm.Print_Area" localSheetId="55">Rentabilidad!$B$2:$E$100</definedName>
    <definedName name="_xlnm.Print_Area" localSheetId="17">'Seguros coches'!$A$1:$K$52</definedName>
    <definedName name="_xlnm.Print_Area" localSheetId="6">SYS_4_3_Digitos!$A$1:$J$364</definedName>
    <definedName name="NºSOC" localSheetId="58">CONTRAPORTADA!#REF!</definedName>
    <definedName name="NºSOC" localSheetId="2">PORTADA!#REF!</definedName>
    <definedName name="NºSOC" localSheetId="1">'PORTADA (sin indice)'!#REF!</definedName>
    <definedName name="NºSOC">MENU!$T$4:$T$23</definedName>
    <definedName name="_xlnm.Print_Titles" localSheetId="28">'AJUIRC (MES)'!$2:$13</definedName>
    <definedName name="_xlnm.Print_Titles" localSheetId="29">'AJUIRC (TRIM)'!$2:$13</definedName>
    <definedName name="_xlnm.Print_Titles" localSheetId="37">'AJUIVA (TRIM)'!$5:$15</definedName>
    <definedName name="_xlnm.Print_Titles" localSheetId="26">'Arrendamiento (mensual)'!$2:$13</definedName>
    <definedName name="_xlnm.Print_Titles" localSheetId="27">'Arrendamiento (TRIM)'!$2:$13</definedName>
    <definedName name="_xlnm.Print_Titles" localSheetId="8">asientos!$1:$9</definedName>
    <definedName name="_xlnm.Print_Titles" localSheetId="7">BALANCE!$2:$13</definedName>
    <definedName name="_xlnm.Print_Titles" localSheetId="9">'BCE ABREVIADO'!$2:$13</definedName>
    <definedName name="_xlnm.Print_Titles" localSheetId="43">BONIFICACIONES!$5:$14</definedName>
    <definedName name="_xlnm.Print_Titles" localSheetId="42">CALCIS!$5:$14</definedName>
    <definedName name="_xlnm.Print_Titles" localSheetId="11">'ENTPUB (TRIM)'!$5:$15</definedName>
    <definedName name="_xlnm.Print_Titles" localSheetId="40">EXISTENCIAS!$5:$15</definedName>
    <definedName name="_xlnm.Print_Titles" localSheetId="54">Financiero!$1:$3</definedName>
    <definedName name="_xlnm.Print_Titles" localSheetId="51">INCIDENCIAS!$5:$15</definedName>
    <definedName name="_xlnm.Print_Titles" localSheetId="19">Inmovilizado!$2:$13</definedName>
    <definedName name="_xlnm.Print_Titles" localSheetId="3">instrucciones!$2:$10</definedName>
    <definedName name="_xlnm.Print_Titles" localSheetId="20">Inversiones!$2:$13</definedName>
    <definedName name="_xlnm.Print_Titles" localSheetId="23">'IRPF (mensual)'!$2:$13</definedName>
    <definedName name="_xlnm.Print_Titles" localSheetId="24">'IRPF (TRIM)'!$2:$13</definedName>
    <definedName name="_xlnm.Print_Titles" localSheetId="33">'IVA (check_TRIM)'!$A:$D</definedName>
    <definedName name="_xlnm.Print_Titles" localSheetId="31">'IVA (TRIM)'!$A:$D</definedName>
    <definedName name="_xlnm.Print_Titles" localSheetId="14">Leasg.!$2:$13</definedName>
    <definedName name="_xlnm.Print_Titles" localSheetId="15">'Leasg. (2)'!$2:$13</definedName>
    <definedName name="_xlnm.Print_Titles" localSheetId="21">'Leasg. (prueba)'!$2:$13</definedName>
    <definedName name="_xlnm.Print_Titles" localSheetId="36">MESAJUIVA!$5:$15</definedName>
    <definedName name="_xlnm.Print_Titles" localSheetId="38">MESENTPUB!$5:$15</definedName>
    <definedName name="_xlnm.Print_Titles" localSheetId="30">MESIVA!$A:$D</definedName>
    <definedName name="_xlnm.Print_Titles" localSheetId="32">'MESIVA (check)'!$A:$D</definedName>
    <definedName name="_xlnm.Print_Titles" localSheetId="34">MESREGISTROIVA!$5:$17</definedName>
    <definedName name="_xlnm.Print_Titles" localSheetId="39">MOROSOS!$5:$15</definedName>
    <definedName name="_xlnm.Print_Titles" localSheetId="46">'PATRIMONIO NETO'!$5:$14</definedName>
    <definedName name="_xlnm.Print_Titles" localSheetId="48">PENDIENTES!$5:$15</definedName>
    <definedName name="_xlnm.Print_Titles" localSheetId="35">'REGISTROIVA (TRIM)'!$5:$17</definedName>
    <definedName name="_xlnm.Print_Titles" localSheetId="55">Rentabilidad!$1:$2</definedName>
    <definedName name="_xlnm.Print_Titles" localSheetId="6">SYS_4_3_Digitos!$1:$4</definedName>
    <definedName name="wrn.IMPUESTO._.SOCIEDADES." localSheetId="28" hidden="1">{#N/A,#N/A,FALSE,"INDICE.XLS";#N/A,#N/A,FALSE,"INCID.XLS (2)";#N/A,#N/A,FALSE,"INMINMAT.XLS";#N/A,#N/A,FALSE,"GASTAMOR.XLS";#N/A,#N/A,FALSE,"INMOVILZ.XLS";#N/A,#N/A,FALSE,"INVERS.XLS";#N/A,#N/A,FALSE,"FERIAS.XLS";#N/A,#N/A,FALSE,"LEASG.XLS";#N/A,#N/A,FALSE,"IRPF.XLS";#N/A,#N/A,FALSE,"AJUIRC.XLS";#N/A,#N/A,FALSE,"IVA.XLS";#N/A,#N/A,FALSE,"AJUIVA.XLS";#N/A,#N/A,FALSE,"ENTPUB.XLS";#N/A,#N/A,FALSE,"MOROSOS.XLS";#N/A,#N/A,FALSE,"EXIST.XLS";#N/A,#N/A,FALSE,"AJUIS.XLS";#N/A,#N/A,FALSE,"CALCIS.XLS";#N/A,#N/A,FALSE,"PERIOD.XLS";#N/A,#N/A,FALSE,"VINCUL.XLS";#N/A,#N/A,FALSE,"BALANCE.XLS";#N/A,#N/A,FALSE,"PDTES.XLS";#N/A,#N/A,FALSE,"SITUACION";#N/A,#N/A,FALSE,"EXPLOTAC.";#N/A,#N/A,FALSE,"EVOLUC."}</definedName>
    <definedName name="wrn.IMPUESTO._.SOCIEDADES." localSheetId="58" hidden="1">{#N/A,#N/A,FALSE,"INDICE.XLS";#N/A,#N/A,FALSE,"INCID.XLS (2)";#N/A,#N/A,FALSE,"INMINMAT.XLS";#N/A,#N/A,FALSE,"GASTAMOR.XLS";#N/A,#N/A,FALSE,"INMOVILZ.XLS";#N/A,#N/A,FALSE,"INVERS.XLS";#N/A,#N/A,FALSE,"FERIAS.XLS";#N/A,#N/A,FALSE,"LEASG.XLS";#N/A,#N/A,FALSE,"IRPF.XLS";#N/A,#N/A,FALSE,"AJUIRC.XLS";#N/A,#N/A,FALSE,"IVA.XLS";#N/A,#N/A,FALSE,"AJUIVA.XLS";#N/A,#N/A,FALSE,"ENTPUB.XLS";#N/A,#N/A,FALSE,"MOROSOS.XLS";#N/A,#N/A,FALSE,"EXIST.XLS";#N/A,#N/A,FALSE,"AJUIS.XLS";#N/A,#N/A,FALSE,"CALCIS.XLS";#N/A,#N/A,FALSE,"PERIOD.XLS";#N/A,#N/A,FALSE,"VINCUL.XLS";#N/A,#N/A,FALSE,"BALANCE.XLS";#N/A,#N/A,FALSE,"PDTES.XLS";#N/A,#N/A,FALSE,"SITUACION";#N/A,#N/A,FALSE,"EXPLOTAC.";#N/A,#N/A,FALSE,"EVOLUC."}</definedName>
    <definedName name="wrn.IMPUESTO._.SOCIEDADES." localSheetId="48" hidden="1">{#N/A,#N/A,FALSE,"INDICE.XLS";#N/A,#N/A,FALSE,"INCID.XLS (2)";#N/A,#N/A,FALSE,"INMINMAT.XLS";#N/A,#N/A,FALSE,"GASTAMOR.XLS";#N/A,#N/A,FALSE,"INMOVILZ.XLS";#N/A,#N/A,FALSE,"INVERS.XLS";#N/A,#N/A,FALSE,"FERIAS.XLS";#N/A,#N/A,FALSE,"LEASG.XLS";#N/A,#N/A,FALSE,"IRPF.XLS";#N/A,#N/A,FALSE,"AJUIRC.XLS";#N/A,#N/A,FALSE,"IVA.XLS";#N/A,#N/A,FALSE,"AJUIVA.XLS";#N/A,#N/A,FALSE,"ENTPUB.XLS";#N/A,#N/A,FALSE,"MOROSOS.XLS";#N/A,#N/A,FALSE,"EXIST.XLS";#N/A,#N/A,FALSE,"AJUIS.XLS";#N/A,#N/A,FALSE,"CALCIS.XLS";#N/A,#N/A,FALSE,"PERIOD.XLS";#N/A,#N/A,FALSE,"VINCUL.XLS";#N/A,#N/A,FALSE,"BALANCE.XLS";#N/A,#N/A,FALSE,"PDTES.XLS";#N/A,#N/A,FALSE,"SITUACION";#N/A,#N/A,FALSE,"EXPLOTAC.";#N/A,#N/A,FALSE,"EVOLUC."}</definedName>
    <definedName name="wrn.IMPUESTO._.SOCIEDADES." localSheetId="2" hidden="1">{#N/A,#N/A,FALSE,"INDICE.XLS";#N/A,#N/A,FALSE,"INCID.XLS (2)";#N/A,#N/A,FALSE,"INMINMAT.XLS";#N/A,#N/A,FALSE,"GASTAMOR.XLS";#N/A,#N/A,FALSE,"INMOVILZ.XLS";#N/A,#N/A,FALSE,"INVERS.XLS";#N/A,#N/A,FALSE,"FERIAS.XLS";#N/A,#N/A,FALSE,"LEASG.XLS";#N/A,#N/A,FALSE,"IRPF.XLS";#N/A,#N/A,FALSE,"AJUIRC.XLS";#N/A,#N/A,FALSE,"IVA.XLS";#N/A,#N/A,FALSE,"AJUIVA.XLS";#N/A,#N/A,FALSE,"ENTPUB.XLS";#N/A,#N/A,FALSE,"MOROSOS.XLS";#N/A,#N/A,FALSE,"EXIST.XLS";#N/A,#N/A,FALSE,"AJUIS.XLS";#N/A,#N/A,FALSE,"CALCIS.XLS";#N/A,#N/A,FALSE,"PERIOD.XLS";#N/A,#N/A,FALSE,"VINCUL.XLS";#N/A,#N/A,FALSE,"BALANCE.XLS";#N/A,#N/A,FALSE,"PDTES.XLS";#N/A,#N/A,FALSE,"SITUACION";#N/A,#N/A,FALSE,"EXPLOTAC.";#N/A,#N/A,FALSE,"EVOLUC."}</definedName>
    <definedName name="wrn.IMPUESTO._.SOCIEDADES." localSheetId="1" hidden="1">{#N/A,#N/A,FALSE,"INDICE.XLS";#N/A,#N/A,FALSE,"INCID.XLS (2)";#N/A,#N/A,FALSE,"INMINMAT.XLS";#N/A,#N/A,FALSE,"GASTAMOR.XLS";#N/A,#N/A,FALSE,"INMOVILZ.XLS";#N/A,#N/A,FALSE,"INVERS.XLS";#N/A,#N/A,FALSE,"FERIAS.XLS";#N/A,#N/A,FALSE,"LEASG.XLS";#N/A,#N/A,FALSE,"IRPF.XLS";#N/A,#N/A,FALSE,"AJUIRC.XLS";#N/A,#N/A,FALSE,"IVA.XLS";#N/A,#N/A,FALSE,"AJUIVA.XLS";#N/A,#N/A,FALSE,"ENTPUB.XLS";#N/A,#N/A,FALSE,"MOROSOS.XLS";#N/A,#N/A,FALSE,"EXIST.XLS";#N/A,#N/A,FALSE,"AJUIS.XLS";#N/A,#N/A,FALSE,"CALCIS.XLS";#N/A,#N/A,FALSE,"PERIOD.XLS";#N/A,#N/A,FALSE,"VINCUL.XLS";#N/A,#N/A,FALSE,"BALANCE.XLS";#N/A,#N/A,FALSE,"PDTES.XLS";#N/A,#N/A,FALSE,"SITUACION";#N/A,#N/A,FALSE,"EXPLOTAC.";#N/A,#N/A,FALSE,"EVOLUC."}</definedName>
    <definedName name="wrn.IMPUESTO._.SOCIEDADES." hidden="1">{#N/A,#N/A,FALSE,"INDICE.XLS";#N/A,#N/A,FALSE,"INCID.XLS (2)";#N/A,#N/A,FALSE,"INMINMAT.XLS";#N/A,#N/A,FALSE,"GASTAMOR.XLS";#N/A,#N/A,FALSE,"INMOVILZ.XLS";#N/A,#N/A,FALSE,"INVERS.XLS";#N/A,#N/A,FALSE,"FERIAS.XLS";#N/A,#N/A,FALSE,"LEASG.XLS";#N/A,#N/A,FALSE,"IRPF.XLS";#N/A,#N/A,FALSE,"AJUIRC.XLS";#N/A,#N/A,FALSE,"IVA.XLS";#N/A,#N/A,FALSE,"AJUIVA.XLS";#N/A,#N/A,FALSE,"ENTPUB.XLS";#N/A,#N/A,FALSE,"MOROSOS.XLS";#N/A,#N/A,FALSE,"EXIST.XLS";#N/A,#N/A,FALSE,"AJUIS.XLS";#N/A,#N/A,FALSE,"CALCIS.XLS";#N/A,#N/A,FALSE,"PERIOD.XLS";#N/A,#N/A,FALSE,"VINCUL.XLS";#N/A,#N/A,FALSE,"BALANCE.XLS";#N/A,#N/A,FALSE,"PDTES.XLS";#N/A,#N/A,FALSE,"SITUACION";#N/A,#N/A,FALSE,"EXPLOTAC.";#N/A,#N/A,FALSE,"EVOLUC."}</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3" i="40" l="1"/>
  <c r="H70" i="20" l="1"/>
  <c r="H69" i="20"/>
  <c r="H68" i="20"/>
  <c r="H67" i="20"/>
  <c r="D70" i="20"/>
  <c r="D69" i="20"/>
  <c r="D68" i="20"/>
  <c r="D67" i="20"/>
  <c r="E83" i="45" l="1"/>
  <c r="E33" i="44"/>
  <c r="E34" i="44"/>
  <c r="E32" i="44"/>
  <c r="L34" i="26"/>
  <c r="E36" i="29"/>
  <c r="J40" i="60"/>
  <c r="G18" i="35"/>
  <c r="G40" i="35"/>
  <c r="F40" i="35"/>
  <c r="G69" i="26"/>
  <c r="G63" i="14" l="1"/>
  <c r="I31" i="12"/>
  <c r="G29" i="14"/>
  <c r="K25" i="12"/>
  <c r="G64" i="14"/>
  <c r="G62" i="14"/>
  <c r="G58" i="14"/>
  <c r="G54" i="14"/>
  <c r="G50" i="14"/>
  <c r="G47" i="14"/>
  <c r="G44" i="14"/>
  <c r="G43" i="14"/>
  <c r="G42" i="14"/>
  <c r="G36" i="14"/>
  <c r="G35" i="14"/>
  <c r="G32" i="14"/>
  <c r="G31" i="14"/>
  <c r="G30" i="14"/>
  <c r="G28" i="14"/>
  <c r="G27" i="14"/>
  <c r="G26" i="14"/>
  <c r="G25" i="14"/>
  <c r="G24" i="14"/>
  <c r="G23" i="14"/>
  <c r="G22" i="14"/>
  <c r="G17" i="14"/>
  <c r="G16" i="14"/>
  <c r="J20" i="69" l="1"/>
  <c r="H20" i="69"/>
  <c r="J27" i="69"/>
  <c r="I27" i="69" s="1"/>
  <c r="H27" i="69"/>
  <c r="J25" i="69"/>
  <c r="J24" i="69"/>
  <c r="I24" i="69" s="1"/>
  <c r="H25" i="69"/>
  <c r="J28" i="69"/>
  <c r="H28" i="69"/>
  <c r="J23" i="69"/>
  <c r="H23" i="69"/>
  <c r="I23" i="69" s="1"/>
  <c r="J22" i="69"/>
  <c r="I22" i="69"/>
  <c r="H22" i="69"/>
  <c r="J21" i="69"/>
  <c r="H21" i="69"/>
  <c r="J26" i="69"/>
  <c r="H26" i="69"/>
  <c r="I21" i="69"/>
  <c r="I25" i="69"/>
  <c r="I26" i="69"/>
  <c r="I28" i="69"/>
  <c r="I29" i="69"/>
  <c r="I20" i="69"/>
  <c r="H24" i="69"/>
  <c r="K60" i="32" l="1"/>
  <c r="K63" i="32"/>
  <c r="Y60" i="32"/>
  <c r="Y63" i="32"/>
  <c r="M60" i="32"/>
  <c r="M63" i="32"/>
  <c r="W60" i="32"/>
  <c r="W63" i="32"/>
  <c r="Q63" i="32"/>
  <c r="Q60" i="32"/>
  <c r="S63" i="32"/>
  <c r="E60" i="32"/>
  <c r="E63" i="32"/>
  <c r="AA63" i="32"/>
  <c r="AA60" i="32"/>
  <c r="G60" i="32"/>
  <c r="G63" i="32"/>
  <c r="U60" i="32"/>
  <c r="U63" i="32"/>
  <c r="O60" i="32"/>
  <c r="O63" i="32"/>
  <c r="I63" i="32"/>
  <c r="I60" i="32"/>
  <c r="D32" i="26" l="1"/>
  <c r="L32" i="26"/>
  <c r="E32" i="26"/>
  <c r="I32" i="26"/>
  <c r="H32" i="26"/>
  <c r="D36" i="26"/>
  <c r="I42" i="60"/>
  <c r="F40" i="60"/>
  <c r="F39" i="60"/>
  <c r="I13" i="57"/>
  <c r="E7" i="73"/>
  <c r="C7" i="73"/>
  <c r="C5" i="73"/>
  <c r="N188" i="34"/>
  <c r="M188" i="34"/>
  <c r="N181" i="34"/>
  <c r="M181" i="34"/>
  <c r="N174" i="34"/>
  <c r="M174" i="34"/>
  <c r="N167" i="34"/>
  <c r="M167" i="34"/>
  <c r="N160" i="34"/>
  <c r="M160" i="34"/>
  <c r="N153" i="34"/>
  <c r="M153" i="34"/>
  <c r="N146" i="34"/>
  <c r="M146" i="34"/>
  <c r="N139" i="34"/>
  <c r="M139" i="34"/>
  <c r="N132" i="34"/>
  <c r="M132" i="34"/>
  <c r="N125" i="34"/>
  <c r="M125" i="34"/>
  <c r="N118" i="34"/>
  <c r="M118" i="34"/>
  <c r="M111" i="34"/>
  <c r="N111" i="34"/>
  <c r="N98" i="34"/>
  <c r="M98" i="34"/>
  <c r="N91" i="34"/>
  <c r="M91" i="34"/>
  <c r="N84" i="34"/>
  <c r="M84" i="34"/>
  <c r="N77" i="34"/>
  <c r="M77" i="34"/>
  <c r="N70" i="34"/>
  <c r="M70" i="34"/>
  <c r="N63" i="34"/>
  <c r="M63" i="34"/>
  <c r="N56" i="34"/>
  <c r="M56" i="34"/>
  <c r="N49" i="34"/>
  <c r="M49" i="34"/>
  <c r="N42" i="34"/>
  <c r="M42" i="34"/>
  <c r="N35" i="34"/>
  <c r="M35" i="34"/>
  <c r="M28" i="34"/>
  <c r="N28" i="34"/>
  <c r="N21" i="34"/>
  <c r="M21" i="34"/>
  <c r="N42" i="38"/>
  <c r="M42" i="38"/>
  <c r="N35" i="38"/>
  <c r="M35" i="38"/>
  <c r="N28" i="38"/>
  <c r="M28" i="38"/>
  <c r="N21" i="38"/>
  <c r="M21" i="38"/>
  <c r="J20" i="61"/>
  <c r="J64" i="46"/>
  <c r="J63" i="46"/>
  <c r="J62" i="46"/>
  <c r="J61" i="46"/>
  <c r="J60" i="46"/>
  <c r="J59" i="46"/>
  <c r="J58" i="46"/>
  <c r="J57" i="46"/>
  <c r="J56" i="46"/>
  <c r="J55" i="46"/>
  <c r="J54" i="46"/>
  <c r="J53" i="46"/>
  <c r="J52" i="46"/>
  <c r="J51" i="46"/>
  <c r="J50" i="46"/>
  <c r="E42" i="45"/>
  <c r="AB33" i="32"/>
  <c r="J47" i="37"/>
  <c r="H47" i="37"/>
  <c r="F47" i="37"/>
  <c r="J38" i="37"/>
  <c r="I38" i="37"/>
  <c r="J37" i="37"/>
  <c r="I37" i="37"/>
  <c r="J36" i="37"/>
  <c r="I36" i="37"/>
  <c r="J35" i="37"/>
  <c r="I35" i="37"/>
  <c r="J34" i="37"/>
  <c r="I34" i="37"/>
  <c r="J33" i="37"/>
  <c r="I33" i="37"/>
  <c r="K38" i="37"/>
  <c r="K37" i="37"/>
  <c r="K36" i="37"/>
  <c r="K35" i="37"/>
  <c r="K34" i="37"/>
  <c r="K33" i="37"/>
  <c r="K31" i="37"/>
  <c r="K30" i="37"/>
  <c r="K29" i="37"/>
  <c r="K28" i="37"/>
  <c r="K27" i="37"/>
  <c r="K26" i="37"/>
  <c r="J31" i="37"/>
  <c r="I31" i="37"/>
  <c r="J30" i="37"/>
  <c r="I30" i="37"/>
  <c r="J29" i="37"/>
  <c r="I29" i="37"/>
  <c r="J28" i="37"/>
  <c r="I28" i="37"/>
  <c r="J27" i="37"/>
  <c r="I27" i="37"/>
  <c r="J26" i="37"/>
  <c r="I26" i="37"/>
  <c r="J24" i="37"/>
  <c r="I24" i="37"/>
  <c r="J23" i="37"/>
  <c r="I23" i="37"/>
  <c r="J22" i="37"/>
  <c r="I22" i="37"/>
  <c r="J21" i="37"/>
  <c r="I21" i="37"/>
  <c r="J20" i="37"/>
  <c r="I20" i="37"/>
  <c r="J19" i="37"/>
  <c r="I19" i="37"/>
  <c r="K23" i="37"/>
  <c r="K22" i="37"/>
  <c r="K19" i="37"/>
  <c r="F24" i="37"/>
  <c r="E24" i="37"/>
  <c r="F23" i="37"/>
  <c r="E23" i="37"/>
  <c r="F22" i="37"/>
  <c r="E22" i="37"/>
  <c r="F21" i="37"/>
  <c r="E21" i="37"/>
  <c r="F20" i="37"/>
  <c r="E20" i="37"/>
  <c r="F19" i="37"/>
  <c r="E19" i="37"/>
  <c r="H48" i="33"/>
  <c r="K32" i="33"/>
  <c r="K25" i="33"/>
  <c r="K18" i="33"/>
  <c r="K22" i="33"/>
  <c r="K21" i="33"/>
  <c r="K20" i="33"/>
  <c r="K19" i="33"/>
  <c r="K38" i="33"/>
  <c r="K37" i="33"/>
  <c r="K36" i="33"/>
  <c r="K35" i="33"/>
  <c r="K34" i="33"/>
  <c r="K33" i="33"/>
  <c r="K31" i="33"/>
  <c r="K30" i="33"/>
  <c r="K29" i="33"/>
  <c r="K28" i="33"/>
  <c r="K27" i="33"/>
  <c r="K26" i="33"/>
  <c r="K24" i="33"/>
  <c r="K23" i="33"/>
  <c r="J38" i="33"/>
  <c r="I38" i="33"/>
  <c r="J37" i="33"/>
  <c r="I37" i="33"/>
  <c r="J36" i="33"/>
  <c r="I36" i="33"/>
  <c r="J35" i="33"/>
  <c r="I35" i="33"/>
  <c r="J34" i="33"/>
  <c r="I34" i="33"/>
  <c r="J33" i="33"/>
  <c r="I33" i="33"/>
  <c r="J31" i="33"/>
  <c r="I31" i="33"/>
  <c r="J30" i="33"/>
  <c r="I30" i="33"/>
  <c r="J29" i="33"/>
  <c r="I29" i="33"/>
  <c r="J28" i="33"/>
  <c r="I28" i="33"/>
  <c r="J27" i="33"/>
  <c r="I27" i="33"/>
  <c r="J26" i="33"/>
  <c r="I26" i="33"/>
  <c r="J23" i="33"/>
  <c r="I23" i="33"/>
  <c r="J22" i="33"/>
  <c r="I22" i="33"/>
  <c r="J21" i="33"/>
  <c r="I21" i="33"/>
  <c r="J20" i="33"/>
  <c r="I20" i="33"/>
  <c r="J19" i="33"/>
  <c r="I19" i="33"/>
  <c r="F23" i="33"/>
  <c r="E23" i="33"/>
  <c r="F22" i="33"/>
  <c r="E22" i="33"/>
  <c r="F21" i="33"/>
  <c r="E21" i="33"/>
  <c r="F20" i="33"/>
  <c r="E20" i="33"/>
  <c r="F19" i="33"/>
  <c r="E19" i="33"/>
  <c r="AB88" i="32"/>
  <c r="N33" i="32"/>
  <c r="N88" i="32"/>
  <c r="AD79" i="32"/>
  <c r="AC79" i="32"/>
  <c r="AD78" i="32"/>
  <c r="AC78" i="32"/>
  <c r="AD77" i="32"/>
  <c r="AC77" i="32"/>
  <c r="AD76" i="32"/>
  <c r="AC76" i="32"/>
  <c r="AD75" i="32"/>
  <c r="AC75" i="32"/>
  <c r="AD74" i="32"/>
  <c r="AC74" i="32"/>
  <c r="AD24" i="32"/>
  <c r="F24" i="33" s="1"/>
  <c r="AC24" i="32"/>
  <c r="E24" i="33" s="1"/>
  <c r="I24" i="33" s="1"/>
  <c r="AD23" i="32"/>
  <c r="AC23" i="32"/>
  <c r="AD22" i="32"/>
  <c r="AC22" i="32"/>
  <c r="AD21" i="32"/>
  <c r="AC21" i="32"/>
  <c r="AD20" i="32"/>
  <c r="AC20" i="32"/>
  <c r="AD19" i="32"/>
  <c r="AC19" i="32"/>
  <c r="N33" i="36"/>
  <c r="F33" i="36"/>
  <c r="N24" i="36"/>
  <c r="M24" i="36"/>
  <c r="N23" i="36"/>
  <c r="M23" i="36"/>
  <c r="N22" i="36"/>
  <c r="M22" i="36"/>
  <c r="N21" i="36"/>
  <c r="M21" i="36"/>
  <c r="N20" i="36"/>
  <c r="M20" i="36"/>
  <c r="N19" i="36"/>
  <c r="M19" i="36"/>
  <c r="F179" i="34"/>
  <c r="E179" i="34"/>
  <c r="M54" i="34"/>
  <c r="M33" i="34"/>
  <c r="M47" i="38"/>
  <c r="E47" i="38"/>
  <c r="N47" i="38"/>
  <c r="F47" i="38"/>
  <c r="N40" i="38"/>
  <c r="M40" i="38"/>
  <c r="F40" i="38"/>
  <c r="E40" i="38"/>
  <c r="N33" i="38"/>
  <c r="M33" i="38"/>
  <c r="F33" i="38"/>
  <c r="E33" i="38"/>
  <c r="E26" i="38"/>
  <c r="J24" i="33" l="1"/>
  <c r="C48" i="45"/>
  <c r="P41" i="38" l="1"/>
  <c r="O41" i="38"/>
  <c r="P34" i="38"/>
  <c r="O34" i="38"/>
  <c r="P27" i="38"/>
  <c r="O27" i="38"/>
  <c r="P20" i="38"/>
  <c r="O20" i="38"/>
  <c r="P187" i="34"/>
  <c r="O187" i="34"/>
  <c r="P180" i="34"/>
  <c r="O180" i="34"/>
  <c r="P173" i="34"/>
  <c r="O173" i="34"/>
  <c r="P166" i="34"/>
  <c r="O166" i="34"/>
  <c r="P159" i="34"/>
  <c r="O159" i="34"/>
  <c r="P152" i="34"/>
  <c r="O152" i="34"/>
  <c r="P145" i="34"/>
  <c r="O145" i="34"/>
  <c r="P138" i="34"/>
  <c r="O138" i="34"/>
  <c r="P131" i="34"/>
  <c r="O131" i="34"/>
  <c r="P124" i="34"/>
  <c r="O124" i="34"/>
  <c r="P117" i="34"/>
  <c r="O117" i="34"/>
  <c r="P110" i="34"/>
  <c r="O110" i="34"/>
  <c r="P97" i="34"/>
  <c r="O97" i="34"/>
  <c r="P90" i="34"/>
  <c r="O90" i="34"/>
  <c r="P83" i="34"/>
  <c r="O83" i="34"/>
  <c r="P76" i="34"/>
  <c r="O76" i="34"/>
  <c r="P69" i="34"/>
  <c r="O69" i="34"/>
  <c r="P62" i="34"/>
  <c r="O62" i="34"/>
  <c r="P55" i="34"/>
  <c r="O55" i="34"/>
  <c r="P48" i="34"/>
  <c r="O48" i="34"/>
  <c r="P41" i="34"/>
  <c r="O41" i="34"/>
  <c r="P34" i="34"/>
  <c r="O34" i="34"/>
  <c r="P27" i="34"/>
  <c r="O27" i="34"/>
  <c r="P20" i="34"/>
  <c r="O20" i="34"/>
  <c r="G40" i="39" l="1"/>
  <c r="F40" i="39"/>
  <c r="K32" i="37"/>
  <c r="K25" i="37"/>
  <c r="I25" i="37"/>
  <c r="J32" i="37"/>
  <c r="I32" i="37"/>
  <c r="J25" i="37"/>
  <c r="J25" i="33"/>
  <c r="J32" i="33"/>
  <c r="I32" i="33"/>
  <c r="I25" i="33"/>
  <c r="K18" i="37"/>
  <c r="K20" i="37"/>
  <c r="K21" i="37"/>
  <c r="L33" i="36"/>
  <c r="J33" i="36"/>
  <c r="H33" i="36"/>
  <c r="N18" i="36"/>
  <c r="F18" i="37" s="1"/>
  <c r="J18" i="37" s="1"/>
  <c r="M18" i="36"/>
  <c r="E18" i="37" s="1"/>
  <c r="I18" i="37" s="1"/>
  <c r="AC18" i="32"/>
  <c r="E18" i="33" s="1"/>
  <c r="I18" i="33" s="1"/>
  <c r="Z88" i="32"/>
  <c r="X88" i="32"/>
  <c r="V88" i="32"/>
  <c r="T88" i="32"/>
  <c r="R88" i="32"/>
  <c r="P88" i="32"/>
  <c r="L88" i="32"/>
  <c r="J88" i="32"/>
  <c r="H88" i="32"/>
  <c r="F88" i="32"/>
  <c r="Z33" i="32"/>
  <c r="X33" i="32"/>
  <c r="V33" i="32"/>
  <c r="T33" i="32"/>
  <c r="R33" i="32"/>
  <c r="P33" i="32"/>
  <c r="L33" i="32"/>
  <c r="J33" i="32"/>
  <c r="H33" i="32"/>
  <c r="F33" i="32"/>
  <c r="F46" i="32"/>
  <c r="AD73" i="32"/>
  <c r="AC73" i="32"/>
  <c r="AD18" i="32"/>
  <c r="F18" i="33" s="1"/>
  <c r="J18" i="33" s="1"/>
  <c r="P164" i="34"/>
  <c r="P163" i="34"/>
  <c r="P162" i="34"/>
  <c r="P161" i="34"/>
  <c r="P160" i="34"/>
  <c r="O164" i="34"/>
  <c r="O163" i="34"/>
  <c r="O162" i="34"/>
  <c r="O161" i="34"/>
  <c r="O160" i="34"/>
  <c r="E5" i="1"/>
  <c r="E5" i="73" s="1"/>
  <c r="F89" i="34"/>
  <c r="E89" i="34"/>
  <c r="AF413" i="70"/>
  <c r="AE413" i="70"/>
  <c r="AD413" i="70"/>
  <c r="AC413" i="70"/>
  <c r="AB413" i="70"/>
  <c r="AA413" i="70"/>
  <c r="Z413" i="70"/>
  <c r="Y413" i="70"/>
  <c r="X413" i="70"/>
  <c r="W413" i="70"/>
  <c r="V413" i="70"/>
  <c r="K114" i="12"/>
  <c r="J114" i="12"/>
  <c r="I114" i="12"/>
  <c r="G101" i="12"/>
  <c r="F101" i="12"/>
  <c r="E101" i="12"/>
  <c r="G116" i="11"/>
  <c r="H116" i="11"/>
  <c r="L116" i="11"/>
  <c r="M116" i="11" s="1"/>
  <c r="O116" i="11" s="1"/>
  <c r="AG422" i="70"/>
  <c r="T423" i="70"/>
  <c r="U422" i="70"/>
  <c r="U421" i="70"/>
  <c r="U414" i="70"/>
  <c r="U415" i="70"/>
  <c r="U416" i="70"/>
  <c r="U417" i="70"/>
  <c r="U418" i="70"/>
  <c r="U419" i="70"/>
  <c r="U420" i="70"/>
  <c r="I36" i="57"/>
  <c r="I35" i="57"/>
  <c r="D35" i="57"/>
  <c r="C5" i="72"/>
  <c r="A4" i="72"/>
  <c r="A5" i="72"/>
  <c r="B30" i="72"/>
  <c r="A30" i="72"/>
  <c r="B29" i="72"/>
  <c r="A29" i="72"/>
  <c r="B28" i="72"/>
  <c r="A28" i="72"/>
  <c r="B27" i="72"/>
  <c r="A27" i="72"/>
  <c r="B26" i="72"/>
  <c r="A26" i="72"/>
  <c r="B25" i="72"/>
  <c r="A25" i="72"/>
  <c r="B24" i="72"/>
  <c r="A24" i="72"/>
  <c r="B23" i="72"/>
  <c r="A23" i="72"/>
  <c r="B22" i="72"/>
  <c r="A22" i="72"/>
  <c r="B21" i="72"/>
  <c r="A21" i="72"/>
  <c r="B20" i="72"/>
  <c r="A20" i="72"/>
  <c r="B19" i="72"/>
  <c r="A19" i="72"/>
  <c r="B18" i="72"/>
  <c r="A18" i="72"/>
  <c r="B17" i="72"/>
  <c r="A17" i="72"/>
  <c r="B16" i="72"/>
  <c r="A16" i="72"/>
  <c r="B15" i="72"/>
  <c r="A15" i="72"/>
  <c r="B14" i="72"/>
  <c r="A14" i="72"/>
  <c r="B13" i="72"/>
  <c r="A13" i="72"/>
  <c r="B12" i="72"/>
  <c r="A12" i="72"/>
  <c r="B11" i="72"/>
  <c r="A11" i="72"/>
  <c r="B10" i="72"/>
  <c r="A10" i="72"/>
  <c r="B9" i="72"/>
  <c r="A9" i="72"/>
  <c r="D8" i="72"/>
  <c r="C8" i="72"/>
  <c r="B8" i="72"/>
  <c r="A8" i="72"/>
  <c r="C7" i="72"/>
  <c r="C6" i="71"/>
  <c r="E8" i="71"/>
  <c r="C8" i="71"/>
  <c r="A1" i="70"/>
  <c r="F433" i="70"/>
  <c r="F413" i="70"/>
  <c r="F414" i="70"/>
  <c r="F415" i="70"/>
  <c r="F416" i="70"/>
  <c r="F417" i="70"/>
  <c r="F418" i="70"/>
  <c r="F419" i="70"/>
  <c r="F420" i="70"/>
  <c r="F421" i="70"/>
  <c r="F422" i="70"/>
  <c r="F423" i="70"/>
  <c r="F424" i="70"/>
  <c r="F425" i="70"/>
  <c r="F426" i="70"/>
  <c r="F427" i="70"/>
  <c r="F428" i="70"/>
  <c r="F429" i="70"/>
  <c r="F430" i="70"/>
  <c r="F431" i="70"/>
  <c r="F432" i="70"/>
  <c r="F412" i="70"/>
  <c r="AG414" i="70" l="1"/>
  <c r="AG415" i="70"/>
  <c r="AG416" i="70"/>
  <c r="AG417" i="70"/>
  <c r="AG418" i="70"/>
  <c r="AG419" i="70"/>
  <c r="AG420" i="70"/>
  <c r="AG421" i="70"/>
  <c r="F8" i="70" l="1"/>
  <c r="F9" i="70"/>
  <c r="J9" i="70" s="1"/>
  <c r="F10" i="70"/>
  <c r="F11" i="70"/>
  <c r="J11" i="70" s="1"/>
  <c r="F12" i="70"/>
  <c r="F13" i="70"/>
  <c r="J13" i="70" s="1"/>
  <c r="F14" i="70"/>
  <c r="F15" i="70"/>
  <c r="J15" i="70" s="1"/>
  <c r="F16" i="70"/>
  <c r="F17" i="70"/>
  <c r="J17" i="70" s="1"/>
  <c r="F18" i="70"/>
  <c r="F19" i="70"/>
  <c r="J19" i="70" s="1"/>
  <c r="F20" i="70"/>
  <c r="F21" i="70"/>
  <c r="J21" i="70" s="1"/>
  <c r="F22" i="70"/>
  <c r="F23" i="70"/>
  <c r="J23" i="70" s="1"/>
  <c r="F24" i="70"/>
  <c r="F25" i="70"/>
  <c r="J25" i="70" s="1"/>
  <c r="F26" i="70"/>
  <c r="F27" i="70"/>
  <c r="J27" i="70" s="1"/>
  <c r="F28" i="70"/>
  <c r="F29" i="70"/>
  <c r="J29" i="70" s="1"/>
  <c r="F30" i="70"/>
  <c r="F31" i="70"/>
  <c r="J31" i="70" s="1"/>
  <c r="F32" i="70"/>
  <c r="J32" i="70" s="1"/>
  <c r="F33" i="70"/>
  <c r="F34" i="70"/>
  <c r="J34" i="70" s="1"/>
  <c r="F35" i="70"/>
  <c r="J35" i="70" s="1"/>
  <c r="F36" i="70"/>
  <c r="J36" i="70" s="1"/>
  <c r="F37" i="70"/>
  <c r="F38" i="70"/>
  <c r="J38" i="70" s="1"/>
  <c r="F39" i="70"/>
  <c r="J39" i="70" s="1"/>
  <c r="F40" i="70"/>
  <c r="F41" i="70"/>
  <c r="F42" i="70"/>
  <c r="F43" i="70"/>
  <c r="J43" i="70" s="1"/>
  <c r="F44" i="70"/>
  <c r="F45" i="70"/>
  <c r="J45" i="70" s="1"/>
  <c r="F46" i="70"/>
  <c r="F47" i="70"/>
  <c r="F48" i="70"/>
  <c r="J48" i="70" s="1"/>
  <c r="F49" i="70"/>
  <c r="J49" i="70" s="1"/>
  <c r="F50" i="70"/>
  <c r="J50" i="70" s="1"/>
  <c r="F51" i="70"/>
  <c r="F52" i="70"/>
  <c r="J52" i="70" s="1"/>
  <c r="F53" i="70"/>
  <c r="F54" i="70"/>
  <c r="F55" i="70"/>
  <c r="F56" i="70"/>
  <c r="F57" i="70"/>
  <c r="J57" i="70" s="1"/>
  <c r="F58" i="70"/>
  <c r="F59" i="70"/>
  <c r="J59" i="70" s="1"/>
  <c r="F60" i="70"/>
  <c r="F61" i="70"/>
  <c r="F62" i="70"/>
  <c r="F63" i="70"/>
  <c r="F64" i="70"/>
  <c r="J64" i="70" s="1"/>
  <c r="F65" i="70"/>
  <c r="F66" i="70"/>
  <c r="J66" i="70" s="1"/>
  <c r="F67" i="70"/>
  <c r="F68" i="70"/>
  <c r="J68" i="70" s="1"/>
  <c r="F150" i="70"/>
  <c r="F151" i="70"/>
  <c r="F152" i="70"/>
  <c r="F153" i="70"/>
  <c r="J153" i="70" s="1"/>
  <c r="F154" i="70"/>
  <c r="F155" i="70"/>
  <c r="F157" i="70"/>
  <c r="F158" i="70"/>
  <c r="F159" i="70"/>
  <c r="J159" i="70" s="1"/>
  <c r="F168" i="70"/>
  <c r="F174" i="70"/>
  <c r="J174" i="70" s="1"/>
  <c r="F175" i="70"/>
  <c r="F185" i="70"/>
  <c r="F186" i="70"/>
  <c r="F187" i="70"/>
  <c r="F188" i="70"/>
  <c r="J188" i="70" s="1"/>
  <c r="F189" i="70"/>
  <c r="F190" i="70"/>
  <c r="J190" i="70" s="1"/>
  <c r="F191" i="70"/>
  <c r="F193" i="70"/>
  <c r="F195" i="70"/>
  <c r="F196" i="70"/>
  <c r="J196" i="70" s="1"/>
  <c r="F197" i="70"/>
  <c r="F198" i="70"/>
  <c r="J198" i="70" s="1"/>
  <c r="F199" i="70"/>
  <c r="F200" i="70"/>
  <c r="F201" i="70"/>
  <c r="F202" i="70"/>
  <c r="F203" i="70"/>
  <c r="F204" i="70"/>
  <c r="J204" i="70" s="1"/>
  <c r="F205" i="70"/>
  <c r="F206" i="70"/>
  <c r="J206" i="70" s="1"/>
  <c r="F207" i="70"/>
  <c r="F208" i="70"/>
  <c r="F209" i="70"/>
  <c r="F235" i="70"/>
  <c r="F236" i="70"/>
  <c r="J236" i="70" s="1"/>
  <c r="F239" i="70"/>
  <c r="F240" i="70"/>
  <c r="F244" i="70"/>
  <c r="J244" i="70" s="1"/>
  <c r="F245" i="70"/>
  <c r="F256" i="70"/>
  <c r="F257" i="70"/>
  <c r="F258" i="70"/>
  <c r="F259" i="70"/>
  <c r="F7" i="70"/>
  <c r="G69" i="70"/>
  <c r="G70" i="70"/>
  <c r="G71" i="70"/>
  <c r="N71" i="70" s="1"/>
  <c r="G72" i="70"/>
  <c r="G73" i="70"/>
  <c r="N73" i="70" s="1"/>
  <c r="G74" i="70"/>
  <c r="G75" i="70"/>
  <c r="G76" i="70"/>
  <c r="G77" i="70"/>
  <c r="G78" i="70"/>
  <c r="G79" i="70"/>
  <c r="N79" i="70" s="1"/>
  <c r="G80" i="70"/>
  <c r="G81" i="70"/>
  <c r="N81" i="70" s="1"/>
  <c r="G82" i="70"/>
  <c r="G83" i="70"/>
  <c r="G84" i="70"/>
  <c r="G85" i="70"/>
  <c r="G86" i="70"/>
  <c r="G87" i="70"/>
  <c r="G88" i="70"/>
  <c r="G89" i="70"/>
  <c r="G90" i="70"/>
  <c r="G91" i="70"/>
  <c r="G92" i="70"/>
  <c r="G93" i="70"/>
  <c r="N93" i="70" s="1"/>
  <c r="G94" i="70"/>
  <c r="G95" i="70"/>
  <c r="G96" i="70"/>
  <c r="G97" i="70"/>
  <c r="G98" i="70"/>
  <c r="G99" i="70"/>
  <c r="G100" i="70"/>
  <c r="G101" i="70"/>
  <c r="G102" i="70"/>
  <c r="G103" i="70"/>
  <c r="G104" i="70"/>
  <c r="G105" i="70"/>
  <c r="G106" i="70"/>
  <c r="G107" i="70"/>
  <c r="G108" i="70"/>
  <c r="G109" i="70"/>
  <c r="G110" i="70"/>
  <c r="G111" i="70"/>
  <c r="G112" i="70"/>
  <c r="G113" i="70"/>
  <c r="G114" i="70"/>
  <c r="G115" i="70"/>
  <c r="G116" i="70"/>
  <c r="G117" i="70"/>
  <c r="G118" i="70"/>
  <c r="G119" i="70"/>
  <c r="G120" i="70"/>
  <c r="G121" i="70"/>
  <c r="N121" i="70" s="1"/>
  <c r="G122" i="70"/>
  <c r="G123" i="70"/>
  <c r="G124" i="70"/>
  <c r="G125" i="70"/>
  <c r="G126" i="70"/>
  <c r="G127" i="70"/>
  <c r="G128" i="70"/>
  <c r="G129" i="70"/>
  <c r="G130" i="70"/>
  <c r="G131" i="70"/>
  <c r="N131" i="70" s="1"/>
  <c r="G132" i="70"/>
  <c r="G133" i="70"/>
  <c r="G134" i="70"/>
  <c r="G135" i="70"/>
  <c r="G136" i="70"/>
  <c r="G137" i="70"/>
  <c r="N137" i="70" s="1"/>
  <c r="G138" i="70"/>
  <c r="G139" i="70"/>
  <c r="G140" i="70"/>
  <c r="G141" i="70"/>
  <c r="N141" i="70" s="1"/>
  <c r="G142" i="70"/>
  <c r="G143" i="70"/>
  <c r="G144" i="70"/>
  <c r="G145" i="70"/>
  <c r="G146" i="70"/>
  <c r="G147" i="70"/>
  <c r="N147" i="70" s="1"/>
  <c r="G148" i="70"/>
  <c r="G149" i="70"/>
  <c r="G160" i="70"/>
  <c r="G161" i="70"/>
  <c r="G162" i="70"/>
  <c r="G163" i="70"/>
  <c r="N163" i="70" s="1"/>
  <c r="G164" i="70"/>
  <c r="G165" i="70"/>
  <c r="G166" i="70"/>
  <c r="G167" i="70"/>
  <c r="G169" i="70"/>
  <c r="N169" i="70" s="1"/>
  <c r="G170" i="70"/>
  <c r="G171" i="70"/>
  <c r="G172" i="70"/>
  <c r="G173" i="70"/>
  <c r="G176" i="70"/>
  <c r="G177" i="70"/>
  <c r="G178" i="70"/>
  <c r="G179" i="70"/>
  <c r="G180" i="70"/>
  <c r="N180" i="70" s="1"/>
  <c r="G181" i="70"/>
  <c r="G182" i="70"/>
  <c r="N182" i="70" s="1"/>
  <c r="G183" i="70"/>
  <c r="G184" i="70"/>
  <c r="G192" i="70"/>
  <c r="G194" i="70"/>
  <c r="G210" i="70"/>
  <c r="G211" i="70"/>
  <c r="G212" i="70"/>
  <c r="N212" i="70" s="1"/>
  <c r="G213" i="70"/>
  <c r="G214" i="70"/>
  <c r="N214" i="70" s="1"/>
  <c r="G215" i="70"/>
  <c r="G216" i="70"/>
  <c r="G217" i="70"/>
  <c r="G218" i="70"/>
  <c r="G219" i="70"/>
  <c r="G220" i="70"/>
  <c r="N220" i="70" s="1"/>
  <c r="G221" i="70"/>
  <c r="G222" i="70"/>
  <c r="N222" i="70" s="1"/>
  <c r="G223" i="70"/>
  <c r="G224" i="70"/>
  <c r="G225" i="70"/>
  <c r="G226" i="70"/>
  <c r="G237" i="70"/>
  <c r="G238" i="70"/>
  <c r="N238" i="70" s="1"/>
  <c r="G241" i="70"/>
  <c r="G242" i="70"/>
  <c r="G243" i="70"/>
  <c r="G246" i="70"/>
  <c r="G247" i="70"/>
  <c r="G248" i="70"/>
  <c r="G249" i="70"/>
  <c r="G250" i="70"/>
  <c r="G251" i="70"/>
  <c r="G252" i="70"/>
  <c r="N252" i="70" s="1"/>
  <c r="G253" i="70"/>
  <c r="G254" i="70"/>
  <c r="G255" i="70"/>
  <c r="G260" i="70"/>
  <c r="N260" i="70" s="1"/>
  <c r="G261" i="70"/>
  <c r="G262" i="70"/>
  <c r="N262" i="70" s="1"/>
  <c r="G263" i="70"/>
  <c r="G264" i="70"/>
  <c r="N221" i="70" l="1"/>
  <c r="P221" i="70" s="1"/>
  <c r="N113" i="70"/>
  <c r="P113" i="70" s="1"/>
  <c r="N97" i="70"/>
  <c r="P97" i="70" s="1"/>
  <c r="J257" i="70"/>
  <c r="L257" i="70" s="1"/>
  <c r="J209" i="70"/>
  <c r="L209" i="70" s="1"/>
  <c r="J201" i="70"/>
  <c r="L201" i="70" s="1"/>
  <c r="J191" i="70"/>
  <c r="L191" i="70" s="1"/>
  <c r="J152" i="70"/>
  <c r="L152" i="70" s="1"/>
  <c r="J63" i="70"/>
  <c r="L63" i="70" s="1"/>
  <c r="J55" i="70"/>
  <c r="L55" i="70" s="1"/>
  <c r="J47" i="70"/>
  <c r="L47" i="70" s="1"/>
  <c r="N250" i="70"/>
  <c r="P250" i="70" s="1"/>
  <c r="N181" i="70"/>
  <c r="P181" i="70" s="1"/>
  <c r="N171" i="70"/>
  <c r="P171" i="70" s="1"/>
  <c r="N162" i="70"/>
  <c r="P162" i="70" s="1"/>
  <c r="N144" i="70"/>
  <c r="P144" i="70" s="1"/>
  <c r="N136" i="70"/>
  <c r="P136" i="70" s="1"/>
  <c r="N128" i="70"/>
  <c r="P128" i="70" s="1"/>
  <c r="N120" i="70"/>
  <c r="P120" i="70" s="1"/>
  <c r="N112" i="70"/>
  <c r="P112" i="70" s="1"/>
  <c r="N104" i="70"/>
  <c r="P104" i="70" s="1"/>
  <c r="N96" i="70"/>
  <c r="P96" i="70" s="1"/>
  <c r="N88" i="70"/>
  <c r="P88" i="70" s="1"/>
  <c r="N80" i="70"/>
  <c r="P80" i="70" s="1"/>
  <c r="N72" i="70"/>
  <c r="P72" i="70" s="1"/>
  <c r="J256" i="70"/>
  <c r="L256" i="70" s="1"/>
  <c r="J208" i="70"/>
  <c r="L208" i="70" s="1"/>
  <c r="J200" i="70"/>
  <c r="L200" i="70" s="1"/>
  <c r="J168" i="70"/>
  <c r="L168" i="70" s="1"/>
  <c r="J151" i="70"/>
  <c r="L151" i="70" s="1"/>
  <c r="J62" i="70"/>
  <c r="L62" i="70" s="1"/>
  <c r="J54" i="70"/>
  <c r="L54" i="70" s="1"/>
  <c r="J46" i="70"/>
  <c r="L46" i="70" s="1"/>
  <c r="J30" i="70"/>
  <c r="L30" i="70" s="1"/>
  <c r="J22" i="70"/>
  <c r="L22" i="70" s="1"/>
  <c r="J14" i="70"/>
  <c r="L14" i="70" s="1"/>
  <c r="J44" i="70"/>
  <c r="L44" i="70" s="1"/>
  <c r="J28" i="70"/>
  <c r="L28" i="70" s="1"/>
  <c r="J20" i="70"/>
  <c r="L20" i="70" s="1"/>
  <c r="J12" i="70"/>
  <c r="L12" i="70" s="1"/>
  <c r="N241" i="70"/>
  <c r="P241" i="70" s="1"/>
  <c r="N172" i="70"/>
  <c r="P172" i="70" s="1"/>
  <c r="N129" i="70"/>
  <c r="P129" i="70" s="1"/>
  <c r="N89" i="70"/>
  <c r="P89" i="70" s="1"/>
  <c r="N237" i="70"/>
  <c r="P237" i="70" s="1"/>
  <c r="N170" i="70"/>
  <c r="P170" i="70" s="1"/>
  <c r="N119" i="70"/>
  <c r="P119" i="70" s="1"/>
  <c r="J189" i="70"/>
  <c r="L189" i="70" s="1"/>
  <c r="N218" i="70"/>
  <c r="P218" i="70" s="1"/>
  <c r="N160" i="70"/>
  <c r="P160" i="70" s="1"/>
  <c r="N118" i="70"/>
  <c r="P118" i="70" s="1"/>
  <c r="N78" i="70"/>
  <c r="P78" i="70" s="1"/>
  <c r="N217" i="70"/>
  <c r="P217" i="70" s="1"/>
  <c r="N194" i="70"/>
  <c r="P194" i="70" s="1"/>
  <c r="N178" i="70"/>
  <c r="P178" i="70" s="1"/>
  <c r="N167" i="70"/>
  <c r="P167" i="70" s="1"/>
  <c r="N149" i="70"/>
  <c r="P149" i="70" s="1"/>
  <c r="N133" i="70"/>
  <c r="P133" i="70" s="1"/>
  <c r="N125" i="70"/>
  <c r="P125" i="70" s="1"/>
  <c r="N117" i="70"/>
  <c r="P117" i="70" s="1"/>
  <c r="N109" i="70"/>
  <c r="P109" i="70" s="1"/>
  <c r="N101" i="70"/>
  <c r="P101" i="70" s="1"/>
  <c r="N85" i="70"/>
  <c r="P85" i="70" s="1"/>
  <c r="N77" i="70"/>
  <c r="P77" i="70" s="1"/>
  <c r="N69" i="70"/>
  <c r="P69" i="70" s="1"/>
  <c r="J240" i="70"/>
  <c r="L240" i="70" s="1"/>
  <c r="J205" i="70"/>
  <c r="L205" i="70" s="1"/>
  <c r="J197" i="70"/>
  <c r="L197" i="70" s="1"/>
  <c r="J187" i="70"/>
  <c r="L187" i="70" s="1"/>
  <c r="J157" i="70"/>
  <c r="L157" i="70" s="1"/>
  <c r="J67" i="70"/>
  <c r="L67" i="70" s="1"/>
  <c r="J51" i="70"/>
  <c r="L51" i="70" s="1"/>
  <c r="N263" i="70"/>
  <c r="P263" i="70" s="1"/>
  <c r="N213" i="70"/>
  <c r="P213" i="70" s="1"/>
  <c r="N145" i="70"/>
  <c r="P145" i="70" s="1"/>
  <c r="N135" i="70"/>
  <c r="P135" i="70" s="1"/>
  <c r="N103" i="70"/>
  <c r="P103" i="70" s="1"/>
  <c r="N87" i="70"/>
  <c r="P87" i="70" s="1"/>
  <c r="J207" i="70"/>
  <c r="L207" i="70" s="1"/>
  <c r="J150" i="70"/>
  <c r="L150" i="70" s="1"/>
  <c r="N210" i="70"/>
  <c r="P210" i="70" s="1"/>
  <c r="N142" i="70"/>
  <c r="P142" i="70" s="1"/>
  <c r="N110" i="70"/>
  <c r="P110" i="70" s="1"/>
  <c r="N254" i="70"/>
  <c r="P254" i="70" s="1"/>
  <c r="N224" i="70"/>
  <c r="P224" i="70" s="1"/>
  <c r="N216" i="70"/>
  <c r="P216" i="70" s="1"/>
  <c r="N192" i="70"/>
  <c r="P192" i="70" s="1"/>
  <c r="N177" i="70"/>
  <c r="P177" i="70" s="1"/>
  <c r="N166" i="70"/>
  <c r="P166" i="70" s="1"/>
  <c r="N148" i="70"/>
  <c r="P148" i="70" s="1"/>
  <c r="N140" i="70"/>
  <c r="P140" i="70" s="1"/>
  <c r="N132" i="70"/>
  <c r="P132" i="70" s="1"/>
  <c r="N124" i="70"/>
  <c r="P124" i="70" s="1"/>
  <c r="N116" i="70"/>
  <c r="P116" i="70" s="1"/>
  <c r="N108" i="70"/>
  <c r="P108" i="70" s="1"/>
  <c r="N100" i="70"/>
  <c r="P100" i="70" s="1"/>
  <c r="N92" i="70"/>
  <c r="P92" i="70" s="1"/>
  <c r="N84" i="70"/>
  <c r="P84" i="70" s="1"/>
  <c r="N76" i="70"/>
  <c r="P76" i="70" s="1"/>
  <c r="J7" i="70"/>
  <c r="L7" i="70" s="1"/>
  <c r="J239" i="70"/>
  <c r="L239" i="70" s="1"/>
  <c r="J186" i="70"/>
  <c r="L186" i="70" s="1"/>
  <c r="J155" i="70"/>
  <c r="L155" i="70" s="1"/>
  <c r="J58" i="70"/>
  <c r="L58" i="70" s="1"/>
  <c r="J42" i="70"/>
  <c r="L42" i="70" s="1"/>
  <c r="J26" i="70"/>
  <c r="L26" i="70" s="1"/>
  <c r="J18" i="70"/>
  <c r="L18" i="70" s="1"/>
  <c r="J10" i="70"/>
  <c r="L10" i="70" s="1"/>
  <c r="N251" i="70"/>
  <c r="P251" i="70" s="1"/>
  <c r="N211" i="70"/>
  <c r="P211" i="70" s="1"/>
  <c r="N143" i="70"/>
  <c r="P143" i="70" s="1"/>
  <c r="N111" i="70"/>
  <c r="P111" i="70" s="1"/>
  <c r="J199" i="70"/>
  <c r="L199" i="70" s="1"/>
  <c r="J61" i="70"/>
  <c r="L61" i="70" s="1"/>
  <c r="N226" i="70"/>
  <c r="P226" i="70" s="1"/>
  <c r="N179" i="70"/>
  <c r="P179" i="70" s="1"/>
  <c r="N134" i="70"/>
  <c r="P134" i="70" s="1"/>
  <c r="N102" i="70"/>
  <c r="P102" i="70" s="1"/>
  <c r="N86" i="70"/>
  <c r="P86" i="70" s="1"/>
  <c r="J60" i="70"/>
  <c r="L60" i="70" s="1"/>
  <c r="N255" i="70"/>
  <c r="P255" i="70" s="1"/>
  <c r="N225" i="70"/>
  <c r="P225" i="70" s="1"/>
  <c r="N253" i="70"/>
  <c r="P253" i="70" s="1"/>
  <c r="N243" i="70"/>
  <c r="P243" i="70" s="1"/>
  <c r="N223" i="70"/>
  <c r="P223" i="70" s="1"/>
  <c r="N215" i="70"/>
  <c r="P215" i="70" s="1"/>
  <c r="N184" i="70"/>
  <c r="P184" i="70" s="1"/>
  <c r="N176" i="70"/>
  <c r="P176" i="70" s="1"/>
  <c r="N165" i="70"/>
  <c r="P165" i="70" s="1"/>
  <c r="N139" i="70"/>
  <c r="P139" i="70" s="1"/>
  <c r="N123" i="70"/>
  <c r="P123" i="70" s="1"/>
  <c r="N115" i="70"/>
  <c r="P115" i="70" s="1"/>
  <c r="N107" i="70"/>
  <c r="P107" i="70" s="1"/>
  <c r="N99" i="70"/>
  <c r="P99" i="70" s="1"/>
  <c r="N91" i="70"/>
  <c r="P91" i="70" s="1"/>
  <c r="N83" i="70"/>
  <c r="P83" i="70" s="1"/>
  <c r="N75" i="70"/>
  <c r="P75" i="70" s="1"/>
  <c r="J259" i="70"/>
  <c r="L259" i="70" s="1"/>
  <c r="J203" i="70"/>
  <c r="L203" i="70" s="1"/>
  <c r="J195" i="70"/>
  <c r="L195" i="70" s="1"/>
  <c r="J185" i="70"/>
  <c r="L185" i="70" s="1"/>
  <c r="J154" i="70"/>
  <c r="L154" i="70" s="1"/>
  <c r="J65" i="70"/>
  <c r="L65" i="70" s="1"/>
  <c r="J41" i="70"/>
  <c r="L41" i="70" s="1"/>
  <c r="J33" i="70"/>
  <c r="L33" i="70" s="1"/>
  <c r="N105" i="70"/>
  <c r="P105" i="70" s="1"/>
  <c r="N261" i="70"/>
  <c r="P261" i="70" s="1"/>
  <c r="N219" i="70"/>
  <c r="P219" i="70" s="1"/>
  <c r="N161" i="70"/>
  <c r="P161" i="70" s="1"/>
  <c r="N127" i="70"/>
  <c r="P127" i="70" s="1"/>
  <c r="N95" i="70"/>
  <c r="P95" i="70" s="1"/>
  <c r="J245" i="70"/>
  <c r="L245" i="70" s="1"/>
  <c r="J53" i="70"/>
  <c r="L53" i="70" s="1"/>
  <c r="J37" i="70"/>
  <c r="L37" i="70" s="1"/>
  <c r="N126" i="70"/>
  <c r="P126" i="70" s="1"/>
  <c r="N94" i="70"/>
  <c r="P94" i="70" s="1"/>
  <c r="N70" i="70"/>
  <c r="P70" i="70" s="1"/>
  <c r="J158" i="70"/>
  <c r="L158" i="70" s="1"/>
  <c r="N264" i="70"/>
  <c r="P264" i="70" s="1"/>
  <c r="N242" i="70"/>
  <c r="P242" i="70" s="1"/>
  <c r="N183" i="70"/>
  <c r="P183" i="70" s="1"/>
  <c r="N173" i="70"/>
  <c r="P173" i="70" s="1"/>
  <c r="N164" i="70"/>
  <c r="P164" i="70" s="1"/>
  <c r="N146" i="70"/>
  <c r="P146" i="70" s="1"/>
  <c r="N138" i="70"/>
  <c r="P138" i="70" s="1"/>
  <c r="N130" i="70"/>
  <c r="P130" i="70" s="1"/>
  <c r="N122" i="70"/>
  <c r="P122" i="70" s="1"/>
  <c r="N114" i="70"/>
  <c r="P114" i="70" s="1"/>
  <c r="N106" i="70"/>
  <c r="P106" i="70" s="1"/>
  <c r="N98" i="70"/>
  <c r="P98" i="70" s="1"/>
  <c r="N90" i="70"/>
  <c r="P90" i="70" s="1"/>
  <c r="N82" i="70"/>
  <c r="P82" i="70" s="1"/>
  <c r="N74" i="70"/>
  <c r="P74" i="70" s="1"/>
  <c r="J258" i="70"/>
  <c r="L258" i="70" s="1"/>
  <c r="J235" i="70"/>
  <c r="L235" i="70" s="1"/>
  <c r="J202" i="70"/>
  <c r="L202" i="70" s="1"/>
  <c r="J193" i="70"/>
  <c r="L193" i="70" s="1"/>
  <c r="J175" i="70"/>
  <c r="L175" i="70" s="1"/>
  <c r="J56" i="70"/>
  <c r="L56" i="70" s="1"/>
  <c r="J40" i="70"/>
  <c r="L40" i="70" s="1"/>
  <c r="J24" i="70"/>
  <c r="L24" i="70" s="1"/>
  <c r="J16" i="70"/>
  <c r="L16" i="70" s="1"/>
  <c r="J8" i="70"/>
  <c r="L8" i="70" s="1"/>
  <c r="L196" i="70"/>
  <c r="L236" i="70"/>
  <c r="P214" i="70"/>
  <c r="P182" i="70"/>
  <c r="P169" i="70"/>
  <c r="P163" i="70"/>
  <c r="P121" i="70"/>
  <c r="P71" i="70"/>
  <c r="L59" i="70"/>
  <c r="L52" i="70"/>
  <c r="L48" i="70"/>
  <c r="L36" i="70"/>
  <c r="L32" i="70"/>
  <c r="L27" i="70"/>
  <c r="L21" i="70"/>
  <c r="L11" i="70"/>
  <c r="P260" i="70"/>
  <c r="P220" i="70"/>
  <c r="L188" i="70"/>
  <c r="P141" i="70"/>
  <c r="L64" i="70"/>
  <c r="L31" i="70"/>
  <c r="L15" i="70"/>
  <c r="L206" i="70"/>
  <c r="L174" i="70"/>
  <c r="P147" i="70"/>
  <c r="P81" i="70"/>
  <c r="L57" i="70"/>
  <c r="L35" i="70"/>
  <c r="L25" i="70"/>
  <c r="L9" i="70"/>
  <c r="P252" i="70"/>
  <c r="P212" i="70"/>
  <c r="P180" i="70"/>
  <c r="L153" i="70"/>
  <c r="L68" i="70"/>
  <c r="L50" i="70"/>
  <c r="L45" i="70"/>
  <c r="L39" i="70"/>
  <c r="L19" i="70"/>
  <c r="P238" i="70"/>
  <c r="L198" i="70"/>
  <c r="L159" i="70"/>
  <c r="P73" i="70"/>
  <c r="L34" i="70"/>
  <c r="L29" i="70"/>
  <c r="L13" i="70"/>
  <c r="L244" i="70"/>
  <c r="L204" i="70"/>
  <c r="P131" i="70"/>
  <c r="P93" i="70"/>
  <c r="P79" i="70"/>
  <c r="L49" i="70"/>
  <c r="L38" i="70"/>
  <c r="L23" i="70"/>
  <c r="P262" i="70"/>
  <c r="P222" i="70"/>
  <c r="L190" i="70"/>
  <c r="P137" i="70"/>
  <c r="L66" i="70"/>
  <c r="L43" i="70"/>
  <c r="L17" i="70"/>
  <c r="D6" i="70" l="1"/>
  <c r="C6" i="70"/>
  <c r="C5" i="70"/>
  <c r="B6" i="70"/>
  <c r="A6" i="70"/>
  <c r="A376" i="70"/>
  <c r="B376" i="70"/>
  <c r="A377" i="70"/>
  <c r="B377" i="70"/>
  <c r="A378" i="70"/>
  <c r="B378" i="70"/>
  <c r="A379" i="70"/>
  <c r="B379" i="70"/>
  <c r="A380" i="70"/>
  <c r="B380" i="70"/>
  <c r="A381" i="70"/>
  <c r="B381" i="70"/>
  <c r="A382" i="70"/>
  <c r="B382" i="70"/>
  <c r="A383" i="70"/>
  <c r="B383" i="70"/>
  <c r="A384" i="70"/>
  <c r="B384" i="70"/>
  <c r="A385" i="70"/>
  <c r="B385" i="70"/>
  <c r="A386" i="70"/>
  <c r="B386" i="70"/>
  <c r="A387" i="70"/>
  <c r="B387" i="70"/>
  <c r="A388" i="70"/>
  <c r="B388" i="70"/>
  <c r="A389" i="70"/>
  <c r="B389" i="70"/>
  <c r="A390" i="70"/>
  <c r="B390" i="70"/>
  <c r="A391" i="70"/>
  <c r="B391" i="70"/>
  <c r="A392" i="70"/>
  <c r="B392" i="70"/>
  <c r="A393" i="70"/>
  <c r="B393" i="70"/>
  <c r="A394" i="70"/>
  <c r="B394" i="70"/>
  <c r="A395" i="70"/>
  <c r="B395" i="70"/>
  <c r="A396" i="70"/>
  <c r="B396" i="70"/>
  <c r="A363" i="70"/>
  <c r="B363" i="70"/>
  <c r="A364" i="70"/>
  <c r="B364" i="70"/>
  <c r="A365" i="70"/>
  <c r="B365" i="70"/>
  <c r="A366" i="70"/>
  <c r="B366" i="70"/>
  <c r="A367" i="70"/>
  <c r="B367" i="70"/>
  <c r="A368" i="70"/>
  <c r="B368" i="70"/>
  <c r="A369" i="70"/>
  <c r="B369" i="70"/>
  <c r="A370" i="70"/>
  <c r="B370" i="70"/>
  <c r="A371" i="70"/>
  <c r="B371" i="70"/>
  <c r="A372" i="70"/>
  <c r="B372" i="70"/>
  <c r="A373" i="70"/>
  <c r="B373" i="70"/>
  <c r="A374" i="70"/>
  <c r="B374" i="70"/>
  <c r="A375" i="70"/>
  <c r="B375" i="70"/>
  <c r="A248" i="70"/>
  <c r="B248" i="70"/>
  <c r="A249" i="70"/>
  <c r="B249" i="70"/>
  <c r="A250" i="70"/>
  <c r="B250" i="70"/>
  <c r="A251" i="70"/>
  <c r="B251" i="70"/>
  <c r="A252" i="70"/>
  <c r="B252" i="70"/>
  <c r="A253" i="70"/>
  <c r="B253" i="70"/>
  <c r="A254" i="70"/>
  <c r="B254" i="70"/>
  <c r="A255" i="70"/>
  <c r="B255" i="70"/>
  <c r="A256" i="70"/>
  <c r="B256" i="70"/>
  <c r="A257" i="70"/>
  <c r="B257" i="70"/>
  <c r="A258" i="70"/>
  <c r="B258" i="70"/>
  <c r="A259" i="70"/>
  <c r="B259" i="70"/>
  <c r="A260" i="70"/>
  <c r="B260" i="70"/>
  <c r="A261" i="70"/>
  <c r="B261" i="70"/>
  <c r="A262" i="70"/>
  <c r="B262" i="70"/>
  <c r="A263" i="70"/>
  <c r="B263" i="70"/>
  <c r="A264" i="70"/>
  <c r="B264" i="70"/>
  <c r="A265" i="70"/>
  <c r="B265" i="70"/>
  <c r="A266" i="70"/>
  <c r="B266" i="70"/>
  <c r="A267" i="70"/>
  <c r="B267" i="70"/>
  <c r="A268" i="70"/>
  <c r="B268" i="70"/>
  <c r="A269" i="70"/>
  <c r="B269" i="70"/>
  <c r="A270" i="70"/>
  <c r="B270" i="70"/>
  <c r="A271" i="70"/>
  <c r="B271" i="70"/>
  <c r="A272" i="70"/>
  <c r="B272" i="70"/>
  <c r="A273" i="70"/>
  <c r="B273" i="70"/>
  <c r="A274" i="70"/>
  <c r="B274" i="70"/>
  <c r="A275" i="70"/>
  <c r="B275" i="70"/>
  <c r="A276" i="70"/>
  <c r="B276" i="70"/>
  <c r="A277" i="70"/>
  <c r="B277" i="70"/>
  <c r="A278" i="70"/>
  <c r="B278" i="70"/>
  <c r="A279" i="70"/>
  <c r="B279" i="70"/>
  <c r="A280" i="70"/>
  <c r="B280" i="70"/>
  <c r="A281" i="70"/>
  <c r="B281" i="70"/>
  <c r="A282" i="70"/>
  <c r="B282" i="70"/>
  <c r="A283" i="70"/>
  <c r="B283" i="70"/>
  <c r="A284" i="70"/>
  <c r="B284" i="70"/>
  <c r="A285" i="70"/>
  <c r="B285" i="70"/>
  <c r="A286" i="70"/>
  <c r="B286" i="70"/>
  <c r="A287" i="70"/>
  <c r="B287" i="70"/>
  <c r="A288" i="70"/>
  <c r="B288" i="70"/>
  <c r="A289" i="70"/>
  <c r="B289" i="70"/>
  <c r="A290" i="70"/>
  <c r="B290" i="70"/>
  <c r="A291" i="70"/>
  <c r="B291" i="70"/>
  <c r="A292" i="70"/>
  <c r="B292" i="70"/>
  <c r="A293" i="70"/>
  <c r="B293" i="70"/>
  <c r="A294" i="70"/>
  <c r="B294" i="70"/>
  <c r="A295" i="70"/>
  <c r="B295" i="70"/>
  <c r="A296" i="70"/>
  <c r="B296" i="70"/>
  <c r="A297" i="70"/>
  <c r="B297" i="70"/>
  <c r="A298" i="70"/>
  <c r="B298" i="70"/>
  <c r="A299" i="70"/>
  <c r="B299" i="70"/>
  <c r="A300" i="70"/>
  <c r="B300" i="70"/>
  <c r="A301" i="70"/>
  <c r="B301" i="70"/>
  <c r="A302" i="70"/>
  <c r="B302" i="70"/>
  <c r="A303" i="70"/>
  <c r="B303" i="70"/>
  <c r="A304" i="70"/>
  <c r="B304" i="70"/>
  <c r="A305" i="70"/>
  <c r="B305" i="70"/>
  <c r="A306" i="70"/>
  <c r="B306" i="70"/>
  <c r="A307" i="70"/>
  <c r="B307" i="70"/>
  <c r="A308" i="70"/>
  <c r="B308" i="70"/>
  <c r="A309" i="70"/>
  <c r="B309" i="70"/>
  <c r="A310" i="70"/>
  <c r="B310" i="70"/>
  <c r="A311" i="70"/>
  <c r="B311" i="70"/>
  <c r="A312" i="70"/>
  <c r="B312" i="70"/>
  <c r="A313" i="70"/>
  <c r="B313" i="70"/>
  <c r="A314" i="70"/>
  <c r="B314" i="70"/>
  <c r="A315" i="70"/>
  <c r="B315" i="70"/>
  <c r="A316" i="70"/>
  <c r="B316" i="70"/>
  <c r="A317" i="70"/>
  <c r="B317" i="70"/>
  <c r="A318" i="70"/>
  <c r="B318" i="70"/>
  <c r="A319" i="70"/>
  <c r="B319" i="70"/>
  <c r="A320" i="70"/>
  <c r="B320" i="70"/>
  <c r="A321" i="70"/>
  <c r="B321" i="70"/>
  <c r="A322" i="70"/>
  <c r="B322" i="70"/>
  <c r="A323" i="70"/>
  <c r="B323" i="70"/>
  <c r="A324" i="70"/>
  <c r="B324" i="70"/>
  <c r="A325" i="70"/>
  <c r="B325" i="70"/>
  <c r="A326" i="70"/>
  <c r="B326" i="70"/>
  <c r="A327" i="70"/>
  <c r="B327" i="70"/>
  <c r="A328" i="70"/>
  <c r="B328" i="70"/>
  <c r="A329" i="70"/>
  <c r="B329" i="70"/>
  <c r="A330" i="70"/>
  <c r="B330" i="70"/>
  <c r="A331" i="70"/>
  <c r="B331" i="70"/>
  <c r="A332" i="70"/>
  <c r="B332" i="70"/>
  <c r="A333" i="70"/>
  <c r="B333" i="70"/>
  <c r="A334" i="70"/>
  <c r="B334" i="70"/>
  <c r="A335" i="70"/>
  <c r="B335" i="70"/>
  <c r="A336" i="70"/>
  <c r="B336" i="70"/>
  <c r="A337" i="70"/>
  <c r="B337" i="70"/>
  <c r="A338" i="70"/>
  <c r="B338" i="70"/>
  <c r="A339" i="70"/>
  <c r="B339" i="70"/>
  <c r="A340" i="70"/>
  <c r="B340" i="70"/>
  <c r="A341" i="70"/>
  <c r="B341" i="70"/>
  <c r="A342" i="70"/>
  <c r="B342" i="70"/>
  <c r="A343" i="70"/>
  <c r="B343" i="70"/>
  <c r="A344" i="70"/>
  <c r="B344" i="70"/>
  <c r="A345" i="70"/>
  <c r="B345" i="70"/>
  <c r="A346" i="70"/>
  <c r="B346" i="70"/>
  <c r="A347" i="70"/>
  <c r="B347" i="70"/>
  <c r="A348" i="70"/>
  <c r="B348" i="70"/>
  <c r="A349" i="70"/>
  <c r="B349" i="70"/>
  <c r="A350" i="70"/>
  <c r="B350" i="70"/>
  <c r="A351" i="70"/>
  <c r="B351" i="70"/>
  <c r="A352" i="70"/>
  <c r="B352" i="70"/>
  <c r="A353" i="70"/>
  <c r="B353" i="70"/>
  <c r="A354" i="70"/>
  <c r="B354" i="70"/>
  <c r="A355" i="70"/>
  <c r="B355" i="70"/>
  <c r="A356" i="70"/>
  <c r="B356" i="70"/>
  <c r="A357" i="70"/>
  <c r="B357" i="70"/>
  <c r="A358" i="70"/>
  <c r="B358" i="70"/>
  <c r="A359" i="70"/>
  <c r="B359" i="70"/>
  <c r="A360" i="70"/>
  <c r="B360" i="70"/>
  <c r="A361" i="70"/>
  <c r="B361" i="70"/>
  <c r="A362" i="70"/>
  <c r="B362" i="70"/>
  <c r="A228" i="70"/>
  <c r="B228" i="70"/>
  <c r="A229" i="70"/>
  <c r="B229" i="70"/>
  <c r="A230" i="70"/>
  <c r="B230" i="70"/>
  <c r="A231" i="70"/>
  <c r="B231" i="70"/>
  <c r="A232" i="70"/>
  <c r="B232" i="70"/>
  <c r="A233" i="70"/>
  <c r="B233" i="70"/>
  <c r="A234" i="70"/>
  <c r="B234" i="70"/>
  <c r="A235" i="70"/>
  <c r="B235" i="70"/>
  <c r="A236" i="70"/>
  <c r="B236" i="70"/>
  <c r="A237" i="70"/>
  <c r="B237" i="70"/>
  <c r="A238" i="70"/>
  <c r="B238" i="70"/>
  <c r="A239" i="70"/>
  <c r="B239" i="70"/>
  <c r="A240" i="70"/>
  <c r="B240" i="70"/>
  <c r="A241" i="70"/>
  <c r="B241" i="70"/>
  <c r="A242" i="70"/>
  <c r="B242" i="70"/>
  <c r="A243" i="70"/>
  <c r="B243" i="70"/>
  <c r="A244" i="70"/>
  <c r="B244" i="70"/>
  <c r="A245" i="70"/>
  <c r="B245" i="70"/>
  <c r="A246" i="70"/>
  <c r="B246" i="70"/>
  <c r="A247" i="70"/>
  <c r="B247" i="70"/>
  <c r="A208" i="70"/>
  <c r="B208" i="70"/>
  <c r="A209" i="70"/>
  <c r="B209" i="70"/>
  <c r="A210" i="70"/>
  <c r="B210" i="70"/>
  <c r="A211" i="70"/>
  <c r="B211" i="70"/>
  <c r="A212" i="70"/>
  <c r="B212" i="70"/>
  <c r="A213" i="70"/>
  <c r="B213" i="70"/>
  <c r="A214" i="70"/>
  <c r="B214" i="70"/>
  <c r="A215" i="70"/>
  <c r="B215" i="70"/>
  <c r="A216" i="70"/>
  <c r="B216" i="70"/>
  <c r="A217" i="70"/>
  <c r="B217" i="70"/>
  <c r="A218" i="70"/>
  <c r="B218" i="70"/>
  <c r="A219" i="70"/>
  <c r="B219" i="70"/>
  <c r="A220" i="70"/>
  <c r="B220" i="70"/>
  <c r="A221" i="70"/>
  <c r="B221" i="70"/>
  <c r="A222" i="70"/>
  <c r="B222" i="70"/>
  <c r="A223" i="70"/>
  <c r="B223" i="70"/>
  <c r="A224" i="70"/>
  <c r="B224" i="70"/>
  <c r="A225" i="70"/>
  <c r="B225" i="70"/>
  <c r="A226" i="70"/>
  <c r="B226" i="70"/>
  <c r="A227" i="70"/>
  <c r="B227" i="70"/>
  <c r="A184" i="70"/>
  <c r="B184" i="70"/>
  <c r="A185" i="70"/>
  <c r="B185" i="70"/>
  <c r="A186" i="70"/>
  <c r="B186" i="70"/>
  <c r="A187" i="70"/>
  <c r="B187" i="70"/>
  <c r="A188" i="70"/>
  <c r="B188" i="70"/>
  <c r="A189" i="70"/>
  <c r="B189" i="70"/>
  <c r="A190" i="70"/>
  <c r="B190" i="70"/>
  <c r="A191" i="70"/>
  <c r="B191" i="70"/>
  <c r="A192" i="70"/>
  <c r="B192" i="70"/>
  <c r="A193" i="70"/>
  <c r="B193" i="70"/>
  <c r="A194" i="70"/>
  <c r="B194" i="70"/>
  <c r="A195" i="70"/>
  <c r="B195" i="70"/>
  <c r="A196" i="70"/>
  <c r="B196" i="70"/>
  <c r="A197" i="70"/>
  <c r="B197" i="70"/>
  <c r="A198" i="70"/>
  <c r="B198" i="70"/>
  <c r="A199" i="70"/>
  <c r="B199" i="70"/>
  <c r="A200" i="70"/>
  <c r="B200" i="70"/>
  <c r="A201" i="70"/>
  <c r="B201" i="70"/>
  <c r="A202" i="70"/>
  <c r="B202" i="70"/>
  <c r="A203" i="70"/>
  <c r="B203" i="70"/>
  <c r="A204" i="70"/>
  <c r="B204" i="70"/>
  <c r="A205" i="70"/>
  <c r="B205" i="70"/>
  <c r="A206" i="70"/>
  <c r="B206" i="70"/>
  <c r="A207" i="70"/>
  <c r="B207" i="70"/>
  <c r="A8" i="70"/>
  <c r="B8" i="70"/>
  <c r="A9" i="70"/>
  <c r="B9" i="70"/>
  <c r="A10" i="70"/>
  <c r="B10" i="70"/>
  <c r="A11" i="70"/>
  <c r="B11" i="70"/>
  <c r="A12" i="70"/>
  <c r="B12" i="70"/>
  <c r="A13" i="70"/>
  <c r="B13" i="70"/>
  <c r="A14" i="70"/>
  <c r="B14" i="70"/>
  <c r="A15" i="70"/>
  <c r="B15" i="70"/>
  <c r="A16" i="70"/>
  <c r="B16" i="70"/>
  <c r="A17" i="70"/>
  <c r="B17" i="70"/>
  <c r="A18" i="70"/>
  <c r="B18" i="70"/>
  <c r="A19" i="70"/>
  <c r="B19" i="70"/>
  <c r="A20" i="70"/>
  <c r="B20" i="70"/>
  <c r="A21" i="70"/>
  <c r="B21" i="70"/>
  <c r="A22" i="70"/>
  <c r="B22" i="70"/>
  <c r="A23" i="70"/>
  <c r="B23" i="70"/>
  <c r="A24" i="70"/>
  <c r="B24" i="70"/>
  <c r="A25" i="70"/>
  <c r="B25" i="70"/>
  <c r="A26" i="70"/>
  <c r="B26" i="70"/>
  <c r="A27" i="70"/>
  <c r="B27" i="70"/>
  <c r="A28" i="70"/>
  <c r="B28" i="70"/>
  <c r="A29" i="70"/>
  <c r="B29" i="70"/>
  <c r="A30" i="70"/>
  <c r="B30" i="70"/>
  <c r="A31" i="70"/>
  <c r="B31" i="70"/>
  <c r="A32" i="70"/>
  <c r="B32" i="70"/>
  <c r="A33" i="70"/>
  <c r="B33" i="70"/>
  <c r="A34" i="70"/>
  <c r="B34" i="70"/>
  <c r="A35" i="70"/>
  <c r="B35" i="70"/>
  <c r="A36" i="70"/>
  <c r="B36" i="70"/>
  <c r="A37" i="70"/>
  <c r="B37" i="70"/>
  <c r="A38" i="70"/>
  <c r="B38" i="70"/>
  <c r="A39" i="70"/>
  <c r="B39" i="70"/>
  <c r="A40" i="70"/>
  <c r="B40" i="70"/>
  <c r="A41" i="70"/>
  <c r="B41" i="70"/>
  <c r="A42" i="70"/>
  <c r="B42" i="70"/>
  <c r="A43" i="70"/>
  <c r="B43" i="70"/>
  <c r="A44" i="70"/>
  <c r="B44" i="70"/>
  <c r="A45" i="70"/>
  <c r="B45" i="70"/>
  <c r="A46" i="70"/>
  <c r="B46" i="70"/>
  <c r="A47" i="70"/>
  <c r="B47" i="70"/>
  <c r="A48" i="70"/>
  <c r="B48" i="70"/>
  <c r="A49" i="70"/>
  <c r="B49" i="70"/>
  <c r="A50" i="70"/>
  <c r="B50" i="70"/>
  <c r="A51" i="70"/>
  <c r="B51" i="70"/>
  <c r="A52" i="70"/>
  <c r="B52" i="70"/>
  <c r="A53" i="70"/>
  <c r="B53" i="70"/>
  <c r="A54" i="70"/>
  <c r="B54" i="70"/>
  <c r="A55" i="70"/>
  <c r="B55" i="70"/>
  <c r="A56" i="70"/>
  <c r="B56" i="70"/>
  <c r="A57" i="70"/>
  <c r="B57" i="70"/>
  <c r="A58" i="70"/>
  <c r="B58" i="70"/>
  <c r="A59" i="70"/>
  <c r="B59" i="70"/>
  <c r="A60" i="70"/>
  <c r="B60" i="70"/>
  <c r="A61" i="70"/>
  <c r="B61" i="70"/>
  <c r="A62" i="70"/>
  <c r="B62" i="70"/>
  <c r="A63" i="70"/>
  <c r="B63" i="70"/>
  <c r="A64" i="70"/>
  <c r="B64" i="70"/>
  <c r="A65" i="70"/>
  <c r="B65" i="70"/>
  <c r="A66" i="70"/>
  <c r="B66" i="70"/>
  <c r="A67" i="70"/>
  <c r="B67" i="70"/>
  <c r="A68" i="70"/>
  <c r="B68" i="70"/>
  <c r="A69" i="70"/>
  <c r="B69" i="70"/>
  <c r="A70" i="70"/>
  <c r="B70" i="70"/>
  <c r="A71" i="70"/>
  <c r="B71" i="70"/>
  <c r="A72" i="70"/>
  <c r="B72" i="70"/>
  <c r="A73" i="70"/>
  <c r="B73" i="70"/>
  <c r="A74" i="70"/>
  <c r="B74" i="70"/>
  <c r="A75" i="70"/>
  <c r="B75" i="70"/>
  <c r="A76" i="70"/>
  <c r="B76" i="70"/>
  <c r="A77" i="70"/>
  <c r="B77" i="70"/>
  <c r="A78" i="70"/>
  <c r="B78" i="70"/>
  <c r="A79" i="70"/>
  <c r="B79" i="70"/>
  <c r="A80" i="70"/>
  <c r="B80" i="70"/>
  <c r="A81" i="70"/>
  <c r="B81" i="70"/>
  <c r="A82" i="70"/>
  <c r="B82" i="70"/>
  <c r="A83" i="70"/>
  <c r="B83" i="70"/>
  <c r="A84" i="70"/>
  <c r="B84" i="70"/>
  <c r="A85" i="70"/>
  <c r="B85" i="70"/>
  <c r="A86" i="70"/>
  <c r="B86" i="70"/>
  <c r="A87" i="70"/>
  <c r="B87" i="70"/>
  <c r="A88" i="70"/>
  <c r="B88" i="70"/>
  <c r="A89" i="70"/>
  <c r="B89" i="70"/>
  <c r="A90" i="70"/>
  <c r="B90" i="70"/>
  <c r="A91" i="70"/>
  <c r="B91" i="70"/>
  <c r="A92" i="70"/>
  <c r="B92" i="70"/>
  <c r="A93" i="70"/>
  <c r="B93" i="70"/>
  <c r="A94" i="70"/>
  <c r="B94" i="70"/>
  <c r="A95" i="70"/>
  <c r="B95" i="70"/>
  <c r="A96" i="70"/>
  <c r="B96" i="70"/>
  <c r="A97" i="70"/>
  <c r="B97" i="70"/>
  <c r="A98" i="70"/>
  <c r="B98" i="70"/>
  <c r="A99" i="70"/>
  <c r="B99" i="70"/>
  <c r="A100" i="70"/>
  <c r="B100" i="70"/>
  <c r="A101" i="70"/>
  <c r="B101" i="70"/>
  <c r="A102" i="70"/>
  <c r="B102" i="70"/>
  <c r="A103" i="70"/>
  <c r="B103" i="70"/>
  <c r="A104" i="70"/>
  <c r="B104" i="70"/>
  <c r="A105" i="70"/>
  <c r="B105" i="70"/>
  <c r="A106" i="70"/>
  <c r="B106" i="70"/>
  <c r="A107" i="70"/>
  <c r="B107" i="70"/>
  <c r="A108" i="70"/>
  <c r="B108" i="70"/>
  <c r="A109" i="70"/>
  <c r="B109" i="70"/>
  <c r="A110" i="70"/>
  <c r="B110" i="70"/>
  <c r="A111" i="70"/>
  <c r="B111" i="70"/>
  <c r="A112" i="70"/>
  <c r="B112" i="70"/>
  <c r="A113" i="70"/>
  <c r="B113" i="70"/>
  <c r="A114" i="70"/>
  <c r="B114" i="70"/>
  <c r="A115" i="70"/>
  <c r="B115" i="70"/>
  <c r="A116" i="70"/>
  <c r="B116" i="70"/>
  <c r="A117" i="70"/>
  <c r="B117" i="70"/>
  <c r="A118" i="70"/>
  <c r="B118" i="70"/>
  <c r="A119" i="70"/>
  <c r="B119" i="70"/>
  <c r="A120" i="70"/>
  <c r="B120" i="70"/>
  <c r="A121" i="70"/>
  <c r="B121" i="70"/>
  <c r="A122" i="70"/>
  <c r="B122" i="70"/>
  <c r="A123" i="70"/>
  <c r="B123" i="70"/>
  <c r="A124" i="70"/>
  <c r="B124" i="70"/>
  <c r="A125" i="70"/>
  <c r="B125" i="70"/>
  <c r="A126" i="70"/>
  <c r="B126" i="70"/>
  <c r="A127" i="70"/>
  <c r="B127" i="70"/>
  <c r="A128" i="70"/>
  <c r="B128" i="70"/>
  <c r="A129" i="70"/>
  <c r="B129" i="70"/>
  <c r="A130" i="70"/>
  <c r="B130" i="70"/>
  <c r="A131" i="70"/>
  <c r="B131" i="70"/>
  <c r="A132" i="70"/>
  <c r="B132" i="70"/>
  <c r="A133" i="70"/>
  <c r="B133" i="70"/>
  <c r="A134" i="70"/>
  <c r="B134" i="70"/>
  <c r="A135" i="70"/>
  <c r="B135" i="70"/>
  <c r="A136" i="70"/>
  <c r="B136" i="70"/>
  <c r="A137" i="70"/>
  <c r="B137" i="70"/>
  <c r="A138" i="70"/>
  <c r="B138" i="70"/>
  <c r="A139" i="70"/>
  <c r="B139" i="70"/>
  <c r="A140" i="70"/>
  <c r="B140" i="70"/>
  <c r="A141" i="70"/>
  <c r="B141" i="70"/>
  <c r="A142" i="70"/>
  <c r="B142" i="70"/>
  <c r="A143" i="70"/>
  <c r="B143" i="70"/>
  <c r="A144" i="70"/>
  <c r="B144" i="70"/>
  <c r="A145" i="70"/>
  <c r="B145" i="70"/>
  <c r="A146" i="70"/>
  <c r="B146" i="70"/>
  <c r="A147" i="70"/>
  <c r="B147" i="70"/>
  <c r="A148" i="70"/>
  <c r="B148" i="70"/>
  <c r="A149" i="70"/>
  <c r="B149" i="70"/>
  <c r="A150" i="70"/>
  <c r="B150" i="70"/>
  <c r="A151" i="70"/>
  <c r="B151" i="70"/>
  <c r="A152" i="70"/>
  <c r="B152" i="70"/>
  <c r="A153" i="70"/>
  <c r="B153" i="70"/>
  <c r="A154" i="70"/>
  <c r="B154" i="70"/>
  <c r="A155" i="70"/>
  <c r="B155" i="70"/>
  <c r="A156" i="70"/>
  <c r="B156" i="70"/>
  <c r="A157" i="70"/>
  <c r="B157" i="70"/>
  <c r="A158" i="70"/>
  <c r="B158" i="70"/>
  <c r="A159" i="70"/>
  <c r="B159" i="70"/>
  <c r="A160" i="70"/>
  <c r="B160" i="70"/>
  <c r="A161" i="70"/>
  <c r="B161" i="70"/>
  <c r="A162" i="70"/>
  <c r="B162" i="70"/>
  <c r="A163" i="70"/>
  <c r="B163" i="70"/>
  <c r="A164" i="70"/>
  <c r="B164" i="70"/>
  <c r="A165" i="70"/>
  <c r="B165" i="70"/>
  <c r="A166" i="70"/>
  <c r="B166" i="70"/>
  <c r="A167" i="70"/>
  <c r="B167" i="70"/>
  <c r="A168" i="70"/>
  <c r="B168" i="70"/>
  <c r="A169" i="70"/>
  <c r="B169" i="70"/>
  <c r="A170" i="70"/>
  <c r="B170" i="70"/>
  <c r="A171" i="70"/>
  <c r="B171" i="70"/>
  <c r="A172" i="70"/>
  <c r="B172" i="70"/>
  <c r="A173" i="70"/>
  <c r="B173" i="70"/>
  <c r="A174" i="70"/>
  <c r="B174" i="70"/>
  <c r="A175" i="70"/>
  <c r="B175" i="70"/>
  <c r="A176" i="70"/>
  <c r="B176" i="70"/>
  <c r="A177" i="70"/>
  <c r="B177" i="70"/>
  <c r="A178" i="70"/>
  <c r="B178" i="70"/>
  <c r="A179" i="70"/>
  <c r="B179" i="70"/>
  <c r="A180" i="70"/>
  <c r="B180" i="70"/>
  <c r="A181" i="70"/>
  <c r="B181" i="70"/>
  <c r="A182" i="70"/>
  <c r="B182" i="70"/>
  <c r="A183" i="70"/>
  <c r="B183" i="70"/>
  <c r="B7" i="70"/>
  <c r="A7" i="70"/>
  <c r="G138" i="11" l="1"/>
  <c r="H138" i="11"/>
  <c r="L138" i="11"/>
  <c r="M138" i="11"/>
  <c r="O138" i="11" s="1"/>
  <c r="J245" i="20"/>
  <c r="B245" i="20"/>
  <c r="F245" i="20" s="1"/>
  <c r="H244" i="20"/>
  <c r="D244" i="20"/>
  <c r="H243" i="20"/>
  <c r="D243" i="20"/>
  <c r="H242" i="20"/>
  <c r="D242" i="20"/>
  <c r="H241" i="20"/>
  <c r="D241" i="20"/>
  <c r="H240" i="20"/>
  <c r="D240" i="20"/>
  <c r="H239" i="20"/>
  <c r="D239" i="20"/>
  <c r="H238" i="20"/>
  <c r="D238" i="20"/>
  <c r="H237" i="20"/>
  <c r="D237" i="20"/>
  <c r="H236" i="20"/>
  <c r="D236" i="20"/>
  <c r="H235" i="20"/>
  <c r="D235" i="20"/>
  <c r="H234" i="20"/>
  <c r="D234" i="20"/>
  <c r="H233" i="20"/>
  <c r="D233" i="20"/>
  <c r="H232" i="20"/>
  <c r="D232" i="20"/>
  <c r="H231" i="20"/>
  <c r="D231" i="20"/>
  <c r="J227" i="20"/>
  <c r="F227" i="20"/>
  <c r="B227" i="20"/>
  <c r="H226" i="20"/>
  <c r="D226" i="20"/>
  <c r="H225" i="20"/>
  <c r="D225" i="20"/>
  <c r="H224" i="20"/>
  <c r="D224" i="20"/>
  <c r="H223" i="20"/>
  <c r="D223" i="20"/>
  <c r="H222" i="20"/>
  <c r="D222" i="20"/>
  <c r="H221" i="20"/>
  <c r="D221" i="20"/>
  <c r="H220" i="20"/>
  <c r="D220" i="20"/>
  <c r="H219" i="20"/>
  <c r="D219" i="20"/>
  <c r="H218" i="20"/>
  <c r="D218" i="20"/>
  <c r="H217" i="20"/>
  <c r="D217" i="20"/>
  <c r="H216" i="20"/>
  <c r="D216" i="20"/>
  <c r="H215" i="20"/>
  <c r="D215" i="20"/>
  <c r="H214" i="20"/>
  <c r="D214" i="20"/>
  <c r="H213" i="20"/>
  <c r="D213" i="20"/>
  <c r="J209" i="20"/>
  <c r="B209" i="20"/>
  <c r="F209" i="20" s="1"/>
  <c r="H208" i="20"/>
  <c r="D208" i="20"/>
  <c r="H207" i="20"/>
  <c r="D207" i="20"/>
  <c r="H206" i="20"/>
  <c r="D206" i="20"/>
  <c r="H205" i="20"/>
  <c r="D205" i="20"/>
  <c r="H204" i="20"/>
  <c r="D204" i="20"/>
  <c r="H203" i="20"/>
  <c r="D203" i="20"/>
  <c r="H202" i="20"/>
  <c r="D202" i="20"/>
  <c r="H201" i="20"/>
  <c r="D201" i="20"/>
  <c r="H200" i="20"/>
  <c r="D200" i="20"/>
  <c r="H199" i="20"/>
  <c r="D199" i="20"/>
  <c r="H198" i="20"/>
  <c r="D198" i="20"/>
  <c r="H197" i="20"/>
  <c r="D197" i="20"/>
  <c r="H196" i="20"/>
  <c r="D196" i="20"/>
  <c r="H195" i="20"/>
  <c r="D195" i="20"/>
  <c r="J191" i="20"/>
  <c r="B191" i="20"/>
  <c r="F191" i="20" s="1"/>
  <c r="H190" i="20"/>
  <c r="D190" i="20"/>
  <c r="H189" i="20"/>
  <c r="D189" i="20"/>
  <c r="H188" i="20"/>
  <c r="D188" i="20"/>
  <c r="H187" i="20"/>
  <c r="D187" i="20"/>
  <c r="H186" i="20"/>
  <c r="D186" i="20"/>
  <c r="H185" i="20"/>
  <c r="D185" i="20"/>
  <c r="H184" i="20"/>
  <c r="D184" i="20"/>
  <c r="H183" i="20"/>
  <c r="D183" i="20"/>
  <c r="H182" i="20"/>
  <c r="D182" i="20"/>
  <c r="H181" i="20"/>
  <c r="D181" i="20"/>
  <c r="H180" i="20"/>
  <c r="D180" i="20"/>
  <c r="H179" i="20"/>
  <c r="D179" i="20"/>
  <c r="H178" i="20"/>
  <c r="D178" i="20"/>
  <c r="H177" i="20"/>
  <c r="D177" i="20"/>
  <c r="J171" i="20"/>
  <c r="B171" i="20"/>
  <c r="F171" i="20" s="1"/>
  <c r="H170" i="20"/>
  <c r="D170" i="20"/>
  <c r="H169" i="20"/>
  <c r="D169" i="20"/>
  <c r="H168" i="20"/>
  <c r="D168" i="20"/>
  <c r="H167" i="20"/>
  <c r="D167" i="20"/>
  <c r="H166" i="20"/>
  <c r="D166" i="20"/>
  <c r="H165" i="20"/>
  <c r="D165" i="20"/>
  <c r="H164" i="20"/>
  <c r="D164" i="20"/>
  <c r="H163" i="20"/>
  <c r="D163" i="20"/>
  <c r="H162" i="20"/>
  <c r="D162" i="20"/>
  <c r="H161" i="20"/>
  <c r="D161" i="20"/>
  <c r="H160" i="20"/>
  <c r="D160" i="20"/>
  <c r="H159" i="20"/>
  <c r="D159" i="20"/>
  <c r="H158" i="20"/>
  <c r="D158" i="20"/>
  <c r="H157" i="20"/>
  <c r="D157" i="20"/>
  <c r="J153" i="20"/>
  <c r="B153" i="20"/>
  <c r="F153" i="20" s="1"/>
  <c r="H152" i="20"/>
  <c r="D152" i="20"/>
  <c r="H151" i="20"/>
  <c r="D151" i="20"/>
  <c r="H150" i="20"/>
  <c r="D150" i="20"/>
  <c r="H149" i="20"/>
  <c r="D149" i="20"/>
  <c r="H148" i="20"/>
  <c r="D148" i="20"/>
  <c r="H147" i="20"/>
  <c r="D147" i="20"/>
  <c r="H146" i="20"/>
  <c r="D146" i="20"/>
  <c r="H145" i="20"/>
  <c r="D145" i="20"/>
  <c r="H144" i="20"/>
  <c r="D144" i="20"/>
  <c r="H143" i="20"/>
  <c r="D143" i="20"/>
  <c r="H142" i="20"/>
  <c r="D142" i="20"/>
  <c r="H141" i="20"/>
  <c r="D141" i="20"/>
  <c r="H140" i="20"/>
  <c r="D140" i="20"/>
  <c r="H139" i="20"/>
  <c r="D139" i="20"/>
  <c r="J135" i="20"/>
  <c r="B135" i="20"/>
  <c r="F135" i="20" s="1"/>
  <c r="H134" i="20"/>
  <c r="D134" i="20"/>
  <c r="H133" i="20"/>
  <c r="D133" i="20"/>
  <c r="H132" i="20"/>
  <c r="D132" i="20"/>
  <c r="H131" i="20"/>
  <c r="D131" i="20"/>
  <c r="H130" i="20"/>
  <c r="D130" i="20"/>
  <c r="H129" i="20"/>
  <c r="D129" i="20"/>
  <c r="H128" i="20"/>
  <c r="D128" i="20"/>
  <c r="H127" i="20"/>
  <c r="D127" i="20"/>
  <c r="H126" i="20"/>
  <c r="D126" i="20"/>
  <c r="H125" i="20"/>
  <c r="D125" i="20"/>
  <c r="H124" i="20"/>
  <c r="D124" i="20"/>
  <c r="H123" i="20"/>
  <c r="D123" i="20"/>
  <c r="H122" i="20"/>
  <c r="D122" i="20"/>
  <c r="H121" i="20"/>
  <c r="D121" i="20"/>
  <c r="J117" i="20"/>
  <c r="B117" i="20"/>
  <c r="F117" i="20" s="1"/>
  <c r="H116" i="20"/>
  <c r="D116" i="20"/>
  <c r="H115" i="20"/>
  <c r="D115" i="20"/>
  <c r="H114" i="20"/>
  <c r="D114" i="20"/>
  <c r="H113" i="20"/>
  <c r="D113" i="20"/>
  <c r="H112" i="20"/>
  <c r="D112" i="20"/>
  <c r="H111" i="20"/>
  <c r="D111" i="20"/>
  <c r="H110" i="20"/>
  <c r="D110" i="20"/>
  <c r="H109" i="20"/>
  <c r="D109" i="20"/>
  <c r="H108" i="20"/>
  <c r="D108" i="20"/>
  <c r="H107" i="20"/>
  <c r="D107" i="20"/>
  <c r="H106" i="20"/>
  <c r="D106" i="20"/>
  <c r="H105" i="20"/>
  <c r="D105" i="20"/>
  <c r="H104" i="20"/>
  <c r="D104" i="20"/>
  <c r="H103" i="20"/>
  <c r="D103" i="20"/>
  <c r="J99" i="20"/>
  <c r="B99" i="20"/>
  <c r="H98" i="20"/>
  <c r="D98" i="20"/>
  <c r="H97" i="20"/>
  <c r="D97" i="20"/>
  <c r="H96" i="20"/>
  <c r="D96" i="20"/>
  <c r="H95" i="20"/>
  <c r="D95" i="20"/>
  <c r="H94" i="20"/>
  <c r="D94" i="20"/>
  <c r="H93" i="20"/>
  <c r="D93" i="20"/>
  <c r="H92" i="20"/>
  <c r="D92" i="20"/>
  <c r="H91" i="20"/>
  <c r="D91" i="20"/>
  <c r="H90" i="20"/>
  <c r="D90" i="20"/>
  <c r="H89" i="20"/>
  <c r="D89" i="20"/>
  <c r="H88" i="20"/>
  <c r="D88" i="20"/>
  <c r="H87" i="20"/>
  <c r="D87" i="20"/>
  <c r="H86" i="20"/>
  <c r="D86" i="20"/>
  <c r="H85" i="20"/>
  <c r="D85" i="20"/>
  <c r="J81" i="20"/>
  <c r="B81" i="20"/>
  <c r="H80" i="20"/>
  <c r="D80" i="20"/>
  <c r="H79" i="20"/>
  <c r="D79" i="20"/>
  <c r="H78" i="20"/>
  <c r="D78" i="20"/>
  <c r="H77" i="20"/>
  <c r="D77" i="20"/>
  <c r="H76" i="20"/>
  <c r="D76" i="20"/>
  <c r="H75" i="20"/>
  <c r="D75" i="20"/>
  <c r="H74" i="20"/>
  <c r="D74" i="20"/>
  <c r="H73" i="20"/>
  <c r="D73" i="20"/>
  <c r="H72" i="20"/>
  <c r="D72" i="20"/>
  <c r="H71" i="20"/>
  <c r="D71" i="20"/>
  <c r="J63" i="20"/>
  <c r="B63" i="20"/>
  <c r="F63" i="20" s="1"/>
  <c r="H62" i="20"/>
  <c r="D62" i="20"/>
  <c r="H61" i="20"/>
  <c r="D61" i="20"/>
  <c r="H60" i="20"/>
  <c r="D60" i="20"/>
  <c r="H59" i="20"/>
  <c r="D59" i="20"/>
  <c r="H58" i="20"/>
  <c r="D58" i="20"/>
  <c r="H57" i="20"/>
  <c r="D57" i="20"/>
  <c r="H56" i="20"/>
  <c r="D56" i="20"/>
  <c r="H55" i="20"/>
  <c r="D55" i="20"/>
  <c r="H54" i="20"/>
  <c r="D54" i="20"/>
  <c r="H53" i="20"/>
  <c r="D53" i="20"/>
  <c r="H52" i="20"/>
  <c r="D52" i="20"/>
  <c r="H51" i="20"/>
  <c r="D51" i="20"/>
  <c r="H50" i="20"/>
  <c r="D50" i="20"/>
  <c r="H49" i="20"/>
  <c r="D49" i="20"/>
  <c r="J45" i="20"/>
  <c r="B45" i="20"/>
  <c r="H44" i="20"/>
  <c r="D44" i="20"/>
  <c r="H43" i="20"/>
  <c r="D43" i="20"/>
  <c r="H42" i="20"/>
  <c r="D42" i="20"/>
  <c r="H41" i="20"/>
  <c r="D41" i="20"/>
  <c r="H40" i="20"/>
  <c r="D40" i="20"/>
  <c r="H39" i="20"/>
  <c r="D39" i="20"/>
  <c r="H38" i="20"/>
  <c r="D38" i="20"/>
  <c r="H37" i="20"/>
  <c r="D37" i="20"/>
  <c r="H36" i="20"/>
  <c r="D36" i="20"/>
  <c r="H35" i="20"/>
  <c r="D35" i="20"/>
  <c r="H34" i="20"/>
  <c r="D34" i="20"/>
  <c r="H33" i="20"/>
  <c r="D33" i="20"/>
  <c r="H32" i="20"/>
  <c r="D32" i="20"/>
  <c r="H31" i="20"/>
  <c r="D31" i="20"/>
  <c r="F99" i="20" l="1"/>
  <c r="F81" i="20"/>
  <c r="F45" i="20"/>
  <c r="B1" i="70"/>
  <c r="C4" i="72"/>
  <c r="E6" i="71"/>
  <c r="F13" i="57"/>
  <c r="D29" i="57"/>
  <c r="E7" i="69"/>
  <c r="C7" i="69"/>
  <c r="C5" i="69"/>
  <c r="AD53" i="32"/>
  <c r="E46" i="45"/>
  <c r="E71" i="40" l="1"/>
  <c r="E52" i="40"/>
  <c r="E7" i="68"/>
  <c r="C7" i="68"/>
  <c r="C5" i="68"/>
  <c r="H38" i="60"/>
  <c r="H40" i="60" s="1"/>
  <c r="I38" i="60"/>
  <c r="G38" i="60"/>
  <c r="G40" i="60" s="1"/>
  <c r="F38" i="60"/>
  <c r="H42" i="45"/>
  <c r="I40" i="60" l="1"/>
  <c r="I49" i="60"/>
  <c r="F43" i="46"/>
  <c r="E43" i="46"/>
  <c r="N404" i="20" l="1"/>
  <c r="M404" i="20"/>
  <c r="N322" i="20"/>
  <c r="N321" i="20"/>
  <c r="N320" i="20"/>
  <c r="N319" i="20"/>
  <c r="M322" i="20"/>
  <c r="M321" i="20"/>
  <c r="M320" i="20"/>
  <c r="M319" i="20"/>
  <c r="M399" i="20" l="1"/>
  <c r="N399" i="20"/>
  <c r="M397" i="20"/>
  <c r="N397" i="20"/>
  <c r="M398" i="20"/>
  <c r="N398" i="20"/>
  <c r="M383" i="20"/>
  <c r="N383" i="20"/>
  <c r="M384" i="20"/>
  <c r="N384" i="20"/>
  <c r="M381" i="20"/>
  <c r="N381" i="20"/>
  <c r="M382" i="20"/>
  <c r="N382" i="20"/>
  <c r="M378" i="20"/>
  <c r="N378" i="20"/>
  <c r="M379" i="20"/>
  <c r="N379" i="20"/>
  <c r="M371" i="20"/>
  <c r="N371" i="20"/>
  <c r="M372" i="20"/>
  <c r="N372" i="20"/>
  <c r="M373" i="20"/>
  <c r="N373" i="20"/>
  <c r="M374" i="20"/>
  <c r="N374" i="20"/>
  <c r="M375" i="20"/>
  <c r="N375" i="20"/>
  <c r="M376" i="20"/>
  <c r="N376" i="20"/>
  <c r="M367" i="20"/>
  <c r="N367" i="20"/>
  <c r="M368" i="20"/>
  <c r="N368" i="20"/>
  <c r="M369" i="20"/>
  <c r="N369" i="20"/>
  <c r="M354" i="20"/>
  <c r="N354" i="20"/>
  <c r="M355" i="20"/>
  <c r="N355" i="20"/>
  <c r="M352" i="20"/>
  <c r="N352" i="20"/>
  <c r="M333" i="20"/>
  <c r="N333" i="20"/>
  <c r="M334" i="20"/>
  <c r="N334" i="20"/>
  <c r="M330" i="20"/>
  <c r="N330" i="20"/>
  <c r="M331" i="20"/>
  <c r="N331" i="20"/>
  <c r="N327" i="20"/>
  <c r="N328" i="20"/>
  <c r="M327" i="20"/>
  <c r="M328" i="20"/>
  <c r="E34" i="46" l="1"/>
  <c r="F34" i="46"/>
  <c r="E42" i="46" l="1"/>
  <c r="F42" i="46"/>
  <c r="E35" i="46"/>
  <c r="F35" i="46"/>
  <c r="E36" i="46"/>
  <c r="F36" i="46"/>
  <c r="E37" i="46"/>
  <c r="F37" i="46"/>
  <c r="E38" i="46"/>
  <c r="F38" i="46"/>
  <c r="E39" i="46"/>
  <c r="F39" i="46"/>
  <c r="E40" i="46"/>
  <c r="F40" i="46"/>
  <c r="E41" i="46"/>
  <c r="F41" i="46"/>
  <c r="E29" i="46"/>
  <c r="F29" i="46"/>
  <c r="E30" i="46"/>
  <c r="F30" i="46"/>
  <c r="E31" i="46"/>
  <c r="F31" i="46"/>
  <c r="E32" i="46"/>
  <c r="F32" i="46"/>
  <c r="E33" i="46"/>
  <c r="F33" i="46"/>
  <c r="E27" i="46"/>
  <c r="F27" i="46"/>
  <c r="E28" i="46"/>
  <c r="F28" i="46"/>
  <c r="H41" i="38" l="1"/>
  <c r="H42" i="38"/>
  <c r="H43" i="38"/>
  <c r="H44" i="38"/>
  <c r="H45" i="38"/>
  <c r="H46" i="38"/>
  <c r="G46" i="38"/>
  <c r="G45" i="38"/>
  <c r="G44" i="38"/>
  <c r="G43" i="38"/>
  <c r="G42" i="38"/>
  <c r="G41" i="38"/>
  <c r="H34" i="38"/>
  <c r="H35" i="38"/>
  <c r="H36" i="38"/>
  <c r="H37" i="38"/>
  <c r="H38" i="38"/>
  <c r="H39" i="38"/>
  <c r="G39" i="38"/>
  <c r="G38" i="38"/>
  <c r="G37" i="38"/>
  <c r="G36" i="38"/>
  <c r="G35" i="38"/>
  <c r="G34" i="38"/>
  <c r="G40" i="38" s="1"/>
  <c r="H27" i="38"/>
  <c r="H28" i="38"/>
  <c r="H29" i="38"/>
  <c r="H30" i="38"/>
  <c r="H31" i="38"/>
  <c r="H32" i="38"/>
  <c r="G32" i="38"/>
  <c r="G31" i="38"/>
  <c r="G30" i="38"/>
  <c r="G29" i="38"/>
  <c r="G28" i="38"/>
  <c r="G27" i="38"/>
  <c r="G20" i="38"/>
  <c r="H20" i="38"/>
  <c r="G21" i="38"/>
  <c r="H21" i="38"/>
  <c r="H22" i="38"/>
  <c r="H23" i="38"/>
  <c r="H24" i="38"/>
  <c r="H25" i="38"/>
  <c r="G25" i="38"/>
  <c r="G24" i="38"/>
  <c r="G23" i="38"/>
  <c r="G33" i="38" l="1"/>
  <c r="G47" i="38"/>
  <c r="H40" i="38"/>
  <c r="H33" i="38"/>
  <c r="H47" i="38"/>
  <c r="N53" i="36"/>
  <c r="AD108" i="32"/>
  <c r="I57" i="37" l="1"/>
  <c r="F23" i="61" l="1"/>
  <c r="G23" i="61"/>
  <c r="H23" i="61"/>
  <c r="I23" i="61"/>
  <c r="E23" i="61"/>
  <c r="H42" i="60"/>
  <c r="H43" i="60" s="1"/>
  <c r="G42" i="60"/>
  <c r="G43" i="60" s="1"/>
  <c r="F42" i="60"/>
  <c r="F43" i="60" s="1"/>
  <c r="J29" i="60"/>
  <c r="J23" i="61" s="1"/>
  <c r="J28" i="60"/>
  <c r="I43" i="60" s="1"/>
  <c r="N325" i="20"/>
  <c r="N324" i="20"/>
  <c r="G15" i="11"/>
  <c r="H15" i="11"/>
  <c r="L15" i="11"/>
  <c r="M15" i="11" s="1"/>
  <c r="O15" i="11" s="1"/>
  <c r="G16" i="11"/>
  <c r="H16" i="11"/>
  <c r="L16" i="11"/>
  <c r="M16" i="11" s="1"/>
  <c r="O16" i="11" s="1"/>
  <c r="M27" i="36" l="1"/>
  <c r="N27" i="36"/>
  <c r="M26" i="36"/>
  <c r="N26" i="36"/>
  <c r="H45" i="28" l="1"/>
  <c r="D53" i="29" l="1"/>
  <c r="D57" i="29" s="1"/>
  <c r="E53" i="29"/>
  <c r="E57" i="29" s="1"/>
  <c r="E55" i="29" l="1"/>
  <c r="D55" i="29"/>
  <c r="C7" i="66"/>
  <c r="C5" i="66"/>
  <c r="F28" i="61"/>
  <c r="A388" i="27"/>
  <c r="C388" i="27"/>
  <c r="A389" i="27"/>
  <c r="C389" i="27"/>
  <c r="A390" i="27"/>
  <c r="C390" i="27"/>
  <c r="A391" i="27"/>
  <c r="C391" i="27"/>
  <c r="A392" i="27"/>
  <c r="C392" i="27"/>
  <c r="A393" i="27"/>
  <c r="C393" i="27"/>
  <c r="A394" i="27"/>
  <c r="C394" i="27"/>
  <c r="A395" i="27"/>
  <c r="C395" i="27"/>
  <c r="A396" i="27"/>
  <c r="C396" i="27"/>
  <c r="A397" i="27"/>
  <c r="C397" i="27"/>
  <c r="A398" i="27"/>
  <c r="C398" i="27"/>
  <c r="A399" i="27"/>
  <c r="C399" i="27"/>
  <c r="A400" i="27"/>
  <c r="C400" i="27"/>
  <c r="A401" i="27"/>
  <c r="C401" i="27"/>
  <c r="A402" i="27"/>
  <c r="C402" i="27"/>
  <c r="A403" i="27"/>
  <c r="C403" i="27"/>
  <c r="A404" i="27"/>
  <c r="C404" i="27"/>
  <c r="A405" i="27"/>
  <c r="C405" i="27"/>
  <c r="A406" i="27"/>
  <c r="C406" i="27"/>
  <c r="A407" i="27"/>
  <c r="C407" i="27"/>
  <c r="A408" i="27"/>
  <c r="C408" i="27"/>
  <c r="A382" i="27"/>
  <c r="A383" i="27"/>
  <c r="A384" i="27"/>
  <c r="A385" i="27"/>
  <c r="A386" i="27"/>
  <c r="A387" i="27"/>
  <c r="A6" i="27"/>
  <c r="E64" i="67" l="1"/>
  <c r="D7" i="67"/>
  <c r="E88" i="67"/>
  <c r="G64" i="67" s="1"/>
  <c r="G56" i="67"/>
  <c r="G52" i="67"/>
  <c r="F52" i="67"/>
  <c r="F56" i="67" s="1"/>
  <c r="E52" i="67"/>
  <c r="E56" i="67" s="1"/>
  <c r="D52" i="67"/>
  <c r="D56" i="67" s="1"/>
  <c r="G30" i="67"/>
  <c r="G34" i="67" s="1"/>
  <c r="F30" i="67"/>
  <c r="F34" i="67" s="1"/>
  <c r="E30" i="67"/>
  <c r="E34" i="67" s="1"/>
  <c r="D30" i="67"/>
  <c r="D34" i="67" s="1"/>
  <c r="N403" i="20"/>
  <c r="M403" i="20"/>
  <c r="N402" i="20"/>
  <c r="M402" i="20"/>
  <c r="N401" i="20"/>
  <c r="M401" i="20"/>
  <c r="N400" i="20"/>
  <c r="M400" i="20"/>
  <c r="N396" i="20"/>
  <c r="M396" i="20"/>
  <c r="N395" i="20"/>
  <c r="M395" i="20"/>
  <c r="N394" i="20"/>
  <c r="M394" i="20"/>
  <c r="N393" i="20"/>
  <c r="M393" i="20"/>
  <c r="N392" i="20"/>
  <c r="M392" i="20"/>
  <c r="N391" i="20"/>
  <c r="M391" i="20"/>
  <c r="N390" i="20"/>
  <c r="M390" i="20"/>
  <c r="N389" i="20"/>
  <c r="M389" i="20"/>
  <c r="N388" i="20"/>
  <c r="M388" i="20"/>
  <c r="N387" i="20"/>
  <c r="M387" i="20"/>
  <c r="N386" i="20"/>
  <c r="M386" i="20"/>
  <c r="N385" i="20"/>
  <c r="M385" i="20"/>
  <c r="N380" i="20"/>
  <c r="M380" i="20"/>
  <c r="N377" i="20"/>
  <c r="M377" i="20"/>
  <c r="N365" i="20"/>
  <c r="M365" i="20"/>
  <c r="N364" i="20"/>
  <c r="M364" i="20"/>
  <c r="N363" i="20"/>
  <c r="M363" i="20"/>
  <c r="N362" i="20"/>
  <c r="M362" i="20"/>
  <c r="N361" i="20"/>
  <c r="M361" i="20"/>
  <c r="N360" i="20"/>
  <c r="M360" i="20"/>
  <c r="N359" i="20"/>
  <c r="M359" i="20"/>
  <c r="N358" i="20"/>
  <c r="M358" i="20"/>
  <c r="N357" i="20"/>
  <c r="M357" i="20"/>
  <c r="N356" i="20"/>
  <c r="M356" i="20"/>
  <c r="N350" i="20"/>
  <c r="M350" i="20"/>
  <c r="N349" i="20"/>
  <c r="M349" i="20"/>
  <c r="N348" i="20"/>
  <c r="M348" i="20"/>
  <c r="N347" i="20"/>
  <c r="M347" i="20"/>
  <c r="N346" i="20"/>
  <c r="M346" i="20"/>
  <c r="N345" i="20"/>
  <c r="M345" i="20"/>
  <c r="N344" i="20"/>
  <c r="M344" i="20"/>
  <c r="N343" i="20"/>
  <c r="M343" i="20"/>
  <c r="N342" i="20"/>
  <c r="M342" i="20"/>
  <c r="N341" i="20"/>
  <c r="M341" i="20"/>
  <c r="N340" i="20"/>
  <c r="M340" i="20"/>
  <c r="N339" i="20"/>
  <c r="M339" i="20"/>
  <c r="N338" i="20"/>
  <c r="M338" i="20"/>
  <c r="N337" i="20"/>
  <c r="M337" i="20"/>
  <c r="N336" i="20"/>
  <c r="M336" i="20"/>
  <c r="N335" i="20"/>
  <c r="M335" i="20"/>
  <c r="N329" i="20"/>
  <c r="M329" i="20"/>
  <c r="N326" i="20"/>
  <c r="M326" i="20"/>
  <c r="N318" i="20"/>
  <c r="M318" i="20"/>
  <c r="N317" i="20"/>
  <c r="M317" i="20"/>
  <c r="N316" i="20"/>
  <c r="M316" i="20"/>
  <c r="N315" i="20"/>
  <c r="M315" i="20"/>
  <c r="N314" i="20"/>
  <c r="M314" i="20"/>
  <c r="N313" i="20"/>
  <c r="M313" i="20"/>
  <c r="N312" i="20"/>
  <c r="M312" i="20"/>
  <c r="N311" i="20"/>
  <c r="M311" i="20"/>
  <c r="N310" i="20"/>
  <c r="M310" i="20"/>
  <c r="N309" i="20"/>
  <c r="M309" i="20"/>
  <c r="N308" i="20"/>
  <c r="M308" i="20"/>
  <c r="N307" i="20"/>
  <c r="M307" i="20"/>
  <c r="N306" i="20"/>
  <c r="M306" i="20"/>
  <c r="N305" i="20"/>
  <c r="M305" i="20"/>
  <c r="N304" i="20"/>
  <c r="M304" i="20"/>
  <c r="N303" i="20"/>
  <c r="M303" i="20"/>
  <c r="N302" i="20"/>
  <c r="M302" i="20"/>
  <c r="N301" i="20"/>
  <c r="M301" i="20"/>
  <c r="N300" i="20"/>
  <c r="M300" i="20"/>
  <c r="N299" i="20"/>
  <c r="M299" i="20"/>
  <c r="N298" i="20"/>
  <c r="M298" i="20"/>
  <c r="N297" i="20"/>
  <c r="M297" i="20"/>
  <c r="N296" i="20"/>
  <c r="M296" i="20"/>
  <c r="N295" i="20"/>
  <c r="M295" i="20"/>
  <c r="N294" i="20"/>
  <c r="M294" i="20"/>
  <c r="N293" i="20"/>
  <c r="M293" i="20"/>
  <c r="N292" i="20"/>
  <c r="M292" i="20"/>
  <c r="N291" i="20"/>
  <c r="M291" i="20"/>
  <c r="N290" i="20"/>
  <c r="M290" i="20"/>
  <c r="N289" i="20"/>
  <c r="M289" i="20"/>
  <c r="N288" i="20"/>
  <c r="M288" i="20"/>
  <c r="N287" i="20"/>
  <c r="M287" i="20"/>
  <c r="N286" i="20"/>
  <c r="M286" i="20"/>
  <c r="N285" i="20"/>
  <c r="M285" i="20"/>
  <c r="N284" i="20"/>
  <c r="M284" i="20"/>
  <c r="N283" i="20"/>
  <c r="M283" i="20"/>
  <c r="N282" i="20"/>
  <c r="M282" i="20"/>
  <c r="N281" i="20"/>
  <c r="M281" i="20"/>
  <c r="N280" i="20"/>
  <c r="M280" i="20"/>
  <c r="N279" i="20"/>
  <c r="M279" i="20"/>
  <c r="N278" i="20"/>
  <c r="M278" i="20"/>
  <c r="N277" i="20"/>
  <c r="M277" i="20"/>
  <c r="N276" i="20"/>
  <c r="M276" i="20"/>
  <c r="N275" i="20"/>
  <c r="M275" i="20"/>
  <c r="N274" i="20"/>
  <c r="M274" i="20"/>
  <c r="N273" i="20"/>
  <c r="M273" i="20"/>
  <c r="N272" i="20"/>
  <c r="M272" i="20"/>
  <c r="N271" i="20"/>
  <c r="M271" i="20"/>
  <c r="N270" i="20"/>
  <c r="M270" i="20"/>
  <c r="N269" i="20"/>
  <c r="M269" i="20"/>
  <c r="N268" i="20"/>
  <c r="M268" i="20"/>
  <c r="N267" i="20"/>
  <c r="M267" i="20"/>
  <c r="N266" i="20"/>
  <c r="M266" i="20"/>
  <c r="N265" i="20"/>
  <c r="M265" i="20"/>
  <c r="N264" i="20"/>
  <c r="M264" i="20"/>
  <c r="N263" i="20"/>
  <c r="M263" i="20"/>
  <c r="N262" i="20"/>
  <c r="M262" i="20"/>
  <c r="N261" i="20"/>
  <c r="M261" i="20"/>
  <c r="N260" i="20"/>
  <c r="M260" i="20"/>
  <c r="N259" i="20"/>
  <c r="M259" i="20"/>
  <c r="N258" i="20"/>
  <c r="M258" i="20"/>
  <c r="N257" i="20"/>
  <c r="M257" i="20"/>
  <c r="N256" i="20"/>
  <c r="M256" i="20"/>
  <c r="N255" i="20"/>
  <c r="M255" i="20"/>
  <c r="N254" i="20"/>
  <c r="M254" i="20"/>
  <c r="N253" i="20"/>
  <c r="M253" i="20"/>
  <c r="N252" i="20"/>
  <c r="M252" i="20"/>
  <c r="N251" i="20"/>
  <c r="M251" i="20"/>
  <c r="N250" i="20"/>
  <c r="M250" i="20"/>
  <c r="N249" i="20"/>
  <c r="M249" i="20"/>
  <c r="N248" i="20"/>
  <c r="M248" i="20"/>
  <c r="N247" i="20"/>
  <c r="M247" i="20"/>
  <c r="N246" i="20"/>
  <c r="M246" i="20"/>
  <c r="N245" i="20"/>
  <c r="M245" i="20"/>
  <c r="N244" i="20"/>
  <c r="M244" i="20"/>
  <c r="N243" i="20"/>
  <c r="M243" i="20"/>
  <c r="N242" i="20"/>
  <c r="M242" i="20"/>
  <c r="N241" i="20"/>
  <c r="M241" i="20"/>
  <c r="N240" i="20"/>
  <c r="M240" i="20"/>
  <c r="N239" i="20"/>
  <c r="M239" i="20"/>
  <c r="N234" i="20"/>
  <c r="M234" i="20"/>
  <c r="N233" i="20"/>
  <c r="M233" i="20"/>
  <c r="N232" i="20"/>
  <c r="M232" i="20"/>
  <c r="N231" i="20"/>
  <c r="M231" i="20"/>
  <c r="N230" i="20"/>
  <c r="M230" i="20"/>
  <c r="N229" i="20"/>
  <c r="M229" i="20"/>
  <c r="N228" i="20"/>
  <c r="M228" i="20"/>
  <c r="N227" i="20"/>
  <c r="M227" i="20"/>
  <c r="N238" i="20"/>
  <c r="M238" i="20"/>
  <c r="N237" i="20"/>
  <c r="M237" i="20"/>
  <c r="N236" i="20"/>
  <c r="M236" i="20"/>
  <c r="N235" i="20"/>
  <c r="M235" i="20"/>
  <c r="N226" i="20"/>
  <c r="M226" i="20"/>
  <c r="N225" i="20"/>
  <c r="M225" i="20"/>
  <c r="N224" i="20"/>
  <c r="M224" i="20"/>
  <c r="N223" i="20"/>
  <c r="M223" i="20"/>
  <c r="N222" i="20"/>
  <c r="M222" i="20"/>
  <c r="N221" i="20"/>
  <c r="M221" i="20"/>
  <c r="N216" i="20"/>
  <c r="M216" i="20"/>
  <c r="N215" i="20"/>
  <c r="M215" i="20"/>
  <c r="N214" i="20"/>
  <c r="M214" i="20"/>
  <c r="N213" i="20"/>
  <c r="M213" i="20"/>
  <c r="N212" i="20"/>
  <c r="M212" i="20"/>
  <c r="N211" i="20"/>
  <c r="M211" i="20"/>
  <c r="N210" i="20"/>
  <c r="M210" i="20"/>
  <c r="N209" i="20"/>
  <c r="M209" i="20"/>
  <c r="N208" i="20"/>
  <c r="M208" i="20"/>
  <c r="N207" i="20"/>
  <c r="M207" i="20"/>
  <c r="N206" i="20"/>
  <c r="M206" i="20"/>
  <c r="N220" i="20"/>
  <c r="M220" i="20"/>
  <c r="N219" i="20"/>
  <c r="M219" i="20"/>
  <c r="N218" i="20"/>
  <c r="M218" i="20"/>
  <c r="N217" i="20"/>
  <c r="M217" i="20"/>
  <c r="N205" i="20"/>
  <c r="M205" i="20"/>
  <c r="N204" i="20"/>
  <c r="M204" i="20"/>
  <c r="N203" i="20"/>
  <c r="M203" i="20"/>
  <c r="N198" i="20"/>
  <c r="M198" i="20"/>
  <c r="N197" i="20"/>
  <c r="M197" i="20"/>
  <c r="N196" i="20"/>
  <c r="M196" i="20"/>
  <c r="N195" i="20"/>
  <c r="M195" i="20"/>
  <c r="N194" i="20"/>
  <c r="M194" i="20"/>
  <c r="N193" i="20"/>
  <c r="M193" i="20"/>
  <c r="N192" i="20"/>
  <c r="M192" i="20"/>
  <c r="N191" i="20"/>
  <c r="M191" i="20"/>
  <c r="N190" i="20"/>
  <c r="M190" i="20"/>
  <c r="N189" i="20"/>
  <c r="M189" i="20"/>
  <c r="N202" i="20"/>
  <c r="M202" i="20"/>
  <c r="N201" i="20"/>
  <c r="M201" i="20"/>
  <c r="N200" i="20"/>
  <c r="M200" i="20"/>
  <c r="N199" i="20"/>
  <c r="M199" i="20"/>
  <c r="N188" i="20"/>
  <c r="M188" i="20"/>
  <c r="N187" i="20"/>
  <c r="M187" i="20"/>
  <c r="N186" i="20"/>
  <c r="M186" i="20"/>
  <c r="N185" i="20"/>
  <c r="M185" i="20"/>
  <c r="N181" i="20"/>
  <c r="M181" i="20"/>
  <c r="N180" i="20"/>
  <c r="M180" i="20"/>
  <c r="N179" i="20"/>
  <c r="M179" i="20"/>
  <c r="N178" i="20"/>
  <c r="M178" i="20"/>
  <c r="N177" i="20"/>
  <c r="M177" i="20"/>
  <c r="N176" i="20"/>
  <c r="M176" i="20"/>
  <c r="N175" i="20"/>
  <c r="M175" i="20"/>
  <c r="N174" i="20"/>
  <c r="M174" i="20"/>
  <c r="N173" i="20"/>
  <c r="M173" i="20"/>
  <c r="N172" i="20"/>
  <c r="M172" i="20"/>
  <c r="N184" i="20"/>
  <c r="M184" i="20"/>
  <c r="N183" i="20"/>
  <c r="M183" i="20"/>
  <c r="N182" i="20"/>
  <c r="M182" i="20"/>
  <c r="N171" i="20"/>
  <c r="M171" i="20"/>
  <c r="N170" i="20"/>
  <c r="M170" i="20"/>
  <c r="N169" i="20"/>
  <c r="M169" i="20"/>
  <c r="N168" i="20"/>
  <c r="M168" i="20"/>
  <c r="N167" i="20"/>
  <c r="M167" i="20"/>
  <c r="N166" i="20"/>
  <c r="M166" i="20"/>
  <c r="N165" i="20"/>
  <c r="M165" i="20"/>
  <c r="N161" i="20"/>
  <c r="M161" i="20"/>
  <c r="N160" i="20"/>
  <c r="M160" i="20"/>
  <c r="N159" i="20"/>
  <c r="M159" i="20"/>
  <c r="N158" i="20"/>
  <c r="M158" i="20"/>
  <c r="N157" i="20"/>
  <c r="M157" i="20"/>
  <c r="N156" i="20"/>
  <c r="M156" i="20"/>
  <c r="N155" i="20"/>
  <c r="M155" i="20"/>
  <c r="N154" i="20"/>
  <c r="M154" i="20"/>
  <c r="N153" i="20"/>
  <c r="M153" i="20"/>
  <c r="N152" i="20"/>
  <c r="M152" i="20"/>
  <c r="N164" i="20"/>
  <c r="M164" i="20"/>
  <c r="N163" i="20"/>
  <c r="M163" i="20"/>
  <c r="N162" i="20"/>
  <c r="M162" i="20"/>
  <c r="N151" i="20"/>
  <c r="M151" i="20"/>
  <c r="N150" i="20"/>
  <c r="M150" i="20"/>
  <c r="N149" i="20"/>
  <c r="M149" i="20"/>
  <c r="N148" i="20"/>
  <c r="M148" i="20"/>
  <c r="N147" i="20"/>
  <c r="M147" i="20"/>
  <c r="N143" i="20"/>
  <c r="M143" i="20"/>
  <c r="N142" i="20"/>
  <c r="M142" i="20"/>
  <c r="N141" i="20"/>
  <c r="M141" i="20"/>
  <c r="N140" i="20"/>
  <c r="M140" i="20"/>
  <c r="N139" i="20"/>
  <c r="M139" i="20"/>
  <c r="N138" i="20"/>
  <c r="M138" i="20"/>
  <c r="N137" i="20"/>
  <c r="M137" i="20"/>
  <c r="N136" i="20"/>
  <c r="M136" i="20"/>
  <c r="N135" i="20"/>
  <c r="M135" i="20"/>
  <c r="N134" i="20"/>
  <c r="M134" i="20"/>
  <c r="N146" i="20"/>
  <c r="M146" i="20"/>
  <c r="N145" i="20"/>
  <c r="M145" i="20"/>
  <c r="N144" i="20"/>
  <c r="M144" i="20"/>
  <c r="N133" i="20"/>
  <c r="M133" i="20"/>
  <c r="N132" i="20"/>
  <c r="M132" i="20"/>
  <c r="N131" i="20"/>
  <c r="M131" i="20"/>
  <c r="N130" i="20"/>
  <c r="M130" i="20"/>
  <c r="N129" i="20"/>
  <c r="M129" i="20"/>
  <c r="N125" i="20"/>
  <c r="M125" i="20"/>
  <c r="N353" i="20"/>
  <c r="M353" i="20"/>
  <c r="N124" i="20"/>
  <c r="M124" i="20"/>
  <c r="N351" i="20"/>
  <c r="M351" i="20"/>
  <c r="N123" i="20"/>
  <c r="M123" i="20"/>
  <c r="N122" i="20"/>
  <c r="M122" i="20"/>
  <c r="N121" i="20"/>
  <c r="M121" i="20"/>
  <c r="N120" i="20"/>
  <c r="M120" i="20"/>
  <c r="N119" i="20"/>
  <c r="M119" i="20"/>
  <c r="N118" i="20"/>
  <c r="M118" i="20"/>
  <c r="N128" i="20"/>
  <c r="M128" i="20"/>
  <c r="N127" i="20"/>
  <c r="M127" i="20"/>
  <c r="N126" i="20"/>
  <c r="M126" i="20"/>
  <c r="N117" i="20"/>
  <c r="M117" i="20"/>
  <c r="N116" i="20"/>
  <c r="M116" i="20"/>
  <c r="N115" i="20"/>
  <c r="M115" i="20"/>
  <c r="N114" i="20"/>
  <c r="M114" i="20"/>
  <c r="N113" i="20"/>
  <c r="M113" i="20"/>
  <c r="N109" i="20"/>
  <c r="M109" i="20"/>
  <c r="N332" i="20"/>
  <c r="M332" i="20"/>
  <c r="N112" i="20"/>
  <c r="M112" i="20"/>
  <c r="N111" i="20"/>
  <c r="M111" i="20"/>
  <c r="N110" i="20"/>
  <c r="M110" i="20"/>
  <c r="N108" i="20"/>
  <c r="M108" i="20"/>
  <c r="N107" i="20"/>
  <c r="M107" i="20"/>
  <c r="N106" i="20"/>
  <c r="M106" i="20"/>
  <c r="N105" i="20"/>
  <c r="M105" i="20"/>
  <c r="N104" i="20"/>
  <c r="M104" i="20"/>
  <c r="N103" i="20"/>
  <c r="M103" i="20"/>
  <c r="N102" i="20"/>
  <c r="M102" i="20"/>
  <c r="N101" i="20"/>
  <c r="M101" i="20"/>
  <c r="N100" i="20"/>
  <c r="M100" i="20"/>
  <c r="N99" i="20"/>
  <c r="M99" i="20"/>
  <c r="N98" i="20"/>
  <c r="M98" i="20"/>
  <c r="N97" i="20"/>
  <c r="M97" i="20"/>
  <c r="N96" i="20"/>
  <c r="M96" i="20"/>
  <c r="N93" i="20"/>
  <c r="M93" i="20"/>
  <c r="N92" i="20"/>
  <c r="M92" i="20"/>
  <c r="N91" i="20"/>
  <c r="M91" i="20"/>
  <c r="N90" i="20"/>
  <c r="M90" i="20"/>
  <c r="N89" i="20"/>
  <c r="M89" i="20"/>
  <c r="N88" i="20"/>
  <c r="M88" i="20"/>
  <c r="N87" i="20"/>
  <c r="M87" i="20"/>
  <c r="N86" i="20"/>
  <c r="M86" i="20"/>
  <c r="N85" i="20"/>
  <c r="M85" i="20"/>
  <c r="N84" i="20"/>
  <c r="M84" i="20"/>
  <c r="N95" i="20"/>
  <c r="M95" i="20"/>
  <c r="N94" i="20"/>
  <c r="M94" i="20"/>
  <c r="N83" i="20"/>
  <c r="M83" i="20"/>
  <c r="N82" i="20"/>
  <c r="M82" i="20"/>
  <c r="N81" i="20"/>
  <c r="M81" i="20"/>
  <c r="N80" i="20"/>
  <c r="M80" i="20"/>
  <c r="N79" i="20"/>
  <c r="M79" i="20"/>
  <c r="N78" i="20"/>
  <c r="M78" i="20"/>
  <c r="N75" i="20"/>
  <c r="M75" i="20"/>
  <c r="N74" i="20"/>
  <c r="M74" i="20"/>
  <c r="N73" i="20"/>
  <c r="M73" i="20"/>
  <c r="N72" i="20"/>
  <c r="M72" i="20"/>
  <c r="N71" i="20"/>
  <c r="M71" i="20"/>
  <c r="N70" i="20"/>
  <c r="M70" i="20"/>
  <c r="N69" i="20"/>
  <c r="M69" i="20"/>
  <c r="N68" i="20"/>
  <c r="M68" i="20"/>
  <c r="N67" i="20"/>
  <c r="M67" i="20"/>
  <c r="N66" i="20"/>
  <c r="M66" i="20"/>
  <c r="N77" i="20"/>
  <c r="M77" i="20"/>
  <c r="N76" i="20"/>
  <c r="M76" i="20"/>
  <c r="N65" i="20"/>
  <c r="M65" i="20"/>
  <c r="N64" i="20"/>
  <c r="M64" i="20"/>
  <c r="N63" i="20"/>
  <c r="M63" i="20"/>
  <c r="N62" i="20"/>
  <c r="M62" i="20"/>
  <c r="N61" i="20"/>
  <c r="M61" i="20"/>
  <c r="N60" i="20"/>
  <c r="M60" i="20"/>
  <c r="N58" i="20"/>
  <c r="M58" i="20"/>
  <c r="N57" i="20"/>
  <c r="M57" i="20"/>
  <c r="N56" i="20"/>
  <c r="M56" i="20"/>
  <c r="N55" i="20"/>
  <c r="M55" i="20"/>
  <c r="N54" i="20"/>
  <c r="M54" i="20"/>
  <c r="N53" i="20"/>
  <c r="M53" i="20"/>
  <c r="N52" i="20"/>
  <c r="M52" i="20"/>
  <c r="N51" i="20"/>
  <c r="M51" i="20"/>
  <c r="N50" i="20"/>
  <c r="M50" i="20"/>
  <c r="N49" i="20"/>
  <c r="M49" i="20"/>
  <c r="N59" i="20"/>
  <c r="M59" i="20"/>
  <c r="N48" i="20"/>
  <c r="M48" i="20"/>
  <c r="N47" i="20"/>
  <c r="M47" i="20"/>
  <c r="N46" i="20"/>
  <c r="M46" i="20"/>
  <c r="N45" i="20"/>
  <c r="M45" i="20"/>
  <c r="N44" i="20"/>
  <c r="M44" i="20"/>
  <c r="N43" i="20"/>
  <c r="M43" i="20"/>
  <c r="N42" i="20"/>
  <c r="M42" i="20"/>
  <c r="N40" i="20"/>
  <c r="M40" i="20"/>
  <c r="N39" i="20"/>
  <c r="M39" i="20"/>
  <c r="N38" i="20"/>
  <c r="M38" i="20"/>
  <c r="N37" i="20"/>
  <c r="M37" i="20"/>
  <c r="N36" i="20"/>
  <c r="M36" i="20"/>
  <c r="N35" i="20"/>
  <c r="M35" i="20"/>
  <c r="N323" i="20"/>
  <c r="M323" i="20"/>
  <c r="N34" i="20"/>
  <c r="M34" i="20"/>
  <c r="N33" i="20"/>
  <c r="M33" i="20"/>
  <c r="N41" i="20"/>
  <c r="M41" i="20"/>
  <c r="N32" i="20"/>
  <c r="M32" i="20"/>
  <c r="N31" i="20"/>
  <c r="M31" i="20"/>
  <c r="N30" i="20"/>
  <c r="M30" i="20"/>
  <c r="N29" i="20"/>
  <c r="M29" i="20"/>
  <c r="N28" i="20"/>
  <c r="M28" i="20"/>
  <c r="N27" i="20"/>
  <c r="M27" i="20"/>
  <c r="N26" i="20"/>
  <c r="M26" i="20"/>
  <c r="N25" i="20"/>
  <c r="M25" i="20"/>
  <c r="N370" i="20"/>
  <c r="M370" i="20"/>
  <c r="N366" i="20"/>
  <c r="M366" i="20"/>
  <c r="N24" i="20"/>
  <c r="M24" i="20"/>
  <c r="N23" i="20"/>
  <c r="M23" i="20"/>
  <c r="N22" i="20"/>
  <c r="M22" i="20"/>
  <c r="N21" i="20"/>
  <c r="M21" i="20"/>
  <c r="N20" i="20"/>
  <c r="M20" i="20"/>
  <c r="N19" i="20"/>
  <c r="M19" i="20"/>
  <c r="N18" i="20"/>
  <c r="M18" i="20"/>
  <c r="N17" i="20"/>
  <c r="M17" i="20"/>
  <c r="N16" i="20"/>
  <c r="M16" i="20"/>
  <c r="G38" i="35"/>
  <c r="P192" i="34"/>
  <c r="R192" i="34" s="1"/>
  <c r="O192" i="34"/>
  <c r="Q192" i="34" s="1"/>
  <c r="P191" i="34"/>
  <c r="R191" i="34" s="1"/>
  <c r="O191" i="34"/>
  <c r="Q191" i="34" s="1"/>
  <c r="P190" i="34"/>
  <c r="R190" i="34" s="1"/>
  <c r="O190" i="34"/>
  <c r="Q190" i="34" s="1"/>
  <c r="P189" i="34"/>
  <c r="R189" i="34" s="1"/>
  <c r="O189" i="34"/>
  <c r="Q189" i="34" s="1"/>
  <c r="P188" i="34"/>
  <c r="R188" i="34" s="1"/>
  <c r="O188" i="34"/>
  <c r="Q187" i="34"/>
  <c r="P185" i="34"/>
  <c r="R185" i="34" s="1"/>
  <c r="O185" i="34"/>
  <c r="Q185" i="34" s="1"/>
  <c r="P184" i="34"/>
  <c r="R184" i="34" s="1"/>
  <c r="O184" i="34"/>
  <c r="Q184" i="34" s="1"/>
  <c r="P183" i="34"/>
  <c r="R183" i="34" s="1"/>
  <c r="O183" i="34"/>
  <c r="Q183" i="34" s="1"/>
  <c r="P182" i="34"/>
  <c r="R182" i="34" s="1"/>
  <c r="O182" i="34"/>
  <c r="Q182" i="34" s="1"/>
  <c r="P181" i="34"/>
  <c r="R181" i="34" s="1"/>
  <c r="O181" i="34"/>
  <c r="Q181" i="34" s="1"/>
  <c r="R180" i="34"/>
  <c r="P178" i="34"/>
  <c r="R178" i="34" s="1"/>
  <c r="O178" i="34"/>
  <c r="Q178" i="34" s="1"/>
  <c r="P177" i="34"/>
  <c r="R177" i="34" s="1"/>
  <c r="O177" i="34"/>
  <c r="Q177" i="34" s="1"/>
  <c r="P176" i="34"/>
  <c r="R176" i="34" s="1"/>
  <c r="O176" i="34"/>
  <c r="Q176" i="34" s="1"/>
  <c r="P175" i="34"/>
  <c r="R175" i="34" s="1"/>
  <c r="O175" i="34"/>
  <c r="Q175" i="34" s="1"/>
  <c r="P174" i="34"/>
  <c r="R174" i="34" s="1"/>
  <c r="O174" i="34"/>
  <c r="Q174" i="34" s="1"/>
  <c r="P171" i="34"/>
  <c r="R171" i="34" s="1"/>
  <c r="O171" i="34"/>
  <c r="P170" i="34"/>
  <c r="R170" i="34" s="1"/>
  <c r="O170" i="34"/>
  <c r="Q170" i="34" s="1"/>
  <c r="P169" i="34"/>
  <c r="R169" i="34" s="1"/>
  <c r="O169" i="34"/>
  <c r="Q169" i="34" s="1"/>
  <c r="P168" i="34"/>
  <c r="R168" i="34" s="1"/>
  <c r="O168" i="34"/>
  <c r="Q168" i="34" s="1"/>
  <c r="P167" i="34"/>
  <c r="R167" i="34" s="1"/>
  <c r="O167" i="34"/>
  <c r="Q167" i="34" s="1"/>
  <c r="Q166" i="34"/>
  <c r="R164" i="34"/>
  <c r="R163" i="34"/>
  <c r="Q163" i="34"/>
  <c r="R162" i="34"/>
  <c r="Q162" i="34"/>
  <c r="Q161" i="34"/>
  <c r="R160" i="34"/>
  <c r="Q160" i="34"/>
  <c r="Q159" i="34"/>
  <c r="P157" i="34"/>
  <c r="R157" i="34" s="1"/>
  <c r="O157" i="34"/>
  <c r="Q157" i="34" s="1"/>
  <c r="P156" i="34"/>
  <c r="R156" i="34" s="1"/>
  <c r="O156" i="34"/>
  <c r="Q156" i="34" s="1"/>
  <c r="P155" i="34"/>
  <c r="R155" i="34" s="1"/>
  <c r="O155" i="34"/>
  <c r="Q155" i="34" s="1"/>
  <c r="P154" i="34"/>
  <c r="R154" i="34" s="1"/>
  <c r="O154" i="34"/>
  <c r="Q154" i="34" s="1"/>
  <c r="P153" i="34"/>
  <c r="R153" i="34" s="1"/>
  <c r="O153" i="34"/>
  <c r="Q153" i="34" s="1"/>
  <c r="R152" i="34"/>
  <c r="Q152" i="34"/>
  <c r="P150" i="34"/>
  <c r="R150" i="34" s="1"/>
  <c r="O150" i="34"/>
  <c r="P149" i="34"/>
  <c r="R149" i="34" s="1"/>
  <c r="O149" i="34"/>
  <c r="Q149" i="34" s="1"/>
  <c r="P148" i="34"/>
  <c r="R148" i="34" s="1"/>
  <c r="O148" i="34"/>
  <c r="Q148" i="34" s="1"/>
  <c r="P147" i="34"/>
  <c r="R147" i="34" s="1"/>
  <c r="O147" i="34"/>
  <c r="Q147" i="34" s="1"/>
  <c r="P146" i="34"/>
  <c r="R146" i="34" s="1"/>
  <c r="O146" i="34"/>
  <c r="Q146" i="34" s="1"/>
  <c r="R145" i="34"/>
  <c r="Q145" i="34"/>
  <c r="P143" i="34"/>
  <c r="R143" i="34" s="1"/>
  <c r="O143" i="34"/>
  <c r="Q143" i="34" s="1"/>
  <c r="P142" i="34"/>
  <c r="R142" i="34" s="1"/>
  <c r="O142" i="34"/>
  <c r="Q142" i="34" s="1"/>
  <c r="P141" i="34"/>
  <c r="R141" i="34" s="1"/>
  <c r="O141" i="34"/>
  <c r="P140" i="34"/>
  <c r="R140" i="34" s="1"/>
  <c r="O140" i="34"/>
  <c r="Q140" i="34" s="1"/>
  <c r="P139" i="34"/>
  <c r="R139" i="34" s="1"/>
  <c r="O139" i="34"/>
  <c r="Q139" i="34" s="1"/>
  <c r="R138" i="34"/>
  <c r="P136" i="34"/>
  <c r="R136" i="34" s="1"/>
  <c r="O136" i="34"/>
  <c r="P135" i="34"/>
  <c r="R135" i="34" s="1"/>
  <c r="O135" i="34"/>
  <c r="Q135" i="34" s="1"/>
  <c r="P134" i="34"/>
  <c r="R134" i="34" s="1"/>
  <c r="O134" i="34"/>
  <c r="Q134" i="34" s="1"/>
  <c r="P133" i="34"/>
  <c r="R133" i="34" s="1"/>
  <c r="O133" i="34"/>
  <c r="Q133" i="34" s="1"/>
  <c r="P132" i="34"/>
  <c r="R132" i="34" s="1"/>
  <c r="O132" i="34"/>
  <c r="Q132" i="34" s="1"/>
  <c r="R131" i="34"/>
  <c r="Q131" i="34"/>
  <c r="P129" i="34"/>
  <c r="R129" i="34" s="1"/>
  <c r="O129" i="34"/>
  <c r="Q129" i="34" s="1"/>
  <c r="P128" i="34"/>
  <c r="R128" i="34" s="1"/>
  <c r="O128" i="34"/>
  <c r="Q128" i="34" s="1"/>
  <c r="P127" i="34"/>
  <c r="R127" i="34" s="1"/>
  <c r="O127" i="34"/>
  <c r="Q127" i="34" s="1"/>
  <c r="P126" i="34"/>
  <c r="R126" i="34" s="1"/>
  <c r="O126" i="34"/>
  <c r="Q126" i="34" s="1"/>
  <c r="P125" i="34"/>
  <c r="R125" i="34" s="1"/>
  <c r="O125" i="34"/>
  <c r="Q125" i="34" s="1"/>
  <c r="P122" i="34"/>
  <c r="R122" i="34" s="1"/>
  <c r="O122" i="34"/>
  <c r="P121" i="34"/>
  <c r="R121" i="34" s="1"/>
  <c r="O121" i="34"/>
  <c r="Q121" i="34" s="1"/>
  <c r="P120" i="34"/>
  <c r="R120" i="34" s="1"/>
  <c r="O120" i="34"/>
  <c r="Q120" i="34" s="1"/>
  <c r="P119" i="34"/>
  <c r="R119" i="34" s="1"/>
  <c r="O119" i="34"/>
  <c r="Q119" i="34" s="1"/>
  <c r="P118" i="34"/>
  <c r="R118" i="34" s="1"/>
  <c r="O118" i="34"/>
  <c r="Q118" i="34" s="1"/>
  <c r="P115" i="34"/>
  <c r="R115" i="34" s="1"/>
  <c r="O115" i="34"/>
  <c r="Q115" i="34" s="1"/>
  <c r="P114" i="34"/>
  <c r="R114" i="34" s="1"/>
  <c r="O114" i="34"/>
  <c r="Q114" i="34" s="1"/>
  <c r="P113" i="34"/>
  <c r="R113" i="34" s="1"/>
  <c r="O113" i="34"/>
  <c r="Q113" i="34" s="1"/>
  <c r="P112" i="34"/>
  <c r="R112" i="34" s="1"/>
  <c r="O112" i="34"/>
  <c r="Q112" i="34" s="1"/>
  <c r="P111" i="34"/>
  <c r="R111" i="34" s="1"/>
  <c r="O111" i="34"/>
  <c r="Q111" i="34" s="1"/>
  <c r="H192" i="34"/>
  <c r="J192" i="34" s="1"/>
  <c r="G192" i="34"/>
  <c r="I192" i="34" s="1"/>
  <c r="H191" i="34"/>
  <c r="J191" i="34" s="1"/>
  <c r="G191" i="34"/>
  <c r="I191" i="34" s="1"/>
  <c r="H190" i="34"/>
  <c r="J190" i="34" s="1"/>
  <c r="G190" i="34"/>
  <c r="I190" i="34" s="1"/>
  <c r="H189" i="34"/>
  <c r="J189" i="34" s="1"/>
  <c r="G189" i="34"/>
  <c r="I189" i="34" s="1"/>
  <c r="H188" i="34"/>
  <c r="J188" i="34" s="1"/>
  <c r="G188" i="34"/>
  <c r="I188" i="34" s="1"/>
  <c r="H187" i="34"/>
  <c r="G187" i="34"/>
  <c r="H185" i="34"/>
  <c r="J185" i="34" s="1"/>
  <c r="G185" i="34"/>
  <c r="I185" i="34" s="1"/>
  <c r="H184" i="34"/>
  <c r="J184" i="34" s="1"/>
  <c r="G184" i="34"/>
  <c r="I184" i="34" s="1"/>
  <c r="H183" i="34"/>
  <c r="J183" i="34" s="1"/>
  <c r="G183" i="34"/>
  <c r="I183" i="34" s="1"/>
  <c r="H182" i="34"/>
  <c r="J182" i="34" s="1"/>
  <c r="G182" i="34"/>
  <c r="I182" i="34" s="1"/>
  <c r="H181" i="34"/>
  <c r="J181" i="34" s="1"/>
  <c r="G181" i="34"/>
  <c r="H180" i="34"/>
  <c r="G180" i="34"/>
  <c r="I180" i="34" s="1"/>
  <c r="H178" i="34"/>
  <c r="J178" i="34" s="1"/>
  <c r="G178" i="34"/>
  <c r="I178" i="34" s="1"/>
  <c r="H177" i="34"/>
  <c r="J177" i="34" s="1"/>
  <c r="G177" i="34"/>
  <c r="I177" i="34" s="1"/>
  <c r="H176" i="34"/>
  <c r="J176" i="34" s="1"/>
  <c r="G176" i="34"/>
  <c r="I176" i="34" s="1"/>
  <c r="H175" i="34"/>
  <c r="J175" i="34" s="1"/>
  <c r="G175" i="34"/>
  <c r="I175" i="34" s="1"/>
  <c r="H174" i="34"/>
  <c r="G174" i="34"/>
  <c r="I174" i="34" s="1"/>
  <c r="H173" i="34"/>
  <c r="H179" i="34" s="1"/>
  <c r="G173" i="34"/>
  <c r="H171" i="34"/>
  <c r="J171" i="34" s="1"/>
  <c r="G171" i="34"/>
  <c r="I171" i="34" s="1"/>
  <c r="H170" i="34"/>
  <c r="J170" i="34" s="1"/>
  <c r="G170" i="34"/>
  <c r="I170" i="34" s="1"/>
  <c r="H169" i="34"/>
  <c r="J169" i="34" s="1"/>
  <c r="G169" i="34"/>
  <c r="I169" i="34" s="1"/>
  <c r="H168" i="34"/>
  <c r="J168" i="34" s="1"/>
  <c r="G168" i="34"/>
  <c r="I168" i="34" s="1"/>
  <c r="H167" i="34"/>
  <c r="J167" i="34" s="1"/>
  <c r="G167" i="34"/>
  <c r="I167" i="34" s="1"/>
  <c r="H166" i="34"/>
  <c r="G166" i="34"/>
  <c r="H164" i="34"/>
  <c r="J164" i="34" s="1"/>
  <c r="G164" i="34"/>
  <c r="I164" i="34" s="1"/>
  <c r="H163" i="34"/>
  <c r="J163" i="34" s="1"/>
  <c r="G163" i="34"/>
  <c r="I163" i="34" s="1"/>
  <c r="H162" i="34"/>
  <c r="J162" i="34" s="1"/>
  <c r="G162" i="34"/>
  <c r="I162" i="34" s="1"/>
  <c r="H161" i="34"/>
  <c r="J161" i="34" s="1"/>
  <c r="G161" i="34"/>
  <c r="I161" i="34" s="1"/>
  <c r="H160" i="34"/>
  <c r="J160" i="34" s="1"/>
  <c r="G160" i="34"/>
  <c r="I160" i="34" s="1"/>
  <c r="H159" i="34"/>
  <c r="G159" i="34"/>
  <c r="H157" i="34"/>
  <c r="J157" i="34" s="1"/>
  <c r="G157" i="34"/>
  <c r="I157" i="34" s="1"/>
  <c r="H156" i="34"/>
  <c r="J156" i="34" s="1"/>
  <c r="G156" i="34"/>
  <c r="I156" i="34" s="1"/>
  <c r="H155" i="34"/>
  <c r="J155" i="34" s="1"/>
  <c r="G155" i="34"/>
  <c r="I155" i="34" s="1"/>
  <c r="H154" i="34"/>
  <c r="J154" i="34" s="1"/>
  <c r="G154" i="34"/>
  <c r="I154" i="34" s="1"/>
  <c r="H153" i="34"/>
  <c r="J153" i="34" s="1"/>
  <c r="G153" i="34"/>
  <c r="I153" i="34" s="1"/>
  <c r="H152" i="34"/>
  <c r="G152" i="34"/>
  <c r="H150" i="34"/>
  <c r="J150" i="34" s="1"/>
  <c r="G150" i="34"/>
  <c r="I150" i="34" s="1"/>
  <c r="H149" i="34"/>
  <c r="J149" i="34" s="1"/>
  <c r="G149" i="34"/>
  <c r="I149" i="34" s="1"/>
  <c r="H148" i="34"/>
  <c r="J148" i="34" s="1"/>
  <c r="G148" i="34"/>
  <c r="I148" i="34" s="1"/>
  <c r="H147" i="34"/>
  <c r="J147" i="34" s="1"/>
  <c r="G147" i="34"/>
  <c r="I147" i="34" s="1"/>
  <c r="H146" i="34"/>
  <c r="J146" i="34" s="1"/>
  <c r="G146" i="34"/>
  <c r="I146" i="34" s="1"/>
  <c r="H145" i="34"/>
  <c r="G145" i="34"/>
  <c r="H143" i="34"/>
  <c r="J143" i="34" s="1"/>
  <c r="G143" i="34"/>
  <c r="I143" i="34" s="1"/>
  <c r="H142" i="34"/>
  <c r="J142" i="34" s="1"/>
  <c r="G142" i="34"/>
  <c r="I142" i="34" s="1"/>
  <c r="H141" i="34"/>
  <c r="J141" i="34" s="1"/>
  <c r="G141" i="34"/>
  <c r="I141" i="34" s="1"/>
  <c r="H140" i="34"/>
  <c r="J140" i="34" s="1"/>
  <c r="G140" i="34"/>
  <c r="I140" i="34" s="1"/>
  <c r="H139" i="34"/>
  <c r="J139" i="34" s="1"/>
  <c r="G139" i="34"/>
  <c r="I139" i="34" s="1"/>
  <c r="H138" i="34"/>
  <c r="G138" i="34"/>
  <c r="H136" i="34"/>
  <c r="J136" i="34" s="1"/>
  <c r="G136" i="34"/>
  <c r="I136" i="34" s="1"/>
  <c r="H135" i="34"/>
  <c r="J135" i="34" s="1"/>
  <c r="G135" i="34"/>
  <c r="I135" i="34" s="1"/>
  <c r="H134" i="34"/>
  <c r="J134" i="34" s="1"/>
  <c r="G134" i="34"/>
  <c r="I134" i="34" s="1"/>
  <c r="H133" i="34"/>
  <c r="J133" i="34" s="1"/>
  <c r="G133" i="34"/>
  <c r="I133" i="34" s="1"/>
  <c r="H132" i="34"/>
  <c r="J132" i="34" s="1"/>
  <c r="G132" i="34"/>
  <c r="I132" i="34" s="1"/>
  <c r="H131" i="34"/>
  <c r="J131" i="34" s="1"/>
  <c r="G131" i="34"/>
  <c r="I131" i="34" s="1"/>
  <c r="H129" i="34"/>
  <c r="J129" i="34" s="1"/>
  <c r="G129" i="34"/>
  <c r="I129" i="34" s="1"/>
  <c r="H128" i="34"/>
  <c r="J128" i="34" s="1"/>
  <c r="G128" i="34"/>
  <c r="I128" i="34" s="1"/>
  <c r="H127" i="34"/>
  <c r="J127" i="34" s="1"/>
  <c r="G127" i="34"/>
  <c r="I127" i="34" s="1"/>
  <c r="H126" i="34"/>
  <c r="J126" i="34" s="1"/>
  <c r="G126" i="34"/>
  <c r="I126" i="34" s="1"/>
  <c r="H125" i="34"/>
  <c r="J125" i="34" s="1"/>
  <c r="G125" i="34"/>
  <c r="I125" i="34" s="1"/>
  <c r="H124" i="34"/>
  <c r="G124" i="34"/>
  <c r="H122" i="34"/>
  <c r="J122" i="34" s="1"/>
  <c r="G122" i="34"/>
  <c r="I122" i="34" s="1"/>
  <c r="H121" i="34"/>
  <c r="J121" i="34" s="1"/>
  <c r="G121" i="34"/>
  <c r="I121" i="34" s="1"/>
  <c r="H120" i="34"/>
  <c r="J120" i="34" s="1"/>
  <c r="G120" i="34"/>
  <c r="I120" i="34" s="1"/>
  <c r="H119" i="34"/>
  <c r="J119" i="34" s="1"/>
  <c r="G119" i="34"/>
  <c r="I119" i="34" s="1"/>
  <c r="H118" i="34"/>
  <c r="J118" i="34" s="1"/>
  <c r="G118" i="34"/>
  <c r="I118" i="34" s="1"/>
  <c r="H117" i="34"/>
  <c r="G117" i="34"/>
  <c r="H115" i="34"/>
  <c r="J115" i="34" s="1"/>
  <c r="G115" i="34"/>
  <c r="I115" i="34" s="1"/>
  <c r="H114" i="34"/>
  <c r="J114" i="34" s="1"/>
  <c r="G114" i="34"/>
  <c r="I114" i="34" s="1"/>
  <c r="H113" i="34"/>
  <c r="J113" i="34" s="1"/>
  <c r="G113" i="34"/>
  <c r="I113" i="34" s="1"/>
  <c r="H112" i="34"/>
  <c r="J112" i="34" s="1"/>
  <c r="G112" i="34"/>
  <c r="I112" i="34" s="1"/>
  <c r="H111" i="34"/>
  <c r="J111" i="34" s="1"/>
  <c r="G111" i="34"/>
  <c r="I111" i="34" s="1"/>
  <c r="H110" i="34"/>
  <c r="G110" i="34"/>
  <c r="P102" i="34"/>
  <c r="R102" i="34" s="1"/>
  <c r="O102" i="34"/>
  <c r="Q102" i="34" s="1"/>
  <c r="P101" i="34"/>
  <c r="R101" i="34" s="1"/>
  <c r="O101" i="34"/>
  <c r="Q101" i="34" s="1"/>
  <c r="P100" i="34"/>
  <c r="R100" i="34" s="1"/>
  <c r="O100" i="34"/>
  <c r="Q100" i="34" s="1"/>
  <c r="P99" i="34"/>
  <c r="R99" i="34" s="1"/>
  <c r="O99" i="34"/>
  <c r="Q99" i="34" s="1"/>
  <c r="P98" i="34"/>
  <c r="R98" i="34" s="1"/>
  <c r="O98" i="34"/>
  <c r="Q98" i="34" s="1"/>
  <c r="P95" i="34"/>
  <c r="R95" i="34" s="1"/>
  <c r="O95" i="34"/>
  <c r="Q95" i="34" s="1"/>
  <c r="P94" i="34"/>
  <c r="R94" i="34" s="1"/>
  <c r="O94" i="34"/>
  <c r="Q94" i="34" s="1"/>
  <c r="P93" i="34"/>
  <c r="R93" i="34" s="1"/>
  <c r="O93" i="34"/>
  <c r="Q93" i="34" s="1"/>
  <c r="P92" i="34"/>
  <c r="R92" i="34" s="1"/>
  <c r="O92" i="34"/>
  <c r="Q92" i="34" s="1"/>
  <c r="P91" i="34"/>
  <c r="R91" i="34" s="1"/>
  <c r="O91" i="34"/>
  <c r="Q91" i="34" s="1"/>
  <c r="P88" i="34"/>
  <c r="R88" i="34" s="1"/>
  <c r="O88" i="34"/>
  <c r="Q88" i="34" s="1"/>
  <c r="P87" i="34"/>
  <c r="R87" i="34" s="1"/>
  <c r="O87" i="34"/>
  <c r="Q87" i="34" s="1"/>
  <c r="P86" i="34"/>
  <c r="O86" i="34"/>
  <c r="Q86" i="34" s="1"/>
  <c r="P85" i="34"/>
  <c r="R85" i="34" s="1"/>
  <c r="O85" i="34"/>
  <c r="Q85" i="34" s="1"/>
  <c r="P84" i="34"/>
  <c r="R84" i="34" s="1"/>
  <c r="O84" i="34"/>
  <c r="Q84" i="34" s="1"/>
  <c r="Q83" i="34"/>
  <c r="P81" i="34"/>
  <c r="R81" i="34" s="1"/>
  <c r="O81" i="34"/>
  <c r="Q81" i="34" s="1"/>
  <c r="P80" i="34"/>
  <c r="R80" i="34" s="1"/>
  <c r="O80" i="34"/>
  <c r="Q80" i="34" s="1"/>
  <c r="P79" i="34"/>
  <c r="R79" i="34" s="1"/>
  <c r="O79" i="34"/>
  <c r="Q79" i="34" s="1"/>
  <c r="P78" i="34"/>
  <c r="R78" i="34" s="1"/>
  <c r="O78" i="34"/>
  <c r="Q78" i="34" s="1"/>
  <c r="P77" i="34"/>
  <c r="R77" i="34" s="1"/>
  <c r="O77" i="34"/>
  <c r="Q77" i="34" s="1"/>
  <c r="Q76" i="34"/>
  <c r="P74" i="34"/>
  <c r="R74" i="34" s="1"/>
  <c r="O74" i="34"/>
  <c r="Q74" i="34" s="1"/>
  <c r="P73" i="34"/>
  <c r="R73" i="34" s="1"/>
  <c r="O73" i="34"/>
  <c r="Q73" i="34" s="1"/>
  <c r="P72" i="34"/>
  <c r="R72" i="34" s="1"/>
  <c r="O72" i="34"/>
  <c r="Q72" i="34" s="1"/>
  <c r="P71" i="34"/>
  <c r="R71" i="34" s="1"/>
  <c r="O71" i="34"/>
  <c r="Q71" i="34" s="1"/>
  <c r="P70" i="34"/>
  <c r="R70" i="34" s="1"/>
  <c r="O70" i="34"/>
  <c r="Q70" i="34" s="1"/>
  <c r="R69" i="34"/>
  <c r="Q69" i="34"/>
  <c r="P67" i="34"/>
  <c r="R67" i="34" s="1"/>
  <c r="O67" i="34"/>
  <c r="Q67" i="34" s="1"/>
  <c r="P66" i="34"/>
  <c r="R66" i="34" s="1"/>
  <c r="O66" i="34"/>
  <c r="Q66" i="34" s="1"/>
  <c r="P65" i="34"/>
  <c r="R65" i="34" s="1"/>
  <c r="O65" i="34"/>
  <c r="Q65" i="34" s="1"/>
  <c r="P64" i="34"/>
  <c r="R64" i="34" s="1"/>
  <c r="O64" i="34"/>
  <c r="Q64" i="34" s="1"/>
  <c r="P63" i="34"/>
  <c r="R63" i="34" s="1"/>
  <c r="O63" i="34"/>
  <c r="Q63" i="34" s="1"/>
  <c r="R62" i="34"/>
  <c r="Q62" i="34"/>
  <c r="P60" i="34"/>
  <c r="R60" i="34" s="1"/>
  <c r="O60" i="34"/>
  <c r="Q60" i="34" s="1"/>
  <c r="P59" i="34"/>
  <c r="R59" i="34" s="1"/>
  <c r="O59" i="34"/>
  <c r="Q59" i="34" s="1"/>
  <c r="P58" i="34"/>
  <c r="R58" i="34" s="1"/>
  <c r="O58" i="34"/>
  <c r="Q58" i="34" s="1"/>
  <c r="P57" i="34"/>
  <c r="R57" i="34" s="1"/>
  <c r="O57" i="34"/>
  <c r="Q57" i="34" s="1"/>
  <c r="P56" i="34"/>
  <c r="R56" i="34" s="1"/>
  <c r="O56" i="34"/>
  <c r="Q56" i="34" s="1"/>
  <c r="R55" i="34"/>
  <c r="Q55" i="34"/>
  <c r="P53" i="34"/>
  <c r="R53" i="34" s="1"/>
  <c r="O53" i="34"/>
  <c r="Q53" i="34" s="1"/>
  <c r="P52" i="34"/>
  <c r="R52" i="34" s="1"/>
  <c r="O52" i="34"/>
  <c r="Q52" i="34" s="1"/>
  <c r="P51" i="34"/>
  <c r="R51" i="34" s="1"/>
  <c r="O51" i="34"/>
  <c r="Q51" i="34" s="1"/>
  <c r="P50" i="34"/>
  <c r="O50" i="34"/>
  <c r="Q50" i="34" s="1"/>
  <c r="P49" i="34"/>
  <c r="R49" i="34" s="1"/>
  <c r="O49" i="34"/>
  <c r="P46" i="34"/>
  <c r="R46" i="34" s="1"/>
  <c r="O46" i="34"/>
  <c r="Q46" i="34" s="1"/>
  <c r="P45" i="34"/>
  <c r="R45" i="34" s="1"/>
  <c r="O45" i="34"/>
  <c r="Q45" i="34" s="1"/>
  <c r="P44" i="34"/>
  <c r="R44" i="34" s="1"/>
  <c r="O44" i="34"/>
  <c r="Q44" i="34" s="1"/>
  <c r="P43" i="34"/>
  <c r="R43" i="34" s="1"/>
  <c r="O43" i="34"/>
  <c r="Q43" i="34" s="1"/>
  <c r="P42" i="34"/>
  <c r="O42" i="34"/>
  <c r="Q42" i="34" s="1"/>
  <c r="P39" i="34"/>
  <c r="R39" i="34" s="1"/>
  <c r="O39" i="34"/>
  <c r="Q39" i="34" s="1"/>
  <c r="P38" i="34"/>
  <c r="R38" i="34" s="1"/>
  <c r="O38" i="34"/>
  <c r="Q38" i="34" s="1"/>
  <c r="P37" i="34"/>
  <c r="R37" i="34" s="1"/>
  <c r="O37" i="34"/>
  <c r="Q37" i="34" s="1"/>
  <c r="P36" i="34"/>
  <c r="R36" i="34" s="1"/>
  <c r="O36" i="34"/>
  <c r="Q36" i="34" s="1"/>
  <c r="P35" i="34"/>
  <c r="R35" i="34" s="1"/>
  <c r="O35" i="34"/>
  <c r="Q35" i="34" s="1"/>
  <c r="P32" i="34"/>
  <c r="O32" i="34"/>
  <c r="P31" i="34"/>
  <c r="O31" i="34"/>
  <c r="Q31" i="34" s="1"/>
  <c r="P30" i="34"/>
  <c r="R30" i="34" s="1"/>
  <c r="O30" i="34"/>
  <c r="Q30" i="34" s="1"/>
  <c r="P29" i="34"/>
  <c r="R29" i="34" s="1"/>
  <c r="O29" i="34"/>
  <c r="Q29" i="34" s="1"/>
  <c r="P28" i="34"/>
  <c r="R28" i="34" s="1"/>
  <c r="O28" i="34"/>
  <c r="Q28" i="34" s="1"/>
  <c r="Q27" i="34"/>
  <c r="P25" i="34"/>
  <c r="R25" i="34" s="1"/>
  <c r="O25" i="34"/>
  <c r="Q25" i="34" s="1"/>
  <c r="P24" i="34"/>
  <c r="R24" i="34" s="1"/>
  <c r="O24" i="34"/>
  <c r="Q24" i="34" s="1"/>
  <c r="P23" i="34"/>
  <c r="R23" i="34" s="1"/>
  <c r="O23" i="34"/>
  <c r="Q23" i="34" s="1"/>
  <c r="P22" i="34"/>
  <c r="R22" i="34" s="1"/>
  <c r="O22" i="34"/>
  <c r="Q22" i="34" s="1"/>
  <c r="P21" i="34"/>
  <c r="R21" i="34" s="1"/>
  <c r="O21" i="34"/>
  <c r="Q21" i="34" s="1"/>
  <c r="H102" i="34"/>
  <c r="J102" i="34" s="1"/>
  <c r="G102" i="34"/>
  <c r="I102" i="34" s="1"/>
  <c r="H101" i="34"/>
  <c r="J101" i="34" s="1"/>
  <c r="G101" i="34"/>
  <c r="I101" i="34" s="1"/>
  <c r="H100" i="34"/>
  <c r="J100" i="34" s="1"/>
  <c r="G100" i="34"/>
  <c r="I100" i="34" s="1"/>
  <c r="H99" i="34"/>
  <c r="J99" i="34" s="1"/>
  <c r="G99" i="34"/>
  <c r="I99" i="34" s="1"/>
  <c r="H98" i="34"/>
  <c r="J98" i="34" s="1"/>
  <c r="G98" i="34"/>
  <c r="H97" i="34"/>
  <c r="G97" i="34"/>
  <c r="H95" i="34"/>
  <c r="J95" i="34" s="1"/>
  <c r="G95" i="34"/>
  <c r="I95" i="34" s="1"/>
  <c r="H94" i="34"/>
  <c r="J94" i="34" s="1"/>
  <c r="G94" i="34"/>
  <c r="I94" i="34" s="1"/>
  <c r="H93" i="34"/>
  <c r="J93" i="34" s="1"/>
  <c r="G93" i="34"/>
  <c r="I93" i="34" s="1"/>
  <c r="H92" i="34"/>
  <c r="J92" i="34" s="1"/>
  <c r="G92" i="34"/>
  <c r="I92" i="34" s="1"/>
  <c r="H91" i="34"/>
  <c r="G91" i="34"/>
  <c r="I91" i="34" s="1"/>
  <c r="H90" i="34"/>
  <c r="G90" i="34"/>
  <c r="H88" i="34"/>
  <c r="J88" i="34" s="1"/>
  <c r="G88" i="34"/>
  <c r="I88" i="34" s="1"/>
  <c r="H87" i="34"/>
  <c r="J87" i="34" s="1"/>
  <c r="G87" i="34"/>
  <c r="I87" i="34" s="1"/>
  <c r="H86" i="34"/>
  <c r="J86" i="34" s="1"/>
  <c r="G86" i="34"/>
  <c r="I86" i="34" s="1"/>
  <c r="H85" i="34"/>
  <c r="J85" i="34" s="1"/>
  <c r="G85" i="34"/>
  <c r="I85" i="34" s="1"/>
  <c r="H84" i="34"/>
  <c r="J84" i="34" s="1"/>
  <c r="G84" i="34"/>
  <c r="I84" i="34" s="1"/>
  <c r="H83" i="34"/>
  <c r="G83" i="34"/>
  <c r="H81" i="34"/>
  <c r="J81" i="34" s="1"/>
  <c r="G81" i="34"/>
  <c r="I81" i="34" s="1"/>
  <c r="H80" i="34"/>
  <c r="J80" i="34" s="1"/>
  <c r="G80" i="34"/>
  <c r="I80" i="34" s="1"/>
  <c r="H79" i="34"/>
  <c r="J79" i="34" s="1"/>
  <c r="G79" i="34"/>
  <c r="I79" i="34" s="1"/>
  <c r="H78" i="34"/>
  <c r="J78" i="34" s="1"/>
  <c r="G78" i="34"/>
  <c r="I78" i="34" s="1"/>
  <c r="H77" i="34"/>
  <c r="J77" i="34" s="1"/>
  <c r="G77" i="34"/>
  <c r="H76" i="34"/>
  <c r="G76" i="34"/>
  <c r="H74" i="34"/>
  <c r="J74" i="34" s="1"/>
  <c r="G74" i="34"/>
  <c r="I74" i="34" s="1"/>
  <c r="H73" i="34"/>
  <c r="J73" i="34" s="1"/>
  <c r="G73" i="34"/>
  <c r="I73" i="34" s="1"/>
  <c r="H72" i="34"/>
  <c r="J72" i="34" s="1"/>
  <c r="G72" i="34"/>
  <c r="I72" i="34" s="1"/>
  <c r="H71" i="34"/>
  <c r="J71" i="34" s="1"/>
  <c r="G71" i="34"/>
  <c r="I71" i="34" s="1"/>
  <c r="H70" i="34"/>
  <c r="G70" i="34"/>
  <c r="I70" i="34" s="1"/>
  <c r="H69" i="34"/>
  <c r="G69" i="34"/>
  <c r="H67" i="34"/>
  <c r="J67" i="34" s="1"/>
  <c r="G67" i="34"/>
  <c r="I67" i="34" s="1"/>
  <c r="H66" i="34"/>
  <c r="J66" i="34" s="1"/>
  <c r="G66" i="34"/>
  <c r="I66" i="34" s="1"/>
  <c r="H65" i="34"/>
  <c r="J65" i="34" s="1"/>
  <c r="G65" i="34"/>
  <c r="I65" i="34" s="1"/>
  <c r="H64" i="34"/>
  <c r="J64" i="34" s="1"/>
  <c r="G64" i="34"/>
  <c r="I64" i="34" s="1"/>
  <c r="H63" i="34"/>
  <c r="J63" i="34" s="1"/>
  <c r="G63" i="34"/>
  <c r="I63" i="34" s="1"/>
  <c r="H62" i="34"/>
  <c r="G62" i="34"/>
  <c r="H60" i="34"/>
  <c r="J60" i="34" s="1"/>
  <c r="G60" i="34"/>
  <c r="I60" i="34" s="1"/>
  <c r="H59" i="34"/>
  <c r="J59" i="34" s="1"/>
  <c r="G59" i="34"/>
  <c r="I59" i="34" s="1"/>
  <c r="H58" i="34"/>
  <c r="J58" i="34" s="1"/>
  <c r="G58" i="34"/>
  <c r="I58" i="34" s="1"/>
  <c r="H57" i="34"/>
  <c r="J57" i="34" s="1"/>
  <c r="G57" i="34"/>
  <c r="I57" i="34" s="1"/>
  <c r="H56" i="34"/>
  <c r="J56" i="34" s="1"/>
  <c r="G56" i="34"/>
  <c r="I56" i="34" s="1"/>
  <c r="H55" i="34"/>
  <c r="G55" i="34"/>
  <c r="H53" i="34"/>
  <c r="J53" i="34" s="1"/>
  <c r="G53" i="34"/>
  <c r="I53" i="34" s="1"/>
  <c r="H52" i="34"/>
  <c r="J52" i="34" s="1"/>
  <c r="G52" i="34"/>
  <c r="I52" i="34" s="1"/>
  <c r="H51" i="34"/>
  <c r="J51" i="34" s="1"/>
  <c r="G51" i="34"/>
  <c r="I51" i="34" s="1"/>
  <c r="H50" i="34"/>
  <c r="J50" i="34" s="1"/>
  <c r="G50" i="34"/>
  <c r="I50" i="34" s="1"/>
  <c r="H49" i="34"/>
  <c r="J49" i="34" s="1"/>
  <c r="G49" i="34"/>
  <c r="I49" i="34" s="1"/>
  <c r="H48" i="34"/>
  <c r="J48" i="34" s="1"/>
  <c r="G48" i="34"/>
  <c r="H46" i="34"/>
  <c r="J46" i="34" s="1"/>
  <c r="G46" i="34"/>
  <c r="I46" i="34" s="1"/>
  <c r="H45" i="34"/>
  <c r="J45" i="34" s="1"/>
  <c r="G45" i="34"/>
  <c r="I45" i="34" s="1"/>
  <c r="H44" i="34"/>
  <c r="J44" i="34" s="1"/>
  <c r="G44" i="34"/>
  <c r="I44" i="34" s="1"/>
  <c r="H43" i="34"/>
  <c r="J43" i="34" s="1"/>
  <c r="G43" i="34"/>
  <c r="I43" i="34" s="1"/>
  <c r="H42" i="34"/>
  <c r="J42" i="34" s="1"/>
  <c r="G42" i="34"/>
  <c r="I42" i="34" s="1"/>
  <c r="H41" i="34"/>
  <c r="G41" i="34"/>
  <c r="H39" i="34"/>
  <c r="J39" i="34" s="1"/>
  <c r="G39" i="34"/>
  <c r="I39" i="34" s="1"/>
  <c r="H38" i="34"/>
  <c r="J38" i="34" s="1"/>
  <c r="G38" i="34"/>
  <c r="I38" i="34" s="1"/>
  <c r="H37" i="34"/>
  <c r="J37" i="34" s="1"/>
  <c r="G37" i="34"/>
  <c r="I37" i="34" s="1"/>
  <c r="H36" i="34"/>
  <c r="J36" i="34" s="1"/>
  <c r="G36" i="34"/>
  <c r="I36" i="34" s="1"/>
  <c r="H35" i="34"/>
  <c r="J35" i="34" s="1"/>
  <c r="G35" i="34"/>
  <c r="I35" i="34" s="1"/>
  <c r="H34" i="34"/>
  <c r="G34" i="34"/>
  <c r="H32" i="34"/>
  <c r="J32" i="34" s="1"/>
  <c r="G32" i="34"/>
  <c r="I32" i="34" s="1"/>
  <c r="H31" i="34"/>
  <c r="J31" i="34" s="1"/>
  <c r="G31" i="34"/>
  <c r="I31" i="34" s="1"/>
  <c r="H30" i="34"/>
  <c r="J30" i="34" s="1"/>
  <c r="G30" i="34"/>
  <c r="I30" i="34" s="1"/>
  <c r="H29" i="34"/>
  <c r="J29" i="34" s="1"/>
  <c r="G29" i="34"/>
  <c r="I29" i="34" s="1"/>
  <c r="H28" i="34"/>
  <c r="J28" i="34" s="1"/>
  <c r="G28" i="34"/>
  <c r="I28" i="34" s="1"/>
  <c r="H27" i="34"/>
  <c r="G27" i="34"/>
  <c r="H25" i="34"/>
  <c r="J25" i="34" s="1"/>
  <c r="G25" i="34"/>
  <c r="I25" i="34" s="1"/>
  <c r="H24" i="34"/>
  <c r="J24" i="34" s="1"/>
  <c r="G24" i="34"/>
  <c r="I24" i="34" s="1"/>
  <c r="H23" i="34"/>
  <c r="G23" i="34"/>
  <c r="I23" i="34" s="1"/>
  <c r="H22" i="34"/>
  <c r="J22" i="34" s="1"/>
  <c r="G22" i="34"/>
  <c r="I22" i="34" s="1"/>
  <c r="H21" i="34"/>
  <c r="J21" i="34" s="1"/>
  <c r="G21" i="34"/>
  <c r="I21" i="34" s="1"/>
  <c r="H20" i="34"/>
  <c r="J20" i="34" s="1"/>
  <c r="G20" i="34"/>
  <c r="L195" i="34"/>
  <c r="N193" i="34"/>
  <c r="M193" i="34"/>
  <c r="L193" i="34"/>
  <c r="F193" i="34"/>
  <c r="E193" i="34"/>
  <c r="N186" i="34"/>
  <c r="M186" i="34"/>
  <c r="L186" i="34"/>
  <c r="F186" i="34"/>
  <c r="E186" i="34"/>
  <c r="N179" i="34"/>
  <c r="M179" i="34"/>
  <c r="L179" i="34"/>
  <c r="N172" i="34"/>
  <c r="M172" i="34"/>
  <c r="L172" i="34"/>
  <c r="F172" i="34"/>
  <c r="E172" i="34"/>
  <c r="Q171" i="34"/>
  <c r="N165" i="34"/>
  <c r="M165" i="34"/>
  <c r="L165" i="34"/>
  <c r="F165" i="34"/>
  <c r="E165" i="34"/>
  <c r="Q164" i="34"/>
  <c r="R161" i="34"/>
  <c r="N158" i="34"/>
  <c r="M158" i="34"/>
  <c r="L158" i="34"/>
  <c r="F158" i="34"/>
  <c r="E158" i="34"/>
  <c r="N151" i="34"/>
  <c r="M151" i="34"/>
  <c r="L151" i="34"/>
  <c r="F151" i="34"/>
  <c r="E151" i="34"/>
  <c r="Q150" i="34"/>
  <c r="N144" i="34"/>
  <c r="M144" i="34"/>
  <c r="L144" i="34"/>
  <c r="F144" i="34"/>
  <c r="E144" i="34"/>
  <c r="Q141" i="34"/>
  <c r="N137" i="34"/>
  <c r="M137" i="34"/>
  <c r="L137" i="34"/>
  <c r="F137" i="34"/>
  <c r="E137" i="34"/>
  <c r="Q136" i="34"/>
  <c r="N130" i="34"/>
  <c r="M130" i="34"/>
  <c r="L130" i="34"/>
  <c r="F130" i="34"/>
  <c r="E130" i="34"/>
  <c r="N123" i="34"/>
  <c r="M123" i="34"/>
  <c r="L123" i="34"/>
  <c r="F123" i="34"/>
  <c r="E123" i="34"/>
  <c r="Q122" i="34"/>
  <c r="N116" i="34"/>
  <c r="M116" i="34"/>
  <c r="L116" i="34"/>
  <c r="F116" i="34"/>
  <c r="E116" i="34"/>
  <c r="L105" i="34"/>
  <c r="N103" i="34"/>
  <c r="M103" i="34"/>
  <c r="L103" i="34"/>
  <c r="F103" i="34"/>
  <c r="E103" i="34"/>
  <c r="N96" i="34"/>
  <c r="M96" i="34"/>
  <c r="L96" i="34"/>
  <c r="F96" i="34"/>
  <c r="E96" i="34"/>
  <c r="N89" i="34"/>
  <c r="M89" i="34"/>
  <c r="L89" i="34"/>
  <c r="R86" i="34"/>
  <c r="N82" i="34"/>
  <c r="M82" i="34"/>
  <c r="L82" i="34"/>
  <c r="F82" i="34"/>
  <c r="E82" i="34"/>
  <c r="N75" i="34"/>
  <c r="M75" i="34"/>
  <c r="L75" i="34"/>
  <c r="F75" i="34"/>
  <c r="E75" i="34"/>
  <c r="N68" i="34"/>
  <c r="M68" i="34"/>
  <c r="L68" i="34"/>
  <c r="F68" i="34"/>
  <c r="E68" i="34"/>
  <c r="N61" i="34"/>
  <c r="M61" i="34"/>
  <c r="L61" i="34"/>
  <c r="F61" i="34"/>
  <c r="E61" i="34"/>
  <c r="N54" i="34"/>
  <c r="L54" i="34"/>
  <c r="F54" i="34"/>
  <c r="E54" i="34"/>
  <c r="R50" i="34"/>
  <c r="N47" i="34"/>
  <c r="M47" i="34"/>
  <c r="L47" i="34"/>
  <c r="F47" i="34"/>
  <c r="E47" i="34"/>
  <c r="N40" i="34"/>
  <c r="M40" i="34"/>
  <c r="L40" i="34"/>
  <c r="F40" i="34"/>
  <c r="E40" i="34"/>
  <c r="N33" i="34"/>
  <c r="L33" i="34"/>
  <c r="F33" i="34"/>
  <c r="E33" i="34"/>
  <c r="R32" i="34"/>
  <c r="Q32" i="34"/>
  <c r="R31" i="34"/>
  <c r="N26" i="34"/>
  <c r="M26" i="34"/>
  <c r="L26" i="34"/>
  <c r="F26" i="34"/>
  <c r="E26" i="34"/>
  <c r="J23" i="34"/>
  <c r="F75" i="37"/>
  <c r="F74" i="37"/>
  <c r="F73" i="37"/>
  <c r="F70" i="37"/>
  <c r="J70" i="37" s="1"/>
  <c r="E62" i="37"/>
  <c r="I62" i="37" s="1"/>
  <c r="F42" i="37"/>
  <c r="J42" i="37" s="1"/>
  <c r="E42" i="37"/>
  <c r="I42" i="37" s="1"/>
  <c r="F41" i="37"/>
  <c r="J41" i="37" s="1"/>
  <c r="E41" i="37"/>
  <c r="I41" i="37" s="1"/>
  <c r="G80" i="37"/>
  <c r="G77" i="37"/>
  <c r="H63" i="37"/>
  <c r="J57" i="37"/>
  <c r="J53" i="37"/>
  <c r="I53" i="37"/>
  <c r="J52" i="37"/>
  <c r="I52" i="37"/>
  <c r="K45" i="37"/>
  <c r="K44" i="37"/>
  <c r="K43" i="37"/>
  <c r="K24" i="37"/>
  <c r="G81" i="33"/>
  <c r="G78" i="33"/>
  <c r="H64" i="33"/>
  <c r="J58" i="33"/>
  <c r="I58" i="33"/>
  <c r="J54" i="33"/>
  <c r="I54" i="33"/>
  <c r="J53" i="33"/>
  <c r="I53" i="33"/>
  <c r="K46" i="33"/>
  <c r="K45" i="33"/>
  <c r="K44" i="33"/>
  <c r="K43" i="33"/>
  <c r="F140" i="32"/>
  <c r="F137" i="32"/>
  <c r="F138" i="32" s="1"/>
  <c r="F139" i="32" s="1"/>
  <c r="F134" i="32"/>
  <c r="F135" i="32" s="1"/>
  <c r="F136" i="32" s="1"/>
  <c r="F133" i="32"/>
  <c r="F132" i="32"/>
  <c r="F131" i="32"/>
  <c r="AD123" i="32"/>
  <c r="AC123" i="32"/>
  <c r="AD121" i="32"/>
  <c r="AC121" i="32"/>
  <c r="AA119" i="32"/>
  <c r="Y119" i="32"/>
  <c r="W119" i="32"/>
  <c r="U119" i="32"/>
  <c r="S119" i="32"/>
  <c r="Q119" i="32"/>
  <c r="O119" i="32"/>
  <c r="M119" i="32"/>
  <c r="K119" i="32"/>
  <c r="I119" i="32"/>
  <c r="G119" i="32"/>
  <c r="E119" i="32"/>
  <c r="AC118" i="32"/>
  <c r="AE118" i="32" s="1"/>
  <c r="AA116" i="32"/>
  <c r="Y116" i="32"/>
  <c r="W116" i="32"/>
  <c r="U116" i="32"/>
  <c r="S116" i="32"/>
  <c r="Q116" i="32"/>
  <c r="O116" i="32"/>
  <c r="M116" i="32"/>
  <c r="K116" i="32"/>
  <c r="I116" i="32"/>
  <c r="G116" i="32"/>
  <c r="E116" i="32"/>
  <c r="AC115" i="32"/>
  <c r="AE115" i="32" s="1"/>
  <c r="AC113" i="32"/>
  <c r="AC112" i="32"/>
  <c r="AC111" i="32"/>
  <c r="AD107" i="32"/>
  <c r="AD104" i="32"/>
  <c r="AB101" i="32"/>
  <c r="Z101" i="32"/>
  <c r="X101" i="32"/>
  <c r="X103" i="32" s="1"/>
  <c r="X105" i="32" s="1"/>
  <c r="X106" i="32" s="1"/>
  <c r="X110" i="32" s="1"/>
  <c r="H138" i="32" s="1"/>
  <c r="V101" i="32"/>
  <c r="T101" i="32"/>
  <c r="R101" i="32"/>
  <c r="P101" i="32"/>
  <c r="N101" i="32"/>
  <c r="L101" i="32"/>
  <c r="J101" i="32"/>
  <c r="H101" i="32"/>
  <c r="F101" i="32"/>
  <c r="AD100" i="32"/>
  <c r="AC100" i="32"/>
  <c r="AD99" i="32"/>
  <c r="AC99" i="32"/>
  <c r="AD98" i="32"/>
  <c r="AC98" i="32"/>
  <c r="AD97" i="32"/>
  <c r="AC97" i="32"/>
  <c r="AD96" i="32"/>
  <c r="AC96" i="32"/>
  <c r="AD95" i="32"/>
  <c r="AC95" i="32"/>
  <c r="AD94" i="32"/>
  <c r="AC94" i="32"/>
  <c r="AD93" i="32"/>
  <c r="AC93" i="32"/>
  <c r="AD92" i="32"/>
  <c r="AC92" i="32"/>
  <c r="AD91" i="32"/>
  <c r="AC91" i="32"/>
  <c r="AB103" i="32"/>
  <c r="AB105" i="32" s="1"/>
  <c r="AB106" i="32" s="1"/>
  <c r="AB110" i="32" s="1"/>
  <c r="H140" i="32" s="1"/>
  <c r="J103" i="32"/>
  <c r="J105" i="32" s="1"/>
  <c r="J106" i="32" s="1"/>
  <c r="J110" i="32" s="1"/>
  <c r="H131" i="32" s="1"/>
  <c r="H103" i="32"/>
  <c r="H105" i="32" s="1"/>
  <c r="H106" i="32" s="1"/>
  <c r="H110" i="32" s="1"/>
  <c r="H130" i="32" s="1"/>
  <c r="F103" i="32"/>
  <c r="F105" i="32" s="1"/>
  <c r="F106" i="32" s="1"/>
  <c r="F110" i="32" s="1"/>
  <c r="H129" i="32" s="1"/>
  <c r="AD87" i="32"/>
  <c r="AC87" i="32"/>
  <c r="AD86" i="32"/>
  <c r="AC86" i="32"/>
  <c r="AD85" i="32"/>
  <c r="AC85" i="32"/>
  <c r="AD84" i="32"/>
  <c r="AC84" i="32"/>
  <c r="AD83" i="32"/>
  <c r="AC83" i="32"/>
  <c r="AD82" i="32"/>
  <c r="AC82" i="32"/>
  <c r="AD81" i="32"/>
  <c r="AC81" i="32"/>
  <c r="AD80" i="32"/>
  <c r="AC80" i="32"/>
  <c r="AD68" i="32"/>
  <c r="F86" i="33" s="1"/>
  <c r="J86" i="33" s="1"/>
  <c r="AC68" i="32"/>
  <c r="E86" i="33" s="1"/>
  <c r="I86" i="33" s="1"/>
  <c r="AD66" i="32"/>
  <c r="F84" i="33" s="1"/>
  <c r="J84" i="33" s="1"/>
  <c r="AC66" i="32"/>
  <c r="E84" i="33" s="1"/>
  <c r="I84" i="33" s="1"/>
  <c r="AA64" i="32"/>
  <c r="Y64" i="32"/>
  <c r="W64" i="32"/>
  <c r="U64" i="32"/>
  <c r="S64" i="32"/>
  <c r="Q64" i="32"/>
  <c r="O64" i="32"/>
  <c r="M64" i="32"/>
  <c r="K64" i="32"/>
  <c r="I64" i="32"/>
  <c r="G64" i="32"/>
  <c r="E64" i="32"/>
  <c r="AC63" i="32"/>
  <c r="AE63" i="32" s="1"/>
  <c r="AA61" i="32"/>
  <c r="Y61" i="32"/>
  <c r="W61" i="32"/>
  <c r="U61" i="32"/>
  <c r="S61" i="32"/>
  <c r="Q61" i="32"/>
  <c r="O61" i="32"/>
  <c r="M61" i="32"/>
  <c r="K61" i="32"/>
  <c r="I61" i="32"/>
  <c r="G61" i="32"/>
  <c r="E61" i="32"/>
  <c r="AC60" i="32"/>
  <c r="AE60" i="32" s="1"/>
  <c r="AC58" i="32"/>
  <c r="E76" i="33" s="1"/>
  <c r="I76" i="33" s="1"/>
  <c r="AC57" i="32"/>
  <c r="E75" i="33" s="1"/>
  <c r="I75" i="33" s="1"/>
  <c r="AC56" i="32"/>
  <c r="F71" i="33"/>
  <c r="J71" i="33" s="1"/>
  <c r="AD52" i="32"/>
  <c r="F70" i="33" s="1"/>
  <c r="J70" i="33" s="1"/>
  <c r="AD49" i="32"/>
  <c r="F67" i="33" s="1"/>
  <c r="J67" i="33" s="1"/>
  <c r="AB46" i="32"/>
  <c r="Z46" i="32"/>
  <c r="X46" i="32"/>
  <c r="V46" i="32"/>
  <c r="T46" i="32"/>
  <c r="R46" i="32"/>
  <c r="P46" i="32"/>
  <c r="N46" i="32"/>
  <c r="L46" i="32"/>
  <c r="J46" i="32"/>
  <c r="H46" i="32"/>
  <c r="AD45" i="32"/>
  <c r="F63" i="33" s="1"/>
  <c r="J63" i="33" s="1"/>
  <c r="AC45" i="32"/>
  <c r="E63" i="33" s="1"/>
  <c r="I63" i="33" s="1"/>
  <c r="AD44" i="32"/>
  <c r="F62" i="33" s="1"/>
  <c r="J62" i="33" s="1"/>
  <c r="AC44" i="32"/>
  <c r="E62" i="33" s="1"/>
  <c r="I62" i="33" s="1"/>
  <c r="AD43" i="32"/>
  <c r="F61" i="33" s="1"/>
  <c r="J61" i="33" s="1"/>
  <c r="AC43" i="32"/>
  <c r="E61" i="33" s="1"/>
  <c r="I61" i="33" s="1"/>
  <c r="AD42" i="32"/>
  <c r="F60" i="33" s="1"/>
  <c r="AC42" i="32"/>
  <c r="E60" i="33" s="1"/>
  <c r="AD41" i="32"/>
  <c r="F59" i="33" s="1"/>
  <c r="AC41" i="32"/>
  <c r="E59" i="33" s="1"/>
  <c r="AD40" i="32"/>
  <c r="F57" i="33" s="1"/>
  <c r="J57" i="33" s="1"/>
  <c r="AC40" i="32"/>
  <c r="E57" i="33" s="1"/>
  <c r="I57" i="33" s="1"/>
  <c r="AD39" i="32"/>
  <c r="F56" i="33" s="1"/>
  <c r="J56" i="33" s="1"/>
  <c r="AC39" i="32"/>
  <c r="E56" i="33" s="1"/>
  <c r="I56" i="33" s="1"/>
  <c r="AD38" i="32"/>
  <c r="F55" i="33" s="1"/>
  <c r="J55" i="33" s="1"/>
  <c r="AC38" i="32"/>
  <c r="E55" i="33" s="1"/>
  <c r="I55" i="33" s="1"/>
  <c r="AD37" i="32"/>
  <c r="F52" i="33" s="1"/>
  <c r="J52" i="33" s="1"/>
  <c r="AC37" i="32"/>
  <c r="E52" i="33" s="1"/>
  <c r="I52" i="33" s="1"/>
  <c r="AD36" i="32"/>
  <c r="F51" i="33" s="1"/>
  <c r="J51" i="33" s="1"/>
  <c r="AC36" i="32"/>
  <c r="E51" i="33" s="1"/>
  <c r="I51" i="33" s="1"/>
  <c r="AE35" i="32"/>
  <c r="AD32" i="32"/>
  <c r="F47" i="33" s="1"/>
  <c r="J47" i="33" s="1"/>
  <c r="AC32" i="32"/>
  <c r="E47" i="33" s="1"/>
  <c r="I47" i="33" s="1"/>
  <c r="AD31" i="32"/>
  <c r="F46" i="33" s="1"/>
  <c r="J46" i="33" s="1"/>
  <c r="AC31" i="32"/>
  <c r="E46" i="33" s="1"/>
  <c r="I46" i="33" s="1"/>
  <c r="AD30" i="32"/>
  <c r="F45" i="33" s="1"/>
  <c r="J45" i="33" s="1"/>
  <c r="AC30" i="32"/>
  <c r="E45" i="33" s="1"/>
  <c r="I45" i="33" s="1"/>
  <c r="AD29" i="32"/>
  <c r="F44" i="33" s="1"/>
  <c r="J44" i="33" s="1"/>
  <c r="AC29" i="32"/>
  <c r="E44" i="33" s="1"/>
  <c r="I44" i="33" s="1"/>
  <c r="AD28" i="32"/>
  <c r="F43" i="33" s="1"/>
  <c r="J43" i="33" s="1"/>
  <c r="AC28" i="32"/>
  <c r="E43" i="33" s="1"/>
  <c r="I43" i="33" s="1"/>
  <c r="AD27" i="32"/>
  <c r="F42" i="33" s="1"/>
  <c r="J42" i="33" s="1"/>
  <c r="AC27" i="32"/>
  <c r="E42" i="33" s="1"/>
  <c r="I42" i="33" s="1"/>
  <c r="AD26" i="32"/>
  <c r="F41" i="33" s="1"/>
  <c r="J41" i="33" s="1"/>
  <c r="AC26" i="32"/>
  <c r="E41" i="33" s="1"/>
  <c r="I41" i="33" s="1"/>
  <c r="AD25" i="32"/>
  <c r="AC25" i="32"/>
  <c r="E39" i="33" s="1"/>
  <c r="I39" i="33" s="1"/>
  <c r="E64" i="31"/>
  <c r="E88" i="31"/>
  <c r="G64" i="31" s="1"/>
  <c r="E56" i="31"/>
  <c r="G52" i="31"/>
  <c r="G56" i="31" s="1"/>
  <c r="F52" i="31"/>
  <c r="F56" i="31" s="1"/>
  <c r="E52" i="31"/>
  <c r="D52" i="31"/>
  <c r="D56" i="31" s="1"/>
  <c r="G34" i="31"/>
  <c r="G30" i="31"/>
  <c r="F30" i="31"/>
  <c r="F34" i="31" s="1"/>
  <c r="E30" i="31"/>
  <c r="E34" i="31" s="1"/>
  <c r="D30" i="31"/>
  <c r="D34" i="31" s="1"/>
  <c r="E83" i="29"/>
  <c r="G66" i="29" s="1"/>
  <c r="E59" i="29"/>
  <c r="D59" i="29"/>
  <c r="G53" i="29"/>
  <c r="F53" i="29"/>
  <c r="H51" i="29"/>
  <c r="H50" i="29"/>
  <c r="H49" i="29"/>
  <c r="H48" i="29"/>
  <c r="H47" i="29"/>
  <c r="H46" i="29"/>
  <c r="H45" i="29"/>
  <c r="H44" i="29"/>
  <c r="H43" i="29"/>
  <c r="H42" i="29"/>
  <c r="H41" i="29"/>
  <c r="H40" i="29"/>
  <c r="H32" i="29"/>
  <c r="G30" i="29"/>
  <c r="G34" i="29" s="1"/>
  <c r="G36" i="29" s="1"/>
  <c r="F30" i="29"/>
  <c r="F34" i="29" s="1"/>
  <c r="F36" i="29" s="1"/>
  <c r="E30" i="29"/>
  <c r="E34" i="29" s="1"/>
  <c r="D30" i="29"/>
  <c r="D34" i="29" s="1"/>
  <c r="H28" i="29"/>
  <c r="H27" i="29"/>
  <c r="H26" i="29"/>
  <c r="H25" i="29"/>
  <c r="H24" i="29"/>
  <c r="H23" i="29"/>
  <c r="H22" i="29"/>
  <c r="H21" i="29"/>
  <c r="H20" i="29"/>
  <c r="H19" i="29"/>
  <c r="H18" i="29"/>
  <c r="H17" i="29"/>
  <c r="D51" i="28"/>
  <c r="D46" i="28"/>
  <c r="H46" i="28" s="1"/>
  <c r="D56" i="28"/>
  <c r="G52" i="28"/>
  <c r="F52" i="28"/>
  <c r="E50" i="28"/>
  <c r="E52" i="28" s="1"/>
  <c r="G47" i="28"/>
  <c r="M33" i="28"/>
  <c r="L33" i="28"/>
  <c r="E57" i="28" s="1"/>
  <c r="M32" i="28"/>
  <c r="L32" i="28"/>
  <c r="E53" i="28" s="1"/>
  <c r="M31" i="28"/>
  <c r="L31" i="28"/>
  <c r="M30" i="28"/>
  <c r="L30" i="28"/>
  <c r="M28" i="28"/>
  <c r="L28" i="28"/>
  <c r="M27" i="28"/>
  <c r="L27" i="28"/>
  <c r="M26" i="28"/>
  <c r="L26" i="28"/>
  <c r="M25" i="28"/>
  <c r="L25" i="28"/>
  <c r="K24" i="28"/>
  <c r="J24" i="28"/>
  <c r="E55" i="28" s="1"/>
  <c r="I24" i="28"/>
  <c r="H24" i="28"/>
  <c r="G24" i="28"/>
  <c r="F24" i="28"/>
  <c r="F42" i="28" s="1"/>
  <c r="F47" i="28" s="1"/>
  <c r="E24" i="28"/>
  <c r="D24" i="28"/>
  <c r="E42" i="28" s="1"/>
  <c r="E47" i="28" s="1"/>
  <c r="K22" i="28"/>
  <c r="K35" i="28" s="1"/>
  <c r="J22" i="28"/>
  <c r="J35" i="28" s="1"/>
  <c r="I22" i="28"/>
  <c r="I35" i="28" s="1"/>
  <c r="H22" i="28"/>
  <c r="H35" i="28" s="1"/>
  <c r="G22" i="28"/>
  <c r="G35" i="28" s="1"/>
  <c r="F22" i="28"/>
  <c r="F35" i="28" s="1"/>
  <c r="E22" i="28"/>
  <c r="E35" i="28" s="1"/>
  <c r="D22" i="28"/>
  <c r="D35" i="28" s="1"/>
  <c r="M20" i="28"/>
  <c r="L20" i="28"/>
  <c r="M19" i="28"/>
  <c r="L19" i="28"/>
  <c r="M18" i="28"/>
  <c r="L18" i="28"/>
  <c r="M17" i="28"/>
  <c r="L17" i="28"/>
  <c r="L17" i="26"/>
  <c r="G72" i="26"/>
  <c r="D75" i="26"/>
  <c r="G79" i="26"/>
  <c r="F79" i="26"/>
  <c r="D79" i="26"/>
  <c r="G76" i="26"/>
  <c r="F76" i="26"/>
  <c r="H71" i="26"/>
  <c r="K53" i="26"/>
  <c r="K55" i="26" s="1"/>
  <c r="J53" i="26"/>
  <c r="I53" i="26"/>
  <c r="I55" i="26" s="1"/>
  <c r="H53" i="26"/>
  <c r="H55" i="26" s="1"/>
  <c r="G53" i="26"/>
  <c r="F53" i="26"/>
  <c r="F55" i="26" s="1"/>
  <c r="F57" i="26" s="1"/>
  <c r="E53" i="26"/>
  <c r="E55" i="26" s="1"/>
  <c r="E57" i="26" s="1"/>
  <c r="D53" i="26"/>
  <c r="D55" i="26" s="1"/>
  <c r="M51" i="26"/>
  <c r="L51" i="26"/>
  <c r="M50" i="26"/>
  <c r="L50" i="26"/>
  <c r="M49" i="26"/>
  <c r="L49" i="26"/>
  <c r="M48" i="26"/>
  <c r="L48" i="26"/>
  <c r="M47" i="26"/>
  <c r="L47" i="26"/>
  <c r="M46" i="26"/>
  <c r="L46" i="26"/>
  <c r="M45" i="26"/>
  <c r="L45" i="26"/>
  <c r="M44" i="26"/>
  <c r="L44" i="26"/>
  <c r="M43" i="26"/>
  <c r="L43" i="26"/>
  <c r="M42" i="26"/>
  <c r="L42" i="26"/>
  <c r="M41" i="26"/>
  <c r="L41" i="26"/>
  <c r="M40" i="26"/>
  <c r="L40" i="26"/>
  <c r="M32" i="26"/>
  <c r="K30" i="26"/>
  <c r="K34" i="26" s="1"/>
  <c r="J30" i="26"/>
  <c r="J34" i="26" s="1"/>
  <c r="I30" i="26"/>
  <c r="I34" i="26" s="1"/>
  <c r="H30" i="26"/>
  <c r="H34" i="26" s="1"/>
  <c r="G30" i="26"/>
  <c r="G34" i="26" s="1"/>
  <c r="F30" i="26"/>
  <c r="F34" i="26" s="1"/>
  <c r="E30" i="26"/>
  <c r="E34" i="26" s="1"/>
  <c r="D30" i="26"/>
  <c r="D34" i="26" s="1"/>
  <c r="M28" i="26"/>
  <c r="L28" i="26"/>
  <c r="M27" i="26"/>
  <c r="L27" i="26"/>
  <c r="M26" i="26"/>
  <c r="L26" i="26"/>
  <c r="M25" i="26"/>
  <c r="L25" i="26"/>
  <c r="M24" i="26"/>
  <c r="L24" i="26"/>
  <c r="M23" i="26"/>
  <c r="L23" i="26"/>
  <c r="M22" i="26"/>
  <c r="L22" i="26"/>
  <c r="M21" i="26"/>
  <c r="L21" i="26"/>
  <c r="M20" i="26"/>
  <c r="L20" i="26"/>
  <c r="M19" i="26"/>
  <c r="L19" i="26"/>
  <c r="M18" i="26"/>
  <c r="L18" i="26"/>
  <c r="M17" i="26"/>
  <c r="H1709" i="11"/>
  <c r="G1709" i="11"/>
  <c r="H1708" i="11"/>
  <c r="G1708" i="11"/>
  <c r="H1707" i="11"/>
  <c r="G1707" i="11"/>
  <c r="H1706" i="11"/>
  <c r="G1706" i="11"/>
  <c r="H1705" i="11"/>
  <c r="G1705" i="11"/>
  <c r="H1704" i="11"/>
  <c r="G1704" i="11"/>
  <c r="H1703" i="11"/>
  <c r="G1703" i="11"/>
  <c r="H1702" i="11"/>
  <c r="G1702" i="11"/>
  <c r="H1701" i="11"/>
  <c r="G1701" i="11"/>
  <c r="H1700" i="11"/>
  <c r="G1700" i="11"/>
  <c r="H1699" i="11"/>
  <c r="G1699" i="11"/>
  <c r="H1698" i="11"/>
  <c r="G1698" i="11"/>
  <c r="H1697" i="11"/>
  <c r="G1697" i="11"/>
  <c r="H1696" i="11"/>
  <c r="G1696" i="11"/>
  <c r="H1695" i="11"/>
  <c r="G1695" i="11"/>
  <c r="H1694" i="11"/>
  <c r="G1694" i="11"/>
  <c r="H1693" i="11"/>
  <c r="G1693" i="11"/>
  <c r="H1692" i="11"/>
  <c r="G1692" i="11"/>
  <c r="H1691" i="11"/>
  <c r="G1691" i="11"/>
  <c r="H1690" i="11"/>
  <c r="G1690" i="11"/>
  <c r="H1689" i="11"/>
  <c r="G1689" i="11"/>
  <c r="H1688" i="11"/>
  <c r="G1688" i="11"/>
  <c r="H1687" i="11"/>
  <c r="G1687" i="11"/>
  <c r="H1686" i="11"/>
  <c r="G1686" i="11"/>
  <c r="H1685" i="11"/>
  <c r="G1685" i="11"/>
  <c r="H1684" i="11"/>
  <c r="G1684" i="11"/>
  <c r="H1683" i="11"/>
  <c r="G1683" i="11"/>
  <c r="H1682" i="11"/>
  <c r="G1682" i="11"/>
  <c r="H1681" i="11"/>
  <c r="G1681" i="11"/>
  <c r="H1680" i="11"/>
  <c r="G1680" i="11"/>
  <c r="H1679" i="11"/>
  <c r="G1679" i="11"/>
  <c r="H1678" i="11"/>
  <c r="G1678" i="11"/>
  <c r="H1677" i="11"/>
  <c r="G1677" i="11"/>
  <c r="H1676" i="11"/>
  <c r="G1676" i="11"/>
  <c r="H1675" i="11"/>
  <c r="G1675" i="11"/>
  <c r="H1674" i="11"/>
  <c r="G1674" i="11"/>
  <c r="H1673" i="11"/>
  <c r="G1673" i="11"/>
  <c r="H1672" i="11"/>
  <c r="G1672" i="11"/>
  <c r="H1671" i="11"/>
  <c r="G1671" i="11"/>
  <c r="H1670" i="11"/>
  <c r="G1670" i="11"/>
  <c r="H1669" i="11"/>
  <c r="G1669" i="11"/>
  <c r="H1668" i="11"/>
  <c r="G1668" i="11"/>
  <c r="H1667" i="11"/>
  <c r="G1667" i="11"/>
  <c r="H1666" i="11"/>
  <c r="G1666" i="11"/>
  <c r="H1665" i="11"/>
  <c r="G1665" i="11"/>
  <c r="H1664" i="11"/>
  <c r="G1664" i="11"/>
  <c r="H1663" i="11"/>
  <c r="G1663" i="11"/>
  <c r="H1662" i="11"/>
  <c r="G1662" i="11"/>
  <c r="H1661" i="11"/>
  <c r="G1661" i="11"/>
  <c r="H1660" i="11"/>
  <c r="G1660" i="11"/>
  <c r="H1659" i="11"/>
  <c r="G1659" i="11"/>
  <c r="H1658" i="11"/>
  <c r="G1658" i="11"/>
  <c r="H1657" i="11"/>
  <c r="G1657" i="11"/>
  <c r="H1656" i="11"/>
  <c r="G1656" i="11"/>
  <c r="H1655" i="11"/>
  <c r="G1655" i="11"/>
  <c r="H1654" i="11"/>
  <c r="G1654" i="11"/>
  <c r="H1653" i="11"/>
  <c r="G1653" i="11"/>
  <c r="H1652" i="11"/>
  <c r="G1652" i="11"/>
  <c r="H1651" i="11"/>
  <c r="G1651" i="11"/>
  <c r="H1650" i="11"/>
  <c r="G1650" i="11"/>
  <c r="H1649" i="11"/>
  <c r="G1649" i="11"/>
  <c r="H1648" i="11"/>
  <c r="G1648" i="11"/>
  <c r="H1647" i="11"/>
  <c r="G1647" i="11"/>
  <c r="H1646" i="11"/>
  <c r="G1646" i="11"/>
  <c r="H1645" i="11"/>
  <c r="G1645" i="11"/>
  <c r="H1644" i="11"/>
  <c r="G1644" i="11"/>
  <c r="H1643" i="11"/>
  <c r="G1643" i="11"/>
  <c r="H1642" i="11"/>
  <c r="G1642" i="11"/>
  <c r="H1641" i="11"/>
  <c r="G1641" i="11"/>
  <c r="H1640" i="11"/>
  <c r="G1640" i="11"/>
  <c r="H1639" i="11"/>
  <c r="G1639" i="11"/>
  <c r="H1638" i="11"/>
  <c r="G1638" i="11"/>
  <c r="H1637" i="11"/>
  <c r="G1637" i="11"/>
  <c r="H1636" i="11"/>
  <c r="G1636" i="11"/>
  <c r="H1635" i="11"/>
  <c r="G1635" i="11"/>
  <c r="H1634" i="11"/>
  <c r="G1634" i="11"/>
  <c r="H1633" i="11"/>
  <c r="G1633" i="11"/>
  <c r="H1632" i="11"/>
  <c r="G1632" i="11"/>
  <c r="H1631" i="11"/>
  <c r="G1631" i="11"/>
  <c r="H1630" i="11"/>
  <c r="G1630" i="11"/>
  <c r="H1629" i="11"/>
  <c r="G1629" i="11"/>
  <c r="H1628" i="11"/>
  <c r="G1628" i="11"/>
  <c r="H1627" i="11"/>
  <c r="G1627" i="11"/>
  <c r="H1626" i="11"/>
  <c r="G1626" i="11"/>
  <c r="H1625" i="11"/>
  <c r="G1625" i="11"/>
  <c r="H1624" i="11"/>
  <c r="G1624" i="11"/>
  <c r="H1623" i="11"/>
  <c r="G1623" i="11"/>
  <c r="H1622" i="11"/>
  <c r="G1622" i="11"/>
  <c r="H1621" i="11"/>
  <c r="G1621" i="11"/>
  <c r="H1620" i="11"/>
  <c r="G1620" i="11"/>
  <c r="H1619" i="11"/>
  <c r="G1619" i="11"/>
  <c r="H1618" i="11"/>
  <c r="G1618" i="11"/>
  <c r="H1617" i="11"/>
  <c r="G1617" i="11"/>
  <c r="H1616" i="11"/>
  <c r="G1616" i="11"/>
  <c r="H1615" i="11"/>
  <c r="G1615" i="11"/>
  <c r="H1614" i="11"/>
  <c r="G1614" i="11"/>
  <c r="H1613" i="11"/>
  <c r="G1613" i="11"/>
  <c r="H1612" i="11"/>
  <c r="G1612" i="11"/>
  <c r="H1611" i="11"/>
  <c r="G1611" i="11"/>
  <c r="H1610" i="11"/>
  <c r="G1610" i="11"/>
  <c r="H1609" i="11"/>
  <c r="G1609" i="11"/>
  <c r="H1608" i="11"/>
  <c r="G1608" i="11"/>
  <c r="H1607" i="11"/>
  <c r="G1607" i="11"/>
  <c r="H1606" i="11"/>
  <c r="G1606" i="11"/>
  <c r="H1605" i="11"/>
  <c r="G1605" i="11"/>
  <c r="H1604" i="11"/>
  <c r="G1604" i="11"/>
  <c r="H1603" i="11"/>
  <c r="G1603" i="11"/>
  <c r="H1602" i="11"/>
  <c r="G1602" i="11"/>
  <c r="H1601" i="11"/>
  <c r="G1601" i="11"/>
  <c r="H1600" i="11"/>
  <c r="G1600" i="11"/>
  <c r="H1599" i="11"/>
  <c r="G1599" i="11"/>
  <c r="H1598" i="11"/>
  <c r="G1598" i="11"/>
  <c r="H1597" i="11"/>
  <c r="G1597" i="11"/>
  <c r="H1596" i="11"/>
  <c r="G1596" i="11"/>
  <c r="H1595" i="11"/>
  <c r="G1595" i="11"/>
  <c r="H1594" i="11"/>
  <c r="G1594" i="11"/>
  <c r="H1593" i="11"/>
  <c r="G1593" i="11"/>
  <c r="H1592" i="11"/>
  <c r="G1592" i="11"/>
  <c r="H1591" i="11"/>
  <c r="G1591" i="11"/>
  <c r="H1590" i="11"/>
  <c r="G1590" i="11"/>
  <c r="H1589" i="11"/>
  <c r="G1589" i="11"/>
  <c r="H1588" i="11"/>
  <c r="G1588" i="11"/>
  <c r="H1587" i="11"/>
  <c r="G1587" i="11"/>
  <c r="H1586" i="11"/>
  <c r="G1586" i="11"/>
  <c r="H1585" i="11"/>
  <c r="G1585" i="11"/>
  <c r="H1584" i="11"/>
  <c r="G1584" i="11"/>
  <c r="H1583" i="11"/>
  <c r="G1583" i="11"/>
  <c r="H1582" i="11"/>
  <c r="G1582" i="11"/>
  <c r="H1581" i="11"/>
  <c r="G1581" i="11"/>
  <c r="H1580" i="11"/>
  <c r="G1580" i="11"/>
  <c r="H1579" i="11"/>
  <c r="G1579" i="11"/>
  <c r="H1578" i="11"/>
  <c r="G1578" i="11"/>
  <c r="H1577" i="11"/>
  <c r="G1577" i="11"/>
  <c r="H1576" i="11"/>
  <c r="G1576" i="11"/>
  <c r="H1575" i="11"/>
  <c r="G1575" i="11"/>
  <c r="H1574" i="11"/>
  <c r="G1574" i="11"/>
  <c r="H1573" i="11"/>
  <c r="G1573" i="11"/>
  <c r="H1572" i="11"/>
  <c r="G1572" i="11"/>
  <c r="H1571" i="11"/>
  <c r="G1571" i="11"/>
  <c r="H1570" i="11"/>
  <c r="G1570" i="11"/>
  <c r="H1569" i="11"/>
  <c r="G1569" i="11"/>
  <c r="H1568" i="11"/>
  <c r="G1568" i="11"/>
  <c r="H1567" i="11"/>
  <c r="G1567" i="11"/>
  <c r="H1566" i="11"/>
  <c r="G1566" i="11"/>
  <c r="H1565" i="11"/>
  <c r="G1565" i="11"/>
  <c r="H1564" i="11"/>
  <c r="G1564" i="11"/>
  <c r="H1563" i="11"/>
  <c r="G1563" i="11"/>
  <c r="H1562" i="11"/>
  <c r="G1562" i="11"/>
  <c r="H1561" i="11"/>
  <c r="G1561" i="11"/>
  <c r="H1560" i="11"/>
  <c r="G1560" i="11"/>
  <c r="H1559" i="11"/>
  <c r="G1559" i="11"/>
  <c r="H1558" i="11"/>
  <c r="G1558" i="11"/>
  <c r="H1557" i="11"/>
  <c r="G1557" i="11"/>
  <c r="H1556" i="11"/>
  <c r="G1556" i="11"/>
  <c r="H1555" i="11"/>
  <c r="G1555" i="11"/>
  <c r="H1554" i="11"/>
  <c r="G1554" i="11"/>
  <c r="H1553" i="11"/>
  <c r="G1553" i="11"/>
  <c r="H1552" i="11"/>
  <c r="G1552" i="11"/>
  <c r="H1551" i="11"/>
  <c r="G1551" i="11"/>
  <c r="H1550" i="11"/>
  <c r="G1550" i="11"/>
  <c r="H1549" i="11"/>
  <c r="G1549" i="11"/>
  <c r="H1548" i="11"/>
  <c r="G1548" i="11"/>
  <c r="H1547" i="11"/>
  <c r="G1547" i="11"/>
  <c r="H1546" i="11"/>
  <c r="G1546" i="11"/>
  <c r="H1545" i="11"/>
  <c r="G1545" i="11"/>
  <c r="H1544" i="11"/>
  <c r="G1544" i="11"/>
  <c r="H1543" i="11"/>
  <c r="G1543" i="11"/>
  <c r="H1542" i="11"/>
  <c r="G1542" i="11"/>
  <c r="H1541" i="11"/>
  <c r="G1541" i="11"/>
  <c r="H1540" i="11"/>
  <c r="G1540" i="11"/>
  <c r="H1539" i="11"/>
  <c r="G1539" i="11"/>
  <c r="H1538" i="11"/>
  <c r="G1538" i="11"/>
  <c r="H1537" i="11"/>
  <c r="G1537" i="11"/>
  <c r="H1536" i="11"/>
  <c r="G1536" i="11"/>
  <c r="H1535" i="11"/>
  <c r="G1535" i="11"/>
  <c r="H1534" i="11"/>
  <c r="G1534" i="11"/>
  <c r="H1533" i="11"/>
  <c r="G1533" i="11"/>
  <c r="H1532" i="11"/>
  <c r="G1532" i="11"/>
  <c r="H1531" i="11"/>
  <c r="G1531" i="11"/>
  <c r="H1530" i="11"/>
  <c r="G1530" i="11"/>
  <c r="H1529" i="11"/>
  <c r="G1529" i="11"/>
  <c r="H1528" i="11"/>
  <c r="G1528" i="11"/>
  <c r="H1527" i="11"/>
  <c r="G1527" i="11"/>
  <c r="H1526" i="11"/>
  <c r="G1526" i="11"/>
  <c r="H1525" i="11"/>
  <c r="G1525" i="11"/>
  <c r="H1524" i="11"/>
  <c r="G1524" i="11"/>
  <c r="H1523" i="11"/>
  <c r="G1523" i="11"/>
  <c r="H1522" i="11"/>
  <c r="G1522" i="11"/>
  <c r="H1521" i="11"/>
  <c r="G1521" i="11"/>
  <c r="H1520" i="11"/>
  <c r="G1520" i="11"/>
  <c r="H1519" i="11"/>
  <c r="G1519" i="11"/>
  <c r="H1518" i="11"/>
  <c r="G1518" i="11"/>
  <c r="H1517" i="11"/>
  <c r="G1517" i="11"/>
  <c r="H1516" i="11"/>
  <c r="G1516" i="11"/>
  <c r="H1515" i="11"/>
  <c r="G1515" i="11"/>
  <c r="H1514" i="11"/>
  <c r="G1514" i="11"/>
  <c r="H1513" i="11"/>
  <c r="G1513" i="11"/>
  <c r="H1512" i="11"/>
  <c r="G1512" i="11"/>
  <c r="H1511" i="11"/>
  <c r="G1511" i="11"/>
  <c r="H1510" i="11"/>
  <c r="G1510" i="11"/>
  <c r="H1509" i="11"/>
  <c r="G1509" i="11"/>
  <c r="H1508" i="11"/>
  <c r="G1508" i="11"/>
  <c r="H1507" i="11"/>
  <c r="G1507" i="11"/>
  <c r="H1506" i="11"/>
  <c r="G1506" i="11"/>
  <c r="H1505" i="11"/>
  <c r="G1505" i="11"/>
  <c r="H1504" i="11"/>
  <c r="G1504" i="11"/>
  <c r="H1503" i="11"/>
  <c r="G1503" i="11"/>
  <c r="H1502" i="11"/>
  <c r="G1502" i="11"/>
  <c r="H1501" i="11"/>
  <c r="G1501" i="11"/>
  <c r="H1500" i="11"/>
  <c r="G1500" i="11"/>
  <c r="H1499" i="11"/>
  <c r="G1499" i="11"/>
  <c r="H1498" i="11"/>
  <c r="G1498" i="11"/>
  <c r="H1497" i="11"/>
  <c r="G1497" i="11"/>
  <c r="H1496" i="11"/>
  <c r="G1496" i="11"/>
  <c r="H1495" i="11"/>
  <c r="G1495" i="11"/>
  <c r="H1494" i="11"/>
  <c r="G1494" i="11"/>
  <c r="H1493" i="11"/>
  <c r="G1493" i="11"/>
  <c r="H1492" i="11"/>
  <c r="G1492" i="11"/>
  <c r="H1491" i="11"/>
  <c r="G1491" i="11"/>
  <c r="H1490" i="11"/>
  <c r="G1490" i="11"/>
  <c r="H1489" i="11"/>
  <c r="G1489" i="11"/>
  <c r="H1488" i="11"/>
  <c r="G1488" i="11"/>
  <c r="H1487" i="11"/>
  <c r="G1487" i="11"/>
  <c r="H1486" i="11"/>
  <c r="G1486" i="11"/>
  <c r="H1485" i="11"/>
  <c r="G1485" i="11"/>
  <c r="H1484" i="11"/>
  <c r="G1484" i="11"/>
  <c r="H1483" i="11"/>
  <c r="G1483" i="11"/>
  <c r="H1482" i="11"/>
  <c r="G1482" i="11"/>
  <c r="H1481" i="11"/>
  <c r="G1481" i="11"/>
  <c r="H1480" i="11"/>
  <c r="G1480" i="11"/>
  <c r="H1479" i="11"/>
  <c r="G1479" i="11"/>
  <c r="H1478" i="11"/>
  <c r="G1478" i="11"/>
  <c r="H1477" i="11"/>
  <c r="G1477" i="11"/>
  <c r="H1476" i="11"/>
  <c r="G1476" i="11"/>
  <c r="H1475" i="11"/>
  <c r="G1475" i="11"/>
  <c r="H1474" i="11"/>
  <c r="G1474" i="11"/>
  <c r="H1473" i="11"/>
  <c r="G1473" i="11"/>
  <c r="H1472" i="11"/>
  <c r="G1472" i="11"/>
  <c r="H1471" i="11"/>
  <c r="G1471" i="11"/>
  <c r="H1470" i="11"/>
  <c r="G1470" i="11"/>
  <c r="H1469" i="11"/>
  <c r="G1469" i="11"/>
  <c r="H1468" i="11"/>
  <c r="G1468" i="11"/>
  <c r="H1467" i="11"/>
  <c r="G1467" i="11"/>
  <c r="H1466" i="11"/>
  <c r="G1466" i="11"/>
  <c r="H1465" i="11"/>
  <c r="G1465" i="11"/>
  <c r="H1464" i="11"/>
  <c r="G1464" i="11"/>
  <c r="H1463" i="11"/>
  <c r="G1463" i="11"/>
  <c r="H1462" i="11"/>
  <c r="G1462" i="11"/>
  <c r="H1461" i="11"/>
  <c r="G1461" i="11"/>
  <c r="H1460" i="11"/>
  <c r="G1460" i="11"/>
  <c r="H1459" i="11"/>
  <c r="G1459" i="11"/>
  <c r="H1458" i="11"/>
  <c r="G1458" i="11"/>
  <c r="H1457" i="11"/>
  <c r="G1457" i="11"/>
  <c r="H1456" i="11"/>
  <c r="G1456" i="11"/>
  <c r="H1455" i="11"/>
  <c r="G1455" i="11"/>
  <c r="H1454" i="11"/>
  <c r="G1454" i="11"/>
  <c r="H1453" i="11"/>
  <c r="G1453" i="11"/>
  <c r="H1452" i="11"/>
  <c r="G1452" i="11"/>
  <c r="H1451" i="11"/>
  <c r="G1451" i="11"/>
  <c r="H1450" i="11"/>
  <c r="G1450" i="11"/>
  <c r="H1449" i="11"/>
  <c r="G1449" i="11"/>
  <c r="H1448" i="11"/>
  <c r="G1448" i="11"/>
  <c r="H1447" i="11"/>
  <c r="G1447" i="11"/>
  <c r="H1446" i="11"/>
  <c r="G1446" i="11"/>
  <c r="H1445" i="11"/>
  <c r="G1445" i="11"/>
  <c r="H1444" i="11"/>
  <c r="G1444" i="11"/>
  <c r="H1443" i="11"/>
  <c r="G1443" i="11"/>
  <c r="H1442" i="11"/>
  <c r="G1442" i="11"/>
  <c r="H1441" i="11"/>
  <c r="G1441" i="11"/>
  <c r="H1440" i="11"/>
  <c r="G1440" i="11"/>
  <c r="H1439" i="11"/>
  <c r="G1439" i="11"/>
  <c r="H1438" i="11"/>
  <c r="G1438" i="11"/>
  <c r="H1437" i="11"/>
  <c r="G1437" i="11"/>
  <c r="H1436" i="11"/>
  <c r="G1436" i="11"/>
  <c r="H1435" i="11"/>
  <c r="G1435" i="11"/>
  <c r="H1434" i="11"/>
  <c r="G1434" i="11"/>
  <c r="H1433" i="11"/>
  <c r="G1433" i="11"/>
  <c r="H1432" i="11"/>
  <c r="G1432" i="11"/>
  <c r="H1431" i="11"/>
  <c r="G1431" i="11"/>
  <c r="H1430" i="11"/>
  <c r="G1430" i="11"/>
  <c r="H1429" i="11"/>
  <c r="G1429" i="11"/>
  <c r="H1428" i="11"/>
  <c r="G1428" i="11"/>
  <c r="H1427" i="11"/>
  <c r="G1427" i="11"/>
  <c r="H1426" i="11"/>
  <c r="G1426" i="11"/>
  <c r="H1425" i="11"/>
  <c r="G1425" i="11"/>
  <c r="H1424" i="11"/>
  <c r="G1424" i="11"/>
  <c r="H1423" i="11"/>
  <c r="G1423" i="11"/>
  <c r="H1422" i="11"/>
  <c r="G1422" i="11"/>
  <c r="H1421" i="11"/>
  <c r="G1421" i="11"/>
  <c r="H1420" i="11"/>
  <c r="G1420" i="11"/>
  <c r="H1419" i="11"/>
  <c r="G1419" i="11"/>
  <c r="H1418" i="11"/>
  <c r="G1418" i="11"/>
  <c r="H1417" i="11"/>
  <c r="G1417" i="11"/>
  <c r="H1416" i="11"/>
  <c r="G1416" i="11"/>
  <c r="H1415" i="11"/>
  <c r="G1415" i="11"/>
  <c r="H1414" i="11"/>
  <c r="G1414" i="11"/>
  <c r="H1413" i="11"/>
  <c r="G1413" i="11"/>
  <c r="H1412" i="11"/>
  <c r="G1412" i="11"/>
  <c r="H1411" i="11"/>
  <c r="G1411" i="11"/>
  <c r="H1410" i="11"/>
  <c r="G1410" i="11"/>
  <c r="H1409" i="11"/>
  <c r="G1409" i="11"/>
  <c r="H1408" i="11"/>
  <c r="G1408" i="11"/>
  <c r="H1407" i="11"/>
  <c r="G1407" i="11"/>
  <c r="H1406" i="11"/>
  <c r="G1406" i="11"/>
  <c r="H1405" i="11"/>
  <c r="G1405" i="11"/>
  <c r="H1404" i="11"/>
  <c r="G1404" i="11"/>
  <c r="H1403" i="11"/>
  <c r="G1403" i="11"/>
  <c r="H1402" i="11"/>
  <c r="G1402" i="11"/>
  <c r="H1401" i="11"/>
  <c r="G1401" i="11"/>
  <c r="H1400" i="11"/>
  <c r="G1400" i="11"/>
  <c r="H1399" i="11"/>
  <c r="G1399" i="11"/>
  <c r="H1398" i="11"/>
  <c r="G1398" i="11"/>
  <c r="H1397" i="11"/>
  <c r="G1397" i="11"/>
  <c r="H1396" i="11"/>
  <c r="G1396" i="11"/>
  <c r="H1395" i="11"/>
  <c r="G1395" i="11"/>
  <c r="H1394" i="11"/>
  <c r="G1394" i="11"/>
  <c r="H1393" i="11"/>
  <c r="G1393" i="11"/>
  <c r="H1392" i="11"/>
  <c r="G1392" i="11"/>
  <c r="H1391" i="11"/>
  <c r="G1391" i="11"/>
  <c r="H1390" i="11"/>
  <c r="G1390" i="11"/>
  <c r="H1389" i="11"/>
  <c r="G1389" i="11"/>
  <c r="H1388" i="11"/>
  <c r="G1388" i="11"/>
  <c r="H1387" i="11"/>
  <c r="G1387" i="11"/>
  <c r="H1386" i="11"/>
  <c r="G1386" i="11"/>
  <c r="H1385" i="11"/>
  <c r="G1385" i="11"/>
  <c r="H1384" i="11"/>
  <c r="G1384" i="11"/>
  <c r="H1383" i="11"/>
  <c r="G1383" i="11"/>
  <c r="H1382" i="11"/>
  <c r="G1382" i="11"/>
  <c r="H1381" i="11"/>
  <c r="G1381" i="11"/>
  <c r="H1380" i="11"/>
  <c r="G1380" i="11"/>
  <c r="H1379" i="11"/>
  <c r="G1379" i="11"/>
  <c r="H1378" i="11"/>
  <c r="G1378" i="11"/>
  <c r="H1377" i="11"/>
  <c r="G1377" i="11"/>
  <c r="H1376" i="11"/>
  <c r="G1376" i="11"/>
  <c r="H1375" i="11"/>
  <c r="G1375" i="11"/>
  <c r="H1374" i="11"/>
  <c r="G1374" i="11"/>
  <c r="H1373" i="11"/>
  <c r="G1373" i="11"/>
  <c r="H1372" i="11"/>
  <c r="G1372" i="11"/>
  <c r="H1371" i="11"/>
  <c r="G1371" i="11"/>
  <c r="H1370" i="11"/>
  <c r="G1370" i="11"/>
  <c r="H1369" i="11"/>
  <c r="G1369" i="11"/>
  <c r="H1368" i="11"/>
  <c r="G1368" i="11"/>
  <c r="H1367" i="11"/>
  <c r="G1367" i="11"/>
  <c r="H1366" i="11"/>
  <c r="G1366" i="11"/>
  <c r="H1365" i="11"/>
  <c r="G1365" i="11"/>
  <c r="H1364" i="11"/>
  <c r="G1364" i="11"/>
  <c r="H1363" i="11"/>
  <c r="G1363" i="11"/>
  <c r="H1362" i="11"/>
  <c r="G1362" i="11"/>
  <c r="H1361" i="11"/>
  <c r="G1361" i="11"/>
  <c r="H1360" i="11"/>
  <c r="G1360" i="11"/>
  <c r="H1359" i="11"/>
  <c r="G1359" i="11"/>
  <c r="H1358" i="11"/>
  <c r="G1358" i="11"/>
  <c r="H1357" i="11"/>
  <c r="G1357" i="11"/>
  <c r="H1356" i="11"/>
  <c r="G1356" i="11"/>
  <c r="H1355" i="11"/>
  <c r="G1355" i="11"/>
  <c r="H1354" i="11"/>
  <c r="G1354" i="11"/>
  <c r="H1353" i="11"/>
  <c r="G1353" i="11"/>
  <c r="H1352" i="11"/>
  <c r="G1352" i="11"/>
  <c r="H1351" i="11"/>
  <c r="G1351" i="11"/>
  <c r="H1350" i="11"/>
  <c r="G1350" i="11"/>
  <c r="H1349" i="11"/>
  <c r="G1349" i="11"/>
  <c r="H1348" i="11"/>
  <c r="G1348" i="11"/>
  <c r="H1347" i="11"/>
  <c r="G1347" i="11"/>
  <c r="H1346" i="11"/>
  <c r="G1346" i="11"/>
  <c r="H1345" i="11"/>
  <c r="G1345" i="11"/>
  <c r="H1344" i="11"/>
  <c r="G1344" i="11"/>
  <c r="H1343" i="11"/>
  <c r="G1343" i="11"/>
  <c r="H1342" i="11"/>
  <c r="G1342" i="11"/>
  <c r="H1341" i="11"/>
  <c r="G1341" i="11"/>
  <c r="H1340" i="11"/>
  <c r="G1340" i="11"/>
  <c r="H1339" i="11"/>
  <c r="G1339" i="11"/>
  <c r="H1338" i="11"/>
  <c r="G1338" i="11"/>
  <c r="H1337" i="11"/>
  <c r="G1337" i="11"/>
  <c r="H1336" i="11"/>
  <c r="G1336" i="11"/>
  <c r="H1335" i="11"/>
  <c r="G1335" i="11"/>
  <c r="H1334" i="11"/>
  <c r="G1334" i="11"/>
  <c r="H1333" i="11"/>
  <c r="G1333" i="11"/>
  <c r="H1332" i="11"/>
  <c r="G1332" i="11"/>
  <c r="H1331" i="11"/>
  <c r="G1331" i="11"/>
  <c r="H1330" i="11"/>
  <c r="G1330" i="11"/>
  <c r="H1329" i="11"/>
  <c r="G1329" i="11"/>
  <c r="H1328" i="11"/>
  <c r="G1328" i="11"/>
  <c r="H1327" i="11"/>
  <c r="G1327" i="11"/>
  <c r="H1326" i="11"/>
  <c r="G1326" i="11"/>
  <c r="H1325" i="11"/>
  <c r="G1325" i="11"/>
  <c r="H1324" i="11"/>
  <c r="G1324" i="11"/>
  <c r="H1323" i="11"/>
  <c r="G1323" i="11"/>
  <c r="H1322" i="11"/>
  <c r="G1322" i="11"/>
  <c r="H1321" i="11"/>
  <c r="G1321" i="11"/>
  <c r="H1320" i="11"/>
  <c r="G1320" i="11"/>
  <c r="H1319" i="11"/>
  <c r="G1319" i="11"/>
  <c r="H1318" i="11"/>
  <c r="G1318" i="11"/>
  <c r="H1317" i="11"/>
  <c r="G1317" i="11"/>
  <c r="H1316" i="11"/>
  <c r="G1316" i="11"/>
  <c r="H1315" i="11"/>
  <c r="G1315" i="11"/>
  <c r="H1314" i="11"/>
  <c r="G1314" i="11"/>
  <c r="H1313" i="11"/>
  <c r="G1313" i="11"/>
  <c r="H1312" i="11"/>
  <c r="G1312" i="11"/>
  <c r="H1311" i="11"/>
  <c r="G1311" i="11"/>
  <c r="H1310" i="11"/>
  <c r="G1310" i="11"/>
  <c r="H1309" i="11"/>
  <c r="G1309" i="11"/>
  <c r="H1308" i="11"/>
  <c r="G1308" i="11"/>
  <c r="H1307" i="11"/>
  <c r="G1307" i="11"/>
  <c r="H1306" i="11"/>
  <c r="G1306" i="11"/>
  <c r="H1305" i="11"/>
  <c r="G1305" i="11"/>
  <c r="H1304" i="11"/>
  <c r="G1304" i="11"/>
  <c r="H1303" i="11"/>
  <c r="G1303" i="11"/>
  <c r="H1302" i="11"/>
  <c r="G1302" i="11"/>
  <c r="H1301" i="11"/>
  <c r="G1301" i="11"/>
  <c r="H1300" i="11"/>
  <c r="G1300" i="11"/>
  <c r="H1299" i="11"/>
  <c r="G1299" i="11"/>
  <c r="H1298" i="11"/>
  <c r="G1298" i="11"/>
  <c r="H1297" i="11"/>
  <c r="G1297" i="11"/>
  <c r="H1296" i="11"/>
  <c r="G1296" i="11"/>
  <c r="H1295" i="11"/>
  <c r="G1295" i="11"/>
  <c r="H1294" i="11"/>
  <c r="G1294" i="11"/>
  <c r="H1293" i="11"/>
  <c r="G1293" i="11"/>
  <c r="H1292" i="11"/>
  <c r="G1292" i="11"/>
  <c r="H1291" i="11"/>
  <c r="G1291" i="11"/>
  <c r="H1290" i="11"/>
  <c r="G1290" i="11"/>
  <c r="H1289" i="11"/>
  <c r="G1289" i="11"/>
  <c r="H1288" i="11"/>
  <c r="G1288" i="11"/>
  <c r="H1287" i="11"/>
  <c r="G1287" i="11"/>
  <c r="H1286" i="11"/>
  <c r="G1286" i="11"/>
  <c r="H1285" i="11"/>
  <c r="G1285" i="11"/>
  <c r="H1284" i="11"/>
  <c r="G1284" i="11"/>
  <c r="H1283" i="11"/>
  <c r="G1283" i="11"/>
  <c r="H1282" i="11"/>
  <c r="G1282" i="11"/>
  <c r="H1281" i="11"/>
  <c r="G1281" i="11"/>
  <c r="H1280" i="11"/>
  <c r="G1280" i="11"/>
  <c r="H1279" i="11"/>
  <c r="G1279" i="11"/>
  <c r="H1278" i="11"/>
  <c r="G1278" i="11"/>
  <c r="H1277" i="11"/>
  <c r="G1277" i="11"/>
  <c r="H1276" i="11"/>
  <c r="G1276" i="11"/>
  <c r="H1275" i="11"/>
  <c r="G1275" i="11"/>
  <c r="H1274" i="11"/>
  <c r="G1274" i="11"/>
  <c r="H1273" i="11"/>
  <c r="G1273" i="11"/>
  <c r="H1272" i="11"/>
  <c r="G1272" i="11"/>
  <c r="H1271" i="11"/>
  <c r="G1271" i="11"/>
  <c r="H1270" i="11"/>
  <c r="G1270" i="11"/>
  <c r="H1269" i="11"/>
  <c r="G1269" i="11"/>
  <c r="H1268" i="11"/>
  <c r="G1268" i="11"/>
  <c r="H1267" i="11"/>
  <c r="G1267" i="11"/>
  <c r="H1266" i="11"/>
  <c r="G1266" i="11"/>
  <c r="H1265" i="11"/>
  <c r="G1265" i="11"/>
  <c r="H1264" i="11"/>
  <c r="G1264" i="11"/>
  <c r="H1263" i="11"/>
  <c r="G1263" i="11"/>
  <c r="H1262" i="11"/>
  <c r="G1262" i="11"/>
  <c r="H1261" i="11"/>
  <c r="G1261" i="11"/>
  <c r="H1260" i="11"/>
  <c r="G1260" i="11"/>
  <c r="H1259" i="11"/>
  <c r="G1259" i="11"/>
  <c r="H1258" i="11"/>
  <c r="G1258" i="11"/>
  <c r="H1257" i="11"/>
  <c r="G1257" i="11"/>
  <c r="H1256" i="11"/>
  <c r="G1256" i="11"/>
  <c r="H1255" i="11"/>
  <c r="G1255" i="11"/>
  <c r="H1254" i="11"/>
  <c r="G1254" i="11"/>
  <c r="H1253" i="11"/>
  <c r="G1253" i="11"/>
  <c r="H1252" i="11"/>
  <c r="G1252" i="11"/>
  <c r="H1251" i="11"/>
  <c r="G1251" i="11"/>
  <c r="H1250" i="11"/>
  <c r="G1250" i="11"/>
  <c r="H1249" i="11"/>
  <c r="G1249" i="11"/>
  <c r="H1248" i="11"/>
  <c r="G1248" i="11"/>
  <c r="H1247" i="11"/>
  <c r="G1247" i="11"/>
  <c r="H1246" i="11"/>
  <c r="G1246" i="11"/>
  <c r="H1245" i="11"/>
  <c r="G1245" i="11"/>
  <c r="H1244" i="11"/>
  <c r="G1244" i="11"/>
  <c r="H1243" i="11"/>
  <c r="G1243" i="11"/>
  <c r="H1242" i="11"/>
  <c r="G1242" i="11"/>
  <c r="H1241" i="11"/>
  <c r="G1241" i="11"/>
  <c r="H1240" i="11"/>
  <c r="G1240" i="11"/>
  <c r="H1239" i="11"/>
  <c r="G1239" i="11"/>
  <c r="H1238" i="11"/>
  <c r="G1238" i="11"/>
  <c r="H1237" i="11"/>
  <c r="G1237" i="11"/>
  <c r="H1236" i="11"/>
  <c r="G1236" i="11"/>
  <c r="H1235" i="11"/>
  <c r="G1235" i="11"/>
  <c r="H1234" i="11"/>
  <c r="G1234" i="11"/>
  <c r="H1233" i="11"/>
  <c r="G1233" i="11"/>
  <c r="H1232" i="11"/>
  <c r="G1232" i="11"/>
  <c r="H1231" i="11"/>
  <c r="G1231" i="11"/>
  <c r="H1230" i="11"/>
  <c r="G1230" i="11"/>
  <c r="H1229" i="11"/>
  <c r="G1229" i="11"/>
  <c r="H1228" i="11"/>
  <c r="G1228" i="11"/>
  <c r="H1227" i="11"/>
  <c r="G1227" i="11"/>
  <c r="H1226" i="11"/>
  <c r="G1226" i="11"/>
  <c r="H1225" i="11"/>
  <c r="G1225" i="11"/>
  <c r="H1224" i="11"/>
  <c r="G1224" i="11"/>
  <c r="H1223" i="11"/>
  <c r="G1223" i="11"/>
  <c r="H1222" i="11"/>
  <c r="G1222" i="11"/>
  <c r="H1221" i="11"/>
  <c r="G1221" i="11"/>
  <c r="H1220" i="11"/>
  <c r="G1220" i="11"/>
  <c r="H1219" i="11"/>
  <c r="G1219" i="11"/>
  <c r="H1218" i="11"/>
  <c r="G1218" i="11"/>
  <c r="H1217" i="11"/>
  <c r="G1217" i="11"/>
  <c r="H1216" i="11"/>
  <c r="G1216" i="11"/>
  <c r="H1215" i="11"/>
  <c r="G1215" i="11"/>
  <c r="H1214" i="11"/>
  <c r="G1214" i="11"/>
  <c r="H1213" i="11"/>
  <c r="G1213" i="11"/>
  <c r="H1212" i="11"/>
  <c r="G1212" i="11"/>
  <c r="H1211" i="11"/>
  <c r="G1211" i="11"/>
  <c r="H1210" i="11"/>
  <c r="G1210" i="11"/>
  <c r="H1209" i="11"/>
  <c r="G1209" i="11"/>
  <c r="H1208" i="11"/>
  <c r="G1208" i="11"/>
  <c r="H1207" i="11"/>
  <c r="G1207" i="11"/>
  <c r="H1206" i="11"/>
  <c r="G1206" i="11"/>
  <c r="H1205" i="11"/>
  <c r="G1205" i="11"/>
  <c r="H1204" i="11"/>
  <c r="G1204" i="11"/>
  <c r="H1203" i="11"/>
  <c r="G1203" i="11"/>
  <c r="H1202" i="11"/>
  <c r="G1202" i="11"/>
  <c r="H1201" i="11"/>
  <c r="G1201" i="11"/>
  <c r="H1200" i="11"/>
  <c r="G1200" i="11"/>
  <c r="H1199" i="11"/>
  <c r="G1199" i="11"/>
  <c r="H1198" i="11"/>
  <c r="G1198" i="11"/>
  <c r="H1197" i="11"/>
  <c r="G1197" i="11"/>
  <c r="H1196" i="11"/>
  <c r="G1196" i="11"/>
  <c r="H1195" i="11"/>
  <c r="G1195" i="11"/>
  <c r="H1194" i="11"/>
  <c r="G1194" i="11"/>
  <c r="H1193" i="11"/>
  <c r="G1193" i="11"/>
  <c r="H1192" i="11"/>
  <c r="G1192" i="11"/>
  <c r="H1191" i="11"/>
  <c r="G1191" i="11"/>
  <c r="H1190" i="11"/>
  <c r="G1190" i="11"/>
  <c r="H1189" i="11"/>
  <c r="G1189" i="11"/>
  <c r="H1188" i="11"/>
  <c r="G1188" i="11"/>
  <c r="H1187" i="11"/>
  <c r="G1187" i="11"/>
  <c r="H1186" i="11"/>
  <c r="G1186" i="11"/>
  <c r="H1185" i="11"/>
  <c r="G1185" i="11"/>
  <c r="H1184" i="11"/>
  <c r="G1184" i="11"/>
  <c r="H1183" i="11"/>
  <c r="G1183" i="11"/>
  <c r="H1182" i="11"/>
  <c r="G1182" i="11"/>
  <c r="H1181" i="11"/>
  <c r="G1181" i="11"/>
  <c r="H1180" i="11"/>
  <c r="G1180" i="11"/>
  <c r="H1179" i="11"/>
  <c r="G1179" i="11"/>
  <c r="H1178" i="11"/>
  <c r="G1178" i="11"/>
  <c r="H1177" i="11"/>
  <c r="G1177" i="11"/>
  <c r="H1176" i="11"/>
  <c r="G1176" i="11"/>
  <c r="H1175" i="11"/>
  <c r="G1175" i="11"/>
  <c r="H1174" i="11"/>
  <c r="G1174" i="11"/>
  <c r="H1173" i="11"/>
  <c r="G1173" i="11"/>
  <c r="H1172" i="11"/>
  <c r="G1172" i="11"/>
  <c r="H1171" i="11"/>
  <c r="G1171" i="11"/>
  <c r="H1170" i="11"/>
  <c r="G1170" i="11"/>
  <c r="H1169" i="11"/>
  <c r="G1169" i="11"/>
  <c r="H1168" i="11"/>
  <c r="G1168" i="11"/>
  <c r="H1167" i="11"/>
  <c r="G1167" i="11"/>
  <c r="H1166" i="11"/>
  <c r="G1166" i="11"/>
  <c r="H1165" i="11"/>
  <c r="G1165" i="11"/>
  <c r="H1164" i="11"/>
  <c r="G1164" i="11"/>
  <c r="H1163" i="11"/>
  <c r="G1163" i="11"/>
  <c r="H1162" i="11"/>
  <c r="G1162" i="11"/>
  <c r="H1161" i="11"/>
  <c r="G1161" i="11"/>
  <c r="H1160" i="11"/>
  <c r="G1160" i="11"/>
  <c r="H1159" i="11"/>
  <c r="G1159" i="11"/>
  <c r="H1158" i="11"/>
  <c r="G1158" i="11"/>
  <c r="H1157" i="11"/>
  <c r="G1157" i="11"/>
  <c r="H1156" i="11"/>
  <c r="G1156" i="11"/>
  <c r="H1155" i="11"/>
  <c r="G1155" i="11"/>
  <c r="H1154" i="11"/>
  <c r="G1154" i="11"/>
  <c r="H1153" i="11"/>
  <c r="G1153" i="11"/>
  <c r="H1152" i="11"/>
  <c r="G1152" i="11"/>
  <c r="H1151" i="11"/>
  <c r="G1151" i="11"/>
  <c r="H1150" i="11"/>
  <c r="G1150" i="11"/>
  <c r="H1149" i="11"/>
  <c r="G1149" i="11"/>
  <c r="H1148" i="11"/>
  <c r="G1148" i="11"/>
  <c r="H1147" i="11"/>
  <c r="G1147" i="11"/>
  <c r="H1146" i="11"/>
  <c r="G1146" i="11"/>
  <c r="H1145" i="11"/>
  <c r="G1145" i="11"/>
  <c r="H1144" i="11"/>
  <c r="G1144" i="11"/>
  <c r="H1143" i="11"/>
  <c r="G1143" i="11"/>
  <c r="H1142" i="11"/>
  <c r="G1142" i="11"/>
  <c r="H1141" i="11"/>
  <c r="G1141" i="11"/>
  <c r="H1140" i="11"/>
  <c r="G1140" i="11"/>
  <c r="H1139" i="11"/>
  <c r="G1139" i="11"/>
  <c r="H1138" i="11"/>
  <c r="G1138" i="11"/>
  <c r="H1137" i="11"/>
  <c r="G1137" i="11"/>
  <c r="H1136" i="11"/>
  <c r="G1136" i="11"/>
  <c r="H1135" i="11"/>
  <c r="G1135" i="11"/>
  <c r="H1134" i="11"/>
  <c r="G1134" i="11"/>
  <c r="H1133" i="11"/>
  <c r="G1133" i="11"/>
  <c r="H1132" i="11"/>
  <c r="G1132" i="11"/>
  <c r="H1131" i="11"/>
  <c r="G1131" i="11"/>
  <c r="H1130" i="11"/>
  <c r="G1130" i="11"/>
  <c r="H1129" i="11"/>
  <c r="G1129" i="11"/>
  <c r="H1128" i="11"/>
  <c r="G1128" i="11"/>
  <c r="H1127" i="11"/>
  <c r="G1127" i="11"/>
  <c r="H1126" i="11"/>
  <c r="G1126" i="11"/>
  <c r="H1125" i="11"/>
  <c r="G1125" i="11"/>
  <c r="H1124" i="11"/>
  <c r="G1124" i="11"/>
  <c r="H1123" i="11"/>
  <c r="G1123" i="11"/>
  <c r="H1122" i="11"/>
  <c r="G1122" i="11"/>
  <c r="H1121" i="11"/>
  <c r="G1121" i="11"/>
  <c r="H1120" i="11"/>
  <c r="G1120" i="11"/>
  <c r="H1119" i="11"/>
  <c r="G1119" i="11"/>
  <c r="H1118" i="11"/>
  <c r="G1118" i="11"/>
  <c r="H1117" i="11"/>
  <c r="G1117" i="11"/>
  <c r="H1116" i="11"/>
  <c r="G1116" i="11"/>
  <c r="H1115" i="11"/>
  <c r="G1115" i="11"/>
  <c r="H1114" i="11"/>
  <c r="G1114" i="11"/>
  <c r="H1113" i="11"/>
  <c r="G1113" i="11"/>
  <c r="H1112" i="11"/>
  <c r="G1112" i="11"/>
  <c r="H1111" i="11"/>
  <c r="G1111" i="11"/>
  <c r="H1110" i="11"/>
  <c r="G1110" i="11"/>
  <c r="H1109" i="11"/>
  <c r="G1109" i="11"/>
  <c r="H1108" i="11"/>
  <c r="G1108" i="11"/>
  <c r="H1107" i="11"/>
  <c r="G1107" i="11"/>
  <c r="H1106" i="11"/>
  <c r="G1106" i="11"/>
  <c r="H1105" i="11"/>
  <c r="G1105" i="11"/>
  <c r="H1104" i="11"/>
  <c r="G1104" i="11"/>
  <c r="H1103" i="11"/>
  <c r="G1103" i="11"/>
  <c r="H1102" i="11"/>
  <c r="G1102" i="11"/>
  <c r="H1101" i="11"/>
  <c r="G1101" i="11"/>
  <c r="H1100" i="11"/>
  <c r="G1100" i="11"/>
  <c r="H1099" i="11"/>
  <c r="G1099" i="11"/>
  <c r="H1098" i="11"/>
  <c r="G1098" i="11"/>
  <c r="H1097" i="11"/>
  <c r="G1097" i="11"/>
  <c r="H1096" i="11"/>
  <c r="G1096" i="11"/>
  <c r="H1095" i="11"/>
  <c r="G1095" i="11"/>
  <c r="H1094" i="11"/>
  <c r="G1094" i="11"/>
  <c r="H1093" i="11"/>
  <c r="G1093" i="11"/>
  <c r="H1092" i="11"/>
  <c r="G1092" i="11"/>
  <c r="H1091" i="11"/>
  <c r="G1091" i="11"/>
  <c r="H1090" i="11"/>
  <c r="G1090" i="11"/>
  <c r="H1089" i="11"/>
  <c r="G1089" i="11"/>
  <c r="H1088" i="11"/>
  <c r="G1088" i="11"/>
  <c r="H1087" i="11"/>
  <c r="G1087" i="11"/>
  <c r="H1086" i="11"/>
  <c r="G1086" i="11"/>
  <c r="H1085" i="11"/>
  <c r="G1085" i="11"/>
  <c r="H1084" i="11"/>
  <c r="G1084" i="11"/>
  <c r="H1083" i="11"/>
  <c r="G1083" i="11"/>
  <c r="H1082" i="11"/>
  <c r="G1082" i="11"/>
  <c r="H1081" i="11"/>
  <c r="G1081" i="11"/>
  <c r="H1080" i="11"/>
  <c r="G1080" i="11"/>
  <c r="H1079" i="11"/>
  <c r="G1079" i="11"/>
  <c r="H1078" i="11"/>
  <c r="G1078" i="11"/>
  <c r="H1077" i="11"/>
  <c r="G1077" i="11"/>
  <c r="H1076" i="11"/>
  <c r="G1076" i="11"/>
  <c r="H1075" i="11"/>
  <c r="G1075" i="11"/>
  <c r="H1074" i="11"/>
  <c r="G1074" i="11"/>
  <c r="H1073" i="11"/>
  <c r="G1073" i="11"/>
  <c r="H1072" i="11"/>
  <c r="G1072" i="11"/>
  <c r="H1071" i="11"/>
  <c r="G1071" i="11"/>
  <c r="H1070" i="11"/>
  <c r="G1070" i="11"/>
  <c r="H1069" i="11"/>
  <c r="G1069" i="11"/>
  <c r="H1068" i="11"/>
  <c r="G1068" i="11"/>
  <c r="H1067" i="11"/>
  <c r="G1067" i="11"/>
  <c r="H1066" i="11"/>
  <c r="G1066" i="11"/>
  <c r="H1065" i="11"/>
  <c r="G1065" i="11"/>
  <c r="H1064" i="11"/>
  <c r="G1064" i="11"/>
  <c r="H1063" i="11"/>
  <c r="G1063" i="11"/>
  <c r="H1062" i="11"/>
  <c r="G1062" i="11"/>
  <c r="H1061" i="11"/>
  <c r="G1061" i="11"/>
  <c r="H1060" i="11"/>
  <c r="G1060" i="11"/>
  <c r="H1059" i="11"/>
  <c r="G1059" i="11"/>
  <c r="H1058" i="11"/>
  <c r="G1058" i="11"/>
  <c r="H1057" i="11"/>
  <c r="G1057" i="11"/>
  <c r="H1056" i="11"/>
  <c r="G1056" i="11"/>
  <c r="H1055" i="11"/>
  <c r="G1055" i="11"/>
  <c r="H1054" i="11"/>
  <c r="G1054" i="11"/>
  <c r="H1053" i="11"/>
  <c r="G1053" i="11"/>
  <c r="H1052" i="11"/>
  <c r="G1052" i="11"/>
  <c r="H1051" i="11"/>
  <c r="G1051" i="11"/>
  <c r="H1050" i="11"/>
  <c r="G1050" i="11"/>
  <c r="H1049" i="11"/>
  <c r="G1049" i="11"/>
  <c r="H1048" i="11"/>
  <c r="G1048" i="11"/>
  <c r="H1047" i="11"/>
  <c r="G1047" i="11"/>
  <c r="H1046" i="11"/>
  <c r="G1046" i="11"/>
  <c r="H1045" i="11"/>
  <c r="G1045" i="11"/>
  <c r="H1044" i="11"/>
  <c r="G1044" i="11"/>
  <c r="H1043" i="11"/>
  <c r="G1043" i="11"/>
  <c r="H1042" i="11"/>
  <c r="G1042" i="11"/>
  <c r="H1041" i="11"/>
  <c r="G1041" i="11"/>
  <c r="H1040" i="11"/>
  <c r="G1040" i="11"/>
  <c r="H1039" i="11"/>
  <c r="G1039" i="11"/>
  <c r="H1038" i="11"/>
  <c r="G1038" i="11"/>
  <c r="H1037" i="11"/>
  <c r="G1037" i="11"/>
  <c r="H1036" i="11"/>
  <c r="G1036" i="11"/>
  <c r="H1035" i="11"/>
  <c r="G1035" i="11"/>
  <c r="H1034" i="11"/>
  <c r="G1034" i="11"/>
  <c r="H1033" i="11"/>
  <c r="G1033" i="11"/>
  <c r="H1032" i="11"/>
  <c r="G1032" i="11"/>
  <c r="H1031" i="11"/>
  <c r="G1031" i="11"/>
  <c r="H1030" i="11"/>
  <c r="G1030" i="11"/>
  <c r="H1029" i="11"/>
  <c r="G1029" i="11"/>
  <c r="H1028" i="11"/>
  <c r="G1028" i="11"/>
  <c r="H1027" i="11"/>
  <c r="G1027" i="11"/>
  <c r="H1026" i="11"/>
  <c r="G1026" i="11"/>
  <c r="H1025" i="11"/>
  <c r="G1025" i="11"/>
  <c r="H1024" i="11"/>
  <c r="G1024" i="11"/>
  <c r="H1023" i="11"/>
  <c r="G1023" i="11"/>
  <c r="H1022" i="11"/>
  <c r="G1022" i="11"/>
  <c r="H1021" i="11"/>
  <c r="G1021" i="11"/>
  <c r="H1020" i="11"/>
  <c r="G1020" i="11"/>
  <c r="H1019" i="11"/>
  <c r="G1019" i="11"/>
  <c r="H1018" i="11"/>
  <c r="G1018" i="11"/>
  <c r="H1017" i="11"/>
  <c r="G1017" i="11"/>
  <c r="H1016" i="11"/>
  <c r="G1016" i="11"/>
  <c r="H1015" i="11"/>
  <c r="G1015" i="11"/>
  <c r="H1014" i="11"/>
  <c r="G1014" i="11"/>
  <c r="H1013" i="11"/>
  <c r="G1013" i="11"/>
  <c r="H1012" i="11"/>
  <c r="G1012" i="11"/>
  <c r="H1011" i="11"/>
  <c r="G1011" i="11"/>
  <c r="H1010" i="11"/>
  <c r="G1010" i="11"/>
  <c r="H1009" i="11"/>
  <c r="G1009" i="11"/>
  <c r="H1008" i="11"/>
  <c r="G1008" i="11"/>
  <c r="H1007" i="11"/>
  <c r="G1007" i="11"/>
  <c r="H1006" i="11"/>
  <c r="G1006" i="11"/>
  <c r="H1005" i="11"/>
  <c r="G1005" i="11"/>
  <c r="H1004" i="11"/>
  <c r="G1004" i="11"/>
  <c r="H1003" i="11"/>
  <c r="G1003" i="11"/>
  <c r="H1002" i="11"/>
  <c r="G1002" i="11"/>
  <c r="H1001" i="11"/>
  <c r="G1001" i="11"/>
  <c r="H1000" i="11"/>
  <c r="G1000" i="11"/>
  <c r="H999" i="11"/>
  <c r="G999" i="11"/>
  <c r="H998" i="11"/>
  <c r="G998" i="11"/>
  <c r="H997" i="11"/>
  <c r="G997" i="11"/>
  <c r="H996" i="11"/>
  <c r="G996" i="11"/>
  <c r="H995" i="11"/>
  <c r="G995" i="11"/>
  <c r="H994" i="11"/>
  <c r="G994" i="11"/>
  <c r="H993" i="11"/>
  <c r="G993" i="11"/>
  <c r="H992" i="11"/>
  <c r="G992" i="11"/>
  <c r="H991" i="11"/>
  <c r="G991" i="11"/>
  <c r="H990" i="11"/>
  <c r="G990" i="11"/>
  <c r="H989" i="11"/>
  <c r="G989" i="11"/>
  <c r="H988" i="11"/>
  <c r="G988" i="11"/>
  <c r="H987" i="11"/>
  <c r="G987" i="11"/>
  <c r="H986" i="11"/>
  <c r="G986" i="11"/>
  <c r="H985" i="11"/>
  <c r="G985" i="11"/>
  <c r="H984" i="11"/>
  <c r="G984" i="11"/>
  <c r="H983" i="11"/>
  <c r="G983" i="11"/>
  <c r="H982" i="11"/>
  <c r="G982" i="11"/>
  <c r="H981" i="11"/>
  <c r="G981" i="11"/>
  <c r="H980" i="11"/>
  <c r="G980" i="11"/>
  <c r="H979" i="11"/>
  <c r="G979" i="11"/>
  <c r="H978" i="11"/>
  <c r="G978" i="11"/>
  <c r="H977" i="11"/>
  <c r="G977" i="11"/>
  <c r="H976" i="11"/>
  <c r="G976" i="11"/>
  <c r="H975" i="11"/>
  <c r="G975" i="11"/>
  <c r="H974" i="11"/>
  <c r="G974" i="11"/>
  <c r="H973" i="11"/>
  <c r="G973" i="11"/>
  <c r="H972" i="11"/>
  <c r="G972" i="11"/>
  <c r="H971" i="11"/>
  <c r="G971" i="11"/>
  <c r="H970" i="11"/>
  <c r="G970" i="11"/>
  <c r="H969" i="11"/>
  <c r="G969" i="11"/>
  <c r="H968" i="11"/>
  <c r="G968" i="11"/>
  <c r="H967" i="11"/>
  <c r="G967" i="11"/>
  <c r="H966" i="11"/>
  <c r="G966" i="11"/>
  <c r="H965" i="11"/>
  <c r="G965" i="11"/>
  <c r="H964" i="11"/>
  <c r="G964" i="11"/>
  <c r="H963" i="11"/>
  <c r="G963" i="11"/>
  <c r="H962" i="11"/>
  <c r="G962" i="11"/>
  <c r="H961" i="11"/>
  <c r="G961" i="11"/>
  <c r="H960" i="11"/>
  <c r="G960" i="11"/>
  <c r="H959" i="11"/>
  <c r="G959" i="11"/>
  <c r="H958" i="11"/>
  <c r="G958" i="11"/>
  <c r="H957" i="11"/>
  <c r="G957" i="11"/>
  <c r="H956" i="11"/>
  <c r="G956" i="11"/>
  <c r="H955" i="11"/>
  <c r="G955" i="11"/>
  <c r="H954" i="11"/>
  <c r="G954" i="11"/>
  <c r="H953" i="11"/>
  <c r="G953" i="11"/>
  <c r="H952" i="11"/>
  <c r="G952" i="11"/>
  <c r="H951" i="11"/>
  <c r="G951" i="11"/>
  <c r="H950" i="11"/>
  <c r="G950" i="11"/>
  <c r="H949" i="11"/>
  <c r="G949" i="11"/>
  <c r="H948" i="11"/>
  <c r="G948" i="11"/>
  <c r="H947" i="11"/>
  <c r="G947" i="11"/>
  <c r="H946" i="11"/>
  <c r="G946" i="11"/>
  <c r="H945" i="11"/>
  <c r="G945" i="11"/>
  <c r="H944" i="11"/>
  <c r="G944" i="11"/>
  <c r="H943" i="11"/>
  <c r="G943" i="11"/>
  <c r="H942" i="11"/>
  <c r="G942" i="11"/>
  <c r="H941" i="11"/>
  <c r="G941" i="11"/>
  <c r="H940" i="11"/>
  <c r="G940" i="11"/>
  <c r="H939" i="11"/>
  <c r="G939" i="11"/>
  <c r="H938" i="11"/>
  <c r="G938" i="11"/>
  <c r="H937" i="11"/>
  <c r="G937" i="11"/>
  <c r="H936" i="11"/>
  <c r="G936" i="11"/>
  <c r="H935" i="11"/>
  <c r="G935" i="11"/>
  <c r="H934" i="11"/>
  <c r="G934" i="11"/>
  <c r="H933" i="11"/>
  <c r="G933" i="11"/>
  <c r="H932" i="11"/>
  <c r="G932" i="11"/>
  <c r="H931" i="11"/>
  <c r="G931" i="11"/>
  <c r="H930" i="11"/>
  <c r="G930" i="11"/>
  <c r="H929" i="11"/>
  <c r="G929" i="11"/>
  <c r="H928" i="11"/>
  <c r="G928" i="11"/>
  <c r="H927" i="11"/>
  <c r="G927" i="11"/>
  <c r="H926" i="11"/>
  <c r="G926" i="11"/>
  <c r="H925" i="11"/>
  <c r="G925" i="11"/>
  <c r="H924" i="11"/>
  <c r="G924" i="11"/>
  <c r="H923" i="11"/>
  <c r="G923" i="11"/>
  <c r="H922" i="11"/>
  <c r="G922" i="11"/>
  <c r="H921" i="11"/>
  <c r="G921" i="11"/>
  <c r="H920" i="11"/>
  <c r="G920" i="11"/>
  <c r="H919" i="11"/>
  <c r="G919" i="11"/>
  <c r="H918" i="11"/>
  <c r="G918" i="11"/>
  <c r="H917" i="11"/>
  <c r="G917" i="11"/>
  <c r="H916" i="11"/>
  <c r="G916" i="11"/>
  <c r="H915" i="11"/>
  <c r="G915" i="11"/>
  <c r="H914" i="11"/>
  <c r="G914" i="11"/>
  <c r="H913" i="11"/>
  <c r="G913" i="11"/>
  <c r="H912" i="11"/>
  <c r="G912" i="11"/>
  <c r="H911" i="11"/>
  <c r="G911" i="11"/>
  <c r="H910" i="11"/>
  <c r="G910" i="11"/>
  <c r="H909" i="11"/>
  <c r="G909" i="11"/>
  <c r="H908" i="11"/>
  <c r="G908" i="11"/>
  <c r="H907" i="11"/>
  <c r="G907" i="11"/>
  <c r="H906" i="11"/>
  <c r="G906" i="11"/>
  <c r="H905" i="11"/>
  <c r="G905" i="11"/>
  <c r="H904" i="11"/>
  <c r="G904" i="11"/>
  <c r="H903" i="11"/>
  <c r="G903" i="11"/>
  <c r="H902" i="11"/>
  <c r="G902" i="11"/>
  <c r="H901" i="11"/>
  <c r="G901" i="11"/>
  <c r="H900" i="11"/>
  <c r="G900" i="11"/>
  <c r="H899" i="11"/>
  <c r="G899" i="11"/>
  <c r="H898" i="11"/>
  <c r="G898" i="11"/>
  <c r="H897" i="11"/>
  <c r="G897" i="11"/>
  <c r="H896" i="11"/>
  <c r="G896" i="11"/>
  <c r="H895" i="11"/>
  <c r="G895" i="11"/>
  <c r="H894" i="11"/>
  <c r="G894" i="11"/>
  <c r="H893" i="11"/>
  <c r="G893" i="11"/>
  <c r="H892" i="11"/>
  <c r="G892" i="11"/>
  <c r="H891" i="11"/>
  <c r="G891" i="11"/>
  <c r="H890" i="11"/>
  <c r="G890" i="11"/>
  <c r="H889" i="11"/>
  <c r="G889" i="11"/>
  <c r="H888" i="11"/>
  <c r="G888" i="11"/>
  <c r="H887" i="11"/>
  <c r="G887" i="11"/>
  <c r="H886" i="11"/>
  <c r="G886" i="11"/>
  <c r="H885" i="11"/>
  <c r="G885" i="11"/>
  <c r="H884" i="11"/>
  <c r="G884" i="11"/>
  <c r="H883" i="11"/>
  <c r="G883" i="11"/>
  <c r="H882" i="11"/>
  <c r="G882" i="11"/>
  <c r="H881" i="11"/>
  <c r="G881" i="11"/>
  <c r="H880" i="11"/>
  <c r="G880" i="11"/>
  <c r="H879" i="11"/>
  <c r="G879" i="11"/>
  <c r="H878" i="11"/>
  <c r="G878" i="11"/>
  <c r="H877" i="11"/>
  <c r="G877" i="11"/>
  <c r="H876" i="11"/>
  <c r="G876" i="11"/>
  <c r="H875" i="11"/>
  <c r="G875" i="11"/>
  <c r="H874" i="11"/>
  <c r="G874" i="11"/>
  <c r="H873" i="11"/>
  <c r="G873" i="11"/>
  <c r="H872" i="11"/>
  <c r="G872" i="11"/>
  <c r="H871" i="11"/>
  <c r="G871" i="11"/>
  <c r="H870" i="11"/>
  <c r="G870" i="11"/>
  <c r="H869" i="11"/>
  <c r="G869" i="11"/>
  <c r="H868" i="11"/>
  <c r="G868" i="11"/>
  <c r="H867" i="11"/>
  <c r="G867" i="11"/>
  <c r="H866" i="11"/>
  <c r="G866" i="11"/>
  <c r="H865" i="11"/>
  <c r="G865" i="11"/>
  <c r="H864" i="11"/>
  <c r="G864" i="11"/>
  <c r="H863" i="11"/>
  <c r="G863" i="11"/>
  <c r="H862" i="11"/>
  <c r="G862" i="11"/>
  <c r="H861" i="11"/>
  <c r="G861" i="11"/>
  <c r="H860" i="11"/>
  <c r="G860" i="11"/>
  <c r="H859" i="11"/>
  <c r="G859" i="11"/>
  <c r="H858" i="11"/>
  <c r="G858" i="11"/>
  <c r="H857" i="11"/>
  <c r="G857" i="11"/>
  <c r="H856" i="11"/>
  <c r="G856" i="11"/>
  <c r="H855" i="11"/>
  <c r="G855" i="11"/>
  <c r="H854" i="11"/>
  <c r="G854" i="11"/>
  <c r="H853" i="11"/>
  <c r="G853" i="11"/>
  <c r="H852" i="11"/>
  <c r="G852" i="11"/>
  <c r="H851" i="11"/>
  <c r="G851" i="11"/>
  <c r="H850" i="11"/>
  <c r="G850" i="11"/>
  <c r="H849" i="11"/>
  <c r="G849" i="11"/>
  <c r="H848" i="11"/>
  <c r="G848" i="11"/>
  <c r="H847" i="11"/>
  <c r="G847" i="11"/>
  <c r="H846" i="11"/>
  <c r="G846" i="11"/>
  <c r="H845" i="11"/>
  <c r="G845" i="11"/>
  <c r="H844" i="11"/>
  <c r="G844" i="11"/>
  <c r="H843" i="11"/>
  <c r="G843" i="11"/>
  <c r="H842" i="11"/>
  <c r="G842" i="11"/>
  <c r="H841" i="11"/>
  <c r="G841" i="11"/>
  <c r="H840" i="11"/>
  <c r="G840" i="11"/>
  <c r="H839" i="11"/>
  <c r="G839" i="11"/>
  <c r="H838" i="11"/>
  <c r="G838" i="11"/>
  <c r="H837" i="11"/>
  <c r="G837" i="11"/>
  <c r="H836" i="11"/>
  <c r="G836" i="11"/>
  <c r="H835" i="11"/>
  <c r="G835" i="11"/>
  <c r="H834" i="11"/>
  <c r="G834" i="11"/>
  <c r="H833" i="11"/>
  <c r="G833" i="11"/>
  <c r="H832" i="11"/>
  <c r="G832" i="11"/>
  <c r="H831" i="11"/>
  <c r="G831" i="11"/>
  <c r="H830" i="11"/>
  <c r="G830" i="11"/>
  <c r="H829" i="11"/>
  <c r="G829" i="11"/>
  <c r="H828" i="11"/>
  <c r="G828" i="11"/>
  <c r="H827" i="11"/>
  <c r="G827" i="11"/>
  <c r="H826" i="11"/>
  <c r="G826" i="11"/>
  <c r="H825" i="11"/>
  <c r="G825" i="11"/>
  <c r="H824" i="11"/>
  <c r="G824" i="11"/>
  <c r="H823" i="11"/>
  <c r="G823" i="11"/>
  <c r="H822" i="11"/>
  <c r="G822" i="11"/>
  <c r="H821" i="11"/>
  <c r="G821" i="11"/>
  <c r="H820" i="11"/>
  <c r="G820" i="11"/>
  <c r="H819" i="11"/>
  <c r="G819" i="11"/>
  <c r="H818" i="11"/>
  <c r="G818" i="11"/>
  <c r="H817" i="11"/>
  <c r="G817" i="11"/>
  <c r="H816" i="11"/>
  <c r="G816" i="11"/>
  <c r="H815" i="11"/>
  <c r="G815" i="11"/>
  <c r="H814" i="11"/>
  <c r="G814" i="11"/>
  <c r="H813" i="11"/>
  <c r="G813" i="11"/>
  <c r="H812" i="11"/>
  <c r="G812" i="11"/>
  <c r="H811" i="11"/>
  <c r="G811" i="11"/>
  <c r="H810" i="11"/>
  <c r="G810" i="11"/>
  <c r="H809" i="11"/>
  <c r="G809" i="11"/>
  <c r="H808" i="11"/>
  <c r="G808" i="11"/>
  <c r="H807" i="11"/>
  <c r="G807" i="11"/>
  <c r="H806" i="11"/>
  <c r="G806" i="11"/>
  <c r="H805" i="11"/>
  <c r="G805" i="11"/>
  <c r="H804" i="11"/>
  <c r="G804" i="11"/>
  <c r="H803" i="11"/>
  <c r="G803" i="11"/>
  <c r="H802" i="11"/>
  <c r="G802" i="11"/>
  <c r="H801" i="11"/>
  <c r="G801" i="11"/>
  <c r="H800" i="11"/>
  <c r="G800" i="11"/>
  <c r="H799" i="11"/>
  <c r="G799" i="11"/>
  <c r="H798" i="11"/>
  <c r="G798" i="11"/>
  <c r="H797" i="11"/>
  <c r="G797" i="11"/>
  <c r="H796" i="11"/>
  <c r="G796" i="11"/>
  <c r="H795" i="11"/>
  <c r="G795" i="11"/>
  <c r="H794" i="11"/>
  <c r="G794" i="11"/>
  <c r="H793" i="11"/>
  <c r="G793" i="11"/>
  <c r="H792" i="11"/>
  <c r="G792" i="11"/>
  <c r="H791" i="11"/>
  <c r="G791" i="11"/>
  <c r="H790" i="11"/>
  <c r="G790" i="11"/>
  <c r="H789" i="11"/>
  <c r="G789" i="11"/>
  <c r="H788" i="11"/>
  <c r="G788" i="11"/>
  <c r="H787" i="11"/>
  <c r="G787" i="11"/>
  <c r="H786" i="11"/>
  <c r="G786" i="11"/>
  <c r="H785" i="11"/>
  <c r="G785" i="11"/>
  <c r="H784" i="11"/>
  <c r="G784" i="11"/>
  <c r="H783" i="11"/>
  <c r="G783" i="11"/>
  <c r="H782" i="11"/>
  <c r="G782" i="11"/>
  <c r="H781" i="11"/>
  <c r="G781" i="11"/>
  <c r="H780" i="11"/>
  <c r="G780" i="11"/>
  <c r="H779" i="11"/>
  <c r="G779" i="11"/>
  <c r="H778" i="11"/>
  <c r="G778" i="11"/>
  <c r="H777" i="11"/>
  <c r="G777" i="11"/>
  <c r="H776" i="11"/>
  <c r="G776" i="11"/>
  <c r="H775" i="11"/>
  <c r="G775" i="11"/>
  <c r="H774" i="11"/>
  <c r="G774" i="11"/>
  <c r="H773" i="11"/>
  <c r="G773" i="11"/>
  <c r="H772" i="11"/>
  <c r="G772" i="11"/>
  <c r="H771" i="11"/>
  <c r="G771" i="11"/>
  <c r="H770" i="11"/>
  <c r="G770" i="11"/>
  <c r="H769" i="11"/>
  <c r="G769" i="11"/>
  <c r="H768" i="11"/>
  <c r="G768" i="11"/>
  <c r="H767" i="11"/>
  <c r="G767" i="11"/>
  <c r="H766" i="11"/>
  <c r="G766" i="11"/>
  <c r="H765" i="11"/>
  <c r="G765" i="11"/>
  <c r="H764" i="11"/>
  <c r="G764" i="11"/>
  <c r="H763" i="11"/>
  <c r="G763" i="11"/>
  <c r="H762" i="11"/>
  <c r="G762" i="11"/>
  <c r="H761" i="11"/>
  <c r="G761" i="11"/>
  <c r="H760" i="11"/>
  <c r="G760" i="11"/>
  <c r="H759" i="11"/>
  <c r="G759" i="11"/>
  <c r="H758" i="11"/>
  <c r="G758" i="11"/>
  <c r="H757" i="11"/>
  <c r="G757" i="11"/>
  <c r="H756" i="11"/>
  <c r="G756" i="11"/>
  <c r="H755" i="11"/>
  <c r="G755" i="11"/>
  <c r="H754" i="11"/>
  <c r="G754" i="11"/>
  <c r="H753" i="11"/>
  <c r="G753" i="11"/>
  <c r="H752" i="11"/>
  <c r="G752" i="11"/>
  <c r="H751" i="11"/>
  <c r="G751" i="11"/>
  <c r="H750" i="11"/>
  <c r="G750" i="11"/>
  <c r="H749" i="11"/>
  <c r="G749" i="11"/>
  <c r="H748" i="11"/>
  <c r="G748" i="11"/>
  <c r="H747" i="11"/>
  <c r="G747" i="11"/>
  <c r="H746" i="11"/>
  <c r="G746" i="11"/>
  <c r="H745" i="11"/>
  <c r="G745" i="11"/>
  <c r="H744" i="11"/>
  <c r="G744" i="11"/>
  <c r="H743" i="11"/>
  <c r="G743" i="11"/>
  <c r="H742" i="11"/>
  <c r="G742" i="11"/>
  <c r="H741" i="11"/>
  <c r="G741" i="11"/>
  <c r="H740" i="11"/>
  <c r="G740" i="11"/>
  <c r="H739" i="11"/>
  <c r="G739" i="11"/>
  <c r="H738" i="11"/>
  <c r="G738" i="11"/>
  <c r="H737" i="11"/>
  <c r="G737" i="11"/>
  <c r="H736" i="11"/>
  <c r="G736" i="11"/>
  <c r="H735" i="11"/>
  <c r="G735" i="11"/>
  <c r="H734" i="11"/>
  <c r="G734" i="11"/>
  <c r="H733" i="11"/>
  <c r="G733" i="11"/>
  <c r="H732" i="11"/>
  <c r="G732" i="11"/>
  <c r="H731" i="11"/>
  <c r="G731" i="11"/>
  <c r="H730" i="11"/>
  <c r="G730" i="11"/>
  <c r="H729" i="11"/>
  <c r="G729" i="11"/>
  <c r="H728" i="11"/>
  <c r="G728" i="11"/>
  <c r="H727" i="11"/>
  <c r="G727" i="11"/>
  <c r="H726" i="11"/>
  <c r="G726" i="11"/>
  <c r="H725" i="11"/>
  <c r="G725" i="11"/>
  <c r="H724" i="11"/>
  <c r="G724" i="11"/>
  <c r="H723" i="11"/>
  <c r="G723" i="11"/>
  <c r="H722" i="11"/>
  <c r="G722" i="11"/>
  <c r="H721" i="11"/>
  <c r="G721" i="11"/>
  <c r="H720" i="11"/>
  <c r="G720" i="11"/>
  <c r="H719" i="11"/>
  <c r="G719" i="11"/>
  <c r="H718" i="11"/>
  <c r="G718" i="11"/>
  <c r="H717" i="11"/>
  <c r="G717" i="11"/>
  <c r="H716" i="11"/>
  <c r="G716" i="11"/>
  <c r="H715" i="11"/>
  <c r="G715" i="11"/>
  <c r="H714" i="11"/>
  <c r="G714" i="11"/>
  <c r="H713" i="11"/>
  <c r="G713" i="11"/>
  <c r="H712" i="11"/>
  <c r="G712" i="11"/>
  <c r="H711" i="11"/>
  <c r="G711" i="11"/>
  <c r="H710" i="11"/>
  <c r="G710" i="11"/>
  <c r="H709" i="11"/>
  <c r="G709" i="11"/>
  <c r="H708" i="11"/>
  <c r="G708" i="11"/>
  <c r="H707" i="11"/>
  <c r="G707" i="11"/>
  <c r="H706" i="11"/>
  <c r="G706" i="11"/>
  <c r="H705" i="11"/>
  <c r="G705" i="11"/>
  <c r="H704" i="11"/>
  <c r="G704" i="11"/>
  <c r="H703" i="11"/>
  <c r="G703" i="11"/>
  <c r="H702" i="11"/>
  <c r="G702" i="11"/>
  <c r="H701" i="11"/>
  <c r="G701" i="11"/>
  <c r="H700" i="11"/>
  <c r="G700" i="11"/>
  <c r="H699" i="11"/>
  <c r="G699" i="11"/>
  <c r="H698" i="11"/>
  <c r="G698" i="11"/>
  <c r="H697" i="11"/>
  <c r="G697" i="11"/>
  <c r="H696" i="11"/>
  <c r="G696" i="11"/>
  <c r="H695" i="11"/>
  <c r="G695" i="11"/>
  <c r="H694" i="11"/>
  <c r="G694" i="11"/>
  <c r="H693" i="11"/>
  <c r="G693" i="11"/>
  <c r="H692" i="11"/>
  <c r="G692" i="11"/>
  <c r="H691" i="11"/>
  <c r="G691" i="11"/>
  <c r="H690" i="11"/>
  <c r="G690" i="11"/>
  <c r="H689" i="11"/>
  <c r="G689" i="11"/>
  <c r="H688" i="11"/>
  <c r="G688" i="11"/>
  <c r="H687" i="11"/>
  <c r="G687" i="11"/>
  <c r="H686" i="11"/>
  <c r="G686" i="11"/>
  <c r="H685" i="11"/>
  <c r="G685" i="11"/>
  <c r="H684" i="11"/>
  <c r="G684" i="11"/>
  <c r="H683" i="11"/>
  <c r="G683" i="11"/>
  <c r="H682" i="11"/>
  <c r="G682" i="11"/>
  <c r="H681" i="11"/>
  <c r="G681" i="11"/>
  <c r="H680" i="11"/>
  <c r="G680" i="11"/>
  <c r="H679" i="11"/>
  <c r="G679" i="11"/>
  <c r="H678" i="11"/>
  <c r="G678" i="11"/>
  <c r="H677" i="11"/>
  <c r="G677" i="11"/>
  <c r="H676" i="11"/>
  <c r="G676" i="11"/>
  <c r="H675" i="11"/>
  <c r="G675" i="11"/>
  <c r="H674" i="11"/>
  <c r="G674" i="11"/>
  <c r="H673" i="11"/>
  <c r="G673" i="11"/>
  <c r="H672" i="11"/>
  <c r="G672" i="11"/>
  <c r="H671" i="11"/>
  <c r="G671" i="11"/>
  <c r="H670" i="11"/>
  <c r="G670" i="11"/>
  <c r="H669" i="11"/>
  <c r="G669" i="11"/>
  <c r="H668" i="11"/>
  <c r="G668" i="11"/>
  <c r="H667" i="11"/>
  <c r="G667" i="11"/>
  <c r="H666" i="11"/>
  <c r="G666" i="11"/>
  <c r="H665" i="11"/>
  <c r="G665" i="11"/>
  <c r="H664" i="11"/>
  <c r="G664" i="11"/>
  <c r="H663" i="11"/>
  <c r="G663" i="11"/>
  <c r="H662" i="11"/>
  <c r="G662" i="11"/>
  <c r="H661" i="11"/>
  <c r="G661" i="11"/>
  <c r="H660" i="11"/>
  <c r="G660" i="11"/>
  <c r="H659" i="11"/>
  <c r="G659" i="11"/>
  <c r="H658" i="11"/>
  <c r="G658" i="11"/>
  <c r="H657" i="11"/>
  <c r="G657" i="11"/>
  <c r="H656" i="11"/>
  <c r="G656" i="11"/>
  <c r="H655" i="11"/>
  <c r="G655" i="11"/>
  <c r="H654" i="11"/>
  <c r="G654" i="11"/>
  <c r="H653" i="11"/>
  <c r="G653" i="11"/>
  <c r="H652" i="11"/>
  <c r="G652" i="11"/>
  <c r="H651" i="11"/>
  <c r="G651" i="11"/>
  <c r="H650" i="11"/>
  <c r="G650" i="11"/>
  <c r="H649" i="11"/>
  <c r="G649" i="11"/>
  <c r="H648" i="11"/>
  <c r="G648" i="11"/>
  <c r="H647" i="11"/>
  <c r="G647" i="11"/>
  <c r="H646" i="11"/>
  <c r="G646" i="11"/>
  <c r="H645" i="11"/>
  <c r="G645" i="11"/>
  <c r="H644" i="11"/>
  <c r="G644" i="11"/>
  <c r="H643" i="11"/>
  <c r="G643" i="11"/>
  <c r="H642" i="11"/>
  <c r="G642" i="11"/>
  <c r="H641" i="11"/>
  <c r="G641" i="11"/>
  <c r="H640" i="11"/>
  <c r="G640" i="11"/>
  <c r="H639" i="11"/>
  <c r="G639" i="11"/>
  <c r="H638" i="11"/>
  <c r="G638" i="11"/>
  <c r="H637" i="11"/>
  <c r="G637" i="11"/>
  <c r="H636" i="11"/>
  <c r="G636" i="11"/>
  <c r="H635" i="11"/>
  <c r="G635" i="11"/>
  <c r="H634" i="11"/>
  <c r="G634" i="11"/>
  <c r="H633" i="11"/>
  <c r="G633" i="11"/>
  <c r="H632" i="11"/>
  <c r="G632" i="11"/>
  <c r="H631" i="11"/>
  <c r="G631" i="11"/>
  <c r="H630" i="11"/>
  <c r="G630" i="11"/>
  <c r="H629" i="11"/>
  <c r="G629" i="11"/>
  <c r="H628" i="11"/>
  <c r="G628" i="11"/>
  <c r="H627" i="11"/>
  <c r="G627" i="11"/>
  <c r="H626" i="11"/>
  <c r="G626" i="11"/>
  <c r="H625" i="11"/>
  <c r="G625" i="11"/>
  <c r="H624" i="11"/>
  <c r="G624" i="11"/>
  <c r="H623" i="11"/>
  <c r="G623" i="11"/>
  <c r="H622" i="11"/>
  <c r="G622" i="11"/>
  <c r="H621" i="11"/>
  <c r="G621" i="11"/>
  <c r="H620" i="11"/>
  <c r="G620" i="11"/>
  <c r="H619" i="11"/>
  <c r="G619" i="11"/>
  <c r="H618" i="11"/>
  <c r="G618" i="11"/>
  <c r="H617" i="11"/>
  <c r="G617" i="11"/>
  <c r="H616" i="11"/>
  <c r="G616" i="11"/>
  <c r="H615" i="11"/>
  <c r="G615" i="11"/>
  <c r="H614" i="11"/>
  <c r="G614" i="11"/>
  <c r="H613" i="11"/>
  <c r="G613" i="11"/>
  <c r="H612" i="11"/>
  <c r="G612" i="11"/>
  <c r="H611" i="11"/>
  <c r="G611" i="11"/>
  <c r="H610" i="11"/>
  <c r="G610" i="11"/>
  <c r="H609" i="11"/>
  <c r="G609" i="11"/>
  <c r="H608" i="11"/>
  <c r="G608" i="11"/>
  <c r="H607" i="11"/>
  <c r="G607" i="11"/>
  <c r="H606" i="11"/>
  <c r="G606" i="11"/>
  <c r="H605" i="11"/>
  <c r="G605" i="11"/>
  <c r="H604" i="11"/>
  <c r="G604" i="11"/>
  <c r="H603" i="11"/>
  <c r="G603" i="11"/>
  <c r="H602" i="11"/>
  <c r="G602" i="11"/>
  <c r="H601" i="11"/>
  <c r="G601" i="11"/>
  <c r="H600" i="11"/>
  <c r="G600" i="11"/>
  <c r="H599" i="11"/>
  <c r="G599" i="11"/>
  <c r="H598" i="11"/>
  <c r="G598" i="11"/>
  <c r="H597" i="11"/>
  <c r="G597" i="11"/>
  <c r="H596" i="11"/>
  <c r="G596" i="11"/>
  <c r="H595" i="11"/>
  <c r="G595" i="11"/>
  <c r="H594" i="11"/>
  <c r="G594" i="11"/>
  <c r="H593" i="11"/>
  <c r="G593" i="11"/>
  <c r="H592" i="11"/>
  <c r="G592" i="11"/>
  <c r="H591" i="11"/>
  <c r="G591" i="11"/>
  <c r="H590" i="11"/>
  <c r="G590" i="11"/>
  <c r="H589" i="11"/>
  <c r="G589" i="11"/>
  <c r="H588" i="11"/>
  <c r="G588" i="11"/>
  <c r="H587" i="11"/>
  <c r="G587" i="11"/>
  <c r="H586" i="11"/>
  <c r="G586" i="11"/>
  <c r="H585" i="11"/>
  <c r="G585" i="11"/>
  <c r="H584" i="11"/>
  <c r="G584" i="11"/>
  <c r="H583" i="11"/>
  <c r="G583" i="11"/>
  <c r="H582" i="11"/>
  <c r="G582" i="11"/>
  <c r="H581" i="11"/>
  <c r="G581" i="11"/>
  <c r="H580" i="11"/>
  <c r="G580" i="11"/>
  <c r="H579" i="11"/>
  <c r="G579" i="11"/>
  <c r="H578" i="11"/>
  <c r="G578" i="11"/>
  <c r="H577" i="11"/>
  <c r="G577" i="11"/>
  <c r="H576" i="11"/>
  <c r="G576" i="11"/>
  <c r="H575" i="11"/>
  <c r="G575" i="11"/>
  <c r="H574" i="11"/>
  <c r="G574" i="11"/>
  <c r="H573" i="11"/>
  <c r="G573" i="11"/>
  <c r="H572" i="11"/>
  <c r="G572" i="11"/>
  <c r="H571" i="11"/>
  <c r="G571" i="11"/>
  <c r="H570" i="11"/>
  <c r="G570" i="11"/>
  <c r="H569" i="11"/>
  <c r="G569" i="11"/>
  <c r="H568" i="11"/>
  <c r="G568" i="11"/>
  <c r="H567" i="11"/>
  <c r="G567" i="11"/>
  <c r="H566" i="11"/>
  <c r="G566" i="11"/>
  <c r="H565" i="11"/>
  <c r="G565" i="11"/>
  <c r="H564" i="11"/>
  <c r="G564" i="11"/>
  <c r="H563" i="11"/>
  <c r="G563" i="11"/>
  <c r="H562" i="11"/>
  <c r="G562" i="11"/>
  <c r="H561" i="11"/>
  <c r="G561" i="11"/>
  <c r="H560" i="11"/>
  <c r="G560" i="11"/>
  <c r="H559" i="11"/>
  <c r="G559" i="11"/>
  <c r="H558" i="11"/>
  <c r="G558" i="11"/>
  <c r="H557" i="11"/>
  <c r="G557" i="11"/>
  <c r="H556" i="11"/>
  <c r="G556" i="11"/>
  <c r="H555" i="11"/>
  <c r="G555" i="11"/>
  <c r="H554" i="11"/>
  <c r="G554" i="11"/>
  <c r="H553" i="11"/>
  <c r="G553" i="11"/>
  <c r="H552" i="11"/>
  <c r="G552" i="11"/>
  <c r="H551" i="11"/>
  <c r="G551" i="11"/>
  <c r="H550" i="11"/>
  <c r="G550" i="11"/>
  <c r="H549" i="11"/>
  <c r="G549" i="11"/>
  <c r="H548" i="11"/>
  <c r="G548" i="11"/>
  <c r="H547" i="11"/>
  <c r="G547" i="11"/>
  <c r="H546" i="11"/>
  <c r="G546" i="11"/>
  <c r="H545" i="11"/>
  <c r="G545" i="11"/>
  <c r="H544" i="11"/>
  <c r="G544" i="11"/>
  <c r="H543" i="11"/>
  <c r="G543" i="11"/>
  <c r="H542" i="11"/>
  <c r="G542" i="11"/>
  <c r="H541" i="11"/>
  <c r="G541" i="11"/>
  <c r="H540" i="11"/>
  <c r="G540" i="11"/>
  <c r="H539" i="11"/>
  <c r="G539" i="11"/>
  <c r="H538" i="11"/>
  <c r="G538" i="11"/>
  <c r="H537" i="11"/>
  <c r="G537" i="11"/>
  <c r="H536" i="11"/>
  <c r="G536" i="11"/>
  <c r="H535" i="11"/>
  <c r="G535" i="11"/>
  <c r="H534" i="11"/>
  <c r="G534" i="11"/>
  <c r="H533" i="11"/>
  <c r="G533" i="11"/>
  <c r="H532" i="11"/>
  <c r="G532" i="11"/>
  <c r="H531" i="11"/>
  <c r="G531" i="11"/>
  <c r="H530" i="11"/>
  <c r="G530" i="11"/>
  <c r="H529" i="11"/>
  <c r="G529" i="11"/>
  <c r="H528" i="11"/>
  <c r="G528" i="11"/>
  <c r="H527" i="11"/>
  <c r="G527" i="11"/>
  <c r="H526" i="11"/>
  <c r="G526" i="11"/>
  <c r="H525" i="11"/>
  <c r="G525" i="11"/>
  <c r="H524" i="11"/>
  <c r="G524" i="11"/>
  <c r="H523" i="11"/>
  <c r="G523" i="11"/>
  <c r="H522" i="11"/>
  <c r="G522" i="11"/>
  <c r="H521" i="11"/>
  <c r="G521" i="11"/>
  <c r="H520" i="11"/>
  <c r="G520" i="11"/>
  <c r="H519" i="11"/>
  <c r="G519" i="11"/>
  <c r="H518" i="11"/>
  <c r="G518" i="11"/>
  <c r="H517" i="11"/>
  <c r="G517" i="11"/>
  <c r="H516" i="11"/>
  <c r="G516" i="11"/>
  <c r="H515" i="11"/>
  <c r="G515" i="11"/>
  <c r="H514" i="11"/>
  <c r="G514" i="11"/>
  <c r="H513" i="11"/>
  <c r="G513" i="11"/>
  <c r="H512" i="11"/>
  <c r="G512" i="11"/>
  <c r="H511" i="11"/>
  <c r="G511" i="11"/>
  <c r="H510" i="11"/>
  <c r="G510" i="11"/>
  <c r="H509" i="11"/>
  <c r="G509" i="11"/>
  <c r="H508" i="11"/>
  <c r="G508" i="11"/>
  <c r="H507" i="11"/>
  <c r="G507" i="11"/>
  <c r="H506" i="11"/>
  <c r="G506" i="11"/>
  <c r="H505" i="11"/>
  <c r="G505" i="11"/>
  <c r="H504" i="11"/>
  <c r="G504" i="11"/>
  <c r="H503" i="11"/>
  <c r="G503" i="11"/>
  <c r="H502" i="11"/>
  <c r="G502" i="11"/>
  <c r="H501" i="11"/>
  <c r="G501" i="11"/>
  <c r="H500" i="11"/>
  <c r="G500" i="11"/>
  <c r="H499" i="11"/>
  <c r="G499" i="11"/>
  <c r="H498" i="11"/>
  <c r="G498" i="11"/>
  <c r="H497" i="11"/>
  <c r="G497" i="11"/>
  <c r="H496" i="11"/>
  <c r="G496" i="11"/>
  <c r="H495" i="11"/>
  <c r="G495" i="11"/>
  <c r="H494" i="11"/>
  <c r="G494" i="11"/>
  <c r="H493" i="11"/>
  <c r="G493" i="11"/>
  <c r="H492" i="11"/>
  <c r="G492" i="11"/>
  <c r="H491" i="11"/>
  <c r="G491" i="11"/>
  <c r="H490" i="11"/>
  <c r="G490" i="11"/>
  <c r="H489" i="11"/>
  <c r="G489" i="11"/>
  <c r="H488" i="11"/>
  <c r="G488" i="11"/>
  <c r="H487" i="11"/>
  <c r="G487" i="11"/>
  <c r="H486" i="11"/>
  <c r="G486" i="11"/>
  <c r="H485" i="11"/>
  <c r="G485" i="11"/>
  <c r="H484" i="11"/>
  <c r="G484" i="11"/>
  <c r="H483" i="11"/>
  <c r="G483" i="11"/>
  <c r="H482" i="11"/>
  <c r="G482" i="11"/>
  <c r="H481" i="11"/>
  <c r="G481" i="11"/>
  <c r="H480" i="11"/>
  <c r="G480" i="11"/>
  <c r="H479" i="11"/>
  <c r="G479" i="11"/>
  <c r="H478" i="11"/>
  <c r="G478" i="11"/>
  <c r="H477" i="11"/>
  <c r="G477" i="11"/>
  <c r="H476" i="11"/>
  <c r="G476" i="11"/>
  <c r="H475" i="11"/>
  <c r="G475" i="11"/>
  <c r="H474" i="11"/>
  <c r="G474" i="11"/>
  <c r="H473" i="11"/>
  <c r="G473" i="11"/>
  <c r="H472" i="11"/>
  <c r="G472" i="11"/>
  <c r="H471" i="11"/>
  <c r="G471" i="11"/>
  <c r="H470" i="11"/>
  <c r="G470" i="11"/>
  <c r="H469" i="11"/>
  <c r="G469" i="11"/>
  <c r="H468" i="11"/>
  <c r="G468" i="11"/>
  <c r="H467" i="11"/>
  <c r="G467" i="11"/>
  <c r="H466" i="11"/>
  <c r="G466" i="11"/>
  <c r="H465" i="11"/>
  <c r="G465" i="11"/>
  <c r="H464" i="11"/>
  <c r="G464" i="11"/>
  <c r="H463" i="11"/>
  <c r="G463" i="11"/>
  <c r="H462" i="11"/>
  <c r="G462" i="11"/>
  <c r="H461" i="11"/>
  <c r="G461" i="11"/>
  <c r="H460" i="11"/>
  <c r="G460" i="11"/>
  <c r="H459" i="11"/>
  <c r="G459" i="11"/>
  <c r="H458" i="11"/>
  <c r="G458" i="11"/>
  <c r="H457" i="11"/>
  <c r="G457" i="11"/>
  <c r="H456" i="11"/>
  <c r="G456" i="11"/>
  <c r="H455" i="11"/>
  <c r="G455" i="11"/>
  <c r="H454" i="11"/>
  <c r="G454" i="11"/>
  <c r="H453" i="11"/>
  <c r="G453" i="11"/>
  <c r="H452" i="11"/>
  <c r="G452" i="11"/>
  <c r="H451" i="11"/>
  <c r="G451" i="11"/>
  <c r="H450" i="11"/>
  <c r="G450" i="11"/>
  <c r="H449" i="11"/>
  <c r="G449" i="11"/>
  <c r="H448" i="11"/>
  <c r="G448" i="11"/>
  <c r="H447" i="11"/>
  <c r="G447" i="11"/>
  <c r="H446" i="11"/>
  <c r="G446" i="11"/>
  <c r="H445" i="11"/>
  <c r="G445" i="11"/>
  <c r="H444" i="11"/>
  <c r="G444" i="11"/>
  <c r="H443" i="11"/>
  <c r="G443" i="11"/>
  <c r="H442" i="11"/>
  <c r="G442" i="11"/>
  <c r="H441" i="11"/>
  <c r="G441" i="11"/>
  <c r="H440" i="11"/>
  <c r="G440" i="11"/>
  <c r="H439" i="11"/>
  <c r="G439" i="11"/>
  <c r="H438" i="11"/>
  <c r="G438" i="11"/>
  <c r="H437" i="11"/>
  <c r="G437" i="11"/>
  <c r="H436" i="11"/>
  <c r="G436" i="11"/>
  <c r="H435" i="11"/>
  <c r="G435" i="11"/>
  <c r="H434" i="11"/>
  <c r="G434" i="11"/>
  <c r="H433" i="11"/>
  <c r="G433" i="11"/>
  <c r="H432" i="11"/>
  <c r="G432" i="11"/>
  <c r="H431" i="11"/>
  <c r="G431" i="11"/>
  <c r="H430" i="11"/>
  <c r="G430" i="11"/>
  <c r="H429" i="11"/>
  <c r="G429" i="11"/>
  <c r="H428" i="11"/>
  <c r="G428" i="11"/>
  <c r="H427" i="11"/>
  <c r="G427" i="11"/>
  <c r="H426" i="11"/>
  <c r="G426" i="11"/>
  <c r="H425" i="11"/>
  <c r="G425" i="11"/>
  <c r="H424" i="11"/>
  <c r="G424" i="11"/>
  <c r="H423" i="11"/>
  <c r="G423" i="11"/>
  <c r="H422" i="11"/>
  <c r="G422" i="11"/>
  <c r="H421" i="11"/>
  <c r="G421" i="11"/>
  <c r="H420" i="11"/>
  <c r="G420" i="11"/>
  <c r="H419" i="11"/>
  <c r="G419" i="11"/>
  <c r="H418" i="11"/>
  <c r="G418" i="11"/>
  <c r="H417" i="11"/>
  <c r="G417" i="11"/>
  <c r="H416" i="11"/>
  <c r="G416" i="11"/>
  <c r="H415" i="11"/>
  <c r="G415" i="11"/>
  <c r="H414" i="11"/>
  <c r="G414" i="11"/>
  <c r="H413" i="11"/>
  <c r="G413" i="11"/>
  <c r="H412" i="11"/>
  <c r="G412" i="11"/>
  <c r="H411" i="11"/>
  <c r="G411" i="11"/>
  <c r="H410" i="11"/>
  <c r="G410" i="11"/>
  <c r="H409" i="11"/>
  <c r="G409" i="11"/>
  <c r="H408" i="11"/>
  <c r="G408" i="11"/>
  <c r="H407" i="11"/>
  <c r="G407" i="11"/>
  <c r="H406" i="11"/>
  <c r="G406" i="11"/>
  <c r="H405" i="11"/>
  <c r="G405" i="11"/>
  <c r="H404" i="11"/>
  <c r="G404" i="11"/>
  <c r="H403" i="11"/>
  <c r="G403" i="11"/>
  <c r="H402" i="11"/>
  <c r="G402" i="11"/>
  <c r="H401" i="11"/>
  <c r="G401" i="11"/>
  <c r="H400" i="11"/>
  <c r="G400" i="11"/>
  <c r="H399" i="11"/>
  <c r="G399" i="11"/>
  <c r="H398" i="11"/>
  <c r="G398" i="11"/>
  <c r="H397" i="11"/>
  <c r="G397" i="11"/>
  <c r="H396" i="11"/>
  <c r="G396" i="11"/>
  <c r="H395" i="11"/>
  <c r="G395" i="11"/>
  <c r="H394" i="11"/>
  <c r="G394" i="11"/>
  <c r="H393" i="11"/>
  <c r="G393" i="11"/>
  <c r="H392" i="11"/>
  <c r="G392" i="11"/>
  <c r="H391" i="11"/>
  <c r="G391" i="11"/>
  <c r="H390" i="11"/>
  <c r="G390" i="11"/>
  <c r="H389" i="11"/>
  <c r="G389" i="11"/>
  <c r="H388" i="11"/>
  <c r="G388" i="11"/>
  <c r="H387" i="11"/>
  <c r="G387" i="11"/>
  <c r="H386" i="11"/>
  <c r="G386" i="11"/>
  <c r="H385" i="11"/>
  <c r="G385" i="11"/>
  <c r="H384" i="11"/>
  <c r="G384" i="11"/>
  <c r="H383" i="11"/>
  <c r="G383" i="11"/>
  <c r="H382" i="11"/>
  <c r="G382" i="11"/>
  <c r="H381" i="11"/>
  <c r="G381" i="11"/>
  <c r="H380" i="11"/>
  <c r="G380" i="11"/>
  <c r="H379" i="11"/>
  <c r="G379" i="11"/>
  <c r="H378" i="11"/>
  <c r="G378" i="11"/>
  <c r="H377" i="11"/>
  <c r="G377" i="11"/>
  <c r="H376" i="11"/>
  <c r="G376" i="11"/>
  <c r="H375" i="11"/>
  <c r="G375" i="11"/>
  <c r="H374" i="11"/>
  <c r="G374" i="11"/>
  <c r="H373" i="11"/>
  <c r="G373" i="11"/>
  <c r="H372" i="11"/>
  <c r="G372" i="11"/>
  <c r="H371" i="11"/>
  <c r="G371" i="11"/>
  <c r="H370" i="11"/>
  <c r="G370" i="11"/>
  <c r="H369" i="11"/>
  <c r="G369" i="11"/>
  <c r="H368" i="11"/>
  <c r="G368" i="11"/>
  <c r="H367" i="11"/>
  <c r="G367" i="11"/>
  <c r="H366" i="11"/>
  <c r="G366" i="11"/>
  <c r="H365" i="11"/>
  <c r="G365" i="11"/>
  <c r="H364" i="11"/>
  <c r="G364" i="11"/>
  <c r="H363" i="11"/>
  <c r="G363" i="11"/>
  <c r="H362" i="11"/>
  <c r="G362" i="11"/>
  <c r="H361" i="11"/>
  <c r="G361" i="11"/>
  <c r="H360" i="11"/>
  <c r="G360" i="11"/>
  <c r="H359" i="11"/>
  <c r="G359" i="11"/>
  <c r="H358" i="11"/>
  <c r="G358" i="11"/>
  <c r="H357" i="11"/>
  <c r="G357" i="11"/>
  <c r="H356" i="11"/>
  <c r="G356" i="11"/>
  <c r="H355" i="11"/>
  <c r="G355" i="11"/>
  <c r="H354" i="11"/>
  <c r="G354" i="11"/>
  <c r="H353" i="11"/>
  <c r="G353" i="11"/>
  <c r="H352" i="11"/>
  <c r="G352" i="11"/>
  <c r="H351" i="11"/>
  <c r="G351" i="11"/>
  <c r="H350" i="11"/>
  <c r="G350" i="11"/>
  <c r="H349" i="11"/>
  <c r="G349" i="11"/>
  <c r="H348" i="11"/>
  <c r="G348" i="11"/>
  <c r="H347" i="11"/>
  <c r="G347" i="11"/>
  <c r="H346" i="11"/>
  <c r="G346" i="11"/>
  <c r="H345" i="11"/>
  <c r="G345" i="11"/>
  <c r="H344" i="11"/>
  <c r="G344" i="11"/>
  <c r="H343" i="11"/>
  <c r="G343" i="11"/>
  <c r="H342" i="11"/>
  <c r="G342" i="11"/>
  <c r="H341" i="11"/>
  <c r="G341" i="11"/>
  <c r="H340" i="11"/>
  <c r="G340" i="11"/>
  <c r="H339" i="11"/>
  <c r="G339" i="11"/>
  <c r="H338" i="11"/>
  <c r="G338" i="11"/>
  <c r="H337" i="11"/>
  <c r="G337" i="11"/>
  <c r="H336" i="11"/>
  <c r="G336" i="11"/>
  <c r="H335" i="11"/>
  <c r="G335" i="11"/>
  <c r="H334" i="11"/>
  <c r="G334" i="11"/>
  <c r="H333" i="11"/>
  <c r="G333" i="11"/>
  <c r="H332" i="11"/>
  <c r="G332" i="11"/>
  <c r="H331" i="11"/>
  <c r="G331" i="11"/>
  <c r="H330" i="11"/>
  <c r="G330" i="11"/>
  <c r="H329" i="11"/>
  <c r="G329" i="11"/>
  <c r="H328" i="11"/>
  <c r="G328" i="11"/>
  <c r="H327" i="11"/>
  <c r="G327" i="11"/>
  <c r="H326" i="11"/>
  <c r="G326" i="11"/>
  <c r="H325" i="11"/>
  <c r="G325" i="11"/>
  <c r="H324" i="11"/>
  <c r="G324" i="11"/>
  <c r="H323" i="11"/>
  <c r="G323" i="11"/>
  <c r="H322" i="11"/>
  <c r="G322" i="11"/>
  <c r="H321" i="11"/>
  <c r="G321" i="11"/>
  <c r="H320" i="11"/>
  <c r="G320" i="11"/>
  <c r="H319" i="11"/>
  <c r="G319" i="11"/>
  <c r="H318" i="11"/>
  <c r="G318" i="11"/>
  <c r="H317" i="11"/>
  <c r="G317" i="11"/>
  <c r="H316" i="11"/>
  <c r="G316" i="11"/>
  <c r="H315" i="11"/>
  <c r="G315" i="11"/>
  <c r="H314" i="11"/>
  <c r="G314" i="11"/>
  <c r="H313" i="11"/>
  <c r="G313" i="11"/>
  <c r="H312" i="11"/>
  <c r="G312" i="11"/>
  <c r="H311" i="11"/>
  <c r="G311" i="11"/>
  <c r="H310" i="11"/>
  <c r="G310" i="11"/>
  <c r="H309" i="11"/>
  <c r="G309" i="11"/>
  <c r="H308" i="11"/>
  <c r="G308" i="11"/>
  <c r="H307" i="11"/>
  <c r="G307" i="11"/>
  <c r="H306" i="11"/>
  <c r="G306" i="11"/>
  <c r="H305" i="11"/>
  <c r="G305" i="11"/>
  <c r="H304" i="11"/>
  <c r="G304" i="11"/>
  <c r="H303" i="11"/>
  <c r="G303" i="11"/>
  <c r="H302" i="11"/>
  <c r="G302" i="11"/>
  <c r="H301" i="11"/>
  <c r="G301" i="11"/>
  <c r="H300" i="11"/>
  <c r="G300" i="11"/>
  <c r="H299" i="11"/>
  <c r="G299" i="11"/>
  <c r="H298" i="11"/>
  <c r="G298" i="11"/>
  <c r="H297" i="11"/>
  <c r="G297" i="11"/>
  <c r="H296" i="11"/>
  <c r="G296" i="11"/>
  <c r="H295" i="11"/>
  <c r="G295" i="11"/>
  <c r="H294" i="11"/>
  <c r="G294" i="11"/>
  <c r="H293" i="11"/>
  <c r="G293" i="11"/>
  <c r="H292" i="11"/>
  <c r="G292" i="11"/>
  <c r="H291" i="11"/>
  <c r="G291" i="11"/>
  <c r="H290" i="11"/>
  <c r="G290" i="11"/>
  <c r="H289" i="11"/>
  <c r="G289" i="11"/>
  <c r="H288" i="11"/>
  <c r="G288" i="11"/>
  <c r="H287" i="11"/>
  <c r="G287" i="11"/>
  <c r="H286" i="11"/>
  <c r="G286" i="11"/>
  <c r="H285" i="11"/>
  <c r="G285" i="11"/>
  <c r="H284" i="11"/>
  <c r="G284" i="11"/>
  <c r="H283" i="11"/>
  <c r="G283" i="11"/>
  <c r="H282" i="11"/>
  <c r="G282" i="11"/>
  <c r="H281" i="11"/>
  <c r="G281" i="11"/>
  <c r="H280" i="11"/>
  <c r="G280" i="11"/>
  <c r="H279" i="11"/>
  <c r="G279" i="11"/>
  <c r="H278" i="11"/>
  <c r="G278" i="11"/>
  <c r="H277" i="11"/>
  <c r="G277" i="11"/>
  <c r="H276" i="11"/>
  <c r="G276" i="11"/>
  <c r="H275" i="11"/>
  <c r="G275" i="11"/>
  <c r="H274" i="11"/>
  <c r="G274" i="11"/>
  <c r="H273" i="11"/>
  <c r="G273" i="11"/>
  <c r="H272" i="11"/>
  <c r="G272" i="11"/>
  <c r="H271" i="11"/>
  <c r="G271" i="11"/>
  <c r="H270" i="11"/>
  <c r="G270" i="11"/>
  <c r="H269" i="11"/>
  <c r="G269" i="11"/>
  <c r="H268" i="11"/>
  <c r="G268" i="11"/>
  <c r="H267" i="11"/>
  <c r="G267" i="11"/>
  <c r="H266" i="11"/>
  <c r="G266" i="11"/>
  <c r="H265" i="11"/>
  <c r="G265" i="11"/>
  <c r="H264" i="11"/>
  <c r="G264" i="11"/>
  <c r="H263" i="11"/>
  <c r="G263" i="11"/>
  <c r="H262" i="11"/>
  <c r="G262" i="11"/>
  <c r="H261" i="11"/>
  <c r="G261" i="11"/>
  <c r="H260" i="11"/>
  <c r="G260" i="11"/>
  <c r="H259" i="11"/>
  <c r="G259" i="11"/>
  <c r="H258" i="11"/>
  <c r="G258" i="11"/>
  <c r="H257" i="11"/>
  <c r="G257" i="11"/>
  <c r="H256" i="11"/>
  <c r="G256" i="11"/>
  <c r="H255" i="11"/>
  <c r="G255" i="11"/>
  <c r="H254" i="11"/>
  <c r="G254" i="11"/>
  <c r="H253" i="11"/>
  <c r="G253" i="11"/>
  <c r="H252" i="11"/>
  <c r="G252" i="11"/>
  <c r="H251" i="11"/>
  <c r="G251" i="11"/>
  <c r="H250" i="11"/>
  <c r="G250" i="11"/>
  <c r="H249" i="11"/>
  <c r="G249" i="11"/>
  <c r="H248" i="11"/>
  <c r="G248" i="11"/>
  <c r="H247" i="11"/>
  <c r="G247" i="11"/>
  <c r="H246" i="11"/>
  <c r="G246" i="11"/>
  <c r="H245" i="11"/>
  <c r="G245" i="11"/>
  <c r="H244" i="11"/>
  <c r="G244" i="11"/>
  <c r="H243" i="11"/>
  <c r="G243" i="11"/>
  <c r="H242" i="11"/>
  <c r="G242" i="11"/>
  <c r="H241" i="11"/>
  <c r="G241" i="11"/>
  <c r="H240" i="11"/>
  <c r="G240" i="11"/>
  <c r="H239" i="11"/>
  <c r="G239" i="11"/>
  <c r="H238" i="11"/>
  <c r="G238" i="11"/>
  <c r="H237" i="11"/>
  <c r="G237" i="11"/>
  <c r="H236" i="11"/>
  <c r="G236" i="11"/>
  <c r="H235" i="11"/>
  <c r="G235" i="11"/>
  <c r="H234" i="11"/>
  <c r="G234" i="11"/>
  <c r="H233" i="11"/>
  <c r="G233" i="11"/>
  <c r="H232" i="11"/>
  <c r="G232" i="11"/>
  <c r="H231" i="11"/>
  <c r="G231" i="11"/>
  <c r="H230" i="11"/>
  <c r="G230" i="11"/>
  <c r="H229" i="11"/>
  <c r="G229" i="11"/>
  <c r="H228" i="11"/>
  <c r="G228" i="11"/>
  <c r="H227" i="11"/>
  <c r="G227" i="11"/>
  <c r="H226" i="11"/>
  <c r="G226" i="11"/>
  <c r="H225" i="11"/>
  <c r="G225" i="11"/>
  <c r="H224" i="11"/>
  <c r="G224" i="11"/>
  <c r="H223" i="11"/>
  <c r="G223" i="11"/>
  <c r="H222" i="11"/>
  <c r="G222" i="11"/>
  <c r="H221" i="11"/>
  <c r="G221" i="11"/>
  <c r="H220" i="11"/>
  <c r="G220" i="11"/>
  <c r="H219" i="11"/>
  <c r="G219" i="11"/>
  <c r="H218" i="11"/>
  <c r="G218" i="11"/>
  <c r="H217" i="11"/>
  <c r="G217" i="11"/>
  <c r="H216" i="11"/>
  <c r="G216" i="11"/>
  <c r="H215" i="11"/>
  <c r="G215" i="11"/>
  <c r="H214" i="11"/>
  <c r="G214" i="11"/>
  <c r="H213" i="11"/>
  <c r="G213" i="11"/>
  <c r="H212" i="11"/>
  <c r="G212" i="11"/>
  <c r="H211" i="11"/>
  <c r="G211" i="11"/>
  <c r="H210" i="11"/>
  <c r="G210" i="11"/>
  <c r="H209" i="11"/>
  <c r="G209" i="11"/>
  <c r="H208" i="11"/>
  <c r="G208" i="11"/>
  <c r="H207" i="11"/>
  <c r="G207" i="11"/>
  <c r="H206" i="11"/>
  <c r="G206" i="11"/>
  <c r="H205" i="11"/>
  <c r="G205" i="11"/>
  <c r="H204" i="11"/>
  <c r="G204" i="11"/>
  <c r="H203" i="11"/>
  <c r="G203" i="11"/>
  <c r="H202" i="11"/>
  <c r="G202" i="11"/>
  <c r="H201" i="11"/>
  <c r="G201" i="11"/>
  <c r="H200" i="11"/>
  <c r="G200" i="11"/>
  <c r="H199" i="11"/>
  <c r="G199" i="11"/>
  <c r="H198" i="11"/>
  <c r="G198" i="11"/>
  <c r="H197" i="11"/>
  <c r="G197" i="11"/>
  <c r="H196" i="11"/>
  <c r="G196" i="11"/>
  <c r="H195" i="11"/>
  <c r="G195" i="11"/>
  <c r="H194" i="11"/>
  <c r="G194" i="11"/>
  <c r="H193" i="11"/>
  <c r="G193" i="11"/>
  <c r="H192" i="11"/>
  <c r="G192" i="11"/>
  <c r="H191" i="11"/>
  <c r="G191" i="11"/>
  <c r="H190" i="11"/>
  <c r="G190" i="11"/>
  <c r="H189" i="11"/>
  <c r="G189" i="11"/>
  <c r="H188" i="11"/>
  <c r="G188" i="11"/>
  <c r="H187" i="11"/>
  <c r="G187" i="11"/>
  <c r="H186" i="11"/>
  <c r="G186" i="11"/>
  <c r="H185" i="11"/>
  <c r="G185" i="11"/>
  <c r="H184" i="11"/>
  <c r="G184" i="11"/>
  <c r="H183" i="11"/>
  <c r="G183" i="11"/>
  <c r="H182" i="11"/>
  <c r="G182" i="11"/>
  <c r="H181" i="11"/>
  <c r="G181" i="11"/>
  <c r="H180" i="11"/>
  <c r="G180" i="11"/>
  <c r="H179" i="11"/>
  <c r="G179" i="11"/>
  <c r="H178" i="11"/>
  <c r="G178" i="11"/>
  <c r="H177" i="11"/>
  <c r="G177" i="11"/>
  <c r="H176" i="11"/>
  <c r="G176" i="11"/>
  <c r="H175" i="11"/>
  <c r="G175" i="11"/>
  <c r="H174" i="11"/>
  <c r="G174" i="11"/>
  <c r="H173" i="11"/>
  <c r="G173" i="11"/>
  <c r="H172" i="11"/>
  <c r="G172" i="11"/>
  <c r="H171" i="11"/>
  <c r="G171" i="11"/>
  <c r="H170" i="11"/>
  <c r="G170" i="11"/>
  <c r="H169" i="11"/>
  <c r="G169" i="11"/>
  <c r="H168" i="11"/>
  <c r="G168" i="11"/>
  <c r="H167" i="11"/>
  <c r="G167" i="11"/>
  <c r="H166" i="11"/>
  <c r="G166" i="11"/>
  <c r="H165" i="11"/>
  <c r="G165" i="11"/>
  <c r="H164" i="11"/>
  <c r="G164" i="11"/>
  <c r="H163" i="11"/>
  <c r="G163" i="11"/>
  <c r="H162" i="11"/>
  <c r="G162" i="11"/>
  <c r="H161" i="11"/>
  <c r="G161" i="11"/>
  <c r="H160" i="11"/>
  <c r="G160" i="11"/>
  <c r="H159" i="11"/>
  <c r="G159" i="11"/>
  <c r="H158" i="11"/>
  <c r="G158" i="11"/>
  <c r="H157" i="11"/>
  <c r="G157" i="11"/>
  <c r="H156" i="11"/>
  <c r="G156" i="11"/>
  <c r="H155" i="11"/>
  <c r="G155" i="11"/>
  <c r="H154" i="11"/>
  <c r="G154" i="11"/>
  <c r="H153" i="11"/>
  <c r="G153" i="11"/>
  <c r="H152" i="11"/>
  <c r="G152" i="11"/>
  <c r="H151" i="11"/>
  <c r="G151" i="11"/>
  <c r="H150" i="11"/>
  <c r="G150" i="11"/>
  <c r="H149" i="11"/>
  <c r="G149" i="11"/>
  <c r="H148" i="11"/>
  <c r="G148" i="11"/>
  <c r="H147" i="11"/>
  <c r="G147" i="11"/>
  <c r="H146" i="11"/>
  <c r="G146" i="11"/>
  <c r="H145" i="11"/>
  <c r="G145" i="11"/>
  <c r="H144" i="11"/>
  <c r="G144" i="11"/>
  <c r="H143" i="11"/>
  <c r="G143" i="11"/>
  <c r="H142" i="11"/>
  <c r="G142" i="11"/>
  <c r="H141" i="11"/>
  <c r="G141" i="11"/>
  <c r="H140" i="11"/>
  <c r="G140" i="11"/>
  <c r="H139" i="11"/>
  <c r="G139" i="11"/>
  <c r="H137" i="11"/>
  <c r="G137" i="11"/>
  <c r="H136" i="11"/>
  <c r="G136" i="11"/>
  <c r="H135" i="11"/>
  <c r="G135" i="11"/>
  <c r="H134" i="11"/>
  <c r="G134" i="11"/>
  <c r="H133" i="11"/>
  <c r="G133" i="11"/>
  <c r="H132" i="11"/>
  <c r="G132" i="11"/>
  <c r="H131" i="11"/>
  <c r="G131" i="11"/>
  <c r="H130" i="11"/>
  <c r="G130" i="11"/>
  <c r="H129" i="11"/>
  <c r="G129" i="11"/>
  <c r="H128" i="11"/>
  <c r="G128" i="11"/>
  <c r="H127" i="11"/>
  <c r="G127" i="11"/>
  <c r="H126" i="11"/>
  <c r="G126" i="11"/>
  <c r="H125" i="11"/>
  <c r="G125" i="11"/>
  <c r="H124" i="11"/>
  <c r="G124" i="11"/>
  <c r="H123" i="11"/>
  <c r="G123" i="11"/>
  <c r="H122" i="11"/>
  <c r="G122" i="11"/>
  <c r="H121" i="11"/>
  <c r="G121" i="11"/>
  <c r="H120" i="11"/>
  <c r="G120" i="11"/>
  <c r="H119" i="11"/>
  <c r="G119" i="11"/>
  <c r="H118" i="11"/>
  <c r="G118" i="11"/>
  <c r="H117" i="11"/>
  <c r="G117" i="11"/>
  <c r="H115" i="11"/>
  <c r="G115" i="11"/>
  <c r="H114" i="11"/>
  <c r="G114" i="11"/>
  <c r="H113" i="11"/>
  <c r="G113" i="11"/>
  <c r="H112" i="11"/>
  <c r="G112" i="11"/>
  <c r="H111" i="11"/>
  <c r="G111" i="11"/>
  <c r="H110" i="11"/>
  <c r="G110" i="11"/>
  <c r="H109" i="11"/>
  <c r="G109" i="11"/>
  <c r="H108" i="11"/>
  <c r="G108" i="11"/>
  <c r="H107" i="11"/>
  <c r="G107" i="11"/>
  <c r="H106" i="11"/>
  <c r="G106" i="11"/>
  <c r="H105" i="11"/>
  <c r="G105" i="11"/>
  <c r="H104" i="11"/>
  <c r="G104" i="11"/>
  <c r="H103" i="11"/>
  <c r="G103" i="11"/>
  <c r="H102" i="11"/>
  <c r="G102" i="11"/>
  <c r="H101" i="11"/>
  <c r="G101" i="11"/>
  <c r="H100" i="11"/>
  <c r="G100" i="11"/>
  <c r="H99" i="11"/>
  <c r="G99" i="11"/>
  <c r="H98" i="11"/>
  <c r="G98" i="11"/>
  <c r="H97" i="11"/>
  <c r="G97" i="11"/>
  <c r="H96" i="11"/>
  <c r="G96" i="11"/>
  <c r="H95" i="11"/>
  <c r="G95" i="11"/>
  <c r="H94" i="11"/>
  <c r="G94" i="11"/>
  <c r="H93" i="11"/>
  <c r="G93" i="11"/>
  <c r="H92" i="11"/>
  <c r="G92" i="11"/>
  <c r="H91" i="11"/>
  <c r="G91" i="11"/>
  <c r="H90" i="11"/>
  <c r="G90" i="11"/>
  <c r="H89" i="11"/>
  <c r="G89" i="11"/>
  <c r="H88" i="11"/>
  <c r="G88" i="11"/>
  <c r="H87" i="11"/>
  <c r="G87" i="11"/>
  <c r="H86" i="11"/>
  <c r="G86" i="11"/>
  <c r="H85" i="11"/>
  <c r="G85" i="11"/>
  <c r="H84" i="11"/>
  <c r="G84" i="11"/>
  <c r="H83" i="11"/>
  <c r="G83" i="11"/>
  <c r="H82" i="11"/>
  <c r="G82" i="11"/>
  <c r="H81" i="11"/>
  <c r="G81" i="11"/>
  <c r="H80" i="11"/>
  <c r="G80" i="11"/>
  <c r="H79" i="11"/>
  <c r="G79" i="11"/>
  <c r="H78" i="11"/>
  <c r="G78" i="11"/>
  <c r="H77" i="11"/>
  <c r="G77" i="11"/>
  <c r="H76" i="11"/>
  <c r="G76" i="11"/>
  <c r="H75" i="11"/>
  <c r="G75" i="11"/>
  <c r="H74" i="11"/>
  <c r="G74" i="11"/>
  <c r="H73" i="11"/>
  <c r="G73" i="11"/>
  <c r="H72" i="11"/>
  <c r="G72" i="11"/>
  <c r="H71" i="11"/>
  <c r="G71" i="11"/>
  <c r="H70" i="11"/>
  <c r="G70" i="11"/>
  <c r="H69" i="11"/>
  <c r="G69" i="11"/>
  <c r="H68" i="11"/>
  <c r="G68" i="11"/>
  <c r="H67" i="11"/>
  <c r="G67" i="11"/>
  <c r="H66" i="11"/>
  <c r="G66" i="11"/>
  <c r="H65" i="11"/>
  <c r="G65" i="11"/>
  <c r="H64" i="11"/>
  <c r="G64" i="11"/>
  <c r="H63" i="11"/>
  <c r="G63" i="11"/>
  <c r="H62" i="11"/>
  <c r="G62" i="11"/>
  <c r="H61" i="11"/>
  <c r="G61" i="11"/>
  <c r="H60" i="11"/>
  <c r="G60" i="11"/>
  <c r="H59" i="11"/>
  <c r="G59" i="11"/>
  <c r="H58" i="11"/>
  <c r="G58" i="11"/>
  <c r="H57" i="11"/>
  <c r="G57" i="11"/>
  <c r="H56" i="11"/>
  <c r="G56" i="11"/>
  <c r="H55" i="11"/>
  <c r="G55" i="11"/>
  <c r="H54" i="11"/>
  <c r="G54" i="11"/>
  <c r="H53" i="11"/>
  <c r="G53" i="11"/>
  <c r="H52" i="11"/>
  <c r="G52" i="11"/>
  <c r="H51" i="11"/>
  <c r="G51" i="11"/>
  <c r="H50" i="11"/>
  <c r="G50" i="11"/>
  <c r="H49" i="11"/>
  <c r="G49" i="11"/>
  <c r="H48" i="11"/>
  <c r="G48" i="11"/>
  <c r="H47" i="11"/>
  <c r="G47" i="11"/>
  <c r="H46" i="11"/>
  <c r="G46" i="11"/>
  <c r="H45" i="11"/>
  <c r="G45" i="11"/>
  <c r="H44" i="11"/>
  <c r="G44" i="11"/>
  <c r="H43" i="11"/>
  <c r="G43" i="11"/>
  <c r="H42" i="11"/>
  <c r="G42" i="11"/>
  <c r="H41" i="11"/>
  <c r="G41" i="11"/>
  <c r="H40" i="11"/>
  <c r="G40" i="11"/>
  <c r="H39" i="11"/>
  <c r="G39" i="11"/>
  <c r="H38" i="11"/>
  <c r="G38" i="11"/>
  <c r="H37" i="11"/>
  <c r="G37" i="11"/>
  <c r="H36" i="11"/>
  <c r="G36" i="11"/>
  <c r="H35" i="11"/>
  <c r="G35" i="11"/>
  <c r="H34" i="11"/>
  <c r="G34" i="11"/>
  <c r="H33" i="11"/>
  <c r="G33" i="11"/>
  <c r="H32" i="11"/>
  <c r="G32" i="11"/>
  <c r="H31" i="11"/>
  <c r="G31" i="11"/>
  <c r="H30" i="11"/>
  <c r="G30" i="11"/>
  <c r="H29" i="11"/>
  <c r="G29" i="11"/>
  <c r="H28" i="11"/>
  <c r="G28" i="11"/>
  <c r="H27" i="11"/>
  <c r="G27" i="11"/>
  <c r="H26" i="11"/>
  <c r="G26" i="11"/>
  <c r="H25" i="11"/>
  <c r="G25" i="11"/>
  <c r="H24" i="11"/>
  <c r="G24" i="11"/>
  <c r="H23" i="11"/>
  <c r="G23" i="11"/>
  <c r="H22" i="11"/>
  <c r="G22" i="11"/>
  <c r="H21" i="11"/>
  <c r="G21" i="11"/>
  <c r="H20" i="11"/>
  <c r="G20" i="11"/>
  <c r="H19" i="11"/>
  <c r="G19" i="11"/>
  <c r="H18" i="11"/>
  <c r="G18" i="11"/>
  <c r="H17" i="11"/>
  <c r="G17" i="11"/>
  <c r="H14" i="11"/>
  <c r="G14" i="11"/>
  <c r="H13" i="11"/>
  <c r="G13" i="11"/>
  <c r="H12" i="11"/>
  <c r="G12" i="11"/>
  <c r="H11" i="11"/>
  <c r="G11" i="11"/>
  <c r="H10" i="11"/>
  <c r="G10" i="11"/>
  <c r="H9" i="11"/>
  <c r="G9" i="11"/>
  <c r="H8" i="11"/>
  <c r="G8" i="11"/>
  <c r="H7" i="11"/>
  <c r="G7" i="11"/>
  <c r="H6" i="11"/>
  <c r="G6" i="11"/>
  <c r="H5" i="11"/>
  <c r="G5" i="11"/>
  <c r="L1709" i="11"/>
  <c r="M1709" i="11" s="1"/>
  <c r="O1709" i="11" s="1"/>
  <c r="L1708" i="11"/>
  <c r="M1708" i="11" s="1"/>
  <c r="O1708" i="11" s="1"/>
  <c r="L1707" i="11"/>
  <c r="M1707" i="11" s="1"/>
  <c r="O1707" i="11" s="1"/>
  <c r="L1706" i="11"/>
  <c r="M1706" i="11" s="1"/>
  <c r="O1706" i="11" s="1"/>
  <c r="L1705" i="11"/>
  <c r="M1705" i="11" s="1"/>
  <c r="O1705" i="11" s="1"/>
  <c r="L1704" i="11"/>
  <c r="M1704" i="11" s="1"/>
  <c r="O1704" i="11" s="1"/>
  <c r="L1703" i="11"/>
  <c r="M1703" i="11" s="1"/>
  <c r="O1703" i="11" s="1"/>
  <c r="L1702" i="11"/>
  <c r="M1702" i="11" s="1"/>
  <c r="O1702" i="11" s="1"/>
  <c r="L1701" i="11"/>
  <c r="M1701" i="11" s="1"/>
  <c r="O1701" i="11" s="1"/>
  <c r="L1700" i="11"/>
  <c r="M1700" i="11" s="1"/>
  <c r="O1700" i="11" s="1"/>
  <c r="L1699" i="11"/>
  <c r="M1699" i="11" s="1"/>
  <c r="O1699" i="11" s="1"/>
  <c r="L1698" i="11"/>
  <c r="M1698" i="11" s="1"/>
  <c r="O1698" i="11" s="1"/>
  <c r="L1697" i="11"/>
  <c r="M1697" i="11" s="1"/>
  <c r="O1697" i="11" s="1"/>
  <c r="L1696" i="11"/>
  <c r="M1696" i="11" s="1"/>
  <c r="O1696" i="11" s="1"/>
  <c r="L1695" i="11"/>
  <c r="M1695" i="11" s="1"/>
  <c r="O1695" i="11" s="1"/>
  <c r="L1694" i="11"/>
  <c r="M1694" i="11" s="1"/>
  <c r="O1694" i="11" s="1"/>
  <c r="L1693" i="11"/>
  <c r="M1693" i="11" s="1"/>
  <c r="O1693" i="11" s="1"/>
  <c r="L1692" i="11"/>
  <c r="M1692" i="11" s="1"/>
  <c r="O1692" i="11" s="1"/>
  <c r="L1691" i="11"/>
  <c r="M1691" i="11" s="1"/>
  <c r="O1691" i="11" s="1"/>
  <c r="L1690" i="11"/>
  <c r="M1690" i="11" s="1"/>
  <c r="O1690" i="11" s="1"/>
  <c r="L1689" i="11"/>
  <c r="M1689" i="11" s="1"/>
  <c r="O1689" i="11" s="1"/>
  <c r="L1688" i="11"/>
  <c r="M1688" i="11" s="1"/>
  <c r="O1688" i="11" s="1"/>
  <c r="L1687" i="11"/>
  <c r="M1687" i="11" s="1"/>
  <c r="O1687" i="11" s="1"/>
  <c r="L1686" i="11"/>
  <c r="M1686" i="11" s="1"/>
  <c r="O1686" i="11" s="1"/>
  <c r="L1685" i="11"/>
  <c r="M1685" i="11" s="1"/>
  <c r="O1685" i="11" s="1"/>
  <c r="L1684" i="11"/>
  <c r="M1684" i="11" s="1"/>
  <c r="O1684" i="11" s="1"/>
  <c r="L1683" i="11"/>
  <c r="M1683" i="11" s="1"/>
  <c r="O1683" i="11" s="1"/>
  <c r="L1682" i="11"/>
  <c r="M1682" i="11" s="1"/>
  <c r="O1682" i="11" s="1"/>
  <c r="L1681" i="11"/>
  <c r="M1681" i="11" s="1"/>
  <c r="O1681" i="11" s="1"/>
  <c r="L1680" i="11"/>
  <c r="M1680" i="11" s="1"/>
  <c r="O1680" i="11" s="1"/>
  <c r="L1679" i="11"/>
  <c r="M1679" i="11" s="1"/>
  <c r="O1679" i="11" s="1"/>
  <c r="L1678" i="11"/>
  <c r="M1678" i="11" s="1"/>
  <c r="O1678" i="11" s="1"/>
  <c r="L1677" i="11"/>
  <c r="M1677" i="11" s="1"/>
  <c r="O1677" i="11" s="1"/>
  <c r="L1676" i="11"/>
  <c r="M1676" i="11" s="1"/>
  <c r="O1676" i="11" s="1"/>
  <c r="L1675" i="11"/>
  <c r="M1675" i="11" s="1"/>
  <c r="O1675" i="11" s="1"/>
  <c r="L1674" i="11"/>
  <c r="M1674" i="11" s="1"/>
  <c r="O1674" i="11" s="1"/>
  <c r="L1673" i="11"/>
  <c r="M1673" i="11" s="1"/>
  <c r="O1673" i="11" s="1"/>
  <c r="L1672" i="11"/>
  <c r="M1672" i="11" s="1"/>
  <c r="O1672" i="11" s="1"/>
  <c r="L1671" i="11"/>
  <c r="M1671" i="11" s="1"/>
  <c r="O1671" i="11" s="1"/>
  <c r="L1670" i="11"/>
  <c r="M1670" i="11" s="1"/>
  <c r="O1670" i="11" s="1"/>
  <c r="L1669" i="11"/>
  <c r="M1669" i="11" s="1"/>
  <c r="O1669" i="11" s="1"/>
  <c r="L1668" i="11"/>
  <c r="M1668" i="11" s="1"/>
  <c r="O1668" i="11" s="1"/>
  <c r="L1667" i="11"/>
  <c r="M1667" i="11" s="1"/>
  <c r="O1667" i="11" s="1"/>
  <c r="L1666" i="11"/>
  <c r="M1666" i="11" s="1"/>
  <c r="O1666" i="11" s="1"/>
  <c r="L1665" i="11"/>
  <c r="M1665" i="11" s="1"/>
  <c r="O1665" i="11" s="1"/>
  <c r="L1664" i="11"/>
  <c r="M1664" i="11" s="1"/>
  <c r="O1664" i="11" s="1"/>
  <c r="L1663" i="11"/>
  <c r="M1663" i="11" s="1"/>
  <c r="O1663" i="11" s="1"/>
  <c r="L1662" i="11"/>
  <c r="M1662" i="11" s="1"/>
  <c r="O1662" i="11" s="1"/>
  <c r="L1661" i="11"/>
  <c r="M1661" i="11" s="1"/>
  <c r="O1661" i="11" s="1"/>
  <c r="L1660" i="11"/>
  <c r="M1660" i="11" s="1"/>
  <c r="O1660" i="11" s="1"/>
  <c r="L1659" i="11"/>
  <c r="M1659" i="11" s="1"/>
  <c r="O1659" i="11" s="1"/>
  <c r="L1658" i="11"/>
  <c r="M1658" i="11" s="1"/>
  <c r="O1658" i="11" s="1"/>
  <c r="L1657" i="11"/>
  <c r="M1657" i="11" s="1"/>
  <c r="O1657" i="11" s="1"/>
  <c r="L1656" i="11"/>
  <c r="M1656" i="11" s="1"/>
  <c r="O1656" i="11" s="1"/>
  <c r="L1655" i="11"/>
  <c r="M1655" i="11" s="1"/>
  <c r="O1655" i="11" s="1"/>
  <c r="L1654" i="11"/>
  <c r="M1654" i="11" s="1"/>
  <c r="O1654" i="11" s="1"/>
  <c r="L1653" i="11"/>
  <c r="M1653" i="11" s="1"/>
  <c r="O1653" i="11" s="1"/>
  <c r="L1652" i="11"/>
  <c r="M1652" i="11" s="1"/>
  <c r="O1652" i="11" s="1"/>
  <c r="L1651" i="11"/>
  <c r="M1651" i="11" s="1"/>
  <c r="O1651" i="11" s="1"/>
  <c r="L1650" i="11"/>
  <c r="M1650" i="11" s="1"/>
  <c r="O1650" i="11" s="1"/>
  <c r="L1649" i="11"/>
  <c r="M1649" i="11" s="1"/>
  <c r="O1649" i="11" s="1"/>
  <c r="L1648" i="11"/>
  <c r="M1648" i="11" s="1"/>
  <c r="O1648" i="11" s="1"/>
  <c r="L1647" i="11"/>
  <c r="M1647" i="11" s="1"/>
  <c r="O1647" i="11" s="1"/>
  <c r="L1646" i="11"/>
  <c r="M1646" i="11" s="1"/>
  <c r="O1646" i="11" s="1"/>
  <c r="L1645" i="11"/>
  <c r="M1645" i="11" s="1"/>
  <c r="O1645" i="11" s="1"/>
  <c r="L1644" i="11"/>
  <c r="M1644" i="11" s="1"/>
  <c r="O1644" i="11" s="1"/>
  <c r="L1643" i="11"/>
  <c r="M1643" i="11" s="1"/>
  <c r="O1643" i="11" s="1"/>
  <c r="L1642" i="11"/>
  <c r="M1642" i="11" s="1"/>
  <c r="O1642" i="11" s="1"/>
  <c r="L1641" i="11"/>
  <c r="M1641" i="11" s="1"/>
  <c r="O1641" i="11" s="1"/>
  <c r="L1640" i="11"/>
  <c r="M1640" i="11" s="1"/>
  <c r="O1640" i="11" s="1"/>
  <c r="L1639" i="11"/>
  <c r="M1639" i="11" s="1"/>
  <c r="O1639" i="11" s="1"/>
  <c r="L1638" i="11"/>
  <c r="M1638" i="11" s="1"/>
  <c r="O1638" i="11" s="1"/>
  <c r="L1637" i="11"/>
  <c r="M1637" i="11" s="1"/>
  <c r="O1637" i="11" s="1"/>
  <c r="L1636" i="11"/>
  <c r="M1636" i="11" s="1"/>
  <c r="O1636" i="11" s="1"/>
  <c r="L1635" i="11"/>
  <c r="M1635" i="11" s="1"/>
  <c r="O1635" i="11" s="1"/>
  <c r="L1634" i="11"/>
  <c r="M1634" i="11" s="1"/>
  <c r="O1634" i="11" s="1"/>
  <c r="L1633" i="11"/>
  <c r="M1633" i="11" s="1"/>
  <c r="O1633" i="11" s="1"/>
  <c r="L1632" i="11"/>
  <c r="M1632" i="11" s="1"/>
  <c r="O1632" i="11" s="1"/>
  <c r="L1631" i="11"/>
  <c r="M1631" i="11" s="1"/>
  <c r="O1631" i="11" s="1"/>
  <c r="L1630" i="11"/>
  <c r="M1630" i="11" s="1"/>
  <c r="O1630" i="11" s="1"/>
  <c r="L1629" i="11"/>
  <c r="M1629" i="11" s="1"/>
  <c r="O1629" i="11" s="1"/>
  <c r="L1628" i="11"/>
  <c r="M1628" i="11" s="1"/>
  <c r="O1628" i="11" s="1"/>
  <c r="L1627" i="11"/>
  <c r="M1627" i="11" s="1"/>
  <c r="O1627" i="11" s="1"/>
  <c r="L1626" i="11"/>
  <c r="M1626" i="11" s="1"/>
  <c r="O1626" i="11" s="1"/>
  <c r="L1625" i="11"/>
  <c r="M1625" i="11" s="1"/>
  <c r="O1625" i="11" s="1"/>
  <c r="L1624" i="11"/>
  <c r="M1624" i="11" s="1"/>
  <c r="O1624" i="11" s="1"/>
  <c r="L1623" i="11"/>
  <c r="M1623" i="11" s="1"/>
  <c r="O1623" i="11" s="1"/>
  <c r="L1622" i="11"/>
  <c r="M1622" i="11" s="1"/>
  <c r="O1622" i="11" s="1"/>
  <c r="L1621" i="11"/>
  <c r="M1621" i="11" s="1"/>
  <c r="O1621" i="11" s="1"/>
  <c r="L1620" i="11"/>
  <c r="M1620" i="11" s="1"/>
  <c r="O1620" i="11" s="1"/>
  <c r="L1619" i="11"/>
  <c r="M1619" i="11" s="1"/>
  <c r="O1619" i="11" s="1"/>
  <c r="L1618" i="11"/>
  <c r="M1618" i="11" s="1"/>
  <c r="O1618" i="11" s="1"/>
  <c r="L1617" i="11"/>
  <c r="M1617" i="11" s="1"/>
  <c r="O1617" i="11" s="1"/>
  <c r="L1616" i="11"/>
  <c r="M1616" i="11" s="1"/>
  <c r="O1616" i="11" s="1"/>
  <c r="L1615" i="11"/>
  <c r="M1615" i="11" s="1"/>
  <c r="O1615" i="11" s="1"/>
  <c r="L1614" i="11"/>
  <c r="M1614" i="11" s="1"/>
  <c r="O1614" i="11" s="1"/>
  <c r="L1613" i="11"/>
  <c r="M1613" i="11" s="1"/>
  <c r="O1613" i="11" s="1"/>
  <c r="L1612" i="11"/>
  <c r="M1612" i="11" s="1"/>
  <c r="O1612" i="11" s="1"/>
  <c r="L1611" i="11"/>
  <c r="M1611" i="11" s="1"/>
  <c r="O1611" i="11" s="1"/>
  <c r="L1610" i="11"/>
  <c r="M1610" i="11" s="1"/>
  <c r="O1610" i="11" s="1"/>
  <c r="L1609" i="11"/>
  <c r="M1609" i="11" s="1"/>
  <c r="O1609" i="11" s="1"/>
  <c r="L1608" i="11"/>
  <c r="M1608" i="11" s="1"/>
  <c r="O1608" i="11" s="1"/>
  <c r="L1607" i="11"/>
  <c r="M1607" i="11" s="1"/>
  <c r="O1607" i="11" s="1"/>
  <c r="L1606" i="11"/>
  <c r="M1606" i="11" s="1"/>
  <c r="O1606" i="11" s="1"/>
  <c r="L1605" i="11"/>
  <c r="M1605" i="11" s="1"/>
  <c r="O1605" i="11" s="1"/>
  <c r="L1604" i="11"/>
  <c r="M1604" i="11" s="1"/>
  <c r="O1604" i="11" s="1"/>
  <c r="L1603" i="11"/>
  <c r="M1603" i="11" s="1"/>
  <c r="O1603" i="11" s="1"/>
  <c r="L1602" i="11"/>
  <c r="M1602" i="11" s="1"/>
  <c r="O1602" i="11" s="1"/>
  <c r="L1601" i="11"/>
  <c r="M1601" i="11" s="1"/>
  <c r="O1601" i="11" s="1"/>
  <c r="L1600" i="11"/>
  <c r="M1600" i="11" s="1"/>
  <c r="O1600" i="11" s="1"/>
  <c r="L1599" i="11"/>
  <c r="M1599" i="11" s="1"/>
  <c r="O1599" i="11" s="1"/>
  <c r="L1598" i="11"/>
  <c r="M1598" i="11" s="1"/>
  <c r="O1598" i="11" s="1"/>
  <c r="L1597" i="11"/>
  <c r="M1597" i="11" s="1"/>
  <c r="O1597" i="11" s="1"/>
  <c r="L1596" i="11"/>
  <c r="M1596" i="11" s="1"/>
  <c r="O1596" i="11" s="1"/>
  <c r="L1595" i="11"/>
  <c r="M1595" i="11" s="1"/>
  <c r="O1595" i="11" s="1"/>
  <c r="L1594" i="11"/>
  <c r="M1594" i="11" s="1"/>
  <c r="O1594" i="11" s="1"/>
  <c r="L1593" i="11"/>
  <c r="M1593" i="11" s="1"/>
  <c r="O1593" i="11" s="1"/>
  <c r="L1592" i="11"/>
  <c r="M1592" i="11" s="1"/>
  <c r="O1592" i="11" s="1"/>
  <c r="L1591" i="11"/>
  <c r="M1591" i="11" s="1"/>
  <c r="O1591" i="11" s="1"/>
  <c r="L1590" i="11"/>
  <c r="M1590" i="11" s="1"/>
  <c r="O1590" i="11" s="1"/>
  <c r="L1589" i="11"/>
  <c r="M1589" i="11" s="1"/>
  <c r="O1589" i="11" s="1"/>
  <c r="L1588" i="11"/>
  <c r="M1588" i="11" s="1"/>
  <c r="O1588" i="11" s="1"/>
  <c r="L1587" i="11"/>
  <c r="M1587" i="11" s="1"/>
  <c r="O1587" i="11" s="1"/>
  <c r="L1586" i="11"/>
  <c r="M1586" i="11" s="1"/>
  <c r="O1586" i="11" s="1"/>
  <c r="L1585" i="11"/>
  <c r="M1585" i="11" s="1"/>
  <c r="O1585" i="11" s="1"/>
  <c r="L1584" i="11"/>
  <c r="M1584" i="11" s="1"/>
  <c r="O1584" i="11" s="1"/>
  <c r="L1583" i="11"/>
  <c r="M1583" i="11" s="1"/>
  <c r="O1583" i="11" s="1"/>
  <c r="L1582" i="11"/>
  <c r="M1582" i="11" s="1"/>
  <c r="O1582" i="11" s="1"/>
  <c r="L1581" i="11"/>
  <c r="M1581" i="11" s="1"/>
  <c r="O1581" i="11" s="1"/>
  <c r="L1580" i="11"/>
  <c r="M1580" i="11" s="1"/>
  <c r="O1580" i="11" s="1"/>
  <c r="L1579" i="11"/>
  <c r="M1579" i="11" s="1"/>
  <c r="O1579" i="11" s="1"/>
  <c r="L1578" i="11"/>
  <c r="M1578" i="11" s="1"/>
  <c r="O1578" i="11" s="1"/>
  <c r="L1577" i="11"/>
  <c r="M1577" i="11" s="1"/>
  <c r="O1577" i="11" s="1"/>
  <c r="L1576" i="11"/>
  <c r="M1576" i="11" s="1"/>
  <c r="O1576" i="11" s="1"/>
  <c r="L1575" i="11"/>
  <c r="M1575" i="11" s="1"/>
  <c r="O1575" i="11" s="1"/>
  <c r="L1574" i="11"/>
  <c r="M1574" i="11" s="1"/>
  <c r="O1574" i="11" s="1"/>
  <c r="L1573" i="11"/>
  <c r="M1573" i="11" s="1"/>
  <c r="O1573" i="11" s="1"/>
  <c r="L1572" i="11"/>
  <c r="M1572" i="11" s="1"/>
  <c r="O1572" i="11" s="1"/>
  <c r="L1571" i="11"/>
  <c r="M1571" i="11" s="1"/>
  <c r="O1571" i="11" s="1"/>
  <c r="L1570" i="11"/>
  <c r="M1570" i="11" s="1"/>
  <c r="O1570" i="11" s="1"/>
  <c r="L1569" i="11"/>
  <c r="M1569" i="11" s="1"/>
  <c r="O1569" i="11" s="1"/>
  <c r="L1568" i="11"/>
  <c r="M1568" i="11" s="1"/>
  <c r="O1568" i="11" s="1"/>
  <c r="L1567" i="11"/>
  <c r="M1567" i="11" s="1"/>
  <c r="O1567" i="11" s="1"/>
  <c r="L1566" i="11"/>
  <c r="M1566" i="11" s="1"/>
  <c r="O1566" i="11" s="1"/>
  <c r="L1565" i="11"/>
  <c r="M1565" i="11" s="1"/>
  <c r="O1565" i="11" s="1"/>
  <c r="L1564" i="11"/>
  <c r="M1564" i="11" s="1"/>
  <c r="O1564" i="11" s="1"/>
  <c r="L1563" i="11"/>
  <c r="M1563" i="11" s="1"/>
  <c r="O1563" i="11" s="1"/>
  <c r="L1562" i="11"/>
  <c r="M1562" i="11" s="1"/>
  <c r="O1562" i="11" s="1"/>
  <c r="L1561" i="11"/>
  <c r="M1561" i="11" s="1"/>
  <c r="O1561" i="11" s="1"/>
  <c r="L1560" i="11"/>
  <c r="M1560" i="11" s="1"/>
  <c r="O1560" i="11" s="1"/>
  <c r="L1559" i="11"/>
  <c r="M1559" i="11" s="1"/>
  <c r="O1559" i="11" s="1"/>
  <c r="L1558" i="11"/>
  <c r="M1558" i="11" s="1"/>
  <c r="O1558" i="11" s="1"/>
  <c r="L1557" i="11"/>
  <c r="M1557" i="11" s="1"/>
  <c r="O1557" i="11" s="1"/>
  <c r="L1556" i="11"/>
  <c r="M1556" i="11" s="1"/>
  <c r="O1556" i="11" s="1"/>
  <c r="L1555" i="11"/>
  <c r="M1555" i="11" s="1"/>
  <c r="O1555" i="11" s="1"/>
  <c r="L1554" i="11"/>
  <c r="M1554" i="11" s="1"/>
  <c r="O1554" i="11" s="1"/>
  <c r="L1553" i="11"/>
  <c r="M1553" i="11" s="1"/>
  <c r="O1553" i="11" s="1"/>
  <c r="L1552" i="11"/>
  <c r="M1552" i="11" s="1"/>
  <c r="O1552" i="11" s="1"/>
  <c r="L1551" i="11"/>
  <c r="M1551" i="11" s="1"/>
  <c r="O1551" i="11" s="1"/>
  <c r="L1550" i="11"/>
  <c r="M1550" i="11" s="1"/>
  <c r="O1550" i="11" s="1"/>
  <c r="L1549" i="11"/>
  <c r="M1549" i="11" s="1"/>
  <c r="O1549" i="11" s="1"/>
  <c r="L1548" i="11"/>
  <c r="M1548" i="11" s="1"/>
  <c r="O1548" i="11" s="1"/>
  <c r="L1547" i="11"/>
  <c r="M1547" i="11" s="1"/>
  <c r="O1547" i="11" s="1"/>
  <c r="L1546" i="11"/>
  <c r="M1546" i="11" s="1"/>
  <c r="O1546" i="11" s="1"/>
  <c r="L1545" i="11"/>
  <c r="M1545" i="11" s="1"/>
  <c r="O1545" i="11" s="1"/>
  <c r="L1544" i="11"/>
  <c r="M1544" i="11" s="1"/>
  <c r="O1544" i="11" s="1"/>
  <c r="L1543" i="11"/>
  <c r="M1543" i="11" s="1"/>
  <c r="O1543" i="11" s="1"/>
  <c r="L1542" i="11"/>
  <c r="M1542" i="11" s="1"/>
  <c r="O1542" i="11" s="1"/>
  <c r="L1541" i="11"/>
  <c r="M1541" i="11" s="1"/>
  <c r="O1541" i="11" s="1"/>
  <c r="L1540" i="11"/>
  <c r="M1540" i="11" s="1"/>
  <c r="O1540" i="11" s="1"/>
  <c r="L1539" i="11"/>
  <c r="M1539" i="11" s="1"/>
  <c r="O1539" i="11" s="1"/>
  <c r="L1538" i="11"/>
  <c r="M1538" i="11" s="1"/>
  <c r="O1538" i="11" s="1"/>
  <c r="L1537" i="11"/>
  <c r="M1537" i="11" s="1"/>
  <c r="O1537" i="11" s="1"/>
  <c r="L1536" i="11"/>
  <c r="M1536" i="11" s="1"/>
  <c r="O1536" i="11" s="1"/>
  <c r="L1535" i="11"/>
  <c r="M1535" i="11" s="1"/>
  <c r="O1535" i="11" s="1"/>
  <c r="L1534" i="11"/>
  <c r="M1534" i="11" s="1"/>
  <c r="O1534" i="11" s="1"/>
  <c r="L1533" i="11"/>
  <c r="M1533" i="11" s="1"/>
  <c r="O1533" i="11" s="1"/>
  <c r="L1532" i="11"/>
  <c r="M1532" i="11" s="1"/>
  <c r="O1532" i="11" s="1"/>
  <c r="L1531" i="11"/>
  <c r="M1531" i="11" s="1"/>
  <c r="O1531" i="11" s="1"/>
  <c r="L1530" i="11"/>
  <c r="M1530" i="11" s="1"/>
  <c r="O1530" i="11" s="1"/>
  <c r="L1529" i="11"/>
  <c r="M1529" i="11" s="1"/>
  <c r="O1529" i="11" s="1"/>
  <c r="L1528" i="11"/>
  <c r="M1528" i="11" s="1"/>
  <c r="O1528" i="11" s="1"/>
  <c r="L1527" i="11"/>
  <c r="M1527" i="11" s="1"/>
  <c r="O1527" i="11" s="1"/>
  <c r="L1526" i="11"/>
  <c r="M1526" i="11" s="1"/>
  <c r="O1526" i="11" s="1"/>
  <c r="L1525" i="11"/>
  <c r="M1525" i="11" s="1"/>
  <c r="O1525" i="11" s="1"/>
  <c r="L1524" i="11"/>
  <c r="M1524" i="11" s="1"/>
  <c r="O1524" i="11" s="1"/>
  <c r="L1523" i="11"/>
  <c r="M1523" i="11" s="1"/>
  <c r="O1523" i="11" s="1"/>
  <c r="L1522" i="11"/>
  <c r="M1522" i="11" s="1"/>
  <c r="O1522" i="11" s="1"/>
  <c r="L1521" i="11"/>
  <c r="M1521" i="11" s="1"/>
  <c r="O1521" i="11" s="1"/>
  <c r="L1520" i="11"/>
  <c r="M1520" i="11" s="1"/>
  <c r="O1520" i="11" s="1"/>
  <c r="L1519" i="11"/>
  <c r="M1519" i="11" s="1"/>
  <c r="O1519" i="11" s="1"/>
  <c r="L1518" i="11"/>
  <c r="M1518" i="11" s="1"/>
  <c r="O1518" i="11" s="1"/>
  <c r="L1517" i="11"/>
  <c r="M1517" i="11" s="1"/>
  <c r="O1517" i="11" s="1"/>
  <c r="L1516" i="11"/>
  <c r="M1516" i="11" s="1"/>
  <c r="O1516" i="11" s="1"/>
  <c r="L1515" i="11"/>
  <c r="M1515" i="11" s="1"/>
  <c r="O1515" i="11" s="1"/>
  <c r="L1514" i="11"/>
  <c r="M1514" i="11" s="1"/>
  <c r="O1514" i="11" s="1"/>
  <c r="L1513" i="11"/>
  <c r="M1513" i="11" s="1"/>
  <c r="O1513" i="11" s="1"/>
  <c r="L1512" i="11"/>
  <c r="M1512" i="11" s="1"/>
  <c r="O1512" i="11" s="1"/>
  <c r="L1511" i="11"/>
  <c r="M1511" i="11" s="1"/>
  <c r="O1511" i="11" s="1"/>
  <c r="L1510" i="11"/>
  <c r="M1510" i="11" s="1"/>
  <c r="O1510" i="11" s="1"/>
  <c r="L1509" i="11"/>
  <c r="M1509" i="11" s="1"/>
  <c r="O1509" i="11" s="1"/>
  <c r="L1508" i="11"/>
  <c r="M1508" i="11" s="1"/>
  <c r="O1508" i="11" s="1"/>
  <c r="L1507" i="11"/>
  <c r="M1507" i="11" s="1"/>
  <c r="O1507" i="11" s="1"/>
  <c r="L1506" i="11"/>
  <c r="M1506" i="11" s="1"/>
  <c r="O1506" i="11" s="1"/>
  <c r="L1505" i="11"/>
  <c r="M1505" i="11" s="1"/>
  <c r="O1505" i="11" s="1"/>
  <c r="L1504" i="11"/>
  <c r="M1504" i="11" s="1"/>
  <c r="O1504" i="11" s="1"/>
  <c r="L1503" i="11"/>
  <c r="M1503" i="11" s="1"/>
  <c r="O1503" i="11" s="1"/>
  <c r="L1502" i="11"/>
  <c r="M1502" i="11" s="1"/>
  <c r="O1502" i="11" s="1"/>
  <c r="L1501" i="11"/>
  <c r="M1501" i="11" s="1"/>
  <c r="O1501" i="11" s="1"/>
  <c r="L1500" i="11"/>
  <c r="M1500" i="11" s="1"/>
  <c r="O1500" i="11" s="1"/>
  <c r="L1499" i="11"/>
  <c r="M1499" i="11" s="1"/>
  <c r="O1499" i="11" s="1"/>
  <c r="L1498" i="11"/>
  <c r="M1498" i="11" s="1"/>
  <c r="O1498" i="11" s="1"/>
  <c r="L1497" i="11"/>
  <c r="M1497" i="11" s="1"/>
  <c r="O1497" i="11" s="1"/>
  <c r="L1496" i="11"/>
  <c r="M1496" i="11" s="1"/>
  <c r="O1496" i="11" s="1"/>
  <c r="L1495" i="11"/>
  <c r="M1495" i="11" s="1"/>
  <c r="O1495" i="11" s="1"/>
  <c r="L1494" i="11"/>
  <c r="M1494" i="11" s="1"/>
  <c r="O1494" i="11" s="1"/>
  <c r="L1493" i="11"/>
  <c r="M1493" i="11" s="1"/>
  <c r="O1493" i="11" s="1"/>
  <c r="L1492" i="11"/>
  <c r="M1492" i="11" s="1"/>
  <c r="O1492" i="11" s="1"/>
  <c r="L1491" i="11"/>
  <c r="M1491" i="11" s="1"/>
  <c r="O1491" i="11" s="1"/>
  <c r="L1490" i="11"/>
  <c r="M1490" i="11" s="1"/>
  <c r="O1490" i="11" s="1"/>
  <c r="L1489" i="11"/>
  <c r="M1489" i="11" s="1"/>
  <c r="O1489" i="11" s="1"/>
  <c r="L1488" i="11"/>
  <c r="M1488" i="11" s="1"/>
  <c r="O1488" i="11" s="1"/>
  <c r="L1487" i="11"/>
  <c r="M1487" i="11" s="1"/>
  <c r="O1487" i="11" s="1"/>
  <c r="L1486" i="11"/>
  <c r="M1486" i="11" s="1"/>
  <c r="O1486" i="11" s="1"/>
  <c r="L1485" i="11"/>
  <c r="M1485" i="11" s="1"/>
  <c r="O1485" i="11" s="1"/>
  <c r="L1484" i="11"/>
  <c r="M1484" i="11" s="1"/>
  <c r="O1484" i="11" s="1"/>
  <c r="L1483" i="11"/>
  <c r="M1483" i="11" s="1"/>
  <c r="O1483" i="11" s="1"/>
  <c r="L1482" i="11"/>
  <c r="M1482" i="11" s="1"/>
  <c r="O1482" i="11" s="1"/>
  <c r="L1481" i="11"/>
  <c r="M1481" i="11" s="1"/>
  <c r="O1481" i="11" s="1"/>
  <c r="L1480" i="11"/>
  <c r="M1480" i="11" s="1"/>
  <c r="O1480" i="11" s="1"/>
  <c r="L1479" i="11"/>
  <c r="M1479" i="11" s="1"/>
  <c r="O1479" i="11" s="1"/>
  <c r="L1478" i="11"/>
  <c r="M1478" i="11" s="1"/>
  <c r="O1478" i="11" s="1"/>
  <c r="L1477" i="11"/>
  <c r="M1477" i="11" s="1"/>
  <c r="O1477" i="11" s="1"/>
  <c r="L1476" i="11"/>
  <c r="M1476" i="11" s="1"/>
  <c r="O1476" i="11" s="1"/>
  <c r="L1475" i="11"/>
  <c r="M1475" i="11" s="1"/>
  <c r="O1475" i="11" s="1"/>
  <c r="L1474" i="11"/>
  <c r="M1474" i="11" s="1"/>
  <c r="O1474" i="11" s="1"/>
  <c r="L1473" i="11"/>
  <c r="M1473" i="11" s="1"/>
  <c r="O1473" i="11" s="1"/>
  <c r="L1472" i="11"/>
  <c r="M1472" i="11" s="1"/>
  <c r="O1472" i="11" s="1"/>
  <c r="L1471" i="11"/>
  <c r="M1471" i="11" s="1"/>
  <c r="O1471" i="11" s="1"/>
  <c r="L1470" i="11"/>
  <c r="M1470" i="11" s="1"/>
  <c r="O1470" i="11" s="1"/>
  <c r="L1469" i="11"/>
  <c r="M1469" i="11" s="1"/>
  <c r="O1469" i="11" s="1"/>
  <c r="L1468" i="11"/>
  <c r="M1468" i="11" s="1"/>
  <c r="O1468" i="11" s="1"/>
  <c r="L1467" i="11"/>
  <c r="M1467" i="11" s="1"/>
  <c r="O1467" i="11" s="1"/>
  <c r="L1466" i="11"/>
  <c r="M1466" i="11" s="1"/>
  <c r="O1466" i="11" s="1"/>
  <c r="L1465" i="11"/>
  <c r="M1465" i="11" s="1"/>
  <c r="O1465" i="11" s="1"/>
  <c r="L1464" i="11"/>
  <c r="M1464" i="11" s="1"/>
  <c r="O1464" i="11" s="1"/>
  <c r="L1463" i="11"/>
  <c r="M1463" i="11" s="1"/>
  <c r="O1463" i="11" s="1"/>
  <c r="L1462" i="11"/>
  <c r="M1462" i="11" s="1"/>
  <c r="O1462" i="11" s="1"/>
  <c r="L1461" i="11"/>
  <c r="M1461" i="11" s="1"/>
  <c r="O1461" i="11" s="1"/>
  <c r="L1460" i="11"/>
  <c r="M1460" i="11" s="1"/>
  <c r="O1460" i="11" s="1"/>
  <c r="L1459" i="11"/>
  <c r="M1459" i="11" s="1"/>
  <c r="O1459" i="11" s="1"/>
  <c r="L1458" i="11"/>
  <c r="M1458" i="11" s="1"/>
  <c r="O1458" i="11" s="1"/>
  <c r="L1457" i="11"/>
  <c r="M1457" i="11" s="1"/>
  <c r="O1457" i="11" s="1"/>
  <c r="L1456" i="11"/>
  <c r="M1456" i="11" s="1"/>
  <c r="O1456" i="11" s="1"/>
  <c r="L1455" i="11"/>
  <c r="M1455" i="11" s="1"/>
  <c r="O1455" i="11" s="1"/>
  <c r="L1454" i="11"/>
  <c r="M1454" i="11" s="1"/>
  <c r="O1454" i="11" s="1"/>
  <c r="L1453" i="11"/>
  <c r="M1453" i="11" s="1"/>
  <c r="O1453" i="11" s="1"/>
  <c r="L1452" i="11"/>
  <c r="M1452" i="11" s="1"/>
  <c r="O1452" i="11" s="1"/>
  <c r="L1451" i="11"/>
  <c r="M1451" i="11" s="1"/>
  <c r="O1451" i="11" s="1"/>
  <c r="L1450" i="11"/>
  <c r="M1450" i="11" s="1"/>
  <c r="O1450" i="11" s="1"/>
  <c r="L1449" i="11"/>
  <c r="M1449" i="11" s="1"/>
  <c r="O1449" i="11" s="1"/>
  <c r="L1448" i="11"/>
  <c r="M1448" i="11" s="1"/>
  <c r="O1448" i="11" s="1"/>
  <c r="L1447" i="11"/>
  <c r="M1447" i="11" s="1"/>
  <c r="O1447" i="11" s="1"/>
  <c r="L1446" i="11"/>
  <c r="M1446" i="11" s="1"/>
  <c r="O1446" i="11" s="1"/>
  <c r="L1445" i="11"/>
  <c r="M1445" i="11" s="1"/>
  <c r="O1445" i="11" s="1"/>
  <c r="L1444" i="11"/>
  <c r="M1444" i="11" s="1"/>
  <c r="O1444" i="11" s="1"/>
  <c r="L1443" i="11"/>
  <c r="M1443" i="11" s="1"/>
  <c r="O1443" i="11" s="1"/>
  <c r="L1442" i="11"/>
  <c r="M1442" i="11" s="1"/>
  <c r="O1442" i="11" s="1"/>
  <c r="L1441" i="11"/>
  <c r="M1441" i="11" s="1"/>
  <c r="O1441" i="11" s="1"/>
  <c r="L1440" i="11"/>
  <c r="M1440" i="11" s="1"/>
  <c r="O1440" i="11" s="1"/>
  <c r="L1439" i="11"/>
  <c r="M1439" i="11" s="1"/>
  <c r="O1439" i="11" s="1"/>
  <c r="L1438" i="11"/>
  <c r="M1438" i="11" s="1"/>
  <c r="O1438" i="11" s="1"/>
  <c r="L1437" i="11"/>
  <c r="M1437" i="11" s="1"/>
  <c r="O1437" i="11" s="1"/>
  <c r="L1436" i="11"/>
  <c r="M1436" i="11" s="1"/>
  <c r="O1436" i="11" s="1"/>
  <c r="L1435" i="11"/>
  <c r="M1435" i="11" s="1"/>
  <c r="O1435" i="11" s="1"/>
  <c r="L1434" i="11"/>
  <c r="M1434" i="11" s="1"/>
  <c r="O1434" i="11" s="1"/>
  <c r="L1433" i="11"/>
  <c r="M1433" i="11" s="1"/>
  <c r="O1433" i="11" s="1"/>
  <c r="L1432" i="11"/>
  <c r="M1432" i="11" s="1"/>
  <c r="O1432" i="11" s="1"/>
  <c r="L1431" i="11"/>
  <c r="M1431" i="11" s="1"/>
  <c r="O1431" i="11" s="1"/>
  <c r="L1430" i="11"/>
  <c r="M1430" i="11" s="1"/>
  <c r="O1430" i="11" s="1"/>
  <c r="L1429" i="11"/>
  <c r="M1429" i="11" s="1"/>
  <c r="O1429" i="11" s="1"/>
  <c r="L1428" i="11"/>
  <c r="M1428" i="11" s="1"/>
  <c r="O1428" i="11" s="1"/>
  <c r="L1427" i="11"/>
  <c r="M1427" i="11" s="1"/>
  <c r="O1427" i="11" s="1"/>
  <c r="L1426" i="11"/>
  <c r="M1426" i="11" s="1"/>
  <c r="O1426" i="11" s="1"/>
  <c r="L1425" i="11"/>
  <c r="M1425" i="11" s="1"/>
  <c r="O1425" i="11" s="1"/>
  <c r="L1424" i="11"/>
  <c r="M1424" i="11" s="1"/>
  <c r="O1424" i="11" s="1"/>
  <c r="L1423" i="11"/>
  <c r="M1423" i="11" s="1"/>
  <c r="O1423" i="11" s="1"/>
  <c r="L1422" i="11"/>
  <c r="M1422" i="11" s="1"/>
  <c r="O1422" i="11" s="1"/>
  <c r="L1421" i="11"/>
  <c r="M1421" i="11" s="1"/>
  <c r="O1421" i="11" s="1"/>
  <c r="L1420" i="11"/>
  <c r="M1420" i="11" s="1"/>
  <c r="O1420" i="11" s="1"/>
  <c r="L1419" i="11"/>
  <c r="M1419" i="11" s="1"/>
  <c r="O1419" i="11" s="1"/>
  <c r="L1418" i="11"/>
  <c r="M1418" i="11" s="1"/>
  <c r="O1418" i="11" s="1"/>
  <c r="L1417" i="11"/>
  <c r="M1417" i="11" s="1"/>
  <c r="O1417" i="11" s="1"/>
  <c r="L1416" i="11"/>
  <c r="M1416" i="11" s="1"/>
  <c r="O1416" i="11" s="1"/>
  <c r="L1415" i="11"/>
  <c r="M1415" i="11" s="1"/>
  <c r="O1415" i="11" s="1"/>
  <c r="L1414" i="11"/>
  <c r="M1414" i="11" s="1"/>
  <c r="O1414" i="11" s="1"/>
  <c r="L1413" i="11"/>
  <c r="M1413" i="11" s="1"/>
  <c r="O1413" i="11" s="1"/>
  <c r="L1412" i="11"/>
  <c r="M1412" i="11" s="1"/>
  <c r="O1412" i="11" s="1"/>
  <c r="L1411" i="11"/>
  <c r="M1411" i="11" s="1"/>
  <c r="O1411" i="11" s="1"/>
  <c r="L1410" i="11"/>
  <c r="M1410" i="11" s="1"/>
  <c r="O1410" i="11" s="1"/>
  <c r="L1409" i="11"/>
  <c r="M1409" i="11" s="1"/>
  <c r="O1409" i="11" s="1"/>
  <c r="L1408" i="11"/>
  <c r="M1408" i="11" s="1"/>
  <c r="O1408" i="11" s="1"/>
  <c r="L1407" i="11"/>
  <c r="M1407" i="11" s="1"/>
  <c r="O1407" i="11" s="1"/>
  <c r="L1406" i="11"/>
  <c r="M1406" i="11" s="1"/>
  <c r="O1406" i="11" s="1"/>
  <c r="L1405" i="11"/>
  <c r="M1405" i="11" s="1"/>
  <c r="O1405" i="11" s="1"/>
  <c r="L1404" i="11"/>
  <c r="M1404" i="11" s="1"/>
  <c r="O1404" i="11" s="1"/>
  <c r="L1403" i="11"/>
  <c r="M1403" i="11" s="1"/>
  <c r="O1403" i="11" s="1"/>
  <c r="L1402" i="11"/>
  <c r="M1402" i="11" s="1"/>
  <c r="O1402" i="11" s="1"/>
  <c r="L1401" i="11"/>
  <c r="M1401" i="11" s="1"/>
  <c r="O1401" i="11" s="1"/>
  <c r="L1400" i="11"/>
  <c r="M1400" i="11" s="1"/>
  <c r="O1400" i="11" s="1"/>
  <c r="L1399" i="11"/>
  <c r="M1399" i="11" s="1"/>
  <c r="O1399" i="11" s="1"/>
  <c r="L1398" i="11"/>
  <c r="M1398" i="11" s="1"/>
  <c r="O1398" i="11" s="1"/>
  <c r="L1397" i="11"/>
  <c r="M1397" i="11" s="1"/>
  <c r="O1397" i="11" s="1"/>
  <c r="L1396" i="11"/>
  <c r="M1396" i="11" s="1"/>
  <c r="O1396" i="11" s="1"/>
  <c r="L1395" i="11"/>
  <c r="M1395" i="11" s="1"/>
  <c r="O1395" i="11" s="1"/>
  <c r="L1394" i="11"/>
  <c r="M1394" i="11" s="1"/>
  <c r="O1394" i="11" s="1"/>
  <c r="L1393" i="11"/>
  <c r="M1393" i="11" s="1"/>
  <c r="O1393" i="11" s="1"/>
  <c r="L1392" i="11"/>
  <c r="M1392" i="11" s="1"/>
  <c r="O1392" i="11" s="1"/>
  <c r="L1391" i="11"/>
  <c r="M1391" i="11" s="1"/>
  <c r="O1391" i="11" s="1"/>
  <c r="L1390" i="11"/>
  <c r="M1390" i="11" s="1"/>
  <c r="O1390" i="11" s="1"/>
  <c r="L1389" i="11"/>
  <c r="M1389" i="11" s="1"/>
  <c r="O1389" i="11" s="1"/>
  <c r="L1388" i="11"/>
  <c r="M1388" i="11" s="1"/>
  <c r="O1388" i="11" s="1"/>
  <c r="L1387" i="11"/>
  <c r="M1387" i="11" s="1"/>
  <c r="O1387" i="11" s="1"/>
  <c r="L1386" i="11"/>
  <c r="M1386" i="11" s="1"/>
  <c r="O1386" i="11" s="1"/>
  <c r="L1385" i="11"/>
  <c r="M1385" i="11" s="1"/>
  <c r="O1385" i="11" s="1"/>
  <c r="L1384" i="11"/>
  <c r="M1384" i="11" s="1"/>
  <c r="O1384" i="11" s="1"/>
  <c r="L1383" i="11"/>
  <c r="M1383" i="11" s="1"/>
  <c r="O1383" i="11" s="1"/>
  <c r="L1382" i="11"/>
  <c r="M1382" i="11" s="1"/>
  <c r="O1382" i="11" s="1"/>
  <c r="L1381" i="11"/>
  <c r="M1381" i="11" s="1"/>
  <c r="O1381" i="11" s="1"/>
  <c r="L1380" i="11"/>
  <c r="M1380" i="11" s="1"/>
  <c r="O1380" i="11" s="1"/>
  <c r="L1379" i="11"/>
  <c r="M1379" i="11" s="1"/>
  <c r="O1379" i="11" s="1"/>
  <c r="L1378" i="11"/>
  <c r="M1378" i="11" s="1"/>
  <c r="O1378" i="11" s="1"/>
  <c r="L1377" i="11"/>
  <c r="M1377" i="11" s="1"/>
  <c r="O1377" i="11" s="1"/>
  <c r="L1376" i="11"/>
  <c r="M1376" i="11" s="1"/>
  <c r="O1376" i="11" s="1"/>
  <c r="L1375" i="11"/>
  <c r="M1375" i="11" s="1"/>
  <c r="O1375" i="11" s="1"/>
  <c r="L1374" i="11"/>
  <c r="M1374" i="11" s="1"/>
  <c r="O1374" i="11" s="1"/>
  <c r="L1373" i="11"/>
  <c r="M1373" i="11" s="1"/>
  <c r="O1373" i="11" s="1"/>
  <c r="L1372" i="11"/>
  <c r="M1372" i="11" s="1"/>
  <c r="O1372" i="11" s="1"/>
  <c r="L1371" i="11"/>
  <c r="M1371" i="11" s="1"/>
  <c r="O1371" i="11" s="1"/>
  <c r="L1370" i="11"/>
  <c r="M1370" i="11" s="1"/>
  <c r="O1370" i="11" s="1"/>
  <c r="L1369" i="11"/>
  <c r="M1369" i="11" s="1"/>
  <c r="O1369" i="11" s="1"/>
  <c r="L1368" i="11"/>
  <c r="M1368" i="11" s="1"/>
  <c r="O1368" i="11" s="1"/>
  <c r="L1367" i="11"/>
  <c r="M1367" i="11" s="1"/>
  <c r="O1367" i="11" s="1"/>
  <c r="L1366" i="11"/>
  <c r="M1366" i="11" s="1"/>
  <c r="O1366" i="11" s="1"/>
  <c r="L1365" i="11"/>
  <c r="M1365" i="11" s="1"/>
  <c r="O1365" i="11" s="1"/>
  <c r="L1364" i="11"/>
  <c r="M1364" i="11" s="1"/>
  <c r="O1364" i="11" s="1"/>
  <c r="L1363" i="11"/>
  <c r="M1363" i="11" s="1"/>
  <c r="O1363" i="11" s="1"/>
  <c r="L1362" i="11"/>
  <c r="M1362" i="11" s="1"/>
  <c r="O1362" i="11" s="1"/>
  <c r="L1361" i="11"/>
  <c r="M1361" i="11" s="1"/>
  <c r="O1361" i="11" s="1"/>
  <c r="L1360" i="11"/>
  <c r="M1360" i="11" s="1"/>
  <c r="O1360" i="11" s="1"/>
  <c r="L1359" i="11"/>
  <c r="M1359" i="11" s="1"/>
  <c r="O1359" i="11" s="1"/>
  <c r="L1358" i="11"/>
  <c r="M1358" i="11" s="1"/>
  <c r="O1358" i="11" s="1"/>
  <c r="L1357" i="11"/>
  <c r="M1357" i="11" s="1"/>
  <c r="O1357" i="11" s="1"/>
  <c r="L1356" i="11"/>
  <c r="M1356" i="11" s="1"/>
  <c r="O1356" i="11" s="1"/>
  <c r="L1355" i="11"/>
  <c r="M1355" i="11" s="1"/>
  <c r="O1355" i="11" s="1"/>
  <c r="L1354" i="11"/>
  <c r="M1354" i="11" s="1"/>
  <c r="O1354" i="11" s="1"/>
  <c r="L1353" i="11"/>
  <c r="M1353" i="11" s="1"/>
  <c r="O1353" i="11" s="1"/>
  <c r="L1352" i="11"/>
  <c r="M1352" i="11" s="1"/>
  <c r="O1352" i="11" s="1"/>
  <c r="L1351" i="11"/>
  <c r="M1351" i="11" s="1"/>
  <c r="O1351" i="11" s="1"/>
  <c r="L1350" i="11"/>
  <c r="M1350" i="11" s="1"/>
  <c r="O1350" i="11" s="1"/>
  <c r="L1349" i="11"/>
  <c r="M1349" i="11" s="1"/>
  <c r="O1349" i="11" s="1"/>
  <c r="L1348" i="11"/>
  <c r="M1348" i="11" s="1"/>
  <c r="O1348" i="11" s="1"/>
  <c r="L1347" i="11"/>
  <c r="M1347" i="11" s="1"/>
  <c r="O1347" i="11" s="1"/>
  <c r="L1346" i="11"/>
  <c r="M1346" i="11" s="1"/>
  <c r="O1346" i="11" s="1"/>
  <c r="L1345" i="11"/>
  <c r="M1345" i="11" s="1"/>
  <c r="O1345" i="11" s="1"/>
  <c r="L1344" i="11"/>
  <c r="M1344" i="11" s="1"/>
  <c r="O1344" i="11" s="1"/>
  <c r="L1343" i="11"/>
  <c r="M1343" i="11" s="1"/>
  <c r="O1343" i="11" s="1"/>
  <c r="L1342" i="11"/>
  <c r="M1342" i="11" s="1"/>
  <c r="O1342" i="11" s="1"/>
  <c r="L1341" i="11"/>
  <c r="M1341" i="11" s="1"/>
  <c r="O1341" i="11" s="1"/>
  <c r="L1340" i="11"/>
  <c r="M1340" i="11" s="1"/>
  <c r="O1340" i="11" s="1"/>
  <c r="L1339" i="11"/>
  <c r="M1339" i="11" s="1"/>
  <c r="O1339" i="11" s="1"/>
  <c r="L1338" i="11"/>
  <c r="M1338" i="11" s="1"/>
  <c r="O1338" i="11" s="1"/>
  <c r="L1337" i="11"/>
  <c r="M1337" i="11" s="1"/>
  <c r="O1337" i="11" s="1"/>
  <c r="L1336" i="11"/>
  <c r="M1336" i="11" s="1"/>
  <c r="O1336" i="11" s="1"/>
  <c r="L1335" i="11"/>
  <c r="M1335" i="11" s="1"/>
  <c r="O1335" i="11" s="1"/>
  <c r="L1334" i="11"/>
  <c r="M1334" i="11" s="1"/>
  <c r="O1334" i="11" s="1"/>
  <c r="L1333" i="11"/>
  <c r="M1333" i="11" s="1"/>
  <c r="O1333" i="11" s="1"/>
  <c r="L1332" i="11"/>
  <c r="M1332" i="11" s="1"/>
  <c r="O1332" i="11" s="1"/>
  <c r="L1331" i="11"/>
  <c r="M1331" i="11" s="1"/>
  <c r="O1331" i="11" s="1"/>
  <c r="L1330" i="11"/>
  <c r="M1330" i="11" s="1"/>
  <c r="O1330" i="11" s="1"/>
  <c r="L1329" i="11"/>
  <c r="M1329" i="11" s="1"/>
  <c r="O1329" i="11" s="1"/>
  <c r="L1328" i="11"/>
  <c r="M1328" i="11" s="1"/>
  <c r="O1328" i="11" s="1"/>
  <c r="L1327" i="11"/>
  <c r="M1327" i="11" s="1"/>
  <c r="O1327" i="11" s="1"/>
  <c r="L1326" i="11"/>
  <c r="M1326" i="11" s="1"/>
  <c r="O1326" i="11" s="1"/>
  <c r="L1325" i="11"/>
  <c r="M1325" i="11" s="1"/>
  <c r="O1325" i="11" s="1"/>
  <c r="L1324" i="11"/>
  <c r="M1324" i="11" s="1"/>
  <c r="O1324" i="11" s="1"/>
  <c r="L1323" i="11"/>
  <c r="M1323" i="11" s="1"/>
  <c r="O1323" i="11" s="1"/>
  <c r="L1322" i="11"/>
  <c r="M1322" i="11" s="1"/>
  <c r="O1322" i="11" s="1"/>
  <c r="L1321" i="11"/>
  <c r="M1321" i="11" s="1"/>
  <c r="O1321" i="11" s="1"/>
  <c r="L1320" i="11"/>
  <c r="M1320" i="11" s="1"/>
  <c r="O1320" i="11" s="1"/>
  <c r="L1319" i="11"/>
  <c r="M1319" i="11" s="1"/>
  <c r="O1319" i="11" s="1"/>
  <c r="L1318" i="11"/>
  <c r="M1318" i="11" s="1"/>
  <c r="O1318" i="11" s="1"/>
  <c r="L1317" i="11"/>
  <c r="M1317" i="11" s="1"/>
  <c r="O1317" i="11" s="1"/>
  <c r="L1316" i="11"/>
  <c r="M1316" i="11" s="1"/>
  <c r="O1316" i="11" s="1"/>
  <c r="L1315" i="11"/>
  <c r="M1315" i="11" s="1"/>
  <c r="O1315" i="11" s="1"/>
  <c r="L1314" i="11"/>
  <c r="M1314" i="11" s="1"/>
  <c r="O1314" i="11" s="1"/>
  <c r="L1313" i="11"/>
  <c r="M1313" i="11" s="1"/>
  <c r="O1313" i="11" s="1"/>
  <c r="L1312" i="11"/>
  <c r="M1312" i="11" s="1"/>
  <c r="O1312" i="11" s="1"/>
  <c r="L1311" i="11"/>
  <c r="M1311" i="11" s="1"/>
  <c r="O1311" i="11" s="1"/>
  <c r="L1310" i="11"/>
  <c r="M1310" i="11" s="1"/>
  <c r="O1310" i="11" s="1"/>
  <c r="L1309" i="11"/>
  <c r="M1309" i="11" s="1"/>
  <c r="O1309" i="11" s="1"/>
  <c r="L1308" i="11"/>
  <c r="M1308" i="11" s="1"/>
  <c r="O1308" i="11" s="1"/>
  <c r="L1307" i="11"/>
  <c r="M1307" i="11" s="1"/>
  <c r="O1307" i="11" s="1"/>
  <c r="L1306" i="11"/>
  <c r="M1306" i="11" s="1"/>
  <c r="O1306" i="11" s="1"/>
  <c r="L1305" i="11"/>
  <c r="M1305" i="11" s="1"/>
  <c r="O1305" i="11" s="1"/>
  <c r="L1304" i="11"/>
  <c r="M1304" i="11" s="1"/>
  <c r="O1304" i="11" s="1"/>
  <c r="L1303" i="11"/>
  <c r="M1303" i="11" s="1"/>
  <c r="O1303" i="11" s="1"/>
  <c r="L1302" i="11"/>
  <c r="M1302" i="11" s="1"/>
  <c r="O1302" i="11" s="1"/>
  <c r="L1301" i="11"/>
  <c r="M1301" i="11" s="1"/>
  <c r="O1301" i="11" s="1"/>
  <c r="L1300" i="11"/>
  <c r="M1300" i="11" s="1"/>
  <c r="O1300" i="11" s="1"/>
  <c r="L1299" i="11"/>
  <c r="M1299" i="11" s="1"/>
  <c r="O1299" i="11" s="1"/>
  <c r="L1298" i="11"/>
  <c r="M1298" i="11" s="1"/>
  <c r="O1298" i="11" s="1"/>
  <c r="L1297" i="11"/>
  <c r="M1297" i="11" s="1"/>
  <c r="O1297" i="11" s="1"/>
  <c r="L1296" i="11"/>
  <c r="M1296" i="11" s="1"/>
  <c r="O1296" i="11" s="1"/>
  <c r="L1295" i="11"/>
  <c r="M1295" i="11" s="1"/>
  <c r="O1295" i="11" s="1"/>
  <c r="L1294" i="11"/>
  <c r="M1294" i="11" s="1"/>
  <c r="O1294" i="11" s="1"/>
  <c r="L1293" i="11"/>
  <c r="M1293" i="11" s="1"/>
  <c r="O1293" i="11" s="1"/>
  <c r="L1292" i="11"/>
  <c r="M1292" i="11" s="1"/>
  <c r="O1292" i="11" s="1"/>
  <c r="L1291" i="11"/>
  <c r="M1291" i="11" s="1"/>
  <c r="O1291" i="11" s="1"/>
  <c r="L1290" i="11"/>
  <c r="M1290" i="11" s="1"/>
  <c r="O1290" i="11" s="1"/>
  <c r="L1289" i="11"/>
  <c r="M1289" i="11" s="1"/>
  <c r="O1289" i="11" s="1"/>
  <c r="L1288" i="11"/>
  <c r="M1288" i="11" s="1"/>
  <c r="O1288" i="11" s="1"/>
  <c r="L1287" i="11"/>
  <c r="M1287" i="11" s="1"/>
  <c r="O1287" i="11" s="1"/>
  <c r="L1286" i="11"/>
  <c r="M1286" i="11" s="1"/>
  <c r="O1286" i="11" s="1"/>
  <c r="L1285" i="11"/>
  <c r="M1285" i="11" s="1"/>
  <c r="O1285" i="11" s="1"/>
  <c r="L1284" i="11"/>
  <c r="M1284" i="11" s="1"/>
  <c r="O1284" i="11" s="1"/>
  <c r="L1283" i="11"/>
  <c r="M1283" i="11" s="1"/>
  <c r="O1283" i="11" s="1"/>
  <c r="L1282" i="11"/>
  <c r="M1282" i="11" s="1"/>
  <c r="O1282" i="11" s="1"/>
  <c r="L1281" i="11"/>
  <c r="M1281" i="11" s="1"/>
  <c r="O1281" i="11" s="1"/>
  <c r="L1280" i="11"/>
  <c r="M1280" i="11" s="1"/>
  <c r="O1280" i="11" s="1"/>
  <c r="L1279" i="11"/>
  <c r="M1279" i="11" s="1"/>
  <c r="O1279" i="11" s="1"/>
  <c r="L1278" i="11"/>
  <c r="M1278" i="11" s="1"/>
  <c r="O1278" i="11" s="1"/>
  <c r="L1277" i="11"/>
  <c r="M1277" i="11" s="1"/>
  <c r="O1277" i="11" s="1"/>
  <c r="L1276" i="11"/>
  <c r="M1276" i="11" s="1"/>
  <c r="O1276" i="11" s="1"/>
  <c r="L1275" i="11"/>
  <c r="M1275" i="11" s="1"/>
  <c r="O1275" i="11" s="1"/>
  <c r="L1274" i="11"/>
  <c r="M1274" i="11" s="1"/>
  <c r="O1274" i="11" s="1"/>
  <c r="L1273" i="11"/>
  <c r="M1273" i="11" s="1"/>
  <c r="O1273" i="11" s="1"/>
  <c r="L1272" i="11"/>
  <c r="M1272" i="11" s="1"/>
  <c r="O1272" i="11" s="1"/>
  <c r="L1271" i="11"/>
  <c r="M1271" i="11" s="1"/>
  <c r="O1271" i="11" s="1"/>
  <c r="L1270" i="11"/>
  <c r="M1270" i="11" s="1"/>
  <c r="O1270" i="11" s="1"/>
  <c r="L1269" i="11"/>
  <c r="M1269" i="11" s="1"/>
  <c r="O1269" i="11" s="1"/>
  <c r="L1268" i="11"/>
  <c r="M1268" i="11" s="1"/>
  <c r="O1268" i="11" s="1"/>
  <c r="L1267" i="11"/>
  <c r="M1267" i="11" s="1"/>
  <c r="O1267" i="11" s="1"/>
  <c r="L1266" i="11"/>
  <c r="M1266" i="11" s="1"/>
  <c r="O1266" i="11" s="1"/>
  <c r="L1265" i="11"/>
  <c r="M1265" i="11" s="1"/>
  <c r="O1265" i="11" s="1"/>
  <c r="L1264" i="11"/>
  <c r="M1264" i="11" s="1"/>
  <c r="O1264" i="11" s="1"/>
  <c r="L1263" i="11"/>
  <c r="M1263" i="11" s="1"/>
  <c r="O1263" i="11" s="1"/>
  <c r="L1262" i="11"/>
  <c r="M1262" i="11" s="1"/>
  <c r="O1262" i="11" s="1"/>
  <c r="L1261" i="11"/>
  <c r="M1261" i="11" s="1"/>
  <c r="O1261" i="11" s="1"/>
  <c r="L1260" i="11"/>
  <c r="M1260" i="11" s="1"/>
  <c r="O1260" i="11" s="1"/>
  <c r="L1259" i="11"/>
  <c r="M1259" i="11" s="1"/>
  <c r="O1259" i="11" s="1"/>
  <c r="L1258" i="11"/>
  <c r="M1258" i="11" s="1"/>
  <c r="O1258" i="11" s="1"/>
  <c r="L1257" i="11"/>
  <c r="M1257" i="11" s="1"/>
  <c r="O1257" i="11" s="1"/>
  <c r="L1256" i="11"/>
  <c r="M1256" i="11" s="1"/>
  <c r="O1256" i="11" s="1"/>
  <c r="L1255" i="11"/>
  <c r="M1255" i="11" s="1"/>
  <c r="O1255" i="11" s="1"/>
  <c r="L1254" i="11"/>
  <c r="M1254" i="11" s="1"/>
  <c r="O1254" i="11" s="1"/>
  <c r="L1253" i="11"/>
  <c r="M1253" i="11" s="1"/>
  <c r="O1253" i="11" s="1"/>
  <c r="L1252" i="11"/>
  <c r="M1252" i="11" s="1"/>
  <c r="O1252" i="11" s="1"/>
  <c r="L1251" i="11"/>
  <c r="M1251" i="11" s="1"/>
  <c r="O1251" i="11" s="1"/>
  <c r="L1250" i="11"/>
  <c r="M1250" i="11" s="1"/>
  <c r="O1250" i="11" s="1"/>
  <c r="L1249" i="11"/>
  <c r="M1249" i="11" s="1"/>
  <c r="O1249" i="11" s="1"/>
  <c r="L1248" i="11"/>
  <c r="M1248" i="11" s="1"/>
  <c r="O1248" i="11" s="1"/>
  <c r="L1247" i="11"/>
  <c r="M1247" i="11" s="1"/>
  <c r="O1247" i="11" s="1"/>
  <c r="L1246" i="11"/>
  <c r="M1246" i="11" s="1"/>
  <c r="O1246" i="11" s="1"/>
  <c r="L1245" i="11"/>
  <c r="M1245" i="11" s="1"/>
  <c r="O1245" i="11" s="1"/>
  <c r="L1244" i="11"/>
  <c r="M1244" i="11" s="1"/>
  <c r="O1244" i="11" s="1"/>
  <c r="L1243" i="11"/>
  <c r="M1243" i="11" s="1"/>
  <c r="O1243" i="11" s="1"/>
  <c r="L1242" i="11"/>
  <c r="M1242" i="11" s="1"/>
  <c r="O1242" i="11" s="1"/>
  <c r="L1241" i="11"/>
  <c r="M1241" i="11" s="1"/>
  <c r="O1241" i="11" s="1"/>
  <c r="L1240" i="11"/>
  <c r="M1240" i="11" s="1"/>
  <c r="O1240" i="11" s="1"/>
  <c r="L1239" i="11"/>
  <c r="M1239" i="11" s="1"/>
  <c r="O1239" i="11" s="1"/>
  <c r="L1238" i="11"/>
  <c r="M1238" i="11" s="1"/>
  <c r="O1238" i="11" s="1"/>
  <c r="L1237" i="11"/>
  <c r="M1237" i="11" s="1"/>
  <c r="O1237" i="11" s="1"/>
  <c r="L1236" i="11"/>
  <c r="M1236" i="11" s="1"/>
  <c r="O1236" i="11" s="1"/>
  <c r="L1235" i="11"/>
  <c r="M1235" i="11" s="1"/>
  <c r="O1235" i="11" s="1"/>
  <c r="L1234" i="11"/>
  <c r="M1234" i="11" s="1"/>
  <c r="O1234" i="11" s="1"/>
  <c r="L1233" i="11"/>
  <c r="M1233" i="11" s="1"/>
  <c r="O1233" i="11" s="1"/>
  <c r="L1232" i="11"/>
  <c r="M1232" i="11" s="1"/>
  <c r="O1232" i="11" s="1"/>
  <c r="L1231" i="11"/>
  <c r="M1231" i="11" s="1"/>
  <c r="O1231" i="11" s="1"/>
  <c r="L1230" i="11"/>
  <c r="M1230" i="11" s="1"/>
  <c r="O1230" i="11" s="1"/>
  <c r="L1229" i="11"/>
  <c r="M1229" i="11" s="1"/>
  <c r="O1229" i="11" s="1"/>
  <c r="L1228" i="11"/>
  <c r="M1228" i="11" s="1"/>
  <c r="O1228" i="11" s="1"/>
  <c r="L1227" i="11"/>
  <c r="M1227" i="11" s="1"/>
  <c r="O1227" i="11" s="1"/>
  <c r="L1226" i="11"/>
  <c r="M1226" i="11" s="1"/>
  <c r="O1226" i="11" s="1"/>
  <c r="L1225" i="11"/>
  <c r="M1225" i="11" s="1"/>
  <c r="O1225" i="11" s="1"/>
  <c r="L1224" i="11"/>
  <c r="M1224" i="11" s="1"/>
  <c r="O1224" i="11" s="1"/>
  <c r="L1223" i="11"/>
  <c r="M1223" i="11" s="1"/>
  <c r="O1223" i="11" s="1"/>
  <c r="L1222" i="11"/>
  <c r="M1222" i="11" s="1"/>
  <c r="O1222" i="11" s="1"/>
  <c r="L1221" i="11"/>
  <c r="M1221" i="11" s="1"/>
  <c r="O1221" i="11" s="1"/>
  <c r="L1220" i="11"/>
  <c r="M1220" i="11" s="1"/>
  <c r="O1220" i="11" s="1"/>
  <c r="L1219" i="11"/>
  <c r="M1219" i="11" s="1"/>
  <c r="O1219" i="11" s="1"/>
  <c r="L1218" i="11"/>
  <c r="M1218" i="11" s="1"/>
  <c r="O1218" i="11" s="1"/>
  <c r="L1217" i="11"/>
  <c r="M1217" i="11" s="1"/>
  <c r="O1217" i="11" s="1"/>
  <c r="L1216" i="11"/>
  <c r="M1216" i="11" s="1"/>
  <c r="O1216" i="11" s="1"/>
  <c r="L1215" i="11"/>
  <c r="M1215" i="11" s="1"/>
  <c r="O1215" i="11" s="1"/>
  <c r="L1214" i="11"/>
  <c r="M1214" i="11" s="1"/>
  <c r="O1214" i="11" s="1"/>
  <c r="L1213" i="11"/>
  <c r="M1213" i="11" s="1"/>
  <c r="O1213" i="11" s="1"/>
  <c r="L1212" i="11"/>
  <c r="M1212" i="11" s="1"/>
  <c r="O1212" i="11" s="1"/>
  <c r="L1211" i="11"/>
  <c r="M1211" i="11" s="1"/>
  <c r="O1211" i="11" s="1"/>
  <c r="L1210" i="11"/>
  <c r="M1210" i="11" s="1"/>
  <c r="O1210" i="11" s="1"/>
  <c r="L1209" i="11"/>
  <c r="M1209" i="11" s="1"/>
  <c r="O1209" i="11" s="1"/>
  <c r="L1208" i="11"/>
  <c r="M1208" i="11" s="1"/>
  <c r="O1208" i="11" s="1"/>
  <c r="L1207" i="11"/>
  <c r="M1207" i="11" s="1"/>
  <c r="O1207" i="11" s="1"/>
  <c r="L1206" i="11"/>
  <c r="M1206" i="11" s="1"/>
  <c r="O1206" i="11" s="1"/>
  <c r="L1205" i="11"/>
  <c r="M1205" i="11" s="1"/>
  <c r="O1205" i="11" s="1"/>
  <c r="L1204" i="11"/>
  <c r="M1204" i="11" s="1"/>
  <c r="O1204" i="11" s="1"/>
  <c r="L1203" i="11"/>
  <c r="M1203" i="11" s="1"/>
  <c r="O1203" i="11" s="1"/>
  <c r="L1202" i="11"/>
  <c r="M1202" i="11" s="1"/>
  <c r="O1202" i="11" s="1"/>
  <c r="L1201" i="11"/>
  <c r="M1201" i="11" s="1"/>
  <c r="O1201" i="11" s="1"/>
  <c r="L1200" i="11"/>
  <c r="M1200" i="11" s="1"/>
  <c r="O1200" i="11" s="1"/>
  <c r="L1199" i="11"/>
  <c r="M1199" i="11" s="1"/>
  <c r="O1199" i="11" s="1"/>
  <c r="L1198" i="11"/>
  <c r="M1198" i="11" s="1"/>
  <c r="O1198" i="11" s="1"/>
  <c r="L1197" i="11"/>
  <c r="M1197" i="11" s="1"/>
  <c r="O1197" i="11" s="1"/>
  <c r="L1196" i="11"/>
  <c r="M1196" i="11" s="1"/>
  <c r="O1196" i="11" s="1"/>
  <c r="L1195" i="11"/>
  <c r="M1195" i="11" s="1"/>
  <c r="O1195" i="11" s="1"/>
  <c r="L1194" i="11"/>
  <c r="M1194" i="11" s="1"/>
  <c r="O1194" i="11" s="1"/>
  <c r="L1193" i="11"/>
  <c r="M1193" i="11" s="1"/>
  <c r="O1193" i="11" s="1"/>
  <c r="L1192" i="11"/>
  <c r="M1192" i="11" s="1"/>
  <c r="O1192" i="11" s="1"/>
  <c r="L1191" i="11"/>
  <c r="M1191" i="11" s="1"/>
  <c r="O1191" i="11" s="1"/>
  <c r="L1190" i="11"/>
  <c r="M1190" i="11" s="1"/>
  <c r="O1190" i="11" s="1"/>
  <c r="L1189" i="11"/>
  <c r="M1189" i="11" s="1"/>
  <c r="O1189" i="11" s="1"/>
  <c r="L1188" i="11"/>
  <c r="M1188" i="11" s="1"/>
  <c r="O1188" i="11" s="1"/>
  <c r="L1187" i="11"/>
  <c r="M1187" i="11" s="1"/>
  <c r="O1187" i="11" s="1"/>
  <c r="L1186" i="11"/>
  <c r="M1186" i="11" s="1"/>
  <c r="O1186" i="11" s="1"/>
  <c r="L1185" i="11"/>
  <c r="M1185" i="11" s="1"/>
  <c r="O1185" i="11" s="1"/>
  <c r="L1184" i="11"/>
  <c r="M1184" i="11" s="1"/>
  <c r="O1184" i="11" s="1"/>
  <c r="L1183" i="11"/>
  <c r="M1183" i="11" s="1"/>
  <c r="O1183" i="11" s="1"/>
  <c r="L1182" i="11"/>
  <c r="M1182" i="11" s="1"/>
  <c r="O1182" i="11" s="1"/>
  <c r="L1181" i="11"/>
  <c r="M1181" i="11" s="1"/>
  <c r="O1181" i="11" s="1"/>
  <c r="L1180" i="11"/>
  <c r="M1180" i="11" s="1"/>
  <c r="O1180" i="11" s="1"/>
  <c r="L1179" i="11"/>
  <c r="M1179" i="11" s="1"/>
  <c r="O1179" i="11" s="1"/>
  <c r="L1178" i="11"/>
  <c r="M1178" i="11" s="1"/>
  <c r="O1178" i="11" s="1"/>
  <c r="L1177" i="11"/>
  <c r="M1177" i="11" s="1"/>
  <c r="O1177" i="11" s="1"/>
  <c r="L1176" i="11"/>
  <c r="M1176" i="11" s="1"/>
  <c r="O1176" i="11" s="1"/>
  <c r="L1175" i="11"/>
  <c r="M1175" i="11" s="1"/>
  <c r="O1175" i="11" s="1"/>
  <c r="L1174" i="11"/>
  <c r="M1174" i="11" s="1"/>
  <c r="O1174" i="11" s="1"/>
  <c r="L1173" i="11"/>
  <c r="M1173" i="11" s="1"/>
  <c r="O1173" i="11" s="1"/>
  <c r="L1172" i="11"/>
  <c r="M1172" i="11" s="1"/>
  <c r="O1172" i="11" s="1"/>
  <c r="L1171" i="11"/>
  <c r="M1171" i="11" s="1"/>
  <c r="O1171" i="11" s="1"/>
  <c r="L1170" i="11"/>
  <c r="M1170" i="11" s="1"/>
  <c r="O1170" i="11" s="1"/>
  <c r="L1169" i="11"/>
  <c r="M1169" i="11" s="1"/>
  <c r="O1169" i="11" s="1"/>
  <c r="L1168" i="11"/>
  <c r="M1168" i="11" s="1"/>
  <c r="O1168" i="11" s="1"/>
  <c r="L1167" i="11"/>
  <c r="M1167" i="11" s="1"/>
  <c r="O1167" i="11" s="1"/>
  <c r="L1166" i="11"/>
  <c r="M1166" i="11" s="1"/>
  <c r="O1166" i="11" s="1"/>
  <c r="L1165" i="11"/>
  <c r="M1165" i="11" s="1"/>
  <c r="O1165" i="11" s="1"/>
  <c r="L1164" i="11"/>
  <c r="M1164" i="11" s="1"/>
  <c r="O1164" i="11" s="1"/>
  <c r="L1163" i="11"/>
  <c r="M1163" i="11" s="1"/>
  <c r="O1163" i="11" s="1"/>
  <c r="L1162" i="11"/>
  <c r="M1162" i="11" s="1"/>
  <c r="O1162" i="11" s="1"/>
  <c r="L1161" i="11"/>
  <c r="M1161" i="11" s="1"/>
  <c r="O1161" i="11" s="1"/>
  <c r="L1160" i="11"/>
  <c r="M1160" i="11" s="1"/>
  <c r="O1160" i="11" s="1"/>
  <c r="L1159" i="11"/>
  <c r="M1159" i="11" s="1"/>
  <c r="O1159" i="11" s="1"/>
  <c r="L1158" i="11"/>
  <c r="M1158" i="11" s="1"/>
  <c r="O1158" i="11" s="1"/>
  <c r="L1157" i="11"/>
  <c r="M1157" i="11" s="1"/>
  <c r="O1157" i="11" s="1"/>
  <c r="L1156" i="11"/>
  <c r="M1156" i="11" s="1"/>
  <c r="O1156" i="11" s="1"/>
  <c r="L1155" i="11"/>
  <c r="M1155" i="11" s="1"/>
  <c r="O1155" i="11" s="1"/>
  <c r="L1154" i="11"/>
  <c r="M1154" i="11" s="1"/>
  <c r="O1154" i="11" s="1"/>
  <c r="L1153" i="11"/>
  <c r="M1153" i="11" s="1"/>
  <c r="O1153" i="11" s="1"/>
  <c r="L1152" i="11"/>
  <c r="M1152" i="11" s="1"/>
  <c r="O1152" i="11" s="1"/>
  <c r="L1151" i="11"/>
  <c r="M1151" i="11" s="1"/>
  <c r="O1151" i="11" s="1"/>
  <c r="L1150" i="11"/>
  <c r="M1150" i="11" s="1"/>
  <c r="O1150" i="11" s="1"/>
  <c r="L1149" i="11"/>
  <c r="M1149" i="11" s="1"/>
  <c r="O1149" i="11" s="1"/>
  <c r="L1148" i="11"/>
  <c r="M1148" i="11" s="1"/>
  <c r="O1148" i="11" s="1"/>
  <c r="L1147" i="11"/>
  <c r="M1147" i="11" s="1"/>
  <c r="O1147" i="11" s="1"/>
  <c r="L1146" i="11"/>
  <c r="M1146" i="11" s="1"/>
  <c r="O1146" i="11" s="1"/>
  <c r="L1145" i="11"/>
  <c r="M1145" i="11" s="1"/>
  <c r="O1145" i="11" s="1"/>
  <c r="L1144" i="11"/>
  <c r="M1144" i="11" s="1"/>
  <c r="O1144" i="11" s="1"/>
  <c r="L1143" i="11"/>
  <c r="M1143" i="11" s="1"/>
  <c r="O1143" i="11" s="1"/>
  <c r="L1142" i="11"/>
  <c r="M1142" i="11" s="1"/>
  <c r="O1142" i="11" s="1"/>
  <c r="L1141" i="11"/>
  <c r="M1141" i="11" s="1"/>
  <c r="O1141" i="11" s="1"/>
  <c r="L1140" i="11"/>
  <c r="M1140" i="11" s="1"/>
  <c r="O1140" i="11" s="1"/>
  <c r="L1139" i="11"/>
  <c r="M1139" i="11" s="1"/>
  <c r="O1139" i="11" s="1"/>
  <c r="L1138" i="11"/>
  <c r="M1138" i="11" s="1"/>
  <c r="O1138" i="11" s="1"/>
  <c r="L1137" i="11"/>
  <c r="M1137" i="11" s="1"/>
  <c r="O1137" i="11" s="1"/>
  <c r="L1136" i="11"/>
  <c r="M1136" i="11" s="1"/>
  <c r="O1136" i="11" s="1"/>
  <c r="L1135" i="11"/>
  <c r="M1135" i="11" s="1"/>
  <c r="O1135" i="11" s="1"/>
  <c r="L1134" i="11"/>
  <c r="M1134" i="11" s="1"/>
  <c r="O1134" i="11" s="1"/>
  <c r="L1133" i="11"/>
  <c r="M1133" i="11" s="1"/>
  <c r="O1133" i="11" s="1"/>
  <c r="L1132" i="11"/>
  <c r="M1132" i="11" s="1"/>
  <c r="O1132" i="11" s="1"/>
  <c r="L1131" i="11"/>
  <c r="M1131" i="11" s="1"/>
  <c r="O1131" i="11" s="1"/>
  <c r="L1130" i="11"/>
  <c r="M1130" i="11" s="1"/>
  <c r="O1130" i="11" s="1"/>
  <c r="L1129" i="11"/>
  <c r="M1129" i="11" s="1"/>
  <c r="O1129" i="11" s="1"/>
  <c r="L1128" i="11"/>
  <c r="M1128" i="11" s="1"/>
  <c r="O1128" i="11" s="1"/>
  <c r="L1127" i="11"/>
  <c r="M1127" i="11" s="1"/>
  <c r="O1127" i="11" s="1"/>
  <c r="L1126" i="11"/>
  <c r="M1126" i="11" s="1"/>
  <c r="O1126" i="11" s="1"/>
  <c r="L1125" i="11"/>
  <c r="M1125" i="11" s="1"/>
  <c r="O1125" i="11" s="1"/>
  <c r="L1124" i="11"/>
  <c r="M1124" i="11" s="1"/>
  <c r="O1124" i="11" s="1"/>
  <c r="L1123" i="11"/>
  <c r="M1123" i="11" s="1"/>
  <c r="O1123" i="11" s="1"/>
  <c r="L1122" i="11"/>
  <c r="M1122" i="11" s="1"/>
  <c r="O1122" i="11" s="1"/>
  <c r="L1121" i="11"/>
  <c r="M1121" i="11" s="1"/>
  <c r="O1121" i="11" s="1"/>
  <c r="L1120" i="11"/>
  <c r="M1120" i="11" s="1"/>
  <c r="O1120" i="11" s="1"/>
  <c r="L1119" i="11"/>
  <c r="M1119" i="11" s="1"/>
  <c r="O1119" i="11" s="1"/>
  <c r="L1118" i="11"/>
  <c r="M1118" i="11" s="1"/>
  <c r="O1118" i="11" s="1"/>
  <c r="L1117" i="11"/>
  <c r="M1117" i="11" s="1"/>
  <c r="O1117" i="11" s="1"/>
  <c r="L1116" i="11"/>
  <c r="M1116" i="11" s="1"/>
  <c r="O1116" i="11" s="1"/>
  <c r="L1115" i="11"/>
  <c r="M1115" i="11" s="1"/>
  <c r="O1115" i="11" s="1"/>
  <c r="L1114" i="11"/>
  <c r="M1114" i="11" s="1"/>
  <c r="O1114" i="11" s="1"/>
  <c r="L1113" i="11"/>
  <c r="M1113" i="11" s="1"/>
  <c r="O1113" i="11" s="1"/>
  <c r="L1112" i="11"/>
  <c r="M1112" i="11" s="1"/>
  <c r="O1112" i="11" s="1"/>
  <c r="L1111" i="11"/>
  <c r="M1111" i="11" s="1"/>
  <c r="O1111" i="11" s="1"/>
  <c r="L1110" i="11"/>
  <c r="M1110" i="11" s="1"/>
  <c r="O1110" i="11" s="1"/>
  <c r="L1109" i="11"/>
  <c r="M1109" i="11" s="1"/>
  <c r="O1109" i="11" s="1"/>
  <c r="L1108" i="11"/>
  <c r="M1108" i="11" s="1"/>
  <c r="O1108" i="11" s="1"/>
  <c r="L1107" i="11"/>
  <c r="M1107" i="11" s="1"/>
  <c r="O1107" i="11" s="1"/>
  <c r="L1106" i="11"/>
  <c r="M1106" i="11" s="1"/>
  <c r="O1106" i="11" s="1"/>
  <c r="L1105" i="11"/>
  <c r="M1105" i="11" s="1"/>
  <c r="O1105" i="11" s="1"/>
  <c r="L1104" i="11"/>
  <c r="M1104" i="11" s="1"/>
  <c r="O1104" i="11" s="1"/>
  <c r="L1103" i="11"/>
  <c r="M1103" i="11" s="1"/>
  <c r="O1103" i="11" s="1"/>
  <c r="L1102" i="11"/>
  <c r="M1102" i="11" s="1"/>
  <c r="O1102" i="11" s="1"/>
  <c r="L1101" i="11"/>
  <c r="M1101" i="11" s="1"/>
  <c r="O1101" i="11" s="1"/>
  <c r="L1100" i="11"/>
  <c r="M1100" i="11" s="1"/>
  <c r="O1100" i="11" s="1"/>
  <c r="L1099" i="11"/>
  <c r="M1099" i="11" s="1"/>
  <c r="O1099" i="11" s="1"/>
  <c r="L1098" i="11"/>
  <c r="M1098" i="11" s="1"/>
  <c r="O1098" i="11" s="1"/>
  <c r="L1097" i="11"/>
  <c r="M1097" i="11" s="1"/>
  <c r="O1097" i="11" s="1"/>
  <c r="L1096" i="11"/>
  <c r="M1096" i="11" s="1"/>
  <c r="O1096" i="11" s="1"/>
  <c r="L1095" i="11"/>
  <c r="M1095" i="11" s="1"/>
  <c r="O1095" i="11" s="1"/>
  <c r="L1094" i="11"/>
  <c r="M1094" i="11" s="1"/>
  <c r="O1094" i="11" s="1"/>
  <c r="L1093" i="11"/>
  <c r="M1093" i="11" s="1"/>
  <c r="O1093" i="11" s="1"/>
  <c r="L1092" i="11"/>
  <c r="M1092" i="11" s="1"/>
  <c r="O1092" i="11" s="1"/>
  <c r="L1091" i="11"/>
  <c r="M1091" i="11" s="1"/>
  <c r="O1091" i="11" s="1"/>
  <c r="L1090" i="11"/>
  <c r="M1090" i="11" s="1"/>
  <c r="O1090" i="11" s="1"/>
  <c r="L1089" i="11"/>
  <c r="M1089" i="11" s="1"/>
  <c r="O1089" i="11" s="1"/>
  <c r="L1088" i="11"/>
  <c r="M1088" i="11" s="1"/>
  <c r="O1088" i="11" s="1"/>
  <c r="L1087" i="11"/>
  <c r="M1087" i="11" s="1"/>
  <c r="O1087" i="11" s="1"/>
  <c r="L1086" i="11"/>
  <c r="M1086" i="11" s="1"/>
  <c r="O1086" i="11" s="1"/>
  <c r="L1085" i="11"/>
  <c r="M1085" i="11" s="1"/>
  <c r="O1085" i="11" s="1"/>
  <c r="L1084" i="11"/>
  <c r="M1084" i="11" s="1"/>
  <c r="O1084" i="11" s="1"/>
  <c r="L1083" i="11"/>
  <c r="M1083" i="11" s="1"/>
  <c r="O1083" i="11" s="1"/>
  <c r="L1082" i="11"/>
  <c r="M1082" i="11" s="1"/>
  <c r="O1082" i="11" s="1"/>
  <c r="L1081" i="11"/>
  <c r="M1081" i="11" s="1"/>
  <c r="O1081" i="11" s="1"/>
  <c r="L1080" i="11"/>
  <c r="M1080" i="11" s="1"/>
  <c r="O1080" i="11" s="1"/>
  <c r="L1079" i="11"/>
  <c r="M1079" i="11" s="1"/>
  <c r="O1079" i="11" s="1"/>
  <c r="L1078" i="11"/>
  <c r="M1078" i="11" s="1"/>
  <c r="O1078" i="11" s="1"/>
  <c r="L1077" i="11"/>
  <c r="M1077" i="11" s="1"/>
  <c r="O1077" i="11" s="1"/>
  <c r="L1076" i="11"/>
  <c r="M1076" i="11" s="1"/>
  <c r="O1076" i="11" s="1"/>
  <c r="L1075" i="11"/>
  <c r="M1075" i="11" s="1"/>
  <c r="O1075" i="11" s="1"/>
  <c r="L1074" i="11"/>
  <c r="M1074" i="11" s="1"/>
  <c r="O1074" i="11" s="1"/>
  <c r="L1073" i="11"/>
  <c r="M1073" i="11" s="1"/>
  <c r="O1073" i="11" s="1"/>
  <c r="L1072" i="11"/>
  <c r="M1072" i="11" s="1"/>
  <c r="O1072" i="11" s="1"/>
  <c r="L1071" i="11"/>
  <c r="M1071" i="11" s="1"/>
  <c r="O1071" i="11" s="1"/>
  <c r="L1070" i="11"/>
  <c r="M1070" i="11" s="1"/>
  <c r="O1070" i="11" s="1"/>
  <c r="L1069" i="11"/>
  <c r="M1069" i="11" s="1"/>
  <c r="O1069" i="11" s="1"/>
  <c r="L1068" i="11"/>
  <c r="M1068" i="11" s="1"/>
  <c r="O1068" i="11" s="1"/>
  <c r="L1067" i="11"/>
  <c r="M1067" i="11" s="1"/>
  <c r="O1067" i="11" s="1"/>
  <c r="L1066" i="11"/>
  <c r="M1066" i="11" s="1"/>
  <c r="O1066" i="11" s="1"/>
  <c r="L1065" i="11"/>
  <c r="M1065" i="11" s="1"/>
  <c r="O1065" i="11" s="1"/>
  <c r="L1064" i="11"/>
  <c r="M1064" i="11" s="1"/>
  <c r="O1064" i="11" s="1"/>
  <c r="L1063" i="11"/>
  <c r="M1063" i="11" s="1"/>
  <c r="O1063" i="11" s="1"/>
  <c r="L1062" i="11"/>
  <c r="M1062" i="11" s="1"/>
  <c r="O1062" i="11" s="1"/>
  <c r="L1061" i="11"/>
  <c r="M1061" i="11" s="1"/>
  <c r="O1061" i="11" s="1"/>
  <c r="L1060" i="11"/>
  <c r="M1060" i="11" s="1"/>
  <c r="O1060" i="11" s="1"/>
  <c r="L1059" i="11"/>
  <c r="M1059" i="11" s="1"/>
  <c r="O1059" i="11" s="1"/>
  <c r="L1058" i="11"/>
  <c r="M1058" i="11" s="1"/>
  <c r="O1058" i="11" s="1"/>
  <c r="L1057" i="11"/>
  <c r="M1057" i="11" s="1"/>
  <c r="O1057" i="11" s="1"/>
  <c r="L1056" i="11"/>
  <c r="M1056" i="11" s="1"/>
  <c r="O1056" i="11" s="1"/>
  <c r="L1055" i="11"/>
  <c r="M1055" i="11" s="1"/>
  <c r="O1055" i="11" s="1"/>
  <c r="L1054" i="11"/>
  <c r="M1054" i="11" s="1"/>
  <c r="O1054" i="11" s="1"/>
  <c r="L1053" i="11"/>
  <c r="M1053" i="11" s="1"/>
  <c r="O1053" i="11" s="1"/>
  <c r="L1052" i="11"/>
  <c r="M1052" i="11" s="1"/>
  <c r="O1052" i="11" s="1"/>
  <c r="L1051" i="11"/>
  <c r="M1051" i="11" s="1"/>
  <c r="O1051" i="11" s="1"/>
  <c r="L1050" i="11"/>
  <c r="M1050" i="11" s="1"/>
  <c r="O1050" i="11" s="1"/>
  <c r="L1049" i="11"/>
  <c r="M1049" i="11" s="1"/>
  <c r="O1049" i="11" s="1"/>
  <c r="L1048" i="11"/>
  <c r="M1048" i="11" s="1"/>
  <c r="O1048" i="11" s="1"/>
  <c r="L1047" i="11"/>
  <c r="M1047" i="11" s="1"/>
  <c r="O1047" i="11" s="1"/>
  <c r="L1046" i="11"/>
  <c r="M1046" i="11" s="1"/>
  <c r="O1046" i="11" s="1"/>
  <c r="L1045" i="11"/>
  <c r="M1045" i="11" s="1"/>
  <c r="O1045" i="11" s="1"/>
  <c r="L1044" i="11"/>
  <c r="M1044" i="11" s="1"/>
  <c r="O1044" i="11" s="1"/>
  <c r="L1043" i="11"/>
  <c r="M1043" i="11" s="1"/>
  <c r="O1043" i="11" s="1"/>
  <c r="L1042" i="11"/>
  <c r="M1042" i="11" s="1"/>
  <c r="O1042" i="11" s="1"/>
  <c r="L1041" i="11"/>
  <c r="M1041" i="11" s="1"/>
  <c r="O1041" i="11" s="1"/>
  <c r="L1040" i="11"/>
  <c r="M1040" i="11" s="1"/>
  <c r="O1040" i="11" s="1"/>
  <c r="L1039" i="11"/>
  <c r="M1039" i="11" s="1"/>
  <c r="O1039" i="11" s="1"/>
  <c r="L1038" i="11"/>
  <c r="M1038" i="11" s="1"/>
  <c r="O1038" i="11" s="1"/>
  <c r="L1037" i="11"/>
  <c r="M1037" i="11" s="1"/>
  <c r="O1037" i="11" s="1"/>
  <c r="L1036" i="11"/>
  <c r="M1036" i="11" s="1"/>
  <c r="O1036" i="11" s="1"/>
  <c r="L1035" i="11"/>
  <c r="M1035" i="11" s="1"/>
  <c r="O1035" i="11" s="1"/>
  <c r="L1034" i="11"/>
  <c r="M1034" i="11" s="1"/>
  <c r="O1034" i="11" s="1"/>
  <c r="L1033" i="11"/>
  <c r="M1033" i="11" s="1"/>
  <c r="O1033" i="11" s="1"/>
  <c r="L1032" i="11"/>
  <c r="M1032" i="11" s="1"/>
  <c r="O1032" i="11" s="1"/>
  <c r="L1031" i="11"/>
  <c r="M1031" i="11" s="1"/>
  <c r="O1031" i="11" s="1"/>
  <c r="L1030" i="11"/>
  <c r="M1030" i="11" s="1"/>
  <c r="O1030" i="11" s="1"/>
  <c r="L1029" i="11"/>
  <c r="M1029" i="11" s="1"/>
  <c r="O1029" i="11" s="1"/>
  <c r="L1028" i="11"/>
  <c r="M1028" i="11" s="1"/>
  <c r="O1028" i="11" s="1"/>
  <c r="L1027" i="11"/>
  <c r="M1027" i="11" s="1"/>
  <c r="O1027" i="11" s="1"/>
  <c r="L1026" i="11"/>
  <c r="M1026" i="11" s="1"/>
  <c r="O1026" i="11" s="1"/>
  <c r="L1025" i="11"/>
  <c r="M1025" i="11" s="1"/>
  <c r="O1025" i="11" s="1"/>
  <c r="L1024" i="11"/>
  <c r="M1024" i="11" s="1"/>
  <c r="O1024" i="11" s="1"/>
  <c r="L1023" i="11"/>
  <c r="M1023" i="11" s="1"/>
  <c r="O1023" i="11" s="1"/>
  <c r="L1022" i="11"/>
  <c r="M1022" i="11" s="1"/>
  <c r="O1022" i="11" s="1"/>
  <c r="L1021" i="11"/>
  <c r="M1021" i="11" s="1"/>
  <c r="O1021" i="11" s="1"/>
  <c r="L1020" i="11"/>
  <c r="M1020" i="11" s="1"/>
  <c r="O1020" i="11" s="1"/>
  <c r="L1019" i="11"/>
  <c r="M1019" i="11" s="1"/>
  <c r="O1019" i="11" s="1"/>
  <c r="L1018" i="11"/>
  <c r="M1018" i="11" s="1"/>
  <c r="O1018" i="11" s="1"/>
  <c r="L1017" i="11"/>
  <c r="M1017" i="11" s="1"/>
  <c r="O1017" i="11" s="1"/>
  <c r="L1016" i="11"/>
  <c r="M1016" i="11" s="1"/>
  <c r="O1016" i="11" s="1"/>
  <c r="L1015" i="11"/>
  <c r="M1015" i="11" s="1"/>
  <c r="O1015" i="11" s="1"/>
  <c r="L1014" i="11"/>
  <c r="M1014" i="11" s="1"/>
  <c r="O1014" i="11" s="1"/>
  <c r="L1013" i="11"/>
  <c r="M1013" i="11" s="1"/>
  <c r="O1013" i="11" s="1"/>
  <c r="L1012" i="11"/>
  <c r="M1012" i="11" s="1"/>
  <c r="O1012" i="11" s="1"/>
  <c r="L1011" i="11"/>
  <c r="M1011" i="11" s="1"/>
  <c r="O1011" i="11" s="1"/>
  <c r="L1010" i="11"/>
  <c r="M1010" i="11" s="1"/>
  <c r="O1010" i="11" s="1"/>
  <c r="L1009" i="11"/>
  <c r="M1009" i="11" s="1"/>
  <c r="O1009" i="11" s="1"/>
  <c r="L1008" i="11"/>
  <c r="M1008" i="11" s="1"/>
  <c r="O1008" i="11" s="1"/>
  <c r="L1007" i="11"/>
  <c r="M1007" i="11" s="1"/>
  <c r="O1007" i="11" s="1"/>
  <c r="L1006" i="11"/>
  <c r="M1006" i="11" s="1"/>
  <c r="O1006" i="11" s="1"/>
  <c r="L1005" i="11"/>
  <c r="M1005" i="11" s="1"/>
  <c r="O1005" i="11" s="1"/>
  <c r="L1004" i="11"/>
  <c r="M1004" i="11" s="1"/>
  <c r="O1004" i="11" s="1"/>
  <c r="L1003" i="11"/>
  <c r="M1003" i="11" s="1"/>
  <c r="O1003" i="11" s="1"/>
  <c r="L1002" i="11"/>
  <c r="M1002" i="11" s="1"/>
  <c r="O1002" i="11" s="1"/>
  <c r="L1001" i="11"/>
  <c r="M1001" i="11" s="1"/>
  <c r="O1001" i="11" s="1"/>
  <c r="L1000" i="11"/>
  <c r="M1000" i="11" s="1"/>
  <c r="O1000" i="11" s="1"/>
  <c r="L999" i="11"/>
  <c r="M999" i="11" s="1"/>
  <c r="O999" i="11" s="1"/>
  <c r="L998" i="11"/>
  <c r="M998" i="11" s="1"/>
  <c r="O998" i="11" s="1"/>
  <c r="L997" i="11"/>
  <c r="M997" i="11" s="1"/>
  <c r="O997" i="11" s="1"/>
  <c r="L996" i="11"/>
  <c r="M996" i="11" s="1"/>
  <c r="O996" i="11" s="1"/>
  <c r="L995" i="11"/>
  <c r="M995" i="11" s="1"/>
  <c r="O995" i="11" s="1"/>
  <c r="L994" i="11"/>
  <c r="M994" i="11" s="1"/>
  <c r="O994" i="11" s="1"/>
  <c r="L993" i="11"/>
  <c r="M993" i="11" s="1"/>
  <c r="O993" i="11" s="1"/>
  <c r="L992" i="11"/>
  <c r="M992" i="11" s="1"/>
  <c r="O992" i="11" s="1"/>
  <c r="L991" i="11"/>
  <c r="M991" i="11" s="1"/>
  <c r="O991" i="11" s="1"/>
  <c r="L990" i="11"/>
  <c r="M990" i="11" s="1"/>
  <c r="O990" i="11" s="1"/>
  <c r="L989" i="11"/>
  <c r="M989" i="11" s="1"/>
  <c r="O989" i="11" s="1"/>
  <c r="L988" i="11"/>
  <c r="M988" i="11" s="1"/>
  <c r="O988" i="11" s="1"/>
  <c r="L987" i="11"/>
  <c r="M987" i="11" s="1"/>
  <c r="O987" i="11" s="1"/>
  <c r="L986" i="11"/>
  <c r="M986" i="11" s="1"/>
  <c r="O986" i="11" s="1"/>
  <c r="L985" i="11"/>
  <c r="M985" i="11" s="1"/>
  <c r="O985" i="11" s="1"/>
  <c r="L984" i="11"/>
  <c r="M984" i="11" s="1"/>
  <c r="O984" i="11" s="1"/>
  <c r="L983" i="11"/>
  <c r="M983" i="11" s="1"/>
  <c r="O983" i="11" s="1"/>
  <c r="L982" i="11"/>
  <c r="M982" i="11" s="1"/>
  <c r="O982" i="11" s="1"/>
  <c r="L981" i="11"/>
  <c r="M981" i="11" s="1"/>
  <c r="O981" i="11" s="1"/>
  <c r="L980" i="11"/>
  <c r="M980" i="11" s="1"/>
  <c r="O980" i="11" s="1"/>
  <c r="L979" i="11"/>
  <c r="M979" i="11" s="1"/>
  <c r="O979" i="11" s="1"/>
  <c r="L978" i="11"/>
  <c r="M978" i="11" s="1"/>
  <c r="O978" i="11" s="1"/>
  <c r="L977" i="11"/>
  <c r="M977" i="11" s="1"/>
  <c r="O977" i="11" s="1"/>
  <c r="L976" i="11"/>
  <c r="M976" i="11" s="1"/>
  <c r="O976" i="11" s="1"/>
  <c r="L975" i="11"/>
  <c r="M975" i="11" s="1"/>
  <c r="O975" i="11" s="1"/>
  <c r="L974" i="11"/>
  <c r="M974" i="11" s="1"/>
  <c r="O974" i="11" s="1"/>
  <c r="L973" i="11"/>
  <c r="M973" i="11" s="1"/>
  <c r="O973" i="11" s="1"/>
  <c r="L972" i="11"/>
  <c r="M972" i="11" s="1"/>
  <c r="O972" i="11" s="1"/>
  <c r="L971" i="11"/>
  <c r="M971" i="11" s="1"/>
  <c r="O971" i="11" s="1"/>
  <c r="L970" i="11"/>
  <c r="M970" i="11" s="1"/>
  <c r="O970" i="11" s="1"/>
  <c r="L969" i="11"/>
  <c r="M969" i="11" s="1"/>
  <c r="O969" i="11" s="1"/>
  <c r="L968" i="11"/>
  <c r="M968" i="11" s="1"/>
  <c r="O968" i="11" s="1"/>
  <c r="L967" i="11"/>
  <c r="M967" i="11" s="1"/>
  <c r="O967" i="11" s="1"/>
  <c r="L966" i="11"/>
  <c r="M966" i="11" s="1"/>
  <c r="O966" i="11" s="1"/>
  <c r="L965" i="11"/>
  <c r="M965" i="11" s="1"/>
  <c r="O965" i="11" s="1"/>
  <c r="L964" i="11"/>
  <c r="M964" i="11" s="1"/>
  <c r="O964" i="11" s="1"/>
  <c r="L963" i="11"/>
  <c r="M963" i="11" s="1"/>
  <c r="O963" i="11" s="1"/>
  <c r="L962" i="11"/>
  <c r="M962" i="11" s="1"/>
  <c r="O962" i="11" s="1"/>
  <c r="L961" i="11"/>
  <c r="M961" i="11" s="1"/>
  <c r="O961" i="11" s="1"/>
  <c r="L960" i="11"/>
  <c r="M960" i="11" s="1"/>
  <c r="O960" i="11" s="1"/>
  <c r="L959" i="11"/>
  <c r="M959" i="11" s="1"/>
  <c r="O959" i="11" s="1"/>
  <c r="L958" i="11"/>
  <c r="M958" i="11" s="1"/>
  <c r="O958" i="11" s="1"/>
  <c r="L957" i="11"/>
  <c r="M957" i="11" s="1"/>
  <c r="O957" i="11" s="1"/>
  <c r="L956" i="11"/>
  <c r="M956" i="11" s="1"/>
  <c r="O956" i="11" s="1"/>
  <c r="L955" i="11"/>
  <c r="M955" i="11" s="1"/>
  <c r="O955" i="11" s="1"/>
  <c r="L954" i="11"/>
  <c r="M954" i="11" s="1"/>
  <c r="O954" i="11" s="1"/>
  <c r="L953" i="11"/>
  <c r="M953" i="11" s="1"/>
  <c r="O953" i="11" s="1"/>
  <c r="L952" i="11"/>
  <c r="M952" i="11" s="1"/>
  <c r="O952" i="11" s="1"/>
  <c r="L951" i="11"/>
  <c r="M951" i="11" s="1"/>
  <c r="O951" i="11" s="1"/>
  <c r="L950" i="11"/>
  <c r="M950" i="11" s="1"/>
  <c r="O950" i="11" s="1"/>
  <c r="L949" i="11"/>
  <c r="M949" i="11" s="1"/>
  <c r="O949" i="11" s="1"/>
  <c r="L948" i="11"/>
  <c r="M948" i="11" s="1"/>
  <c r="O948" i="11" s="1"/>
  <c r="L947" i="11"/>
  <c r="M947" i="11" s="1"/>
  <c r="O947" i="11" s="1"/>
  <c r="L946" i="11"/>
  <c r="M946" i="11" s="1"/>
  <c r="O946" i="11" s="1"/>
  <c r="L945" i="11"/>
  <c r="M945" i="11" s="1"/>
  <c r="O945" i="11" s="1"/>
  <c r="L944" i="11"/>
  <c r="M944" i="11" s="1"/>
  <c r="O944" i="11" s="1"/>
  <c r="L943" i="11"/>
  <c r="M943" i="11" s="1"/>
  <c r="O943" i="11" s="1"/>
  <c r="L942" i="11"/>
  <c r="M942" i="11" s="1"/>
  <c r="O942" i="11" s="1"/>
  <c r="L941" i="11"/>
  <c r="M941" i="11" s="1"/>
  <c r="O941" i="11" s="1"/>
  <c r="L940" i="11"/>
  <c r="M940" i="11" s="1"/>
  <c r="O940" i="11" s="1"/>
  <c r="L939" i="11"/>
  <c r="M939" i="11" s="1"/>
  <c r="O939" i="11" s="1"/>
  <c r="L938" i="11"/>
  <c r="M938" i="11" s="1"/>
  <c r="O938" i="11" s="1"/>
  <c r="L937" i="11"/>
  <c r="M937" i="11" s="1"/>
  <c r="O937" i="11" s="1"/>
  <c r="L936" i="11"/>
  <c r="M936" i="11" s="1"/>
  <c r="O936" i="11" s="1"/>
  <c r="L935" i="11"/>
  <c r="M935" i="11" s="1"/>
  <c r="O935" i="11" s="1"/>
  <c r="L934" i="11"/>
  <c r="M934" i="11" s="1"/>
  <c r="O934" i="11" s="1"/>
  <c r="L933" i="11"/>
  <c r="M933" i="11" s="1"/>
  <c r="O933" i="11" s="1"/>
  <c r="L932" i="11"/>
  <c r="M932" i="11" s="1"/>
  <c r="O932" i="11" s="1"/>
  <c r="L931" i="11"/>
  <c r="M931" i="11" s="1"/>
  <c r="O931" i="11" s="1"/>
  <c r="L930" i="11"/>
  <c r="M930" i="11" s="1"/>
  <c r="O930" i="11" s="1"/>
  <c r="L929" i="11"/>
  <c r="M929" i="11" s="1"/>
  <c r="O929" i="11" s="1"/>
  <c r="L928" i="11"/>
  <c r="M928" i="11" s="1"/>
  <c r="O928" i="11" s="1"/>
  <c r="L927" i="11"/>
  <c r="M927" i="11" s="1"/>
  <c r="O927" i="11" s="1"/>
  <c r="L926" i="11"/>
  <c r="M926" i="11" s="1"/>
  <c r="O926" i="11" s="1"/>
  <c r="L925" i="11"/>
  <c r="M925" i="11" s="1"/>
  <c r="O925" i="11" s="1"/>
  <c r="L924" i="11"/>
  <c r="M924" i="11" s="1"/>
  <c r="O924" i="11" s="1"/>
  <c r="L923" i="11"/>
  <c r="M923" i="11" s="1"/>
  <c r="O923" i="11" s="1"/>
  <c r="L922" i="11"/>
  <c r="M922" i="11" s="1"/>
  <c r="O922" i="11" s="1"/>
  <c r="L921" i="11"/>
  <c r="M921" i="11" s="1"/>
  <c r="O921" i="11" s="1"/>
  <c r="L920" i="11"/>
  <c r="M920" i="11" s="1"/>
  <c r="O920" i="11" s="1"/>
  <c r="L919" i="11"/>
  <c r="M919" i="11" s="1"/>
  <c r="O919" i="11" s="1"/>
  <c r="L918" i="11"/>
  <c r="M918" i="11" s="1"/>
  <c r="O918" i="11" s="1"/>
  <c r="L917" i="11"/>
  <c r="M917" i="11" s="1"/>
  <c r="O917" i="11" s="1"/>
  <c r="L916" i="11"/>
  <c r="M916" i="11" s="1"/>
  <c r="O916" i="11" s="1"/>
  <c r="L915" i="11"/>
  <c r="M915" i="11" s="1"/>
  <c r="O915" i="11" s="1"/>
  <c r="L914" i="11"/>
  <c r="M914" i="11" s="1"/>
  <c r="O914" i="11" s="1"/>
  <c r="L913" i="11"/>
  <c r="M913" i="11" s="1"/>
  <c r="O913" i="11" s="1"/>
  <c r="L912" i="11"/>
  <c r="M912" i="11" s="1"/>
  <c r="O912" i="11" s="1"/>
  <c r="L911" i="11"/>
  <c r="M911" i="11" s="1"/>
  <c r="O911" i="11" s="1"/>
  <c r="L910" i="11"/>
  <c r="M910" i="11" s="1"/>
  <c r="O910" i="11" s="1"/>
  <c r="L909" i="11"/>
  <c r="M909" i="11" s="1"/>
  <c r="O909" i="11" s="1"/>
  <c r="L908" i="11"/>
  <c r="M908" i="11" s="1"/>
  <c r="O908" i="11" s="1"/>
  <c r="L907" i="11"/>
  <c r="M907" i="11" s="1"/>
  <c r="O907" i="11" s="1"/>
  <c r="L906" i="11"/>
  <c r="M906" i="11" s="1"/>
  <c r="O906" i="11" s="1"/>
  <c r="L905" i="11"/>
  <c r="M905" i="11" s="1"/>
  <c r="O905" i="11" s="1"/>
  <c r="L904" i="11"/>
  <c r="M904" i="11" s="1"/>
  <c r="O904" i="11" s="1"/>
  <c r="L903" i="11"/>
  <c r="M903" i="11" s="1"/>
  <c r="O903" i="11" s="1"/>
  <c r="L902" i="11"/>
  <c r="M902" i="11" s="1"/>
  <c r="O902" i="11" s="1"/>
  <c r="L901" i="11"/>
  <c r="M901" i="11" s="1"/>
  <c r="O901" i="11" s="1"/>
  <c r="L900" i="11"/>
  <c r="M900" i="11" s="1"/>
  <c r="O900" i="11" s="1"/>
  <c r="L899" i="11"/>
  <c r="M899" i="11" s="1"/>
  <c r="O899" i="11" s="1"/>
  <c r="L898" i="11"/>
  <c r="M898" i="11" s="1"/>
  <c r="O898" i="11" s="1"/>
  <c r="L897" i="11"/>
  <c r="M897" i="11" s="1"/>
  <c r="O897" i="11" s="1"/>
  <c r="L896" i="11"/>
  <c r="M896" i="11" s="1"/>
  <c r="O896" i="11" s="1"/>
  <c r="L895" i="11"/>
  <c r="M895" i="11" s="1"/>
  <c r="O895" i="11" s="1"/>
  <c r="L894" i="11"/>
  <c r="M894" i="11" s="1"/>
  <c r="O894" i="11" s="1"/>
  <c r="L893" i="11"/>
  <c r="M893" i="11" s="1"/>
  <c r="O893" i="11" s="1"/>
  <c r="L892" i="11"/>
  <c r="M892" i="11" s="1"/>
  <c r="O892" i="11" s="1"/>
  <c r="L891" i="11"/>
  <c r="M891" i="11" s="1"/>
  <c r="O891" i="11" s="1"/>
  <c r="L890" i="11"/>
  <c r="M890" i="11" s="1"/>
  <c r="O890" i="11" s="1"/>
  <c r="L889" i="11"/>
  <c r="M889" i="11" s="1"/>
  <c r="O889" i="11" s="1"/>
  <c r="L888" i="11"/>
  <c r="M888" i="11" s="1"/>
  <c r="O888" i="11" s="1"/>
  <c r="L887" i="11"/>
  <c r="M887" i="11" s="1"/>
  <c r="O887" i="11" s="1"/>
  <c r="L886" i="11"/>
  <c r="M886" i="11" s="1"/>
  <c r="O886" i="11" s="1"/>
  <c r="L885" i="11"/>
  <c r="M885" i="11" s="1"/>
  <c r="O885" i="11" s="1"/>
  <c r="L884" i="11"/>
  <c r="M884" i="11" s="1"/>
  <c r="O884" i="11" s="1"/>
  <c r="L883" i="11"/>
  <c r="M883" i="11" s="1"/>
  <c r="O883" i="11" s="1"/>
  <c r="L882" i="11"/>
  <c r="M882" i="11" s="1"/>
  <c r="O882" i="11" s="1"/>
  <c r="L881" i="11"/>
  <c r="M881" i="11" s="1"/>
  <c r="O881" i="11" s="1"/>
  <c r="L880" i="11"/>
  <c r="M880" i="11" s="1"/>
  <c r="O880" i="11" s="1"/>
  <c r="L879" i="11"/>
  <c r="M879" i="11" s="1"/>
  <c r="O879" i="11" s="1"/>
  <c r="L878" i="11"/>
  <c r="M878" i="11" s="1"/>
  <c r="O878" i="11" s="1"/>
  <c r="L877" i="11"/>
  <c r="M877" i="11" s="1"/>
  <c r="O877" i="11" s="1"/>
  <c r="L876" i="11"/>
  <c r="M876" i="11" s="1"/>
  <c r="O876" i="11" s="1"/>
  <c r="L875" i="11"/>
  <c r="M875" i="11" s="1"/>
  <c r="O875" i="11" s="1"/>
  <c r="L874" i="11"/>
  <c r="M874" i="11" s="1"/>
  <c r="O874" i="11" s="1"/>
  <c r="L873" i="11"/>
  <c r="M873" i="11" s="1"/>
  <c r="O873" i="11" s="1"/>
  <c r="L872" i="11"/>
  <c r="M872" i="11" s="1"/>
  <c r="O872" i="11" s="1"/>
  <c r="L871" i="11"/>
  <c r="M871" i="11" s="1"/>
  <c r="O871" i="11" s="1"/>
  <c r="L870" i="11"/>
  <c r="M870" i="11" s="1"/>
  <c r="O870" i="11" s="1"/>
  <c r="L869" i="11"/>
  <c r="M869" i="11" s="1"/>
  <c r="O869" i="11" s="1"/>
  <c r="L868" i="11"/>
  <c r="M868" i="11" s="1"/>
  <c r="O868" i="11" s="1"/>
  <c r="L867" i="11"/>
  <c r="M867" i="11" s="1"/>
  <c r="O867" i="11" s="1"/>
  <c r="L866" i="11"/>
  <c r="M866" i="11" s="1"/>
  <c r="O866" i="11" s="1"/>
  <c r="L865" i="11"/>
  <c r="M865" i="11" s="1"/>
  <c r="O865" i="11" s="1"/>
  <c r="L864" i="11"/>
  <c r="M864" i="11" s="1"/>
  <c r="O864" i="11" s="1"/>
  <c r="L863" i="11"/>
  <c r="M863" i="11" s="1"/>
  <c r="O863" i="11" s="1"/>
  <c r="L862" i="11"/>
  <c r="M862" i="11" s="1"/>
  <c r="O862" i="11" s="1"/>
  <c r="L861" i="11"/>
  <c r="M861" i="11" s="1"/>
  <c r="O861" i="11" s="1"/>
  <c r="L860" i="11"/>
  <c r="M860" i="11" s="1"/>
  <c r="O860" i="11" s="1"/>
  <c r="L859" i="11"/>
  <c r="M859" i="11" s="1"/>
  <c r="O859" i="11" s="1"/>
  <c r="L858" i="11"/>
  <c r="M858" i="11" s="1"/>
  <c r="O858" i="11" s="1"/>
  <c r="L857" i="11"/>
  <c r="M857" i="11" s="1"/>
  <c r="O857" i="11" s="1"/>
  <c r="L856" i="11"/>
  <c r="M856" i="11" s="1"/>
  <c r="O856" i="11" s="1"/>
  <c r="L855" i="11"/>
  <c r="M855" i="11" s="1"/>
  <c r="O855" i="11" s="1"/>
  <c r="L854" i="11"/>
  <c r="M854" i="11" s="1"/>
  <c r="O854" i="11" s="1"/>
  <c r="L853" i="11"/>
  <c r="M853" i="11" s="1"/>
  <c r="O853" i="11" s="1"/>
  <c r="L852" i="11"/>
  <c r="M852" i="11" s="1"/>
  <c r="O852" i="11" s="1"/>
  <c r="L851" i="11"/>
  <c r="M851" i="11" s="1"/>
  <c r="O851" i="11" s="1"/>
  <c r="L850" i="11"/>
  <c r="M850" i="11" s="1"/>
  <c r="O850" i="11" s="1"/>
  <c r="L849" i="11"/>
  <c r="M849" i="11" s="1"/>
  <c r="O849" i="11" s="1"/>
  <c r="L848" i="11"/>
  <c r="M848" i="11" s="1"/>
  <c r="O848" i="11" s="1"/>
  <c r="L847" i="11"/>
  <c r="M847" i="11" s="1"/>
  <c r="O847" i="11" s="1"/>
  <c r="L846" i="11"/>
  <c r="M846" i="11" s="1"/>
  <c r="O846" i="11" s="1"/>
  <c r="L845" i="11"/>
  <c r="M845" i="11" s="1"/>
  <c r="O845" i="11" s="1"/>
  <c r="L844" i="11"/>
  <c r="M844" i="11" s="1"/>
  <c r="O844" i="11" s="1"/>
  <c r="L843" i="11"/>
  <c r="M843" i="11" s="1"/>
  <c r="O843" i="11" s="1"/>
  <c r="L842" i="11"/>
  <c r="M842" i="11" s="1"/>
  <c r="O842" i="11" s="1"/>
  <c r="L841" i="11"/>
  <c r="M841" i="11" s="1"/>
  <c r="O841" i="11" s="1"/>
  <c r="L840" i="11"/>
  <c r="M840" i="11" s="1"/>
  <c r="O840" i="11" s="1"/>
  <c r="L839" i="11"/>
  <c r="M839" i="11" s="1"/>
  <c r="O839" i="11" s="1"/>
  <c r="L838" i="11"/>
  <c r="M838" i="11" s="1"/>
  <c r="O838" i="11" s="1"/>
  <c r="L837" i="11"/>
  <c r="M837" i="11" s="1"/>
  <c r="O837" i="11" s="1"/>
  <c r="L836" i="11"/>
  <c r="M836" i="11" s="1"/>
  <c r="O836" i="11" s="1"/>
  <c r="L835" i="11"/>
  <c r="M835" i="11" s="1"/>
  <c r="O835" i="11" s="1"/>
  <c r="L834" i="11"/>
  <c r="M834" i="11" s="1"/>
  <c r="O834" i="11" s="1"/>
  <c r="L833" i="11"/>
  <c r="M833" i="11" s="1"/>
  <c r="O833" i="11" s="1"/>
  <c r="L832" i="11"/>
  <c r="M832" i="11" s="1"/>
  <c r="O832" i="11" s="1"/>
  <c r="L831" i="11"/>
  <c r="M831" i="11" s="1"/>
  <c r="O831" i="11" s="1"/>
  <c r="L830" i="11"/>
  <c r="M830" i="11" s="1"/>
  <c r="O830" i="11" s="1"/>
  <c r="L829" i="11"/>
  <c r="M829" i="11" s="1"/>
  <c r="O829" i="11" s="1"/>
  <c r="L828" i="11"/>
  <c r="M828" i="11" s="1"/>
  <c r="O828" i="11" s="1"/>
  <c r="L827" i="11"/>
  <c r="M827" i="11" s="1"/>
  <c r="O827" i="11" s="1"/>
  <c r="L826" i="11"/>
  <c r="M826" i="11" s="1"/>
  <c r="O826" i="11" s="1"/>
  <c r="L825" i="11"/>
  <c r="M825" i="11" s="1"/>
  <c r="O825" i="11" s="1"/>
  <c r="L824" i="11"/>
  <c r="M824" i="11" s="1"/>
  <c r="O824" i="11" s="1"/>
  <c r="L823" i="11"/>
  <c r="M823" i="11" s="1"/>
  <c r="O823" i="11" s="1"/>
  <c r="L822" i="11"/>
  <c r="M822" i="11" s="1"/>
  <c r="O822" i="11" s="1"/>
  <c r="L821" i="11"/>
  <c r="M821" i="11" s="1"/>
  <c r="O821" i="11" s="1"/>
  <c r="L820" i="11"/>
  <c r="M820" i="11" s="1"/>
  <c r="O820" i="11" s="1"/>
  <c r="L819" i="11"/>
  <c r="M819" i="11" s="1"/>
  <c r="O819" i="11" s="1"/>
  <c r="L818" i="11"/>
  <c r="M818" i="11" s="1"/>
  <c r="O818" i="11" s="1"/>
  <c r="L817" i="11"/>
  <c r="M817" i="11" s="1"/>
  <c r="O817" i="11" s="1"/>
  <c r="L816" i="11"/>
  <c r="M816" i="11" s="1"/>
  <c r="O816" i="11" s="1"/>
  <c r="L815" i="11"/>
  <c r="M815" i="11" s="1"/>
  <c r="O815" i="11" s="1"/>
  <c r="L814" i="11"/>
  <c r="M814" i="11" s="1"/>
  <c r="O814" i="11" s="1"/>
  <c r="L813" i="11"/>
  <c r="M813" i="11" s="1"/>
  <c r="O813" i="11" s="1"/>
  <c r="L812" i="11"/>
  <c r="M812" i="11" s="1"/>
  <c r="O812" i="11" s="1"/>
  <c r="L811" i="11"/>
  <c r="M811" i="11" s="1"/>
  <c r="O811" i="11" s="1"/>
  <c r="L810" i="11"/>
  <c r="M810" i="11" s="1"/>
  <c r="O810" i="11" s="1"/>
  <c r="L809" i="11"/>
  <c r="M809" i="11" s="1"/>
  <c r="O809" i="11" s="1"/>
  <c r="L808" i="11"/>
  <c r="M808" i="11" s="1"/>
  <c r="O808" i="11" s="1"/>
  <c r="L807" i="11"/>
  <c r="M807" i="11" s="1"/>
  <c r="O807" i="11" s="1"/>
  <c r="L806" i="11"/>
  <c r="M806" i="11" s="1"/>
  <c r="O806" i="11" s="1"/>
  <c r="L805" i="11"/>
  <c r="M805" i="11" s="1"/>
  <c r="O805" i="11" s="1"/>
  <c r="L804" i="11"/>
  <c r="M804" i="11" s="1"/>
  <c r="O804" i="11" s="1"/>
  <c r="L803" i="11"/>
  <c r="M803" i="11" s="1"/>
  <c r="O803" i="11" s="1"/>
  <c r="L802" i="11"/>
  <c r="M802" i="11" s="1"/>
  <c r="O802" i="11" s="1"/>
  <c r="L801" i="11"/>
  <c r="M801" i="11" s="1"/>
  <c r="O801" i="11" s="1"/>
  <c r="L800" i="11"/>
  <c r="M800" i="11" s="1"/>
  <c r="O800" i="11" s="1"/>
  <c r="L799" i="11"/>
  <c r="M799" i="11" s="1"/>
  <c r="O799" i="11" s="1"/>
  <c r="L798" i="11"/>
  <c r="M798" i="11" s="1"/>
  <c r="O798" i="11" s="1"/>
  <c r="L797" i="11"/>
  <c r="M797" i="11" s="1"/>
  <c r="O797" i="11" s="1"/>
  <c r="L796" i="11"/>
  <c r="M796" i="11" s="1"/>
  <c r="O796" i="11" s="1"/>
  <c r="L795" i="11"/>
  <c r="M795" i="11" s="1"/>
  <c r="O795" i="11" s="1"/>
  <c r="L794" i="11"/>
  <c r="M794" i="11" s="1"/>
  <c r="O794" i="11" s="1"/>
  <c r="L793" i="11"/>
  <c r="M793" i="11" s="1"/>
  <c r="O793" i="11" s="1"/>
  <c r="L792" i="11"/>
  <c r="M792" i="11" s="1"/>
  <c r="O792" i="11" s="1"/>
  <c r="L791" i="11"/>
  <c r="M791" i="11" s="1"/>
  <c r="O791" i="11" s="1"/>
  <c r="L790" i="11"/>
  <c r="M790" i="11" s="1"/>
  <c r="O790" i="11" s="1"/>
  <c r="L789" i="11"/>
  <c r="M789" i="11" s="1"/>
  <c r="O789" i="11" s="1"/>
  <c r="L788" i="11"/>
  <c r="M788" i="11" s="1"/>
  <c r="O788" i="11" s="1"/>
  <c r="L787" i="11"/>
  <c r="M787" i="11" s="1"/>
  <c r="O787" i="11" s="1"/>
  <c r="L786" i="11"/>
  <c r="M786" i="11" s="1"/>
  <c r="O786" i="11" s="1"/>
  <c r="L785" i="11"/>
  <c r="M785" i="11" s="1"/>
  <c r="O785" i="11" s="1"/>
  <c r="L784" i="11"/>
  <c r="M784" i="11" s="1"/>
  <c r="O784" i="11" s="1"/>
  <c r="L783" i="11"/>
  <c r="M783" i="11" s="1"/>
  <c r="O783" i="11" s="1"/>
  <c r="L782" i="11"/>
  <c r="M782" i="11" s="1"/>
  <c r="O782" i="11" s="1"/>
  <c r="L781" i="11"/>
  <c r="M781" i="11" s="1"/>
  <c r="O781" i="11" s="1"/>
  <c r="L780" i="11"/>
  <c r="M780" i="11" s="1"/>
  <c r="O780" i="11" s="1"/>
  <c r="L779" i="11"/>
  <c r="M779" i="11" s="1"/>
  <c r="O779" i="11" s="1"/>
  <c r="L778" i="11"/>
  <c r="M778" i="11" s="1"/>
  <c r="O778" i="11" s="1"/>
  <c r="L777" i="11"/>
  <c r="M777" i="11" s="1"/>
  <c r="O777" i="11" s="1"/>
  <c r="L776" i="11"/>
  <c r="M776" i="11" s="1"/>
  <c r="O776" i="11" s="1"/>
  <c r="L775" i="11"/>
  <c r="M775" i="11" s="1"/>
  <c r="O775" i="11" s="1"/>
  <c r="L774" i="11"/>
  <c r="M774" i="11" s="1"/>
  <c r="O774" i="11" s="1"/>
  <c r="L773" i="11"/>
  <c r="M773" i="11" s="1"/>
  <c r="O773" i="11" s="1"/>
  <c r="L772" i="11"/>
  <c r="M772" i="11" s="1"/>
  <c r="O772" i="11" s="1"/>
  <c r="L771" i="11"/>
  <c r="M771" i="11" s="1"/>
  <c r="O771" i="11" s="1"/>
  <c r="L770" i="11"/>
  <c r="M770" i="11" s="1"/>
  <c r="O770" i="11" s="1"/>
  <c r="L769" i="11"/>
  <c r="M769" i="11" s="1"/>
  <c r="O769" i="11" s="1"/>
  <c r="L768" i="11"/>
  <c r="M768" i="11" s="1"/>
  <c r="O768" i="11" s="1"/>
  <c r="L767" i="11"/>
  <c r="M767" i="11" s="1"/>
  <c r="O767" i="11" s="1"/>
  <c r="L766" i="11"/>
  <c r="M766" i="11" s="1"/>
  <c r="O766" i="11" s="1"/>
  <c r="L765" i="11"/>
  <c r="M765" i="11" s="1"/>
  <c r="O765" i="11" s="1"/>
  <c r="L764" i="11"/>
  <c r="M764" i="11" s="1"/>
  <c r="O764" i="11" s="1"/>
  <c r="L763" i="11"/>
  <c r="M763" i="11" s="1"/>
  <c r="O763" i="11" s="1"/>
  <c r="L762" i="11"/>
  <c r="M762" i="11" s="1"/>
  <c r="O762" i="11" s="1"/>
  <c r="L761" i="11"/>
  <c r="M761" i="11" s="1"/>
  <c r="O761" i="11" s="1"/>
  <c r="L760" i="11"/>
  <c r="M760" i="11" s="1"/>
  <c r="O760" i="11" s="1"/>
  <c r="L759" i="11"/>
  <c r="M759" i="11" s="1"/>
  <c r="O759" i="11" s="1"/>
  <c r="L758" i="11"/>
  <c r="M758" i="11" s="1"/>
  <c r="O758" i="11" s="1"/>
  <c r="L757" i="11"/>
  <c r="M757" i="11" s="1"/>
  <c r="O757" i="11" s="1"/>
  <c r="L756" i="11"/>
  <c r="M756" i="11" s="1"/>
  <c r="O756" i="11" s="1"/>
  <c r="L755" i="11"/>
  <c r="M755" i="11" s="1"/>
  <c r="O755" i="11" s="1"/>
  <c r="L754" i="11"/>
  <c r="M754" i="11" s="1"/>
  <c r="O754" i="11" s="1"/>
  <c r="L753" i="11"/>
  <c r="M753" i="11" s="1"/>
  <c r="O753" i="11" s="1"/>
  <c r="L752" i="11"/>
  <c r="M752" i="11" s="1"/>
  <c r="O752" i="11" s="1"/>
  <c r="L751" i="11"/>
  <c r="M751" i="11" s="1"/>
  <c r="O751" i="11" s="1"/>
  <c r="L750" i="11"/>
  <c r="M750" i="11" s="1"/>
  <c r="O750" i="11" s="1"/>
  <c r="L749" i="11"/>
  <c r="M749" i="11" s="1"/>
  <c r="O749" i="11" s="1"/>
  <c r="L748" i="11"/>
  <c r="M748" i="11" s="1"/>
  <c r="O748" i="11" s="1"/>
  <c r="L747" i="11"/>
  <c r="M747" i="11" s="1"/>
  <c r="O747" i="11" s="1"/>
  <c r="L746" i="11"/>
  <c r="M746" i="11" s="1"/>
  <c r="O746" i="11" s="1"/>
  <c r="L745" i="11"/>
  <c r="M745" i="11" s="1"/>
  <c r="O745" i="11" s="1"/>
  <c r="L744" i="11"/>
  <c r="M744" i="11" s="1"/>
  <c r="O744" i="11" s="1"/>
  <c r="L743" i="11"/>
  <c r="M743" i="11" s="1"/>
  <c r="O743" i="11" s="1"/>
  <c r="L742" i="11"/>
  <c r="M742" i="11" s="1"/>
  <c r="O742" i="11" s="1"/>
  <c r="L741" i="11"/>
  <c r="M741" i="11" s="1"/>
  <c r="O741" i="11" s="1"/>
  <c r="L740" i="11"/>
  <c r="M740" i="11" s="1"/>
  <c r="O740" i="11" s="1"/>
  <c r="L739" i="11"/>
  <c r="M739" i="11" s="1"/>
  <c r="O739" i="11" s="1"/>
  <c r="L738" i="11"/>
  <c r="M738" i="11" s="1"/>
  <c r="O738" i="11" s="1"/>
  <c r="L737" i="11"/>
  <c r="M737" i="11" s="1"/>
  <c r="O737" i="11" s="1"/>
  <c r="L736" i="11"/>
  <c r="M736" i="11" s="1"/>
  <c r="O736" i="11" s="1"/>
  <c r="L735" i="11"/>
  <c r="M735" i="11" s="1"/>
  <c r="O735" i="11" s="1"/>
  <c r="L734" i="11"/>
  <c r="M734" i="11" s="1"/>
  <c r="O734" i="11" s="1"/>
  <c r="L733" i="11"/>
  <c r="M733" i="11" s="1"/>
  <c r="O733" i="11" s="1"/>
  <c r="L732" i="11"/>
  <c r="M732" i="11" s="1"/>
  <c r="O732" i="11" s="1"/>
  <c r="L731" i="11"/>
  <c r="M731" i="11" s="1"/>
  <c r="O731" i="11" s="1"/>
  <c r="L730" i="11"/>
  <c r="M730" i="11" s="1"/>
  <c r="O730" i="11" s="1"/>
  <c r="L729" i="11"/>
  <c r="M729" i="11" s="1"/>
  <c r="O729" i="11" s="1"/>
  <c r="L728" i="11"/>
  <c r="M728" i="11" s="1"/>
  <c r="O728" i="11" s="1"/>
  <c r="L727" i="11"/>
  <c r="M727" i="11" s="1"/>
  <c r="O727" i="11" s="1"/>
  <c r="L726" i="11"/>
  <c r="M726" i="11" s="1"/>
  <c r="O726" i="11" s="1"/>
  <c r="L725" i="11"/>
  <c r="M725" i="11" s="1"/>
  <c r="O725" i="11" s="1"/>
  <c r="L724" i="11"/>
  <c r="M724" i="11" s="1"/>
  <c r="O724" i="11" s="1"/>
  <c r="L723" i="11"/>
  <c r="M723" i="11" s="1"/>
  <c r="O723" i="11" s="1"/>
  <c r="L722" i="11"/>
  <c r="M722" i="11" s="1"/>
  <c r="O722" i="11" s="1"/>
  <c r="L721" i="11"/>
  <c r="M721" i="11" s="1"/>
  <c r="O721" i="11" s="1"/>
  <c r="L720" i="11"/>
  <c r="M720" i="11" s="1"/>
  <c r="O720" i="11" s="1"/>
  <c r="L719" i="11"/>
  <c r="M719" i="11" s="1"/>
  <c r="O719" i="11" s="1"/>
  <c r="L718" i="11"/>
  <c r="M718" i="11" s="1"/>
  <c r="O718" i="11" s="1"/>
  <c r="L717" i="11"/>
  <c r="M717" i="11" s="1"/>
  <c r="O717" i="11" s="1"/>
  <c r="L716" i="11"/>
  <c r="M716" i="11" s="1"/>
  <c r="O716" i="11" s="1"/>
  <c r="L715" i="11"/>
  <c r="M715" i="11" s="1"/>
  <c r="O715" i="11" s="1"/>
  <c r="L714" i="11"/>
  <c r="M714" i="11" s="1"/>
  <c r="O714" i="11" s="1"/>
  <c r="L713" i="11"/>
  <c r="M713" i="11" s="1"/>
  <c r="O713" i="11" s="1"/>
  <c r="L712" i="11"/>
  <c r="M712" i="11" s="1"/>
  <c r="O712" i="11" s="1"/>
  <c r="L711" i="11"/>
  <c r="M711" i="11" s="1"/>
  <c r="O711" i="11" s="1"/>
  <c r="L710" i="11"/>
  <c r="M710" i="11" s="1"/>
  <c r="O710" i="11" s="1"/>
  <c r="L709" i="11"/>
  <c r="M709" i="11" s="1"/>
  <c r="O709" i="11" s="1"/>
  <c r="L708" i="11"/>
  <c r="M708" i="11" s="1"/>
  <c r="O708" i="11" s="1"/>
  <c r="L707" i="11"/>
  <c r="M707" i="11" s="1"/>
  <c r="O707" i="11" s="1"/>
  <c r="L706" i="11"/>
  <c r="M706" i="11" s="1"/>
  <c r="O706" i="11" s="1"/>
  <c r="L705" i="11"/>
  <c r="M705" i="11" s="1"/>
  <c r="O705" i="11" s="1"/>
  <c r="L704" i="11"/>
  <c r="M704" i="11" s="1"/>
  <c r="O704" i="11" s="1"/>
  <c r="L703" i="11"/>
  <c r="M703" i="11" s="1"/>
  <c r="O703" i="11" s="1"/>
  <c r="L702" i="11"/>
  <c r="M702" i="11" s="1"/>
  <c r="O702" i="11" s="1"/>
  <c r="L701" i="11"/>
  <c r="M701" i="11" s="1"/>
  <c r="O701" i="11" s="1"/>
  <c r="L700" i="11"/>
  <c r="M700" i="11" s="1"/>
  <c r="O700" i="11" s="1"/>
  <c r="L699" i="11"/>
  <c r="M699" i="11" s="1"/>
  <c r="O699" i="11" s="1"/>
  <c r="L698" i="11"/>
  <c r="M698" i="11" s="1"/>
  <c r="O698" i="11" s="1"/>
  <c r="L697" i="11"/>
  <c r="M697" i="11" s="1"/>
  <c r="O697" i="11" s="1"/>
  <c r="L696" i="11"/>
  <c r="M696" i="11" s="1"/>
  <c r="O696" i="11" s="1"/>
  <c r="L695" i="11"/>
  <c r="M695" i="11" s="1"/>
  <c r="O695" i="11" s="1"/>
  <c r="L694" i="11"/>
  <c r="M694" i="11" s="1"/>
  <c r="O694" i="11" s="1"/>
  <c r="L693" i="11"/>
  <c r="M693" i="11" s="1"/>
  <c r="O693" i="11" s="1"/>
  <c r="L692" i="11"/>
  <c r="M692" i="11" s="1"/>
  <c r="O692" i="11" s="1"/>
  <c r="L691" i="11"/>
  <c r="M691" i="11" s="1"/>
  <c r="O691" i="11" s="1"/>
  <c r="L690" i="11"/>
  <c r="M690" i="11" s="1"/>
  <c r="O690" i="11" s="1"/>
  <c r="L689" i="11"/>
  <c r="M689" i="11" s="1"/>
  <c r="O689" i="11" s="1"/>
  <c r="L688" i="11"/>
  <c r="M688" i="11" s="1"/>
  <c r="O688" i="11" s="1"/>
  <c r="L687" i="11"/>
  <c r="M687" i="11" s="1"/>
  <c r="O687" i="11" s="1"/>
  <c r="L686" i="11"/>
  <c r="M686" i="11" s="1"/>
  <c r="O686" i="11" s="1"/>
  <c r="L685" i="11"/>
  <c r="M685" i="11" s="1"/>
  <c r="O685" i="11" s="1"/>
  <c r="L684" i="11"/>
  <c r="M684" i="11" s="1"/>
  <c r="O684" i="11" s="1"/>
  <c r="L683" i="11"/>
  <c r="M683" i="11" s="1"/>
  <c r="O683" i="11" s="1"/>
  <c r="L682" i="11"/>
  <c r="M682" i="11" s="1"/>
  <c r="O682" i="11" s="1"/>
  <c r="L681" i="11"/>
  <c r="M681" i="11" s="1"/>
  <c r="O681" i="11" s="1"/>
  <c r="L680" i="11"/>
  <c r="M680" i="11" s="1"/>
  <c r="O680" i="11" s="1"/>
  <c r="L679" i="11"/>
  <c r="M679" i="11" s="1"/>
  <c r="O679" i="11" s="1"/>
  <c r="L678" i="11"/>
  <c r="M678" i="11" s="1"/>
  <c r="O678" i="11" s="1"/>
  <c r="L677" i="11"/>
  <c r="M677" i="11" s="1"/>
  <c r="O677" i="11" s="1"/>
  <c r="L676" i="11"/>
  <c r="M676" i="11" s="1"/>
  <c r="O676" i="11" s="1"/>
  <c r="L675" i="11"/>
  <c r="M675" i="11" s="1"/>
  <c r="O675" i="11" s="1"/>
  <c r="L674" i="11"/>
  <c r="M674" i="11" s="1"/>
  <c r="O674" i="11" s="1"/>
  <c r="L673" i="11"/>
  <c r="M673" i="11" s="1"/>
  <c r="O673" i="11" s="1"/>
  <c r="L672" i="11"/>
  <c r="M672" i="11" s="1"/>
  <c r="O672" i="11" s="1"/>
  <c r="L671" i="11"/>
  <c r="M671" i="11" s="1"/>
  <c r="O671" i="11" s="1"/>
  <c r="L670" i="11"/>
  <c r="M670" i="11" s="1"/>
  <c r="O670" i="11" s="1"/>
  <c r="L669" i="11"/>
  <c r="M669" i="11" s="1"/>
  <c r="O669" i="11" s="1"/>
  <c r="L668" i="11"/>
  <c r="M668" i="11" s="1"/>
  <c r="O668" i="11" s="1"/>
  <c r="L667" i="11"/>
  <c r="M667" i="11" s="1"/>
  <c r="O667" i="11" s="1"/>
  <c r="L666" i="11"/>
  <c r="M666" i="11" s="1"/>
  <c r="O666" i="11" s="1"/>
  <c r="L665" i="11"/>
  <c r="M665" i="11" s="1"/>
  <c r="O665" i="11" s="1"/>
  <c r="L664" i="11"/>
  <c r="M664" i="11" s="1"/>
  <c r="O664" i="11" s="1"/>
  <c r="L663" i="11"/>
  <c r="M663" i="11" s="1"/>
  <c r="O663" i="11" s="1"/>
  <c r="L662" i="11"/>
  <c r="M662" i="11" s="1"/>
  <c r="O662" i="11" s="1"/>
  <c r="L661" i="11"/>
  <c r="M661" i="11" s="1"/>
  <c r="O661" i="11" s="1"/>
  <c r="L660" i="11"/>
  <c r="M660" i="11" s="1"/>
  <c r="O660" i="11" s="1"/>
  <c r="L659" i="11"/>
  <c r="M659" i="11" s="1"/>
  <c r="O659" i="11" s="1"/>
  <c r="L658" i="11"/>
  <c r="M658" i="11" s="1"/>
  <c r="O658" i="11" s="1"/>
  <c r="L657" i="11"/>
  <c r="M657" i="11" s="1"/>
  <c r="O657" i="11" s="1"/>
  <c r="L656" i="11"/>
  <c r="M656" i="11" s="1"/>
  <c r="O656" i="11" s="1"/>
  <c r="L655" i="11"/>
  <c r="M655" i="11" s="1"/>
  <c r="O655" i="11" s="1"/>
  <c r="L654" i="11"/>
  <c r="M654" i="11" s="1"/>
  <c r="O654" i="11" s="1"/>
  <c r="L653" i="11"/>
  <c r="M653" i="11" s="1"/>
  <c r="O653" i="11" s="1"/>
  <c r="L652" i="11"/>
  <c r="M652" i="11" s="1"/>
  <c r="O652" i="11" s="1"/>
  <c r="L651" i="11"/>
  <c r="M651" i="11" s="1"/>
  <c r="O651" i="11" s="1"/>
  <c r="L650" i="11"/>
  <c r="M650" i="11" s="1"/>
  <c r="O650" i="11" s="1"/>
  <c r="L649" i="11"/>
  <c r="M649" i="11" s="1"/>
  <c r="O649" i="11" s="1"/>
  <c r="L648" i="11"/>
  <c r="M648" i="11" s="1"/>
  <c r="O648" i="11" s="1"/>
  <c r="L647" i="11"/>
  <c r="M647" i="11" s="1"/>
  <c r="O647" i="11" s="1"/>
  <c r="L646" i="11"/>
  <c r="M646" i="11" s="1"/>
  <c r="O646" i="11" s="1"/>
  <c r="L645" i="11"/>
  <c r="M645" i="11" s="1"/>
  <c r="O645" i="11" s="1"/>
  <c r="L644" i="11"/>
  <c r="M644" i="11" s="1"/>
  <c r="O644" i="11" s="1"/>
  <c r="L643" i="11"/>
  <c r="M643" i="11" s="1"/>
  <c r="O643" i="11" s="1"/>
  <c r="L642" i="11"/>
  <c r="M642" i="11" s="1"/>
  <c r="O642" i="11" s="1"/>
  <c r="L641" i="11"/>
  <c r="M641" i="11" s="1"/>
  <c r="O641" i="11" s="1"/>
  <c r="L640" i="11"/>
  <c r="M640" i="11" s="1"/>
  <c r="O640" i="11" s="1"/>
  <c r="L639" i="11"/>
  <c r="M639" i="11" s="1"/>
  <c r="O639" i="11" s="1"/>
  <c r="L638" i="11"/>
  <c r="M638" i="11" s="1"/>
  <c r="O638" i="11" s="1"/>
  <c r="L637" i="11"/>
  <c r="M637" i="11" s="1"/>
  <c r="O637" i="11" s="1"/>
  <c r="L636" i="11"/>
  <c r="M636" i="11" s="1"/>
  <c r="O636" i="11" s="1"/>
  <c r="L635" i="11"/>
  <c r="M635" i="11" s="1"/>
  <c r="O635" i="11" s="1"/>
  <c r="L634" i="11"/>
  <c r="M634" i="11" s="1"/>
  <c r="O634" i="11" s="1"/>
  <c r="L633" i="11"/>
  <c r="M633" i="11" s="1"/>
  <c r="O633" i="11" s="1"/>
  <c r="L632" i="11"/>
  <c r="M632" i="11" s="1"/>
  <c r="O632" i="11" s="1"/>
  <c r="L631" i="11"/>
  <c r="M631" i="11" s="1"/>
  <c r="O631" i="11" s="1"/>
  <c r="L630" i="11"/>
  <c r="M630" i="11" s="1"/>
  <c r="O630" i="11" s="1"/>
  <c r="L629" i="11"/>
  <c r="M629" i="11" s="1"/>
  <c r="O629" i="11" s="1"/>
  <c r="L628" i="11"/>
  <c r="M628" i="11" s="1"/>
  <c r="O628" i="11" s="1"/>
  <c r="L627" i="11"/>
  <c r="M627" i="11" s="1"/>
  <c r="O627" i="11" s="1"/>
  <c r="L626" i="11"/>
  <c r="M626" i="11" s="1"/>
  <c r="O626" i="11" s="1"/>
  <c r="L625" i="11"/>
  <c r="M625" i="11" s="1"/>
  <c r="O625" i="11" s="1"/>
  <c r="L624" i="11"/>
  <c r="M624" i="11" s="1"/>
  <c r="O624" i="11" s="1"/>
  <c r="L623" i="11"/>
  <c r="M623" i="11" s="1"/>
  <c r="O623" i="11" s="1"/>
  <c r="L622" i="11"/>
  <c r="M622" i="11" s="1"/>
  <c r="O622" i="11" s="1"/>
  <c r="L621" i="11"/>
  <c r="M621" i="11" s="1"/>
  <c r="O621" i="11" s="1"/>
  <c r="L620" i="11"/>
  <c r="M620" i="11" s="1"/>
  <c r="O620" i="11" s="1"/>
  <c r="L619" i="11"/>
  <c r="M619" i="11" s="1"/>
  <c r="O619" i="11" s="1"/>
  <c r="L618" i="11"/>
  <c r="M618" i="11" s="1"/>
  <c r="O618" i="11" s="1"/>
  <c r="L617" i="11"/>
  <c r="M617" i="11" s="1"/>
  <c r="O617" i="11" s="1"/>
  <c r="L616" i="11"/>
  <c r="M616" i="11" s="1"/>
  <c r="O616" i="11" s="1"/>
  <c r="L615" i="11"/>
  <c r="M615" i="11" s="1"/>
  <c r="O615" i="11" s="1"/>
  <c r="L614" i="11"/>
  <c r="M614" i="11" s="1"/>
  <c r="O614" i="11" s="1"/>
  <c r="L613" i="11"/>
  <c r="M613" i="11" s="1"/>
  <c r="O613" i="11" s="1"/>
  <c r="L612" i="11"/>
  <c r="M612" i="11" s="1"/>
  <c r="O612" i="11" s="1"/>
  <c r="L611" i="11"/>
  <c r="M611" i="11" s="1"/>
  <c r="O611" i="11" s="1"/>
  <c r="L610" i="11"/>
  <c r="M610" i="11" s="1"/>
  <c r="O610" i="11" s="1"/>
  <c r="L609" i="11"/>
  <c r="M609" i="11" s="1"/>
  <c r="O609" i="11" s="1"/>
  <c r="L608" i="11"/>
  <c r="M608" i="11" s="1"/>
  <c r="O608" i="11" s="1"/>
  <c r="L607" i="11"/>
  <c r="M607" i="11" s="1"/>
  <c r="O607" i="11" s="1"/>
  <c r="L606" i="11"/>
  <c r="M606" i="11" s="1"/>
  <c r="O606" i="11" s="1"/>
  <c r="L605" i="11"/>
  <c r="M605" i="11" s="1"/>
  <c r="O605" i="11" s="1"/>
  <c r="L604" i="11"/>
  <c r="M604" i="11" s="1"/>
  <c r="O604" i="11" s="1"/>
  <c r="L603" i="11"/>
  <c r="M603" i="11" s="1"/>
  <c r="O603" i="11" s="1"/>
  <c r="L602" i="11"/>
  <c r="M602" i="11" s="1"/>
  <c r="O602" i="11" s="1"/>
  <c r="L601" i="11"/>
  <c r="M601" i="11" s="1"/>
  <c r="O601" i="11" s="1"/>
  <c r="L600" i="11"/>
  <c r="M600" i="11" s="1"/>
  <c r="O600" i="11" s="1"/>
  <c r="L599" i="11"/>
  <c r="M599" i="11" s="1"/>
  <c r="O599" i="11" s="1"/>
  <c r="L598" i="11"/>
  <c r="M598" i="11" s="1"/>
  <c r="O598" i="11" s="1"/>
  <c r="L597" i="11"/>
  <c r="M597" i="11" s="1"/>
  <c r="O597" i="11" s="1"/>
  <c r="L596" i="11"/>
  <c r="M596" i="11" s="1"/>
  <c r="O596" i="11" s="1"/>
  <c r="L595" i="11"/>
  <c r="M595" i="11" s="1"/>
  <c r="O595" i="11" s="1"/>
  <c r="L594" i="11"/>
  <c r="M594" i="11" s="1"/>
  <c r="O594" i="11" s="1"/>
  <c r="L593" i="11"/>
  <c r="M593" i="11" s="1"/>
  <c r="O593" i="11" s="1"/>
  <c r="L592" i="11"/>
  <c r="M592" i="11" s="1"/>
  <c r="O592" i="11" s="1"/>
  <c r="L591" i="11"/>
  <c r="M591" i="11" s="1"/>
  <c r="O591" i="11" s="1"/>
  <c r="L590" i="11"/>
  <c r="M590" i="11" s="1"/>
  <c r="O590" i="11" s="1"/>
  <c r="L589" i="11"/>
  <c r="M589" i="11" s="1"/>
  <c r="O589" i="11" s="1"/>
  <c r="L588" i="11"/>
  <c r="M588" i="11" s="1"/>
  <c r="O588" i="11" s="1"/>
  <c r="L587" i="11"/>
  <c r="M587" i="11" s="1"/>
  <c r="O587" i="11" s="1"/>
  <c r="L586" i="11"/>
  <c r="M586" i="11" s="1"/>
  <c r="O586" i="11" s="1"/>
  <c r="L585" i="11"/>
  <c r="M585" i="11" s="1"/>
  <c r="O585" i="11" s="1"/>
  <c r="L584" i="11"/>
  <c r="M584" i="11" s="1"/>
  <c r="O584" i="11" s="1"/>
  <c r="L583" i="11"/>
  <c r="M583" i="11" s="1"/>
  <c r="O583" i="11" s="1"/>
  <c r="L582" i="11"/>
  <c r="M582" i="11" s="1"/>
  <c r="O582" i="11" s="1"/>
  <c r="L581" i="11"/>
  <c r="M581" i="11" s="1"/>
  <c r="O581" i="11" s="1"/>
  <c r="L580" i="11"/>
  <c r="M580" i="11" s="1"/>
  <c r="O580" i="11" s="1"/>
  <c r="L579" i="11"/>
  <c r="M579" i="11" s="1"/>
  <c r="O579" i="11" s="1"/>
  <c r="L578" i="11"/>
  <c r="M578" i="11" s="1"/>
  <c r="O578" i="11" s="1"/>
  <c r="L577" i="11"/>
  <c r="M577" i="11" s="1"/>
  <c r="O577" i="11" s="1"/>
  <c r="L576" i="11"/>
  <c r="M576" i="11" s="1"/>
  <c r="O576" i="11" s="1"/>
  <c r="L575" i="11"/>
  <c r="M575" i="11" s="1"/>
  <c r="O575" i="11" s="1"/>
  <c r="L574" i="11"/>
  <c r="M574" i="11" s="1"/>
  <c r="O574" i="11" s="1"/>
  <c r="L573" i="11"/>
  <c r="M573" i="11" s="1"/>
  <c r="O573" i="11" s="1"/>
  <c r="L572" i="11"/>
  <c r="M572" i="11" s="1"/>
  <c r="O572" i="11" s="1"/>
  <c r="L571" i="11"/>
  <c r="M571" i="11" s="1"/>
  <c r="O571" i="11" s="1"/>
  <c r="L570" i="11"/>
  <c r="M570" i="11" s="1"/>
  <c r="O570" i="11" s="1"/>
  <c r="L569" i="11"/>
  <c r="M569" i="11" s="1"/>
  <c r="O569" i="11" s="1"/>
  <c r="L568" i="11"/>
  <c r="M568" i="11" s="1"/>
  <c r="O568" i="11" s="1"/>
  <c r="L567" i="11"/>
  <c r="M567" i="11" s="1"/>
  <c r="O567" i="11" s="1"/>
  <c r="L566" i="11"/>
  <c r="M566" i="11" s="1"/>
  <c r="O566" i="11" s="1"/>
  <c r="L565" i="11"/>
  <c r="M565" i="11" s="1"/>
  <c r="O565" i="11" s="1"/>
  <c r="L564" i="11"/>
  <c r="M564" i="11" s="1"/>
  <c r="O564" i="11" s="1"/>
  <c r="L563" i="11"/>
  <c r="M563" i="11" s="1"/>
  <c r="O563" i="11" s="1"/>
  <c r="L562" i="11"/>
  <c r="M562" i="11" s="1"/>
  <c r="O562" i="11" s="1"/>
  <c r="L561" i="11"/>
  <c r="M561" i="11" s="1"/>
  <c r="O561" i="11" s="1"/>
  <c r="L560" i="11"/>
  <c r="M560" i="11" s="1"/>
  <c r="O560" i="11" s="1"/>
  <c r="L559" i="11"/>
  <c r="M559" i="11" s="1"/>
  <c r="O559" i="11" s="1"/>
  <c r="L558" i="11"/>
  <c r="M558" i="11" s="1"/>
  <c r="O558" i="11" s="1"/>
  <c r="L557" i="11"/>
  <c r="M557" i="11" s="1"/>
  <c r="O557" i="11" s="1"/>
  <c r="L556" i="11"/>
  <c r="M556" i="11" s="1"/>
  <c r="O556" i="11" s="1"/>
  <c r="L555" i="11"/>
  <c r="M555" i="11" s="1"/>
  <c r="O555" i="11" s="1"/>
  <c r="L554" i="11"/>
  <c r="M554" i="11" s="1"/>
  <c r="O554" i="11" s="1"/>
  <c r="L553" i="11"/>
  <c r="M553" i="11" s="1"/>
  <c r="O553" i="11" s="1"/>
  <c r="L552" i="11"/>
  <c r="M552" i="11" s="1"/>
  <c r="O552" i="11" s="1"/>
  <c r="L551" i="11"/>
  <c r="M551" i="11" s="1"/>
  <c r="O551" i="11" s="1"/>
  <c r="L550" i="11"/>
  <c r="M550" i="11" s="1"/>
  <c r="O550" i="11" s="1"/>
  <c r="L549" i="11"/>
  <c r="M549" i="11" s="1"/>
  <c r="O549" i="11" s="1"/>
  <c r="L548" i="11"/>
  <c r="M548" i="11" s="1"/>
  <c r="O548" i="11" s="1"/>
  <c r="L547" i="11"/>
  <c r="M547" i="11" s="1"/>
  <c r="O547" i="11" s="1"/>
  <c r="L546" i="11"/>
  <c r="M546" i="11" s="1"/>
  <c r="O546" i="11" s="1"/>
  <c r="L545" i="11"/>
  <c r="M545" i="11" s="1"/>
  <c r="O545" i="11" s="1"/>
  <c r="L544" i="11"/>
  <c r="M544" i="11" s="1"/>
  <c r="O544" i="11" s="1"/>
  <c r="L543" i="11"/>
  <c r="M543" i="11" s="1"/>
  <c r="O543" i="11" s="1"/>
  <c r="L542" i="11"/>
  <c r="M542" i="11" s="1"/>
  <c r="O542" i="11" s="1"/>
  <c r="L541" i="11"/>
  <c r="M541" i="11" s="1"/>
  <c r="O541" i="11" s="1"/>
  <c r="L540" i="11"/>
  <c r="M540" i="11" s="1"/>
  <c r="O540" i="11" s="1"/>
  <c r="L539" i="11"/>
  <c r="M539" i="11" s="1"/>
  <c r="O539" i="11" s="1"/>
  <c r="L538" i="11"/>
  <c r="M538" i="11" s="1"/>
  <c r="O538" i="11" s="1"/>
  <c r="L537" i="11"/>
  <c r="M537" i="11" s="1"/>
  <c r="O537" i="11" s="1"/>
  <c r="L536" i="11"/>
  <c r="M536" i="11" s="1"/>
  <c r="O536" i="11" s="1"/>
  <c r="L535" i="11"/>
  <c r="M535" i="11" s="1"/>
  <c r="O535" i="11" s="1"/>
  <c r="L534" i="11"/>
  <c r="M534" i="11" s="1"/>
  <c r="O534" i="11" s="1"/>
  <c r="L533" i="11"/>
  <c r="M533" i="11" s="1"/>
  <c r="O533" i="11" s="1"/>
  <c r="L532" i="11"/>
  <c r="M532" i="11" s="1"/>
  <c r="O532" i="11" s="1"/>
  <c r="L531" i="11"/>
  <c r="M531" i="11" s="1"/>
  <c r="O531" i="11" s="1"/>
  <c r="L530" i="11"/>
  <c r="M530" i="11" s="1"/>
  <c r="O530" i="11" s="1"/>
  <c r="L529" i="11"/>
  <c r="M529" i="11" s="1"/>
  <c r="O529" i="11" s="1"/>
  <c r="L528" i="11"/>
  <c r="M528" i="11" s="1"/>
  <c r="O528" i="11" s="1"/>
  <c r="L527" i="11"/>
  <c r="M527" i="11" s="1"/>
  <c r="O527" i="11" s="1"/>
  <c r="L526" i="11"/>
  <c r="M526" i="11" s="1"/>
  <c r="O526" i="11" s="1"/>
  <c r="L525" i="11"/>
  <c r="M525" i="11" s="1"/>
  <c r="O525" i="11" s="1"/>
  <c r="L524" i="11"/>
  <c r="M524" i="11" s="1"/>
  <c r="O524" i="11" s="1"/>
  <c r="L523" i="11"/>
  <c r="M523" i="11" s="1"/>
  <c r="O523" i="11" s="1"/>
  <c r="L522" i="11"/>
  <c r="M522" i="11" s="1"/>
  <c r="O522" i="11" s="1"/>
  <c r="L521" i="11"/>
  <c r="M521" i="11" s="1"/>
  <c r="O521" i="11" s="1"/>
  <c r="L520" i="11"/>
  <c r="M520" i="11" s="1"/>
  <c r="O520" i="11" s="1"/>
  <c r="L519" i="11"/>
  <c r="M519" i="11" s="1"/>
  <c r="O519" i="11" s="1"/>
  <c r="L518" i="11"/>
  <c r="M518" i="11" s="1"/>
  <c r="O518" i="11" s="1"/>
  <c r="L517" i="11"/>
  <c r="M517" i="11" s="1"/>
  <c r="O517" i="11" s="1"/>
  <c r="L516" i="11"/>
  <c r="M516" i="11" s="1"/>
  <c r="O516" i="11" s="1"/>
  <c r="L515" i="11"/>
  <c r="M515" i="11" s="1"/>
  <c r="O515" i="11" s="1"/>
  <c r="L514" i="11"/>
  <c r="M514" i="11" s="1"/>
  <c r="O514" i="11" s="1"/>
  <c r="L513" i="11"/>
  <c r="M513" i="11" s="1"/>
  <c r="O513" i="11" s="1"/>
  <c r="L512" i="11"/>
  <c r="M512" i="11" s="1"/>
  <c r="O512" i="11" s="1"/>
  <c r="L511" i="11"/>
  <c r="M511" i="11" s="1"/>
  <c r="O511" i="11" s="1"/>
  <c r="L510" i="11"/>
  <c r="M510" i="11" s="1"/>
  <c r="O510" i="11" s="1"/>
  <c r="L509" i="11"/>
  <c r="M509" i="11" s="1"/>
  <c r="O509" i="11" s="1"/>
  <c r="L508" i="11"/>
  <c r="M508" i="11" s="1"/>
  <c r="O508" i="11" s="1"/>
  <c r="L507" i="11"/>
  <c r="M507" i="11" s="1"/>
  <c r="O507" i="11" s="1"/>
  <c r="L506" i="11"/>
  <c r="M506" i="11" s="1"/>
  <c r="O506" i="11" s="1"/>
  <c r="L505" i="11"/>
  <c r="M505" i="11" s="1"/>
  <c r="O505" i="11" s="1"/>
  <c r="L504" i="11"/>
  <c r="M504" i="11" s="1"/>
  <c r="O504" i="11" s="1"/>
  <c r="L503" i="11"/>
  <c r="M503" i="11" s="1"/>
  <c r="O503" i="11" s="1"/>
  <c r="L502" i="11"/>
  <c r="M502" i="11" s="1"/>
  <c r="O502" i="11" s="1"/>
  <c r="L501" i="11"/>
  <c r="M501" i="11" s="1"/>
  <c r="O501" i="11" s="1"/>
  <c r="L500" i="11"/>
  <c r="M500" i="11" s="1"/>
  <c r="O500" i="11" s="1"/>
  <c r="L499" i="11"/>
  <c r="M499" i="11" s="1"/>
  <c r="O499" i="11" s="1"/>
  <c r="L498" i="11"/>
  <c r="M498" i="11" s="1"/>
  <c r="O498" i="11" s="1"/>
  <c r="L497" i="11"/>
  <c r="M497" i="11" s="1"/>
  <c r="O497" i="11" s="1"/>
  <c r="L496" i="11"/>
  <c r="M496" i="11" s="1"/>
  <c r="O496" i="11" s="1"/>
  <c r="L495" i="11"/>
  <c r="M495" i="11" s="1"/>
  <c r="O495" i="11" s="1"/>
  <c r="L494" i="11"/>
  <c r="M494" i="11" s="1"/>
  <c r="O494" i="11" s="1"/>
  <c r="L493" i="11"/>
  <c r="M493" i="11" s="1"/>
  <c r="O493" i="11" s="1"/>
  <c r="L492" i="11"/>
  <c r="M492" i="11" s="1"/>
  <c r="O492" i="11" s="1"/>
  <c r="L491" i="11"/>
  <c r="M491" i="11" s="1"/>
  <c r="O491" i="11" s="1"/>
  <c r="L490" i="11"/>
  <c r="M490" i="11" s="1"/>
  <c r="O490" i="11" s="1"/>
  <c r="L489" i="11"/>
  <c r="M489" i="11" s="1"/>
  <c r="O489" i="11" s="1"/>
  <c r="L488" i="11"/>
  <c r="M488" i="11" s="1"/>
  <c r="O488" i="11" s="1"/>
  <c r="L487" i="11"/>
  <c r="M487" i="11" s="1"/>
  <c r="O487" i="11" s="1"/>
  <c r="L486" i="11"/>
  <c r="M486" i="11" s="1"/>
  <c r="O486" i="11" s="1"/>
  <c r="L485" i="11"/>
  <c r="M485" i="11" s="1"/>
  <c r="O485" i="11" s="1"/>
  <c r="L484" i="11"/>
  <c r="M484" i="11" s="1"/>
  <c r="O484" i="11" s="1"/>
  <c r="L483" i="11"/>
  <c r="M483" i="11" s="1"/>
  <c r="O483" i="11" s="1"/>
  <c r="L482" i="11"/>
  <c r="M482" i="11" s="1"/>
  <c r="O482" i="11" s="1"/>
  <c r="L481" i="11"/>
  <c r="M481" i="11" s="1"/>
  <c r="O481" i="11" s="1"/>
  <c r="L480" i="11"/>
  <c r="M480" i="11" s="1"/>
  <c r="O480" i="11" s="1"/>
  <c r="L479" i="11"/>
  <c r="M479" i="11" s="1"/>
  <c r="O479" i="11" s="1"/>
  <c r="L478" i="11"/>
  <c r="M478" i="11" s="1"/>
  <c r="O478" i="11" s="1"/>
  <c r="L477" i="11"/>
  <c r="M477" i="11" s="1"/>
  <c r="O477" i="11" s="1"/>
  <c r="L476" i="11"/>
  <c r="M476" i="11" s="1"/>
  <c r="O476" i="11" s="1"/>
  <c r="L475" i="11"/>
  <c r="M475" i="11" s="1"/>
  <c r="O475" i="11" s="1"/>
  <c r="L474" i="11"/>
  <c r="M474" i="11" s="1"/>
  <c r="O474" i="11" s="1"/>
  <c r="L473" i="11"/>
  <c r="M473" i="11" s="1"/>
  <c r="O473" i="11" s="1"/>
  <c r="L472" i="11"/>
  <c r="M472" i="11" s="1"/>
  <c r="O472" i="11" s="1"/>
  <c r="L471" i="11"/>
  <c r="M471" i="11" s="1"/>
  <c r="O471" i="11" s="1"/>
  <c r="L470" i="11"/>
  <c r="M470" i="11" s="1"/>
  <c r="O470" i="11" s="1"/>
  <c r="L469" i="11"/>
  <c r="M469" i="11" s="1"/>
  <c r="O469" i="11" s="1"/>
  <c r="L468" i="11"/>
  <c r="M468" i="11" s="1"/>
  <c r="O468" i="11" s="1"/>
  <c r="L467" i="11"/>
  <c r="M467" i="11" s="1"/>
  <c r="O467" i="11" s="1"/>
  <c r="L466" i="11"/>
  <c r="M466" i="11" s="1"/>
  <c r="O466" i="11" s="1"/>
  <c r="L465" i="11"/>
  <c r="M465" i="11" s="1"/>
  <c r="O465" i="11" s="1"/>
  <c r="L464" i="11"/>
  <c r="M464" i="11" s="1"/>
  <c r="O464" i="11" s="1"/>
  <c r="L463" i="11"/>
  <c r="M463" i="11" s="1"/>
  <c r="O463" i="11" s="1"/>
  <c r="L462" i="11"/>
  <c r="M462" i="11" s="1"/>
  <c r="O462" i="11" s="1"/>
  <c r="L461" i="11"/>
  <c r="M461" i="11" s="1"/>
  <c r="O461" i="11" s="1"/>
  <c r="L460" i="11"/>
  <c r="M460" i="11" s="1"/>
  <c r="O460" i="11" s="1"/>
  <c r="L459" i="11"/>
  <c r="M459" i="11" s="1"/>
  <c r="O459" i="11" s="1"/>
  <c r="L458" i="11"/>
  <c r="M458" i="11" s="1"/>
  <c r="O458" i="11" s="1"/>
  <c r="L457" i="11"/>
  <c r="M457" i="11" s="1"/>
  <c r="O457" i="11" s="1"/>
  <c r="L456" i="11"/>
  <c r="M456" i="11" s="1"/>
  <c r="O456" i="11" s="1"/>
  <c r="L455" i="11"/>
  <c r="M455" i="11" s="1"/>
  <c r="O455" i="11" s="1"/>
  <c r="L454" i="11"/>
  <c r="M454" i="11" s="1"/>
  <c r="O454" i="11" s="1"/>
  <c r="L453" i="11"/>
  <c r="M453" i="11" s="1"/>
  <c r="O453" i="11" s="1"/>
  <c r="L452" i="11"/>
  <c r="M452" i="11" s="1"/>
  <c r="O452" i="11" s="1"/>
  <c r="L451" i="11"/>
  <c r="M451" i="11" s="1"/>
  <c r="O451" i="11" s="1"/>
  <c r="L450" i="11"/>
  <c r="M450" i="11" s="1"/>
  <c r="O450" i="11" s="1"/>
  <c r="L449" i="11"/>
  <c r="M449" i="11" s="1"/>
  <c r="O449" i="11" s="1"/>
  <c r="L448" i="11"/>
  <c r="M448" i="11" s="1"/>
  <c r="O448" i="11" s="1"/>
  <c r="L447" i="11"/>
  <c r="M447" i="11" s="1"/>
  <c r="O447" i="11" s="1"/>
  <c r="L446" i="11"/>
  <c r="M446" i="11" s="1"/>
  <c r="O446" i="11" s="1"/>
  <c r="L445" i="11"/>
  <c r="M445" i="11" s="1"/>
  <c r="O445" i="11" s="1"/>
  <c r="L444" i="11"/>
  <c r="M444" i="11" s="1"/>
  <c r="O444" i="11" s="1"/>
  <c r="L443" i="11"/>
  <c r="M443" i="11" s="1"/>
  <c r="O443" i="11" s="1"/>
  <c r="L442" i="11"/>
  <c r="M442" i="11" s="1"/>
  <c r="O442" i="11" s="1"/>
  <c r="L441" i="11"/>
  <c r="M441" i="11" s="1"/>
  <c r="O441" i="11" s="1"/>
  <c r="L440" i="11"/>
  <c r="M440" i="11" s="1"/>
  <c r="O440" i="11" s="1"/>
  <c r="L439" i="11"/>
  <c r="M439" i="11" s="1"/>
  <c r="O439" i="11" s="1"/>
  <c r="L438" i="11"/>
  <c r="M438" i="11" s="1"/>
  <c r="O438" i="11" s="1"/>
  <c r="L437" i="11"/>
  <c r="M437" i="11" s="1"/>
  <c r="O437" i="11" s="1"/>
  <c r="L436" i="11"/>
  <c r="M436" i="11" s="1"/>
  <c r="O436" i="11" s="1"/>
  <c r="L435" i="11"/>
  <c r="M435" i="11" s="1"/>
  <c r="O435" i="11" s="1"/>
  <c r="L434" i="11"/>
  <c r="M434" i="11" s="1"/>
  <c r="O434" i="11" s="1"/>
  <c r="L433" i="11"/>
  <c r="M433" i="11" s="1"/>
  <c r="O433" i="11" s="1"/>
  <c r="L432" i="11"/>
  <c r="M432" i="11" s="1"/>
  <c r="O432" i="11" s="1"/>
  <c r="L431" i="11"/>
  <c r="M431" i="11" s="1"/>
  <c r="O431" i="11" s="1"/>
  <c r="L430" i="11"/>
  <c r="M430" i="11" s="1"/>
  <c r="O430" i="11" s="1"/>
  <c r="L429" i="11"/>
  <c r="M429" i="11" s="1"/>
  <c r="O429" i="11" s="1"/>
  <c r="L428" i="11"/>
  <c r="M428" i="11" s="1"/>
  <c r="O428" i="11" s="1"/>
  <c r="L427" i="11"/>
  <c r="M427" i="11" s="1"/>
  <c r="O427" i="11" s="1"/>
  <c r="L426" i="11"/>
  <c r="M426" i="11" s="1"/>
  <c r="O426" i="11" s="1"/>
  <c r="L425" i="11"/>
  <c r="M425" i="11" s="1"/>
  <c r="O425" i="11" s="1"/>
  <c r="L424" i="11"/>
  <c r="M424" i="11" s="1"/>
  <c r="O424" i="11" s="1"/>
  <c r="L423" i="11"/>
  <c r="M423" i="11" s="1"/>
  <c r="O423" i="11" s="1"/>
  <c r="L422" i="11"/>
  <c r="M422" i="11" s="1"/>
  <c r="O422" i="11" s="1"/>
  <c r="L421" i="11"/>
  <c r="M421" i="11" s="1"/>
  <c r="O421" i="11" s="1"/>
  <c r="L420" i="11"/>
  <c r="M420" i="11" s="1"/>
  <c r="O420" i="11" s="1"/>
  <c r="L419" i="11"/>
  <c r="M419" i="11" s="1"/>
  <c r="O419" i="11" s="1"/>
  <c r="L418" i="11"/>
  <c r="M418" i="11" s="1"/>
  <c r="O418" i="11" s="1"/>
  <c r="L417" i="11"/>
  <c r="M417" i="11" s="1"/>
  <c r="O417" i="11" s="1"/>
  <c r="L416" i="11"/>
  <c r="M416" i="11" s="1"/>
  <c r="O416" i="11" s="1"/>
  <c r="L415" i="11"/>
  <c r="M415" i="11" s="1"/>
  <c r="O415" i="11" s="1"/>
  <c r="L414" i="11"/>
  <c r="M414" i="11" s="1"/>
  <c r="O414" i="11" s="1"/>
  <c r="L413" i="11"/>
  <c r="M413" i="11" s="1"/>
  <c r="O413" i="11" s="1"/>
  <c r="L412" i="11"/>
  <c r="M412" i="11" s="1"/>
  <c r="O412" i="11" s="1"/>
  <c r="L411" i="11"/>
  <c r="M411" i="11" s="1"/>
  <c r="O411" i="11" s="1"/>
  <c r="L410" i="11"/>
  <c r="M410" i="11" s="1"/>
  <c r="O410" i="11" s="1"/>
  <c r="L409" i="11"/>
  <c r="M409" i="11" s="1"/>
  <c r="O409" i="11" s="1"/>
  <c r="L408" i="11"/>
  <c r="M408" i="11" s="1"/>
  <c r="O408" i="11" s="1"/>
  <c r="L407" i="11"/>
  <c r="M407" i="11" s="1"/>
  <c r="O407" i="11" s="1"/>
  <c r="L406" i="11"/>
  <c r="M406" i="11" s="1"/>
  <c r="O406" i="11" s="1"/>
  <c r="L405" i="11"/>
  <c r="M405" i="11" s="1"/>
  <c r="O405" i="11" s="1"/>
  <c r="L404" i="11"/>
  <c r="M404" i="11" s="1"/>
  <c r="O404" i="11" s="1"/>
  <c r="L403" i="11"/>
  <c r="M403" i="11" s="1"/>
  <c r="O403" i="11" s="1"/>
  <c r="L402" i="11"/>
  <c r="M402" i="11" s="1"/>
  <c r="O402" i="11" s="1"/>
  <c r="L401" i="11"/>
  <c r="M401" i="11" s="1"/>
  <c r="O401" i="11" s="1"/>
  <c r="L400" i="11"/>
  <c r="M400" i="11" s="1"/>
  <c r="O400" i="11" s="1"/>
  <c r="L399" i="11"/>
  <c r="M399" i="11" s="1"/>
  <c r="O399" i="11" s="1"/>
  <c r="L398" i="11"/>
  <c r="M398" i="11" s="1"/>
  <c r="O398" i="11" s="1"/>
  <c r="L397" i="11"/>
  <c r="M397" i="11" s="1"/>
  <c r="O397" i="11" s="1"/>
  <c r="L396" i="11"/>
  <c r="M396" i="11" s="1"/>
  <c r="O396" i="11" s="1"/>
  <c r="L395" i="11"/>
  <c r="M395" i="11" s="1"/>
  <c r="O395" i="11" s="1"/>
  <c r="L394" i="11"/>
  <c r="M394" i="11" s="1"/>
  <c r="O394" i="11" s="1"/>
  <c r="L393" i="11"/>
  <c r="M393" i="11" s="1"/>
  <c r="O393" i="11" s="1"/>
  <c r="L392" i="11"/>
  <c r="M392" i="11" s="1"/>
  <c r="O392" i="11" s="1"/>
  <c r="L391" i="11"/>
  <c r="M391" i="11" s="1"/>
  <c r="L390" i="11"/>
  <c r="M390" i="11" s="1"/>
  <c r="O390" i="11" s="1"/>
  <c r="L389" i="11"/>
  <c r="M389" i="11" s="1"/>
  <c r="O389" i="11" s="1"/>
  <c r="L388" i="11"/>
  <c r="M388" i="11" s="1"/>
  <c r="O388" i="11" s="1"/>
  <c r="L387" i="11"/>
  <c r="M387" i="11" s="1"/>
  <c r="O387" i="11" s="1"/>
  <c r="L386" i="11"/>
  <c r="M386" i="11" s="1"/>
  <c r="O386" i="11" s="1"/>
  <c r="L385" i="11"/>
  <c r="M385" i="11" s="1"/>
  <c r="O385" i="11" s="1"/>
  <c r="L384" i="11"/>
  <c r="M384" i="11" s="1"/>
  <c r="O384" i="11" s="1"/>
  <c r="L383" i="11"/>
  <c r="M383" i="11" s="1"/>
  <c r="O383" i="11" s="1"/>
  <c r="L382" i="11"/>
  <c r="M382" i="11" s="1"/>
  <c r="O382" i="11" s="1"/>
  <c r="L381" i="11"/>
  <c r="M381" i="11" s="1"/>
  <c r="O381" i="11" s="1"/>
  <c r="L380" i="11"/>
  <c r="M380" i="11" s="1"/>
  <c r="O380" i="11" s="1"/>
  <c r="L379" i="11"/>
  <c r="M379" i="11" s="1"/>
  <c r="O379" i="11" s="1"/>
  <c r="L378" i="11"/>
  <c r="M378" i="11" s="1"/>
  <c r="O378" i="11" s="1"/>
  <c r="L377" i="11"/>
  <c r="M377" i="11" s="1"/>
  <c r="O377" i="11" s="1"/>
  <c r="L376" i="11"/>
  <c r="M376" i="11" s="1"/>
  <c r="O376" i="11" s="1"/>
  <c r="L375" i="11"/>
  <c r="M375" i="11" s="1"/>
  <c r="O375" i="11" s="1"/>
  <c r="L374" i="11"/>
  <c r="M374" i="11" s="1"/>
  <c r="O374" i="11" s="1"/>
  <c r="L373" i="11"/>
  <c r="M373" i="11" s="1"/>
  <c r="O373" i="11" s="1"/>
  <c r="L372" i="11"/>
  <c r="M372" i="11" s="1"/>
  <c r="O372" i="11" s="1"/>
  <c r="L371" i="11"/>
  <c r="M371" i="11" s="1"/>
  <c r="O371" i="11" s="1"/>
  <c r="L370" i="11"/>
  <c r="M370" i="11" s="1"/>
  <c r="O370" i="11" s="1"/>
  <c r="L369" i="11"/>
  <c r="M369" i="11" s="1"/>
  <c r="O369" i="11" s="1"/>
  <c r="L368" i="11"/>
  <c r="M368" i="11" s="1"/>
  <c r="O368" i="11" s="1"/>
  <c r="L367" i="11"/>
  <c r="M367" i="11" s="1"/>
  <c r="O367" i="11" s="1"/>
  <c r="L366" i="11"/>
  <c r="M366" i="11" s="1"/>
  <c r="O366" i="11" s="1"/>
  <c r="L365" i="11"/>
  <c r="M365" i="11" s="1"/>
  <c r="O365" i="11" s="1"/>
  <c r="L364" i="11"/>
  <c r="M364" i="11" s="1"/>
  <c r="O364" i="11" s="1"/>
  <c r="L363" i="11"/>
  <c r="M363" i="11" s="1"/>
  <c r="O363" i="11" s="1"/>
  <c r="L362" i="11"/>
  <c r="M362" i="11" s="1"/>
  <c r="O362" i="11" s="1"/>
  <c r="L361" i="11"/>
  <c r="M361" i="11" s="1"/>
  <c r="O361" i="11" s="1"/>
  <c r="L360" i="11"/>
  <c r="M360" i="11" s="1"/>
  <c r="O360" i="11" s="1"/>
  <c r="L359" i="11"/>
  <c r="M359" i="11" s="1"/>
  <c r="O359" i="11" s="1"/>
  <c r="L358" i="11"/>
  <c r="M358" i="11" s="1"/>
  <c r="O358" i="11" s="1"/>
  <c r="L357" i="11"/>
  <c r="M357" i="11" s="1"/>
  <c r="O357" i="11" s="1"/>
  <c r="L356" i="11"/>
  <c r="M356" i="11" s="1"/>
  <c r="O356" i="11" s="1"/>
  <c r="L355" i="11"/>
  <c r="M355" i="11" s="1"/>
  <c r="O355" i="11" s="1"/>
  <c r="L354" i="11"/>
  <c r="M354" i="11" s="1"/>
  <c r="O354" i="11" s="1"/>
  <c r="L353" i="11"/>
  <c r="M353" i="11" s="1"/>
  <c r="O353" i="11" s="1"/>
  <c r="L352" i="11"/>
  <c r="M352" i="11" s="1"/>
  <c r="O352" i="11" s="1"/>
  <c r="L351" i="11"/>
  <c r="M351" i="11" s="1"/>
  <c r="O351" i="11" s="1"/>
  <c r="L350" i="11"/>
  <c r="M350" i="11" s="1"/>
  <c r="O350" i="11" s="1"/>
  <c r="L349" i="11"/>
  <c r="M349" i="11" s="1"/>
  <c r="O349" i="11" s="1"/>
  <c r="L348" i="11"/>
  <c r="M348" i="11" s="1"/>
  <c r="O348" i="11" s="1"/>
  <c r="L347" i="11"/>
  <c r="M347" i="11" s="1"/>
  <c r="O347" i="11" s="1"/>
  <c r="L346" i="11"/>
  <c r="M346" i="11" s="1"/>
  <c r="O346" i="11" s="1"/>
  <c r="L345" i="11"/>
  <c r="M345" i="11" s="1"/>
  <c r="O345" i="11" s="1"/>
  <c r="L344" i="11"/>
  <c r="M344" i="11" s="1"/>
  <c r="O344" i="11" s="1"/>
  <c r="L343" i="11"/>
  <c r="M343" i="11" s="1"/>
  <c r="O343" i="11" s="1"/>
  <c r="L342" i="11"/>
  <c r="M342" i="11" s="1"/>
  <c r="O342" i="11" s="1"/>
  <c r="L341" i="11"/>
  <c r="M341" i="11" s="1"/>
  <c r="O341" i="11" s="1"/>
  <c r="L340" i="11"/>
  <c r="M340" i="11" s="1"/>
  <c r="O340" i="11" s="1"/>
  <c r="L339" i="11"/>
  <c r="M339" i="11" s="1"/>
  <c r="O339" i="11" s="1"/>
  <c r="L338" i="11"/>
  <c r="M338" i="11" s="1"/>
  <c r="O338" i="11" s="1"/>
  <c r="L337" i="11"/>
  <c r="M337" i="11" s="1"/>
  <c r="O337" i="11" s="1"/>
  <c r="L336" i="11"/>
  <c r="M336" i="11" s="1"/>
  <c r="O336" i="11" s="1"/>
  <c r="L335" i="11"/>
  <c r="M335" i="11" s="1"/>
  <c r="O335" i="11" s="1"/>
  <c r="L334" i="11"/>
  <c r="M334" i="11" s="1"/>
  <c r="O334" i="11" s="1"/>
  <c r="L333" i="11"/>
  <c r="M333" i="11" s="1"/>
  <c r="O333" i="11" s="1"/>
  <c r="L332" i="11"/>
  <c r="M332" i="11" s="1"/>
  <c r="O332" i="11" s="1"/>
  <c r="L331" i="11"/>
  <c r="M331" i="11" s="1"/>
  <c r="O331" i="11" s="1"/>
  <c r="L330" i="11"/>
  <c r="M330" i="11" s="1"/>
  <c r="O330" i="11" s="1"/>
  <c r="L329" i="11"/>
  <c r="M329" i="11" s="1"/>
  <c r="O329" i="11" s="1"/>
  <c r="L328" i="11"/>
  <c r="M328" i="11" s="1"/>
  <c r="O328" i="11" s="1"/>
  <c r="L327" i="11"/>
  <c r="M327" i="11" s="1"/>
  <c r="O327" i="11" s="1"/>
  <c r="L326" i="11"/>
  <c r="M326" i="11" s="1"/>
  <c r="O326" i="11" s="1"/>
  <c r="L325" i="11"/>
  <c r="M325" i="11" s="1"/>
  <c r="O325" i="11" s="1"/>
  <c r="L324" i="11"/>
  <c r="M324" i="11" s="1"/>
  <c r="O324" i="11" s="1"/>
  <c r="L323" i="11"/>
  <c r="M323" i="11" s="1"/>
  <c r="O323" i="11" s="1"/>
  <c r="L322" i="11"/>
  <c r="M322" i="11" s="1"/>
  <c r="O322" i="11" s="1"/>
  <c r="L321" i="11"/>
  <c r="M321" i="11" s="1"/>
  <c r="O321" i="11" s="1"/>
  <c r="L320" i="11"/>
  <c r="M320" i="11" s="1"/>
  <c r="O320" i="11" s="1"/>
  <c r="L319" i="11"/>
  <c r="M319" i="11" s="1"/>
  <c r="O319" i="11" s="1"/>
  <c r="L318" i="11"/>
  <c r="M318" i="11" s="1"/>
  <c r="O318" i="11" s="1"/>
  <c r="L317" i="11"/>
  <c r="M317" i="11" s="1"/>
  <c r="O317" i="11" s="1"/>
  <c r="L316" i="11"/>
  <c r="M316" i="11" s="1"/>
  <c r="O316" i="11" s="1"/>
  <c r="L315" i="11"/>
  <c r="M315" i="11" s="1"/>
  <c r="O315" i="11" s="1"/>
  <c r="L314" i="11"/>
  <c r="M314" i="11" s="1"/>
  <c r="O314" i="11" s="1"/>
  <c r="L313" i="11"/>
  <c r="M313" i="11" s="1"/>
  <c r="O313" i="11" s="1"/>
  <c r="L312" i="11"/>
  <c r="M312" i="11" s="1"/>
  <c r="O312" i="11" s="1"/>
  <c r="L311" i="11"/>
  <c r="M311" i="11" s="1"/>
  <c r="O311" i="11" s="1"/>
  <c r="L310" i="11"/>
  <c r="M310" i="11" s="1"/>
  <c r="O310" i="11" s="1"/>
  <c r="L309" i="11"/>
  <c r="M309" i="11" s="1"/>
  <c r="O309" i="11" s="1"/>
  <c r="L308" i="11"/>
  <c r="M308" i="11" s="1"/>
  <c r="O308" i="11" s="1"/>
  <c r="L307" i="11"/>
  <c r="M307" i="11" s="1"/>
  <c r="O307" i="11" s="1"/>
  <c r="L306" i="11"/>
  <c r="M306" i="11" s="1"/>
  <c r="O306" i="11" s="1"/>
  <c r="L305" i="11"/>
  <c r="M305" i="11" s="1"/>
  <c r="O305" i="11" s="1"/>
  <c r="L304" i="11"/>
  <c r="M304" i="11" s="1"/>
  <c r="O304" i="11" s="1"/>
  <c r="L303" i="11"/>
  <c r="M303" i="11" s="1"/>
  <c r="O303" i="11" s="1"/>
  <c r="L302" i="11"/>
  <c r="M302" i="11" s="1"/>
  <c r="O302" i="11" s="1"/>
  <c r="L301" i="11"/>
  <c r="M301" i="11" s="1"/>
  <c r="O301" i="11" s="1"/>
  <c r="L300" i="11"/>
  <c r="M300" i="11" s="1"/>
  <c r="O300" i="11" s="1"/>
  <c r="L299" i="11"/>
  <c r="M299" i="11" s="1"/>
  <c r="O299" i="11" s="1"/>
  <c r="L298" i="11"/>
  <c r="M298" i="11" s="1"/>
  <c r="O298" i="11" s="1"/>
  <c r="L297" i="11"/>
  <c r="M297" i="11" s="1"/>
  <c r="O297" i="11" s="1"/>
  <c r="L296" i="11"/>
  <c r="M296" i="11" s="1"/>
  <c r="O296" i="11" s="1"/>
  <c r="L295" i="11"/>
  <c r="M295" i="11" s="1"/>
  <c r="O295" i="11" s="1"/>
  <c r="L294" i="11"/>
  <c r="M294" i="11" s="1"/>
  <c r="O294" i="11" s="1"/>
  <c r="L293" i="11"/>
  <c r="M293" i="11" s="1"/>
  <c r="O293" i="11" s="1"/>
  <c r="L292" i="11"/>
  <c r="M292" i="11" s="1"/>
  <c r="O292" i="11" s="1"/>
  <c r="L291" i="11"/>
  <c r="M291" i="11" s="1"/>
  <c r="O291" i="11" s="1"/>
  <c r="L290" i="11"/>
  <c r="M290" i="11" s="1"/>
  <c r="O290" i="11" s="1"/>
  <c r="L289" i="11"/>
  <c r="M289" i="11" s="1"/>
  <c r="O289" i="11" s="1"/>
  <c r="L288" i="11"/>
  <c r="M288" i="11" s="1"/>
  <c r="O288" i="11" s="1"/>
  <c r="L287" i="11"/>
  <c r="M287" i="11" s="1"/>
  <c r="O287" i="11" s="1"/>
  <c r="L286" i="11"/>
  <c r="M286" i="11" s="1"/>
  <c r="O286" i="11" s="1"/>
  <c r="L285" i="11"/>
  <c r="M285" i="11" s="1"/>
  <c r="O285" i="11" s="1"/>
  <c r="L284" i="11"/>
  <c r="M284" i="11" s="1"/>
  <c r="O284" i="11" s="1"/>
  <c r="L283" i="11"/>
  <c r="M283" i="11" s="1"/>
  <c r="O283" i="11" s="1"/>
  <c r="L282" i="11"/>
  <c r="M282" i="11" s="1"/>
  <c r="O282" i="11" s="1"/>
  <c r="L281" i="11"/>
  <c r="M281" i="11" s="1"/>
  <c r="O281" i="11" s="1"/>
  <c r="L280" i="11"/>
  <c r="M280" i="11" s="1"/>
  <c r="O280" i="11" s="1"/>
  <c r="L279" i="11"/>
  <c r="M279" i="11" s="1"/>
  <c r="O279" i="11" s="1"/>
  <c r="L278" i="11"/>
  <c r="M278" i="11" s="1"/>
  <c r="O278" i="11" s="1"/>
  <c r="L277" i="11"/>
  <c r="M277" i="11" s="1"/>
  <c r="O277" i="11" s="1"/>
  <c r="L276" i="11"/>
  <c r="M276" i="11" s="1"/>
  <c r="O276" i="11" s="1"/>
  <c r="L275" i="11"/>
  <c r="M275" i="11" s="1"/>
  <c r="O275" i="11" s="1"/>
  <c r="L274" i="11"/>
  <c r="M274" i="11" s="1"/>
  <c r="O274" i="11" s="1"/>
  <c r="L273" i="11"/>
  <c r="M273" i="11" s="1"/>
  <c r="O273" i="11" s="1"/>
  <c r="L272" i="11"/>
  <c r="M272" i="11" s="1"/>
  <c r="O272" i="11" s="1"/>
  <c r="L271" i="11"/>
  <c r="M271" i="11" s="1"/>
  <c r="O271" i="11" s="1"/>
  <c r="L270" i="11"/>
  <c r="M270" i="11" s="1"/>
  <c r="O270" i="11" s="1"/>
  <c r="L269" i="11"/>
  <c r="M269" i="11" s="1"/>
  <c r="O269" i="11" s="1"/>
  <c r="L268" i="11"/>
  <c r="M268" i="11" s="1"/>
  <c r="O268" i="11" s="1"/>
  <c r="L267" i="11"/>
  <c r="M267" i="11" s="1"/>
  <c r="O267" i="11" s="1"/>
  <c r="L266" i="11"/>
  <c r="M266" i="11" s="1"/>
  <c r="O266" i="11" s="1"/>
  <c r="L265" i="11"/>
  <c r="M265" i="11" s="1"/>
  <c r="O265" i="11" s="1"/>
  <c r="L264" i="11"/>
  <c r="M264" i="11" s="1"/>
  <c r="O264" i="11" s="1"/>
  <c r="L263" i="11"/>
  <c r="M263" i="11" s="1"/>
  <c r="O263" i="11" s="1"/>
  <c r="L262" i="11"/>
  <c r="M262" i="11" s="1"/>
  <c r="O262" i="11" s="1"/>
  <c r="L261" i="11"/>
  <c r="M261" i="11" s="1"/>
  <c r="O261" i="11" s="1"/>
  <c r="L260" i="11"/>
  <c r="M260" i="11" s="1"/>
  <c r="O260" i="11" s="1"/>
  <c r="L259" i="11"/>
  <c r="M259" i="11" s="1"/>
  <c r="O259" i="11" s="1"/>
  <c r="L258" i="11"/>
  <c r="M258" i="11" s="1"/>
  <c r="O258" i="11" s="1"/>
  <c r="L257" i="11"/>
  <c r="M257" i="11" s="1"/>
  <c r="O257" i="11" s="1"/>
  <c r="L256" i="11"/>
  <c r="M256" i="11" s="1"/>
  <c r="O256" i="11" s="1"/>
  <c r="L255" i="11"/>
  <c r="M255" i="11" s="1"/>
  <c r="O255" i="11" s="1"/>
  <c r="L254" i="11"/>
  <c r="M254" i="11" s="1"/>
  <c r="O254" i="11" s="1"/>
  <c r="L253" i="11"/>
  <c r="M253" i="11" s="1"/>
  <c r="O253" i="11" s="1"/>
  <c r="L252" i="11"/>
  <c r="M252" i="11" s="1"/>
  <c r="O252" i="11" s="1"/>
  <c r="L251" i="11"/>
  <c r="M251" i="11" s="1"/>
  <c r="O251" i="11" s="1"/>
  <c r="L250" i="11"/>
  <c r="M250" i="11" s="1"/>
  <c r="O250" i="11" s="1"/>
  <c r="L249" i="11"/>
  <c r="M249" i="11" s="1"/>
  <c r="O249" i="11" s="1"/>
  <c r="L248" i="11"/>
  <c r="M248" i="11" s="1"/>
  <c r="O248" i="11" s="1"/>
  <c r="L247" i="11"/>
  <c r="M247" i="11" s="1"/>
  <c r="O247" i="11" s="1"/>
  <c r="L246" i="11"/>
  <c r="M246" i="11" s="1"/>
  <c r="O246" i="11" s="1"/>
  <c r="L245" i="11"/>
  <c r="M245" i="11" s="1"/>
  <c r="O245" i="11" s="1"/>
  <c r="L244" i="11"/>
  <c r="M244" i="11" s="1"/>
  <c r="O244" i="11" s="1"/>
  <c r="L243" i="11"/>
  <c r="M243" i="11" s="1"/>
  <c r="O243" i="11" s="1"/>
  <c r="L242" i="11"/>
  <c r="M242" i="11" s="1"/>
  <c r="O242" i="11" s="1"/>
  <c r="L241" i="11"/>
  <c r="M241" i="11" s="1"/>
  <c r="O241" i="11" s="1"/>
  <c r="L240" i="11"/>
  <c r="M240" i="11" s="1"/>
  <c r="O240" i="11" s="1"/>
  <c r="L239" i="11"/>
  <c r="M239" i="11" s="1"/>
  <c r="O239" i="11" s="1"/>
  <c r="L238" i="11"/>
  <c r="M238" i="11" s="1"/>
  <c r="O238" i="11" s="1"/>
  <c r="L237" i="11"/>
  <c r="M237" i="11" s="1"/>
  <c r="O237" i="11" s="1"/>
  <c r="L236" i="11"/>
  <c r="M236" i="11" s="1"/>
  <c r="O236" i="11" s="1"/>
  <c r="L235" i="11"/>
  <c r="M235" i="11" s="1"/>
  <c r="O235" i="11" s="1"/>
  <c r="L234" i="11"/>
  <c r="M234" i="11" s="1"/>
  <c r="O234" i="11" s="1"/>
  <c r="L233" i="11"/>
  <c r="M233" i="11" s="1"/>
  <c r="O233" i="11" s="1"/>
  <c r="L232" i="11"/>
  <c r="M232" i="11" s="1"/>
  <c r="O232" i="11" s="1"/>
  <c r="L231" i="11"/>
  <c r="M231" i="11" s="1"/>
  <c r="O231" i="11" s="1"/>
  <c r="L230" i="11"/>
  <c r="M230" i="11" s="1"/>
  <c r="O230" i="11" s="1"/>
  <c r="L229" i="11"/>
  <c r="M229" i="11" s="1"/>
  <c r="O229" i="11" s="1"/>
  <c r="L228" i="11"/>
  <c r="M228" i="11" s="1"/>
  <c r="O228" i="11" s="1"/>
  <c r="L227" i="11"/>
  <c r="M227" i="11" s="1"/>
  <c r="O227" i="11" s="1"/>
  <c r="L226" i="11"/>
  <c r="M226" i="11" s="1"/>
  <c r="O226" i="11" s="1"/>
  <c r="L225" i="11"/>
  <c r="M225" i="11" s="1"/>
  <c r="O225" i="11" s="1"/>
  <c r="L224" i="11"/>
  <c r="M224" i="11" s="1"/>
  <c r="O224" i="11" s="1"/>
  <c r="L223" i="11"/>
  <c r="M223" i="11" s="1"/>
  <c r="O223" i="11" s="1"/>
  <c r="L222" i="11"/>
  <c r="M222" i="11" s="1"/>
  <c r="O222" i="11" s="1"/>
  <c r="L221" i="11"/>
  <c r="M221" i="11" s="1"/>
  <c r="O221" i="11" s="1"/>
  <c r="L220" i="11"/>
  <c r="M220" i="11" s="1"/>
  <c r="O220" i="11" s="1"/>
  <c r="L219" i="11"/>
  <c r="M219" i="11" s="1"/>
  <c r="O219" i="11" s="1"/>
  <c r="L218" i="11"/>
  <c r="M218" i="11" s="1"/>
  <c r="O218" i="11" s="1"/>
  <c r="L217" i="11"/>
  <c r="M217" i="11" s="1"/>
  <c r="O217" i="11" s="1"/>
  <c r="L216" i="11"/>
  <c r="M216" i="11" s="1"/>
  <c r="O216" i="11" s="1"/>
  <c r="L215" i="11"/>
  <c r="M215" i="11" s="1"/>
  <c r="O215" i="11" s="1"/>
  <c r="L214" i="11"/>
  <c r="M214" i="11" s="1"/>
  <c r="O214" i="11" s="1"/>
  <c r="L213" i="11"/>
  <c r="M213" i="11" s="1"/>
  <c r="O213" i="11" s="1"/>
  <c r="L212" i="11"/>
  <c r="M212" i="11" s="1"/>
  <c r="O212" i="11" s="1"/>
  <c r="L211" i="11"/>
  <c r="M211" i="11" s="1"/>
  <c r="O211" i="11" s="1"/>
  <c r="L210" i="11"/>
  <c r="M210" i="11" s="1"/>
  <c r="O210" i="11" s="1"/>
  <c r="L209" i="11"/>
  <c r="M209" i="11" s="1"/>
  <c r="O209" i="11" s="1"/>
  <c r="L208" i="11"/>
  <c r="M208" i="11" s="1"/>
  <c r="O208" i="11" s="1"/>
  <c r="L207" i="11"/>
  <c r="M207" i="11" s="1"/>
  <c r="O207" i="11" s="1"/>
  <c r="L206" i="11"/>
  <c r="M206" i="11" s="1"/>
  <c r="O206" i="11" s="1"/>
  <c r="L205" i="11"/>
  <c r="M205" i="11" s="1"/>
  <c r="O205" i="11" s="1"/>
  <c r="L204" i="11"/>
  <c r="M204" i="11" s="1"/>
  <c r="O204" i="11" s="1"/>
  <c r="L203" i="11"/>
  <c r="M203" i="11" s="1"/>
  <c r="O203" i="11" s="1"/>
  <c r="L202" i="11"/>
  <c r="M202" i="11" s="1"/>
  <c r="O202" i="11" s="1"/>
  <c r="L201" i="11"/>
  <c r="M201" i="11" s="1"/>
  <c r="O201" i="11" s="1"/>
  <c r="L200" i="11"/>
  <c r="M200" i="11" s="1"/>
  <c r="O200" i="11" s="1"/>
  <c r="L199" i="11"/>
  <c r="M199" i="11" s="1"/>
  <c r="O199" i="11" s="1"/>
  <c r="L198" i="11"/>
  <c r="M198" i="11" s="1"/>
  <c r="O198" i="11" s="1"/>
  <c r="L197" i="11"/>
  <c r="M197" i="11" s="1"/>
  <c r="O197" i="11" s="1"/>
  <c r="L196" i="11"/>
  <c r="M196" i="11" s="1"/>
  <c r="O196" i="11" s="1"/>
  <c r="L195" i="11"/>
  <c r="M195" i="11" s="1"/>
  <c r="O195" i="11" s="1"/>
  <c r="L194" i="11"/>
  <c r="M194" i="11" s="1"/>
  <c r="O194" i="11" s="1"/>
  <c r="L193" i="11"/>
  <c r="M193" i="11" s="1"/>
  <c r="O193" i="11" s="1"/>
  <c r="L192" i="11"/>
  <c r="M192" i="11" s="1"/>
  <c r="O192" i="11" s="1"/>
  <c r="L191" i="11"/>
  <c r="M191" i="11" s="1"/>
  <c r="O191" i="11" s="1"/>
  <c r="L190" i="11"/>
  <c r="M190" i="11" s="1"/>
  <c r="O190" i="11" s="1"/>
  <c r="L189" i="11"/>
  <c r="M189" i="11" s="1"/>
  <c r="O189" i="11" s="1"/>
  <c r="L188" i="11"/>
  <c r="M188" i="11" s="1"/>
  <c r="O188" i="11" s="1"/>
  <c r="L187" i="11"/>
  <c r="M187" i="11" s="1"/>
  <c r="O187" i="11" s="1"/>
  <c r="L186" i="11"/>
  <c r="M186" i="11" s="1"/>
  <c r="O186" i="11" s="1"/>
  <c r="L185" i="11"/>
  <c r="M185" i="11" s="1"/>
  <c r="O185" i="11" s="1"/>
  <c r="L184" i="11"/>
  <c r="M184" i="11" s="1"/>
  <c r="O184" i="11" s="1"/>
  <c r="L183" i="11"/>
  <c r="M183" i="11" s="1"/>
  <c r="O183" i="11" s="1"/>
  <c r="L182" i="11"/>
  <c r="M182" i="11" s="1"/>
  <c r="O182" i="11" s="1"/>
  <c r="L181" i="11"/>
  <c r="M181" i="11" s="1"/>
  <c r="O181" i="11" s="1"/>
  <c r="L180" i="11"/>
  <c r="M180" i="11" s="1"/>
  <c r="O180" i="11" s="1"/>
  <c r="L179" i="11"/>
  <c r="M179" i="11" s="1"/>
  <c r="O179" i="11" s="1"/>
  <c r="L178" i="11"/>
  <c r="M178" i="11" s="1"/>
  <c r="O178" i="11" s="1"/>
  <c r="L177" i="11"/>
  <c r="M177" i="11" s="1"/>
  <c r="O177" i="11" s="1"/>
  <c r="L176" i="11"/>
  <c r="M176" i="11" s="1"/>
  <c r="O176" i="11" s="1"/>
  <c r="L175" i="11"/>
  <c r="M175" i="11" s="1"/>
  <c r="O175" i="11" s="1"/>
  <c r="L174" i="11"/>
  <c r="M174" i="11" s="1"/>
  <c r="O174" i="11" s="1"/>
  <c r="L173" i="11"/>
  <c r="M173" i="11" s="1"/>
  <c r="O173" i="11" s="1"/>
  <c r="L172" i="11"/>
  <c r="M172" i="11" s="1"/>
  <c r="O172" i="11" s="1"/>
  <c r="L171" i="11"/>
  <c r="M171" i="11" s="1"/>
  <c r="O171" i="11" s="1"/>
  <c r="L170" i="11"/>
  <c r="M170" i="11" s="1"/>
  <c r="O170" i="11" s="1"/>
  <c r="L169" i="11"/>
  <c r="M169" i="11" s="1"/>
  <c r="O169" i="11" s="1"/>
  <c r="L168" i="11"/>
  <c r="M168" i="11" s="1"/>
  <c r="O168" i="11" s="1"/>
  <c r="L167" i="11"/>
  <c r="M167" i="11" s="1"/>
  <c r="O167" i="11" s="1"/>
  <c r="L166" i="11"/>
  <c r="M166" i="11" s="1"/>
  <c r="O166" i="11" s="1"/>
  <c r="L165" i="11"/>
  <c r="M165" i="11" s="1"/>
  <c r="O165" i="11" s="1"/>
  <c r="L164" i="11"/>
  <c r="M164" i="11" s="1"/>
  <c r="O164" i="11" s="1"/>
  <c r="L163" i="11"/>
  <c r="M163" i="11" s="1"/>
  <c r="O163" i="11" s="1"/>
  <c r="L162" i="11"/>
  <c r="M162" i="11" s="1"/>
  <c r="O162" i="11" s="1"/>
  <c r="L161" i="11"/>
  <c r="M161" i="11" s="1"/>
  <c r="O161" i="11" s="1"/>
  <c r="L160" i="11"/>
  <c r="M160" i="11" s="1"/>
  <c r="O160" i="11" s="1"/>
  <c r="L159" i="11"/>
  <c r="M159" i="11" s="1"/>
  <c r="O159" i="11" s="1"/>
  <c r="L158" i="11"/>
  <c r="M158" i="11" s="1"/>
  <c r="O158" i="11" s="1"/>
  <c r="L157" i="11"/>
  <c r="M157" i="11" s="1"/>
  <c r="O157" i="11" s="1"/>
  <c r="L156" i="11"/>
  <c r="M156" i="11" s="1"/>
  <c r="O156" i="11" s="1"/>
  <c r="L155" i="11"/>
  <c r="M155" i="11" s="1"/>
  <c r="O155" i="11" s="1"/>
  <c r="L154" i="11"/>
  <c r="M154" i="11" s="1"/>
  <c r="O154" i="11" s="1"/>
  <c r="L153" i="11"/>
  <c r="M153" i="11" s="1"/>
  <c r="O153" i="11" s="1"/>
  <c r="L152" i="11"/>
  <c r="M152" i="11" s="1"/>
  <c r="O152" i="11" s="1"/>
  <c r="L151" i="11"/>
  <c r="M151" i="11" s="1"/>
  <c r="O151" i="11" s="1"/>
  <c r="L150" i="11"/>
  <c r="M150" i="11" s="1"/>
  <c r="O150" i="11" s="1"/>
  <c r="L149" i="11"/>
  <c r="M149" i="11" s="1"/>
  <c r="O149" i="11" s="1"/>
  <c r="L148" i="11"/>
  <c r="M148" i="11" s="1"/>
  <c r="O148" i="11" s="1"/>
  <c r="L147" i="11"/>
  <c r="M147" i="11" s="1"/>
  <c r="O147" i="11" s="1"/>
  <c r="L146" i="11"/>
  <c r="M146" i="11" s="1"/>
  <c r="O146" i="11" s="1"/>
  <c r="L145" i="11"/>
  <c r="M145" i="11" s="1"/>
  <c r="O145" i="11" s="1"/>
  <c r="L144" i="11"/>
  <c r="M144" i="11" s="1"/>
  <c r="O144" i="11" s="1"/>
  <c r="L143" i="11"/>
  <c r="M143" i="11" s="1"/>
  <c r="O143" i="11" s="1"/>
  <c r="L142" i="11"/>
  <c r="M142" i="11" s="1"/>
  <c r="O142" i="11" s="1"/>
  <c r="L141" i="11"/>
  <c r="M141" i="11" s="1"/>
  <c r="O141" i="11" s="1"/>
  <c r="L140" i="11"/>
  <c r="M140" i="11" s="1"/>
  <c r="O140" i="11" s="1"/>
  <c r="L139" i="11"/>
  <c r="M139" i="11" s="1"/>
  <c r="O139" i="11" s="1"/>
  <c r="L137" i="11"/>
  <c r="M137" i="11" s="1"/>
  <c r="O137" i="11" s="1"/>
  <c r="L136" i="11"/>
  <c r="M136" i="11" s="1"/>
  <c r="O136" i="11" s="1"/>
  <c r="L135" i="11"/>
  <c r="M135" i="11" s="1"/>
  <c r="O135" i="11" s="1"/>
  <c r="L134" i="11"/>
  <c r="M134" i="11" s="1"/>
  <c r="O134" i="11" s="1"/>
  <c r="L133" i="11"/>
  <c r="M133" i="11" s="1"/>
  <c r="O133" i="11" s="1"/>
  <c r="L132" i="11"/>
  <c r="M132" i="11" s="1"/>
  <c r="O132" i="11" s="1"/>
  <c r="L131" i="11"/>
  <c r="M131" i="11" s="1"/>
  <c r="O131" i="11" s="1"/>
  <c r="L130" i="11"/>
  <c r="M130" i="11" s="1"/>
  <c r="O130" i="11" s="1"/>
  <c r="L129" i="11"/>
  <c r="M129" i="11" s="1"/>
  <c r="O129" i="11" s="1"/>
  <c r="L128" i="11"/>
  <c r="M128" i="11" s="1"/>
  <c r="O128" i="11" s="1"/>
  <c r="L127" i="11"/>
  <c r="M127" i="11" s="1"/>
  <c r="O127" i="11" s="1"/>
  <c r="L126" i="11"/>
  <c r="M126" i="11" s="1"/>
  <c r="O126" i="11" s="1"/>
  <c r="L125" i="11"/>
  <c r="M125" i="11" s="1"/>
  <c r="O125" i="11" s="1"/>
  <c r="L124" i="11"/>
  <c r="M124" i="11" s="1"/>
  <c r="O124" i="11" s="1"/>
  <c r="L123" i="11"/>
  <c r="M123" i="11" s="1"/>
  <c r="O123" i="11" s="1"/>
  <c r="L122" i="11"/>
  <c r="M122" i="11" s="1"/>
  <c r="O122" i="11" s="1"/>
  <c r="L121" i="11"/>
  <c r="M121" i="11" s="1"/>
  <c r="O121" i="11" s="1"/>
  <c r="L120" i="11"/>
  <c r="M120" i="11" s="1"/>
  <c r="O120" i="11" s="1"/>
  <c r="L119" i="11"/>
  <c r="M119" i="11" s="1"/>
  <c r="O119" i="11" s="1"/>
  <c r="L118" i="11"/>
  <c r="M118" i="11" s="1"/>
  <c r="O118" i="11" s="1"/>
  <c r="L117" i="11"/>
  <c r="M117" i="11" s="1"/>
  <c r="O117" i="11" s="1"/>
  <c r="L115" i="11"/>
  <c r="M115" i="11" s="1"/>
  <c r="O115" i="11" s="1"/>
  <c r="L114" i="11"/>
  <c r="M114" i="11" s="1"/>
  <c r="O114" i="11" s="1"/>
  <c r="L113" i="11"/>
  <c r="M113" i="11" s="1"/>
  <c r="O113" i="11" s="1"/>
  <c r="L112" i="11"/>
  <c r="M112" i="11" s="1"/>
  <c r="O112" i="11" s="1"/>
  <c r="L111" i="11"/>
  <c r="M111" i="11" s="1"/>
  <c r="O111" i="11" s="1"/>
  <c r="L110" i="11"/>
  <c r="M110" i="11" s="1"/>
  <c r="O110" i="11" s="1"/>
  <c r="L109" i="11"/>
  <c r="M109" i="11" s="1"/>
  <c r="O109" i="11" s="1"/>
  <c r="L108" i="11"/>
  <c r="M108" i="11" s="1"/>
  <c r="O108" i="11" s="1"/>
  <c r="L107" i="11"/>
  <c r="M107" i="11" s="1"/>
  <c r="O107" i="11" s="1"/>
  <c r="L106" i="11"/>
  <c r="M106" i="11" s="1"/>
  <c r="O106" i="11" s="1"/>
  <c r="L105" i="11"/>
  <c r="M105" i="11" s="1"/>
  <c r="O105" i="11" s="1"/>
  <c r="L104" i="11"/>
  <c r="M104" i="11" s="1"/>
  <c r="O104" i="11" s="1"/>
  <c r="L103" i="11"/>
  <c r="M103" i="11" s="1"/>
  <c r="O103" i="11" s="1"/>
  <c r="L102" i="11"/>
  <c r="M102" i="11" s="1"/>
  <c r="O102" i="11" s="1"/>
  <c r="L101" i="11"/>
  <c r="M101" i="11" s="1"/>
  <c r="O101" i="11" s="1"/>
  <c r="L100" i="11"/>
  <c r="M100" i="11" s="1"/>
  <c r="O100" i="11" s="1"/>
  <c r="L99" i="11"/>
  <c r="M99" i="11" s="1"/>
  <c r="O99" i="11" s="1"/>
  <c r="L98" i="11"/>
  <c r="M98" i="11" s="1"/>
  <c r="O98" i="11" s="1"/>
  <c r="L97" i="11"/>
  <c r="M97" i="11" s="1"/>
  <c r="O97" i="11" s="1"/>
  <c r="L96" i="11"/>
  <c r="M96" i="11" s="1"/>
  <c r="O96" i="11" s="1"/>
  <c r="L95" i="11"/>
  <c r="M95" i="11" s="1"/>
  <c r="O95" i="11" s="1"/>
  <c r="L94" i="11"/>
  <c r="M94" i="11" s="1"/>
  <c r="O94" i="11" s="1"/>
  <c r="L93" i="11"/>
  <c r="M93" i="11" s="1"/>
  <c r="O93" i="11" s="1"/>
  <c r="L92" i="11"/>
  <c r="M92" i="11" s="1"/>
  <c r="O92" i="11" s="1"/>
  <c r="L91" i="11"/>
  <c r="M91" i="11" s="1"/>
  <c r="O91" i="11" s="1"/>
  <c r="L90" i="11"/>
  <c r="M90" i="11" s="1"/>
  <c r="O90" i="11" s="1"/>
  <c r="L89" i="11"/>
  <c r="M89" i="11" s="1"/>
  <c r="O89" i="11" s="1"/>
  <c r="L88" i="11"/>
  <c r="M88" i="11" s="1"/>
  <c r="O88" i="11" s="1"/>
  <c r="L87" i="11"/>
  <c r="M87" i="11" s="1"/>
  <c r="O87" i="11" s="1"/>
  <c r="L86" i="11"/>
  <c r="M86" i="11" s="1"/>
  <c r="O86" i="11" s="1"/>
  <c r="L85" i="11"/>
  <c r="M85" i="11" s="1"/>
  <c r="O85" i="11" s="1"/>
  <c r="L84" i="11"/>
  <c r="M84" i="11" s="1"/>
  <c r="O84" i="11" s="1"/>
  <c r="L83" i="11"/>
  <c r="M83" i="11" s="1"/>
  <c r="O83" i="11" s="1"/>
  <c r="L82" i="11"/>
  <c r="M82" i="11" s="1"/>
  <c r="O82" i="11" s="1"/>
  <c r="L81" i="11"/>
  <c r="M81" i="11" s="1"/>
  <c r="O81" i="11" s="1"/>
  <c r="L80" i="11"/>
  <c r="M80" i="11" s="1"/>
  <c r="O80" i="11" s="1"/>
  <c r="L79" i="11"/>
  <c r="M79" i="11" s="1"/>
  <c r="O79" i="11" s="1"/>
  <c r="L78" i="11"/>
  <c r="M78" i="11" s="1"/>
  <c r="O78" i="11" s="1"/>
  <c r="L77" i="11"/>
  <c r="M77" i="11" s="1"/>
  <c r="O77" i="11" s="1"/>
  <c r="L76" i="11"/>
  <c r="M76" i="11" s="1"/>
  <c r="O76" i="11" s="1"/>
  <c r="L75" i="11"/>
  <c r="M75" i="11" s="1"/>
  <c r="O75" i="11" s="1"/>
  <c r="L74" i="11"/>
  <c r="M74" i="11" s="1"/>
  <c r="O74" i="11" s="1"/>
  <c r="L73" i="11"/>
  <c r="M73" i="11" s="1"/>
  <c r="O73" i="11" s="1"/>
  <c r="L72" i="11"/>
  <c r="M72" i="11" s="1"/>
  <c r="O72" i="11" s="1"/>
  <c r="L71" i="11"/>
  <c r="M71" i="11" s="1"/>
  <c r="O71" i="11" s="1"/>
  <c r="L70" i="11"/>
  <c r="M70" i="11" s="1"/>
  <c r="O70" i="11" s="1"/>
  <c r="L69" i="11"/>
  <c r="M69" i="11" s="1"/>
  <c r="O69" i="11" s="1"/>
  <c r="L68" i="11"/>
  <c r="M68" i="11" s="1"/>
  <c r="O68" i="11" s="1"/>
  <c r="L67" i="11"/>
  <c r="M67" i="11" s="1"/>
  <c r="O67" i="11" s="1"/>
  <c r="L66" i="11"/>
  <c r="M66" i="11" s="1"/>
  <c r="O66" i="11" s="1"/>
  <c r="L65" i="11"/>
  <c r="M65" i="11" s="1"/>
  <c r="O65" i="11" s="1"/>
  <c r="L64" i="11"/>
  <c r="M64" i="11" s="1"/>
  <c r="O64" i="11" s="1"/>
  <c r="L63" i="11"/>
  <c r="M63" i="11" s="1"/>
  <c r="O63" i="11" s="1"/>
  <c r="L62" i="11"/>
  <c r="M62" i="11" s="1"/>
  <c r="O62" i="11" s="1"/>
  <c r="L61" i="11"/>
  <c r="M61" i="11" s="1"/>
  <c r="O61" i="11" s="1"/>
  <c r="L60" i="11"/>
  <c r="M60" i="11" s="1"/>
  <c r="O60" i="11" s="1"/>
  <c r="L59" i="11"/>
  <c r="M59" i="11" s="1"/>
  <c r="O59" i="11" s="1"/>
  <c r="L58" i="11"/>
  <c r="M58" i="11" s="1"/>
  <c r="O58" i="11" s="1"/>
  <c r="L57" i="11"/>
  <c r="M57" i="11" s="1"/>
  <c r="O57" i="11" s="1"/>
  <c r="L56" i="11"/>
  <c r="M56" i="11" s="1"/>
  <c r="O56" i="11" s="1"/>
  <c r="L55" i="11"/>
  <c r="M55" i="11" s="1"/>
  <c r="O55" i="11" s="1"/>
  <c r="L54" i="11"/>
  <c r="M54" i="11" s="1"/>
  <c r="O54" i="11" s="1"/>
  <c r="L53" i="11"/>
  <c r="M53" i="11" s="1"/>
  <c r="O53" i="11" s="1"/>
  <c r="L52" i="11"/>
  <c r="M52" i="11" s="1"/>
  <c r="O52" i="11" s="1"/>
  <c r="L51" i="11"/>
  <c r="M51" i="11" s="1"/>
  <c r="O51" i="11" s="1"/>
  <c r="L50" i="11"/>
  <c r="M50" i="11" s="1"/>
  <c r="O50" i="11" s="1"/>
  <c r="L49" i="11"/>
  <c r="M49" i="11" s="1"/>
  <c r="O49" i="11" s="1"/>
  <c r="L48" i="11"/>
  <c r="M48" i="11" s="1"/>
  <c r="O48" i="11" s="1"/>
  <c r="L47" i="11"/>
  <c r="M47" i="11" s="1"/>
  <c r="O47" i="11" s="1"/>
  <c r="L46" i="11"/>
  <c r="M46" i="11" s="1"/>
  <c r="O46" i="11" s="1"/>
  <c r="L45" i="11"/>
  <c r="M45" i="11" s="1"/>
  <c r="O45" i="11" s="1"/>
  <c r="L44" i="11"/>
  <c r="M44" i="11" s="1"/>
  <c r="O44" i="11" s="1"/>
  <c r="L43" i="11"/>
  <c r="M43" i="11" s="1"/>
  <c r="O43" i="11" s="1"/>
  <c r="L42" i="11"/>
  <c r="M42" i="11" s="1"/>
  <c r="O42" i="11" s="1"/>
  <c r="L41" i="11"/>
  <c r="M41" i="11" s="1"/>
  <c r="O41" i="11" s="1"/>
  <c r="L40" i="11"/>
  <c r="M40" i="11" s="1"/>
  <c r="O40" i="11" s="1"/>
  <c r="L39" i="11"/>
  <c r="M39" i="11" s="1"/>
  <c r="O39" i="11" s="1"/>
  <c r="L38" i="11"/>
  <c r="M38" i="11" s="1"/>
  <c r="O38" i="11" s="1"/>
  <c r="L37" i="11"/>
  <c r="M37" i="11" s="1"/>
  <c r="O37" i="11" s="1"/>
  <c r="L36" i="11"/>
  <c r="M36" i="11" s="1"/>
  <c r="O36" i="11" s="1"/>
  <c r="L35" i="11"/>
  <c r="M35" i="11" s="1"/>
  <c r="O35" i="11" s="1"/>
  <c r="L34" i="11"/>
  <c r="M34" i="11" s="1"/>
  <c r="O34" i="11" s="1"/>
  <c r="L33" i="11"/>
  <c r="M33" i="11" s="1"/>
  <c r="O33" i="11" s="1"/>
  <c r="L32" i="11"/>
  <c r="M32" i="11" s="1"/>
  <c r="O32" i="11" s="1"/>
  <c r="L31" i="11"/>
  <c r="M31" i="11" s="1"/>
  <c r="O31" i="11" s="1"/>
  <c r="L30" i="11"/>
  <c r="M30" i="11" s="1"/>
  <c r="O30" i="11" s="1"/>
  <c r="L29" i="11"/>
  <c r="M29" i="11" s="1"/>
  <c r="O29" i="11" s="1"/>
  <c r="L28" i="11"/>
  <c r="M28" i="11" s="1"/>
  <c r="O28" i="11" s="1"/>
  <c r="L27" i="11"/>
  <c r="M27" i="11" s="1"/>
  <c r="O27" i="11" s="1"/>
  <c r="L26" i="11"/>
  <c r="M26" i="11" s="1"/>
  <c r="O26" i="11" s="1"/>
  <c r="L25" i="11"/>
  <c r="M25" i="11" s="1"/>
  <c r="O25" i="11" s="1"/>
  <c r="L24" i="11"/>
  <c r="M24" i="11" s="1"/>
  <c r="O24" i="11" s="1"/>
  <c r="L23" i="11"/>
  <c r="M23" i="11" s="1"/>
  <c r="O23" i="11" s="1"/>
  <c r="L22" i="11"/>
  <c r="M22" i="11" s="1"/>
  <c r="O22" i="11" s="1"/>
  <c r="L21" i="11"/>
  <c r="M21" i="11" s="1"/>
  <c r="O21" i="11" s="1"/>
  <c r="L20" i="11"/>
  <c r="M20" i="11" s="1"/>
  <c r="O20" i="11" s="1"/>
  <c r="L19" i="11"/>
  <c r="M19" i="11" s="1"/>
  <c r="O19" i="11" s="1"/>
  <c r="L18" i="11"/>
  <c r="M18" i="11" s="1"/>
  <c r="O18" i="11" s="1"/>
  <c r="L17" i="11"/>
  <c r="M17" i="11" s="1"/>
  <c r="O17" i="11" s="1"/>
  <c r="L14" i="11"/>
  <c r="M14" i="11" s="1"/>
  <c r="O14" i="11" s="1"/>
  <c r="L13" i="11"/>
  <c r="M13" i="11" s="1"/>
  <c r="O13" i="11" s="1"/>
  <c r="L12" i="11"/>
  <c r="M12" i="11" s="1"/>
  <c r="O12" i="11" s="1"/>
  <c r="L11" i="11"/>
  <c r="M11" i="11" s="1"/>
  <c r="O11" i="11" s="1"/>
  <c r="L10" i="11"/>
  <c r="M10" i="11" s="1"/>
  <c r="O10" i="11" s="1"/>
  <c r="L9" i="11"/>
  <c r="M9" i="11" s="1"/>
  <c r="O9" i="11" s="1"/>
  <c r="L8" i="11"/>
  <c r="M8" i="11" s="1"/>
  <c r="O8" i="11" s="1"/>
  <c r="L7" i="11"/>
  <c r="M7" i="11" s="1"/>
  <c r="O7" i="11" s="1"/>
  <c r="L6" i="11"/>
  <c r="M6" i="11" s="1"/>
  <c r="O6" i="11" s="1"/>
  <c r="L5" i="11"/>
  <c r="M5" i="11" s="1"/>
  <c r="O5" i="11" s="1"/>
  <c r="I1690" i="11" l="1"/>
  <c r="I1706" i="11"/>
  <c r="F39" i="33"/>
  <c r="AD33" i="32"/>
  <c r="AD88" i="32"/>
  <c r="I20" i="34"/>
  <c r="G26" i="34"/>
  <c r="I26" i="34" s="1"/>
  <c r="Q188" i="34"/>
  <c r="O193" i="34"/>
  <c r="Q193" i="34" s="1"/>
  <c r="J69" i="34"/>
  <c r="H75" i="34"/>
  <c r="J75" i="34" s="1"/>
  <c r="G179" i="34"/>
  <c r="I179" i="34" s="1"/>
  <c r="P48" i="32"/>
  <c r="P50" i="32" s="1"/>
  <c r="P51" i="32" s="1"/>
  <c r="P55" i="32" s="1"/>
  <c r="H48" i="32"/>
  <c r="H50" i="32" s="1"/>
  <c r="H51" i="32" s="1"/>
  <c r="H55" i="32" s="1"/>
  <c r="X48" i="32"/>
  <c r="X50" i="32" s="1"/>
  <c r="X51" i="32" s="1"/>
  <c r="X55" i="32" s="1"/>
  <c r="J48" i="32"/>
  <c r="J50" i="32" s="1"/>
  <c r="J51" i="32" s="1"/>
  <c r="J55" i="32" s="1"/>
  <c r="Z48" i="32"/>
  <c r="Z50" i="32" s="1"/>
  <c r="Z51" i="32" s="1"/>
  <c r="Z55" i="32" s="1"/>
  <c r="G68" i="34"/>
  <c r="I68" i="34" s="1"/>
  <c r="G96" i="34"/>
  <c r="I96" i="34" s="1"/>
  <c r="G40" i="34"/>
  <c r="I40" i="34" s="1"/>
  <c r="G54" i="34"/>
  <c r="I54" i="34" s="1"/>
  <c r="G82" i="34"/>
  <c r="AB48" i="32"/>
  <c r="AB50" i="32" s="1"/>
  <c r="AB51" i="32" s="1"/>
  <c r="AB55" i="32" s="1"/>
  <c r="N48" i="32"/>
  <c r="N50" i="32" s="1"/>
  <c r="N51" i="32" s="1"/>
  <c r="N55" i="32" s="1"/>
  <c r="AD46" i="32"/>
  <c r="G33" i="34"/>
  <c r="I33" i="34" s="1"/>
  <c r="G47" i="34"/>
  <c r="I47" i="34" s="1"/>
  <c r="G61" i="34"/>
  <c r="I61" i="34" s="1"/>
  <c r="G75" i="34"/>
  <c r="I75" i="34" s="1"/>
  <c r="G89" i="34"/>
  <c r="I89" i="34" s="1"/>
  <c r="G103" i="34"/>
  <c r="I103" i="34" s="1"/>
  <c r="R48" i="32"/>
  <c r="R50" i="32" s="1"/>
  <c r="R51" i="32" s="1"/>
  <c r="R55" i="32" s="1"/>
  <c r="H89" i="34"/>
  <c r="J89" i="34" s="1"/>
  <c r="O26" i="34"/>
  <c r="Q26" i="34" s="1"/>
  <c r="O40" i="34"/>
  <c r="Q40" i="34" s="1"/>
  <c r="O54" i="34"/>
  <c r="Q54" i="34" s="1"/>
  <c r="V48" i="32"/>
  <c r="V50" i="32" s="1"/>
  <c r="V51" i="32" s="1"/>
  <c r="V55" i="32" s="1"/>
  <c r="O96" i="34"/>
  <c r="Q96" i="34" s="1"/>
  <c r="O103" i="34"/>
  <c r="Q103" i="34" s="1"/>
  <c r="O47" i="34"/>
  <c r="Q47" i="34" s="1"/>
  <c r="O61" i="34"/>
  <c r="Q61" i="34" s="1"/>
  <c r="I1694" i="11"/>
  <c r="I1702" i="11"/>
  <c r="E78" i="33"/>
  <c r="I78" i="33" s="1"/>
  <c r="AC61" i="32"/>
  <c r="E79" i="33" s="1"/>
  <c r="H66" i="33"/>
  <c r="H68" i="33" s="1"/>
  <c r="H69" i="33" s="1"/>
  <c r="H73" i="33" s="1"/>
  <c r="O33" i="34"/>
  <c r="Q33" i="34" s="1"/>
  <c r="O89" i="34"/>
  <c r="Q89" i="34" s="1"/>
  <c r="H33" i="34"/>
  <c r="J33" i="34" s="1"/>
  <c r="H47" i="34"/>
  <c r="J47" i="34" s="1"/>
  <c r="H61" i="34"/>
  <c r="J61" i="34" s="1"/>
  <c r="H82" i="34"/>
  <c r="J82" i="34" s="1"/>
  <c r="H103" i="34"/>
  <c r="J103" i="34" s="1"/>
  <c r="P26" i="34"/>
  <c r="R26" i="34" s="1"/>
  <c r="P33" i="34"/>
  <c r="R33" i="34" s="1"/>
  <c r="P40" i="34"/>
  <c r="R40" i="34" s="1"/>
  <c r="P82" i="34"/>
  <c r="R82" i="34" s="1"/>
  <c r="P89" i="34"/>
  <c r="R89" i="34" s="1"/>
  <c r="P96" i="34"/>
  <c r="R96" i="34" s="1"/>
  <c r="P103" i="34"/>
  <c r="M22" i="28"/>
  <c r="M35" i="28" s="1"/>
  <c r="M24" i="28"/>
  <c r="H30" i="29"/>
  <c r="L48" i="32"/>
  <c r="L50" i="32" s="1"/>
  <c r="L51" i="32" s="1"/>
  <c r="L55" i="32" s="1"/>
  <c r="T48" i="32"/>
  <c r="T50" i="32" s="1"/>
  <c r="T51" i="32" s="1"/>
  <c r="T55" i="32" s="1"/>
  <c r="I76" i="34"/>
  <c r="E56" i="28"/>
  <c r="H55" i="28"/>
  <c r="H56" i="28" s="1"/>
  <c r="M30" i="26"/>
  <c r="M34" i="26" s="1"/>
  <c r="AC64" i="32"/>
  <c r="E82" i="33" s="1"/>
  <c r="E74" i="33"/>
  <c r="I74" i="33" s="1"/>
  <c r="H96" i="34"/>
  <c r="J96" i="34" s="1"/>
  <c r="J90" i="34"/>
  <c r="R41" i="34"/>
  <c r="P47" i="34"/>
  <c r="R47" i="34" s="1"/>
  <c r="P54" i="34"/>
  <c r="R54" i="34" s="1"/>
  <c r="R48" i="34"/>
  <c r="L30" i="26"/>
  <c r="L53" i="26"/>
  <c r="E48" i="28"/>
  <c r="E81" i="33"/>
  <c r="I81" i="33" s="1"/>
  <c r="E195" i="34"/>
  <c r="L22" i="28"/>
  <c r="L24" i="28"/>
  <c r="F64" i="33"/>
  <c r="R20" i="34"/>
  <c r="E105" i="34"/>
  <c r="F195" i="34"/>
  <c r="F48" i="32"/>
  <c r="F50" i="32" s="1"/>
  <c r="F51" i="32" s="1"/>
  <c r="F55" i="32" s="1"/>
  <c r="H65" i="37"/>
  <c r="H67" i="37" s="1"/>
  <c r="H68" i="37" s="1"/>
  <c r="H72" i="37" s="1"/>
  <c r="F105" i="34"/>
  <c r="I82" i="34"/>
  <c r="I1682" i="11"/>
  <c r="I1688" i="11"/>
  <c r="I1700" i="11"/>
  <c r="I1689" i="11"/>
  <c r="I1695" i="11"/>
  <c r="I1701" i="11"/>
  <c r="I1707" i="11"/>
  <c r="I1708" i="11"/>
  <c r="I395" i="11"/>
  <c r="C396" i="70" s="1"/>
  <c r="J401" i="11"/>
  <c r="J405" i="11"/>
  <c r="I407" i="11"/>
  <c r="J411" i="11"/>
  <c r="J413" i="11"/>
  <c r="J419" i="11"/>
  <c r="I423" i="11"/>
  <c r="I425" i="11"/>
  <c r="J431" i="11"/>
  <c r="J437" i="11"/>
  <c r="J441" i="11"/>
  <c r="I443" i="11"/>
  <c r="I447" i="11"/>
  <c r="J449" i="11"/>
  <c r="J453" i="11"/>
  <c r="I455" i="11"/>
  <c r="J461" i="11"/>
  <c r="J465" i="11"/>
  <c r="J467" i="11"/>
  <c r="I473" i="11"/>
  <c r="J477" i="11"/>
  <c r="I479" i="11"/>
  <c r="I485" i="11"/>
  <c r="J491" i="11"/>
  <c r="I497" i="11"/>
  <c r="I503" i="11"/>
  <c r="I509" i="11"/>
  <c r="I513" i="11"/>
  <c r="I515" i="11"/>
  <c r="I521" i="11"/>
  <c r="I527" i="11"/>
  <c r="J533" i="11"/>
  <c r="I539" i="11"/>
  <c r="I543" i="11"/>
  <c r="I545" i="11"/>
  <c r="I551" i="11"/>
  <c r="I557" i="11"/>
  <c r="I563" i="11"/>
  <c r="I569" i="11"/>
  <c r="I575" i="11"/>
  <c r="J581" i="11"/>
  <c r="I585" i="11"/>
  <c r="I587" i="11"/>
  <c r="I593" i="11"/>
  <c r="J597" i="11"/>
  <c r="I599" i="11"/>
  <c r="J609" i="11"/>
  <c r="J611" i="11"/>
  <c r="J617" i="11"/>
  <c r="J623" i="11"/>
  <c r="I629" i="11"/>
  <c r="J633" i="11"/>
  <c r="I635" i="11"/>
  <c r="J639" i="11"/>
  <c r="I651" i="11"/>
  <c r="I657" i="11"/>
  <c r="I693" i="11"/>
  <c r="I699" i="11"/>
  <c r="I705" i="11"/>
  <c r="I711" i="11"/>
  <c r="J729" i="11"/>
  <c r="I825" i="11"/>
  <c r="I837" i="11"/>
  <c r="J855" i="11"/>
  <c r="I861" i="11"/>
  <c r="J915" i="11"/>
  <c r="J921" i="11"/>
  <c r="I933" i="11"/>
  <c r="I951" i="11"/>
  <c r="I999" i="11"/>
  <c r="J1065" i="11"/>
  <c r="J1089" i="11"/>
  <c r="I1113" i="11"/>
  <c r="J1137" i="11"/>
  <c r="I1305" i="11"/>
  <c r="I1323" i="11"/>
  <c r="J1329" i="11"/>
  <c r="J1359" i="11"/>
  <c r="J1401" i="11"/>
  <c r="I1413" i="11"/>
  <c r="I1431" i="11"/>
  <c r="I1437" i="11"/>
  <c r="J1443" i="11"/>
  <c r="J1449" i="11"/>
  <c r="I1455" i="11"/>
  <c r="I1503" i="11"/>
  <c r="J1521" i="11"/>
  <c r="I1527" i="11"/>
  <c r="I1533" i="11"/>
  <c r="J1539" i="11"/>
  <c r="I1551" i="11"/>
  <c r="I1557" i="11"/>
  <c r="J1563" i="11"/>
  <c r="J1569" i="11"/>
  <c r="I1575" i="11"/>
  <c r="I1581" i="11"/>
  <c r="I1587" i="11"/>
  <c r="J1593" i="11"/>
  <c r="I1597" i="11"/>
  <c r="I1599" i="11"/>
  <c r="J1605" i="11"/>
  <c r="I1611" i="11"/>
  <c r="J1617" i="11"/>
  <c r="J1623" i="11"/>
  <c r="J1629" i="11"/>
  <c r="I1633" i="11"/>
  <c r="I1635" i="11"/>
  <c r="I1639" i="11"/>
  <c r="I1641" i="11"/>
  <c r="J1647" i="11"/>
  <c r="I1651" i="11"/>
  <c r="I1653" i="11"/>
  <c r="I1657" i="11"/>
  <c r="J1659" i="11"/>
  <c r="J1663" i="11"/>
  <c r="I1665" i="11"/>
  <c r="I1671" i="11"/>
  <c r="I1675" i="11"/>
  <c r="I1677" i="11"/>
  <c r="I1683" i="11"/>
  <c r="J396" i="11"/>
  <c r="J400" i="11"/>
  <c r="J402" i="11"/>
  <c r="J408" i="11"/>
  <c r="I412" i="11"/>
  <c r="J414" i="11"/>
  <c r="I420" i="11"/>
  <c r="J426" i="11"/>
  <c r="J432" i="11"/>
  <c r="I438" i="11"/>
  <c r="I444" i="11"/>
  <c r="I448" i="11"/>
  <c r="I450" i="11"/>
  <c r="I454" i="11"/>
  <c r="J456" i="11"/>
  <c r="I462" i="11"/>
  <c r="J466" i="11"/>
  <c r="I468" i="11"/>
  <c r="I478" i="11"/>
  <c r="J480" i="11"/>
  <c r="I486" i="11"/>
  <c r="I504" i="11"/>
  <c r="I520" i="11"/>
  <c r="I522" i="11"/>
  <c r="J532" i="11"/>
  <c r="J534" i="11"/>
  <c r="I540" i="11"/>
  <c r="I544" i="11"/>
  <c r="I546" i="11"/>
  <c r="I552" i="11"/>
  <c r="I558" i="11"/>
  <c r="I564" i="11"/>
  <c r="J570" i="11"/>
  <c r="J576" i="11"/>
  <c r="J586" i="11"/>
  <c r="I588" i="11"/>
  <c r="I592" i="11"/>
  <c r="I600" i="11"/>
  <c r="J610" i="11"/>
  <c r="I612" i="11"/>
  <c r="I624" i="11"/>
  <c r="J630" i="11"/>
  <c r="J634" i="11"/>
  <c r="I636" i="11"/>
  <c r="I640" i="11"/>
  <c r="I642" i="11"/>
  <c r="J646" i="11"/>
  <c r="J648" i="11"/>
  <c r="J654" i="11"/>
  <c r="J660" i="11"/>
  <c r="I664" i="11"/>
  <c r="I666" i="11"/>
  <c r="J672" i="11"/>
  <c r="J676" i="11"/>
  <c r="J678" i="11"/>
  <c r="I684" i="11"/>
  <c r="J690" i="11"/>
  <c r="J696" i="11"/>
  <c r="I702" i="11"/>
  <c r="J708" i="11"/>
  <c r="I720" i="11"/>
  <c r="I726" i="11"/>
  <c r="J732" i="11"/>
  <c r="I738" i="11"/>
  <c r="I744" i="11"/>
  <c r="I754" i="11"/>
  <c r="J756" i="11"/>
  <c r="I762" i="11"/>
  <c r="I766" i="11"/>
  <c r="I768" i="11"/>
  <c r="I772" i="11"/>
  <c r="I774" i="11"/>
  <c r="I778" i="11"/>
  <c r="I780" i="11"/>
  <c r="I784" i="11"/>
  <c r="I786" i="11"/>
  <c r="I790" i="11"/>
  <c r="I792" i="11"/>
  <c r="I796" i="11"/>
  <c r="I798" i="11"/>
  <c r="J802" i="11"/>
  <c r="I804" i="11"/>
  <c r="I810" i="11"/>
  <c r="I814" i="11"/>
  <c r="I816" i="11"/>
  <c r="I826" i="11"/>
  <c r="I868" i="11"/>
  <c r="J876" i="11"/>
  <c r="I882" i="11"/>
  <c r="J894" i="11"/>
  <c r="J906" i="11"/>
  <c r="D40" i="46"/>
  <c r="D41" i="46"/>
  <c r="D27" i="46"/>
  <c r="D28" i="46"/>
  <c r="J918" i="11"/>
  <c r="J922" i="11"/>
  <c r="I930" i="11"/>
  <c r="J936" i="11"/>
  <c r="I942" i="11"/>
  <c r="I954" i="11"/>
  <c r="I960" i="11"/>
  <c r="J978" i="11"/>
  <c r="J990" i="11"/>
  <c r="I996" i="11"/>
  <c r="J1002" i="11"/>
  <c r="I1014" i="11"/>
  <c r="I1026" i="11"/>
  <c r="I1036" i="11"/>
  <c r="J1038" i="11"/>
  <c r="J1044" i="11"/>
  <c r="J1050" i="11"/>
  <c r="J1056" i="11"/>
  <c r="J1062" i="11"/>
  <c r="I1068" i="11"/>
  <c r="I1072" i="11"/>
  <c r="J1074" i="11"/>
  <c r="I1078" i="11"/>
  <c r="I1080" i="11"/>
  <c r="I1086" i="11"/>
  <c r="I1090" i="11"/>
  <c r="J1092" i="11"/>
  <c r="I1098" i="11"/>
  <c r="I1102" i="11"/>
  <c r="I1104" i="11"/>
  <c r="J1128" i="11"/>
  <c r="I1134" i="11"/>
  <c r="I1140" i="11"/>
  <c r="I1152" i="11"/>
  <c r="J1158" i="11"/>
  <c r="J1164" i="11"/>
  <c r="I1170" i="11"/>
  <c r="J1342" i="11"/>
  <c r="J1370" i="11"/>
  <c r="J1378" i="11"/>
  <c r="J1382" i="11"/>
  <c r="J1388" i="11"/>
  <c r="J1390" i="11"/>
  <c r="I1396" i="11"/>
  <c r="I1406" i="11"/>
  <c r="J1418" i="11"/>
  <c r="J1424" i="11"/>
  <c r="I1432" i="11"/>
  <c r="J1444" i="11"/>
  <c r="J1454" i="11"/>
  <c r="I1460" i="11"/>
  <c r="J1496" i="11"/>
  <c r="J1508" i="11"/>
  <c r="I1510" i="11"/>
  <c r="I1532" i="11"/>
  <c r="J1534" i="11"/>
  <c r="I1538" i="11"/>
  <c r="J1544" i="11"/>
  <c r="I1550" i="11"/>
  <c r="J1568" i="11"/>
  <c r="J1570" i="11"/>
  <c r="J1574" i="11"/>
  <c r="J1580" i="11"/>
  <c r="I1586" i="11"/>
  <c r="I1592" i="11"/>
  <c r="I1598" i="11"/>
  <c r="I1600" i="11"/>
  <c r="I1604" i="11"/>
  <c r="J1606" i="11"/>
  <c r="I1610" i="11"/>
  <c r="I1616" i="11"/>
  <c r="I1618" i="11"/>
  <c r="I1622" i="11"/>
  <c r="J1628" i="11"/>
  <c r="J1630" i="11"/>
  <c r="J1634" i="11"/>
  <c r="J1640" i="11"/>
  <c r="J1642" i="11"/>
  <c r="J1646" i="11"/>
  <c r="J1652" i="11"/>
  <c r="I1658" i="11"/>
  <c r="J1664" i="11"/>
  <c r="I1670" i="11"/>
  <c r="I1676" i="11"/>
  <c r="I1696" i="11"/>
  <c r="O391" i="11"/>
  <c r="AB92" i="2"/>
  <c r="AB91" i="2"/>
  <c r="AB88" i="2"/>
  <c r="J1592" i="11"/>
  <c r="J1599" i="11"/>
  <c r="I1569" i="11"/>
  <c r="J1581" i="11"/>
  <c r="I1563" i="11"/>
  <c r="I641" i="11"/>
  <c r="I647" i="11"/>
  <c r="I653" i="11"/>
  <c r="J659" i="11"/>
  <c r="J665" i="11"/>
  <c r="I671" i="11"/>
  <c r="J677" i="11"/>
  <c r="J683" i="11"/>
  <c r="I689" i="11"/>
  <c r="J695" i="11"/>
  <c r="J701" i="11"/>
  <c r="I707" i="11"/>
  <c r="J713" i="11"/>
  <c r="I719" i="11"/>
  <c r="J725" i="11"/>
  <c r="I731" i="11"/>
  <c r="I737" i="11"/>
  <c r="I743" i="11"/>
  <c r="J749" i="11"/>
  <c r="I755" i="11"/>
  <c r="I761" i="11"/>
  <c r="I767" i="11"/>
  <c r="I773" i="11"/>
  <c r="I779" i="11"/>
  <c r="I785" i="11"/>
  <c r="I791" i="11"/>
  <c r="J797" i="11"/>
  <c r="J803" i="11"/>
  <c r="J809" i="11"/>
  <c r="J815" i="11"/>
  <c r="J821" i="11"/>
  <c r="J827" i="11"/>
  <c r="J833" i="11"/>
  <c r="I839" i="11"/>
  <c r="J845" i="11"/>
  <c r="J851" i="11"/>
  <c r="J857" i="11"/>
  <c r="I863" i="11"/>
  <c r="J869" i="11"/>
  <c r="J875" i="11"/>
  <c r="I881" i="11"/>
  <c r="J887" i="11"/>
  <c r="I893" i="11"/>
  <c r="J899" i="11"/>
  <c r="J905" i="11"/>
  <c r="J911" i="11"/>
  <c r="J917" i="11"/>
  <c r="J923" i="11"/>
  <c r="J929" i="11"/>
  <c r="J935" i="11"/>
  <c r="J941" i="11"/>
  <c r="J947" i="11"/>
  <c r="J953" i="11"/>
  <c r="J959" i="11"/>
  <c r="J965" i="11"/>
  <c r="J971" i="11"/>
  <c r="J977" i="11"/>
  <c r="J983" i="11"/>
  <c r="J989" i="11"/>
  <c r="I995" i="11"/>
  <c r="I1001" i="11"/>
  <c r="I1007" i="11"/>
  <c r="I1013" i="11"/>
  <c r="I1019" i="11"/>
  <c r="I1025" i="11"/>
  <c r="I1031" i="11"/>
  <c r="J1097" i="11"/>
  <c r="I1133" i="11"/>
  <c r="I1145" i="11"/>
  <c r="J1265" i="11"/>
  <c r="J1343" i="11"/>
  <c r="I1397" i="11"/>
  <c r="I1427" i="11"/>
  <c r="J1505" i="11"/>
  <c r="J1511" i="11"/>
  <c r="J1517" i="11"/>
  <c r="I1559" i="11"/>
  <c r="I1565" i="11"/>
  <c r="I1595" i="11"/>
  <c r="I1625" i="11"/>
  <c r="I1661" i="11"/>
  <c r="I1691" i="11"/>
  <c r="I1697" i="11"/>
  <c r="I1703" i="11"/>
  <c r="J1709" i="11"/>
  <c r="J1176" i="11"/>
  <c r="J1182" i="11"/>
  <c r="I1188" i="11"/>
  <c r="J1194" i="11"/>
  <c r="J1200" i="11"/>
  <c r="I1206" i="11"/>
  <c r="J1212" i="11"/>
  <c r="I1218" i="11"/>
  <c r="J1224" i="11"/>
  <c r="I1236" i="11"/>
  <c r="J1242" i="11"/>
  <c r="I1248" i="11"/>
  <c r="J1254" i="11"/>
  <c r="I1266" i="11"/>
  <c r="J1272" i="11"/>
  <c r="J1278" i="11"/>
  <c r="I1284" i="11"/>
  <c r="J1290" i="11"/>
  <c r="J1296" i="11"/>
  <c r="I1314" i="11"/>
  <c r="I1320" i="11"/>
  <c r="I1326" i="11"/>
  <c r="J1332" i="11"/>
  <c r="J1344" i="11"/>
  <c r="J1356" i="11"/>
  <c r="I1362" i="11"/>
  <c r="I1506" i="11"/>
  <c r="I1686" i="11"/>
  <c r="D29" i="60"/>
  <c r="D28" i="60"/>
  <c r="J392" i="11"/>
  <c r="D393" i="70" s="1"/>
  <c r="J404" i="11"/>
  <c r="I410" i="11"/>
  <c r="J416" i="11"/>
  <c r="J422" i="11"/>
  <c r="I434" i="11"/>
  <c r="I440" i="11"/>
  <c r="I446" i="11"/>
  <c r="J452" i="11"/>
  <c r="J458" i="11"/>
  <c r="I470" i="11"/>
  <c r="I482" i="11"/>
  <c r="I494" i="11"/>
  <c r="J500" i="11"/>
  <c r="I506" i="11"/>
  <c r="I518" i="11"/>
  <c r="J524" i="11"/>
  <c r="I530" i="11"/>
  <c r="I536" i="11"/>
  <c r="I542" i="11"/>
  <c r="I548" i="11"/>
  <c r="I554" i="11"/>
  <c r="I560" i="11"/>
  <c r="I566" i="11"/>
  <c r="I572" i="11"/>
  <c r="I578" i="11"/>
  <c r="I584" i="11"/>
  <c r="J590" i="11"/>
  <c r="I596" i="11"/>
  <c r="I602" i="11"/>
  <c r="J608" i="11"/>
  <c r="J614" i="11"/>
  <c r="J620" i="11"/>
  <c r="I626" i="11"/>
  <c r="I632" i="11"/>
  <c r="I638" i="11"/>
  <c r="J644" i="11"/>
  <c r="I650" i="11"/>
  <c r="I656" i="11"/>
  <c r="I662" i="11"/>
  <c r="I668" i="11"/>
  <c r="I674" i="11"/>
  <c r="I680" i="11"/>
  <c r="I686" i="11"/>
  <c r="I692" i="11"/>
  <c r="I698" i="11"/>
  <c r="I704" i="11"/>
  <c r="I710" i="11"/>
  <c r="I716" i="11"/>
  <c r="I722" i="11"/>
  <c r="J728" i="11"/>
  <c r="J734" i="11"/>
  <c r="J740" i="11"/>
  <c r="I746" i="11"/>
  <c r="J752" i="11"/>
  <c r="J758" i="11"/>
  <c r="I764" i="11"/>
  <c r="I770" i="11"/>
  <c r="I776" i="11"/>
  <c r="I782" i="11"/>
  <c r="I788" i="11"/>
  <c r="I794" i="11"/>
  <c r="J800" i="11"/>
  <c r="J806" i="11"/>
  <c r="J812" i="11"/>
  <c r="J818" i="11"/>
  <c r="J824" i="11"/>
  <c r="I830" i="11"/>
  <c r="J836" i="11"/>
  <c r="J842" i="11"/>
  <c r="J848" i="11"/>
  <c r="J854" i="11"/>
  <c r="J860" i="11"/>
  <c r="J866" i="11"/>
  <c r="J872" i="11"/>
  <c r="I878" i="11"/>
  <c r="I884" i="11"/>
  <c r="J890" i="11"/>
  <c r="J896" i="11"/>
  <c r="I902" i="11"/>
  <c r="J914" i="11"/>
  <c r="J920" i="11"/>
  <c r="I926" i="11"/>
  <c r="J932" i="11"/>
  <c r="J938" i="11"/>
  <c r="J944" i="11"/>
  <c r="J950" i="11"/>
  <c r="J956" i="11"/>
  <c r="I962" i="11"/>
  <c r="J968" i="11"/>
  <c r="J974" i="11"/>
  <c r="I980" i="11"/>
  <c r="J986" i="11"/>
  <c r="I992" i="11"/>
  <c r="J1142" i="11"/>
  <c r="J1160" i="11"/>
  <c r="I1172" i="11"/>
  <c r="J1178" i="11"/>
  <c r="J1184" i="11"/>
  <c r="J1550" i="11"/>
  <c r="I1556" i="11"/>
  <c r="J1562" i="11"/>
  <c r="I1568" i="11"/>
  <c r="N1568" i="11" s="1"/>
  <c r="J1215" i="11"/>
  <c r="I1221" i="11"/>
  <c r="I1227" i="11"/>
  <c r="J1233" i="11"/>
  <c r="J1239" i="11"/>
  <c r="J1245" i="11"/>
  <c r="J1251" i="11"/>
  <c r="I1257" i="11"/>
  <c r="J1263" i="11"/>
  <c r="J1269" i="11"/>
  <c r="I1275" i="11"/>
  <c r="J1281" i="11"/>
  <c r="J1287" i="11"/>
  <c r="I1293" i="11"/>
  <c r="J1299" i="11"/>
  <c r="J1305" i="11"/>
  <c r="N1305" i="11" s="1"/>
  <c r="I411" i="11"/>
  <c r="J417" i="11"/>
  <c r="J423" i="11"/>
  <c r="I429" i="11"/>
  <c r="J435" i="11"/>
  <c r="I441" i="11"/>
  <c r="J447" i="11"/>
  <c r="I453" i="11"/>
  <c r="J459" i="11"/>
  <c r="I465" i="11"/>
  <c r="I471" i="11"/>
  <c r="I477" i="11"/>
  <c r="J483" i="11"/>
  <c r="J489" i="11"/>
  <c r="I495" i="11"/>
  <c r="J507" i="11"/>
  <c r="J525" i="11"/>
  <c r="I531" i="11"/>
  <c r="I549" i="11"/>
  <c r="I555" i="11"/>
  <c r="I561" i="11"/>
  <c r="I567" i="11"/>
  <c r="J579" i="11"/>
  <c r="J585" i="11"/>
  <c r="J591" i="11"/>
  <c r="I597" i="11"/>
  <c r="N597" i="11" s="1"/>
  <c r="I603" i="11"/>
  <c r="I609" i="11"/>
  <c r="N609" i="11" s="1"/>
  <c r="J615" i="11"/>
  <c r="J621" i="11"/>
  <c r="I627" i="11"/>
  <c r="I633" i="11"/>
  <c r="I645" i="11"/>
  <c r="J651" i="11"/>
  <c r="I663" i="11"/>
  <c r="I669" i="11"/>
  <c r="I675" i="11"/>
  <c r="J681" i="11"/>
  <c r="I687" i="11"/>
  <c r="J699" i="11"/>
  <c r="J705" i="11"/>
  <c r="J711" i="11"/>
  <c r="I717" i="11"/>
  <c r="J723" i="11"/>
  <c r="J1029" i="11"/>
  <c r="J1035" i="11"/>
  <c r="J1041" i="11"/>
  <c r="J1047" i="11"/>
  <c r="J1053" i="11"/>
  <c r="J1059" i="11"/>
  <c r="I1077" i="11"/>
  <c r="J1083" i="11"/>
  <c r="I1089" i="11"/>
  <c r="I1095" i="11"/>
  <c r="J1125" i="11"/>
  <c r="I1137" i="11"/>
  <c r="J1149" i="11"/>
  <c r="J1155" i="11"/>
  <c r="I1161" i="11"/>
  <c r="J1167" i="11"/>
  <c r="J1173" i="11"/>
  <c r="I1179" i="11"/>
  <c r="J1185" i="11"/>
  <c r="J1191" i="11"/>
  <c r="I1197" i="11"/>
  <c r="J1203" i="11"/>
  <c r="J1209" i="11"/>
  <c r="J828" i="11"/>
  <c r="J1374" i="11"/>
  <c r="J1398" i="11"/>
  <c r="J1416" i="11"/>
  <c r="J1422" i="11"/>
  <c r="J1428" i="11"/>
  <c r="J1434" i="11"/>
  <c r="J1440" i="11"/>
  <c r="J1446" i="11"/>
  <c r="J1452" i="11"/>
  <c r="J1458" i="11"/>
  <c r="J1464" i="11"/>
  <c r="J1476" i="11"/>
  <c r="J1482" i="11"/>
  <c r="J1488" i="11"/>
  <c r="J1494" i="11"/>
  <c r="J1500" i="11"/>
  <c r="J1512" i="11"/>
  <c r="I1524" i="11"/>
  <c r="I1530" i="11"/>
  <c r="I1536" i="11"/>
  <c r="I1542" i="11"/>
  <c r="I1548" i="11"/>
  <c r="I1560" i="11"/>
  <c r="I1566" i="11"/>
  <c r="J1572" i="11"/>
  <c r="I1578" i="11"/>
  <c r="I1584" i="11"/>
  <c r="I1590" i="11"/>
  <c r="J1614" i="11"/>
  <c r="J1620" i="11"/>
  <c r="J1626" i="11"/>
  <c r="J1632" i="11"/>
  <c r="J1638" i="11"/>
  <c r="I1644" i="11"/>
  <c r="J1650" i="11"/>
  <c r="J1656" i="11"/>
  <c r="I1668" i="11"/>
  <c r="I1674" i="11"/>
  <c r="I1680" i="11"/>
  <c r="I1692" i="11"/>
  <c r="I1698" i="11"/>
  <c r="I1704" i="11"/>
  <c r="I729" i="11"/>
  <c r="J735" i="11"/>
  <c r="J741" i="11"/>
  <c r="J747" i="11"/>
  <c r="I753" i="11"/>
  <c r="I759" i="11"/>
  <c r="I765" i="11"/>
  <c r="I771" i="11"/>
  <c r="I777" i="11"/>
  <c r="I783" i="11"/>
  <c r="I789" i="11"/>
  <c r="I795" i="11"/>
  <c r="I801" i="11"/>
  <c r="I807" i="11"/>
  <c r="I813" i="11"/>
  <c r="I819" i="11"/>
  <c r="I831" i="11"/>
  <c r="J837" i="11"/>
  <c r="J843" i="11"/>
  <c r="I849" i="11"/>
  <c r="I855" i="11"/>
  <c r="J861" i="11"/>
  <c r="J867" i="11"/>
  <c r="J873" i="11"/>
  <c r="J891" i="11"/>
  <c r="J897" i="11"/>
  <c r="I903" i="11"/>
  <c r="J909" i="11"/>
  <c r="I921" i="11"/>
  <c r="J945" i="11"/>
  <c r="I957" i="11"/>
  <c r="J963" i="11"/>
  <c r="J969" i="11"/>
  <c r="I975" i="11"/>
  <c r="I981" i="11"/>
  <c r="J987" i="11"/>
  <c r="J993" i="11"/>
  <c r="J1005" i="11"/>
  <c r="J1011" i="11"/>
  <c r="I1017" i="11"/>
  <c r="J1023" i="11"/>
  <c r="J1311" i="11"/>
  <c r="I1317" i="11"/>
  <c r="J1323" i="11"/>
  <c r="I1329" i="11"/>
  <c r="I1335" i="11"/>
  <c r="I1347" i="11"/>
  <c r="I1359" i="11"/>
  <c r="I1395" i="11"/>
  <c r="I1401" i="11"/>
  <c r="J1407" i="11"/>
  <c r="J1413" i="11"/>
  <c r="I1419" i="11"/>
  <c r="J1425" i="11"/>
  <c r="J1431" i="11"/>
  <c r="J1437" i="11"/>
  <c r="I1449" i="11"/>
  <c r="N1449" i="11" s="1"/>
  <c r="J1455" i="11"/>
  <c r="J1461" i="11"/>
  <c r="I1467" i="11"/>
  <c r="I1473" i="11"/>
  <c r="J1479" i="11"/>
  <c r="J1485" i="11"/>
  <c r="J1491" i="11"/>
  <c r="I1497" i="11"/>
  <c r="J1503" i="11"/>
  <c r="I1509" i="11"/>
  <c r="J1515" i="11"/>
  <c r="J1527" i="11"/>
  <c r="J1533" i="11"/>
  <c r="J1708" i="11"/>
  <c r="J1181" i="11"/>
  <c r="J1241" i="11"/>
  <c r="J1313" i="11"/>
  <c r="J1403" i="11"/>
  <c r="J1117" i="11"/>
  <c r="J1591" i="11"/>
  <c r="J1621" i="11"/>
  <c r="I998" i="11"/>
  <c r="J1004" i="11"/>
  <c r="J1010" i="11"/>
  <c r="J1016" i="11"/>
  <c r="J1022" i="11"/>
  <c r="J1028" i="11"/>
  <c r="J1034" i="11"/>
  <c r="J1040" i="11"/>
  <c r="J1046" i="11"/>
  <c r="J1052" i="11"/>
  <c r="J1058" i="11"/>
  <c r="J1082" i="11"/>
  <c r="J1088" i="11"/>
  <c r="I1094" i="11"/>
  <c r="I1118" i="11"/>
  <c r="I1130" i="11"/>
  <c r="J1148" i="11"/>
  <c r="I1190" i="11"/>
  <c r="J1196" i="11"/>
  <c r="J1214" i="11"/>
  <c r="J1220" i="11"/>
  <c r="J1226" i="11"/>
  <c r="I1232" i="11"/>
  <c r="I1244" i="11"/>
  <c r="I1250" i="11"/>
  <c r="I1256" i="11"/>
  <c r="I1262" i="11"/>
  <c r="I1268" i="11"/>
  <c r="I1274" i="11"/>
  <c r="I1286" i="11"/>
  <c r="I1292" i="11"/>
  <c r="I1298" i="11"/>
  <c r="I1304" i="11"/>
  <c r="I1310" i="11"/>
  <c r="I1316" i="11"/>
  <c r="J1322" i="11"/>
  <c r="I1328" i="11"/>
  <c r="I1490" i="11"/>
  <c r="J1532" i="11"/>
  <c r="I393" i="11"/>
  <c r="C394" i="70" s="1"/>
  <c r="I399" i="11"/>
  <c r="I405" i="11"/>
  <c r="I409" i="11"/>
  <c r="I1279" i="11"/>
  <c r="J1340" i="11"/>
  <c r="I1358" i="11"/>
  <c r="I1370" i="11"/>
  <c r="J1376" i="11"/>
  <c r="I1382" i="11"/>
  <c r="I1388" i="11"/>
  <c r="N1388" i="11" s="1"/>
  <c r="J1400" i="11"/>
  <c r="J1406" i="11"/>
  <c r="J1412" i="11"/>
  <c r="I1418" i="11"/>
  <c r="I1424" i="11"/>
  <c r="I1436" i="11"/>
  <c r="J1442" i="11"/>
  <c r="I1454" i="11"/>
  <c r="J1460" i="11"/>
  <c r="J1472" i="11"/>
  <c r="I1478" i="11"/>
  <c r="I1496" i="11"/>
  <c r="I1502" i="11"/>
  <c r="I1514" i="11"/>
  <c r="J1520" i="11"/>
  <c r="J1526" i="11"/>
  <c r="I1574" i="11"/>
  <c r="I1545" i="11"/>
  <c r="I581" i="11"/>
  <c r="I822" i="11"/>
  <c r="I834" i="11"/>
  <c r="I840" i="11"/>
  <c r="I846" i="11"/>
  <c r="I852" i="11"/>
  <c r="J864" i="11"/>
  <c r="I394" i="11"/>
  <c r="C395" i="70" s="1"/>
  <c r="I400" i="11"/>
  <c r="J406" i="11"/>
  <c r="J412" i="11"/>
  <c r="I418" i="11"/>
  <c r="J424" i="11"/>
  <c r="J430" i="11"/>
  <c r="I436" i="11"/>
  <c r="J442" i="11"/>
  <c r="J448" i="11"/>
  <c r="J454" i="11"/>
  <c r="J460" i="11"/>
  <c r="I466" i="11"/>
  <c r="J472" i="11"/>
  <c r="J478" i="11"/>
  <c r="I484" i="11"/>
  <c r="J490" i="11"/>
  <c r="J496" i="11"/>
  <c r="I502" i="11"/>
  <c r="J508" i="11"/>
  <c r="J514" i="11"/>
  <c r="J520" i="11"/>
  <c r="I526" i="11"/>
  <c r="I532" i="11"/>
  <c r="J538" i="11"/>
  <c r="I550" i="11"/>
  <c r="I556" i="11"/>
  <c r="I562" i="11"/>
  <c r="J568" i="11"/>
  <c r="I574" i="11"/>
  <c r="J580" i="11"/>
  <c r="J592" i="11"/>
  <c r="I598" i="11"/>
  <c r="J604" i="11"/>
  <c r="I610" i="11"/>
  <c r="J616" i="11"/>
  <c r="I622" i="11"/>
  <c r="J628" i="11"/>
  <c r="I652" i="11"/>
  <c r="J658" i="11"/>
  <c r="I670" i="11"/>
  <c r="I682" i="11"/>
  <c r="I688" i="11"/>
  <c r="J694" i="11"/>
  <c r="I700" i="11"/>
  <c r="I706" i="11"/>
  <c r="J712" i="11"/>
  <c r="I718" i="11"/>
  <c r="J724" i="11"/>
  <c r="I730" i="11"/>
  <c r="J736" i="11"/>
  <c r="I742" i="11"/>
  <c r="I748" i="11"/>
  <c r="J754" i="11"/>
  <c r="I760" i="11"/>
  <c r="J766" i="11"/>
  <c r="J772" i="11"/>
  <c r="N772" i="11" s="1"/>
  <c r="J778" i="11"/>
  <c r="J784" i="11"/>
  <c r="J790" i="11"/>
  <c r="I808" i="11"/>
  <c r="J820" i="11"/>
  <c r="I832" i="11"/>
  <c r="J838" i="11"/>
  <c r="J844" i="11"/>
  <c r="J856" i="11"/>
  <c r="J868" i="11"/>
  <c r="J874" i="11"/>
  <c r="I880" i="11"/>
  <c r="I886" i="11"/>
  <c r="J892" i="11"/>
  <c r="J898" i="11"/>
  <c r="J904" i="11"/>
  <c r="J910" i="11"/>
  <c r="J916" i="11"/>
  <c r="I922" i="11"/>
  <c r="I928" i="11"/>
  <c r="I934" i="11"/>
  <c r="I940" i="11"/>
  <c r="I952" i="11"/>
  <c r="J958" i="11"/>
  <c r="J964" i="11"/>
  <c r="I970" i="11"/>
  <c r="J976" i="11"/>
  <c r="J982" i="11"/>
  <c r="J988" i="11"/>
  <c r="J994" i="11"/>
  <c r="J1000" i="11"/>
  <c r="J1006" i="11"/>
  <c r="J1012" i="11"/>
  <c r="J1018" i="11"/>
  <c r="J1024" i="11"/>
  <c r="J1030" i="11"/>
  <c r="J1037" i="11"/>
  <c r="J1061" i="11"/>
  <c r="I1067" i="11"/>
  <c r="J1073" i="11"/>
  <c r="I1079" i="11"/>
  <c r="I1085" i="11"/>
  <c r="J1091" i="11"/>
  <c r="I1097" i="11"/>
  <c r="I1103" i="11"/>
  <c r="I1109" i="11"/>
  <c r="J1115" i="11"/>
  <c r="I1121" i="11"/>
  <c r="J1127" i="11"/>
  <c r="J1139" i="11"/>
  <c r="J1145" i="11"/>
  <c r="J1151" i="11"/>
  <c r="J1169" i="11"/>
  <c r="J1175" i="11"/>
  <c r="I1181" i="11"/>
  <c r="J1187" i="11"/>
  <c r="J1205" i="11"/>
  <c r="J1217" i="11"/>
  <c r="J1223" i="11"/>
  <c r="J1235" i="11"/>
  <c r="I1241" i="11"/>
  <c r="I1247" i="11"/>
  <c r="I1253" i="11"/>
  <c r="I1259" i="11"/>
  <c r="I1265" i="11"/>
  <c r="J1271" i="11"/>
  <c r="I1277" i="11"/>
  <c r="I1289" i="11"/>
  <c r="I1295" i="11"/>
  <c r="J1301" i="11"/>
  <c r="I1313" i="11"/>
  <c r="J1319" i="11"/>
  <c r="J1325" i="11"/>
  <c r="J1331" i="11"/>
  <c r="J1349" i="11"/>
  <c r="J1355" i="11"/>
  <c r="I1373" i="11"/>
  <c r="J1379" i="11"/>
  <c r="I1391" i="11"/>
  <c r="J1397" i="11"/>
  <c r="I1403" i="11"/>
  <c r="I1409" i="11"/>
  <c r="J1415" i="11"/>
  <c r="J1427" i="11"/>
  <c r="J1433" i="11"/>
  <c r="J1439" i="11"/>
  <c r="I1463" i="11"/>
  <c r="I1469" i="11"/>
  <c r="I1475" i="11"/>
  <c r="J1487" i="11"/>
  <c r="J1493" i="11"/>
  <c r="J1499" i="11"/>
  <c r="I1505" i="11"/>
  <c r="I1511" i="11"/>
  <c r="J1523" i="11"/>
  <c r="I1529" i="11"/>
  <c r="I1535" i="11"/>
  <c r="J1541" i="11"/>
  <c r="J1547" i="11"/>
  <c r="J1553" i="11"/>
  <c r="J1559" i="11"/>
  <c r="J1565" i="11"/>
  <c r="J1571" i="11"/>
  <c r="J1583" i="11"/>
  <c r="I1589" i="11"/>
  <c r="I1601" i="11"/>
  <c r="I1607" i="11"/>
  <c r="I1613" i="11"/>
  <c r="I1619" i="11"/>
  <c r="I1631" i="11"/>
  <c r="I1637" i="11"/>
  <c r="I1643" i="11"/>
  <c r="I1649" i="11"/>
  <c r="I1655" i="11"/>
  <c r="J1667" i="11"/>
  <c r="I1673" i="11"/>
  <c r="I1679" i="11"/>
  <c r="I1685" i="11"/>
  <c r="I1709" i="11"/>
  <c r="N1709" i="11" s="1"/>
  <c r="J1260" i="11"/>
  <c r="J1392" i="11"/>
  <c r="I1518" i="11"/>
  <c r="J1554" i="11"/>
  <c r="J1596" i="11"/>
  <c r="I1602" i="11"/>
  <c r="J1608" i="11"/>
  <c r="I1662" i="11"/>
  <c r="J1036" i="11"/>
  <c r="J1042" i="11"/>
  <c r="I1060" i="11"/>
  <c r="I1066" i="11"/>
  <c r="I1084" i="11"/>
  <c r="I1096" i="11"/>
  <c r="I1108" i="11"/>
  <c r="J1114" i="11"/>
  <c r="J1120" i="11"/>
  <c r="I1126" i="11"/>
  <c r="I1150" i="11"/>
  <c r="I1156" i="11"/>
  <c r="J1162" i="11"/>
  <c r="I1168" i="11"/>
  <c r="I1174" i="11"/>
  <c r="J1180" i="11"/>
  <c r="I1186" i="11"/>
  <c r="I1192" i="11"/>
  <c r="J1198" i="11"/>
  <c r="I1204" i="11"/>
  <c r="I1210" i="11"/>
  <c r="I1222" i="11"/>
  <c r="I1234" i="11"/>
  <c r="J1240" i="11"/>
  <c r="I1246" i="11"/>
  <c r="J1252" i="11"/>
  <c r="J1258" i="11"/>
  <c r="I1264" i="11"/>
  <c r="J1270" i="11"/>
  <c r="J1276" i="11"/>
  <c r="I1282" i="11"/>
  <c r="J1288" i="11"/>
  <c r="I1294" i="11"/>
  <c r="I1300" i="11"/>
  <c r="I1306" i="11"/>
  <c r="I1312" i="11"/>
  <c r="I1318" i="11"/>
  <c r="J1330" i="11"/>
  <c r="J1336" i="11"/>
  <c r="J1348" i="11"/>
  <c r="J1354" i="11"/>
  <c r="I1360" i="11"/>
  <c r="I1366" i="11"/>
  <c r="J1372" i="11"/>
  <c r="I1378" i="11"/>
  <c r="I1384" i="11"/>
  <c r="J1396" i="11"/>
  <c r="J1402" i="11"/>
  <c r="J1408" i="11"/>
  <c r="J1414" i="11"/>
  <c r="I1420" i="11"/>
  <c r="J1426" i="11"/>
  <c r="J1432" i="11"/>
  <c r="I1438" i="11"/>
  <c r="J1456" i="11"/>
  <c r="J1462" i="11"/>
  <c r="I1468" i="11"/>
  <c r="I1474" i="11"/>
  <c r="J1480" i="11"/>
  <c r="I1486" i="11"/>
  <c r="I1492" i="11"/>
  <c r="J1498" i="11"/>
  <c r="J1504" i="11"/>
  <c r="J1510" i="11"/>
  <c r="J1516" i="11"/>
  <c r="I1534" i="11"/>
  <c r="I1540" i="11"/>
  <c r="J1546" i="11"/>
  <c r="J1552" i="11"/>
  <c r="J1558" i="11"/>
  <c r="I1570" i="11"/>
  <c r="I1576" i="11"/>
  <c r="J1582" i="11"/>
  <c r="J1588" i="11"/>
  <c r="J1594" i="11"/>
  <c r="I1612" i="11"/>
  <c r="J1624" i="11"/>
  <c r="J1636" i="11"/>
  <c r="J1648" i="11"/>
  <c r="J1654" i="11"/>
  <c r="I1660" i="11"/>
  <c r="I1666" i="11"/>
  <c r="I1672" i="11"/>
  <c r="I1678" i="11"/>
  <c r="I1684" i="11"/>
  <c r="J526" i="11"/>
  <c r="J970" i="11"/>
  <c r="I1061" i="11"/>
  <c r="J1126" i="11"/>
  <c r="J1490" i="11"/>
  <c r="J1529" i="11"/>
  <c r="J399" i="11"/>
  <c r="I417" i="11"/>
  <c r="J429" i="11"/>
  <c r="J471" i="11"/>
  <c r="J502" i="11"/>
  <c r="I507" i="11"/>
  <c r="J527" i="11"/>
  <c r="I741" i="11"/>
  <c r="I747" i="11"/>
  <c r="J759" i="11"/>
  <c r="I988" i="11"/>
  <c r="I1023" i="11"/>
  <c r="J1222" i="11"/>
  <c r="I1472" i="11"/>
  <c r="I1485" i="11"/>
  <c r="I1491" i="11"/>
  <c r="J1514" i="11"/>
  <c r="J479" i="11"/>
  <c r="J393" i="11"/>
  <c r="D394" i="70" s="1"/>
  <c r="I435" i="11"/>
  <c r="I459" i="11"/>
  <c r="I472" i="11"/>
  <c r="I508" i="11"/>
  <c r="J687" i="11"/>
  <c r="J748" i="11"/>
  <c r="I1005" i="11"/>
  <c r="I1223" i="11"/>
  <c r="J1232" i="11"/>
  <c r="J1247" i="11"/>
  <c r="I1299" i="11"/>
  <c r="J1317" i="11"/>
  <c r="J1347" i="11"/>
  <c r="J1473" i="11"/>
  <c r="I1520" i="11"/>
  <c r="J1556" i="11"/>
  <c r="J407" i="11"/>
  <c r="J863" i="11"/>
  <c r="J418" i="11"/>
  <c r="I430" i="11"/>
  <c r="J473" i="11"/>
  <c r="J497" i="11"/>
  <c r="I615" i="11"/>
  <c r="I621" i="11"/>
  <c r="J801" i="11"/>
  <c r="I989" i="11"/>
  <c r="I1233" i="11"/>
  <c r="J1300" i="11"/>
  <c r="J1467" i="11"/>
  <c r="J641" i="11"/>
  <c r="I401" i="11"/>
  <c r="I413" i="11"/>
  <c r="I857" i="11"/>
  <c r="J395" i="11"/>
  <c r="I419" i="11"/>
  <c r="I431" i="11"/>
  <c r="J443" i="11"/>
  <c r="I460" i="11"/>
  <c r="I483" i="11"/>
  <c r="I524" i="11"/>
  <c r="J574" i="11"/>
  <c r="I580" i="11"/>
  <c r="J635" i="11"/>
  <c r="I681" i="11"/>
  <c r="I723" i="11"/>
  <c r="I843" i="11"/>
  <c r="J880" i="11"/>
  <c r="J1060" i="11"/>
  <c r="J1079" i="11"/>
  <c r="J1109" i="11"/>
  <c r="J1234" i="11"/>
  <c r="I1301" i="11"/>
  <c r="I1311" i="11"/>
  <c r="J1335" i="11"/>
  <c r="J1535" i="11"/>
  <c r="I1541" i="11"/>
  <c r="J455" i="11"/>
  <c r="I467" i="11"/>
  <c r="I611" i="11"/>
  <c r="J669" i="11"/>
  <c r="I844" i="11"/>
  <c r="J952" i="11"/>
  <c r="J1395" i="11"/>
  <c r="J1202" i="11"/>
  <c r="I1202" i="11"/>
  <c r="I1280" i="11"/>
  <c r="J1280" i="11"/>
  <c r="J1352" i="11"/>
  <c r="I1352" i="11"/>
  <c r="I1340" i="11"/>
  <c r="J572" i="11"/>
  <c r="J602" i="11"/>
  <c r="J879" i="11"/>
  <c r="I879" i="11"/>
  <c r="I939" i="11"/>
  <c r="J939" i="11"/>
  <c r="I1071" i="11"/>
  <c r="J1071" i="11"/>
  <c r="J1107" i="11"/>
  <c r="I1107" i="11"/>
  <c r="J1119" i="11"/>
  <c r="I1119" i="11"/>
  <c r="J1341" i="11"/>
  <c r="I1341" i="11"/>
  <c r="I1353" i="11"/>
  <c r="J1353" i="11"/>
  <c r="J1377" i="11"/>
  <c r="I1377" i="11"/>
  <c r="I1383" i="11"/>
  <c r="J1383" i="11"/>
  <c r="I1106" i="11"/>
  <c r="J1106" i="11"/>
  <c r="I1154" i="11"/>
  <c r="J1154" i="11"/>
  <c r="I1131" i="11"/>
  <c r="J1131" i="11"/>
  <c r="I1143" i="11"/>
  <c r="J1143" i="11"/>
  <c r="J436" i="11"/>
  <c r="I525" i="11"/>
  <c r="N525" i="11" s="1"/>
  <c r="J663" i="11"/>
  <c r="I735" i="11"/>
  <c r="J753" i="11"/>
  <c r="J878" i="11"/>
  <c r="I963" i="11"/>
  <c r="J1121" i="11"/>
  <c r="J1172" i="11"/>
  <c r="J1190" i="11"/>
  <c r="I1226" i="11"/>
  <c r="I1414" i="11"/>
  <c r="I1547" i="11"/>
  <c r="I1076" i="11"/>
  <c r="J1076" i="11"/>
  <c r="J1136" i="11"/>
  <c r="I1136" i="11"/>
  <c r="J1304" i="11"/>
  <c r="I850" i="11"/>
  <c r="J850" i="11"/>
  <c r="J1048" i="11"/>
  <c r="I1048" i="11"/>
  <c r="J1132" i="11"/>
  <c r="I1132" i="11"/>
  <c r="I1216" i="11"/>
  <c r="J1216" i="11"/>
  <c r="J1228" i="11"/>
  <c r="I1228" i="11"/>
  <c r="I1450" i="11"/>
  <c r="J1450" i="11"/>
  <c r="I1522" i="11"/>
  <c r="J1522" i="11"/>
  <c r="I1528" i="11"/>
  <c r="J1528" i="11"/>
  <c r="I392" i="11"/>
  <c r="C393" i="70" s="1"/>
  <c r="J536" i="11"/>
  <c r="I854" i="11"/>
  <c r="I1010" i="11"/>
  <c r="I1088" i="11"/>
  <c r="I1184" i="11"/>
  <c r="J862" i="11"/>
  <c r="I862" i="11"/>
  <c r="I1054" i="11"/>
  <c r="J1054" i="11"/>
  <c r="I437" i="11"/>
  <c r="I442" i="11"/>
  <c r="I461" i="11"/>
  <c r="J509" i="11"/>
  <c r="J515" i="11"/>
  <c r="J593" i="11"/>
  <c r="N593" i="11" s="1"/>
  <c r="J598" i="11"/>
  <c r="J603" i="11"/>
  <c r="I890" i="11"/>
  <c r="J934" i="11"/>
  <c r="I1148" i="11"/>
  <c r="J1227" i="11"/>
  <c r="J1328" i="11"/>
  <c r="J1409" i="11"/>
  <c r="J1468" i="11"/>
  <c r="J1486" i="11"/>
  <c r="I1523" i="11"/>
  <c r="J1166" i="11"/>
  <c r="I1166" i="11"/>
  <c r="J1298" i="11"/>
  <c r="I1043" i="11"/>
  <c r="J1043" i="11"/>
  <c r="I1049" i="11"/>
  <c r="J1049" i="11"/>
  <c r="J1157" i="11"/>
  <c r="I1157" i="11"/>
  <c r="J1193" i="11"/>
  <c r="I1193" i="11"/>
  <c r="J1211" i="11"/>
  <c r="I1211" i="11"/>
  <c r="I1229" i="11"/>
  <c r="J1229" i="11"/>
  <c r="I1283" i="11"/>
  <c r="J1283" i="11"/>
  <c r="I1367" i="11"/>
  <c r="J1367" i="11"/>
  <c r="I1421" i="11"/>
  <c r="J1421" i="11"/>
  <c r="I1445" i="11"/>
  <c r="J1445" i="11"/>
  <c r="J1457" i="11"/>
  <c r="I1457" i="11"/>
  <c r="J1481" i="11"/>
  <c r="I1481" i="11"/>
  <c r="I1577" i="11"/>
  <c r="J1577" i="11"/>
  <c r="I1334" i="11"/>
  <c r="J1334" i="11"/>
  <c r="J1055" i="11"/>
  <c r="I1055" i="11"/>
  <c r="I1163" i="11"/>
  <c r="J1163" i="11"/>
  <c r="I1199" i="11"/>
  <c r="J1199" i="11"/>
  <c r="J1307" i="11"/>
  <c r="I1307" i="11"/>
  <c r="I1385" i="11"/>
  <c r="J1385" i="11"/>
  <c r="I620" i="11"/>
  <c r="J632" i="11"/>
  <c r="I874" i="11"/>
  <c r="J902" i="11"/>
  <c r="J1017" i="11"/>
  <c r="I1058" i="11"/>
  <c r="J1463" i="11"/>
  <c r="J1475" i="11"/>
  <c r="J1100" i="11"/>
  <c r="I1100" i="11"/>
  <c r="I590" i="11"/>
  <c r="J1208" i="11"/>
  <c r="I1208" i="11"/>
  <c r="J1346" i="11"/>
  <c r="I1346" i="11"/>
  <c r="I860" i="11"/>
  <c r="J1316" i="11"/>
  <c r="J394" i="11"/>
  <c r="D395" i="70" s="1"/>
  <c r="I424" i="11"/>
  <c r="I489" i="11"/>
  <c r="J638" i="11"/>
  <c r="J760" i="11"/>
  <c r="J819" i="11"/>
  <c r="I875" i="11"/>
  <c r="I897" i="11"/>
  <c r="I1035" i="11"/>
  <c r="I1047" i="11"/>
  <c r="J1103" i="11"/>
  <c r="J1118" i="11"/>
  <c r="I1349" i="11"/>
  <c r="J1469" i="11"/>
  <c r="I1493" i="11"/>
  <c r="I1499" i="11"/>
  <c r="J1070" i="11"/>
  <c r="I1070" i="11"/>
  <c r="J1124" i="11"/>
  <c r="I1124" i="11"/>
  <c r="J506" i="11"/>
  <c r="I644" i="11"/>
  <c r="J1358" i="11"/>
  <c r="J1064" i="11"/>
  <c r="I1064" i="11"/>
  <c r="J518" i="11"/>
  <c r="I406" i="11"/>
  <c r="J425" i="11"/>
  <c r="I449" i="11"/>
  <c r="J484" i="11"/>
  <c r="I490" i="11"/>
  <c r="I533" i="11"/>
  <c r="I591" i="11"/>
  <c r="J596" i="11"/>
  <c r="I856" i="11"/>
  <c r="I892" i="11"/>
  <c r="I898" i="11"/>
  <c r="J981" i="11"/>
  <c r="I1042" i="11"/>
  <c r="I1091" i="11"/>
  <c r="I1139" i="11"/>
  <c r="I1175" i="11"/>
  <c r="J1253" i="11"/>
  <c r="I1331" i="11"/>
  <c r="I1439" i="11"/>
  <c r="J1419" i="11"/>
  <c r="I1546" i="11"/>
  <c r="J1576" i="11"/>
  <c r="I1552" i="11"/>
  <c r="I1470" i="11"/>
  <c r="J1470" i="11"/>
  <c r="J1436" i="11"/>
  <c r="I1442" i="11"/>
  <c r="J1478" i="11"/>
  <c r="I1582" i="11"/>
  <c r="G57" i="29"/>
  <c r="G55" i="29"/>
  <c r="F57" i="29"/>
  <c r="H57" i="29" s="1"/>
  <c r="F55" i="29"/>
  <c r="G116" i="34"/>
  <c r="I116" i="34" s="1"/>
  <c r="G123" i="34"/>
  <c r="I123" i="34" s="1"/>
  <c r="G130" i="34"/>
  <c r="I130" i="34" s="1"/>
  <c r="G144" i="34"/>
  <c r="I144" i="34" s="1"/>
  <c r="G151" i="34"/>
  <c r="I151" i="34" s="1"/>
  <c r="G158" i="34"/>
  <c r="I158" i="34" s="1"/>
  <c r="G165" i="34"/>
  <c r="I165" i="34" s="1"/>
  <c r="G172" i="34"/>
  <c r="I172" i="34" s="1"/>
  <c r="G193" i="34"/>
  <c r="I193" i="34" s="1"/>
  <c r="O116" i="34"/>
  <c r="Q116" i="34" s="1"/>
  <c r="O123" i="34"/>
  <c r="Q123" i="34" s="1"/>
  <c r="O130" i="34"/>
  <c r="Q130" i="34" s="1"/>
  <c r="O144" i="34"/>
  <c r="Q144" i="34" s="1"/>
  <c r="O179" i="34"/>
  <c r="Q179" i="34" s="1"/>
  <c r="O186" i="34"/>
  <c r="Q186" i="34" s="1"/>
  <c r="T103" i="32"/>
  <c r="T105" i="32" s="1"/>
  <c r="T106" i="32" s="1"/>
  <c r="T110" i="32" s="1"/>
  <c r="H136" i="32" s="1"/>
  <c r="AC119" i="32"/>
  <c r="L103" i="32"/>
  <c r="L105" i="32" s="1"/>
  <c r="L106" i="32" s="1"/>
  <c r="L110" i="32" s="1"/>
  <c r="H132" i="32" s="1"/>
  <c r="G186" i="34"/>
  <c r="I186" i="34" s="1"/>
  <c r="P103" i="32"/>
  <c r="P105" i="32" s="1"/>
  <c r="P106" i="32" s="1"/>
  <c r="P110" i="32" s="1"/>
  <c r="H134" i="32" s="1"/>
  <c r="R103" i="32"/>
  <c r="R105" i="32" s="1"/>
  <c r="R106" i="32" s="1"/>
  <c r="R110" i="32" s="1"/>
  <c r="H135" i="32" s="1"/>
  <c r="AC116" i="32"/>
  <c r="H116" i="34"/>
  <c r="J116" i="34" s="1"/>
  <c r="H165" i="34"/>
  <c r="J165" i="34" s="1"/>
  <c r="I159" i="34"/>
  <c r="G137" i="34"/>
  <c r="I137" i="34" s="1"/>
  <c r="H151" i="34"/>
  <c r="J151" i="34" s="1"/>
  <c r="V103" i="32"/>
  <c r="V105" i="32" s="1"/>
  <c r="V106" i="32" s="1"/>
  <c r="V110" i="32" s="1"/>
  <c r="H137" i="32" s="1"/>
  <c r="Z103" i="32"/>
  <c r="Z105" i="32" s="1"/>
  <c r="Z106" i="32" s="1"/>
  <c r="Z110" i="32" s="1"/>
  <c r="H139" i="32" s="1"/>
  <c r="N103" i="32"/>
  <c r="N105" i="32" s="1"/>
  <c r="N106" i="32" s="1"/>
  <c r="N110" i="32" s="1"/>
  <c r="H133" i="32" s="1"/>
  <c r="AD101" i="32"/>
  <c r="H123" i="34"/>
  <c r="J123" i="34" s="1"/>
  <c r="H130" i="34"/>
  <c r="J130" i="34" s="1"/>
  <c r="H144" i="34"/>
  <c r="J144" i="34" s="1"/>
  <c r="H158" i="34"/>
  <c r="J158" i="34" s="1"/>
  <c r="H172" i="34"/>
  <c r="J172" i="34" s="1"/>
  <c r="J179" i="34"/>
  <c r="H186" i="34"/>
  <c r="J186" i="34" s="1"/>
  <c r="H193" i="34"/>
  <c r="J193" i="34" s="1"/>
  <c r="P116" i="34"/>
  <c r="R116" i="34" s="1"/>
  <c r="P123" i="34"/>
  <c r="R123" i="34" s="1"/>
  <c r="P130" i="34"/>
  <c r="R130" i="34" s="1"/>
  <c r="P165" i="34"/>
  <c r="R165" i="34" s="1"/>
  <c r="P172" i="34"/>
  <c r="R172" i="34" s="1"/>
  <c r="P179" i="34"/>
  <c r="R179" i="34" s="1"/>
  <c r="P193" i="34"/>
  <c r="R193" i="34" s="1"/>
  <c r="J124" i="34"/>
  <c r="H137" i="34"/>
  <c r="J137" i="34" s="1"/>
  <c r="H53" i="29"/>
  <c r="M53" i="26"/>
  <c r="G55" i="26"/>
  <c r="G57" i="26" s="1"/>
  <c r="J55" i="26"/>
  <c r="J57" i="26" s="1"/>
  <c r="G58" i="67"/>
  <c r="D58" i="67"/>
  <c r="E58" i="67"/>
  <c r="F58" i="67"/>
  <c r="O172" i="34"/>
  <c r="Q172" i="34" s="1"/>
  <c r="H40" i="34"/>
  <c r="J40" i="34" s="1"/>
  <c r="Q48" i="34"/>
  <c r="H68" i="34"/>
  <c r="J68" i="34" s="1"/>
  <c r="O82" i="34"/>
  <c r="Q82" i="34" s="1"/>
  <c r="I110" i="34"/>
  <c r="O165" i="34"/>
  <c r="Q165" i="34" s="1"/>
  <c r="I187" i="34"/>
  <c r="O137" i="34"/>
  <c r="Q137" i="34" s="1"/>
  <c r="J173" i="34"/>
  <c r="J187" i="34"/>
  <c r="H54" i="34"/>
  <c r="J54" i="34" s="1"/>
  <c r="R76" i="34"/>
  <c r="Q110" i="34"/>
  <c r="R124" i="34"/>
  <c r="P137" i="34"/>
  <c r="R137" i="34" s="1"/>
  <c r="R159" i="34"/>
  <c r="H26" i="34"/>
  <c r="J26" i="34" s="1"/>
  <c r="I97" i="34"/>
  <c r="I138" i="34"/>
  <c r="J152" i="34"/>
  <c r="R187" i="34"/>
  <c r="I27" i="34"/>
  <c r="I55" i="34"/>
  <c r="J97" i="34"/>
  <c r="Q138" i="34"/>
  <c r="P158" i="34"/>
  <c r="R158" i="34" s="1"/>
  <c r="P75" i="34"/>
  <c r="R75" i="34" s="1"/>
  <c r="J180" i="34"/>
  <c r="P186" i="34"/>
  <c r="R186" i="34" s="1"/>
  <c r="R103" i="34"/>
  <c r="P61" i="34"/>
  <c r="R61" i="34" s="1"/>
  <c r="O68" i="34"/>
  <c r="Q68" i="34" s="1"/>
  <c r="P144" i="34"/>
  <c r="R144" i="34" s="1"/>
  <c r="O151" i="34"/>
  <c r="Q151" i="34" s="1"/>
  <c r="J27" i="34"/>
  <c r="I34" i="34"/>
  <c r="P68" i="34"/>
  <c r="R68" i="34" s="1"/>
  <c r="O75" i="34"/>
  <c r="Q75" i="34" s="1"/>
  <c r="R83" i="34"/>
  <c r="Q90" i="34"/>
  <c r="J110" i="34"/>
  <c r="I117" i="34"/>
  <c r="P151" i="34"/>
  <c r="R151" i="34" s="1"/>
  <c r="O158" i="34"/>
  <c r="Q158" i="34" s="1"/>
  <c r="R166" i="34"/>
  <c r="Q173" i="34"/>
  <c r="J34" i="34"/>
  <c r="I41" i="34"/>
  <c r="R90" i="34"/>
  <c r="Q97" i="34"/>
  <c r="J117" i="34"/>
  <c r="I124" i="34"/>
  <c r="R173" i="34"/>
  <c r="Q180" i="34"/>
  <c r="Q20" i="34"/>
  <c r="J41" i="34"/>
  <c r="R42" i="34"/>
  <c r="I48" i="34"/>
  <c r="Q49" i="34"/>
  <c r="J70" i="34"/>
  <c r="I77" i="34"/>
  <c r="R97" i="34"/>
  <c r="M105" i="34"/>
  <c r="R27" i="34"/>
  <c r="Q34" i="34"/>
  <c r="J55" i="34"/>
  <c r="I62" i="34"/>
  <c r="N105" i="34"/>
  <c r="R110" i="34"/>
  <c r="Q117" i="34"/>
  <c r="J138" i="34"/>
  <c r="I145" i="34"/>
  <c r="M195" i="34"/>
  <c r="R34" i="34"/>
  <c r="Q41" i="34"/>
  <c r="J62" i="34"/>
  <c r="I69" i="34"/>
  <c r="J91" i="34"/>
  <c r="I98" i="34"/>
  <c r="R117" i="34"/>
  <c r="Q124" i="34"/>
  <c r="J145" i="34"/>
  <c r="I152" i="34"/>
  <c r="J174" i="34"/>
  <c r="I181" i="34"/>
  <c r="N195" i="34"/>
  <c r="J76" i="34"/>
  <c r="I83" i="34"/>
  <c r="J159" i="34"/>
  <c r="I166" i="34"/>
  <c r="J83" i="34"/>
  <c r="I90" i="34"/>
  <c r="J166" i="34"/>
  <c r="I173" i="34"/>
  <c r="J64" i="33"/>
  <c r="D36" i="29"/>
  <c r="H34" i="29"/>
  <c r="H36" i="29" s="1"/>
  <c r="D32" i="57" s="1"/>
  <c r="D57" i="26"/>
  <c r="H57" i="26"/>
  <c r="I57" i="26"/>
  <c r="K57" i="26"/>
  <c r="I391" i="11"/>
  <c r="C392" i="70" s="1"/>
  <c r="J403" i="11"/>
  <c r="J409" i="11"/>
  <c r="I427" i="11"/>
  <c r="I433" i="11"/>
  <c r="I439" i="11"/>
  <c r="J445" i="11"/>
  <c r="I463" i="11"/>
  <c r="J469" i="11"/>
  <c r="I475" i="11"/>
  <c r="J481" i="11"/>
  <c r="J487" i="11"/>
  <c r="I493" i="11"/>
  <c r="J499" i="11"/>
  <c r="J505" i="11"/>
  <c r="I511" i="11"/>
  <c r="J517" i="11"/>
  <c r="J523" i="11"/>
  <c r="J529" i="11"/>
  <c r="I541" i="11"/>
  <c r="I547" i="11"/>
  <c r="I553" i="11"/>
  <c r="I559" i="11"/>
  <c r="I565" i="11"/>
  <c r="J577" i="11"/>
  <c r="I583" i="11"/>
  <c r="J589" i="11"/>
  <c r="J601" i="11"/>
  <c r="J613" i="11"/>
  <c r="J619" i="11"/>
  <c r="J625" i="11"/>
  <c r="I631" i="11"/>
  <c r="J637" i="11"/>
  <c r="J643" i="11"/>
  <c r="J649" i="11"/>
  <c r="J655" i="11"/>
  <c r="J661" i="11"/>
  <c r="I667" i="11"/>
  <c r="J673" i="11"/>
  <c r="J679" i="11"/>
  <c r="I685" i="11"/>
  <c r="J691" i="11"/>
  <c r="J697" i="11"/>
  <c r="I703" i="11"/>
  <c r="J709" i="11"/>
  <c r="J715" i="11"/>
  <c r="I721" i="11"/>
  <c r="I727" i="11"/>
  <c r="I733" i="11"/>
  <c r="J739" i="11"/>
  <c r="J745" i="11"/>
  <c r="J751" i="11"/>
  <c r="J757" i="11"/>
  <c r="I763" i="11"/>
  <c r="I769" i="11"/>
  <c r="I775" i="11"/>
  <c r="I781" i="11"/>
  <c r="J787" i="11"/>
  <c r="I799" i="11"/>
  <c r="I805" i="11"/>
  <c r="J811" i="11"/>
  <c r="I817" i="11"/>
  <c r="I823" i="11"/>
  <c r="J829" i="11"/>
  <c r="I835" i="11"/>
  <c r="I841" i="11"/>
  <c r="J853" i="11"/>
  <c r="J865" i="11"/>
  <c r="J871" i="11"/>
  <c r="J877" i="11"/>
  <c r="J883" i="11"/>
  <c r="J889" i="11"/>
  <c r="I895" i="11"/>
  <c r="J901" i="11"/>
  <c r="J907" i="11"/>
  <c r="I913" i="11"/>
  <c r="I919" i="11"/>
  <c r="J925" i="11"/>
  <c r="I931" i="11"/>
  <c r="J943" i="11"/>
  <c r="I949" i="11"/>
  <c r="J955" i="11"/>
  <c r="J961" i="11"/>
  <c r="J967" i="11"/>
  <c r="J973" i="11"/>
  <c r="J979" i="11"/>
  <c r="J985" i="11"/>
  <c r="J991" i="11"/>
  <c r="J997" i="11"/>
  <c r="J1003" i="11"/>
  <c r="J1009" i="11"/>
  <c r="J1015" i="11"/>
  <c r="J1021" i="11"/>
  <c r="J1027" i="11"/>
  <c r="I432" i="11"/>
  <c r="I1554" i="11"/>
  <c r="J1578" i="11"/>
  <c r="J1644" i="11"/>
  <c r="I1464" i="11"/>
  <c r="I1488" i="11"/>
  <c r="I1500" i="11"/>
  <c r="I1512" i="11"/>
  <c r="I1428" i="11"/>
  <c r="I1446" i="11"/>
  <c r="I1398" i="11"/>
  <c r="I1416" i="11"/>
  <c r="J1560" i="11"/>
  <c r="J468" i="11"/>
  <c r="I1452" i="11"/>
  <c r="J1518" i="11"/>
  <c r="I1572" i="11"/>
  <c r="I756" i="11"/>
  <c r="I1434" i="11"/>
  <c r="I1482" i="11"/>
  <c r="J1536" i="11"/>
  <c r="I594" i="11"/>
  <c r="J594" i="11"/>
  <c r="J858" i="11"/>
  <c r="I858" i="11"/>
  <c r="I1032" i="11"/>
  <c r="J1032" i="11"/>
  <c r="I1110" i="11"/>
  <c r="J1110" i="11"/>
  <c r="J1146" i="11"/>
  <c r="I1146" i="11"/>
  <c r="J1230" i="11"/>
  <c r="I1230" i="11"/>
  <c r="J1338" i="11"/>
  <c r="I1338" i="11"/>
  <c r="J810" i="11"/>
  <c r="I1224" i="11"/>
  <c r="J397" i="11"/>
  <c r="I397" i="11"/>
  <c r="I582" i="11"/>
  <c r="J582" i="11"/>
  <c r="I978" i="11"/>
  <c r="J1140" i="11"/>
  <c r="J1362" i="11"/>
  <c r="J720" i="11"/>
  <c r="I990" i="11"/>
  <c r="I972" i="11"/>
  <c r="J972" i="11"/>
  <c r="I480" i="11"/>
  <c r="N480" i="11" s="1"/>
  <c r="J600" i="11"/>
  <c r="I534" i="11"/>
  <c r="J1098" i="11"/>
  <c r="I516" i="11"/>
  <c r="J516" i="11"/>
  <c r="J750" i="11"/>
  <c r="I750" i="11"/>
  <c r="I870" i="11"/>
  <c r="J870" i="11"/>
  <c r="I402" i="11"/>
  <c r="I414" i="11"/>
  <c r="I576" i="11"/>
  <c r="J624" i="11"/>
  <c r="J1026" i="11"/>
  <c r="N1026" i="11" s="1"/>
  <c r="I1344" i="11"/>
  <c r="I606" i="11"/>
  <c r="J606" i="11"/>
  <c r="J948" i="11"/>
  <c r="I948" i="11"/>
  <c r="J1116" i="11"/>
  <c r="I1116" i="11"/>
  <c r="J1302" i="11"/>
  <c r="I1302" i="11"/>
  <c r="J1380" i="11"/>
  <c r="I1380" i="11"/>
  <c r="I456" i="11"/>
  <c r="I918" i="11"/>
  <c r="J588" i="11"/>
  <c r="N588" i="11" s="1"/>
  <c r="J642" i="11"/>
  <c r="I426" i="11"/>
  <c r="J438" i="11"/>
  <c r="J450" i="11"/>
  <c r="J474" i="11"/>
  <c r="I474" i="11"/>
  <c r="I1020" i="11"/>
  <c r="J1020" i="11"/>
  <c r="I396" i="11"/>
  <c r="J462" i="11"/>
  <c r="I732" i="11"/>
  <c r="I828" i="11"/>
  <c r="J954" i="11"/>
  <c r="J1236" i="11"/>
  <c r="J888" i="11"/>
  <c r="I888" i="11"/>
  <c r="J924" i="11"/>
  <c r="I924" i="11"/>
  <c r="J1308" i="11"/>
  <c r="I1308" i="11"/>
  <c r="J420" i="11"/>
  <c r="J960" i="11"/>
  <c r="J882" i="11"/>
  <c r="J930" i="11"/>
  <c r="J942" i="11"/>
  <c r="J1014" i="11"/>
  <c r="J1080" i="11"/>
  <c r="J1314" i="11"/>
  <c r="J1326" i="11"/>
  <c r="I498" i="11"/>
  <c r="J498" i="11"/>
  <c r="I618" i="11"/>
  <c r="J618" i="11"/>
  <c r="J714" i="11"/>
  <c r="I714" i="11"/>
  <c r="J900" i="11"/>
  <c r="I900" i="11"/>
  <c r="J1320" i="11"/>
  <c r="I1008" i="11"/>
  <c r="J1008" i="11"/>
  <c r="J444" i="11"/>
  <c r="J744" i="11"/>
  <c r="N744" i="11" s="1"/>
  <c r="I408" i="11"/>
  <c r="J612" i="11"/>
  <c r="J738" i="11"/>
  <c r="J1134" i="11"/>
  <c r="J398" i="11"/>
  <c r="I404" i="11"/>
  <c r="J410" i="11"/>
  <c r="I416" i="11"/>
  <c r="I422" i="11"/>
  <c r="J428" i="11"/>
  <c r="J434" i="11"/>
  <c r="J440" i="11"/>
  <c r="J446" i="11"/>
  <c r="I452" i="11"/>
  <c r="I458" i="11"/>
  <c r="J464" i="11"/>
  <c r="J470" i="11"/>
  <c r="J476" i="11"/>
  <c r="J482" i="11"/>
  <c r="I488" i="11"/>
  <c r="I512" i="11"/>
  <c r="I1033" i="11"/>
  <c r="J1039" i="11"/>
  <c r="J1051" i="11"/>
  <c r="I1069" i="11"/>
  <c r="I1075" i="11"/>
  <c r="I1081" i="11"/>
  <c r="I1087" i="11"/>
  <c r="I1093" i="11"/>
  <c r="I1099" i="11"/>
  <c r="I1105" i="11"/>
  <c r="J1111" i="11"/>
  <c r="I1117" i="11"/>
  <c r="J1129" i="11"/>
  <c r="J1153" i="11"/>
  <c r="I1159" i="11"/>
  <c r="I1165" i="11"/>
  <c r="J1171" i="11"/>
  <c r="I1177" i="11"/>
  <c r="I1183" i="11"/>
  <c r="J1189" i="11"/>
  <c r="I1195" i="11"/>
  <c r="I1201" i="11"/>
  <c r="J1207" i="11"/>
  <c r="I1213" i="11"/>
  <c r="I1243" i="11"/>
  <c r="I1249" i="11"/>
  <c r="I1255" i="11"/>
  <c r="I1261" i="11"/>
  <c r="I1273" i="11"/>
  <c r="J1285" i="11"/>
  <c r="I1291" i="11"/>
  <c r="I1297" i="11"/>
  <c r="I1309" i="11"/>
  <c r="I1315" i="11"/>
  <c r="J1327" i="11"/>
  <c r="J1333" i="11"/>
  <c r="I1345" i="11"/>
  <c r="J1351" i="11"/>
  <c r="J1357" i="11"/>
  <c r="J1363" i="11"/>
  <c r="I1369" i="11"/>
  <c r="J1375" i="11"/>
  <c r="J1381" i="11"/>
  <c r="I1387" i="11"/>
  <c r="J1393" i="11"/>
  <c r="J1399" i="11"/>
  <c r="I1405" i="11"/>
  <c r="I1411" i="11"/>
  <c r="J1417" i="11"/>
  <c r="J1435" i="11"/>
  <c r="I1441" i="11"/>
  <c r="J1453" i="11"/>
  <c r="J1459" i="11"/>
  <c r="J1471" i="11"/>
  <c r="I1477" i="11"/>
  <c r="I1483" i="11"/>
  <c r="J1489" i="11"/>
  <c r="I1501" i="11"/>
  <c r="J1507" i="11"/>
  <c r="I1513" i="11"/>
  <c r="I1519" i="11"/>
  <c r="J1525" i="11"/>
  <c r="I1531" i="11"/>
  <c r="J1543" i="11"/>
  <c r="I1549" i="11"/>
  <c r="J1561" i="11"/>
  <c r="J1567" i="11"/>
  <c r="I1573" i="11"/>
  <c r="I1579" i="11"/>
  <c r="J1585" i="11"/>
  <c r="J1603" i="11"/>
  <c r="J1609" i="11"/>
  <c r="I1615" i="11"/>
  <c r="I1627" i="11"/>
  <c r="J1633" i="11"/>
  <c r="N1633" i="11" s="1"/>
  <c r="J1639" i="11"/>
  <c r="I1645" i="11"/>
  <c r="J1651" i="11"/>
  <c r="I1663" i="11"/>
  <c r="I1669" i="11"/>
  <c r="I1681" i="11"/>
  <c r="I1687" i="11"/>
  <c r="I1693" i="11"/>
  <c r="I1699" i="11"/>
  <c r="I1705" i="11"/>
  <c r="J427" i="11"/>
  <c r="I469" i="11"/>
  <c r="I1051" i="11"/>
  <c r="J793" i="11"/>
  <c r="I793" i="11"/>
  <c r="J1423" i="11"/>
  <c r="I1423" i="11"/>
  <c r="J493" i="11"/>
  <c r="I523" i="11"/>
  <c r="J1303" i="11"/>
  <c r="I1303" i="11"/>
  <c r="J1339" i="11"/>
  <c r="I1339" i="11"/>
  <c r="J1429" i="11"/>
  <c r="I1429" i="11"/>
  <c r="J1465" i="11"/>
  <c r="I1465" i="11"/>
  <c r="J1495" i="11"/>
  <c r="I1495" i="11"/>
  <c r="J1057" i="11"/>
  <c r="I1057" i="11"/>
  <c r="J1225" i="11"/>
  <c r="I1225" i="11"/>
  <c r="J1537" i="11"/>
  <c r="I1537" i="11"/>
  <c r="J439" i="11"/>
  <c r="J511" i="11"/>
  <c r="J583" i="11"/>
  <c r="I925" i="11"/>
  <c r="I1525" i="11"/>
  <c r="J475" i="11"/>
  <c r="I787" i="11"/>
  <c r="I853" i="11"/>
  <c r="I865" i="11"/>
  <c r="J421" i="11"/>
  <c r="I421" i="11"/>
  <c r="J1219" i="11"/>
  <c r="I1219" i="11"/>
  <c r="J1321" i="11"/>
  <c r="I1321" i="11"/>
  <c r="J1411" i="11"/>
  <c r="J457" i="11"/>
  <c r="I457" i="11"/>
  <c r="I859" i="11"/>
  <c r="J859" i="11"/>
  <c r="I529" i="11"/>
  <c r="J1441" i="11"/>
  <c r="I1459" i="11"/>
  <c r="J1579" i="11"/>
  <c r="J415" i="11"/>
  <c r="I415" i="11"/>
  <c r="J535" i="11"/>
  <c r="I535" i="11"/>
  <c r="I595" i="11"/>
  <c r="J595" i="11"/>
  <c r="J1045" i="11"/>
  <c r="I1045" i="11"/>
  <c r="I1237" i="11"/>
  <c r="J1237" i="11"/>
  <c r="J391" i="11"/>
  <c r="D392" i="70" s="1"/>
  <c r="I403" i="11"/>
  <c r="J433" i="11"/>
  <c r="I481" i="11"/>
  <c r="J919" i="11"/>
  <c r="I847" i="11"/>
  <c r="J847" i="11"/>
  <c r="J1231" i="11"/>
  <c r="I1231" i="11"/>
  <c r="I1267" i="11"/>
  <c r="J1267" i="11"/>
  <c r="I499" i="11"/>
  <c r="I757" i="11"/>
  <c r="I871" i="11"/>
  <c r="I1561" i="11"/>
  <c r="J1063" i="11"/>
  <c r="I1063" i="11"/>
  <c r="J463" i="11"/>
  <c r="I517" i="11"/>
  <c r="I943" i="11"/>
  <c r="I1039" i="11"/>
  <c r="J1477" i="11"/>
  <c r="J451" i="11"/>
  <c r="I451" i="11"/>
  <c r="J1447" i="11"/>
  <c r="I1447" i="11"/>
  <c r="I445" i="11"/>
  <c r="J1315" i="11"/>
  <c r="I1543" i="11"/>
  <c r="J1573" i="11"/>
  <c r="I1585" i="11"/>
  <c r="I428" i="11"/>
  <c r="I464" i="11"/>
  <c r="I476" i="11"/>
  <c r="J488" i="11"/>
  <c r="I398" i="11"/>
  <c r="J1627" i="11"/>
  <c r="J1645" i="11"/>
  <c r="G1710" i="11"/>
  <c r="H1710" i="11"/>
  <c r="J492" i="11"/>
  <c r="I492" i="11"/>
  <c r="J501" i="11"/>
  <c r="I501" i="11"/>
  <c r="J510" i="11"/>
  <c r="I510" i="11"/>
  <c r="J607" i="11"/>
  <c r="I607" i="11"/>
  <c r="J573" i="11"/>
  <c r="I573" i="11"/>
  <c r="J519" i="11"/>
  <c r="I519" i="11"/>
  <c r="J605" i="11"/>
  <c r="I605" i="11"/>
  <c r="J528" i="11"/>
  <c r="I528" i="11"/>
  <c r="J571" i="11"/>
  <c r="I571" i="11"/>
  <c r="J537" i="11"/>
  <c r="I537" i="11"/>
  <c r="J485" i="11"/>
  <c r="J494" i="11"/>
  <c r="J503" i="11"/>
  <c r="J512" i="11"/>
  <c r="J521" i="11"/>
  <c r="J530" i="11"/>
  <c r="J539" i="11"/>
  <c r="J541" i="11"/>
  <c r="J543" i="11"/>
  <c r="J545" i="11"/>
  <c r="J547" i="11"/>
  <c r="J549" i="11"/>
  <c r="J551" i="11"/>
  <c r="J553" i="11"/>
  <c r="J555" i="11"/>
  <c r="J557" i="11"/>
  <c r="J559" i="11"/>
  <c r="J561" i="11"/>
  <c r="J563" i="11"/>
  <c r="J565" i="11"/>
  <c r="J567" i="11"/>
  <c r="J569" i="11"/>
  <c r="J626" i="11"/>
  <c r="J629" i="11"/>
  <c r="J584" i="11"/>
  <c r="I586" i="11"/>
  <c r="J667" i="11"/>
  <c r="I487" i="11"/>
  <c r="I496" i="11"/>
  <c r="I505" i="11"/>
  <c r="I514" i="11"/>
  <c r="J599" i="11"/>
  <c r="I601" i="11"/>
  <c r="I616" i="11"/>
  <c r="J693" i="11"/>
  <c r="J578" i="11"/>
  <c r="I614" i="11"/>
  <c r="I649" i="11"/>
  <c r="I491" i="11"/>
  <c r="I500" i="11"/>
  <c r="J703" i="11"/>
  <c r="J716" i="11"/>
  <c r="J781" i="11"/>
  <c r="I538" i="11"/>
  <c r="J540" i="11"/>
  <c r="J542" i="11"/>
  <c r="J544" i="11"/>
  <c r="J546" i="11"/>
  <c r="J548" i="11"/>
  <c r="J550" i="11"/>
  <c r="J552" i="11"/>
  <c r="J554" i="11"/>
  <c r="J556" i="11"/>
  <c r="J558" i="11"/>
  <c r="J560" i="11"/>
  <c r="J562" i="11"/>
  <c r="J564" i="11"/>
  <c r="J566" i="11"/>
  <c r="J587" i="11"/>
  <c r="I589" i="11"/>
  <c r="I608" i="11"/>
  <c r="I619" i="11"/>
  <c r="J640" i="11"/>
  <c r="J675" i="11"/>
  <c r="J775" i="11"/>
  <c r="J486" i="11"/>
  <c r="J495" i="11"/>
  <c r="J504" i="11"/>
  <c r="J513" i="11"/>
  <c r="N513" i="11" s="1"/>
  <c r="J522" i="11"/>
  <c r="J531" i="11"/>
  <c r="I568" i="11"/>
  <c r="I570" i="11"/>
  <c r="I604" i="11"/>
  <c r="I617" i="11"/>
  <c r="J631" i="11"/>
  <c r="J769" i="11"/>
  <c r="J763" i="11"/>
  <c r="J685" i="11"/>
  <c r="J727" i="11"/>
  <c r="I752" i="11"/>
  <c r="J575" i="11"/>
  <c r="I577" i="11"/>
  <c r="I579" i="11"/>
  <c r="I613" i="11"/>
  <c r="J647" i="11"/>
  <c r="J657" i="11"/>
  <c r="J662" i="11"/>
  <c r="J680" i="11"/>
  <c r="J698" i="11"/>
  <c r="J719" i="11"/>
  <c r="J730" i="11"/>
  <c r="J652" i="11"/>
  <c r="I660" i="11"/>
  <c r="I665" i="11"/>
  <c r="J670" i="11"/>
  <c r="I678" i="11"/>
  <c r="I683" i="11"/>
  <c r="J688" i="11"/>
  <c r="I696" i="11"/>
  <c r="I701" i="11"/>
  <c r="J706" i="11"/>
  <c r="J722" i="11"/>
  <c r="I725" i="11"/>
  <c r="J733" i="11"/>
  <c r="I736" i="11"/>
  <c r="J755" i="11"/>
  <c r="I623" i="11"/>
  <c r="I625" i="11"/>
  <c r="J627" i="11"/>
  <c r="I634" i="11"/>
  <c r="J636" i="11"/>
  <c r="I643" i="11"/>
  <c r="J645" i="11"/>
  <c r="I655" i="11"/>
  <c r="I673" i="11"/>
  <c r="I691" i="11"/>
  <c r="I709" i="11"/>
  <c r="I728" i="11"/>
  <c r="I739" i="11"/>
  <c r="I758" i="11"/>
  <c r="I838" i="11"/>
  <c r="I630" i="11"/>
  <c r="N630" i="11" s="1"/>
  <c r="I639" i="11"/>
  <c r="I648" i="11"/>
  <c r="N648" i="11" s="1"/>
  <c r="J650" i="11"/>
  <c r="I658" i="11"/>
  <c r="J668" i="11"/>
  <c r="I676" i="11"/>
  <c r="J686" i="11"/>
  <c r="I694" i="11"/>
  <c r="J704" i="11"/>
  <c r="I712" i="11"/>
  <c r="J717" i="11"/>
  <c r="J731" i="11"/>
  <c r="I734" i="11"/>
  <c r="J742" i="11"/>
  <c r="I745" i="11"/>
  <c r="I829" i="11"/>
  <c r="I912" i="11"/>
  <c r="J912" i="11"/>
  <c r="I628" i="11"/>
  <c r="I637" i="11"/>
  <c r="I646" i="11"/>
  <c r="J653" i="11"/>
  <c r="I661" i="11"/>
  <c r="J671" i="11"/>
  <c r="I679" i="11"/>
  <c r="J689" i="11"/>
  <c r="I697" i="11"/>
  <c r="J707" i="11"/>
  <c r="I715" i="11"/>
  <c r="J737" i="11"/>
  <c r="I740" i="11"/>
  <c r="I751" i="11"/>
  <c r="I820" i="11"/>
  <c r="J666" i="11"/>
  <c r="J684" i="11"/>
  <c r="J702" i="11"/>
  <c r="J726" i="11"/>
  <c r="I811" i="11"/>
  <c r="J656" i="11"/>
  <c r="J674" i="11"/>
  <c r="J692" i="11"/>
  <c r="J710" i="11"/>
  <c r="J718" i="11"/>
  <c r="J743" i="11"/>
  <c r="J622" i="11"/>
  <c r="I654" i="11"/>
  <c r="I659" i="11"/>
  <c r="J664" i="11"/>
  <c r="I672" i="11"/>
  <c r="I677" i="11"/>
  <c r="J682" i="11"/>
  <c r="I690" i="11"/>
  <c r="I695" i="11"/>
  <c r="J700" i="11"/>
  <c r="I708" i="11"/>
  <c r="I713" i="11"/>
  <c r="J721" i="11"/>
  <c r="I724" i="11"/>
  <c r="J746" i="11"/>
  <c r="I749" i="11"/>
  <c r="I802" i="11"/>
  <c r="J761" i="11"/>
  <c r="J765" i="11"/>
  <c r="J767" i="11"/>
  <c r="J771" i="11"/>
  <c r="J773" i="11"/>
  <c r="J777" i="11"/>
  <c r="J779" i="11"/>
  <c r="J783" i="11"/>
  <c r="J785" i="11"/>
  <c r="J789" i="11"/>
  <c r="J791" i="11"/>
  <c r="J795" i="11"/>
  <c r="J804" i="11"/>
  <c r="J813" i="11"/>
  <c r="J822" i="11"/>
  <c r="J831" i="11"/>
  <c r="J840" i="11"/>
  <c r="I845" i="11"/>
  <c r="I906" i="11"/>
  <c r="I800" i="11"/>
  <c r="I809" i="11"/>
  <c r="I818" i="11"/>
  <c r="I827" i="11"/>
  <c r="I836" i="11"/>
  <c r="I848" i="11"/>
  <c r="I873" i="11"/>
  <c r="I927" i="11"/>
  <c r="J927" i="11"/>
  <c r="J798" i="11"/>
  <c r="J807" i="11"/>
  <c r="J816" i="11"/>
  <c r="J825" i="11"/>
  <c r="J834" i="11"/>
  <c r="I851" i="11"/>
  <c r="J796" i="11"/>
  <c r="J805" i="11"/>
  <c r="J814" i="11"/>
  <c r="N814" i="11" s="1"/>
  <c r="J823" i="11"/>
  <c r="J832" i="11"/>
  <c r="J841" i="11"/>
  <c r="J846" i="11"/>
  <c r="J881" i="11"/>
  <c r="J951" i="11"/>
  <c r="J762" i="11"/>
  <c r="J764" i="11"/>
  <c r="J768" i="11"/>
  <c r="J770" i="11"/>
  <c r="J774" i="11"/>
  <c r="J776" i="11"/>
  <c r="J780" i="11"/>
  <c r="J782" i="11"/>
  <c r="J786" i="11"/>
  <c r="J788" i="11"/>
  <c r="J792" i="11"/>
  <c r="J794" i="11"/>
  <c r="I803" i="11"/>
  <c r="I812" i="11"/>
  <c r="I821" i="11"/>
  <c r="I864" i="11"/>
  <c r="I876" i="11"/>
  <c r="J933" i="11"/>
  <c r="J966" i="11"/>
  <c r="I966" i="11"/>
  <c r="I969" i="11"/>
  <c r="J830" i="11"/>
  <c r="J839" i="11"/>
  <c r="J849" i="11"/>
  <c r="J984" i="11"/>
  <c r="I984" i="11"/>
  <c r="I987" i="11"/>
  <c r="I867" i="11"/>
  <c r="I885" i="11"/>
  <c r="J885" i="11"/>
  <c r="J799" i="11"/>
  <c r="J808" i="11"/>
  <c r="J817" i="11"/>
  <c r="J826" i="11"/>
  <c r="J835" i="11"/>
  <c r="J852" i="11"/>
  <c r="I908" i="11"/>
  <c r="J908" i="11"/>
  <c r="I797" i="11"/>
  <c r="I806" i="11"/>
  <c r="I815" i="11"/>
  <c r="I824" i="11"/>
  <c r="I833" i="11"/>
  <c r="I842" i="11"/>
  <c r="I883" i="11"/>
  <c r="I904" i="11"/>
  <c r="I910" i="11"/>
  <c r="I916" i="11"/>
  <c r="I956" i="11"/>
  <c r="I964" i="11"/>
  <c r="I974" i="11"/>
  <c r="I982" i="11"/>
  <c r="J992" i="11"/>
  <c r="I889" i="11"/>
  <c r="J931" i="11"/>
  <c r="I936" i="11"/>
  <c r="J940" i="11"/>
  <c r="I945" i="11"/>
  <c r="J949" i="11"/>
  <c r="I959" i="11"/>
  <c r="I967" i="11"/>
  <c r="I977" i="11"/>
  <c r="I985" i="11"/>
  <c r="J998" i="11"/>
  <c r="I993" i="11"/>
  <c r="I1004" i="11"/>
  <c r="I891" i="11"/>
  <c r="J957" i="11"/>
  <c r="J962" i="11"/>
  <c r="J975" i="11"/>
  <c r="J980" i="11"/>
  <c r="J996" i="11"/>
  <c r="J893" i="11"/>
  <c r="J895" i="11"/>
  <c r="I899" i="11"/>
  <c r="I901" i="11"/>
  <c r="I907" i="11"/>
  <c r="I909" i="11"/>
  <c r="I917" i="11"/>
  <c r="I955" i="11"/>
  <c r="I965" i="11"/>
  <c r="I973" i="11"/>
  <c r="I983" i="11"/>
  <c r="I991" i="11"/>
  <c r="I994" i="11"/>
  <c r="J999" i="11"/>
  <c r="I866" i="11"/>
  <c r="I869" i="11"/>
  <c r="I872" i="11"/>
  <c r="I877" i="11"/>
  <c r="J913" i="11"/>
  <c r="I915" i="11"/>
  <c r="I937" i="11"/>
  <c r="J937" i="11"/>
  <c r="I946" i="11"/>
  <c r="J946" i="11"/>
  <c r="I958" i="11"/>
  <c r="I968" i="11"/>
  <c r="I976" i="11"/>
  <c r="I986" i="11"/>
  <c r="I997" i="11"/>
  <c r="I1000" i="11"/>
  <c r="I1002" i="11"/>
  <c r="I1011" i="11"/>
  <c r="J884" i="11"/>
  <c r="J886" i="11"/>
  <c r="J903" i="11"/>
  <c r="J928" i="11"/>
  <c r="I894" i="11"/>
  <c r="J926" i="11"/>
  <c r="I935" i="11"/>
  <c r="I944" i="11"/>
  <c r="I953" i="11"/>
  <c r="I961" i="11"/>
  <c r="I971" i="11"/>
  <c r="I979" i="11"/>
  <c r="I1003" i="11"/>
  <c r="I911" i="11"/>
  <c r="I920" i="11"/>
  <c r="I929" i="11"/>
  <c r="I938" i="11"/>
  <c r="I947" i="11"/>
  <c r="I1041" i="11"/>
  <c r="I1053" i="11"/>
  <c r="I1065" i="11"/>
  <c r="J1085" i="11"/>
  <c r="I1046" i="11"/>
  <c r="J1094" i="11"/>
  <c r="I1009" i="11"/>
  <c r="I1015" i="11"/>
  <c r="I1021" i="11"/>
  <c r="I1027" i="11"/>
  <c r="I1037" i="11"/>
  <c r="I1044" i="11"/>
  <c r="I1056" i="11"/>
  <c r="I1074" i="11"/>
  <c r="I1083" i="11"/>
  <c r="J995" i="11"/>
  <c r="J1001" i="11"/>
  <c r="J1007" i="11"/>
  <c r="J1013" i="11"/>
  <c r="J1019" i="11"/>
  <c r="J1025" i="11"/>
  <c r="I1029" i="11"/>
  <c r="J1031" i="11"/>
  <c r="J1033" i="11"/>
  <c r="I1059" i="11"/>
  <c r="I1092" i="11"/>
  <c r="N1092" i="11" s="1"/>
  <c r="J1123" i="11"/>
  <c r="I1123" i="11"/>
  <c r="J1112" i="11"/>
  <c r="I1112" i="11"/>
  <c r="I887" i="11"/>
  <c r="I896" i="11"/>
  <c r="I905" i="11"/>
  <c r="I914" i="11"/>
  <c r="I923" i="11"/>
  <c r="I932" i="11"/>
  <c r="I941" i="11"/>
  <c r="I950" i="11"/>
  <c r="I1040" i="11"/>
  <c r="I1052" i="11"/>
  <c r="J1067" i="11"/>
  <c r="I1006" i="11"/>
  <c r="I1012" i="11"/>
  <c r="I1018" i="11"/>
  <c r="I1024" i="11"/>
  <c r="I1030" i="11"/>
  <c r="I1038" i="11"/>
  <c r="I1050" i="11"/>
  <c r="I1062" i="11"/>
  <c r="J1101" i="11"/>
  <c r="I1101" i="11"/>
  <c r="J1144" i="11"/>
  <c r="I1144" i="11"/>
  <c r="I1016" i="11"/>
  <c r="I1022" i="11"/>
  <c r="I1028" i="11"/>
  <c r="I1034" i="11"/>
  <c r="J1130" i="11"/>
  <c r="J1072" i="11"/>
  <c r="J1081" i="11"/>
  <c r="J1090" i="11"/>
  <c r="J1099" i="11"/>
  <c r="J1108" i="11"/>
  <c r="J1135" i="11"/>
  <c r="I1135" i="11"/>
  <c r="J1147" i="11"/>
  <c r="I1147" i="11"/>
  <c r="J1069" i="11"/>
  <c r="J1078" i="11"/>
  <c r="J1087" i="11"/>
  <c r="J1096" i="11"/>
  <c r="J1105" i="11"/>
  <c r="I1114" i="11"/>
  <c r="J1122" i="11"/>
  <c r="I1122" i="11"/>
  <c r="I1214" i="11"/>
  <c r="J1133" i="11"/>
  <c r="J1138" i="11"/>
  <c r="I1138" i="11"/>
  <c r="I1120" i="11"/>
  <c r="I1151" i="11"/>
  <c r="I1160" i="11"/>
  <c r="I1169" i="11"/>
  <c r="I1178" i="11"/>
  <c r="I1187" i="11"/>
  <c r="I1196" i="11"/>
  <c r="I1205" i="11"/>
  <c r="I1073" i="11"/>
  <c r="I1082" i="11"/>
  <c r="J1141" i="11"/>
  <c r="I1141" i="11"/>
  <c r="J1238" i="11"/>
  <c r="I1238" i="11"/>
  <c r="J1066" i="11"/>
  <c r="J1075" i="11"/>
  <c r="J1084" i="11"/>
  <c r="J1093" i="11"/>
  <c r="J1102" i="11"/>
  <c r="J1113" i="11"/>
  <c r="J1068" i="11"/>
  <c r="J1077" i="11"/>
  <c r="J1086" i="11"/>
  <c r="J1095" i="11"/>
  <c r="J1104" i="11"/>
  <c r="I1111" i="11"/>
  <c r="I1115" i="11"/>
  <c r="I1127" i="11"/>
  <c r="I1129" i="11"/>
  <c r="I1142" i="11"/>
  <c r="I1235" i="11"/>
  <c r="I1153" i="11"/>
  <c r="I1162" i="11"/>
  <c r="I1171" i="11"/>
  <c r="I1180" i="11"/>
  <c r="I1189" i="11"/>
  <c r="I1198" i="11"/>
  <c r="I1207" i="11"/>
  <c r="J1221" i="11"/>
  <c r="J1368" i="11"/>
  <c r="I1368" i="11"/>
  <c r="I1149" i="11"/>
  <c r="I1158" i="11"/>
  <c r="I1167" i="11"/>
  <c r="I1176" i="11"/>
  <c r="I1185" i="11"/>
  <c r="I1194" i="11"/>
  <c r="I1203" i="11"/>
  <c r="I1212" i="11"/>
  <c r="J1156" i="11"/>
  <c r="J1165" i="11"/>
  <c r="J1174" i="11"/>
  <c r="J1183" i="11"/>
  <c r="J1192" i="11"/>
  <c r="J1201" i="11"/>
  <c r="J1210" i="11"/>
  <c r="I1215" i="11"/>
  <c r="I1217" i="11"/>
  <c r="J1152" i="11"/>
  <c r="J1161" i="11"/>
  <c r="J1170" i="11"/>
  <c r="N1170" i="11" s="1"/>
  <c r="J1179" i="11"/>
  <c r="J1188" i="11"/>
  <c r="J1197" i="11"/>
  <c r="J1206" i="11"/>
  <c r="I1271" i="11"/>
  <c r="I1125" i="11"/>
  <c r="I1128" i="11"/>
  <c r="I1220" i="11"/>
  <c r="J1150" i="11"/>
  <c r="J1159" i="11"/>
  <c r="J1168" i="11"/>
  <c r="J1177" i="11"/>
  <c r="J1186" i="11"/>
  <c r="J1195" i="11"/>
  <c r="J1204" i="11"/>
  <c r="J1213" i="11"/>
  <c r="J1218" i="11"/>
  <c r="I1155" i="11"/>
  <c r="I1164" i="11"/>
  <c r="I1173" i="11"/>
  <c r="I1182" i="11"/>
  <c r="I1191" i="11"/>
  <c r="I1200" i="11"/>
  <c r="I1209" i="11"/>
  <c r="I1240" i="11"/>
  <c r="I1245" i="11"/>
  <c r="J1250" i="11"/>
  <c r="J1255" i="11"/>
  <c r="I1263" i="11"/>
  <c r="J1268" i="11"/>
  <c r="J1273" i="11"/>
  <c r="I1281" i="11"/>
  <c r="J1286" i="11"/>
  <c r="J1291" i="11"/>
  <c r="J1318" i="11"/>
  <c r="I1258" i="11"/>
  <c r="I1276" i="11"/>
  <c r="J1289" i="11"/>
  <c r="J1294" i="11"/>
  <c r="J1312" i="11"/>
  <c r="I1325" i="11"/>
  <c r="J1337" i="11"/>
  <c r="I1337" i="11"/>
  <c r="J1350" i="11"/>
  <c r="I1350" i="11"/>
  <c r="J1451" i="11"/>
  <c r="I1451" i="11"/>
  <c r="J1248" i="11"/>
  <c r="J1266" i="11"/>
  <c r="J1284" i="11"/>
  <c r="J1309" i="11"/>
  <c r="I1322" i="11"/>
  <c r="J1345" i="11"/>
  <c r="J1394" i="11"/>
  <c r="I1394" i="11"/>
  <c r="J1448" i="11"/>
  <c r="I1448" i="11"/>
  <c r="J1243" i="11"/>
  <c r="I1251" i="11"/>
  <c r="J1256" i="11"/>
  <c r="J1261" i="11"/>
  <c r="I1269" i="11"/>
  <c r="J1274" i="11"/>
  <c r="J1279" i="11"/>
  <c r="I1287" i="11"/>
  <c r="J1292" i="11"/>
  <c r="J1297" i="11"/>
  <c r="J1306" i="11"/>
  <c r="I1319" i="11"/>
  <c r="I1364" i="11"/>
  <c r="J1364" i="11"/>
  <c r="I1239" i="11"/>
  <c r="J1246" i="11"/>
  <c r="I1254" i="11"/>
  <c r="J1259" i="11"/>
  <c r="J1264" i="11"/>
  <c r="I1272" i="11"/>
  <c r="J1277" i="11"/>
  <c r="J1282" i="11"/>
  <c r="I1290" i="11"/>
  <c r="J1295" i="11"/>
  <c r="J1310" i="11"/>
  <c r="J1410" i="11"/>
  <c r="I1410" i="11"/>
  <c r="J1484" i="11"/>
  <c r="I1484" i="11"/>
  <c r="I1285" i="11"/>
  <c r="I1332" i="11"/>
  <c r="I1343" i="11"/>
  <c r="J1361" i="11"/>
  <c r="I1361" i="11"/>
  <c r="J1244" i="11"/>
  <c r="J1249" i="11"/>
  <c r="J1262" i="11"/>
  <c r="I1371" i="11"/>
  <c r="J1371" i="11"/>
  <c r="I1389" i="11"/>
  <c r="J1389" i="11"/>
  <c r="I1252" i="11"/>
  <c r="J1257" i="11"/>
  <c r="I1270" i="11"/>
  <c r="J1275" i="11"/>
  <c r="I1288" i="11"/>
  <c r="J1293" i="11"/>
  <c r="J1324" i="11"/>
  <c r="I1324" i="11"/>
  <c r="I1242" i="11"/>
  <c r="I1260" i="11"/>
  <c r="I1278" i="11"/>
  <c r="I1296" i="11"/>
  <c r="J1404" i="11"/>
  <c r="I1404" i="11"/>
  <c r="I1330" i="11"/>
  <c r="J1366" i="11"/>
  <c r="J1373" i="11"/>
  <c r="J1391" i="11"/>
  <c r="I1407" i="11"/>
  <c r="I1479" i="11"/>
  <c r="J1492" i="11"/>
  <c r="I1327" i="11"/>
  <c r="I1355" i="11"/>
  <c r="J1386" i="11"/>
  <c r="I1386" i="11"/>
  <c r="I1402" i="11"/>
  <c r="I1412" i="11"/>
  <c r="J1420" i="11"/>
  <c r="I1443" i="11"/>
  <c r="I1342" i="11"/>
  <c r="I1376" i="11"/>
  <c r="J1384" i="11"/>
  <c r="I1392" i="11"/>
  <c r="I1400" i="11"/>
  <c r="I1415" i="11"/>
  <c r="J1474" i="11"/>
  <c r="I1487" i="11"/>
  <c r="I1351" i="11"/>
  <c r="J1369" i="11"/>
  <c r="I1374" i="11"/>
  <c r="J1405" i="11"/>
  <c r="J1466" i="11"/>
  <c r="I1466" i="11"/>
  <c r="J1360" i="11"/>
  <c r="J1365" i="11"/>
  <c r="I1365" i="11"/>
  <c r="I1379" i="11"/>
  <c r="J1387" i="11"/>
  <c r="J1438" i="11"/>
  <c r="I1461" i="11"/>
  <c r="I1507" i="11"/>
  <c r="I1336" i="11"/>
  <c r="I1356" i="11"/>
  <c r="J1430" i="11"/>
  <c r="I1430" i="11"/>
  <c r="I1456" i="11"/>
  <c r="J1497" i="11"/>
  <c r="J1502" i="11"/>
  <c r="I1333" i="11"/>
  <c r="I1348" i="11"/>
  <c r="I1425" i="11"/>
  <c r="I1433" i="11"/>
  <c r="J1555" i="11"/>
  <c r="I1555" i="11"/>
  <c r="I1516" i="11"/>
  <c r="I1544" i="11"/>
  <c r="I1553" i="11"/>
  <c r="J1509" i="11"/>
  <c r="J1551" i="11"/>
  <c r="J1564" i="11"/>
  <c r="I1564" i="11"/>
  <c r="I1363" i="11"/>
  <c r="I1381" i="11"/>
  <c r="I1399" i="11"/>
  <c r="I1417" i="11"/>
  <c r="I1435" i="11"/>
  <c r="I1453" i="11"/>
  <c r="I1471" i="11"/>
  <c r="I1489" i="11"/>
  <c r="I1521" i="11"/>
  <c r="I1562" i="11"/>
  <c r="I1422" i="11"/>
  <c r="I1440" i="11"/>
  <c r="I1458" i="11"/>
  <c r="I1476" i="11"/>
  <c r="I1494" i="11"/>
  <c r="I1504" i="11"/>
  <c r="I1515" i="11"/>
  <c r="J1538" i="11"/>
  <c r="J1540" i="11"/>
  <c r="I1508" i="11"/>
  <c r="J1513" i="11"/>
  <c r="I1517" i="11"/>
  <c r="J1531" i="11"/>
  <c r="J1549" i="11"/>
  <c r="I1571" i="11"/>
  <c r="I1357" i="11"/>
  <c r="I1375" i="11"/>
  <c r="I1393" i="11"/>
  <c r="J1519" i="11"/>
  <c r="I1354" i="11"/>
  <c r="I1372" i="11"/>
  <c r="I1390" i="11"/>
  <c r="I1408" i="11"/>
  <c r="I1426" i="11"/>
  <c r="I1444" i="11"/>
  <c r="I1462" i="11"/>
  <c r="I1480" i="11"/>
  <c r="J1483" i="11"/>
  <c r="I1498" i="11"/>
  <c r="J1501" i="11"/>
  <c r="I1526" i="11"/>
  <c r="I1539" i="11"/>
  <c r="I1580" i="11"/>
  <c r="J1530" i="11"/>
  <c r="J1548" i="11"/>
  <c r="J1597" i="11"/>
  <c r="J1600" i="11"/>
  <c r="J1545" i="11"/>
  <c r="J1557" i="11"/>
  <c r="J1566" i="11"/>
  <c r="J1575" i="11"/>
  <c r="J1584" i="11"/>
  <c r="I1640" i="11"/>
  <c r="J1658" i="11"/>
  <c r="J1506" i="11"/>
  <c r="J1524" i="11"/>
  <c r="J1542" i="11"/>
  <c r="J1587" i="11"/>
  <c r="I1629" i="11"/>
  <c r="I1647" i="11"/>
  <c r="I1659" i="11"/>
  <c r="J1665" i="11"/>
  <c r="I1620" i="11"/>
  <c r="J1635" i="11"/>
  <c r="J1641" i="11"/>
  <c r="J1653" i="11"/>
  <c r="J1590" i="11"/>
  <c r="I1593" i="11"/>
  <c r="J1611" i="11"/>
  <c r="N1611" i="11" s="1"/>
  <c r="I1583" i="11"/>
  <c r="I1588" i="11"/>
  <c r="J1602" i="11"/>
  <c r="I1621" i="11"/>
  <c r="I1624" i="11"/>
  <c r="I1630" i="11"/>
  <c r="I1642" i="11"/>
  <c r="I1648" i="11"/>
  <c r="J1660" i="11"/>
  <c r="I1636" i="11"/>
  <c r="I1654" i="11"/>
  <c r="I1558" i="11"/>
  <c r="I1567" i="11"/>
  <c r="I1591" i="11"/>
  <c r="I1594" i="11"/>
  <c r="I1603" i="11"/>
  <c r="I1606" i="11"/>
  <c r="I1609" i="11"/>
  <c r="J1612" i="11"/>
  <c r="J1615" i="11"/>
  <c r="J1618" i="11"/>
  <c r="I1667" i="11"/>
  <c r="J1668" i="11"/>
  <c r="J1671" i="11"/>
  <c r="J1674" i="11"/>
  <c r="J1677" i="11"/>
  <c r="J1680" i="11"/>
  <c r="J1683" i="11"/>
  <c r="J1686" i="11"/>
  <c r="J1689" i="11"/>
  <c r="J1692" i="11"/>
  <c r="J1695" i="11"/>
  <c r="J1698" i="11"/>
  <c r="J1701" i="11"/>
  <c r="J1704" i="11"/>
  <c r="J1707" i="11"/>
  <c r="J1586" i="11"/>
  <c r="J1595" i="11"/>
  <c r="J1604" i="11"/>
  <c r="J1613" i="11"/>
  <c r="J1622" i="11"/>
  <c r="I1632" i="11"/>
  <c r="J1637" i="11"/>
  <c r="I1650" i="11"/>
  <c r="J1655" i="11"/>
  <c r="J1666" i="11"/>
  <c r="J1669" i="11"/>
  <c r="J1672" i="11"/>
  <c r="J1675" i="11"/>
  <c r="J1678" i="11"/>
  <c r="J1681" i="11"/>
  <c r="J1684" i="11"/>
  <c r="J1687" i="11"/>
  <c r="J1690" i="11"/>
  <c r="N1690" i="11" s="1"/>
  <c r="J1693" i="11"/>
  <c r="J1696" i="11"/>
  <c r="N1696" i="11" s="1"/>
  <c r="J1699" i="11"/>
  <c r="J1702" i="11"/>
  <c r="J1705" i="11"/>
  <c r="J1589" i="11"/>
  <c r="J1598" i="11"/>
  <c r="J1607" i="11"/>
  <c r="J1616" i="11"/>
  <c r="J1625" i="11"/>
  <c r="I1638" i="11"/>
  <c r="J1643" i="11"/>
  <c r="I1656" i="11"/>
  <c r="J1661" i="11"/>
  <c r="I1596" i="11"/>
  <c r="I1605" i="11"/>
  <c r="I1614" i="11"/>
  <c r="I1623" i="11"/>
  <c r="I1628" i="11"/>
  <c r="I1646" i="11"/>
  <c r="I1664" i="11"/>
  <c r="J1670" i="11"/>
  <c r="J1673" i="11"/>
  <c r="J1676" i="11"/>
  <c r="J1679" i="11"/>
  <c r="J1682" i="11"/>
  <c r="J1685" i="11"/>
  <c r="J1688" i="11"/>
  <c r="J1691" i="11"/>
  <c r="J1694" i="11"/>
  <c r="N1694" i="11" s="1"/>
  <c r="J1697" i="11"/>
  <c r="J1700" i="11"/>
  <c r="J1703" i="11"/>
  <c r="J1706" i="11"/>
  <c r="J1601" i="11"/>
  <c r="J1610" i="11"/>
  <c r="J1619" i="11"/>
  <c r="I1626" i="11"/>
  <c r="J1631" i="11"/>
  <c r="J1649" i="11"/>
  <c r="I1608" i="11"/>
  <c r="I1617" i="11"/>
  <c r="I1634" i="11"/>
  <c r="I1652" i="11"/>
  <c r="J1657" i="11"/>
  <c r="J1662" i="11"/>
  <c r="J46" i="38"/>
  <c r="I46" i="38"/>
  <c r="J44" i="38"/>
  <c r="I44" i="38"/>
  <c r="J43" i="38"/>
  <c r="I43" i="38"/>
  <c r="J42" i="38"/>
  <c r="I42" i="38"/>
  <c r="J41" i="38"/>
  <c r="I41" i="38"/>
  <c r="J39" i="38"/>
  <c r="I39" i="38"/>
  <c r="J37" i="38"/>
  <c r="I37" i="38"/>
  <c r="J36" i="38"/>
  <c r="I36" i="38"/>
  <c r="J35" i="38"/>
  <c r="I35" i="38"/>
  <c r="J34" i="38"/>
  <c r="I34" i="38"/>
  <c r="J32" i="38"/>
  <c r="I32" i="38"/>
  <c r="J30" i="38"/>
  <c r="I30" i="38"/>
  <c r="J29" i="38"/>
  <c r="I29" i="38"/>
  <c r="J28" i="38"/>
  <c r="I28" i="38"/>
  <c r="J27" i="38"/>
  <c r="I27" i="38"/>
  <c r="J25" i="38"/>
  <c r="I25" i="38"/>
  <c r="J23" i="38"/>
  <c r="I23" i="38"/>
  <c r="J22" i="38"/>
  <c r="J21" i="38"/>
  <c r="I21" i="38"/>
  <c r="F26" i="38"/>
  <c r="P28" i="38"/>
  <c r="P29" i="38"/>
  <c r="R29" i="38" s="1"/>
  <c r="P30" i="38"/>
  <c r="R30" i="38" s="1"/>
  <c r="P31" i="38"/>
  <c r="R31" i="38" s="1"/>
  <c r="P32" i="38"/>
  <c r="R32" i="38" s="1"/>
  <c r="O32" i="38"/>
  <c r="Q32" i="38" s="1"/>
  <c r="O31" i="38"/>
  <c r="Q31" i="38" s="1"/>
  <c r="O30" i="38"/>
  <c r="Q30" i="38" s="1"/>
  <c r="O29" i="38"/>
  <c r="Q29" i="38" s="1"/>
  <c r="O28" i="38"/>
  <c r="P35" i="38"/>
  <c r="P36" i="38"/>
  <c r="R36" i="38" s="1"/>
  <c r="P37" i="38"/>
  <c r="R37" i="38" s="1"/>
  <c r="P38" i="38"/>
  <c r="R38" i="38" s="1"/>
  <c r="P39" i="38"/>
  <c r="R39" i="38" s="1"/>
  <c r="O39" i="38"/>
  <c r="Q39" i="38" s="1"/>
  <c r="O38" i="38"/>
  <c r="Q38" i="38" s="1"/>
  <c r="O37" i="38"/>
  <c r="Q37" i="38" s="1"/>
  <c r="O36" i="38"/>
  <c r="Q36" i="38" s="1"/>
  <c r="O35" i="38"/>
  <c r="Q35" i="38" s="1"/>
  <c r="P42" i="38"/>
  <c r="P43" i="38"/>
  <c r="R43" i="38" s="1"/>
  <c r="P44" i="38"/>
  <c r="R44" i="38" s="1"/>
  <c r="P45" i="38"/>
  <c r="R45" i="38" s="1"/>
  <c r="P46" i="38"/>
  <c r="R46" i="38" s="1"/>
  <c r="O46" i="38"/>
  <c r="Q46" i="38" s="1"/>
  <c r="O45" i="38"/>
  <c r="Q45" i="38" s="1"/>
  <c r="O44" i="38"/>
  <c r="Q44" i="38" s="1"/>
  <c r="O43" i="38"/>
  <c r="Q43" i="38" s="1"/>
  <c r="O42" i="38"/>
  <c r="O25" i="38"/>
  <c r="Q25" i="38" s="1"/>
  <c r="O24" i="38"/>
  <c r="Q24" i="38" s="1"/>
  <c r="O23" i="38"/>
  <c r="Q23" i="38" s="1"/>
  <c r="O22" i="38"/>
  <c r="Q22" i="38" s="1"/>
  <c r="O21" i="38"/>
  <c r="Q21" i="38" s="1"/>
  <c r="P21" i="38"/>
  <c r="P22" i="38"/>
  <c r="R22" i="38" s="1"/>
  <c r="P23" i="38"/>
  <c r="R23" i="38" s="1"/>
  <c r="P24" i="38"/>
  <c r="R24" i="38" s="1"/>
  <c r="P25" i="38"/>
  <c r="R25" i="38" s="1"/>
  <c r="N26" i="38"/>
  <c r="M26" i="38"/>
  <c r="K61" i="36"/>
  <c r="I61" i="36"/>
  <c r="G61" i="36"/>
  <c r="E61" i="36"/>
  <c r="N52" i="36"/>
  <c r="F69" i="37" s="1"/>
  <c r="J69" i="37" s="1"/>
  <c r="N49" i="36"/>
  <c r="F66" i="37" s="1"/>
  <c r="J66" i="37" s="1"/>
  <c r="N45" i="36"/>
  <c r="F62" i="37" s="1"/>
  <c r="J62" i="37" s="1"/>
  <c r="L46" i="36"/>
  <c r="J46" i="36"/>
  <c r="H46" i="36"/>
  <c r="F46" i="36"/>
  <c r="N1370" i="11" l="1"/>
  <c r="N453" i="11"/>
  <c r="N1473" i="11"/>
  <c r="N1403" i="11"/>
  <c r="N1460" i="11"/>
  <c r="N1659" i="11"/>
  <c r="N1670" i="11"/>
  <c r="N449" i="11"/>
  <c r="N1706" i="11"/>
  <c r="N666" i="11"/>
  <c r="N798" i="11"/>
  <c r="N551" i="11"/>
  <c r="N461" i="11"/>
  <c r="N1050" i="11"/>
  <c r="N1378" i="11"/>
  <c r="N1557" i="11"/>
  <c r="N759" i="11"/>
  <c r="N837" i="11"/>
  <c r="N411" i="11"/>
  <c r="N1599" i="11"/>
  <c r="N1401" i="11"/>
  <c r="N552" i="11"/>
  <c r="N915" i="11"/>
  <c r="N563" i="11"/>
  <c r="N1695" i="11"/>
  <c r="N448" i="11"/>
  <c r="N1702" i="11"/>
  <c r="N620" i="11"/>
  <c r="N1158" i="11"/>
  <c r="N1432" i="11"/>
  <c r="N1467" i="11"/>
  <c r="N1454" i="11"/>
  <c r="N933" i="11"/>
  <c r="N1227" i="11"/>
  <c r="N1707" i="11"/>
  <c r="N1424" i="11"/>
  <c r="N1640" i="11"/>
  <c r="N507" i="11"/>
  <c r="N1444" i="11"/>
  <c r="N503" i="11"/>
  <c r="N1418" i="11"/>
  <c r="N1563" i="11"/>
  <c r="N878" i="11"/>
  <c r="N1532" i="11"/>
  <c r="J39" i="33"/>
  <c r="J48" i="33" s="1"/>
  <c r="F48" i="33"/>
  <c r="M55" i="26"/>
  <c r="AD48" i="32"/>
  <c r="AD50" i="32" s="1"/>
  <c r="AD51" i="32" s="1"/>
  <c r="AD55" i="32" s="1"/>
  <c r="Q42" i="38"/>
  <c r="O47" i="38"/>
  <c r="R42" i="38"/>
  <c r="P47" i="38"/>
  <c r="R21" i="38"/>
  <c r="P26" i="38"/>
  <c r="O40" i="38"/>
  <c r="R35" i="38"/>
  <c r="P40" i="38"/>
  <c r="Q28" i="38"/>
  <c r="O33" i="38"/>
  <c r="R28" i="38"/>
  <c r="P33" i="38"/>
  <c r="R34" i="38"/>
  <c r="Q41" i="38"/>
  <c r="Q27" i="38"/>
  <c r="R41" i="38"/>
  <c r="R27" i="38"/>
  <c r="Q34" i="38"/>
  <c r="N564" i="11"/>
  <c r="N612" i="11"/>
  <c r="N1382" i="11"/>
  <c r="N1089" i="11"/>
  <c r="N1581" i="11"/>
  <c r="N1683" i="11"/>
  <c r="N395" i="11"/>
  <c r="D396" i="70"/>
  <c r="N1682" i="11"/>
  <c r="N1623" i="11"/>
  <c r="N657" i="11"/>
  <c r="N491" i="11"/>
  <c r="N462" i="11"/>
  <c r="N426" i="11"/>
  <c r="N1058" i="11"/>
  <c r="N1527" i="11"/>
  <c r="N855" i="11"/>
  <c r="N1140" i="11"/>
  <c r="N1017" i="11"/>
  <c r="N1622" i="11"/>
  <c r="N1606" i="11"/>
  <c r="N1653" i="11"/>
  <c r="N1665" i="11"/>
  <c r="N1658" i="11"/>
  <c r="N1538" i="11"/>
  <c r="N1072" i="11"/>
  <c r="N876" i="11"/>
  <c r="N786" i="11"/>
  <c r="N774" i="11"/>
  <c r="N762" i="11"/>
  <c r="N708" i="11"/>
  <c r="N684" i="11"/>
  <c r="N636" i="11"/>
  <c r="N575" i="11"/>
  <c r="N522" i="11"/>
  <c r="N1639" i="11"/>
  <c r="N408" i="11"/>
  <c r="N438" i="11"/>
  <c r="N918" i="11"/>
  <c r="N414" i="11"/>
  <c r="N533" i="11"/>
  <c r="N425" i="11"/>
  <c r="N611" i="11"/>
  <c r="N455" i="11"/>
  <c r="N443" i="11"/>
  <c r="N473" i="11"/>
  <c r="N1406" i="11"/>
  <c r="N633" i="11"/>
  <c r="G105" i="34"/>
  <c r="L55" i="26"/>
  <c r="H55" i="29"/>
  <c r="J105" i="34"/>
  <c r="F66" i="33"/>
  <c r="F68" i="33" s="1"/>
  <c r="F69" i="33" s="1"/>
  <c r="F73" i="33" s="1"/>
  <c r="H105" i="34"/>
  <c r="L35" i="28"/>
  <c r="D28" i="57" s="1"/>
  <c r="N1610" i="11"/>
  <c r="N1688" i="11"/>
  <c r="N1605" i="11"/>
  <c r="N1701" i="11"/>
  <c r="N1620" i="11"/>
  <c r="N1629" i="11"/>
  <c r="N1506" i="11"/>
  <c r="N1540" i="11"/>
  <c r="N1544" i="11"/>
  <c r="N1342" i="11"/>
  <c r="N1104" i="11"/>
  <c r="N1028" i="11"/>
  <c r="N1019" i="11"/>
  <c r="N947" i="11"/>
  <c r="N654" i="11"/>
  <c r="N570" i="11"/>
  <c r="N1616" i="11"/>
  <c r="N1593" i="11"/>
  <c r="N1647" i="11"/>
  <c r="N1390" i="11"/>
  <c r="N1078" i="11"/>
  <c r="N1062" i="11"/>
  <c r="N1002" i="11"/>
  <c r="N792" i="11"/>
  <c r="N780" i="11"/>
  <c r="N768" i="11"/>
  <c r="N660" i="11"/>
  <c r="N1617" i="11"/>
  <c r="N936" i="11"/>
  <c r="N796" i="11"/>
  <c r="N906" i="11"/>
  <c r="N664" i="11"/>
  <c r="N634" i="11"/>
  <c r="N587" i="11"/>
  <c r="N1521" i="11"/>
  <c r="N702" i="11"/>
  <c r="N1657" i="11"/>
  <c r="N1664" i="11"/>
  <c r="N1642" i="11"/>
  <c r="N1272" i="11"/>
  <c r="N1286" i="11"/>
  <c r="N1150" i="11"/>
  <c r="N1179" i="11"/>
  <c r="N1090" i="11"/>
  <c r="N1056" i="11"/>
  <c r="N899" i="11"/>
  <c r="N987" i="11"/>
  <c r="N851" i="11"/>
  <c r="N873" i="11"/>
  <c r="N659" i="11"/>
  <c r="N683" i="11"/>
  <c r="N486" i="11"/>
  <c r="N716" i="11"/>
  <c r="N882" i="11"/>
  <c r="N1634" i="11"/>
  <c r="N1586" i="11"/>
  <c r="N1618" i="11"/>
  <c r="N1597" i="11"/>
  <c r="N1551" i="11"/>
  <c r="N1443" i="11"/>
  <c r="N1628" i="11"/>
  <c r="N1587" i="11"/>
  <c r="N1671" i="11"/>
  <c r="N1641" i="11"/>
  <c r="N1245" i="11"/>
  <c r="N1188" i="11"/>
  <c r="N1152" i="11"/>
  <c r="N1221" i="11"/>
  <c r="N1074" i="11"/>
  <c r="N996" i="11"/>
  <c r="N916" i="11"/>
  <c r="N852" i="11"/>
  <c r="N849" i="11"/>
  <c r="N951" i="11"/>
  <c r="N816" i="11"/>
  <c r="N827" i="11"/>
  <c r="N690" i="11"/>
  <c r="N755" i="11"/>
  <c r="N617" i="11"/>
  <c r="N531" i="11"/>
  <c r="N640" i="11"/>
  <c r="N693" i="11"/>
  <c r="N539" i="11"/>
  <c r="N450" i="11"/>
  <c r="N720" i="11"/>
  <c r="N432" i="11"/>
  <c r="N515" i="11"/>
  <c r="N1172" i="11"/>
  <c r="N635" i="11"/>
  <c r="N401" i="11"/>
  <c r="N1036" i="11"/>
  <c r="N466" i="11"/>
  <c r="N1533" i="11"/>
  <c r="N1455" i="11"/>
  <c r="N861" i="11"/>
  <c r="N477" i="11"/>
  <c r="N497" i="11"/>
  <c r="N1510" i="11"/>
  <c r="N922" i="11"/>
  <c r="N790" i="11"/>
  <c r="N766" i="11"/>
  <c r="N592" i="11"/>
  <c r="N532" i="11"/>
  <c r="N412" i="11"/>
  <c r="N1574" i="11"/>
  <c r="N1329" i="11"/>
  <c r="N729" i="11"/>
  <c r="N447" i="11"/>
  <c r="N1598" i="11"/>
  <c r="N1674" i="11"/>
  <c r="N1113" i="11"/>
  <c r="N1700" i="11"/>
  <c r="N1164" i="11"/>
  <c r="N1065" i="11"/>
  <c r="N646" i="11"/>
  <c r="N629" i="11"/>
  <c r="N444" i="11"/>
  <c r="N420" i="11"/>
  <c r="N1604" i="11"/>
  <c r="N1635" i="11"/>
  <c r="N558" i="11"/>
  <c r="N586" i="11"/>
  <c r="N569" i="11"/>
  <c r="N545" i="11"/>
  <c r="N1663" i="11"/>
  <c r="N1080" i="11"/>
  <c r="N732" i="11"/>
  <c r="N1098" i="11"/>
  <c r="N810" i="11"/>
  <c r="N509" i="11"/>
  <c r="N467" i="11"/>
  <c r="N921" i="11"/>
  <c r="N423" i="11"/>
  <c r="N1652" i="11"/>
  <c r="N1676" i="11"/>
  <c r="N1689" i="11"/>
  <c r="N1677" i="11"/>
  <c r="N1575" i="11"/>
  <c r="N1068" i="11"/>
  <c r="N1044" i="11"/>
  <c r="N678" i="11"/>
  <c r="N540" i="11"/>
  <c r="N485" i="11"/>
  <c r="N1651" i="11"/>
  <c r="N1134" i="11"/>
  <c r="N1014" i="11"/>
  <c r="N456" i="11"/>
  <c r="N402" i="11"/>
  <c r="N407" i="11"/>
  <c r="N610" i="11"/>
  <c r="N478" i="11"/>
  <c r="N651" i="11"/>
  <c r="N441" i="11"/>
  <c r="N527" i="11"/>
  <c r="N1534" i="11"/>
  <c r="N520" i="11"/>
  <c r="N1708" i="11"/>
  <c r="N705" i="11"/>
  <c r="O13" i="20"/>
  <c r="O404" i="20"/>
  <c r="O319" i="20"/>
  <c r="O322" i="20"/>
  <c r="O321" i="20"/>
  <c r="O320" i="20"/>
  <c r="N1413" i="11"/>
  <c r="N1323" i="11"/>
  <c r="N711" i="11"/>
  <c r="N923" i="11"/>
  <c r="N938" i="11"/>
  <c r="N802" i="11"/>
  <c r="N672" i="11"/>
  <c r="N546" i="11"/>
  <c r="N557" i="11"/>
  <c r="N954" i="11"/>
  <c r="N396" i="11"/>
  <c r="N624" i="11"/>
  <c r="N431" i="11"/>
  <c r="N413" i="11"/>
  <c r="N930" i="11"/>
  <c r="N576" i="11"/>
  <c r="N1675" i="11"/>
  <c r="N1539" i="11"/>
  <c r="N1128" i="11"/>
  <c r="N1038" i="11"/>
  <c r="N894" i="11"/>
  <c r="N825" i="11"/>
  <c r="N726" i="11"/>
  <c r="N639" i="11"/>
  <c r="N623" i="11"/>
  <c r="N696" i="11"/>
  <c r="N504" i="11"/>
  <c r="N599" i="11"/>
  <c r="N642" i="11"/>
  <c r="N600" i="11"/>
  <c r="N468" i="11"/>
  <c r="N778" i="11"/>
  <c r="N754" i="11"/>
  <c r="N400" i="11"/>
  <c r="N581" i="11"/>
  <c r="N1431" i="11"/>
  <c r="N1550" i="11"/>
  <c r="N437" i="11"/>
  <c r="N419" i="11"/>
  <c r="N479" i="11"/>
  <c r="N1503" i="11"/>
  <c r="N1137" i="11"/>
  <c r="N699" i="11"/>
  <c r="N585" i="11"/>
  <c r="N1569" i="11"/>
  <c r="N1646" i="11"/>
  <c r="N1630" i="11"/>
  <c r="N1600" i="11"/>
  <c r="N1580" i="11"/>
  <c r="N999" i="11"/>
  <c r="N826" i="11"/>
  <c r="N804" i="11"/>
  <c r="N676" i="11"/>
  <c r="N543" i="11"/>
  <c r="N521" i="11"/>
  <c r="N960" i="11"/>
  <c r="N534" i="11"/>
  <c r="N454" i="11"/>
  <c r="N405" i="11"/>
  <c r="N1437" i="11"/>
  <c r="N1359" i="11"/>
  <c r="N465" i="11"/>
  <c r="N880" i="11"/>
  <c r="N440" i="11"/>
  <c r="N1571" i="11"/>
  <c r="N1592" i="11"/>
  <c r="N1508" i="11"/>
  <c r="N1086" i="11"/>
  <c r="N1102" i="11"/>
  <c r="N544" i="11"/>
  <c r="N738" i="11"/>
  <c r="N942" i="11"/>
  <c r="N990" i="11"/>
  <c r="N1570" i="11"/>
  <c r="N978" i="11"/>
  <c r="N756" i="11"/>
  <c r="N1396" i="11"/>
  <c r="N868" i="11"/>
  <c r="N784" i="11"/>
  <c r="N1496" i="11"/>
  <c r="N815" i="11"/>
  <c r="N958" i="11"/>
  <c r="N872" i="11"/>
  <c r="N800" i="11"/>
  <c r="N695" i="11"/>
  <c r="N1680" i="11"/>
  <c r="N1584" i="11"/>
  <c r="N1530" i="11"/>
  <c r="N1440" i="11"/>
  <c r="N1030" i="11"/>
  <c r="N950" i="11"/>
  <c r="N1007" i="11"/>
  <c r="N959" i="11"/>
  <c r="N842" i="11"/>
  <c r="N864" i="11"/>
  <c r="N794" i="11"/>
  <c r="N770" i="11"/>
  <c r="N791" i="11"/>
  <c r="N713" i="11"/>
  <c r="N743" i="11"/>
  <c r="N671" i="11"/>
  <c r="N719" i="11"/>
  <c r="N1678" i="11"/>
  <c r="N1667" i="11"/>
  <c r="N1240" i="11"/>
  <c r="N1218" i="11"/>
  <c r="N1156" i="11"/>
  <c r="N1185" i="11"/>
  <c r="N1077" i="11"/>
  <c r="N1024" i="11"/>
  <c r="N905" i="11"/>
  <c r="N1025" i="11"/>
  <c r="N1001" i="11"/>
  <c r="N1041" i="11"/>
  <c r="N920" i="11"/>
  <c r="N866" i="11"/>
  <c r="N891" i="11"/>
  <c r="N833" i="11"/>
  <c r="N881" i="11"/>
  <c r="N818" i="11"/>
  <c r="N777" i="11"/>
  <c r="N746" i="11"/>
  <c r="N718" i="11"/>
  <c r="N935" i="11"/>
  <c r="N1632" i="11"/>
  <c r="N1082" i="11"/>
  <c r="N555" i="11"/>
  <c r="N1270" i="11"/>
  <c r="N1319" i="11"/>
  <c r="N1186" i="11"/>
  <c r="N1624" i="11"/>
  <c r="N1566" i="11"/>
  <c r="N1402" i="11"/>
  <c r="N1391" i="11"/>
  <c r="N1260" i="11"/>
  <c r="N1257" i="11"/>
  <c r="N1244" i="11"/>
  <c r="N1279" i="11"/>
  <c r="N1322" i="11"/>
  <c r="N1312" i="11"/>
  <c r="N1281" i="11"/>
  <c r="N1176" i="11"/>
  <c r="N1084" i="11"/>
  <c r="N1178" i="11"/>
  <c r="N689" i="11"/>
  <c r="N1314" i="11"/>
  <c r="N828" i="11"/>
  <c r="N1668" i="11"/>
  <c r="N1236" i="11"/>
  <c r="N1290" i="11"/>
  <c r="N1206" i="11"/>
  <c r="N886" i="11"/>
  <c r="N830" i="11"/>
  <c r="N846" i="11"/>
  <c r="N773" i="11"/>
  <c r="N677" i="11"/>
  <c r="N653" i="11"/>
  <c r="N604" i="11"/>
  <c r="N561" i="11"/>
  <c r="N1509" i="11"/>
  <c r="N1250" i="11"/>
  <c r="N1197" i="11"/>
  <c r="N1013" i="11"/>
  <c r="N965" i="11"/>
  <c r="N893" i="11"/>
  <c r="N956" i="11"/>
  <c r="N1595" i="11"/>
  <c r="N1636" i="11"/>
  <c r="N869" i="11"/>
  <c r="N806" i="11"/>
  <c r="N749" i="11"/>
  <c r="N734" i="11"/>
  <c r="N758" i="11"/>
  <c r="N701" i="11"/>
  <c r="N1326" i="11"/>
  <c r="N518" i="11"/>
  <c r="N590" i="11"/>
  <c r="N1377" i="11"/>
  <c r="N615" i="11"/>
  <c r="N1097" i="11"/>
  <c r="N1697" i="11"/>
  <c r="N1343" i="11"/>
  <c r="N1287" i="11"/>
  <c r="N1266" i="11"/>
  <c r="N1325" i="11"/>
  <c r="N1263" i="11"/>
  <c r="N1182" i="11"/>
  <c r="N941" i="11"/>
  <c r="N917" i="11"/>
  <c r="N980" i="11"/>
  <c r="N985" i="11"/>
  <c r="N797" i="11"/>
  <c r="N821" i="11"/>
  <c r="N845" i="11"/>
  <c r="N725" i="11"/>
  <c r="N662" i="11"/>
  <c r="N446" i="11"/>
  <c r="N989" i="11"/>
  <c r="N416" i="11"/>
  <c r="N1362" i="11"/>
  <c r="N1428" i="11"/>
  <c r="N435" i="11"/>
  <c r="N1511" i="11"/>
  <c r="N1686" i="11"/>
  <c r="N1494" i="11"/>
  <c r="N1251" i="11"/>
  <c r="N1161" i="11"/>
  <c r="N953" i="11"/>
  <c r="N1000" i="11"/>
  <c r="N977" i="11"/>
  <c r="N809" i="11"/>
  <c r="N785" i="11"/>
  <c r="N761" i="11"/>
  <c r="N658" i="11"/>
  <c r="N579" i="11"/>
  <c r="N554" i="11"/>
  <c r="N500" i="11"/>
  <c r="N578" i="11"/>
  <c r="N1091" i="11"/>
  <c r="N857" i="11"/>
  <c r="N687" i="11"/>
  <c r="N471" i="11"/>
  <c r="N1662" i="11"/>
  <c r="N1626" i="11"/>
  <c r="N1661" i="11"/>
  <c r="N1562" i="11"/>
  <c r="N1497" i="11"/>
  <c r="N1278" i="11"/>
  <c r="N1275" i="11"/>
  <c r="N1277" i="11"/>
  <c r="N1125" i="11"/>
  <c r="N1194" i="11"/>
  <c r="N1180" i="11"/>
  <c r="N929" i="11"/>
  <c r="N944" i="11"/>
  <c r="N993" i="11"/>
  <c r="N992" i="11"/>
  <c r="N969" i="11"/>
  <c r="N737" i="11"/>
  <c r="N650" i="11"/>
  <c r="N722" i="11"/>
  <c r="N665" i="11"/>
  <c r="N495" i="11"/>
  <c r="N626" i="11"/>
  <c r="N458" i="11"/>
  <c r="N434" i="11"/>
  <c r="N1559" i="11"/>
  <c r="N742" i="11"/>
  <c r="N838" i="11"/>
  <c r="N698" i="11"/>
  <c r="N404" i="11"/>
  <c r="N409" i="11"/>
  <c r="N1299" i="11"/>
  <c r="N1427" i="11"/>
  <c r="N1613" i="11"/>
  <c r="N1621" i="11"/>
  <c r="N1354" i="11"/>
  <c r="N1476" i="11"/>
  <c r="N1516" i="11"/>
  <c r="N1425" i="11"/>
  <c r="N1479" i="11"/>
  <c r="N1200" i="11"/>
  <c r="N896" i="11"/>
  <c r="N911" i="11"/>
  <c r="N983" i="11"/>
  <c r="N974" i="11"/>
  <c r="N839" i="11"/>
  <c r="N807" i="11"/>
  <c r="N656" i="11"/>
  <c r="N647" i="11"/>
  <c r="N506" i="11"/>
  <c r="N536" i="11"/>
  <c r="N1121" i="11"/>
  <c r="N1691" i="11"/>
  <c r="N1656" i="11"/>
  <c r="N1545" i="11"/>
  <c r="N1356" i="11"/>
  <c r="N1254" i="11"/>
  <c r="N1284" i="11"/>
  <c r="N1191" i="11"/>
  <c r="N1235" i="11"/>
  <c r="N1040" i="11"/>
  <c r="N887" i="11"/>
  <c r="N1031" i="11"/>
  <c r="N1083" i="11"/>
  <c r="N945" i="11"/>
  <c r="N824" i="11"/>
  <c r="N840" i="11"/>
  <c r="N700" i="11"/>
  <c r="N680" i="11"/>
  <c r="N752" i="11"/>
  <c r="N608" i="11"/>
  <c r="N757" i="11"/>
  <c r="N1320" i="11"/>
  <c r="N1436" i="11"/>
  <c r="N897" i="11"/>
  <c r="N598" i="11"/>
  <c r="N1311" i="11"/>
  <c r="N723" i="11"/>
  <c r="N1109" i="11"/>
  <c r="N1181" i="11"/>
  <c r="N939" i="11"/>
  <c r="N1491" i="11"/>
  <c r="N1625" i="11"/>
  <c r="N1548" i="11"/>
  <c r="N1517" i="11"/>
  <c r="N1293" i="11"/>
  <c r="N1332" i="11"/>
  <c r="N1212" i="11"/>
  <c r="N909" i="11"/>
  <c r="N788" i="11"/>
  <c r="N668" i="11"/>
  <c r="N548" i="11"/>
  <c r="N505" i="11"/>
  <c r="N494" i="11"/>
  <c r="N1578" i="11"/>
  <c r="N489" i="11"/>
  <c r="N1222" i="11"/>
  <c r="N1703" i="11"/>
  <c r="N1704" i="11"/>
  <c r="N1524" i="11"/>
  <c r="N1526" i="11"/>
  <c r="N1480" i="11"/>
  <c r="N1458" i="11"/>
  <c r="N1420" i="11"/>
  <c r="N1296" i="11"/>
  <c r="N1203" i="11"/>
  <c r="N1095" i="11"/>
  <c r="N1133" i="11"/>
  <c r="N1059" i="11"/>
  <c r="N971" i="11"/>
  <c r="N986" i="11"/>
  <c r="N907" i="11"/>
  <c r="N962" i="11"/>
  <c r="N803" i="11"/>
  <c r="N836" i="11"/>
  <c r="N795" i="11"/>
  <c r="N692" i="11"/>
  <c r="N740" i="11"/>
  <c r="N731" i="11"/>
  <c r="N644" i="11"/>
  <c r="N572" i="11"/>
  <c r="N417" i="11"/>
  <c r="N512" i="11"/>
  <c r="N452" i="11"/>
  <c r="N1619" i="11"/>
  <c r="N1392" i="11"/>
  <c r="N1242" i="11"/>
  <c r="N1256" i="11"/>
  <c r="N914" i="11"/>
  <c r="N812" i="11"/>
  <c r="N764" i="11"/>
  <c r="N514" i="11"/>
  <c r="N1224" i="11"/>
  <c r="N860" i="11"/>
  <c r="N1190" i="11"/>
  <c r="N1505" i="11"/>
  <c r="N1336" i="11"/>
  <c r="N596" i="11"/>
  <c r="N1397" i="11"/>
  <c r="N1504" i="11"/>
  <c r="N1601" i="11"/>
  <c r="N1310" i="11"/>
  <c r="N1018" i="11"/>
  <c r="N779" i="11"/>
  <c r="N688" i="11"/>
  <c r="N422" i="11"/>
  <c r="N502" i="11"/>
  <c r="N1395" i="11"/>
  <c r="N1217" i="11"/>
  <c r="N1565" i="11"/>
  <c r="N1594" i="11"/>
  <c r="N884" i="11"/>
  <c r="N410" i="11"/>
  <c r="N1536" i="11"/>
  <c r="N1446" i="11"/>
  <c r="N875" i="11"/>
  <c r="N1352" i="11"/>
  <c r="N681" i="11"/>
  <c r="N430" i="11"/>
  <c r="N1265" i="11"/>
  <c r="N940" i="11"/>
  <c r="N819" i="11"/>
  <c r="N1155" i="11"/>
  <c r="N1214" i="11"/>
  <c r="N1052" i="11"/>
  <c r="N995" i="11"/>
  <c r="N957" i="11"/>
  <c r="N767" i="11"/>
  <c r="N728" i="11"/>
  <c r="N584" i="11"/>
  <c r="N470" i="11"/>
  <c r="N1434" i="11"/>
  <c r="N641" i="11"/>
  <c r="N863" i="11"/>
  <c r="N1145" i="11"/>
  <c r="N524" i="11"/>
  <c r="N1556" i="11"/>
  <c r="N1174" i="11"/>
  <c r="N805" i="11"/>
  <c r="N707" i="11"/>
  <c r="N1685" i="11"/>
  <c r="N1269" i="11"/>
  <c r="N1313" i="11"/>
  <c r="N1232" i="11"/>
  <c r="N1348" i="11"/>
  <c r="N834" i="11"/>
  <c r="N801" i="11"/>
  <c r="N1607" i="11"/>
  <c r="N1591" i="11"/>
  <c r="N530" i="11"/>
  <c r="N602" i="11"/>
  <c r="N717" i="11"/>
  <c r="N1419" i="11"/>
  <c r="N1426" i="11"/>
  <c r="N627" i="11"/>
  <c r="N667" i="11"/>
  <c r="N1264" i="11"/>
  <c r="N817" i="11"/>
  <c r="N831" i="11"/>
  <c r="N739" i="11"/>
  <c r="N1482" i="11"/>
  <c r="N1124" i="11"/>
  <c r="N1223" i="11"/>
  <c r="N429" i="11"/>
  <c r="N1475" i="11"/>
  <c r="N988" i="11"/>
  <c r="N399" i="11"/>
  <c r="N1347" i="11"/>
  <c r="N591" i="11"/>
  <c r="N483" i="11"/>
  <c r="N1415" i="11"/>
  <c r="N674" i="11"/>
  <c r="N890" i="11"/>
  <c r="N753" i="11"/>
  <c r="N1005" i="11"/>
  <c r="N1233" i="11"/>
  <c r="N1650" i="11"/>
  <c r="N549" i="11"/>
  <c r="N1298" i="11"/>
  <c r="N603" i="11"/>
  <c r="N1184" i="11"/>
  <c r="N735" i="11"/>
  <c r="N979" i="11"/>
  <c r="N1612" i="11"/>
  <c r="N1115" i="11"/>
  <c r="N1066" i="11"/>
  <c r="N1344" i="11"/>
  <c r="N1023" i="11"/>
  <c r="N901" i="11"/>
  <c r="N1464" i="11"/>
  <c r="N843" i="11"/>
  <c r="N1248" i="11"/>
  <c r="N1209" i="11"/>
  <c r="N968" i="11"/>
  <c r="N562" i="11"/>
  <c r="N403" i="11"/>
  <c r="N1471" i="11"/>
  <c r="N1192" i="11"/>
  <c r="N1149" i="11"/>
  <c r="N1500" i="11"/>
  <c r="N925" i="11"/>
  <c r="N760" i="11"/>
  <c r="N580" i="11"/>
  <c r="N1285" i="11"/>
  <c r="N1142" i="11"/>
  <c r="N1572" i="11"/>
  <c r="N1088" i="11"/>
  <c r="N704" i="11"/>
  <c r="N1360" i="11"/>
  <c r="N1127" i="11"/>
  <c r="N1644" i="11"/>
  <c r="N1276" i="11"/>
  <c r="N1375" i="11"/>
  <c r="N1433" i="11"/>
  <c r="N1258" i="11"/>
  <c r="N1081" i="11"/>
  <c r="N686" i="11"/>
  <c r="N614" i="11"/>
  <c r="N1117" i="11"/>
  <c r="N1064" i="11"/>
  <c r="N1163" i="11"/>
  <c r="N1445" i="11"/>
  <c r="N1193" i="11"/>
  <c r="N459" i="11"/>
  <c r="N747" i="11"/>
  <c r="N508" i="11"/>
  <c r="N529" i="11"/>
  <c r="N1177" i="11"/>
  <c r="N776" i="11"/>
  <c r="N1029" i="11"/>
  <c r="N848" i="11"/>
  <c r="N542" i="11"/>
  <c r="N1358" i="11"/>
  <c r="N902" i="11"/>
  <c r="N1409" i="11"/>
  <c r="N621" i="11"/>
  <c r="N1317" i="11"/>
  <c r="N1374" i="11"/>
  <c r="N998" i="11"/>
  <c r="N1328" i="11"/>
  <c r="N926" i="11"/>
  <c r="N1438" i="11"/>
  <c r="N697" i="11"/>
  <c r="N632" i="11"/>
  <c r="N1096" i="11"/>
  <c r="N1037" i="11"/>
  <c r="N765" i="11"/>
  <c r="N1215" i="11"/>
  <c r="N964" i="11"/>
  <c r="N789" i="11"/>
  <c r="N645" i="11"/>
  <c r="N706" i="11"/>
  <c r="N685" i="11"/>
  <c r="N560" i="11"/>
  <c r="N1514" i="11"/>
  <c r="N1047" i="11"/>
  <c r="N669" i="11"/>
  <c r="N1384" i="11"/>
  <c r="N910" i="11"/>
  <c r="N675" i="11"/>
  <c r="N638" i="11"/>
  <c r="N663" i="11"/>
  <c r="N1071" i="11"/>
  <c r="N1247" i="11"/>
  <c r="N1602" i="11"/>
  <c r="N1053" i="11"/>
  <c r="N820" i="11"/>
  <c r="N710" i="11"/>
  <c r="N854" i="11"/>
  <c r="N932" i="11"/>
  <c r="N1461" i="11"/>
  <c r="N1169" i="11"/>
  <c r="N782" i="11"/>
  <c r="N1523" i="11"/>
  <c r="N436" i="11"/>
  <c r="N1160" i="11"/>
  <c r="N1614" i="11"/>
  <c r="N1416" i="11"/>
  <c r="N1060" i="11"/>
  <c r="N1666" i="11"/>
  <c r="N1373" i="11"/>
  <c r="N1173" i="11"/>
  <c r="N566" i="11"/>
  <c r="N1274" i="11"/>
  <c r="N1698" i="11"/>
  <c r="N1022" i="11"/>
  <c r="N867" i="11"/>
  <c r="N616" i="11"/>
  <c r="N482" i="11"/>
  <c r="N1239" i="11"/>
  <c r="N1558" i="11"/>
  <c r="N1649" i="11"/>
  <c r="N1474" i="11"/>
  <c r="N1422" i="11"/>
  <c r="N975" i="11"/>
  <c r="N1139" i="11"/>
  <c r="N1136" i="11"/>
  <c r="N1335" i="11"/>
  <c r="N1590" i="11"/>
  <c r="N997" i="11"/>
  <c r="N835" i="11"/>
  <c r="N783" i="11"/>
  <c r="N730" i="11"/>
  <c r="N853" i="11"/>
  <c r="N523" i="11"/>
  <c r="N1560" i="11"/>
  <c r="N567" i="11"/>
  <c r="N981" i="11"/>
  <c r="N472" i="11"/>
  <c r="N841" i="11"/>
  <c r="N1398" i="11"/>
  <c r="N1130" i="11"/>
  <c r="N1692" i="11"/>
  <c r="N1366" i="11"/>
  <c r="N1282" i="11"/>
  <c r="N1316" i="11"/>
  <c r="N1515" i="11"/>
  <c r="N1268" i="11"/>
  <c r="N1004" i="11"/>
  <c r="N931" i="11"/>
  <c r="N771" i="11"/>
  <c r="N769" i="11"/>
  <c r="N1546" i="11"/>
  <c r="N1131" i="11"/>
  <c r="N1103" i="11"/>
  <c r="N574" i="11"/>
  <c r="N1340" i="11"/>
  <c r="N1485" i="11"/>
  <c r="N1167" i="11"/>
  <c r="N1016" i="11"/>
  <c r="N1009" i="11"/>
  <c r="N1512" i="11"/>
  <c r="N1035" i="11"/>
  <c r="N1094" i="11"/>
  <c r="N1003" i="11"/>
  <c r="N982" i="11"/>
  <c r="N628" i="11"/>
  <c r="N694" i="11"/>
  <c r="N625" i="11"/>
  <c r="N550" i="11"/>
  <c r="N963" i="11"/>
  <c r="N1488" i="11"/>
  <c r="N862" i="11"/>
  <c r="N1450" i="11"/>
  <c r="N1541" i="11"/>
  <c r="N877" i="11"/>
  <c r="N1351" i="11"/>
  <c r="N1295" i="11"/>
  <c r="N1168" i="11"/>
  <c r="N1079" i="11"/>
  <c r="N1421" i="11"/>
  <c r="N1157" i="11"/>
  <c r="N748" i="11"/>
  <c r="N418" i="11"/>
  <c r="N1498" i="11"/>
  <c r="N1588" i="11"/>
  <c r="N1330" i="11"/>
  <c r="N1220" i="11"/>
  <c r="N1346" i="11"/>
  <c r="N1241" i="11"/>
  <c r="N1012" i="11"/>
  <c r="N1148" i="11"/>
  <c r="N1522" i="11"/>
  <c r="N850" i="11"/>
  <c r="N1205" i="11"/>
  <c r="N496" i="11"/>
  <c r="N1304" i="11"/>
  <c r="N1542" i="11"/>
  <c r="N1252" i="11"/>
  <c r="N682" i="11"/>
  <c r="N1589" i="11"/>
  <c r="N1442" i="11"/>
  <c r="N1481" i="11"/>
  <c r="N1547" i="11"/>
  <c r="N460" i="11"/>
  <c r="N1529" i="11"/>
  <c r="N1300" i="11"/>
  <c r="N1046" i="11"/>
  <c r="N1679" i="11"/>
  <c r="N1289" i="11"/>
  <c r="N903" i="11"/>
  <c r="N568" i="11"/>
  <c r="N1499" i="11"/>
  <c r="N844" i="11"/>
  <c r="N1583" i="11"/>
  <c r="N1412" i="11"/>
  <c r="N1189" i="11"/>
  <c r="N1034" i="11"/>
  <c r="N1582" i="11"/>
  <c r="N1253" i="11"/>
  <c r="N490" i="11"/>
  <c r="N1199" i="11"/>
  <c r="N1457" i="11"/>
  <c r="N1211" i="11"/>
  <c r="N1119" i="11"/>
  <c r="N1162" i="11"/>
  <c r="N1076" i="11"/>
  <c r="N1175" i="11"/>
  <c r="N1292" i="11"/>
  <c r="N1408" i="11"/>
  <c r="N1006" i="11"/>
  <c r="N928" i="11"/>
  <c r="N822" i="11"/>
  <c r="N1520" i="11"/>
  <c r="N1478" i="11"/>
  <c r="N1196" i="11"/>
  <c r="N1452" i="11"/>
  <c r="N1554" i="11"/>
  <c r="N1463" i="11"/>
  <c r="N1472" i="11"/>
  <c r="N1490" i="11"/>
  <c r="N1492" i="11"/>
  <c r="N1246" i="11"/>
  <c r="N1187" i="11"/>
  <c r="N1202" i="11"/>
  <c r="N1535" i="11"/>
  <c r="N741" i="11"/>
  <c r="N1638" i="11"/>
  <c r="N1204" i="11"/>
  <c r="N813" i="11"/>
  <c r="N1673" i="11"/>
  <c r="N1684" i="11"/>
  <c r="N1318" i="11"/>
  <c r="N1011" i="11"/>
  <c r="N1353" i="11"/>
  <c r="N442" i="11"/>
  <c r="N1407" i="11"/>
  <c r="N670" i="11"/>
  <c r="N1654" i="11"/>
  <c r="N1462" i="11"/>
  <c r="N1249" i="11"/>
  <c r="N919" i="11"/>
  <c r="N484" i="11"/>
  <c r="N1493" i="11"/>
  <c r="N1114" i="11"/>
  <c r="N913" i="11"/>
  <c r="N1469" i="11"/>
  <c r="N1228" i="11"/>
  <c r="N952" i="11"/>
  <c r="N1301" i="11"/>
  <c r="N393" i="11"/>
  <c r="N1126" i="11"/>
  <c r="N1288" i="11"/>
  <c r="N829" i="11"/>
  <c r="N1349" i="11"/>
  <c r="N991" i="11"/>
  <c r="N589" i="11"/>
  <c r="N1118" i="11"/>
  <c r="N1010" i="11"/>
  <c r="N1355" i="11"/>
  <c r="N745" i="11"/>
  <c r="N1486" i="11"/>
  <c r="N1637" i="11"/>
  <c r="N1372" i="11"/>
  <c r="N1553" i="11"/>
  <c r="N1376" i="11"/>
  <c r="N976" i="11"/>
  <c r="N679" i="11"/>
  <c r="N691" i="11"/>
  <c r="N1338" i="11"/>
  <c r="N898" i="11"/>
  <c r="N874" i="11"/>
  <c r="N1106" i="11"/>
  <c r="N673" i="11"/>
  <c r="N1132" i="11"/>
  <c r="N1226" i="11"/>
  <c r="N1153" i="11"/>
  <c r="N823" i="11"/>
  <c r="N538" i="11"/>
  <c r="N601" i="11"/>
  <c r="N1435" i="11"/>
  <c r="N1525" i="11"/>
  <c r="N1262" i="11"/>
  <c r="N1120" i="11"/>
  <c r="N1067" i="11"/>
  <c r="N751" i="11"/>
  <c r="N1385" i="11"/>
  <c r="N1280" i="11"/>
  <c r="N1519" i="11"/>
  <c r="N994" i="11"/>
  <c r="N934" i="11"/>
  <c r="N1672" i="11"/>
  <c r="N556" i="11"/>
  <c r="N511" i="11"/>
  <c r="N424" i="11"/>
  <c r="N1608" i="11"/>
  <c r="N1085" i="11"/>
  <c r="N973" i="11"/>
  <c r="N1042" i="11"/>
  <c r="N406" i="11"/>
  <c r="N1468" i="11"/>
  <c r="N1439" i="11"/>
  <c r="N1331" i="11"/>
  <c r="N1061" i="11"/>
  <c r="N970" i="11"/>
  <c r="N892" i="11"/>
  <c r="N526" i="11"/>
  <c r="N1655" i="11"/>
  <c r="N1379" i="11"/>
  <c r="N577" i="11"/>
  <c r="N948" i="11"/>
  <c r="N856" i="11"/>
  <c r="N1055" i="11"/>
  <c r="N1216" i="11"/>
  <c r="N1234" i="11"/>
  <c r="N1363" i="11"/>
  <c r="N1333" i="11"/>
  <c r="N1243" i="11"/>
  <c r="N1271" i="11"/>
  <c r="N1027" i="11"/>
  <c r="N832" i="11"/>
  <c r="N736" i="11"/>
  <c r="N1414" i="11"/>
  <c r="N1033" i="11"/>
  <c r="N1487" i="11"/>
  <c r="N1400" i="11"/>
  <c r="N733" i="11"/>
  <c r="N652" i="11"/>
  <c r="N1334" i="11"/>
  <c r="N1367" i="11"/>
  <c r="N1049" i="11"/>
  <c r="N1383" i="11"/>
  <c r="N1502" i="11"/>
  <c r="N1306" i="11"/>
  <c r="N661" i="11"/>
  <c r="N1561" i="11"/>
  <c r="N1528" i="11"/>
  <c r="N1143" i="11"/>
  <c r="N1107" i="11"/>
  <c r="N1705" i="11"/>
  <c r="N394" i="11"/>
  <c r="N1577" i="11"/>
  <c r="N1283" i="11"/>
  <c r="N1043" i="11"/>
  <c r="N1054" i="11"/>
  <c r="N1417" i="11"/>
  <c r="N1129" i="11"/>
  <c r="N712" i="11"/>
  <c r="N1456" i="11"/>
  <c r="N1195" i="11"/>
  <c r="N1021" i="11"/>
  <c r="N1552" i="11"/>
  <c r="N1307" i="11"/>
  <c r="N1273" i="11"/>
  <c r="N1631" i="11"/>
  <c r="N1596" i="11"/>
  <c r="N1660" i="11"/>
  <c r="N1345" i="11"/>
  <c r="N811" i="11"/>
  <c r="N1459" i="11"/>
  <c r="N1576" i="11"/>
  <c r="O14" i="20"/>
  <c r="N1648" i="11"/>
  <c r="N1108" i="11"/>
  <c r="N904" i="11"/>
  <c r="N392" i="11"/>
  <c r="N1051" i="11"/>
  <c r="N858" i="11"/>
  <c r="N1518" i="11"/>
  <c r="N1208" i="11"/>
  <c r="N1166" i="11"/>
  <c r="N1615" i="11"/>
  <c r="N1259" i="11"/>
  <c r="N1255" i="11"/>
  <c r="N1198" i="11"/>
  <c r="N724" i="11"/>
  <c r="N1549" i="11"/>
  <c r="N1309" i="11"/>
  <c r="N1294" i="11"/>
  <c r="N1099" i="11"/>
  <c r="N622" i="11"/>
  <c r="N1063" i="11"/>
  <c r="N1573" i="11"/>
  <c r="N879" i="11"/>
  <c r="N1643" i="11"/>
  <c r="N1531" i="11"/>
  <c r="N1159" i="11"/>
  <c r="N895" i="11"/>
  <c r="N808" i="11"/>
  <c r="N1231" i="11"/>
  <c r="N1045" i="11"/>
  <c r="N1057" i="11"/>
  <c r="N1171" i="11"/>
  <c r="N859" i="11"/>
  <c r="N1219" i="11"/>
  <c r="N1681" i="11"/>
  <c r="N1210" i="11"/>
  <c r="N1073" i="11"/>
  <c r="N1151" i="11"/>
  <c r="N1039" i="11"/>
  <c r="N463" i="11"/>
  <c r="N1070" i="11"/>
  <c r="N1154" i="11"/>
  <c r="N1339" i="11"/>
  <c r="N1015" i="11"/>
  <c r="N1303" i="11"/>
  <c r="N888" i="11"/>
  <c r="N1110" i="11"/>
  <c r="N1100" i="11"/>
  <c r="N427" i="11"/>
  <c r="N1470" i="11"/>
  <c r="N1048" i="11"/>
  <c r="N553" i="11"/>
  <c r="N618" i="11"/>
  <c r="N1229" i="11"/>
  <c r="O15" i="20"/>
  <c r="N1020" i="11"/>
  <c r="N643" i="11"/>
  <c r="N1507" i="11"/>
  <c r="N1699" i="11"/>
  <c r="N1393" i="11"/>
  <c r="N1213" i="11"/>
  <c r="N889" i="11"/>
  <c r="N775" i="11"/>
  <c r="N703" i="11"/>
  <c r="N433" i="11"/>
  <c r="N1308" i="11"/>
  <c r="N631" i="11"/>
  <c r="N541" i="11"/>
  <c r="N1537" i="11"/>
  <c r="N1341" i="11"/>
  <c r="N1693" i="11"/>
  <c r="N1483" i="11"/>
  <c r="N1405" i="11"/>
  <c r="N1327" i="11"/>
  <c r="N799" i="11"/>
  <c r="N721" i="11"/>
  <c r="N637" i="11"/>
  <c r="N655" i="11"/>
  <c r="N727" i="11"/>
  <c r="N1032" i="11"/>
  <c r="N781" i="11"/>
  <c r="N1297" i="11"/>
  <c r="N1201" i="11"/>
  <c r="N547" i="11"/>
  <c r="N398" i="11"/>
  <c r="N1603" i="11"/>
  <c r="N1369" i="11"/>
  <c r="N955" i="11"/>
  <c r="N715" i="11"/>
  <c r="N763" i="11"/>
  <c r="N583" i="11"/>
  <c r="N582" i="11"/>
  <c r="N967" i="11"/>
  <c r="N1093" i="11"/>
  <c r="N565" i="11"/>
  <c r="N943" i="11"/>
  <c r="N457" i="11"/>
  <c r="N439" i="11"/>
  <c r="N1687" i="11"/>
  <c r="N487" i="11"/>
  <c r="N1315" i="11"/>
  <c r="N481" i="11"/>
  <c r="N865" i="11"/>
  <c r="N397" i="11"/>
  <c r="N949" i="11"/>
  <c r="N1489" i="11"/>
  <c r="N1075" i="11"/>
  <c r="N613" i="11"/>
  <c r="N619" i="11"/>
  <c r="N649" i="11"/>
  <c r="N445" i="11"/>
  <c r="N871" i="11"/>
  <c r="N750" i="11"/>
  <c r="O12" i="20"/>
  <c r="N1387" i="11"/>
  <c r="N559" i="11"/>
  <c r="N1669" i="11"/>
  <c r="N1207" i="11"/>
  <c r="N883" i="11"/>
  <c r="N709" i="11"/>
  <c r="N499" i="11"/>
  <c r="N1579" i="11"/>
  <c r="N714" i="11"/>
  <c r="N1501" i="11"/>
  <c r="N961" i="11"/>
  <c r="H59" i="29"/>
  <c r="F59" i="29"/>
  <c r="G59" i="29"/>
  <c r="M57" i="26"/>
  <c r="AD103" i="32"/>
  <c r="AD105" i="32" s="1"/>
  <c r="AD106" i="32" s="1"/>
  <c r="AD110" i="32" s="1"/>
  <c r="G195" i="34"/>
  <c r="H195" i="34"/>
  <c r="P105" i="34"/>
  <c r="I105" i="34"/>
  <c r="J195" i="34"/>
  <c r="R195" i="34"/>
  <c r="I195" i="34"/>
  <c r="R105" i="34"/>
  <c r="P195" i="34"/>
  <c r="Q195" i="34"/>
  <c r="O105" i="34"/>
  <c r="Q105" i="34"/>
  <c r="O195" i="34"/>
  <c r="L57" i="26"/>
  <c r="D27" i="57" s="1"/>
  <c r="N517" i="11"/>
  <c r="N391" i="11"/>
  <c r="N787" i="11"/>
  <c r="N1429" i="11"/>
  <c r="N475" i="11"/>
  <c r="N1225" i="11"/>
  <c r="N1411" i="11"/>
  <c r="N972" i="11"/>
  <c r="N1585" i="11"/>
  <c r="N1321" i="11"/>
  <c r="N469" i="11"/>
  <c r="N516" i="11"/>
  <c r="N493" i="11"/>
  <c r="N1087" i="11"/>
  <c r="N1609" i="11"/>
  <c r="N1399" i="11"/>
  <c r="N1291" i="11"/>
  <c r="N1111" i="11"/>
  <c r="N1645" i="11"/>
  <c r="N488" i="11"/>
  <c r="N415" i="11"/>
  <c r="N1423" i="11"/>
  <c r="N594" i="11"/>
  <c r="N1381" i="11"/>
  <c r="N1627" i="11"/>
  <c r="N1302" i="11"/>
  <c r="N1230" i="11"/>
  <c r="N1261" i="11"/>
  <c r="N1465" i="11"/>
  <c r="N793" i="11"/>
  <c r="N464" i="11"/>
  <c r="N1567" i="11"/>
  <c r="N1513" i="11"/>
  <c r="N1105" i="11"/>
  <c r="N1237" i="11"/>
  <c r="N1116" i="11"/>
  <c r="N1183" i="11"/>
  <c r="N595" i="11"/>
  <c r="N606" i="11"/>
  <c r="N1069" i="11"/>
  <c r="N1543" i="11"/>
  <c r="N535" i="11"/>
  <c r="N900" i="11"/>
  <c r="N924" i="11"/>
  <c r="N1477" i="11"/>
  <c r="N1146" i="11"/>
  <c r="N1165" i="11"/>
  <c r="N847" i="11"/>
  <c r="N1448" i="11"/>
  <c r="N1380" i="11"/>
  <c r="N870" i="11"/>
  <c r="N476" i="11"/>
  <c r="N885" i="11"/>
  <c r="N428" i="11"/>
  <c r="N1453" i="11"/>
  <c r="N451" i="11"/>
  <c r="N1267" i="11"/>
  <c r="N1008" i="11"/>
  <c r="N498" i="11"/>
  <c r="N474" i="11"/>
  <c r="N1357" i="11"/>
  <c r="N1112" i="11"/>
  <c r="N1555" i="11"/>
  <c r="N1466" i="11"/>
  <c r="N1441" i="11"/>
  <c r="N1371" i="11"/>
  <c r="N966" i="11"/>
  <c r="N1324" i="11"/>
  <c r="N1394" i="11"/>
  <c r="N1368" i="11"/>
  <c r="N927" i="11"/>
  <c r="N908" i="11"/>
  <c r="N421" i="11"/>
  <c r="N1430" i="11"/>
  <c r="N1364" i="11"/>
  <c r="N1238" i="11"/>
  <c r="N1495" i="11"/>
  <c r="N1141" i="11"/>
  <c r="N607" i="11"/>
  <c r="N1389" i="11"/>
  <c r="N1447" i="11"/>
  <c r="N1135" i="11"/>
  <c r="N1123" i="11"/>
  <c r="N501" i="11"/>
  <c r="N528" i="11"/>
  <c r="N492" i="11"/>
  <c r="N1386" i="11"/>
  <c r="N571" i="11"/>
  <c r="N1404" i="11"/>
  <c r="N1147" i="11"/>
  <c r="N1564" i="11"/>
  <c r="N605" i="11"/>
  <c r="N1451" i="11"/>
  <c r="N1122" i="11"/>
  <c r="N946" i="11"/>
  <c r="N573" i="11"/>
  <c r="N937" i="11"/>
  <c r="N1484" i="11"/>
  <c r="N1350" i="11"/>
  <c r="N1144" i="11"/>
  <c r="N537" i="11"/>
  <c r="N519" i="11"/>
  <c r="N1365" i="11"/>
  <c r="N1361" i="11"/>
  <c r="N1410" i="11"/>
  <c r="N1337" i="11"/>
  <c r="N1101" i="11"/>
  <c r="N912" i="11"/>
  <c r="N1138" i="11"/>
  <c r="N984" i="11"/>
  <c r="N510" i="11"/>
  <c r="R26" i="38"/>
  <c r="O26" i="38"/>
  <c r="Q26" i="38" s="1"/>
  <c r="E7" i="66"/>
  <c r="J66" i="33" l="1"/>
  <c r="J68" i="33" s="1"/>
  <c r="J69" i="33" s="1"/>
  <c r="J73" i="33" s="1"/>
  <c r="H21" i="57" s="1"/>
  <c r="I21" i="57"/>
  <c r="J35" i="60"/>
  <c r="G48" i="60" l="1"/>
  <c r="F49" i="60" l="1"/>
  <c r="G49" i="60"/>
  <c r="G47" i="60"/>
  <c r="H48" i="60"/>
  <c r="H49" i="60"/>
  <c r="F46" i="60"/>
  <c r="F47" i="60"/>
  <c r="F48" i="60"/>
  <c r="E16" i="65" l="1"/>
  <c r="J18" i="60" l="1"/>
  <c r="J19" i="60" l="1"/>
  <c r="B8" i="63" l="1"/>
  <c r="I32" i="61" l="1"/>
  <c r="J32" i="61"/>
  <c r="I31" i="61"/>
  <c r="H30" i="61"/>
  <c r="H31" i="61"/>
  <c r="G29" i="61"/>
  <c r="G30" i="61"/>
  <c r="F29" i="61"/>
  <c r="F24" i="61"/>
  <c r="G24" i="61"/>
  <c r="H24" i="61"/>
  <c r="I24" i="61"/>
  <c r="J24" i="61"/>
  <c r="E24" i="61"/>
  <c r="F20" i="61"/>
  <c r="H20" i="61"/>
  <c r="I20" i="61"/>
  <c r="E20" i="61"/>
  <c r="D18" i="61"/>
  <c r="E7" i="61"/>
  <c r="G13" i="61" s="1"/>
  <c r="K17" i="61" s="1"/>
  <c r="E33" i="61" s="1"/>
  <c r="C7" i="61"/>
  <c r="C5" i="61"/>
  <c r="J20" i="60"/>
  <c r="J21" i="60"/>
  <c r="J22" i="60"/>
  <c r="J23" i="60"/>
  <c r="J24" i="60"/>
  <c r="J25" i="60"/>
  <c r="J26" i="60"/>
  <c r="J27" i="60"/>
  <c r="J30" i="60"/>
  <c r="J31" i="60"/>
  <c r="J32" i="60"/>
  <c r="J33" i="60"/>
  <c r="J34" i="60"/>
  <c r="C19" i="60"/>
  <c r="C20" i="60"/>
  <c r="C21" i="60"/>
  <c r="C22" i="60"/>
  <c r="C23" i="60"/>
  <c r="C24" i="60"/>
  <c r="C25" i="60"/>
  <c r="C26" i="60"/>
  <c r="C27" i="60"/>
  <c r="C30" i="60"/>
  <c r="C31" i="60"/>
  <c r="C32" i="60"/>
  <c r="C33" i="60"/>
  <c r="C34" i="60"/>
  <c r="C35" i="60"/>
  <c r="C18" i="60"/>
  <c r="E7" i="60"/>
  <c r="G13" i="60" s="1"/>
  <c r="K17" i="60" s="1"/>
  <c r="C7" i="60"/>
  <c r="C5" i="60"/>
  <c r="J38" i="60" l="1"/>
  <c r="E51" i="60"/>
  <c r="K45" i="60"/>
  <c r="F30" i="61"/>
  <c r="F31" i="61" s="1"/>
  <c r="F32" i="61" s="1"/>
  <c r="F33" i="61" s="1"/>
  <c r="F34" i="61" s="1"/>
  <c r="I33" i="61"/>
  <c r="I34" i="61" s="1"/>
  <c r="H32" i="61"/>
  <c r="H33" i="61" s="1"/>
  <c r="G31" i="61"/>
  <c r="G20" i="61"/>
  <c r="J17" i="60"/>
  <c r="K27" i="61"/>
  <c r="J17" i="61"/>
  <c r="J36" i="60"/>
  <c r="E50" i="60" l="1"/>
  <c r="J45" i="60"/>
  <c r="I50" i="60"/>
  <c r="J50" i="60"/>
  <c r="F50" i="60"/>
  <c r="H50" i="60"/>
  <c r="G50" i="60"/>
  <c r="H34" i="61"/>
  <c r="G32" i="61"/>
  <c r="G33" i="61" s="1"/>
  <c r="I17" i="60"/>
  <c r="E32" i="61"/>
  <c r="J27" i="61"/>
  <c r="I17" i="61"/>
  <c r="E36" i="60"/>
  <c r="I36" i="60"/>
  <c r="F36" i="60"/>
  <c r="E5" i="69"/>
  <c r="E45" i="45"/>
  <c r="K21" i="61" s="1"/>
  <c r="K41" i="60"/>
  <c r="H43" i="45"/>
  <c r="L7" i="2"/>
  <c r="K7" i="2"/>
  <c r="D14" i="20"/>
  <c r="N68" i="36"/>
  <c r="F86" i="37" s="1"/>
  <c r="J86" i="37" s="1"/>
  <c r="M68" i="36"/>
  <c r="E86" i="37" s="1"/>
  <c r="I86" i="37" s="1"/>
  <c r="N66" i="36"/>
  <c r="F84" i="37" s="1"/>
  <c r="J84" i="37" s="1"/>
  <c r="M66" i="36"/>
  <c r="E84" i="37" s="1"/>
  <c r="I84" i="37" s="1"/>
  <c r="D64" i="48"/>
  <c r="I70" i="55"/>
  <c r="K70" i="55" s="1"/>
  <c r="I69" i="55"/>
  <c r="D48" i="48"/>
  <c r="H113" i="12"/>
  <c r="I113" i="12"/>
  <c r="J113" i="12"/>
  <c r="J115" i="12" s="1"/>
  <c r="J111" i="12" s="1"/>
  <c r="K113" i="12"/>
  <c r="K115" i="12"/>
  <c r="K111" i="12" s="1"/>
  <c r="H72" i="12"/>
  <c r="I72" i="12"/>
  <c r="J72" i="12"/>
  <c r="K72" i="12"/>
  <c r="K74" i="12" s="1"/>
  <c r="K70" i="12" s="1"/>
  <c r="I73" i="12"/>
  <c r="J73" i="12"/>
  <c r="K73" i="12"/>
  <c r="G107" i="12"/>
  <c r="F107" i="12"/>
  <c r="E107" i="12"/>
  <c r="G106" i="12"/>
  <c r="F106" i="12"/>
  <c r="E106" i="12"/>
  <c r="L105" i="12"/>
  <c r="G105" i="12"/>
  <c r="F105" i="12"/>
  <c r="E105" i="12"/>
  <c r="G68" i="12"/>
  <c r="F68" i="12"/>
  <c r="E68" i="12"/>
  <c r="G67" i="12"/>
  <c r="F67" i="12"/>
  <c r="E67" i="12"/>
  <c r="L66" i="12"/>
  <c r="G66" i="12"/>
  <c r="F66" i="12"/>
  <c r="E66" i="12"/>
  <c r="K16" i="14"/>
  <c r="H50" i="12"/>
  <c r="I50" i="12"/>
  <c r="J50" i="12"/>
  <c r="K50" i="12"/>
  <c r="K52" i="12" s="1"/>
  <c r="K48" i="12" s="1"/>
  <c r="I51" i="12"/>
  <c r="I52" i="12" s="1"/>
  <c r="I48" i="12" s="1"/>
  <c r="J51" i="12"/>
  <c r="K51" i="12"/>
  <c r="G44" i="12"/>
  <c r="F44" i="12"/>
  <c r="E44" i="12"/>
  <c r="G43" i="12"/>
  <c r="F43" i="12"/>
  <c r="E43" i="12"/>
  <c r="H84" i="2"/>
  <c r="E71" i="41"/>
  <c r="E52" i="41"/>
  <c r="E7" i="57"/>
  <c r="C7" i="57"/>
  <c r="C5" i="57"/>
  <c r="L92" i="12"/>
  <c r="E104" i="12"/>
  <c r="E98" i="12"/>
  <c r="E95" i="12"/>
  <c r="E92" i="12"/>
  <c r="E89" i="12"/>
  <c r="E65" i="12"/>
  <c r="E41" i="12"/>
  <c r="E38" i="12"/>
  <c r="E35" i="12"/>
  <c r="E32" i="12"/>
  <c r="E29" i="12"/>
  <c r="E26" i="12"/>
  <c r="E23" i="12"/>
  <c r="E20" i="12"/>
  <c r="F17" i="25"/>
  <c r="D17" i="25"/>
  <c r="D43" i="44"/>
  <c r="D49" i="44" s="1"/>
  <c r="I231" i="25"/>
  <c r="I232" i="25" s="1"/>
  <c r="G231" i="25"/>
  <c r="G232" i="25" s="1"/>
  <c r="E231" i="25"/>
  <c r="E232" i="25" s="1"/>
  <c r="I226" i="25"/>
  <c r="I227" i="25" s="1"/>
  <c r="G226" i="25"/>
  <c r="G227" i="25" s="1"/>
  <c r="E226" i="25"/>
  <c r="E227" i="25" s="1"/>
  <c r="I221" i="25"/>
  <c r="I222" i="25" s="1"/>
  <c r="G221" i="25"/>
  <c r="G222" i="25" s="1"/>
  <c r="E221" i="25"/>
  <c r="E222" i="25" s="1"/>
  <c r="I216" i="25"/>
  <c r="I217" i="25" s="1"/>
  <c r="G216" i="25"/>
  <c r="G217" i="25" s="1"/>
  <c r="E216" i="25"/>
  <c r="E217" i="25" s="1"/>
  <c r="I211" i="25"/>
  <c r="I212" i="25" s="1"/>
  <c r="G211" i="25"/>
  <c r="G212" i="25" s="1"/>
  <c r="E211" i="25"/>
  <c r="E212" i="25" s="1"/>
  <c r="I206" i="25"/>
  <c r="I207" i="25" s="1"/>
  <c r="G206" i="25"/>
  <c r="G207" i="25" s="1"/>
  <c r="E206" i="25"/>
  <c r="E207" i="25" s="1"/>
  <c r="I201" i="25"/>
  <c r="I202" i="25" s="1"/>
  <c r="G201" i="25"/>
  <c r="G202" i="25" s="1"/>
  <c r="E201" i="25"/>
  <c r="E202" i="25" s="1"/>
  <c r="I196" i="25"/>
  <c r="I197" i="25" s="1"/>
  <c r="G196" i="25"/>
  <c r="G197" i="25" s="1"/>
  <c r="E196" i="25"/>
  <c r="E197" i="25" s="1"/>
  <c r="I191" i="25"/>
  <c r="I192" i="25" s="1"/>
  <c r="G191" i="25"/>
  <c r="G192" i="25" s="1"/>
  <c r="E191" i="25"/>
  <c r="E192" i="25" s="1"/>
  <c r="I186" i="25"/>
  <c r="I187" i="25" s="1"/>
  <c r="G186" i="25"/>
  <c r="G187" i="25" s="1"/>
  <c r="E186" i="25"/>
  <c r="E187" i="25" s="1"/>
  <c r="I181" i="25"/>
  <c r="I182" i="25" s="1"/>
  <c r="G181" i="25"/>
  <c r="G182" i="25" s="1"/>
  <c r="E181" i="25"/>
  <c r="E182" i="25" s="1"/>
  <c r="I176" i="25"/>
  <c r="I177" i="25" s="1"/>
  <c r="G176" i="25"/>
  <c r="G177" i="25" s="1"/>
  <c r="E176" i="25"/>
  <c r="E177" i="25" s="1"/>
  <c r="I171" i="25"/>
  <c r="I172" i="25" s="1"/>
  <c r="G171" i="25"/>
  <c r="G172" i="25" s="1"/>
  <c r="E171" i="25"/>
  <c r="E172" i="25" s="1"/>
  <c r="I166" i="25"/>
  <c r="I167" i="25" s="1"/>
  <c r="G166" i="25"/>
  <c r="G167" i="25" s="1"/>
  <c r="E166" i="25"/>
  <c r="E167" i="25" s="1"/>
  <c r="I161" i="25"/>
  <c r="I162" i="25" s="1"/>
  <c r="G161" i="25"/>
  <c r="G162" i="25" s="1"/>
  <c r="E161" i="25"/>
  <c r="E162" i="25" s="1"/>
  <c r="I156" i="25"/>
  <c r="I157" i="25" s="1"/>
  <c r="G156" i="25"/>
  <c r="G157" i="25" s="1"/>
  <c r="E156" i="25"/>
  <c r="E157" i="25" s="1"/>
  <c r="I151" i="25"/>
  <c r="I152" i="25" s="1"/>
  <c r="G151" i="25"/>
  <c r="G152" i="25" s="1"/>
  <c r="E151" i="25"/>
  <c r="E152" i="25" s="1"/>
  <c r="I146" i="25"/>
  <c r="I147" i="25" s="1"/>
  <c r="G146" i="25"/>
  <c r="G147" i="25" s="1"/>
  <c r="E146" i="25"/>
  <c r="E147" i="25" s="1"/>
  <c r="I141" i="25"/>
  <c r="I142" i="25" s="1"/>
  <c r="G141" i="25"/>
  <c r="G142" i="25" s="1"/>
  <c r="E141" i="25"/>
  <c r="E142" i="25" s="1"/>
  <c r="I136" i="25"/>
  <c r="I137" i="25" s="1"/>
  <c r="G136" i="25"/>
  <c r="G137" i="25" s="1"/>
  <c r="E136" i="25"/>
  <c r="E137" i="25" s="1"/>
  <c r="I131" i="25"/>
  <c r="I132" i="25" s="1"/>
  <c r="G131" i="25"/>
  <c r="G132" i="25" s="1"/>
  <c r="E131" i="25"/>
  <c r="E132" i="25" s="1"/>
  <c r="I126" i="25"/>
  <c r="I127" i="25" s="1"/>
  <c r="G126" i="25"/>
  <c r="G127" i="25" s="1"/>
  <c r="E126" i="25"/>
  <c r="E127" i="25" s="1"/>
  <c r="I121" i="25"/>
  <c r="I122" i="25" s="1"/>
  <c r="G121" i="25"/>
  <c r="G122" i="25" s="1"/>
  <c r="E121" i="25"/>
  <c r="E122" i="25" s="1"/>
  <c r="I116" i="25"/>
  <c r="I117" i="25" s="1"/>
  <c r="G116" i="25"/>
  <c r="G117" i="25" s="1"/>
  <c r="E116" i="25"/>
  <c r="E117" i="25" s="1"/>
  <c r="I111" i="25"/>
  <c r="I112" i="25" s="1"/>
  <c r="G111" i="25"/>
  <c r="G112" i="25" s="1"/>
  <c r="E111" i="25"/>
  <c r="E112" i="25" s="1"/>
  <c r="I106" i="25"/>
  <c r="I107" i="25" s="1"/>
  <c r="G106" i="25"/>
  <c r="G107" i="25" s="1"/>
  <c r="E106" i="25"/>
  <c r="E107" i="25" s="1"/>
  <c r="I101" i="25"/>
  <c r="I102" i="25" s="1"/>
  <c r="G101" i="25"/>
  <c r="G102" i="25" s="1"/>
  <c r="E101" i="25"/>
  <c r="E102" i="25" s="1"/>
  <c r="I96" i="25"/>
  <c r="I97" i="25" s="1"/>
  <c r="G96" i="25"/>
  <c r="G97" i="25" s="1"/>
  <c r="E96" i="25"/>
  <c r="E97" i="25" s="1"/>
  <c r="I91" i="25"/>
  <c r="I92" i="25" s="1"/>
  <c r="G91" i="25"/>
  <c r="G92" i="25" s="1"/>
  <c r="E91" i="25"/>
  <c r="E92" i="25" s="1"/>
  <c r="I86" i="25"/>
  <c r="I87" i="25" s="1"/>
  <c r="G86" i="25"/>
  <c r="G87" i="25" s="1"/>
  <c r="E86" i="25"/>
  <c r="E87" i="25" s="1"/>
  <c r="I81" i="25"/>
  <c r="I82" i="25" s="1"/>
  <c r="G81" i="25"/>
  <c r="G82" i="25" s="1"/>
  <c r="E81" i="25"/>
  <c r="E82" i="25" s="1"/>
  <c r="I76" i="25"/>
  <c r="I77" i="25" s="1"/>
  <c r="G76" i="25"/>
  <c r="G77" i="25" s="1"/>
  <c r="E76" i="25"/>
  <c r="E77" i="25" s="1"/>
  <c r="I71" i="25"/>
  <c r="I72" i="25" s="1"/>
  <c r="G71" i="25"/>
  <c r="G72" i="25" s="1"/>
  <c r="E71" i="25"/>
  <c r="E72" i="25" s="1"/>
  <c r="I66" i="25"/>
  <c r="I67" i="25" s="1"/>
  <c r="G66" i="25"/>
  <c r="G67" i="25" s="1"/>
  <c r="E66" i="25"/>
  <c r="E67" i="25" s="1"/>
  <c r="I61" i="25"/>
  <c r="I62" i="25" s="1"/>
  <c r="G61" i="25"/>
  <c r="G62" i="25" s="1"/>
  <c r="E61" i="25"/>
  <c r="E62" i="25" s="1"/>
  <c r="I56" i="25"/>
  <c r="I57" i="25" s="1"/>
  <c r="G56" i="25"/>
  <c r="G57" i="25" s="1"/>
  <c r="E56" i="25"/>
  <c r="E57" i="25" s="1"/>
  <c r="I51" i="25"/>
  <c r="I52" i="25" s="1"/>
  <c r="G51" i="25"/>
  <c r="G52" i="25" s="1"/>
  <c r="E51" i="25"/>
  <c r="E52" i="25" s="1"/>
  <c r="I46" i="25"/>
  <c r="I47" i="25" s="1"/>
  <c r="G46" i="25"/>
  <c r="G47" i="25" s="1"/>
  <c r="E46" i="25"/>
  <c r="E47" i="25" s="1"/>
  <c r="I41" i="25"/>
  <c r="I42" i="25" s="1"/>
  <c r="G41" i="25"/>
  <c r="G42" i="25" s="1"/>
  <c r="E41" i="25"/>
  <c r="E42" i="25" s="1"/>
  <c r="I36" i="25"/>
  <c r="I37" i="25" s="1"/>
  <c r="G36" i="25"/>
  <c r="G37" i="25" s="1"/>
  <c r="E36" i="25"/>
  <c r="E37" i="25" s="1"/>
  <c r="I31" i="25"/>
  <c r="I32" i="25" s="1"/>
  <c r="G31" i="25"/>
  <c r="G32" i="25" s="1"/>
  <c r="E31" i="25"/>
  <c r="E32" i="25" s="1"/>
  <c r="I26" i="25"/>
  <c r="I27" i="25" s="1"/>
  <c r="G26" i="25"/>
  <c r="G27" i="25" s="1"/>
  <c r="E26" i="25"/>
  <c r="E27" i="25" s="1"/>
  <c r="M63" i="36"/>
  <c r="E80" i="37" s="1"/>
  <c r="I80" i="37" s="1"/>
  <c r="M60" i="36"/>
  <c r="E77" i="37" s="1"/>
  <c r="I77" i="37" s="1"/>
  <c r="C7" i="46"/>
  <c r="D7" i="55"/>
  <c r="C7" i="45"/>
  <c r="C7" i="44"/>
  <c r="C7" i="43"/>
  <c r="C7" i="42"/>
  <c r="C7" i="40"/>
  <c r="C7" i="39"/>
  <c r="C7" i="35"/>
  <c r="C7" i="38"/>
  <c r="C7" i="34"/>
  <c r="C7" i="37"/>
  <c r="C7" i="33"/>
  <c r="C7" i="36"/>
  <c r="C7" i="32"/>
  <c r="C7" i="31"/>
  <c r="C7" i="30"/>
  <c r="C7" i="29"/>
  <c r="C7" i="28"/>
  <c r="C7" i="26"/>
  <c r="C7" i="25"/>
  <c r="C7" i="14"/>
  <c r="C7" i="12"/>
  <c r="B4" i="20"/>
  <c r="J7" i="53"/>
  <c r="I7" i="53"/>
  <c r="K41" i="50"/>
  <c r="J41" i="50"/>
  <c r="K34" i="50"/>
  <c r="J34" i="50"/>
  <c r="K27" i="50"/>
  <c r="J27" i="50"/>
  <c r="K20" i="50"/>
  <c r="J20" i="50"/>
  <c r="K13" i="50"/>
  <c r="J13" i="50"/>
  <c r="K6" i="50"/>
  <c r="J6" i="50"/>
  <c r="F61" i="49"/>
  <c r="E61" i="49"/>
  <c r="F59" i="49"/>
  <c r="E59" i="49"/>
  <c r="F57" i="49"/>
  <c r="E57" i="49"/>
  <c r="F55" i="49"/>
  <c r="E55" i="49"/>
  <c r="F54" i="49"/>
  <c r="E54" i="49"/>
  <c r="F53" i="49"/>
  <c r="E53" i="49"/>
  <c r="F52" i="49"/>
  <c r="E52" i="49"/>
  <c r="F51" i="49"/>
  <c r="E51" i="49"/>
  <c r="F48" i="49"/>
  <c r="E48" i="49"/>
  <c r="F47" i="49"/>
  <c r="E47" i="49"/>
  <c r="F45" i="49"/>
  <c r="E45" i="49"/>
  <c r="F44" i="49"/>
  <c r="E44" i="49"/>
  <c r="F7" i="49"/>
  <c r="E7" i="49"/>
  <c r="D62" i="48"/>
  <c r="D60" i="48"/>
  <c r="D58" i="48"/>
  <c r="D57" i="48"/>
  <c r="D56" i="48"/>
  <c r="D55" i="48"/>
  <c r="D54" i="48"/>
  <c r="G53" i="48"/>
  <c r="F53" i="48"/>
  <c r="E53" i="48"/>
  <c r="E50" i="49" s="1"/>
  <c r="D51" i="48"/>
  <c r="D50" i="48"/>
  <c r="G49" i="48"/>
  <c r="G59" i="48" s="1"/>
  <c r="G61" i="48" s="1"/>
  <c r="G63" i="48" s="1"/>
  <c r="G65" i="48" s="1"/>
  <c r="F49" i="48"/>
  <c r="F46" i="49"/>
  <c r="E49" i="48"/>
  <c r="D47" i="48"/>
  <c r="G46" i="48"/>
  <c r="F46" i="48"/>
  <c r="J12" i="53" s="1"/>
  <c r="E46" i="48"/>
  <c r="I12" i="53" s="1"/>
  <c r="D39" i="48"/>
  <c r="D38" i="48"/>
  <c r="G37" i="48"/>
  <c r="F37" i="48"/>
  <c r="E37" i="48"/>
  <c r="E41" i="48" s="1"/>
  <c r="D36" i="48"/>
  <c r="D35" i="48"/>
  <c r="G34" i="48"/>
  <c r="F34" i="48"/>
  <c r="E34" i="48"/>
  <c r="D32" i="48"/>
  <c r="D31" i="48"/>
  <c r="D30" i="48"/>
  <c r="G29" i="48"/>
  <c r="F29" i="48"/>
  <c r="E29" i="48"/>
  <c r="D25" i="48"/>
  <c r="D23" i="48"/>
  <c r="G22" i="48"/>
  <c r="F22" i="48"/>
  <c r="E22" i="48"/>
  <c r="E26" i="48" s="1"/>
  <c r="D21" i="48"/>
  <c r="D20" i="48"/>
  <c r="G19" i="48"/>
  <c r="F19" i="48"/>
  <c r="E19" i="48"/>
  <c r="D18" i="48"/>
  <c r="D17" i="48" s="1"/>
  <c r="G17" i="48"/>
  <c r="F17" i="48"/>
  <c r="E17" i="48"/>
  <c r="D16" i="48"/>
  <c r="D15" i="48"/>
  <c r="D14" i="48"/>
  <c r="D13" i="48"/>
  <c r="D12" i="48"/>
  <c r="G11" i="48"/>
  <c r="F11" i="48"/>
  <c r="F26" i="48" s="1"/>
  <c r="E11" i="48"/>
  <c r="D9" i="48"/>
  <c r="H7" i="53" s="1"/>
  <c r="I65" i="46"/>
  <c r="J65" i="46"/>
  <c r="F26" i="46"/>
  <c r="E26" i="46"/>
  <c r="F25" i="46"/>
  <c r="E25" i="46"/>
  <c r="F24" i="46"/>
  <c r="E24" i="46"/>
  <c r="F23" i="46"/>
  <c r="E23" i="46"/>
  <c r="F22" i="46"/>
  <c r="E22" i="46"/>
  <c r="F21" i="46"/>
  <c r="E21" i="46"/>
  <c r="F20" i="46"/>
  <c r="E20" i="46"/>
  <c r="F19" i="46"/>
  <c r="E19" i="46"/>
  <c r="F18" i="46"/>
  <c r="E18" i="46"/>
  <c r="F17" i="46"/>
  <c r="E17" i="46"/>
  <c r="E7" i="46"/>
  <c r="C5" i="46"/>
  <c r="J82" i="55"/>
  <c r="E82" i="55"/>
  <c r="I79" i="55"/>
  <c r="K79" i="55"/>
  <c r="E74" i="45" s="1"/>
  <c r="G74" i="45" s="1"/>
  <c r="I75" i="55"/>
  <c r="K75" i="55" s="1"/>
  <c r="I74" i="55"/>
  <c r="K74" i="55" s="1"/>
  <c r="K71" i="55"/>
  <c r="K69" i="55"/>
  <c r="I67" i="55"/>
  <c r="K67" i="55" s="1"/>
  <c r="I66" i="55"/>
  <c r="K66" i="55" s="1"/>
  <c r="F64" i="55"/>
  <c r="F61" i="55"/>
  <c r="I55" i="55"/>
  <c r="K55" i="55" s="1"/>
  <c r="I53" i="55"/>
  <c r="K53" i="55" s="1"/>
  <c r="I52" i="55"/>
  <c r="K52" i="55"/>
  <c r="F51" i="55"/>
  <c r="F48" i="55"/>
  <c r="I42" i="55"/>
  <c r="J37" i="55"/>
  <c r="F37" i="55"/>
  <c r="E37" i="55"/>
  <c r="J27" i="55"/>
  <c r="F27" i="55"/>
  <c r="E27" i="55"/>
  <c r="E7" i="55"/>
  <c r="D5" i="55"/>
  <c r="E85" i="45"/>
  <c r="G81" i="45" s="1"/>
  <c r="E43" i="45"/>
  <c r="F38" i="45"/>
  <c r="E38" i="45"/>
  <c r="D38" i="45"/>
  <c r="C38" i="45"/>
  <c r="F37" i="45"/>
  <c r="E37" i="45"/>
  <c r="D37" i="45"/>
  <c r="C37" i="45"/>
  <c r="F36" i="45"/>
  <c r="E36" i="45"/>
  <c r="D36" i="45"/>
  <c r="C36" i="45"/>
  <c r="F35" i="45"/>
  <c r="E35" i="45"/>
  <c r="D35" i="45"/>
  <c r="C35" i="45"/>
  <c r="F34" i="45"/>
  <c r="E34" i="45"/>
  <c r="D34" i="45"/>
  <c r="C34" i="45"/>
  <c r="F33" i="45"/>
  <c r="E33" i="45"/>
  <c r="D33" i="45"/>
  <c r="C33" i="45"/>
  <c r="F29" i="45"/>
  <c r="E29" i="45"/>
  <c r="D29" i="45"/>
  <c r="C29" i="45"/>
  <c r="F28" i="45"/>
  <c r="E28" i="45"/>
  <c r="D28" i="45"/>
  <c r="C28" i="45"/>
  <c r="F27" i="45"/>
  <c r="E27" i="45"/>
  <c r="D27" i="45"/>
  <c r="C27" i="45"/>
  <c r="F26" i="45"/>
  <c r="E26" i="45"/>
  <c r="D26" i="45"/>
  <c r="C26" i="45"/>
  <c r="F25" i="45"/>
  <c r="E25" i="45"/>
  <c r="D25" i="45"/>
  <c r="C25" i="45"/>
  <c r="F24" i="45"/>
  <c r="E24" i="45"/>
  <c r="D24" i="45"/>
  <c r="C24" i="45"/>
  <c r="F7" i="45"/>
  <c r="C5" i="45"/>
  <c r="E76" i="44"/>
  <c r="F58" i="44"/>
  <c r="E35" i="44"/>
  <c r="F48" i="44"/>
  <c r="F47" i="44"/>
  <c r="F46" i="44"/>
  <c r="F45" i="44"/>
  <c r="F44" i="44"/>
  <c r="G43" i="44"/>
  <c r="G49" i="44" s="1"/>
  <c r="E43" i="44"/>
  <c r="E49" i="44" s="1"/>
  <c r="D7" i="44"/>
  <c r="C5" i="44"/>
  <c r="K23" i="43"/>
  <c r="K22" i="43"/>
  <c r="K21" i="43"/>
  <c r="K20" i="43"/>
  <c r="K19" i="43"/>
  <c r="K18" i="43"/>
  <c r="K17" i="43"/>
  <c r="K16" i="43"/>
  <c r="E7" i="43"/>
  <c r="C5" i="43"/>
  <c r="H101" i="42"/>
  <c r="F26" i="40" s="1"/>
  <c r="E101" i="42"/>
  <c r="I100" i="42"/>
  <c r="I99" i="42"/>
  <c r="I98" i="42"/>
  <c r="I97" i="42"/>
  <c r="I96" i="42"/>
  <c r="I95" i="42"/>
  <c r="I94" i="42"/>
  <c r="I93" i="42"/>
  <c r="I92" i="42"/>
  <c r="I91" i="42"/>
  <c r="I90" i="42"/>
  <c r="I89" i="42"/>
  <c r="I88" i="42"/>
  <c r="I87" i="42"/>
  <c r="I86" i="42"/>
  <c r="I85" i="42"/>
  <c r="I84" i="42"/>
  <c r="I83" i="42"/>
  <c r="I82" i="42"/>
  <c r="I81" i="42"/>
  <c r="I80" i="42"/>
  <c r="I79" i="42"/>
  <c r="I78" i="42"/>
  <c r="I77" i="42"/>
  <c r="I76" i="42"/>
  <c r="I75" i="42"/>
  <c r="I74" i="42"/>
  <c r="I73" i="42"/>
  <c r="I72" i="42"/>
  <c r="I71" i="42"/>
  <c r="I70" i="42"/>
  <c r="I69" i="42"/>
  <c r="I68" i="42"/>
  <c r="I67" i="42"/>
  <c r="I66" i="42"/>
  <c r="I65" i="42"/>
  <c r="I64" i="42"/>
  <c r="I63" i="42"/>
  <c r="I62" i="42"/>
  <c r="I61" i="42"/>
  <c r="I60" i="42"/>
  <c r="I59" i="42"/>
  <c r="I58" i="42"/>
  <c r="I57" i="42"/>
  <c r="I56" i="42"/>
  <c r="I55" i="42"/>
  <c r="I54" i="42"/>
  <c r="I53" i="42"/>
  <c r="I52" i="42"/>
  <c r="I51" i="42"/>
  <c r="I50" i="42"/>
  <c r="I49" i="42"/>
  <c r="I48" i="42"/>
  <c r="I47" i="42"/>
  <c r="I46" i="42"/>
  <c r="I45" i="42"/>
  <c r="I44" i="42"/>
  <c r="I43" i="42"/>
  <c r="I42" i="42"/>
  <c r="I41" i="42"/>
  <c r="I40" i="42"/>
  <c r="I39" i="42"/>
  <c r="I38" i="42"/>
  <c r="I37" i="42"/>
  <c r="I36" i="42"/>
  <c r="I35" i="42"/>
  <c r="I34" i="42"/>
  <c r="I33" i="42"/>
  <c r="I32" i="42"/>
  <c r="I31" i="42"/>
  <c r="I30" i="42"/>
  <c r="I29" i="42"/>
  <c r="I28" i="42"/>
  <c r="I27" i="42"/>
  <c r="I26" i="42"/>
  <c r="I25" i="42"/>
  <c r="I24" i="42"/>
  <c r="I23" i="42"/>
  <c r="I22" i="42"/>
  <c r="I21" i="42"/>
  <c r="I20" i="42"/>
  <c r="I19" i="42"/>
  <c r="I18" i="42"/>
  <c r="I17" i="42"/>
  <c r="I16" i="42"/>
  <c r="I101" i="42" s="1"/>
  <c r="E7" i="42"/>
  <c r="C5" i="42"/>
  <c r="G72" i="41"/>
  <c r="F45" i="41"/>
  <c r="E43" i="41"/>
  <c r="F35" i="41"/>
  <c r="G30" i="41"/>
  <c r="E7" i="41"/>
  <c r="C5" i="41"/>
  <c r="G72" i="40"/>
  <c r="F45" i="40"/>
  <c r="F35" i="40"/>
  <c r="E7" i="40"/>
  <c r="C5" i="40"/>
  <c r="H62" i="39"/>
  <c r="G42" i="39"/>
  <c r="G38" i="39"/>
  <c r="E7" i="39"/>
  <c r="C5" i="39"/>
  <c r="E7" i="35"/>
  <c r="C5" i="35"/>
  <c r="L49" i="38"/>
  <c r="M49" i="38"/>
  <c r="L47" i="38"/>
  <c r="J45" i="38"/>
  <c r="I45" i="38"/>
  <c r="L40" i="38"/>
  <c r="J38" i="38"/>
  <c r="I38" i="38"/>
  <c r="L33" i="38"/>
  <c r="F49" i="38"/>
  <c r="J31" i="38"/>
  <c r="I31" i="38"/>
  <c r="L26" i="38"/>
  <c r="G22" i="38"/>
  <c r="I22" i="38" s="1"/>
  <c r="R20" i="38"/>
  <c r="Q20" i="38"/>
  <c r="J20" i="38"/>
  <c r="I20" i="38"/>
  <c r="E7" i="38"/>
  <c r="C5" i="38"/>
  <c r="E7" i="34"/>
  <c r="C5" i="34"/>
  <c r="E7" i="37"/>
  <c r="C5" i="37"/>
  <c r="E7" i="33"/>
  <c r="C5" i="33"/>
  <c r="K64" i="36"/>
  <c r="I64" i="36"/>
  <c r="G64" i="36"/>
  <c r="E64" i="36"/>
  <c r="M58" i="36"/>
  <c r="E75" i="37" s="1"/>
  <c r="I75" i="37" s="1"/>
  <c r="M57" i="36"/>
  <c r="E74" i="37" s="1"/>
  <c r="I74" i="37" s="1"/>
  <c r="M56" i="36"/>
  <c r="N44" i="36"/>
  <c r="F61" i="37" s="1"/>
  <c r="J61" i="37" s="1"/>
  <c r="M44" i="36"/>
  <c r="E61" i="37" s="1"/>
  <c r="I61" i="37" s="1"/>
  <c r="N43" i="36"/>
  <c r="F60" i="37" s="1"/>
  <c r="J60" i="37" s="1"/>
  <c r="M43" i="36"/>
  <c r="E60" i="37" s="1"/>
  <c r="I60" i="37" s="1"/>
  <c r="N42" i="36"/>
  <c r="F59" i="37" s="1"/>
  <c r="J59" i="37" s="1"/>
  <c r="M42" i="36"/>
  <c r="E59" i="37" s="1"/>
  <c r="I59" i="37" s="1"/>
  <c r="N41" i="36"/>
  <c r="F58" i="37" s="1"/>
  <c r="J58" i="37" s="1"/>
  <c r="M41" i="36"/>
  <c r="E58" i="37" s="1"/>
  <c r="I58" i="37" s="1"/>
  <c r="N40" i="36"/>
  <c r="F56" i="37" s="1"/>
  <c r="J56" i="37" s="1"/>
  <c r="M40" i="36"/>
  <c r="E56" i="37" s="1"/>
  <c r="I56" i="37" s="1"/>
  <c r="N39" i="36"/>
  <c r="F55" i="37" s="1"/>
  <c r="J55" i="37" s="1"/>
  <c r="M39" i="36"/>
  <c r="E55" i="37" s="1"/>
  <c r="I55" i="37" s="1"/>
  <c r="N38" i="36"/>
  <c r="F54" i="37" s="1"/>
  <c r="J54" i="37" s="1"/>
  <c r="M38" i="36"/>
  <c r="E54" i="37" s="1"/>
  <c r="I54" i="37" s="1"/>
  <c r="N37" i="36"/>
  <c r="F51" i="37" s="1"/>
  <c r="J51" i="37" s="1"/>
  <c r="M37" i="36"/>
  <c r="E51" i="37" s="1"/>
  <c r="I51" i="37" s="1"/>
  <c r="N36" i="36"/>
  <c r="M36" i="36"/>
  <c r="E50" i="37" s="1"/>
  <c r="I50" i="37" s="1"/>
  <c r="J48" i="36"/>
  <c r="N32" i="36"/>
  <c r="F46" i="37" s="1"/>
  <c r="J46" i="37" s="1"/>
  <c r="M32" i="36"/>
  <c r="E46" i="37" s="1"/>
  <c r="I46" i="37" s="1"/>
  <c r="N31" i="36"/>
  <c r="M31" i="36"/>
  <c r="N30" i="36"/>
  <c r="F45" i="37" s="1"/>
  <c r="J45" i="37" s="1"/>
  <c r="M30" i="36"/>
  <c r="E45" i="37" s="1"/>
  <c r="I45" i="37" s="1"/>
  <c r="N29" i="36"/>
  <c r="F44" i="37" s="1"/>
  <c r="J44" i="37" s="1"/>
  <c r="M29" i="36"/>
  <c r="E44" i="37" s="1"/>
  <c r="I44" i="37" s="1"/>
  <c r="N28" i="36"/>
  <c r="F43" i="37" s="1"/>
  <c r="J43" i="37" s="1"/>
  <c r="M28" i="36"/>
  <c r="E43" i="37" s="1"/>
  <c r="I43" i="37" s="1"/>
  <c r="N25" i="36"/>
  <c r="F39" i="37" s="1"/>
  <c r="J39" i="37" s="1"/>
  <c r="M25" i="36"/>
  <c r="E7" i="36"/>
  <c r="C5" i="36"/>
  <c r="E7" i="32"/>
  <c r="AF19" i="32" s="1"/>
  <c r="AF74" i="32" s="1"/>
  <c r="C5" i="32"/>
  <c r="D7" i="31"/>
  <c r="C5" i="31"/>
  <c r="E52" i="30"/>
  <c r="G34" i="30" s="1"/>
  <c r="F34" i="30"/>
  <c r="E34" i="30"/>
  <c r="H24" i="30"/>
  <c r="G22" i="30"/>
  <c r="G26" i="30" s="1"/>
  <c r="G28" i="30" s="1"/>
  <c r="F22" i="30"/>
  <c r="F26" i="30" s="1"/>
  <c r="E22" i="30"/>
  <c r="E26" i="30" s="1"/>
  <c r="D22" i="30"/>
  <c r="D26" i="30" s="1"/>
  <c r="D28" i="30" s="1"/>
  <c r="H20" i="30"/>
  <c r="H19" i="30"/>
  <c r="H22" i="30" s="1"/>
  <c r="H18" i="30"/>
  <c r="H17" i="30"/>
  <c r="D7" i="30"/>
  <c r="C5" i="30"/>
  <c r="D7" i="29"/>
  <c r="C5" i="29"/>
  <c r="D7" i="28"/>
  <c r="C5" i="28"/>
  <c r="D7" i="26"/>
  <c r="C5" i="26"/>
  <c r="E17" i="25"/>
  <c r="D7" i="25"/>
  <c r="C5" i="25"/>
  <c r="G21" i="21"/>
  <c r="F21" i="21"/>
  <c r="E21" i="21"/>
  <c r="D21" i="21"/>
  <c r="F17" i="21"/>
  <c r="E17" i="21"/>
  <c r="D17" i="21"/>
  <c r="D7" i="21"/>
  <c r="C5" i="21"/>
  <c r="F17" i="18"/>
  <c r="E17" i="18"/>
  <c r="D17" i="18"/>
  <c r="D7" i="18"/>
  <c r="C5" i="18"/>
  <c r="H301" i="14"/>
  <c r="G301" i="14"/>
  <c r="L300" i="14"/>
  <c r="K300" i="14"/>
  <c r="L299" i="14"/>
  <c r="K299" i="14"/>
  <c r="L298" i="14"/>
  <c r="K298" i="14"/>
  <c r="L297" i="14"/>
  <c r="K297" i="14"/>
  <c r="L296" i="14"/>
  <c r="K296" i="14"/>
  <c r="L295" i="14"/>
  <c r="K295" i="14"/>
  <c r="L294" i="14"/>
  <c r="K294" i="14"/>
  <c r="L293" i="14"/>
  <c r="K293" i="14"/>
  <c r="L292" i="14"/>
  <c r="K292" i="14"/>
  <c r="L291" i="14"/>
  <c r="K291" i="14"/>
  <c r="L290" i="14"/>
  <c r="K290" i="14"/>
  <c r="L289" i="14"/>
  <c r="K289" i="14"/>
  <c r="L288" i="14"/>
  <c r="K288" i="14"/>
  <c r="L287" i="14"/>
  <c r="K287" i="14"/>
  <c r="L286" i="14"/>
  <c r="K286" i="14"/>
  <c r="L285" i="14"/>
  <c r="K285" i="14"/>
  <c r="L284" i="14"/>
  <c r="K284" i="14"/>
  <c r="L283" i="14"/>
  <c r="K283" i="14"/>
  <c r="L282" i="14"/>
  <c r="K282" i="14"/>
  <c r="L281" i="14"/>
  <c r="K281" i="14"/>
  <c r="L280" i="14"/>
  <c r="K280" i="14"/>
  <c r="L279" i="14"/>
  <c r="K279" i="14"/>
  <c r="L278" i="14"/>
  <c r="K278" i="14"/>
  <c r="L277" i="14"/>
  <c r="K277" i="14"/>
  <c r="L276" i="14"/>
  <c r="K276" i="14"/>
  <c r="L275" i="14"/>
  <c r="K275" i="14"/>
  <c r="L274" i="14"/>
  <c r="K274" i="14"/>
  <c r="L273" i="14"/>
  <c r="K273" i="14"/>
  <c r="L272" i="14"/>
  <c r="K272" i="14"/>
  <c r="L271" i="14"/>
  <c r="K271" i="14"/>
  <c r="L270" i="14"/>
  <c r="K270" i="14"/>
  <c r="L269" i="14"/>
  <c r="K269" i="14"/>
  <c r="L268" i="14"/>
  <c r="K268" i="14"/>
  <c r="L267" i="14"/>
  <c r="K267" i="14"/>
  <c r="L266" i="14"/>
  <c r="K266" i="14"/>
  <c r="L265" i="14"/>
  <c r="K265" i="14"/>
  <c r="L264" i="14"/>
  <c r="K264" i="14"/>
  <c r="L263" i="14"/>
  <c r="K263" i="14"/>
  <c r="L262" i="14"/>
  <c r="K262" i="14"/>
  <c r="L261" i="14"/>
  <c r="K261" i="14"/>
  <c r="L260" i="14"/>
  <c r="K260" i="14"/>
  <c r="L259" i="14"/>
  <c r="K259" i="14"/>
  <c r="L258" i="14"/>
  <c r="K258" i="14"/>
  <c r="L257" i="14"/>
  <c r="K257" i="14"/>
  <c r="L256" i="14"/>
  <c r="K256" i="14"/>
  <c r="L255" i="14"/>
  <c r="K255" i="14"/>
  <c r="L254" i="14"/>
  <c r="K254" i="14"/>
  <c r="L253" i="14"/>
  <c r="K253" i="14"/>
  <c r="L252" i="14"/>
  <c r="K252" i="14"/>
  <c r="L251" i="14"/>
  <c r="K251" i="14"/>
  <c r="L250" i="14"/>
  <c r="K250" i="14"/>
  <c r="L249" i="14"/>
  <c r="K249" i="14"/>
  <c r="L248" i="14"/>
  <c r="K248" i="14"/>
  <c r="L247" i="14"/>
  <c r="K247" i="14"/>
  <c r="L246" i="14"/>
  <c r="K246" i="14"/>
  <c r="L245" i="14"/>
  <c r="K245" i="14"/>
  <c r="L244" i="14"/>
  <c r="K244" i="14"/>
  <c r="L243" i="14"/>
  <c r="K243" i="14"/>
  <c r="L242" i="14"/>
  <c r="K242" i="14"/>
  <c r="L241" i="14"/>
  <c r="K241" i="14"/>
  <c r="L240" i="14"/>
  <c r="K240" i="14"/>
  <c r="L239" i="14"/>
  <c r="K239" i="14"/>
  <c r="L238" i="14"/>
  <c r="K238" i="14"/>
  <c r="L237" i="14"/>
  <c r="K237" i="14"/>
  <c r="L236" i="14"/>
  <c r="K236" i="14"/>
  <c r="L235" i="14"/>
  <c r="K235" i="14"/>
  <c r="L234" i="14"/>
  <c r="K234" i="14"/>
  <c r="L233" i="14"/>
  <c r="K233" i="14"/>
  <c r="L232" i="14"/>
  <c r="K232" i="14"/>
  <c r="L231" i="14"/>
  <c r="K231" i="14"/>
  <c r="L230" i="14"/>
  <c r="K230" i="14"/>
  <c r="L229" i="14"/>
  <c r="K229" i="14"/>
  <c r="L228" i="14"/>
  <c r="K228" i="14"/>
  <c r="L227" i="14"/>
  <c r="K227" i="14"/>
  <c r="L226" i="14"/>
  <c r="K226" i="14"/>
  <c r="L225" i="14"/>
  <c r="K225" i="14"/>
  <c r="L224" i="14"/>
  <c r="K224" i="14"/>
  <c r="L223" i="14"/>
  <c r="K223" i="14"/>
  <c r="L222" i="14"/>
  <c r="K222" i="14"/>
  <c r="L221" i="14"/>
  <c r="K221" i="14"/>
  <c r="L220" i="14"/>
  <c r="K220" i="14"/>
  <c r="L219" i="14"/>
  <c r="K219" i="14"/>
  <c r="L218" i="14"/>
  <c r="K218" i="14"/>
  <c r="L217" i="14"/>
  <c r="K217" i="14"/>
  <c r="L216" i="14"/>
  <c r="K216" i="14"/>
  <c r="L215" i="14"/>
  <c r="K215" i="14"/>
  <c r="L214" i="14"/>
  <c r="K214" i="14"/>
  <c r="L213" i="14"/>
  <c r="K213" i="14"/>
  <c r="L212" i="14"/>
  <c r="K212" i="14"/>
  <c r="L211" i="14"/>
  <c r="K211" i="14"/>
  <c r="L210" i="14"/>
  <c r="K210" i="14"/>
  <c r="L209" i="14"/>
  <c r="K209" i="14"/>
  <c r="L208" i="14"/>
  <c r="K208" i="14"/>
  <c r="L207" i="14"/>
  <c r="K207" i="14"/>
  <c r="L206" i="14"/>
  <c r="K206" i="14"/>
  <c r="L205" i="14"/>
  <c r="K205" i="14"/>
  <c r="L204" i="14"/>
  <c r="K204" i="14"/>
  <c r="L203" i="14"/>
  <c r="K203" i="14"/>
  <c r="L202" i="14"/>
  <c r="K202" i="14"/>
  <c r="L201" i="14"/>
  <c r="K201" i="14"/>
  <c r="L200" i="14"/>
  <c r="K200" i="14"/>
  <c r="L199" i="14"/>
  <c r="K199" i="14"/>
  <c r="L198" i="14"/>
  <c r="K198" i="14"/>
  <c r="L197" i="14"/>
  <c r="K197" i="14"/>
  <c r="L196" i="14"/>
  <c r="K196" i="14"/>
  <c r="L195" i="14"/>
  <c r="K195" i="14"/>
  <c r="L194" i="14"/>
  <c r="K194" i="14"/>
  <c r="L193" i="14"/>
  <c r="K193" i="14"/>
  <c r="L192" i="14"/>
  <c r="K192" i="14"/>
  <c r="L191" i="14"/>
  <c r="K191" i="14"/>
  <c r="L190" i="14"/>
  <c r="K190" i="14"/>
  <c r="L189" i="14"/>
  <c r="K189" i="14"/>
  <c r="L188" i="14"/>
  <c r="K188" i="14"/>
  <c r="L187" i="14"/>
  <c r="K187" i="14"/>
  <c r="L186" i="14"/>
  <c r="K186" i="14"/>
  <c r="L185" i="14"/>
  <c r="K185" i="14"/>
  <c r="L184" i="14"/>
  <c r="K184" i="14"/>
  <c r="L183" i="14"/>
  <c r="K183" i="14"/>
  <c r="L182" i="14"/>
  <c r="K182" i="14"/>
  <c r="L181" i="14"/>
  <c r="K181" i="14"/>
  <c r="L180" i="14"/>
  <c r="K180" i="14"/>
  <c r="L179" i="14"/>
  <c r="K179" i="14"/>
  <c r="L178" i="14"/>
  <c r="K178" i="14"/>
  <c r="L177" i="14"/>
  <c r="K177" i="14"/>
  <c r="L176" i="14"/>
  <c r="K176" i="14"/>
  <c r="L175" i="14"/>
  <c r="K175" i="14"/>
  <c r="L174" i="14"/>
  <c r="K174" i="14"/>
  <c r="L173" i="14"/>
  <c r="K173" i="14"/>
  <c r="L172" i="14"/>
  <c r="K172" i="14"/>
  <c r="L171" i="14"/>
  <c r="K171" i="14"/>
  <c r="L170" i="14"/>
  <c r="K170" i="14"/>
  <c r="L169" i="14"/>
  <c r="K169" i="14"/>
  <c r="L168" i="14"/>
  <c r="K168" i="14"/>
  <c r="L167" i="14"/>
  <c r="K167" i="14"/>
  <c r="L166" i="14"/>
  <c r="K166" i="14"/>
  <c r="L165" i="14"/>
  <c r="K165" i="14"/>
  <c r="L164" i="14"/>
  <c r="K164" i="14"/>
  <c r="L163" i="14"/>
  <c r="K163" i="14"/>
  <c r="L162" i="14"/>
  <c r="K162" i="14"/>
  <c r="L161" i="14"/>
  <c r="K161" i="14"/>
  <c r="L160" i="14"/>
  <c r="K160" i="14"/>
  <c r="L159" i="14"/>
  <c r="K159" i="14"/>
  <c r="L158" i="14"/>
  <c r="K158" i="14"/>
  <c r="L157" i="14"/>
  <c r="K157" i="14"/>
  <c r="L156" i="14"/>
  <c r="K156" i="14"/>
  <c r="L155" i="14"/>
  <c r="K155" i="14"/>
  <c r="L154" i="14"/>
  <c r="K154" i="14"/>
  <c r="L153" i="14"/>
  <c r="K153" i="14"/>
  <c r="L152" i="14"/>
  <c r="K152" i="14"/>
  <c r="L151" i="14"/>
  <c r="K151" i="14"/>
  <c r="L150" i="14"/>
  <c r="K150" i="14"/>
  <c r="L149" i="14"/>
  <c r="K149" i="14"/>
  <c r="L148" i="14"/>
  <c r="K148" i="14"/>
  <c r="L147" i="14"/>
  <c r="K147" i="14"/>
  <c r="L146" i="14"/>
  <c r="K146" i="14"/>
  <c r="L145" i="14"/>
  <c r="K145" i="14"/>
  <c r="L144" i="14"/>
  <c r="K144" i="14"/>
  <c r="L143" i="14"/>
  <c r="K143" i="14"/>
  <c r="L142" i="14"/>
  <c r="K142" i="14"/>
  <c r="L141" i="14"/>
  <c r="K141" i="14"/>
  <c r="L140" i="14"/>
  <c r="K140" i="14"/>
  <c r="L139" i="14"/>
  <c r="K139" i="14"/>
  <c r="L138" i="14"/>
  <c r="K138" i="14"/>
  <c r="L137" i="14"/>
  <c r="K137" i="14"/>
  <c r="L136" i="14"/>
  <c r="K136" i="14"/>
  <c r="L135" i="14"/>
  <c r="K135" i="14"/>
  <c r="L134" i="14"/>
  <c r="K134" i="14"/>
  <c r="L133" i="14"/>
  <c r="K133" i="14"/>
  <c r="L132" i="14"/>
  <c r="K132" i="14"/>
  <c r="L131" i="14"/>
  <c r="K131" i="14"/>
  <c r="L130" i="14"/>
  <c r="K130" i="14"/>
  <c r="L129" i="14"/>
  <c r="K129" i="14"/>
  <c r="L128" i="14"/>
  <c r="K128" i="14"/>
  <c r="L127" i="14"/>
  <c r="K127" i="14"/>
  <c r="L126" i="14"/>
  <c r="K126" i="14"/>
  <c r="L125" i="14"/>
  <c r="K125" i="14"/>
  <c r="L124" i="14"/>
  <c r="K124" i="14"/>
  <c r="L123" i="14"/>
  <c r="K123" i="14"/>
  <c r="L122" i="14"/>
  <c r="K122" i="14"/>
  <c r="L121" i="14"/>
  <c r="K121" i="14"/>
  <c r="L120" i="14"/>
  <c r="K120" i="14"/>
  <c r="L119" i="14"/>
  <c r="K119" i="14"/>
  <c r="L118" i="14"/>
  <c r="K118" i="14"/>
  <c r="L117" i="14"/>
  <c r="K117" i="14"/>
  <c r="L116" i="14"/>
  <c r="K116" i="14"/>
  <c r="L115" i="14"/>
  <c r="K115" i="14"/>
  <c r="L114" i="14"/>
  <c r="K114" i="14"/>
  <c r="L113" i="14"/>
  <c r="K113" i="14"/>
  <c r="L112" i="14"/>
  <c r="K112" i="14"/>
  <c r="L111" i="14"/>
  <c r="K111" i="14"/>
  <c r="L110" i="14"/>
  <c r="K110" i="14"/>
  <c r="L109" i="14"/>
  <c r="K109" i="14"/>
  <c r="L108" i="14"/>
  <c r="K108" i="14"/>
  <c r="L107" i="14"/>
  <c r="K107" i="14"/>
  <c r="L106" i="14"/>
  <c r="K106" i="14"/>
  <c r="L105" i="14"/>
  <c r="K105" i="14"/>
  <c r="L104" i="14"/>
  <c r="K104" i="14"/>
  <c r="L103" i="14"/>
  <c r="K103" i="14"/>
  <c r="L102" i="14"/>
  <c r="K102" i="14"/>
  <c r="L101" i="14"/>
  <c r="K101" i="14"/>
  <c r="L100" i="14"/>
  <c r="K100" i="14"/>
  <c r="L99" i="14"/>
  <c r="K99" i="14"/>
  <c r="L98" i="14"/>
  <c r="K98" i="14"/>
  <c r="L97" i="14"/>
  <c r="K97" i="14"/>
  <c r="L96" i="14"/>
  <c r="K96" i="14"/>
  <c r="L95" i="14"/>
  <c r="K95" i="14"/>
  <c r="L94" i="14"/>
  <c r="K94" i="14"/>
  <c r="L93" i="14"/>
  <c r="K93" i="14"/>
  <c r="L92" i="14"/>
  <c r="K92" i="14"/>
  <c r="L91" i="14"/>
  <c r="K91" i="14"/>
  <c r="L90" i="14"/>
  <c r="K90" i="14"/>
  <c r="L89" i="14"/>
  <c r="K89" i="14"/>
  <c r="L88" i="14"/>
  <c r="K88" i="14"/>
  <c r="L87" i="14"/>
  <c r="K87" i="14"/>
  <c r="L86" i="14"/>
  <c r="K86" i="14"/>
  <c r="L85" i="14"/>
  <c r="K85" i="14"/>
  <c r="L84" i="14"/>
  <c r="K84" i="14"/>
  <c r="L83" i="14"/>
  <c r="K83" i="14"/>
  <c r="L82" i="14"/>
  <c r="K82" i="14"/>
  <c r="L81" i="14"/>
  <c r="K81" i="14"/>
  <c r="L80" i="14"/>
  <c r="K80" i="14"/>
  <c r="L79" i="14"/>
  <c r="K79" i="14"/>
  <c r="L78" i="14"/>
  <c r="K78" i="14"/>
  <c r="L77" i="14"/>
  <c r="K77" i="14"/>
  <c r="L76" i="14"/>
  <c r="K76" i="14"/>
  <c r="L75" i="14"/>
  <c r="K75" i="14"/>
  <c r="L74" i="14"/>
  <c r="K74" i="14"/>
  <c r="L73" i="14"/>
  <c r="K73" i="14"/>
  <c r="L72" i="14"/>
  <c r="K72" i="14"/>
  <c r="L71" i="14"/>
  <c r="K71" i="14"/>
  <c r="L70" i="14"/>
  <c r="K70" i="14"/>
  <c r="L69" i="14"/>
  <c r="K69" i="14"/>
  <c r="L68" i="14"/>
  <c r="K68" i="14"/>
  <c r="L67" i="14"/>
  <c r="K67" i="14"/>
  <c r="L66" i="14"/>
  <c r="K66" i="14"/>
  <c r="L65" i="14"/>
  <c r="K65" i="14"/>
  <c r="L64" i="14"/>
  <c r="K64" i="14"/>
  <c r="L63" i="14"/>
  <c r="K63" i="14"/>
  <c r="L62" i="14"/>
  <c r="K62" i="14"/>
  <c r="L61" i="14"/>
  <c r="K61" i="14"/>
  <c r="L60" i="14"/>
  <c r="K60" i="14"/>
  <c r="L59" i="14"/>
  <c r="K59" i="14"/>
  <c r="L58" i="14"/>
  <c r="K58" i="14"/>
  <c r="L57" i="14"/>
  <c r="K57" i="14"/>
  <c r="L56" i="14"/>
  <c r="K56" i="14"/>
  <c r="L55" i="14"/>
  <c r="K55" i="14"/>
  <c r="L54" i="14"/>
  <c r="K54" i="14"/>
  <c r="L53" i="14"/>
  <c r="K53" i="14"/>
  <c r="L52" i="14"/>
  <c r="K52" i="14"/>
  <c r="L51" i="14"/>
  <c r="K51" i="14"/>
  <c r="L50" i="14"/>
  <c r="K50" i="14"/>
  <c r="L49" i="14"/>
  <c r="K49" i="14"/>
  <c r="L48" i="14"/>
  <c r="K48" i="14"/>
  <c r="L47" i="14"/>
  <c r="K47" i="14"/>
  <c r="L46" i="14"/>
  <c r="K46" i="14"/>
  <c r="L45" i="14"/>
  <c r="K45" i="14"/>
  <c r="L44" i="14"/>
  <c r="K44" i="14"/>
  <c r="L43" i="14"/>
  <c r="K43" i="14"/>
  <c r="L42" i="14"/>
  <c r="K42" i="14"/>
  <c r="L41" i="14"/>
  <c r="K41" i="14"/>
  <c r="L40" i="14"/>
  <c r="K40" i="14"/>
  <c r="L39" i="14"/>
  <c r="K39" i="14"/>
  <c r="L38" i="14"/>
  <c r="K38" i="14"/>
  <c r="L37" i="14"/>
  <c r="K37" i="14"/>
  <c r="Q35" i="14"/>
  <c r="P35" i="14"/>
  <c r="L36" i="14"/>
  <c r="K36" i="14"/>
  <c r="Q34" i="14"/>
  <c r="P34" i="14"/>
  <c r="L35" i="14"/>
  <c r="K35" i="14"/>
  <c r="Q33" i="14"/>
  <c r="P33" i="14"/>
  <c r="L34" i="14"/>
  <c r="K34" i="14"/>
  <c r="Q32" i="14"/>
  <c r="P32" i="14"/>
  <c r="L33" i="14"/>
  <c r="K33" i="14"/>
  <c r="Q31" i="14"/>
  <c r="P31" i="14"/>
  <c r="L32" i="14"/>
  <c r="K32" i="14"/>
  <c r="Q30" i="14"/>
  <c r="P30" i="14"/>
  <c r="L31" i="14"/>
  <c r="K31" i="14"/>
  <c r="Q29" i="14"/>
  <c r="P29" i="14"/>
  <c r="L30" i="14"/>
  <c r="K30" i="14"/>
  <c r="Q28" i="14"/>
  <c r="P28" i="14"/>
  <c r="L29" i="14"/>
  <c r="K29" i="14"/>
  <c r="Q27" i="14"/>
  <c r="P27" i="14"/>
  <c r="L28" i="14"/>
  <c r="K28" i="14"/>
  <c r="Q26" i="14"/>
  <c r="P26" i="14"/>
  <c r="L27" i="14"/>
  <c r="K27" i="14"/>
  <c r="Q25" i="14"/>
  <c r="P25" i="14"/>
  <c r="L26" i="14"/>
  <c r="K26" i="14"/>
  <c r="Q24" i="14"/>
  <c r="P24" i="14"/>
  <c r="L25" i="14"/>
  <c r="K25" i="14"/>
  <c r="Q23" i="14"/>
  <c r="P23" i="14"/>
  <c r="L24" i="14"/>
  <c r="K24" i="14"/>
  <c r="Q22" i="14"/>
  <c r="P22" i="14"/>
  <c r="L23" i="14"/>
  <c r="K23" i="14"/>
  <c r="Q21" i="14"/>
  <c r="P21" i="14"/>
  <c r="L22" i="14"/>
  <c r="K22" i="14"/>
  <c r="Q20" i="14"/>
  <c r="P20" i="14"/>
  <c r="L21" i="14"/>
  <c r="K21" i="14"/>
  <c r="Q19" i="14"/>
  <c r="P19" i="14"/>
  <c r="L20" i="14"/>
  <c r="K20" i="14"/>
  <c r="Q18" i="14"/>
  <c r="P18" i="14"/>
  <c r="L19" i="14"/>
  <c r="K19" i="14"/>
  <c r="L18" i="14"/>
  <c r="K18" i="14"/>
  <c r="L17" i="14"/>
  <c r="K17" i="14"/>
  <c r="D7" i="14"/>
  <c r="C5" i="14"/>
  <c r="E117" i="12"/>
  <c r="G109" i="12"/>
  <c r="F109" i="12"/>
  <c r="E109" i="12"/>
  <c r="L108" i="12"/>
  <c r="G108" i="12"/>
  <c r="F108" i="12"/>
  <c r="E108" i="12"/>
  <c r="G104" i="12"/>
  <c r="F104" i="12"/>
  <c r="G103" i="12"/>
  <c r="F103" i="12"/>
  <c r="E103" i="12"/>
  <c r="L102" i="12"/>
  <c r="G102" i="12"/>
  <c r="F102" i="12"/>
  <c r="E102" i="12"/>
  <c r="G100" i="12"/>
  <c r="F100" i="12"/>
  <c r="E100" i="12"/>
  <c r="L99" i="12"/>
  <c r="G99" i="12"/>
  <c r="F99" i="12"/>
  <c r="E99" i="12"/>
  <c r="G98" i="12"/>
  <c r="F98" i="12"/>
  <c r="G97" i="12"/>
  <c r="F97" i="12"/>
  <c r="E97" i="12"/>
  <c r="L96" i="12"/>
  <c r="G96" i="12"/>
  <c r="F96" i="12"/>
  <c r="E96" i="12"/>
  <c r="G95" i="12"/>
  <c r="F95" i="12"/>
  <c r="G94" i="12"/>
  <c r="F94" i="12"/>
  <c r="E94" i="12"/>
  <c r="L93" i="12"/>
  <c r="G93" i="12"/>
  <c r="F93" i="12"/>
  <c r="E93" i="12"/>
  <c r="G92" i="12"/>
  <c r="F92" i="12"/>
  <c r="G91" i="12"/>
  <c r="F91" i="12"/>
  <c r="E91" i="12"/>
  <c r="L90" i="12"/>
  <c r="G90" i="12"/>
  <c r="F90" i="12"/>
  <c r="E90" i="12"/>
  <c r="G89" i="12"/>
  <c r="F89" i="12"/>
  <c r="G88" i="12"/>
  <c r="F88" i="12"/>
  <c r="E88" i="12"/>
  <c r="L87" i="12"/>
  <c r="G87" i="12"/>
  <c r="F87" i="12"/>
  <c r="E87" i="12"/>
  <c r="L86" i="12"/>
  <c r="G86" i="12"/>
  <c r="F86" i="12"/>
  <c r="E86" i="12"/>
  <c r="E76" i="12"/>
  <c r="J74" i="12"/>
  <c r="J70" i="12" s="1"/>
  <c r="L69" i="12"/>
  <c r="F69" i="12"/>
  <c r="E69" i="12"/>
  <c r="G65" i="12"/>
  <c r="F65" i="12"/>
  <c r="G64" i="12"/>
  <c r="F64" i="12"/>
  <c r="E64" i="12"/>
  <c r="L63" i="12"/>
  <c r="G63" i="12"/>
  <c r="F63" i="12"/>
  <c r="E63" i="12"/>
  <c r="E54" i="12"/>
  <c r="J52" i="12"/>
  <c r="J48" i="12" s="1"/>
  <c r="G46" i="12"/>
  <c r="F46" i="12"/>
  <c r="G45" i="12"/>
  <c r="F45" i="12"/>
  <c r="G41" i="12"/>
  <c r="F41" i="12"/>
  <c r="G40" i="12"/>
  <c r="F40" i="12"/>
  <c r="E40" i="12"/>
  <c r="G39" i="12"/>
  <c r="F39" i="12"/>
  <c r="G38" i="12"/>
  <c r="F38" i="12"/>
  <c r="G37" i="12"/>
  <c r="F37" i="12"/>
  <c r="E37" i="12"/>
  <c r="G36" i="12"/>
  <c r="F36" i="12"/>
  <c r="G35" i="12"/>
  <c r="F35" i="12"/>
  <c r="G34" i="12"/>
  <c r="F34" i="12"/>
  <c r="E34" i="12"/>
  <c r="G33" i="12"/>
  <c r="F33" i="12"/>
  <c r="G32" i="12"/>
  <c r="F32" i="12"/>
  <c r="G31" i="12"/>
  <c r="F31" i="12"/>
  <c r="E31" i="12"/>
  <c r="G30" i="12"/>
  <c r="F30" i="12"/>
  <c r="G29" i="12"/>
  <c r="F29" i="12"/>
  <c r="G28" i="12"/>
  <c r="F28" i="12"/>
  <c r="E28" i="12"/>
  <c r="G27" i="12"/>
  <c r="F27" i="12"/>
  <c r="G26" i="12"/>
  <c r="F26" i="12"/>
  <c r="G25" i="12"/>
  <c r="F25" i="12"/>
  <c r="E25" i="12"/>
  <c r="G24" i="12"/>
  <c r="F24" i="12"/>
  <c r="G23" i="12"/>
  <c r="F23" i="12"/>
  <c r="G22" i="12"/>
  <c r="F22" i="12"/>
  <c r="E22" i="12"/>
  <c r="G21" i="12"/>
  <c r="F21" i="12"/>
  <c r="G20" i="12"/>
  <c r="F20" i="12"/>
  <c r="G19" i="12"/>
  <c r="F19" i="12"/>
  <c r="E19" i="12"/>
  <c r="G18" i="12"/>
  <c r="F18" i="12"/>
  <c r="G17" i="12"/>
  <c r="F17" i="12"/>
  <c r="E17" i="12"/>
  <c r="D7" i="12"/>
  <c r="C5" i="12"/>
  <c r="D7" i="7"/>
  <c r="C5" i="7"/>
  <c r="D7" i="5"/>
  <c r="C5" i="5"/>
  <c r="E79" i="6"/>
  <c r="E7" i="6"/>
  <c r="E11" i="6" s="1"/>
  <c r="C5" i="6"/>
  <c r="AB268" i="10"/>
  <c r="F102" i="10"/>
  <c r="F89" i="10"/>
  <c r="F79" i="10"/>
  <c r="F64" i="10"/>
  <c r="E7" i="10"/>
  <c r="E11" i="10" s="1"/>
  <c r="C9" i="48" s="1"/>
  <c r="C5" i="10"/>
  <c r="AB270" i="2"/>
  <c r="M46" i="2" s="1"/>
  <c r="N46" i="2" s="1"/>
  <c r="N81" i="2"/>
  <c r="E65" i="2"/>
  <c r="F65" i="2" s="1"/>
  <c r="N60" i="2"/>
  <c r="E51" i="2"/>
  <c r="F51" i="2" s="1"/>
  <c r="N43" i="2"/>
  <c r="E35" i="2"/>
  <c r="F35" i="2" s="1"/>
  <c r="N34" i="2"/>
  <c r="E34" i="2"/>
  <c r="F34" i="2" s="1"/>
  <c r="N16" i="2"/>
  <c r="E7" i="2"/>
  <c r="M7" i="2" s="1"/>
  <c r="C5" i="2"/>
  <c r="K5" i="2" s="1"/>
  <c r="D67" i="41"/>
  <c r="D22" i="39"/>
  <c r="D63" i="40"/>
  <c r="D37" i="46"/>
  <c r="D25" i="46"/>
  <c r="J27" i="20"/>
  <c r="B27" i="20"/>
  <c r="H26" i="20"/>
  <c r="D26" i="20"/>
  <c r="H25" i="20"/>
  <c r="D25" i="20"/>
  <c r="H24" i="20"/>
  <c r="D24" i="20"/>
  <c r="H23" i="20"/>
  <c r="D23" i="20"/>
  <c r="H22" i="20"/>
  <c r="D22" i="20"/>
  <c r="H21" i="20"/>
  <c r="D21" i="20"/>
  <c r="H20" i="20"/>
  <c r="D20" i="20"/>
  <c r="H19" i="20"/>
  <c r="D19" i="20"/>
  <c r="H18" i="20"/>
  <c r="D18" i="20"/>
  <c r="H17" i="20"/>
  <c r="D17" i="20"/>
  <c r="H16" i="20"/>
  <c r="D16" i="20"/>
  <c r="H15" i="20"/>
  <c r="D15" i="20"/>
  <c r="H14" i="20"/>
  <c r="H13" i="20"/>
  <c r="D13" i="20"/>
  <c r="D16" i="43"/>
  <c r="C4" i="20"/>
  <c r="B2" i="20"/>
  <c r="D3" i="11"/>
  <c r="C2" i="11"/>
  <c r="R1678" i="4"/>
  <c r="Q1678" i="4"/>
  <c r="P1678" i="4"/>
  <c r="M1678" i="4"/>
  <c r="L1678" i="4"/>
  <c r="K1678" i="4"/>
  <c r="H1678" i="4"/>
  <c r="G1678" i="4"/>
  <c r="F1678" i="4"/>
  <c r="R1677" i="4"/>
  <c r="Q1677" i="4"/>
  <c r="P1677" i="4"/>
  <c r="M1677" i="4"/>
  <c r="L1677" i="4"/>
  <c r="K1677" i="4"/>
  <c r="H1677" i="4"/>
  <c r="G1677" i="4"/>
  <c r="F1677" i="4"/>
  <c r="R1676" i="4"/>
  <c r="Q1676" i="4"/>
  <c r="P1676" i="4"/>
  <c r="M1676" i="4"/>
  <c r="L1676" i="4"/>
  <c r="K1676" i="4"/>
  <c r="H1676" i="4"/>
  <c r="G1676" i="4"/>
  <c r="F1676" i="4"/>
  <c r="R1675" i="4"/>
  <c r="Q1675" i="4"/>
  <c r="P1675" i="4"/>
  <c r="M1675" i="4"/>
  <c r="L1675" i="4"/>
  <c r="K1675" i="4"/>
  <c r="H1675" i="4"/>
  <c r="G1675" i="4"/>
  <c r="F1675" i="4"/>
  <c r="R1674" i="4"/>
  <c r="Q1674" i="4"/>
  <c r="P1674" i="4"/>
  <c r="M1674" i="4"/>
  <c r="L1674" i="4"/>
  <c r="K1674" i="4"/>
  <c r="H1674" i="4"/>
  <c r="G1674" i="4"/>
  <c r="F1674" i="4"/>
  <c r="R1673" i="4"/>
  <c r="Q1673" i="4"/>
  <c r="P1673" i="4"/>
  <c r="M1673" i="4"/>
  <c r="L1673" i="4"/>
  <c r="K1673" i="4"/>
  <c r="H1673" i="4"/>
  <c r="G1673" i="4"/>
  <c r="F1673" i="4"/>
  <c r="R1672" i="4"/>
  <c r="Q1672" i="4"/>
  <c r="P1672" i="4"/>
  <c r="M1672" i="4"/>
  <c r="L1672" i="4"/>
  <c r="K1672" i="4"/>
  <c r="H1672" i="4"/>
  <c r="G1672" i="4"/>
  <c r="F1672" i="4"/>
  <c r="R1671" i="4"/>
  <c r="Q1671" i="4"/>
  <c r="P1671" i="4"/>
  <c r="M1671" i="4"/>
  <c r="L1671" i="4"/>
  <c r="K1671" i="4"/>
  <c r="H1671" i="4"/>
  <c r="G1671" i="4"/>
  <c r="F1671" i="4"/>
  <c r="R1670" i="4"/>
  <c r="Q1670" i="4"/>
  <c r="P1670" i="4"/>
  <c r="M1670" i="4"/>
  <c r="L1670" i="4"/>
  <c r="K1670" i="4"/>
  <c r="H1670" i="4"/>
  <c r="G1670" i="4"/>
  <c r="F1670" i="4"/>
  <c r="R1669" i="4"/>
  <c r="Q1669" i="4"/>
  <c r="P1669" i="4"/>
  <c r="M1669" i="4"/>
  <c r="L1669" i="4"/>
  <c r="K1669" i="4"/>
  <c r="H1669" i="4"/>
  <c r="G1669" i="4"/>
  <c r="F1669" i="4"/>
  <c r="R1668" i="4"/>
  <c r="Q1668" i="4"/>
  <c r="P1668" i="4"/>
  <c r="M1668" i="4"/>
  <c r="L1668" i="4"/>
  <c r="K1668" i="4"/>
  <c r="H1668" i="4"/>
  <c r="G1668" i="4"/>
  <c r="F1668" i="4"/>
  <c r="R1667" i="4"/>
  <c r="Q1667" i="4"/>
  <c r="P1667" i="4"/>
  <c r="M1667" i="4"/>
  <c r="L1667" i="4"/>
  <c r="K1667" i="4"/>
  <c r="H1667" i="4"/>
  <c r="G1667" i="4"/>
  <c r="F1667" i="4"/>
  <c r="R1666" i="4"/>
  <c r="Q1666" i="4"/>
  <c r="P1666" i="4"/>
  <c r="M1666" i="4"/>
  <c r="L1666" i="4"/>
  <c r="K1666" i="4"/>
  <c r="H1666" i="4"/>
  <c r="G1666" i="4"/>
  <c r="F1666" i="4"/>
  <c r="R1665" i="4"/>
  <c r="Q1665" i="4"/>
  <c r="P1665" i="4"/>
  <c r="M1665" i="4"/>
  <c r="L1665" i="4"/>
  <c r="K1665" i="4"/>
  <c r="H1665" i="4"/>
  <c r="G1665" i="4"/>
  <c r="F1665" i="4"/>
  <c r="R1664" i="4"/>
  <c r="Q1664" i="4"/>
  <c r="P1664" i="4"/>
  <c r="M1664" i="4"/>
  <c r="L1664" i="4"/>
  <c r="K1664" i="4"/>
  <c r="H1664" i="4"/>
  <c r="G1664" i="4"/>
  <c r="F1664" i="4"/>
  <c r="R1663" i="4"/>
  <c r="Q1663" i="4"/>
  <c r="P1663" i="4"/>
  <c r="M1663" i="4"/>
  <c r="L1663" i="4"/>
  <c r="K1663" i="4"/>
  <c r="H1663" i="4"/>
  <c r="G1663" i="4"/>
  <c r="F1663" i="4"/>
  <c r="R1662" i="4"/>
  <c r="Q1662" i="4"/>
  <c r="P1662" i="4"/>
  <c r="M1662" i="4"/>
  <c r="L1662" i="4"/>
  <c r="K1662" i="4"/>
  <c r="H1662" i="4"/>
  <c r="G1662" i="4"/>
  <c r="F1662" i="4"/>
  <c r="R1661" i="4"/>
  <c r="Q1661" i="4"/>
  <c r="P1661" i="4"/>
  <c r="M1661" i="4"/>
  <c r="L1661" i="4"/>
  <c r="K1661" i="4"/>
  <c r="H1661" i="4"/>
  <c r="G1661" i="4"/>
  <c r="F1661" i="4"/>
  <c r="R1660" i="4"/>
  <c r="Q1660" i="4"/>
  <c r="P1660" i="4"/>
  <c r="M1660" i="4"/>
  <c r="L1660" i="4"/>
  <c r="K1660" i="4"/>
  <c r="H1660" i="4"/>
  <c r="G1660" i="4"/>
  <c r="F1660" i="4"/>
  <c r="R1659" i="4"/>
  <c r="Q1659" i="4"/>
  <c r="P1659" i="4"/>
  <c r="M1659" i="4"/>
  <c r="L1659" i="4"/>
  <c r="K1659" i="4"/>
  <c r="H1659" i="4"/>
  <c r="G1659" i="4"/>
  <c r="F1659" i="4"/>
  <c r="R1658" i="4"/>
  <c r="Q1658" i="4"/>
  <c r="P1658" i="4"/>
  <c r="M1658" i="4"/>
  <c r="L1658" i="4"/>
  <c r="K1658" i="4"/>
  <c r="H1658" i="4"/>
  <c r="G1658" i="4"/>
  <c r="F1658" i="4"/>
  <c r="R1657" i="4"/>
  <c r="Q1657" i="4"/>
  <c r="P1657" i="4"/>
  <c r="M1657" i="4"/>
  <c r="L1657" i="4"/>
  <c r="K1657" i="4"/>
  <c r="H1657" i="4"/>
  <c r="G1657" i="4"/>
  <c r="F1657" i="4"/>
  <c r="R1656" i="4"/>
  <c r="Q1656" i="4"/>
  <c r="P1656" i="4"/>
  <c r="M1656" i="4"/>
  <c r="L1656" i="4"/>
  <c r="K1656" i="4"/>
  <c r="H1656" i="4"/>
  <c r="G1656" i="4"/>
  <c r="F1656" i="4"/>
  <c r="R1655" i="4"/>
  <c r="Q1655" i="4"/>
  <c r="P1655" i="4"/>
  <c r="M1655" i="4"/>
  <c r="L1655" i="4"/>
  <c r="K1655" i="4"/>
  <c r="H1655" i="4"/>
  <c r="G1655" i="4"/>
  <c r="F1655" i="4"/>
  <c r="R1654" i="4"/>
  <c r="Q1654" i="4"/>
  <c r="P1654" i="4"/>
  <c r="M1654" i="4"/>
  <c r="L1654" i="4"/>
  <c r="K1654" i="4"/>
  <c r="H1654" i="4"/>
  <c r="G1654" i="4"/>
  <c r="F1654" i="4"/>
  <c r="R1653" i="4"/>
  <c r="Q1653" i="4"/>
  <c r="P1653" i="4"/>
  <c r="M1653" i="4"/>
  <c r="L1653" i="4"/>
  <c r="K1653" i="4"/>
  <c r="H1653" i="4"/>
  <c r="G1653" i="4"/>
  <c r="F1653" i="4"/>
  <c r="R1652" i="4"/>
  <c r="Q1652" i="4"/>
  <c r="P1652" i="4"/>
  <c r="M1652" i="4"/>
  <c r="L1652" i="4"/>
  <c r="K1652" i="4"/>
  <c r="H1652" i="4"/>
  <c r="G1652" i="4"/>
  <c r="F1652" i="4"/>
  <c r="R1651" i="4"/>
  <c r="Q1651" i="4"/>
  <c r="P1651" i="4"/>
  <c r="M1651" i="4"/>
  <c r="L1651" i="4"/>
  <c r="K1651" i="4"/>
  <c r="H1651" i="4"/>
  <c r="G1651" i="4"/>
  <c r="F1651" i="4"/>
  <c r="R1650" i="4"/>
  <c r="Q1650" i="4"/>
  <c r="P1650" i="4"/>
  <c r="M1650" i="4"/>
  <c r="L1650" i="4"/>
  <c r="K1650" i="4"/>
  <c r="H1650" i="4"/>
  <c r="G1650" i="4"/>
  <c r="F1650" i="4"/>
  <c r="R1649" i="4"/>
  <c r="Q1649" i="4"/>
  <c r="P1649" i="4"/>
  <c r="M1649" i="4"/>
  <c r="L1649" i="4"/>
  <c r="K1649" i="4"/>
  <c r="H1649" i="4"/>
  <c r="G1649" i="4"/>
  <c r="F1649" i="4"/>
  <c r="R1648" i="4"/>
  <c r="Q1648" i="4"/>
  <c r="P1648" i="4"/>
  <c r="M1648" i="4"/>
  <c r="L1648" i="4"/>
  <c r="K1648" i="4"/>
  <c r="H1648" i="4"/>
  <c r="G1648" i="4"/>
  <c r="F1648" i="4"/>
  <c r="R1647" i="4"/>
  <c r="Q1647" i="4"/>
  <c r="P1647" i="4"/>
  <c r="M1647" i="4"/>
  <c r="L1647" i="4"/>
  <c r="K1647" i="4"/>
  <c r="H1647" i="4"/>
  <c r="G1647" i="4"/>
  <c r="F1647" i="4"/>
  <c r="R1646" i="4"/>
  <c r="Q1646" i="4"/>
  <c r="P1646" i="4"/>
  <c r="M1646" i="4"/>
  <c r="L1646" i="4"/>
  <c r="K1646" i="4"/>
  <c r="H1646" i="4"/>
  <c r="G1646" i="4"/>
  <c r="F1646" i="4"/>
  <c r="R1645" i="4"/>
  <c r="Q1645" i="4"/>
  <c r="P1645" i="4"/>
  <c r="M1645" i="4"/>
  <c r="L1645" i="4"/>
  <c r="K1645" i="4"/>
  <c r="H1645" i="4"/>
  <c r="G1645" i="4"/>
  <c r="F1645" i="4"/>
  <c r="R1644" i="4"/>
  <c r="Q1644" i="4"/>
  <c r="P1644" i="4"/>
  <c r="M1644" i="4"/>
  <c r="L1644" i="4"/>
  <c r="K1644" i="4"/>
  <c r="H1644" i="4"/>
  <c r="G1644" i="4"/>
  <c r="F1644" i="4"/>
  <c r="R1643" i="4"/>
  <c r="Q1643" i="4"/>
  <c r="P1643" i="4"/>
  <c r="M1643" i="4"/>
  <c r="L1643" i="4"/>
  <c r="K1643" i="4"/>
  <c r="H1643" i="4"/>
  <c r="G1643" i="4"/>
  <c r="F1643" i="4"/>
  <c r="R1642" i="4"/>
  <c r="Q1642" i="4"/>
  <c r="P1642" i="4"/>
  <c r="M1642" i="4"/>
  <c r="L1642" i="4"/>
  <c r="K1642" i="4"/>
  <c r="H1642" i="4"/>
  <c r="G1642" i="4"/>
  <c r="F1642" i="4"/>
  <c r="R1641" i="4"/>
  <c r="Q1641" i="4"/>
  <c r="P1641" i="4"/>
  <c r="M1641" i="4"/>
  <c r="L1641" i="4"/>
  <c r="K1641" i="4"/>
  <c r="H1641" i="4"/>
  <c r="G1641" i="4"/>
  <c r="F1641" i="4"/>
  <c r="R1640" i="4"/>
  <c r="Q1640" i="4"/>
  <c r="P1640" i="4"/>
  <c r="M1640" i="4"/>
  <c r="L1640" i="4"/>
  <c r="K1640" i="4"/>
  <c r="H1640" i="4"/>
  <c r="G1640" i="4"/>
  <c r="F1640" i="4"/>
  <c r="R1639" i="4"/>
  <c r="Q1639" i="4"/>
  <c r="P1639" i="4"/>
  <c r="M1639" i="4"/>
  <c r="L1639" i="4"/>
  <c r="K1639" i="4"/>
  <c r="H1639" i="4"/>
  <c r="G1639" i="4"/>
  <c r="F1639" i="4"/>
  <c r="R1638" i="4"/>
  <c r="Q1638" i="4"/>
  <c r="P1638" i="4"/>
  <c r="M1638" i="4"/>
  <c r="L1638" i="4"/>
  <c r="K1638" i="4"/>
  <c r="H1638" i="4"/>
  <c r="G1638" i="4"/>
  <c r="F1638" i="4"/>
  <c r="R1637" i="4"/>
  <c r="Q1637" i="4"/>
  <c r="P1637" i="4"/>
  <c r="M1637" i="4"/>
  <c r="L1637" i="4"/>
  <c r="K1637" i="4"/>
  <c r="H1637" i="4"/>
  <c r="G1637" i="4"/>
  <c r="F1637" i="4"/>
  <c r="R1636" i="4"/>
  <c r="Q1636" i="4"/>
  <c r="P1636" i="4"/>
  <c r="M1636" i="4"/>
  <c r="L1636" i="4"/>
  <c r="K1636" i="4"/>
  <c r="H1636" i="4"/>
  <c r="G1636" i="4"/>
  <c r="F1636" i="4"/>
  <c r="R1635" i="4"/>
  <c r="Q1635" i="4"/>
  <c r="P1635" i="4"/>
  <c r="M1635" i="4"/>
  <c r="L1635" i="4"/>
  <c r="K1635" i="4"/>
  <c r="H1635" i="4"/>
  <c r="G1635" i="4"/>
  <c r="F1635" i="4"/>
  <c r="R1634" i="4"/>
  <c r="Q1634" i="4"/>
  <c r="P1634" i="4"/>
  <c r="M1634" i="4"/>
  <c r="L1634" i="4"/>
  <c r="K1634" i="4"/>
  <c r="H1634" i="4"/>
  <c r="G1634" i="4"/>
  <c r="F1634" i="4"/>
  <c r="R1633" i="4"/>
  <c r="Q1633" i="4"/>
  <c r="P1633" i="4"/>
  <c r="M1633" i="4"/>
  <c r="L1633" i="4"/>
  <c r="K1633" i="4"/>
  <c r="H1633" i="4"/>
  <c r="G1633" i="4"/>
  <c r="F1633" i="4"/>
  <c r="R1632" i="4"/>
  <c r="Q1632" i="4"/>
  <c r="P1632" i="4"/>
  <c r="M1632" i="4"/>
  <c r="L1632" i="4"/>
  <c r="K1632" i="4"/>
  <c r="H1632" i="4"/>
  <c r="G1632" i="4"/>
  <c r="F1632" i="4"/>
  <c r="R1631" i="4"/>
  <c r="Q1631" i="4"/>
  <c r="P1631" i="4"/>
  <c r="M1631" i="4"/>
  <c r="L1631" i="4"/>
  <c r="K1631" i="4"/>
  <c r="H1631" i="4"/>
  <c r="G1631" i="4"/>
  <c r="F1631" i="4"/>
  <c r="R1630" i="4"/>
  <c r="Q1630" i="4"/>
  <c r="P1630" i="4"/>
  <c r="M1630" i="4"/>
  <c r="L1630" i="4"/>
  <c r="K1630" i="4"/>
  <c r="H1630" i="4"/>
  <c r="G1630" i="4"/>
  <c r="F1630" i="4"/>
  <c r="R1629" i="4"/>
  <c r="Q1629" i="4"/>
  <c r="P1629" i="4"/>
  <c r="M1629" i="4"/>
  <c r="L1629" i="4"/>
  <c r="K1629" i="4"/>
  <c r="H1629" i="4"/>
  <c r="G1629" i="4"/>
  <c r="F1629" i="4"/>
  <c r="R1628" i="4"/>
  <c r="Q1628" i="4"/>
  <c r="P1628" i="4"/>
  <c r="M1628" i="4"/>
  <c r="L1628" i="4"/>
  <c r="K1628" i="4"/>
  <c r="H1628" i="4"/>
  <c r="G1628" i="4"/>
  <c r="F1628" i="4"/>
  <c r="R1627" i="4"/>
  <c r="Q1627" i="4"/>
  <c r="P1627" i="4"/>
  <c r="M1627" i="4"/>
  <c r="L1627" i="4"/>
  <c r="K1627" i="4"/>
  <c r="H1627" i="4"/>
  <c r="G1627" i="4"/>
  <c r="F1627" i="4"/>
  <c r="R1626" i="4"/>
  <c r="Q1626" i="4"/>
  <c r="P1626" i="4"/>
  <c r="M1626" i="4"/>
  <c r="L1626" i="4"/>
  <c r="K1626" i="4"/>
  <c r="H1626" i="4"/>
  <c r="G1626" i="4"/>
  <c r="F1626" i="4"/>
  <c r="R1625" i="4"/>
  <c r="Q1625" i="4"/>
  <c r="P1625" i="4"/>
  <c r="M1625" i="4"/>
  <c r="L1625" i="4"/>
  <c r="K1625" i="4"/>
  <c r="H1625" i="4"/>
  <c r="G1625" i="4"/>
  <c r="F1625" i="4"/>
  <c r="R1624" i="4"/>
  <c r="Q1624" i="4"/>
  <c r="P1624" i="4"/>
  <c r="M1624" i="4"/>
  <c r="L1624" i="4"/>
  <c r="K1624" i="4"/>
  <c r="H1624" i="4"/>
  <c r="G1624" i="4"/>
  <c r="F1624" i="4"/>
  <c r="R1623" i="4"/>
  <c r="Q1623" i="4"/>
  <c r="P1623" i="4"/>
  <c r="M1623" i="4"/>
  <c r="L1623" i="4"/>
  <c r="K1623" i="4"/>
  <c r="H1623" i="4"/>
  <c r="G1623" i="4"/>
  <c r="F1623" i="4"/>
  <c r="R1622" i="4"/>
  <c r="Q1622" i="4"/>
  <c r="P1622" i="4"/>
  <c r="M1622" i="4"/>
  <c r="L1622" i="4"/>
  <c r="K1622" i="4"/>
  <c r="H1622" i="4"/>
  <c r="G1622" i="4"/>
  <c r="F1622" i="4"/>
  <c r="R1621" i="4"/>
  <c r="Q1621" i="4"/>
  <c r="P1621" i="4"/>
  <c r="M1621" i="4"/>
  <c r="L1621" i="4"/>
  <c r="K1621" i="4"/>
  <c r="H1621" i="4"/>
  <c r="G1621" i="4"/>
  <c r="F1621" i="4"/>
  <c r="R1620" i="4"/>
  <c r="Q1620" i="4"/>
  <c r="P1620" i="4"/>
  <c r="M1620" i="4"/>
  <c r="L1620" i="4"/>
  <c r="K1620" i="4"/>
  <c r="H1620" i="4"/>
  <c r="G1620" i="4"/>
  <c r="F1620" i="4"/>
  <c r="R1619" i="4"/>
  <c r="Q1619" i="4"/>
  <c r="S1619" i="4" s="1" a="1"/>
  <c r="S1619" i="4" s="1"/>
  <c r="P1619" i="4"/>
  <c r="M1619" i="4"/>
  <c r="L1619" i="4"/>
  <c r="K1619" i="4"/>
  <c r="H1619" i="4"/>
  <c r="G1619" i="4"/>
  <c r="F1619" i="4"/>
  <c r="R1618" i="4"/>
  <c r="Q1618" i="4"/>
  <c r="P1618" i="4"/>
  <c r="M1618" i="4"/>
  <c r="L1618" i="4"/>
  <c r="K1618" i="4"/>
  <c r="H1618" i="4"/>
  <c r="G1618" i="4"/>
  <c r="F1618" i="4"/>
  <c r="R1617" i="4"/>
  <c r="Q1617" i="4"/>
  <c r="P1617" i="4"/>
  <c r="M1617" i="4"/>
  <c r="L1617" i="4"/>
  <c r="K1617" i="4"/>
  <c r="H1617" i="4"/>
  <c r="G1617" i="4"/>
  <c r="F1617" i="4"/>
  <c r="R1616" i="4"/>
  <c r="Q1616" i="4"/>
  <c r="P1616" i="4"/>
  <c r="M1616" i="4"/>
  <c r="L1616" i="4"/>
  <c r="K1616" i="4"/>
  <c r="H1616" i="4"/>
  <c r="G1616" i="4"/>
  <c r="F1616" i="4"/>
  <c r="R1615" i="4"/>
  <c r="Q1615" i="4"/>
  <c r="P1615" i="4"/>
  <c r="M1615" i="4"/>
  <c r="L1615" i="4"/>
  <c r="K1615" i="4"/>
  <c r="H1615" i="4"/>
  <c r="G1615" i="4"/>
  <c r="F1615" i="4"/>
  <c r="R1614" i="4"/>
  <c r="Q1614" i="4"/>
  <c r="P1614" i="4"/>
  <c r="M1614" i="4"/>
  <c r="L1614" i="4"/>
  <c r="K1614" i="4"/>
  <c r="H1614" i="4"/>
  <c r="G1614" i="4"/>
  <c r="F1614" i="4"/>
  <c r="R1613" i="4"/>
  <c r="Q1613" i="4"/>
  <c r="P1613" i="4"/>
  <c r="M1613" i="4"/>
  <c r="L1613" i="4"/>
  <c r="K1613" i="4"/>
  <c r="H1613" i="4"/>
  <c r="G1613" i="4"/>
  <c r="F1613" i="4"/>
  <c r="R1612" i="4"/>
  <c r="Q1612" i="4"/>
  <c r="P1612" i="4"/>
  <c r="M1612" i="4"/>
  <c r="L1612" i="4"/>
  <c r="K1612" i="4"/>
  <c r="H1612" i="4"/>
  <c r="G1612" i="4"/>
  <c r="F1612" i="4"/>
  <c r="R1611" i="4"/>
  <c r="Q1611" i="4"/>
  <c r="P1611" i="4"/>
  <c r="M1611" i="4"/>
  <c r="L1611" i="4"/>
  <c r="K1611" i="4"/>
  <c r="H1611" i="4"/>
  <c r="G1611" i="4"/>
  <c r="F1611" i="4"/>
  <c r="R1610" i="4"/>
  <c r="Q1610" i="4"/>
  <c r="P1610" i="4"/>
  <c r="M1610" i="4"/>
  <c r="L1610" i="4"/>
  <c r="K1610" i="4"/>
  <c r="H1610" i="4"/>
  <c r="G1610" i="4"/>
  <c r="F1610" i="4"/>
  <c r="R1609" i="4"/>
  <c r="Q1609" i="4"/>
  <c r="P1609" i="4"/>
  <c r="M1609" i="4"/>
  <c r="L1609" i="4"/>
  <c r="K1609" i="4"/>
  <c r="H1609" i="4"/>
  <c r="G1609" i="4"/>
  <c r="F1609" i="4"/>
  <c r="R1608" i="4"/>
  <c r="Q1608" i="4"/>
  <c r="P1608" i="4"/>
  <c r="M1608" i="4"/>
  <c r="L1608" i="4"/>
  <c r="K1608" i="4"/>
  <c r="H1608" i="4"/>
  <c r="G1608" i="4"/>
  <c r="F1608" i="4"/>
  <c r="R1607" i="4"/>
  <c r="Q1607" i="4"/>
  <c r="P1607" i="4"/>
  <c r="M1607" i="4"/>
  <c r="L1607" i="4"/>
  <c r="K1607" i="4"/>
  <c r="H1607" i="4"/>
  <c r="G1607" i="4"/>
  <c r="F1607" i="4"/>
  <c r="R1606" i="4"/>
  <c r="Q1606" i="4"/>
  <c r="P1606" i="4"/>
  <c r="M1606" i="4"/>
  <c r="L1606" i="4"/>
  <c r="K1606" i="4"/>
  <c r="H1606" i="4"/>
  <c r="G1606" i="4"/>
  <c r="F1606" i="4"/>
  <c r="R1605" i="4"/>
  <c r="Q1605" i="4"/>
  <c r="P1605" i="4"/>
  <c r="M1605" i="4"/>
  <c r="L1605" i="4"/>
  <c r="K1605" i="4"/>
  <c r="H1605" i="4"/>
  <c r="G1605" i="4"/>
  <c r="F1605" i="4"/>
  <c r="R1604" i="4"/>
  <c r="Q1604" i="4"/>
  <c r="P1604" i="4"/>
  <c r="M1604" i="4"/>
  <c r="L1604" i="4"/>
  <c r="K1604" i="4"/>
  <c r="H1604" i="4"/>
  <c r="G1604" i="4"/>
  <c r="F1604" i="4"/>
  <c r="R1603" i="4"/>
  <c r="Q1603" i="4"/>
  <c r="P1603" i="4"/>
  <c r="M1603" i="4"/>
  <c r="L1603" i="4"/>
  <c r="K1603" i="4"/>
  <c r="H1603" i="4"/>
  <c r="G1603" i="4"/>
  <c r="F1603" i="4"/>
  <c r="R1602" i="4"/>
  <c r="Q1602" i="4"/>
  <c r="P1602" i="4"/>
  <c r="M1602" i="4"/>
  <c r="L1602" i="4"/>
  <c r="K1602" i="4"/>
  <c r="H1602" i="4"/>
  <c r="G1602" i="4"/>
  <c r="F1602" i="4"/>
  <c r="R1601" i="4"/>
  <c r="Q1601" i="4"/>
  <c r="P1601" i="4"/>
  <c r="M1601" i="4"/>
  <c r="L1601" i="4"/>
  <c r="K1601" i="4"/>
  <c r="H1601" i="4"/>
  <c r="G1601" i="4"/>
  <c r="F1601" i="4"/>
  <c r="R1600" i="4"/>
  <c r="Q1600" i="4"/>
  <c r="P1600" i="4"/>
  <c r="M1600" i="4"/>
  <c r="L1600" i="4"/>
  <c r="K1600" i="4"/>
  <c r="H1600" i="4"/>
  <c r="G1600" i="4"/>
  <c r="F1600" i="4"/>
  <c r="R1599" i="4"/>
  <c r="Q1599" i="4"/>
  <c r="P1599" i="4"/>
  <c r="M1599" i="4"/>
  <c r="L1599" i="4"/>
  <c r="K1599" i="4"/>
  <c r="H1599" i="4"/>
  <c r="G1599" i="4"/>
  <c r="F1599" i="4"/>
  <c r="R1598" i="4"/>
  <c r="Q1598" i="4"/>
  <c r="P1598" i="4"/>
  <c r="M1598" i="4"/>
  <c r="L1598" i="4"/>
  <c r="K1598" i="4"/>
  <c r="H1598" i="4"/>
  <c r="G1598" i="4"/>
  <c r="F1598" i="4"/>
  <c r="R1597" i="4"/>
  <c r="Q1597" i="4"/>
  <c r="P1597" i="4"/>
  <c r="M1597" i="4"/>
  <c r="L1597" i="4"/>
  <c r="K1597" i="4"/>
  <c r="H1597" i="4"/>
  <c r="G1597" i="4"/>
  <c r="F1597" i="4"/>
  <c r="R1596" i="4"/>
  <c r="Q1596" i="4"/>
  <c r="P1596" i="4"/>
  <c r="M1596" i="4"/>
  <c r="L1596" i="4"/>
  <c r="K1596" i="4"/>
  <c r="H1596" i="4"/>
  <c r="G1596" i="4"/>
  <c r="F1596" i="4"/>
  <c r="R1595" i="4"/>
  <c r="Q1595" i="4"/>
  <c r="P1595" i="4"/>
  <c r="M1595" i="4"/>
  <c r="L1595" i="4"/>
  <c r="K1595" i="4"/>
  <c r="H1595" i="4"/>
  <c r="G1595" i="4"/>
  <c r="F1595" i="4"/>
  <c r="R1594" i="4"/>
  <c r="Q1594" i="4"/>
  <c r="P1594" i="4"/>
  <c r="M1594" i="4"/>
  <c r="L1594" i="4"/>
  <c r="K1594" i="4"/>
  <c r="H1594" i="4"/>
  <c r="G1594" i="4"/>
  <c r="F1594" i="4"/>
  <c r="R1593" i="4"/>
  <c r="Q1593" i="4"/>
  <c r="P1593" i="4"/>
  <c r="M1593" i="4"/>
  <c r="L1593" i="4"/>
  <c r="K1593" i="4"/>
  <c r="H1593" i="4"/>
  <c r="G1593" i="4"/>
  <c r="F1593" i="4"/>
  <c r="R1592" i="4"/>
  <c r="Q1592" i="4"/>
  <c r="P1592" i="4"/>
  <c r="M1592" i="4"/>
  <c r="L1592" i="4"/>
  <c r="K1592" i="4"/>
  <c r="H1592" i="4"/>
  <c r="G1592" i="4"/>
  <c r="F1592" i="4"/>
  <c r="R1591" i="4"/>
  <c r="Q1591" i="4"/>
  <c r="P1591" i="4"/>
  <c r="M1591" i="4"/>
  <c r="L1591" i="4"/>
  <c r="K1591" i="4"/>
  <c r="H1591" i="4"/>
  <c r="G1591" i="4"/>
  <c r="F1591" i="4"/>
  <c r="R1590" i="4"/>
  <c r="Q1590" i="4"/>
  <c r="P1590" i="4"/>
  <c r="M1590" i="4"/>
  <c r="L1590" i="4"/>
  <c r="K1590" i="4"/>
  <c r="H1590" i="4"/>
  <c r="G1590" i="4"/>
  <c r="F1590" i="4"/>
  <c r="R1589" i="4"/>
  <c r="Q1589" i="4"/>
  <c r="P1589" i="4"/>
  <c r="M1589" i="4"/>
  <c r="L1589" i="4"/>
  <c r="K1589" i="4"/>
  <c r="H1589" i="4"/>
  <c r="G1589" i="4"/>
  <c r="F1589" i="4"/>
  <c r="R1588" i="4"/>
  <c r="Q1588" i="4"/>
  <c r="P1588" i="4"/>
  <c r="M1588" i="4"/>
  <c r="L1588" i="4"/>
  <c r="K1588" i="4"/>
  <c r="H1588" i="4"/>
  <c r="G1588" i="4"/>
  <c r="F1588" i="4"/>
  <c r="R1587" i="4"/>
  <c r="Q1587" i="4"/>
  <c r="P1587" i="4"/>
  <c r="M1587" i="4"/>
  <c r="L1587" i="4"/>
  <c r="K1587" i="4"/>
  <c r="H1587" i="4"/>
  <c r="G1587" i="4"/>
  <c r="F1587" i="4"/>
  <c r="R1586" i="4"/>
  <c r="Q1586" i="4"/>
  <c r="P1586" i="4"/>
  <c r="M1586" i="4"/>
  <c r="L1586" i="4"/>
  <c r="K1586" i="4"/>
  <c r="H1586" i="4"/>
  <c r="G1586" i="4"/>
  <c r="F1586" i="4"/>
  <c r="R1585" i="4"/>
  <c r="Q1585" i="4"/>
  <c r="P1585" i="4"/>
  <c r="M1585" i="4"/>
  <c r="L1585" i="4"/>
  <c r="K1585" i="4"/>
  <c r="H1585" i="4"/>
  <c r="G1585" i="4"/>
  <c r="F1585" i="4"/>
  <c r="R1584" i="4"/>
  <c r="Q1584" i="4"/>
  <c r="P1584" i="4"/>
  <c r="M1584" i="4"/>
  <c r="L1584" i="4"/>
  <c r="K1584" i="4"/>
  <c r="H1584" i="4"/>
  <c r="G1584" i="4"/>
  <c r="F1584" i="4"/>
  <c r="R1583" i="4"/>
  <c r="Q1583" i="4"/>
  <c r="P1583" i="4"/>
  <c r="M1583" i="4"/>
  <c r="L1583" i="4"/>
  <c r="K1583" i="4"/>
  <c r="H1583" i="4"/>
  <c r="G1583" i="4"/>
  <c r="F1583" i="4"/>
  <c r="R1582" i="4"/>
  <c r="Q1582" i="4"/>
  <c r="P1582" i="4"/>
  <c r="M1582" i="4"/>
  <c r="L1582" i="4"/>
  <c r="K1582" i="4"/>
  <c r="H1582" i="4"/>
  <c r="G1582" i="4"/>
  <c r="F1582" i="4"/>
  <c r="R1581" i="4"/>
  <c r="Q1581" i="4"/>
  <c r="P1581" i="4"/>
  <c r="M1581" i="4"/>
  <c r="L1581" i="4"/>
  <c r="K1581" i="4"/>
  <c r="H1581" i="4"/>
  <c r="G1581" i="4"/>
  <c r="F1581" i="4"/>
  <c r="R1580" i="4"/>
  <c r="Q1580" i="4"/>
  <c r="P1580" i="4"/>
  <c r="M1580" i="4"/>
  <c r="L1580" i="4"/>
  <c r="K1580" i="4"/>
  <c r="H1580" i="4"/>
  <c r="G1580" i="4"/>
  <c r="F1580" i="4"/>
  <c r="R1579" i="4"/>
  <c r="Q1579" i="4"/>
  <c r="P1579" i="4"/>
  <c r="M1579" i="4"/>
  <c r="L1579" i="4"/>
  <c r="K1579" i="4"/>
  <c r="H1579" i="4"/>
  <c r="G1579" i="4"/>
  <c r="F1579" i="4"/>
  <c r="R1578" i="4"/>
  <c r="Q1578" i="4"/>
  <c r="P1578" i="4"/>
  <c r="M1578" i="4"/>
  <c r="L1578" i="4"/>
  <c r="K1578" i="4"/>
  <c r="H1578" i="4"/>
  <c r="G1578" i="4"/>
  <c r="F1578" i="4"/>
  <c r="R1577" i="4"/>
  <c r="Q1577" i="4"/>
  <c r="P1577" i="4"/>
  <c r="M1577" i="4"/>
  <c r="L1577" i="4"/>
  <c r="K1577" i="4"/>
  <c r="H1577" i="4"/>
  <c r="G1577" i="4"/>
  <c r="F1577" i="4"/>
  <c r="R1576" i="4"/>
  <c r="Q1576" i="4"/>
  <c r="P1576" i="4"/>
  <c r="M1576" i="4"/>
  <c r="L1576" i="4"/>
  <c r="K1576" i="4"/>
  <c r="H1576" i="4"/>
  <c r="G1576" i="4"/>
  <c r="F1576" i="4"/>
  <c r="R1575" i="4"/>
  <c r="Q1575" i="4"/>
  <c r="P1575" i="4"/>
  <c r="M1575" i="4"/>
  <c r="L1575" i="4"/>
  <c r="K1575" i="4"/>
  <c r="H1575" i="4"/>
  <c r="G1575" i="4"/>
  <c r="F1575" i="4"/>
  <c r="R1574" i="4"/>
  <c r="Q1574" i="4"/>
  <c r="P1574" i="4"/>
  <c r="M1574" i="4"/>
  <c r="L1574" i="4"/>
  <c r="K1574" i="4"/>
  <c r="H1574" i="4"/>
  <c r="G1574" i="4"/>
  <c r="F1574" i="4"/>
  <c r="R1573" i="4"/>
  <c r="Q1573" i="4"/>
  <c r="P1573" i="4"/>
  <c r="M1573" i="4"/>
  <c r="L1573" i="4"/>
  <c r="K1573" i="4"/>
  <c r="H1573" i="4"/>
  <c r="G1573" i="4"/>
  <c r="F1573" i="4"/>
  <c r="R1572" i="4"/>
  <c r="Q1572" i="4"/>
  <c r="P1572" i="4"/>
  <c r="M1572" i="4"/>
  <c r="L1572" i="4"/>
  <c r="K1572" i="4"/>
  <c r="H1572" i="4"/>
  <c r="G1572" i="4"/>
  <c r="F1572" i="4"/>
  <c r="R1571" i="4"/>
  <c r="Q1571" i="4"/>
  <c r="P1571" i="4"/>
  <c r="M1571" i="4"/>
  <c r="L1571" i="4"/>
  <c r="K1571" i="4"/>
  <c r="H1571" i="4"/>
  <c r="G1571" i="4"/>
  <c r="F1571" i="4"/>
  <c r="R1570" i="4"/>
  <c r="Q1570" i="4"/>
  <c r="P1570" i="4"/>
  <c r="M1570" i="4"/>
  <c r="L1570" i="4"/>
  <c r="K1570" i="4"/>
  <c r="H1570" i="4"/>
  <c r="G1570" i="4"/>
  <c r="F1570" i="4"/>
  <c r="R1569" i="4"/>
  <c r="Q1569" i="4"/>
  <c r="P1569" i="4"/>
  <c r="M1569" i="4"/>
  <c r="L1569" i="4"/>
  <c r="K1569" i="4"/>
  <c r="H1569" i="4"/>
  <c r="G1569" i="4"/>
  <c r="F1569" i="4"/>
  <c r="R1568" i="4"/>
  <c r="Q1568" i="4"/>
  <c r="P1568" i="4"/>
  <c r="M1568" i="4"/>
  <c r="L1568" i="4"/>
  <c r="K1568" i="4"/>
  <c r="H1568" i="4"/>
  <c r="G1568" i="4"/>
  <c r="F1568" i="4"/>
  <c r="R1567" i="4"/>
  <c r="Q1567" i="4"/>
  <c r="P1567" i="4"/>
  <c r="M1567" i="4"/>
  <c r="L1567" i="4"/>
  <c r="K1567" i="4"/>
  <c r="H1567" i="4"/>
  <c r="G1567" i="4"/>
  <c r="F1567" i="4"/>
  <c r="R1566" i="4"/>
  <c r="Q1566" i="4"/>
  <c r="P1566" i="4"/>
  <c r="M1566" i="4"/>
  <c r="L1566" i="4"/>
  <c r="K1566" i="4"/>
  <c r="H1566" i="4"/>
  <c r="G1566" i="4"/>
  <c r="F1566" i="4"/>
  <c r="R1565" i="4"/>
  <c r="Q1565" i="4"/>
  <c r="P1565" i="4"/>
  <c r="M1565" i="4"/>
  <c r="L1565" i="4"/>
  <c r="K1565" i="4"/>
  <c r="H1565" i="4"/>
  <c r="G1565" i="4"/>
  <c r="F1565" i="4"/>
  <c r="R1564" i="4"/>
  <c r="Q1564" i="4"/>
  <c r="P1564" i="4"/>
  <c r="M1564" i="4"/>
  <c r="L1564" i="4"/>
  <c r="K1564" i="4"/>
  <c r="H1564" i="4"/>
  <c r="G1564" i="4"/>
  <c r="F1564" i="4"/>
  <c r="R1563" i="4"/>
  <c r="Q1563" i="4"/>
  <c r="S1563" i="4" s="1" a="1"/>
  <c r="S1563" i="4" s="1"/>
  <c r="P1563" i="4"/>
  <c r="M1563" i="4"/>
  <c r="L1563" i="4"/>
  <c r="K1563" i="4"/>
  <c r="H1563" i="4"/>
  <c r="G1563" i="4"/>
  <c r="F1563" i="4"/>
  <c r="R1562" i="4"/>
  <c r="Q1562" i="4"/>
  <c r="P1562" i="4"/>
  <c r="M1562" i="4"/>
  <c r="L1562" i="4"/>
  <c r="K1562" i="4"/>
  <c r="H1562" i="4"/>
  <c r="G1562" i="4"/>
  <c r="F1562" i="4"/>
  <c r="R1561" i="4"/>
  <c r="Q1561" i="4"/>
  <c r="P1561" i="4"/>
  <c r="M1561" i="4"/>
  <c r="L1561" i="4"/>
  <c r="K1561" i="4"/>
  <c r="H1561" i="4"/>
  <c r="G1561" i="4"/>
  <c r="F1561" i="4"/>
  <c r="R1560" i="4"/>
  <c r="Q1560" i="4"/>
  <c r="P1560" i="4"/>
  <c r="M1560" i="4"/>
  <c r="L1560" i="4"/>
  <c r="K1560" i="4"/>
  <c r="H1560" i="4"/>
  <c r="G1560" i="4"/>
  <c r="F1560" i="4"/>
  <c r="R1559" i="4"/>
  <c r="Q1559" i="4"/>
  <c r="P1559" i="4"/>
  <c r="M1559" i="4"/>
  <c r="L1559" i="4"/>
  <c r="K1559" i="4"/>
  <c r="H1559" i="4"/>
  <c r="G1559" i="4"/>
  <c r="F1559" i="4"/>
  <c r="R1558" i="4"/>
  <c r="Q1558" i="4"/>
  <c r="P1558" i="4"/>
  <c r="M1558" i="4"/>
  <c r="L1558" i="4"/>
  <c r="K1558" i="4"/>
  <c r="H1558" i="4"/>
  <c r="G1558" i="4"/>
  <c r="F1558" i="4"/>
  <c r="R1557" i="4"/>
  <c r="Q1557" i="4"/>
  <c r="P1557" i="4"/>
  <c r="M1557" i="4"/>
  <c r="L1557" i="4"/>
  <c r="K1557" i="4"/>
  <c r="H1557" i="4"/>
  <c r="G1557" i="4"/>
  <c r="F1557" i="4"/>
  <c r="R1556" i="4"/>
  <c r="Q1556" i="4"/>
  <c r="P1556" i="4"/>
  <c r="M1556" i="4"/>
  <c r="L1556" i="4"/>
  <c r="K1556" i="4"/>
  <c r="H1556" i="4"/>
  <c r="G1556" i="4"/>
  <c r="F1556" i="4"/>
  <c r="R1555" i="4"/>
  <c r="Q1555" i="4"/>
  <c r="P1555" i="4"/>
  <c r="M1555" i="4"/>
  <c r="L1555" i="4"/>
  <c r="K1555" i="4"/>
  <c r="H1555" i="4"/>
  <c r="G1555" i="4"/>
  <c r="F1555" i="4"/>
  <c r="R1554" i="4"/>
  <c r="Q1554" i="4"/>
  <c r="P1554" i="4"/>
  <c r="M1554" i="4"/>
  <c r="L1554" i="4"/>
  <c r="K1554" i="4"/>
  <c r="H1554" i="4"/>
  <c r="G1554" i="4"/>
  <c r="F1554" i="4"/>
  <c r="R1553" i="4"/>
  <c r="Q1553" i="4"/>
  <c r="P1553" i="4"/>
  <c r="M1553" i="4"/>
  <c r="L1553" i="4"/>
  <c r="K1553" i="4"/>
  <c r="H1553" i="4"/>
  <c r="G1553" i="4"/>
  <c r="F1553" i="4"/>
  <c r="R1552" i="4"/>
  <c r="Q1552" i="4"/>
  <c r="P1552" i="4"/>
  <c r="M1552" i="4"/>
  <c r="L1552" i="4"/>
  <c r="K1552" i="4"/>
  <c r="H1552" i="4"/>
  <c r="G1552" i="4"/>
  <c r="F1552" i="4"/>
  <c r="R1551" i="4"/>
  <c r="Q1551" i="4"/>
  <c r="P1551" i="4"/>
  <c r="M1551" i="4"/>
  <c r="L1551" i="4"/>
  <c r="K1551" i="4"/>
  <c r="H1551" i="4"/>
  <c r="G1551" i="4"/>
  <c r="F1551" i="4"/>
  <c r="R1550" i="4"/>
  <c r="Q1550" i="4"/>
  <c r="P1550" i="4"/>
  <c r="M1550" i="4"/>
  <c r="L1550" i="4"/>
  <c r="K1550" i="4"/>
  <c r="H1550" i="4"/>
  <c r="G1550" i="4"/>
  <c r="F1550" i="4"/>
  <c r="R1549" i="4"/>
  <c r="Q1549" i="4"/>
  <c r="P1549" i="4"/>
  <c r="M1549" i="4"/>
  <c r="L1549" i="4"/>
  <c r="K1549" i="4"/>
  <c r="H1549" i="4"/>
  <c r="G1549" i="4"/>
  <c r="F1549" i="4"/>
  <c r="R1548" i="4"/>
  <c r="Q1548" i="4"/>
  <c r="P1548" i="4"/>
  <c r="M1548" i="4"/>
  <c r="L1548" i="4"/>
  <c r="K1548" i="4"/>
  <c r="H1548" i="4"/>
  <c r="G1548" i="4"/>
  <c r="F1548" i="4"/>
  <c r="R1547" i="4"/>
  <c r="Q1547" i="4"/>
  <c r="P1547" i="4"/>
  <c r="M1547" i="4"/>
  <c r="L1547" i="4"/>
  <c r="K1547" i="4"/>
  <c r="H1547" i="4"/>
  <c r="G1547" i="4"/>
  <c r="F1547" i="4"/>
  <c r="R1546" i="4"/>
  <c r="Q1546" i="4"/>
  <c r="P1546" i="4"/>
  <c r="M1546" i="4"/>
  <c r="L1546" i="4"/>
  <c r="K1546" i="4"/>
  <c r="H1546" i="4"/>
  <c r="G1546" i="4"/>
  <c r="F1546" i="4"/>
  <c r="R1545" i="4"/>
  <c r="Q1545" i="4"/>
  <c r="P1545" i="4"/>
  <c r="M1545" i="4"/>
  <c r="L1545" i="4"/>
  <c r="K1545" i="4"/>
  <c r="H1545" i="4"/>
  <c r="G1545" i="4"/>
  <c r="F1545" i="4"/>
  <c r="R1544" i="4"/>
  <c r="Q1544" i="4"/>
  <c r="P1544" i="4"/>
  <c r="M1544" i="4"/>
  <c r="L1544" i="4"/>
  <c r="K1544" i="4"/>
  <c r="H1544" i="4"/>
  <c r="G1544" i="4"/>
  <c r="F1544" i="4"/>
  <c r="R1543" i="4"/>
  <c r="Q1543" i="4"/>
  <c r="P1543" i="4"/>
  <c r="M1543" i="4"/>
  <c r="L1543" i="4"/>
  <c r="K1543" i="4"/>
  <c r="H1543" i="4"/>
  <c r="G1543" i="4"/>
  <c r="F1543" i="4"/>
  <c r="R1542" i="4"/>
  <c r="Q1542" i="4"/>
  <c r="P1542" i="4"/>
  <c r="M1542" i="4"/>
  <c r="L1542" i="4"/>
  <c r="K1542" i="4"/>
  <c r="H1542" i="4"/>
  <c r="G1542" i="4"/>
  <c r="F1542" i="4"/>
  <c r="R1541" i="4"/>
  <c r="Q1541" i="4"/>
  <c r="P1541" i="4"/>
  <c r="M1541" i="4"/>
  <c r="L1541" i="4"/>
  <c r="K1541" i="4"/>
  <c r="H1541" i="4"/>
  <c r="G1541" i="4"/>
  <c r="F1541" i="4"/>
  <c r="R1540" i="4"/>
  <c r="Q1540" i="4"/>
  <c r="P1540" i="4"/>
  <c r="M1540" i="4"/>
  <c r="L1540" i="4"/>
  <c r="K1540" i="4"/>
  <c r="H1540" i="4"/>
  <c r="G1540" i="4"/>
  <c r="F1540" i="4"/>
  <c r="R1539" i="4"/>
  <c r="Q1539" i="4"/>
  <c r="P1539" i="4"/>
  <c r="M1539" i="4"/>
  <c r="L1539" i="4"/>
  <c r="K1539" i="4"/>
  <c r="H1539" i="4"/>
  <c r="G1539" i="4"/>
  <c r="F1539" i="4"/>
  <c r="R1538" i="4"/>
  <c r="Q1538" i="4"/>
  <c r="P1538" i="4"/>
  <c r="M1538" i="4"/>
  <c r="L1538" i="4"/>
  <c r="K1538" i="4"/>
  <c r="H1538" i="4"/>
  <c r="G1538" i="4"/>
  <c r="F1538" i="4"/>
  <c r="R1537" i="4"/>
  <c r="Q1537" i="4"/>
  <c r="P1537" i="4"/>
  <c r="M1537" i="4"/>
  <c r="L1537" i="4"/>
  <c r="K1537" i="4"/>
  <c r="H1537" i="4"/>
  <c r="G1537" i="4"/>
  <c r="F1537" i="4"/>
  <c r="R1536" i="4"/>
  <c r="Q1536" i="4"/>
  <c r="P1536" i="4"/>
  <c r="M1536" i="4"/>
  <c r="L1536" i="4"/>
  <c r="K1536" i="4"/>
  <c r="H1536" i="4"/>
  <c r="G1536" i="4"/>
  <c r="F1536" i="4"/>
  <c r="R1535" i="4"/>
  <c r="Q1535" i="4"/>
  <c r="P1535" i="4"/>
  <c r="M1535" i="4"/>
  <c r="L1535" i="4"/>
  <c r="K1535" i="4"/>
  <c r="H1535" i="4"/>
  <c r="G1535" i="4"/>
  <c r="F1535" i="4"/>
  <c r="R1534" i="4"/>
  <c r="Q1534" i="4"/>
  <c r="P1534" i="4"/>
  <c r="M1534" i="4"/>
  <c r="L1534" i="4"/>
  <c r="K1534" i="4"/>
  <c r="H1534" i="4"/>
  <c r="G1534" i="4"/>
  <c r="F1534" i="4"/>
  <c r="R1533" i="4"/>
  <c r="Q1533" i="4"/>
  <c r="P1533" i="4"/>
  <c r="M1533" i="4"/>
  <c r="L1533" i="4"/>
  <c r="K1533" i="4"/>
  <c r="H1533" i="4"/>
  <c r="G1533" i="4"/>
  <c r="F1533" i="4"/>
  <c r="R1532" i="4"/>
  <c r="Q1532" i="4"/>
  <c r="P1532" i="4"/>
  <c r="M1532" i="4"/>
  <c r="L1532" i="4"/>
  <c r="K1532" i="4"/>
  <c r="H1532" i="4"/>
  <c r="G1532" i="4"/>
  <c r="F1532" i="4"/>
  <c r="R1531" i="4"/>
  <c r="Q1531" i="4"/>
  <c r="P1531" i="4"/>
  <c r="M1531" i="4"/>
  <c r="L1531" i="4"/>
  <c r="K1531" i="4"/>
  <c r="H1531" i="4"/>
  <c r="G1531" i="4"/>
  <c r="F1531" i="4"/>
  <c r="R1530" i="4"/>
  <c r="Q1530" i="4"/>
  <c r="P1530" i="4"/>
  <c r="M1530" i="4"/>
  <c r="L1530" i="4"/>
  <c r="K1530" i="4"/>
  <c r="H1530" i="4"/>
  <c r="G1530" i="4"/>
  <c r="F1530" i="4"/>
  <c r="R1529" i="4"/>
  <c r="Q1529" i="4"/>
  <c r="P1529" i="4"/>
  <c r="M1529" i="4"/>
  <c r="L1529" i="4"/>
  <c r="K1529" i="4"/>
  <c r="H1529" i="4"/>
  <c r="G1529" i="4"/>
  <c r="F1529" i="4"/>
  <c r="R1528" i="4"/>
  <c r="Q1528" i="4"/>
  <c r="P1528" i="4"/>
  <c r="M1528" i="4"/>
  <c r="L1528" i="4"/>
  <c r="K1528" i="4"/>
  <c r="H1528" i="4"/>
  <c r="G1528" i="4"/>
  <c r="F1528" i="4"/>
  <c r="R1527" i="4"/>
  <c r="Q1527" i="4"/>
  <c r="P1527" i="4"/>
  <c r="M1527" i="4"/>
  <c r="L1527" i="4"/>
  <c r="K1527" i="4"/>
  <c r="H1527" i="4"/>
  <c r="G1527" i="4"/>
  <c r="F1527" i="4"/>
  <c r="R1526" i="4"/>
  <c r="Q1526" i="4"/>
  <c r="P1526" i="4"/>
  <c r="M1526" i="4"/>
  <c r="L1526" i="4"/>
  <c r="K1526" i="4"/>
  <c r="H1526" i="4"/>
  <c r="G1526" i="4"/>
  <c r="F1526" i="4"/>
  <c r="R1525" i="4"/>
  <c r="Q1525" i="4"/>
  <c r="P1525" i="4"/>
  <c r="M1525" i="4"/>
  <c r="L1525" i="4"/>
  <c r="K1525" i="4"/>
  <c r="H1525" i="4"/>
  <c r="G1525" i="4"/>
  <c r="F1525" i="4"/>
  <c r="R1524" i="4"/>
  <c r="Q1524" i="4"/>
  <c r="P1524" i="4"/>
  <c r="M1524" i="4"/>
  <c r="L1524" i="4"/>
  <c r="K1524" i="4"/>
  <c r="H1524" i="4"/>
  <c r="G1524" i="4"/>
  <c r="F1524" i="4"/>
  <c r="R1523" i="4"/>
  <c r="Q1523" i="4"/>
  <c r="P1523" i="4"/>
  <c r="M1523" i="4"/>
  <c r="L1523" i="4"/>
  <c r="K1523" i="4"/>
  <c r="H1523" i="4"/>
  <c r="G1523" i="4"/>
  <c r="F1523" i="4"/>
  <c r="R1522" i="4"/>
  <c r="Q1522" i="4"/>
  <c r="P1522" i="4"/>
  <c r="M1522" i="4"/>
  <c r="L1522" i="4"/>
  <c r="K1522" i="4"/>
  <c r="H1522" i="4"/>
  <c r="G1522" i="4"/>
  <c r="F1522" i="4"/>
  <c r="R1521" i="4"/>
  <c r="Q1521" i="4"/>
  <c r="P1521" i="4"/>
  <c r="M1521" i="4"/>
  <c r="L1521" i="4"/>
  <c r="K1521" i="4"/>
  <c r="H1521" i="4"/>
  <c r="G1521" i="4"/>
  <c r="F1521" i="4"/>
  <c r="R1520" i="4"/>
  <c r="Q1520" i="4"/>
  <c r="P1520" i="4"/>
  <c r="M1520" i="4"/>
  <c r="L1520" i="4"/>
  <c r="K1520" i="4"/>
  <c r="H1520" i="4"/>
  <c r="G1520" i="4"/>
  <c r="F1520" i="4"/>
  <c r="R1519" i="4"/>
  <c r="Q1519" i="4"/>
  <c r="P1519" i="4"/>
  <c r="M1519" i="4"/>
  <c r="L1519" i="4"/>
  <c r="K1519" i="4"/>
  <c r="H1519" i="4"/>
  <c r="G1519" i="4"/>
  <c r="F1519" i="4"/>
  <c r="R1518" i="4"/>
  <c r="Q1518" i="4"/>
  <c r="P1518" i="4"/>
  <c r="M1518" i="4"/>
  <c r="L1518" i="4"/>
  <c r="K1518" i="4"/>
  <c r="H1518" i="4"/>
  <c r="G1518" i="4"/>
  <c r="F1518" i="4"/>
  <c r="R1517" i="4"/>
  <c r="Q1517" i="4"/>
  <c r="P1517" i="4"/>
  <c r="M1517" i="4"/>
  <c r="L1517" i="4"/>
  <c r="K1517" i="4"/>
  <c r="H1517" i="4"/>
  <c r="G1517" i="4"/>
  <c r="F1517" i="4"/>
  <c r="R1516" i="4"/>
  <c r="Q1516" i="4"/>
  <c r="P1516" i="4"/>
  <c r="M1516" i="4"/>
  <c r="L1516" i="4"/>
  <c r="K1516" i="4"/>
  <c r="H1516" i="4"/>
  <c r="G1516" i="4"/>
  <c r="F1516" i="4"/>
  <c r="R1515" i="4"/>
  <c r="Q1515" i="4"/>
  <c r="P1515" i="4"/>
  <c r="M1515" i="4"/>
  <c r="L1515" i="4"/>
  <c r="K1515" i="4"/>
  <c r="H1515" i="4"/>
  <c r="G1515" i="4"/>
  <c r="F1515" i="4"/>
  <c r="R1514" i="4"/>
  <c r="Q1514" i="4"/>
  <c r="P1514" i="4"/>
  <c r="M1514" i="4"/>
  <c r="L1514" i="4"/>
  <c r="K1514" i="4"/>
  <c r="H1514" i="4"/>
  <c r="G1514" i="4"/>
  <c r="F1514" i="4"/>
  <c r="R1513" i="4"/>
  <c r="Q1513" i="4"/>
  <c r="P1513" i="4"/>
  <c r="M1513" i="4"/>
  <c r="L1513" i="4"/>
  <c r="K1513" i="4"/>
  <c r="H1513" i="4"/>
  <c r="G1513" i="4"/>
  <c r="F1513" i="4"/>
  <c r="R1512" i="4"/>
  <c r="Q1512" i="4"/>
  <c r="P1512" i="4"/>
  <c r="M1512" i="4"/>
  <c r="L1512" i="4"/>
  <c r="K1512" i="4"/>
  <c r="H1512" i="4"/>
  <c r="G1512" i="4"/>
  <c r="F1512" i="4"/>
  <c r="R1511" i="4"/>
  <c r="Q1511" i="4"/>
  <c r="P1511" i="4"/>
  <c r="M1511" i="4"/>
  <c r="L1511" i="4"/>
  <c r="K1511" i="4"/>
  <c r="H1511" i="4"/>
  <c r="G1511" i="4"/>
  <c r="F1511" i="4"/>
  <c r="R1510" i="4"/>
  <c r="Q1510" i="4"/>
  <c r="P1510" i="4"/>
  <c r="M1510" i="4"/>
  <c r="L1510" i="4"/>
  <c r="K1510" i="4"/>
  <c r="H1510" i="4"/>
  <c r="G1510" i="4"/>
  <c r="F1510" i="4"/>
  <c r="R1509" i="4"/>
  <c r="Q1509" i="4"/>
  <c r="P1509" i="4"/>
  <c r="M1509" i="4"/>
  <c r="L1509" i="4"/>
  <c r="K1509" i="4"/>
  <c r="H1509" i="4"/>
  <c r="G1509" i="4"/>
  <c r="F1509" i="4"/>
  <c r="R1508" i="4"/>
  <c r="Q1508" i="4"/>
  <c r="P1508" i="4"/>
  <c r="M1508" i="4"/>
  <c r="L1508" i="4"/>
  <c r="K1508" i="4"/>
  <c r="H1508" i="4"/>
  <c r="G1508" i="4"/>
  <c r="F1508" i="4"/>
  <c r="R1507" i="4"/>
  <c r="Q1507" i="4"/>
  <c r="P1507" i="4"/>
  <c r="M1507" i="4"/>
  <c r="L1507" i="4"/>
  <c r="K1507" i="4"/>
  <c r="H1507" i="4"/>
  <c r="G1507" i="4"/>
  <c r="F1507" i="4"/>
  <c r="R1506" i="4"/>
  <c r="Q1506" i="4"/>
  <c r="P1506" i="4"/>
  <c r="M1506" i="4"/>
  <c r="L1506" i="4"/>
  <c r="K1506" i="4"/>
  <c r="H1506" i="4"/>
  <c r="G1506" i="4"/>
  <c r="F1506" i="4"/>
  <c r="R1505" i="4"/>
  <c r="Q1505" i="4"/>
  <c r="P1505" i="4"/>
  <c r="M1505" i="4"/>
  <c r="L1505" i="4"/>
  <c r="K1505" i="4"/>
  <c r="H1505" i="4"/>
  <c r="G1505" i="4"/>
  <c r="F1505" i="4"/>
  <c r="R1504" i="4"/>
  <c r="Q1504" i="4"/>
  <c r="S1504" i="4" s="1" a="1"/>
  <c r="S1504" i="4" s="1"/>
  <c r="P1504" i="4"/>
  <c r="M1504" i="4"/>
  <c r="L1504" i="4"/>
  <c r="K1504" i="4"/>
  <c r="H1504" i="4"/>
  <c r="G1504" i="4"/>
  <c r="F1504" i="4"/>
  <c r="R1503" i="4"/>
  <c r="Q1503" i="4"/>
  <c r="P1503" i="4"/>
  <c r="M1503" i="4"/>
  <c r="L1503" i="4"/>
  <c r="K1503" i="4"/>
  <c r="H1503" i="4"/>
  <c r="G1503" i="4"/>
  <c r="F1503" i="4"/>
  <c r="R1502" i="4"/>
  <c r="Q1502" i="4"/>
  <c r="P1502" i="4"/>
  <c r="M1502" i="4"/>
  <c r="L1502" i="4"/>
  <c r="K1502" i="4"/>
  <c r="H1502" i="4"/>
  <c r="G1502" i="4"/>
  <c r="F1502" i="4"/>
  <c r="R1501" i="4"/>
  <c r="Q1501" i="4"/>
  <c r="P1501" i="4"/>
  <c r="M1501" i="4"/>
  <c r="L1501" i="4"/>
  <c r="K1501" i="4"/>
  <c r="H1501" i="4"/>
  <c r="G1501" i="4"/>
  <c r="F1501" i="4"/>
  <c r="R1500" i="4"/>
  <c r="Q1500" i="4"/>
  <c r="P1500" i="4"/>
  <c r="M1500" i="4"/>
  <c r="L1500" i="4"/>
  <c r="K1500" i="4"/>
  <c r="H1500" i="4"/>
  <c r="G1500" i="4"/>
  <c r="F1500" i="4"/>
  <c r="R1499" i="4"/>
  <c r="Q1499" i="4"/>
  <c r="P1499" i="4"/>
  <c r="M1499" i="4"/>
  <c r="L1499" i="4"/>
  <c r="K1499" i="4"/>
  <c r="H1499" i="4"/>
  <c r="G1499" i="4"/>
  <c r="F1499" i="4"/>
  <c r="R1498" i="4"/>
  <c r="Q1498" i="4"/>
  <c r="P1498" i="4"/>
  <c r="M1498" i="4"/>
  <c r="L1498" i="4"/>
  <c r="K1498" i="4"/>
  <c r="H1498" i="4"/>
  <c r="G1498" i="4"/>
  <c r="F1498" i="4"/>
  <c r="R1497" i="4"/>
  <c r="Q1497" i="4"/>
  <c r="P1497" i="4"/>
  <c r="M1497" i="4"/>
  <c r="L1497" i="4"/>
  <c r="K1497" i="4"/>
  <c r="H1497" i="4"/>
  <c r="G1497" i="4"/>
  <c r="F1497" i="4"/>
  <c r="R1496" i="4"/>
  <c r="Q1496" i="4"/>
  <c r="P1496" i="4"/>
  <c r="M1496" i="4"/>
  <c r="L1496" i="4"/>
  <c r="K1496" i="4"/>
  <c r="H1496" i="4"/>
  <c r="G1496" i="4"/>
  <c r="F1496" i="4"/>
  <c r="R1495" i="4"/>
  <c r="Q1495" i="4"/>
  <c r="P1495" i="4"/>
  <c r="M1495" i="4"/>
  <c r="L1495" i="4"/>
  <c r="K1495" i="4"/>
  <c r="H1495" i="4"/>
  <c r="G1495" i="4"/>
  <c r="F1495" i="4"/>
  <c r="R1494" i="4"/>
  <c r="Q1494" i="4"/>
  <c r="P1494" i="4"/>
  <c r="M1494" i="4"/>
  <c r="L1494" i="4"/>
  <c r="K1494" i="4"/>
  <c r="H1494" i="4"/>
  <c r="G1494" i="4"/>
  <c r="F1494" i="4"/>
  <c r="R1493" i="4"/>
  <c r="Q1493" i="4"/>
  <c r="P1493" i="4"/>
  <c r="M1493" i="4"/>
  <c r="L1493" i="4"/>
  <c r="K1493" i="4"/>
  <c r="H1493" i="4"/>
  <c r="G1493" i="4"/>
  <c r="F1493" i="4"/>
  <c r="R1492" i="4"/>
  <c r="Q1492" i="4"/>
  <c r="P1492" i="4"/>
  <c r="M1492" i="4"/>
  <c r="L1492" i="4"/>
  <c r="K1492" i="4"/>
  <c r="H1492" i="4"/>
  <c r="G1492" i="4"/>
  <c r="F1492" i="4"/>
  <c r="R1491" i="4"/>
  <c r="Q1491" i="4"/>
  <c r="P1491" i="4"/>
  <c r="M1491" i="4"/>
  <c r="L1491" i="4"/>
  <c r="K1491" i="4"/>
  <c r="H1491" i="4"/>
  <c r="G1491" i="4"/>
  <c r="F1491" i="4"/>
  <c r="R1490" i="4"/>
  <c r="Q1490" i="4"/>
  <c r="P1490" i="4"/>
  <c r="M1490" i="4"/>
  <c r="L1490" i="4"/>
  <c r="K1490" i="4"/>
  <c r="H1490" i="4"/>
  <c r="G1490" i="4"/>
  <c r="F1490" i="4"/>
  <c r="R1489" i="4"/>
  <c r="Q1489" i="4"/>
  <c r="P1489" i="4"/>
  <c r="M1489" i="4"/>
  <c r="L1489" i="4"/>
  <c r="K1489" i="4"/>
  <c r="H1489" i="4"/>
  <c r="G1489" i="4"/>
  <c r="F1489" i="4"/>
  <c r="R1488" i="4"/>
  <c r="Q1488" i="4"/>
  <c r="P1488" i="4"/>
  <c r="M1488" i="4"/>
  <c r="L1488" i="4"/>
  <c r="K1488" i="4"/>
  <c r="H1488" i="4"/>
  <c r="G1488" i="4"/>
  <c r="F1488" i="4"/>
  <c r="R1487" i="4"/>
  <c r="Q1487" i="4"/>
  <c r="P1487" i="4"/>
  <c r="M1487" i="4"/>
  <c r="L1487" i="4"/>
  <c r="K1487" i="4"/>
  <c r="H1487" i="4"/>
  <c r="G1487" i="4"/>
  <c r="F1487" i="4"/>
  <c r="R1486" i="4"/>
  <c r="Q1486" i="4"/>
  <c r="P1486" i="4"/>
  <c r="M1486" i="4"/>
  <c r="L1486" i="4"/>
  <c r="K1486" i="4"/>
  <c r="H1486" i="4"/>
  <c r="G1486" i="4"/>
  <c r="F1486" i="4"/>
  <c r="R1485" i="4"/>
  <c r="Q1485" i="4"/>
  <c r="P1485" i="4"/>
  <c r="M1485" i="4"/>
  <c r="L1485" i="4"/>
  <c r="K1485" i="4"/>
  <c r="H1485" i="4"/>
  <c r="G1485" i="4"/>
  <c r="F1485" i="4"/>
  <c r="R1484" i="4"/>
  <c r="Q1484" i="4"/>
  <c r="P1484" i="4"/>
  <c r="M1484" i="4"/>
  <c r="L1484" i="4"/>
  <c r="K1484" i="4"/>
  <c r="H1484" i="4"/>
  <c r="G1484" i="4"/>
  <c r="F1484" i="4"/>
  <c r="R1483" i="4"/>
  <c r="Q1483" i="4"/>
  <c r="P1483" i="4"/>
  <c r="M1483" i="4"/>
  <c r="L1483" i="4"/>
  <c r="K1483" i="4"/>
  <c r="H1483" i="4"/>
  <c r="G1483" i="4"/>
  <c r="F1483" i="4"/>
  <c r="R1482" i="4"/>
  <c r="Q1482" i="4"/>
  <c r="P1482" i="4"/>
  <c r="M1482" i="4"/>
  <c r="L1482" i="4"/>
  <c r="K1482" i="4"/>
  <c r="H1482" i="4"/>
  <c r="G1482" i="4"/>
  <c r="F1482" i="4"/>
  <c r="R1481" i="4"/>
  <c r="Q1481" i="4"/>
  <c r="P1481" i="4"/>
  <c r="M1481" i="4"/>
  <c r="L1481" i="4"/>
  <c r="K1481" i="4"/>
  <c r="H1481" i="4"/>
  <c r="G1481" i="4"/>
  <c r="F1481" i="4"/>
  <c r="R1480" i="4"/>
  <c r="Q1480" i="4"/>
  <c r="P1480" i="4"/>
  <c r="M1480" i="4"/>
  <c r="L1480" i="4"/>
  <c r="K1480" i="4"/>
  <c r="H1480" i="4"/>
  <c r="G1480" i="4"/>
  <c r="F1480" i="4"/>
  <c r="R1479" i="4"/>
  <c r="Q1479" i="4"/>
  <c r="P1479" i="4"/>
  <c r="M1479" i="4"/>
  <c r="L1479" i="4"/>
  <c r="K1479" i="4"/>
  <c r="H1479" i="4"/>
  <c r="G1479" i="4"/>
  <c r="F1479" i="4"/>
  <c r="R1478" i="4"/>
  <c r="Q1478" i="4"/>
  <c r="P1478" i="4"/>
  <c r="M1478" i="4"/>
  <c r="L1478" i="4"/>
  <c r="K1478" i="4"/>
  <c r="H1478" i="4"/>
  <c r="G1478" i="4"/>
  <c r="F1478" i="4"/>
  <c r="R1477" i="4"/>
  <c r="Q1477" i="4"/>
  <c r="P1477" i="4"/>
  <c r="M1477" i="4"/>
  <c r="L1477" i="4"/>
  <c r="K1477" i="4"/>
  <c r="H1477" i="4"/>
  <c r="G1477" i="4"/>
  <c r="F1477" i="4"/>
  <c r="R1476" i="4"/>
  <c r="Q1476" i="4"/>
  <c r="P1476" i="4"/>
  <c r="M1476" i="4"/>
  <c r="L1476" i="4"/>
  <c r="K1476" i="4"/>
  <c r="H1476" i="4"/>
  <c r="G1476" i="4"/>
  <c r="F1476" i="4"/>
  <c r="R1475" i="4"/>
  <c r="Q1475" i="4"/>
  <c r="P1475" i="4"/>
  <c r="M1475" i="4"/>
  <c r="L1475" i="4"/>
  <c r="K1475" i="4"/>
  <c r="H1475" i="4"/>
  <c r="G1475" i="4"/>
  <c r="F1475" i="4"/>
  <c r="R1474" i="4"/>
  <c r="Q1474" i="4"/>
  <c r="P1474" i="4"/>
  <c r="M1474" i="4"/>
  <c r="L1474" i="4"/>
  <c r="K1474" i="4"/>
  <c r="H1474" i="4"/>
  <c r="G1474" i="4"/>
  <c r="F1474" i="4"/>
  <c r="R1473" i="4"/>
  <c r="Q1473" i="4"/>
  <c r="P1473" i="4"/>
  <c r="M1473" i="4"/>
  <c r="L1473" i="4"/>
  <c r="K1473" i="4"/>
  <c r="H1473" i="4"/>
  <c r="G1473" i="4"/>
  <c r="F1473" i="4"/>
  <c r="R1472" i="4"/>
  <c r="Q1472" i="4"/>
  <c r="P1472" i="4"/>
  <c r="M1472" i="4"/>
  <c r="L1472" i="4"/>
  <c r="K1472" i="4"/>
  <c r="H1472" i="4"/>
  <c r="G1472" i="4"/>
  <c r="F1472" i="4"/>
  <c r="R1471" i="4"/>
  <c r="Q1471" i="4"/>
  <c r="P1471" i="4"/>
  <c r="M1471" i="4"/>
  <c r="L1471" i="4"/>
  <c r="K1471" i="4"/>
  <c r="H1471" i="4"/>
  <c r="G1471" i="4"/>
  <c r="F1471" i="4"/>
  <c r="R1470" i="4"/>
  <c r="Q1470" i="4"/>
  <c r="P1470" i="4"/>
  <c r="M1470" i="4"/>
  <c r="L1470" i="4"/>
  <c r="K1470" i="4"/>
  <c r="H1470" i="4"/>
  <c r="G1470" i="4"/>
  <c r="F1470" i="4"/>
  <c r="R1469" i="4"/>
  <c r="Q1469" i="4"/>
  <c r="P1469" i="4"/>
  <c r="M1469" i="4"/>
  <c r="L1469" i="4"/>
  <c r="K1469" i="4"/>
  <c r="H1469" i="4"/>
  <c r="G1469" i="4"/>
  <c r="F1469" i="4"/>
  <c r="R1468" i="4"/>
  <c r="Q1468" i="4"/>
  <c r="P1468" i="4"/>
  <c r="M1468" i="4"/>
  <c r="L1468" i="4"/>
  <c r="K1468" i="4"/>
  <c r="H1468" i="4"/>
  <c r="G1468" i="4"/>
  <c r="F1468" i="4"/>
  <c r="R1467" i="4"/>
  <c r="Q1467" i="4"/>
  <c r="P1467" i="4"/>
  <c r="M1467" i="4"/>
  <c r="L1467" i="4"/>
  <c r="K1467" i="4"/>
  <c r="H1467" i="4"/>
  <c r="G1467" i="4"/>
  <c r="F1467" i="4"/>
  <c r="R1466" i="4"/>
  <c r="Q1466" i="4"/>
  <c r="P1466" i="4"/>
  <c r="M1466" i="4"/>
  <c r="L1466" i="4"/>
  <c r="K1466" i="4"/>
  <c r="H1466" i="4"/>
  <c r="G1466" i="4"/>
  <c r="F1466" i="4"/>
  <c r="R1465" i="4"/>
  <c r="Q1465" i="4"/>
  <c r="P1465" i="4"/>
  <c r="M1465" i="4"/>
  <c r="L1465" i="4"/>
  <c r="K1465" i="4"/>
  <c r="H1465" i="4"/>
  <c r="G1465" i="4"/>
  <c r="F1465" i="4"/>
  <c r="R1464" i="4"/>
  <c r="Q1464" i="4"/>
  <c r="P1464" i="4"/>
  <c r="M1464" i="4"/>
  <c r="L1464" i="4"/>
  <c r="K1464" i="4"/>
  <c r="H1464" i="4"/>
  <c r="G1464" i="4"/>
  <c r="F1464" i="4"/>
  <c r="R1463" i="4"/>
  <c r="Q1463" i="4"/>
  <c r="P1463" i="4"/>
  <c r="M1463" i="4"/>
  <c r="L1463" i="4"/>
  <c r="K1463" i="4"/>
  <c r="H1463" i="4"/>
  <c r="G1463" i="4"/>
  <c r="F1463" i="4"/>
  <c r="R1462" i="4"/>
  <c r="Q1462" i="4"/>
  <c r="P1462" i="4"/>
  <c r="M1462" i="4"/>
  <c r="L1462" i="4"/>
  <c r="K1462" i="4"/>
  <c r="H1462" i="4"/>
  <c r="G1462" i="4"/>
  <c r="F1462" i="4"/>
  <c r="R1461" i="4"/>
  <c r="Q1461" i="4"/>
  <c r="P1461" i="4"/>
  <c r="M1461" i="4"/>
  <c r="L1461" i="4"/>
  <c r="K1461" i="4"/>
  <c r="H1461" i="4"/>
  <c r="G1461" i="4"/>
  <c r="F1461" i="4"/>
  <c r="R1460" i="4"/>
  <c r="Q1460" i="4"/>
  <c r="P1460" i="4"/>
  <c r="M1460" i="4"/>
  <c r="L1460" i="4"/>
  <c r="K1460" i="4"/>
  <c r="H1460" i="4"/>
  <c r="G1460" i="4"/>
  <c r="F1460" i="4"/>
  <c r="R1459" i="4"/>
  <c r="Q1459" i="4"/>
  <c r="P1459" i="4"/>
  <c r="M1459" i="4"/>
  <c r="L1459" i="4"/>
  <c r="K1459" i="4"/>
  <c r="H1459" i="4"/>
  <c r="G1459" i="4"/>
  <c r="F1459" i="4"/>
  <c r="R1458" i="4"/>
  <c r="Q1458" i="4"/>
  <c r="P1458" i="4"/>
  <c r="M1458" i="4"/>
  <c r="L1458" i="4"/>
  <c r="K1458" i="4"/>
  <c r="H1458" i="4"/>
  <c r="G1458" i="4"/>
  <c r="F1458" i="4"/>
  <c r="R1457" i="4"/>
  <c r="Q1457" i="4"/>
  <c r="P1457" i="4"/>
  <c r="M1457" i="4"/>
  <c r="L1457" i="4"/>
  <c r="K1457" i="4"/>
  <c r="H1457" i="4"/>
  <c r="G1457" i="4"/>
  <c r="F1457" i="4"/>
  <c r="R1456" i="4"/>
  <c r="Q1456" i="4"/>
  <c r="P1456" i="4"/>
  <c r="M1456" i="4"/>
  <c r="L1456" i="4"/>
  <c r="K1456" i="4"/>
  <c r="H1456" i="4"/>
  <c r="G1456" i="4"/>
  <c r="F1456" i="4"/>
  <c r="R1455" i="4"/>
  <c r="Q1455" i="4"/>
  <c r="P1455" i="4"/>
  <c r="M1455" i="4"/>
  <c r="L1455" i="4"/>
  <c r="K1455" i="4"/>
  <c r="H1455" i="4"/>
  <c r="G1455" i="4"/>
  <c r="F1455" i="4"/>
  <c r="R1454" i="4"/>
  <c r="Q1454" i="4"/>
  <c r="P1454" i="4"/>
  <c r="M1454" i="4"/>
  <c r="L1454" i="4"/>
  <c r="K1454" i="4"/>
  <c r="H1454" i="4"/>
  <c r="G1454" i="4"/>
  <c r="F1454" i="4"/>
  <c r="R1453" i="4"/>
  <c r="Q1453" i="4"/>
  <c r="P1453" i="4"/>
  <c r="M1453" i="4"/>
  <c r="L1453" i="4"/>
  <c r="K1453" i="4"/>
  <c r="H1453" i="4"/>
  <c r="G1453" i="4"/>
  <c r="F1453" i="4"/>
  <c r="R1452" i="4"/>
  <c r="Q1452" i="4"/>
  <c r="P1452" i="4"/>
  <c r="M1452" i="4"/>
  <c r="L1452" i="4"/>
  <c r="K1452" i="4"/>
  <c r="H1452" i="4"/>
  <c r="G1452" i="4"/>
  <c r="F1452" i="4"/>
  <c r="R1451" i="4"/>
  <c r="Q1451" i="4"/>
  <c r="P1451" i="4"/>
  <c r="M1451" i="4"/>
  <c r="L1451" i="4"/>
  <c r="K1451" i="4"/>
  <c r="H1451" i="4"/>
  <c r="G1451" i="4"/>
  <c r="F1451" i="4"/>
  <c r="R1450" i="4"/>
  <c r="Q1450" i="4"/>
  <c r="P1450" i="4"/>
  <c r="M1450" i="4"/>
  <c r="L1450" i="4"/>
  <c r="K1450" i="4"/>
  <c r="H1450" i="4"/>
  <c r="G1450" i="4"/>
  <c r="F1450" i="4"/>
  <c r="R1449" i="4"/>
  <c r="Q1449" i="4"/>
  <c r="P1449" i="4"/>
  <c r="M1449" i="4"/>
  <c r="L1449" i="4"/>
  <c r="K1449" i="4"/>
  <c r="H1449" i="4"/>
  <c r="G1449" i="4"/>
  <c r="F1449" i="4"/>
  <c r="R1448" i="4"/>
  <c r="Q1448" i="4"/>
  <c r="P1448" i="4"/>
  <c r="M1448" i="4"/>
  <c r="L1448" i="4"/>
  <c r="K1448" i="4"/>
  <c r="H1448" i="4"/>
  <c r="G1448" i="4"/>
  <c r="F1448" i="4"/>
  <c r="R1447" i="4"/>
  <c r="Q1447" i="4"/>
  <c r="P1447" i="4"/>
  <c r="M1447" i="4"/>
  <c r="L1447" i="4"/>
  <c r="K1447" i="4"/>
  <c r="H1447" i="4"/>
  <c r="G1447" i="4"/>
  <c r="F1447" i="4"/>
  <c r="R1446" i="4"/>
  <c r="Q1446" i="4"/>
  <c r="P1446" i="4"/>
  <c r="M1446" i="4"/>
  <c r="L1446" i="4"/>
  <c r="K1446" i="4"/>
  <c r="H1446" i="4"/>
  <c r="G1446" i="4"/>
  <c r="F1446" i="4"/>
  <c r="R1445" i="4"/>
  <c r="Q1445" i="4"/>
  <c r="P1445" i="4"/>
  <c r="M1445" i="4"/>
  <c r="L1445" i="4"/>
  <c r="K1445" i="4"/>
  <c r="H1445" i="4"/>
  <c r="G1445" i="4"/>
  <c r="F1445" i="4"/>
  <c r="R1444" i="4"/>
  <c r="Q1444" i="4"/>
  <c r="P1444" i="4"/>
  <c r="M1444" i="4"/>
  <c r="L1444" i="4"/>
  <c r="K1444" i="4"/>
  <c r="H1444" i="4"/>
  <c r="G1444" i="4"/>
  <c r="F1444" i="4"/>
  <c r="R1443" i="4"/>
  <c r="Q1443" i="4"/>
  <c r="P1443" i="4"/>
  <c r="M1443" i="4"/>
  <c r="L1443" i="4"/>
  <c r="K1443" i="4"/>
  <c r="H1443" i="4"/>
  <c r="G1443" i="4"/>
  <c r="F1443" i="4"/>
  <c r="R1442" i="4"/>
  <c r="Q1442" i="4"/>
  <c r="P1442" i="4"/>
  <c r="M1442" i="4"/>
  <c r="L1442" i="4"/>
  <c r="K1442" i="4"/>
  <c r="H1442" i="4"/>
  <c r="G1442" i="4"/>
  <c r="F1442" i="4"/>
  <c r="R1441" i="4"/>
  <c r="Q1441" i="4"/>
  <c r="P1441" i="4"/>
  <c r="M1441" i="4"/>
  <c r="L1441" i="4"/>
  <c r="K1441" i="4"/>
  <c r="H1441" i="4"/>
  <c r="G1441" i="4"/>
  <c r="I1441" i="4" s="1" a="1"/>
  <c r="I1441" i="4" s="1"/>
  <c r="F1441" i="4"/>
  <c r="R1440" i="4"/>
  <c r="Q1440" i="4"/>
  <c r="P1440" i="4"/>
  <c r="M1440" i="4"/>
  <c r="L1440" i="4"/>
  <c r="K1440" i="4"/>
  <c r="H1440" i="4"/>
  <c r="G1440" i="4"/>
  <c r="F1440" i="4"/>
  <c r="R1439" i="4"/>
  <c r="Q1439" i="4"/>
  <c r="P1439" i="4"/>
  <c r="M1439" i="4"/>
  <c r="L1439" i="4"/>
  <c r="K1439" i="4"/>
  <c r="H1439" i="4"/>
  <c r="G1439" i="4"/>
  <c r="F1439" i="4"/>
  <c r="R1438" i="4"/>
  <c r="Q1438" i="4"/>
  <c r="P1438" i="4"/>
  <c r="M1438" i="4"/>
  <c r="L1438" i="4"/>
  <c r="K1438" i="4"/>
  <c r="H1438" i="4"/>
  <c r="G1438" i="4"/>
  <c r="F1438" i="4"/>
  <c r="R1437" i="4"/>
  <c r="Q1437" i="4"/>
  <c r="P1437" i="4"/>
  <c r="M1437" i="4"/>
  <c r="L1437" i="4"/>
  <c r="K1437" i="4"/>
  <c r="H1437" i="4"/>
  <c r="G1437" i="4"/>
  <c r="F1437" i="4"/>
  <c r="R1436" i="4"/>
  <c r="Q1436" i="4"/>
  <c r="P1436" i="4"/>
  <c r="M1436" i="4"/>
  <c r="L1436" i="4"/>
  <c r="K1436" i="4"/>
  <c r="H1436" i="4"/>
  <c r="G1436" i="4"/>
  <c r="F1436" i="4"/>
  <c r="R1435" i="4"/>
  <c r="Q1435" i="4"/>
  <c r="P1435" i="4"/>
  <c r="M1435" i="4"/>
  <c r="L1435" i="4"/>
  <c r="K1435" i="4"/>
  <c r="H1435" i="4"/>
  <c r="G1435" i="4"/>
  <c r="F1435" i="4"/>
  <c r="R1434" i="4"/>
  <c r="Q1434" i="4"/>
  <c r="P1434" i="4"/>
  <c r="M1434" i="4"/>
  <c r="L1434" i="4"/>
  <c r="K1434" i="4"/>
  <c r="H1434" i="4"/>
  <c r="G1434" i="4"/>
  <c r="F1434" i="4"/>
  <c r="R1433" i="4"/>
  <c r="Q1433" i="4"/>
  <c r="P1433" i="4"/>
  <c r="M1433" i="4"/>
  <c r="L1433" i="4"/>
  <c r="K1433" i="4"/>
  <c r="H1433" i="4"/>
  <c r="G1433" i="4"/>
  <c r="F1433" i="4"/>
  <c r="R1432" i="4"/>
  <c r="Q1432" i="4"/>
  <c r="P1432" i="4"/>
  <c r="M1432" i="4"/>
  <c r="L1432" i="4"/>
  <c r="K1432" i="4"/>
  <c r="H1432" i="4"/>
  <c r="G1432" i="4"/>
  <c r="F1432" i="4"/>
  <c r="R1431" i="4"/>
  <c r="Q1431" i="4"/>
  <c r="P1431" i="4"/>
  <c r="M1431" i="4"/>
  <c r="L1431" i="4"/>
  <c r="K1431" i="4"/>
  <c r="H1431" i="4"/>
  <c r="G1431" i="4"/>
  <c r="F1431" i="4"/>
  <c r="R1430" i="4"/>
  <c r="Q1430" i="4"/>
  <c r="P1430" i="4"/>
  <c r="M1430" i="4"/>
  <c r="L1430" i="4"/>
  <c r="K1430" i="4"/>
  <c r="H1430" i="4"/>
  <c r="G1430" i="4"/>
  <c r="F1430" i="4"/>
  <c r="R1429" i="4"/>
  <c r="Q1429" i="4"/>
  <c r="P1429" i="4"/>
  <c r="M1429" i="4"/>
  <c r="L1429" i="4"/>
  <c r="K1429" i="4"/>
  <c r="H1429" i="4"/>
  <c r="G1429" i="4"/>
  <c r="F1429" i="4"/>
  <c r="R1428" i="4"/>
  <c r="Q1428" i="4"/>
  <c r="P1428" i="4"/>
  <c r="M1428" i="4"/>
  <c r="L1428" i="4"/>
  <c r="K1428" i="4"/>
  <c r="H1428" i="4"/>
  <c r="G1428" i="4"/>
  <c r="F1428" i="4"/>
  <c r="R1427" i="4"/>
  <c r="Q1427" i="4"/>
  <c r="P1427" i="4"/>
  <c r="M1427" i="4"/>
  <c r="L1427" i="4"/>
  <c r="K1427" i="4"/>
  <c r="H1427" i="4"/>
  <c r="G1427" i="4"/>
  <c r="F1427" i="4"/>
  <c r="R1426" i="4"/>
  <c r="Q1426" i="4"/>
  <c r="P1426" i="4"/>
  <c r="M1426" i="4"/>
  <c r="L1426" i="4"/>
  <c r="K1426" i="4"/>
  <c r="H1426" i="4"/>
  <c r="G1426" i="4"/>
  <c r="F1426" i="4"/>
  <c r="R1425" i="4"/>
  <c r="Q1425" i="4"/>
  <c r="P1425" i="4"/>
  <c r="M1425" i="4"/>
  <c r="L1425" i="4"/>
  <c r="K1425" i="4"/>
  <c r="H1425" i="4"/>
  <c r="G1425" i="4"/>
  <c r="F1425" i="4"/>
  <c r="R1424" i="4"/>
  <c r="Q1424" i="4"/>
  <c r="P1424" i="4"/>
  <c r="M1424" i="4"/>
  <c r="L1424" i="4"/>
  <c r="K1424" i="4"/>
  <c r="H1424" i="4"/>
  <c r="G1424" i="4"/>
  <c r="F1424" i="4"/>
  <c r="R1423" i="4"/>
  <c r="Q1423" i="4"/>
  <c r="P1423" i="4"/>
  <c r="M1423" i="4"/>
  <c r="L1423" i="4"/>
  <c r="K1423" i="4"/>
  <c r="H1423" i="4"/>
  <c r="G1423" i="4"/>
  <c r="F1423" i="4"/>
  <c r="R1422" i="4"/>
  <c r="Q1422" i="4"/>
  <c r="P1422" i="4"/>
  <c r="M1422" i="4"/>
  <c r="L1422" i="4"/>
  <c r="K1422" i="4"/>
  <c r="H1422" i="4"/>
  <c r="G1422" i="4"/>
  <c r="F1422" i="4"/>
  <c r="R1421" i="4"/>
  <c r="Q1421" i="4"/>
  <c r="P1421" i="4"/>
  <c r="M1421" i="4"/>
  <c r="L1421" i="4"/>
  <c r="K1421" i="4"/>
  <c r="H1421" i="4"/>
  <c r="G1421" i="4"/>
  <c r="F1421" i="4"/>
  <c r="R1420" i="4"/>
  <c r="Q1420" i="4"/>
  <c r="P1420" i="4"/>
  <c r="M1420" i="4"/>
  <c r="L1420" i="4"/>
  <c r="K1420" i="4"/>
  <c r="H1420" i="4"/>
  <c r="G1420" i="4"/>
  <c r="F1420" i="4"/>
  <c r="R1419" i="4"/>
  <c r="Q1419" i="4"/>
  <c r="P1419" i="4"/>
  <c r="M1419" i="4"/>
  <c r="L1419" i="4"/>
  <c r="K1419" i="4"/>
  <c r="H1419" i="4"/>
  <c r="G1419" i="4"/>
  <c r="F1419" i="4"/>
  <c r="R1418" i="4"/>
  <c r="Q1418" i="4"/>
  <c r="P1418" i="4"/>
  <c r="M1418" i="4"/>
  <c r="L1418" i="4"/>
  <c r="K1418" i="4"/>
  <c r="H1418" i="4"/>
  <c r="G1418" i="4"/>
  <c r="F1418" i="4"/>
  <c r="R1417" i="4"/>
  <c r="Q1417" i="4"/>
  <c r="P1417" i="4"/>
  <c r="M1417" i="4"/>
  <c r="L1417" i="4"/>
  <c r="K1417" i="4"/>
  <c r="H1417" i="4"/>
  <c r="G1417" i="4"/>
  <c r="F1417" i="4"/>
  <c r="R1416" i="4"/>
  <c r="Q1416" i="4"/>
  <c r="P1416" i="4"/>
  <c r="M1416" i="4"/>
  <c r="L1416" i="4"/>
  <c r="K1416" i="4"/>
  <c r="H1416" i="4"/>
  <c r="G1416" i="4"/>
  <c r="F1416" i="4"/>
  <c r="R1415" i="4"/>
  <c r="Q1415" i="4"/>
  <c r="P1415" i="4"/>
  <c r="M1415" i="4"/>
  <c r="L1415" i="4"/>
  <c r="K1415" i="4"/>
  <c r="H1415" i="4"/>
  <c r="G1415" i="4"/>
  <c r="F1415" i="4"/>
  <c r="R1414" i="4"/>
  <c r="Q1414" i="4"/>
  <c r="P1414" i="4"/>
  <c r="M1414" i="4"/>
  <c r="L1414" i="4"/>
  <c r="K1414" i="4"/>
  <c r="H1414" i="4"/>
  <c r="G1414" i="4"/>
  <c r="F1414" i="4"/>
  <c r="R1413" i="4"/>
  <c r="Q1413" i="4"/>
  <c r="P1413" i="4"/>
  <c r="M1413" i="4"/>
  <c r="L1413" i="4"/>
  <c r="K1413" i="4"/>
  <c r="H1413" i="4"/>
  <c r="G1413" i="4"/>
  <c r="F1413" i="4"/>
  <c r="R1412" i="4"/>
  <c r="Q1412" i="4"/>
  <c r="P1412" i="4"/>
  <c r="M1412" i="4"/>
  <c r="L1412" i="4"/>
  <c r="K1412" i="4"/>
  <c r="H1412" i="4"/>
  <c r="G1412" i="4"/>
  <c r="F1412" i="4"/>
  <c r="R1411" i="4"/>
  <c r="Q1411" i="4"/>
  <c r="S1411" i="4" s="1" a="1"/>
  <c r="S1411" i="4" s="1"/>
  <c r="P1411" i="4"/>
  <c r="M1411" i="4"/>
  <c r="L1411" i="4"/>
  <c r="K1411" i="4"/>
  <c r="H1411" i="4"/>
  <c r="G1411" i="4"/>
  <c r="F1411" i="4"/>
  <c r="R1410" i="4"/>
  <c r="Q1410" i="4"/>
  <c r="P1410" i="4"/>
  <c r="M1410" i="4"/>
  <c r="L1410" i="4"/>
  <c r="K1410" i="4"/>
  <c r="H1410" i="4"/>
  <c r="G1410" i="4"/>
  <c r="F1410" i="4"/>
  <c r="R1409" i="4"/>
  <c r="Q1409" i="4"/>
  <c r="P1409" i="4"/>
  <c r="M1409" i="4"/>
  <c r="L1409" i="4"/>
  <c r="K1409" i="4"/>
  <c r="H1409" i="4"/>
  <c r="G1409" i="4"/>
  <c r="F1409" i="4"/>
  <c r="R1408" i="4"/>
  <c r="Q1408" i="4"/>
  <c r="P1408" i="4"/>
  <c r="M1408" i="4"/>
  <c r="L1408" i="4"/>
  <c r="K1408" i="4"/>
  <c r="H1408" i="4"/>
  <c r="G1408" i="4"/>
  <c r="F1408" i="4"/>
  <c r="R1407" i="4"/>
  <c r="Q1407" i="4"/>
  <c r="P1407" i="4"/>
  <c r="M1407" i="4"/>
  <c r="L1407" i="4"/>
  <c r="K1407" i="4"/>
  <c r="H1407" i="4"/>
  <c r="G1407" i="4"/>
  <c r="F1407" i="4"/>
  <c r="R1406" i="4"/>
  <c r="Q1406" i="4"/>
  <c r="P1406" i="4"/>
  <c r="M1406" i="4"/>
  <c r="L1406" i="4"/>
  <c r="K1406" i="4"/>
  <c r="H1406" i="4"/>
  <c r="G1406" i="4"/>
  <c r="F1406" i="4"/>
  <c r="R1405" i="4"/>
  <c r="Q1405" i="4"/>
  <c r="P1405" i="4"/>
  <c r="M1405" i="4"/>
  <c r="L1405" i="4"/>
  <c r="K1405" i="4"/>
  <c r="H1405" i="4"/>
  <c r="G1405" i="4"/>
  <c r="F1405" i="4"/>
  <c r="R1404" i="4"/>
  <c r="Q1404" i="4"/>
  <c r="P1404" i="4"/>
  <c r="M1404" i="4"/>
  <c r="L1404" i="4"/>
  <c r="K1404" i="4"/>
  <c r="H1404" i="4"/>
  <c r="G1404" i="4"/>
  <c r="F1404" i="4"/>
  <c r="R1403" i="4"/>
  <c r="Q1403" i="4"/>
  <c r="P1403" i="4"/>
  <c r="M1403" i="4"/>
  <c r="L1403" i="4"/>
  <c r="K1403" i="4"/>
  <c r="H1403" i="4"/>
  <c r="G1403" i="4"/>
  <c r="F1403" i="4"/>
  <c r="R1402" i="4"/>
  <c r="Q1402" i="4"/>
  <c r="P1402" i="4"/>
  <c r="M1402" i="4"/>
  <c r="L1402" i="4"/>
  <c r="K1402" i="4"/>
  <c r="H1402" i="4"/>
  <c r="G1402" i="4"/>
  <c r="F1402" i="4"/>
  <c r="R1401" i="4"/>
  <c r="Q1401" i="4"/>
  <c r="P1401" i="4"/>
  <c r="M1401" i="4"/>
  <c r="L1401" i="4"/>
  <c r="K1401" i="4"/>
  <c r="H1401" i="4"/>
  <c r="G1401" i="4"/>
  <c r="F1401" i="4"/>
  <c r="R1400" i="4"/>
  <c r="Q1400" i="4"/>
  <c r="P1400" i="4"/>
  <c r="M1400" i="4"/>
  <c r="L1400" i="4"/>
  <c r="K1400" i="4"/>
  <c r="H1400" i="4"/>
  <c r="G1400" i="4"/>
  <c r="F1400" i="4"/>
  <c r="R1399" i="4"/>
  <c r="Q1399" i="4"/>
  <c r="P1399" i="4"/>
  <c r="M1399" i="4"/>
  <c r="L1399" i="4"/>
  <c r="K1399" i="4"/>
  <c r="H1399" i="4"/>
  <c r="G1399" i="4"/>
  <c r="F1399" i="4"/>
  <c r="R1398" i="4"/>
  <c r="Q1398" i="4"/>
  <c r="P1398" i="4"/>
  <c r="M1398" i="4"/>
  <c r="L1398" i="4"/>
  <c r="K1398" i="4"/>
  <c r="H1398" i="4"/>
  <c r="G1398" i="4"/>
  <c r="F1398" i="4"/>
  <c r="R1397" i="4"/>
  <c r="Q1397" i="4"/>
  <c r="P1397" i="4"/>
  <c r="M1397" i="4"/>
  <c r="L1397" i="4"/>
  <c r="K1397" i="4"/>
  <c r="H1397" i="4"/>
  <c r="G1397" i="4"/>
  <c r="F1397" i="4"/>
  <c r="R1396" i="4"/>
  <c r="Q1396" i="4"/>
  <c r="P1396" i="4"/>
  <c r="M1396" i="4"/>
  <c r="L1396" i="4"/>
  <c r="K1396" i="4"/>
  <c r="H1396" i="4"/>
  <c r="G1396" i="4"/>
  <c r="F1396" i="4"/>
  <c r="R1395" i="4"/>
  <c r="Q1395" i="4"/>
  <c r="P1395" i="4"/>
  <c r="M1395" i="4"/>
  <c r="L1395" i="4"/>
  <c r="K1395" i="4"/>
  <c r="H1395" i="4"/>
  <c r="G1395" i="4"/>
  <c r="F1395" i="4"/>
  <c r="R1394" i="4"/>
  <c r="Q1394" i="4"/>
  <c r="P1394" i="4"/>
  <c r="M1394" i="4"/>
  <c r="L1394" i="4"/>
  <c r="K1394" i="4"/>
  <c r="H1394" i="4"/>
  <c r="G1394" i="4"/>
  <c r="F1394" i="4"/>
  <c r="R1393" i="4"/>
  <c r="Q1393" i="4"/>
  <c r="P1393" i="4"/>
  <c r="M1393" i="4"/>
  <c r="L1393" i="4"/>
  <c r="K1393" i="4"/>
  <c r="H1393" i="4"/>
  <c r="G1393" i="4"/>
  <c r="F1393" i="4"/>
  <c r="R1392" i="4"/>
  <c r="Q1392" i="4"/>
  <c r="P1392" i="4"/>
  <c r="M1392" i="4"/>
  <c r="L1392" i="4"/>
  <c r="K1392" i="4"/>
  <c r="H1392" i="4"/>
  <c r="G1392" i="4"/>
  <c r="F1392" i="4"/>
  <c r="R1391" i="4"/>
  <c r="Q1391" i="4"/>
  <c r="P1391" i="4"/>
  <c r="M1391" i="4"/>
  <c r="L1391" i="4"/>
  <c r="K1391" i="4"/>
  <c r="H1391" i="4"/>
  <c r="G1391" i="4"/>
  <c r="F1391" i="4"/>
  <c r="R1390" i="4"/>
  <c r="Q1390" i="4"/>
  <c r="P1390" i="4"/>
  <c r="M1390" i="4"/>
  <c r="L1390" i="4"/>
  <c r="K1390" i="4"/>
  <c r="H1390" i="4"/>
  <c r="G1390" i="4"/>
  <c r="F1390" i="4"/>
  <c r="R1389" i="4"/>
  <c r="Q1389" i="4"/>
  <c r="P1389" i="4"/>
  <c r="M1389" i="4"/>
  <c r="L1389" i="4"/>
  <c r="K1389" i="4"/>
  <c r="H1389" i="4"/>
  <c r="G1389" i="4"/>
  <c r="F1389" i="4"/>
  <c r="R1388" i="4"/>
  <c r="Q1388" i="4"/>
  <c r="P1388" i="4"/>
  <c r="M1388" i="4"/>
  <c r="L1388" i="4"/>
  <c r="K1388" i="4"/>
  <c r="H1388" i="4"/>
  <c r="G1388" i="4"/>
  <c r="F1388" i="4"/>
  <c r="R1387" i="4"/>
  <c r="Q1387" i="4"/>
  <c r="P1387" i="4"/>
  <c r="M1387" i="4"/>
  <c r="L1387" i="4"/>
  <c r="K1387" i="4"/>
  <c r="H1387" i="4"/>
  <c r="G1387" i="4"/>
  <c r="F1387" i="4"/>
  <c r="R1386" i="4"/>
  <c r="Q1386" i="4"/>
  <c r="P1386" i="4"/>
  <c r="M1386" i="4"/>
  <c r="L1386" i="4"/>
  <c r="K1386" i="4"/>
  <c r="H1386" i="4"/>
  <c r="G1386" i="4"/>
  <c r="F1386" i="4"/>
  <c r="R1385" i="4"/>
  <c r="Q1385" i="4"/>
  <c r="P1385" i="4"/>
  <c r="M1385" i="4"/>
  <c r="L1385" i="4"/>
  <c r="K1385" i="4"/>
  <c r="H1385" i="4"/>
  <c r="G1385" i="4"/>
  <c r="F1385" i="4"/>
  <c r="R1384" i="4"/>
  <c r="Q1384" i="4"/>
  <c r="P1384" i="4"/>
  <c r="M1384" i="4"/>
  <c r="L1384" i="4"/>
  <c r="K1384" i="4"/>
  <c r="H1384" i="4"/>
  <c r="G1384" i="4"/>
  <c r="F1384" i="4"/>
  <c r="R1383" i="4"/>
  <c r="Q1383" i="4"/>
  <c r="P1383" i="4"/>
  <c r="M1383" i="4"/>
  <c r="L1383" i="4"/>
  <c r="K1383" i="4"/>
  <c r="H1383" i="4"/>
  <c r="G1383" i="4"/>
  <c r="F1383" i="4"/>
  <c r="R1382" i="4"/>
  <c r="Q1382" i="4"/>
  <c r="P1382" i="4"/>
  <c r="M1382" i="4"/>
  <c r="L1382" i="4"/>
  <c r="K1382" i="4"/>
  <c r="H1382" i="4"/>
  <c r="G1382" i="4"/>
  <c r="F1382" i="4"/>
  <c r="R1381" i="4"/>
  <c r="Q1381" i="4"/>
  <c r="P1381" i="4"/>
  <c r="M1381" i="4"/>
  <c r="L1381" i="4"/>
  <c r="K1381" i="4"/>
  <c r="H1381" i="4"/>
  <c r="G1381" i="4"/>
  <c r="F1381" i="4"/>
  <c r="R1380" i="4"/>
  <c r="Q1380" i="4"/>
  <c r="P1380" i="4"/>
  <c r="M1380" i="4"/>
  <c r="L1380" i="4"/>
  <c r="K1380" i="4"/>
  <c r="H1380" i="4"/>
  <c r="G1380" i="4"/>
  <c r="F1380" i="4"/>
  <c r="R1379" i="4"/>
  <c r="Q1379" i="4"/>
  <c r="P1379" i="4"/>
  <c r="M1379" i="4"/>
  <c r="L1379" i="4"/>
  <c r="K1379" i="4"/>
  <c r="H1379" i="4"/>
  <c r="G1379" i="4"/>
  <c r="F1379" i="4"/>
  <c r="R1378" i="4"/>
  <c r="Q1378" i="4"/>
  <c r="P1378" i="4"/>
  <c r="M1378" i="4"/>
  <c r="L1378" i="4"/>
  <c r="K1378" i="4"/>
  <c r="H1378" i="4"/>
  <c r="G1378" i="4"/>
  <c r="F1378" i="4"/>
  <c r="R1377" i="4"/>
  <c r="Q1377" i="4"/>
  <c r="P1377" i="4"/>
  <c r="M1377" i="4"/>
  <c r="L1377" i="4"/>
  <c r="K1377" i="4"/>
  <c r="H1377" i="4"/>
  <c r="G1377" i="4"/>
  <c r="F1377" i="4"/>
  <c r="R1376" i="4"/>
  <c r="Q1376" i="4"/>
  <c r="P1376" i="4"/>
  <c r="M1376" i="4"/>
  <c r="L1376" i="4"/>
  <c r="K1376" i="4"/>
  <c r="H1376" i="4"/>
  <c r="G1376" i="4"/>
  <c r="F1376" i="4"/>
  <c r="R1375" i="4"/>
  <c r="Q1375" i="4"/>
  <c r="P1375" i="4"/>
  <c r="M1375" i="4"/>
  <c r="L1375" i="4"/>
  <c r="K1375" i="4"/>
  <c r="H1375" i="4"/>
  <c r="G1375" i="4"/>
  <c r="F1375" i="4"/>
  <c r="R1374" i="4"/>
  <c r="Q1374" i="4"/>
  <c r="P1374" i="4"/>
  <c r="M1374" i="4"/>
  <c r="L1374" i="4"/>
  <c r="K1374" i="4"/>
  <c r="H1374" i="4"/>
  <c r="G1374" i="4"/>
  <c r="F1374" i="4"/>
  <c r="R1373" i="4"/>
  <c r="Q1373" i="4"/>
  <c r="P1373" i="4"/>
  <c r="M1373" i="4"/>
  <c r="L1373" i="4"/>
  <c r="K1373" i="4"/>
  <c r="H1373" i="4"/>
  <c r="G1373" i="4"/>
  <c r="F1373" i="4"/>
  <c r="R1372" i="4"/>
  <c r="Q1372" i="4"/>
  <c r="P1372" i="4"/>
  <c r="M1372" i="4"/>
  <c r="L1372" i="4"/>
  <c r="K1372" i="4"/>
  <c r="H1372" i="4"/>
  <c r="G1372" i="4"/>
  <c r="F1372" i="4"/>
  <c r="R1371" i="4"/>
  <c r="Q1371" i="4"/>
  <c r="P1371" i="4"/>
  <c r="M1371" i="4"/>
  <c r="L1371" i="4"/>
  <c r="K1371" i="4"/>
  <c r="H1371" i="4"/>
  <c r="G1371" i="4"/>
  <c r="F1371" i="4"/>
  <c r="R1370" i="4"/>
  <c r="Q1370" i="4"/>
  <c r="P1370" i="4"/>
  <c r="M1370" i="4"/>
  <c r="L1370" i="4"/>
  <c r="K1370" i="4"/>
  <c r="H1370" i="4"/>
  <c r="G1370" i="4"/>
  <c r="F1370" i="4"/>
  <c r="R1369" i="4"/>
  <c r="Q1369" i="4"/>
  <c r="P1369" i="4"/>
  <c r="M1369" i="4"/>
  <c r="L1369" i="4"/>
  <c r="K1369" i="4"/>
  <c r="H1369" i="4"/>
  <c r="G1369" i="4"/>
  <c r="F1369" i="4"/>
  <c r="R1368" i="4"/>
  <c r="Q1368" i="4"/>
  <c r="P1368" i="4"/>
  <c r="M1368" i="4"/>
  <c r="L1368" i="4"/>
  <c r="K1368" i="4"/>
  <c r="H1368" i="4"/>
  <c r="G1368" i="4"/>
  <c r="F1368" i="4"/>
  <c r="R1367" i="4"/>
  <c r="Q1367" i="4"/>
  <c r="P1367" i="4"/>
  <c r="M1367" i="4"/>
  <c r="L1367" i="4"/>
  <c r="K1367" i="4"/>
  <c r="H1367" i="4"/>
  <c r="G1367" i="4"/>
  <c r="F1367" i="4"/>
  <c r="R1366" i="4"/>
  <c r="Q1366" i="4"/>
  <c r="P1366" i="4"/>
  <c r="M1366" i="4"/>
  <c r="L1366" i="4"/>
  <c r="K1366" i="4"/>
  <c r="H1366" i="4"/>
  <c r="G1366" i="4"/>
  <c r="F1366" i="4"/>
  <c r="R1365" i="4"/>
  <c r="Q1365" i="4"/>
  <c r="P1365" i="4"/>
  <c r="M1365" i="4"/>
  <c r="L1365" i="4"/>
  <c r="K1365" i="4"/>
  <c r="H1365" i="4"/>
  <c r="G1365" i="4"/>
  <c r="I1365" i="4" s="1" a="1"/>
  <c r="I1365" i="4" s="1"/>
  <c r="F1365" i="4"/>
  <c r="R1364" i="4"/>
  <c r="Q1364" i="4"/>
  <c r="P1364" i="4"/>
  <c r="M1364" i="4"/>
  <c r="L1364" i="4"/>
  <c r="K1364" i="4"/>
  <c r="H1364" i="4"/>
  <c r="G1364" i="4"/>
  <c r="F1364" i="4"/>
  <c r="R1363" i="4"/>
  <c r="Q1363" i="4"/>
  <c r="P1363" i="4"/>
  <c r="M1363" i="4"/>
  <c r="L1363" i="4"/>
  <c r="K1363" i="4"/>
  <c r="H1363" i="4"/>
  <c r="G1363" i="4"/>
  <c r="F1363" i="4"/>
  <c r="R1362" i="4"/>
  <c r="Q1362" i="4"/>
  <c r="P1362" i="4"/>
  <c r="M1362" i="4"/>
  <c r="L1362" i="4"/>
  <c r="K1362" i="4"/>
  <c r="H1362" i="4"/>
  <c r="G1362" i="4"/>
  <c r="F1362" i="4"/>
  <c r="R1361" i="4"/>
  <c r="Q1361" i="4"/>
  <c r="P1361" i="4"/>
  <c r="M1361" i="4"/>
  <c r="L1361" i="4"/>
  <c r="K1361" i="4"/>
  <c r="H1361" i="4"/>
  <c r="G1361" i="4"/>
  <c r="F1361" i="4"/>
  <c r="R1360" i="4"/>
  <c r="Q1360" i="4"/>
  <c r="P1360" i="4"/>
  <c r="M1360" i="4"/>
  <c r="L1360" i="4"/>
  <c r="K1360" i="4"/>
  <c r="H1360" i="4"/>
  <c r="G1360" i="4"/>
  <c r="F1360" i="4"/>
  <c r="R1359" i="4"/>
  <c r="Q1359" i="4"/>
  <c r="P1359" i="4"/>
  <c r="M1359" i="4"/>
  <c r="L1359" i="4"/>
  <c r="K1359" i="4"/>
  <c r="H1359" i="4"/>
  <c r="G1359" i="4"/>
  <c r="F1359" i="4"/>
  <c r="R1358" i="4"/>
  <c r="Q1358" i="4"/>
  <c r="P1358" i="4"/>
  <c r="M1358" i="4"/>
  <c r="L1358" i="4"/>
  <c r="K1358" i="4"/>
  <c r="H1358" i="4"/>
  <c r="G1358" i="4"/>
  <c r="F1358" i="4"/>
  <c r="R1357" i="4"/>
  <c r="Q1357" i="4"/>
  <c r="P1357" i="4"/>
  <c r="M1357" i="4"/>
  <c r="L1357" i="4"/>
  <c r="K1357" i="4"/>
  <c r="H1357" i="4"/>
  <c r="G1357" i="4"/>
  <c r="F1357" i="4"/>
  <c r="R1356" i="4"/>
  <c r="Q1356" i="4"/>
  <c r="P1356" i="4"/>
  <c r="M1356" i="4"/>
  <c r="L1356" i="4"/>
  <c r="K1356" i="4"/>
  <c r="H1356" i="4"/>
  <c r="G1356" i="4"/>
  <c r="F1356" i="4"/>
  <c r="R1355" i="4"/>
  <c r="Q1355" i="4"/>
  <c r="P1355" i="4"/>
  <c r="M1355" i="4"/>
  <c r="L1355" i="4"/>
  <c r="K1355" i="4"/>
  <c r="H1355" i="4"/>
  <c r="G1355" i="4"/>
  <c r="F1355" i="4"/>
  <c r="R1354" i="4"/>
  <c r="Q1354" i="4"/>
  <c r="P1354" i="4"/>
  <c r="M1354" i="4"/>
  <c r="L1354" i="4"/>
  <c r="K1354" i="4"/>
  <c r="H1354" i="4"/>
  <c r="G1354" i="4"/>
  <c r="F1354" i="4"/>
  <c r="R1353" i="4"/>
  <c r="Q1353" i="4"/>
  <c r="P1353" i="4"/>
  <c r="M1353" i="4"/>
  <c r="L1353" i="4"/>
  <c r="K1353" i="4"/>
  <c r="H1353" i="4"/>
  <c r="G1353" i="4"/>
  <c r="F1353" i="4"/>
  <c r="R1352" i="4"/>
  <c r="Q1352" i="4"/>
  <c r="P1352" i="4"/>
  <c r="M1352" i="4"/>
  <c r="L1352" i="4"/>
  <c r="K1352" i="4"/>
  <c r="H1352" i="4"/>
  <c r="G1352" i="4"/>
  <c r="F1352" i="4"/>
  <c r="R1351" i="4"/>
  <c r="Q1351" i="4"/>
  <c r="P1351" i="4"/>
  <c r="M1351" i="4"/>
  <c r="L1351" i="4"/>
  <c r="K1351" i="4"/>
  <c r="H1351" i="4"/>
  <c r="G1351" i="4"/>
  <c r="F1351" i="4"/>
  <c r="R1350" i="4"/>
  <c r="Q1350" i="4"/>
  <c r="P1350" i="4"/>
  <c r="M1350" i="4"/>
  <c r="L1350" i="4"/>
  <c r="K1350" i="4"/>
  <c r="H1350" i="4"/>
  <c r="G1350" i="4"/>
  <c r="F1350" i="4"/>
  <c r="R1349" i="4"/>
  <c r="Q1349" i="4"/>
  <c r="P1349" i="4"/>
  <c r="M1349" i="4"/>
  <c r="L1349" i="4"/>
  <c r="K1349" i="4"/>
  <c r="H1349" i="4"/>
  <c r="G1349" i="4"/>
  <c r="F1349" i="4"/>
  <c r="R1348" i="4"/>
  <c r="Q1348" i="4"/>
  <c r="P1348" i="4"/>
  <c r="M1348" i="4"/>
  <c r="L1348" i="4"/>
  <c r="K1348" i="4"/>
  <c r="H1348" i="4"/>
  <c r="G1348" i="4"/>
  <c r="F1348" i="4"/>
  <c r="R1347" i="4"/>
  <c r="Q1347" i="4"/>
  <c r="P1347" i="4"/>
  <c r="M1347" i="4"/>
  <c r="L1347" i="4"/>
  <c r="K1347" i="4"/>
  <c r="H1347" i="4"/>
  <c r="G1347" i="4"/>
  <c r="F1347" i="4"/>
  <c r="R1346" i="4"/>
  <c r="Q1346" i="4"/>
  <c r="P1346" i="4"/>
  <c r="M1346" i="4"/>
  <c r="L1346" i="4"/>
  <c r="K1346" i="4"/>
  <c r="H1346" i="4"/>
  <c r="G1346" i="4"/>
  <c r="F1346" i="4"/>
  <c r="R1345" i="4"/>
  <c r="Q1345" i="4"/>
  <c r="P1345" i="4"/>
  <c r="M1345" i="4"/>
  <c r="L1345" i="4"/>
  <c r="K1345" i="4"/>
  <c r="H1345" i="4"/>
  <c r="G1345" i="4"/>
  <c r="F1345" i="4"/>
  <c r="R1344" i="4"/>
  <c r="Q1344" i="4"/>
  <c r="P1344" i="4"/>
  <c r="M1344" i="4"/>
  <c r="L1344" i="4"/>
  <c r="K1344" i="4"/>
  <c r="H1344" i="4"/>
  <c r="G1344" i="4"/>
  <c r="F1344" i="4"/>
  <c r="R1343" i="4"/>
  <c r="Q1343" i="4"/>
  <c r="P1343" i="4"/>
  <c r="M1343" i="4"/>
  <c r="L1343" i="4"/>
  <c r="K1343" i="4"/>
  <c r="H1343" i="4"/>
  <c r="G1343" i="4"/>
  <c r="F1343" i="4"/>
  <c r="R1342" i="4"/>
  <c r="Q1342" i="4"/>
  <c r="P1342" i="4"/>
  <c r="M1342" i="4"/>
  <c r="L1342" i="4"/>
  <c r="K1342" i="4"/>
  <c r="H1342" i="4"/>
  <c r="G1342" i="4"/>
  <c r="F1342" i="4"/>
  <c r="R1341" i="4"/>
  <c r="Q1341" i="4"/>
  <c r="P1341" i="4"/>
  <c r="M1341" i="4"/>
  <c r="L1341" i="4"/>
  <c r="K1341" i="4"/>
  <c r="H1341" i="4"/>
  <c r="G1341" i="4"/>
  <c r="F1341" i="4"/>
  <c r="R1340" i="4"/>
  <c r="Q1340" i="4"/>
  <c r="P1340" i="4"/>
  <c r="M1340" i="4"/>
  <c r="L1340" i="4"/>
  <c r="K1340" i="4"/>
  <c r="H1340" i="4"/>
  <c r="G1340" i="4"/>
  <c r="F1340" i="4"/>
  <c r="R1339" i="4"/>
  <c r="Q1339" i="4"/>
  <c r="P1339" i="4"/>
  <c r="M1339" i="4"/>
  <c r="L1339" i="4"/>
  <c r="K1339" i="4"/>
  <c r="H1339" i="4"/>
  <c r="G1339" i="4"/>
  <c r="F1339" i="4"/>
  <c r="R1338" i="4"/>
  <c r="Q1338" i="4"/>
  <c r="P1338" i="4"/>
  <c r="M1338" i="4"/>
  <c r="L1338" i="4"/>
  <c r="K1338" i="4"/>
  <c r="H1338" i="4"/>
  <c r="G1338" i="4"/>
  <c r="F1338" i="4"/>
  <c r="R1337" i="4"/>
  <c r="Q1337" i="4"/>
  <c r="P1337" i="4"/>
  <c r="M1337" i="4"/>
  <c r="L1337" i="4"/>
  <c r="K1337" i="4"/>
  <c r="H1337" i="4"/>
  <c r="G1337" i="4"/>
  <c r="F1337" i="4"/>
  <c r="R1336" i="4"/>
  <c r="Q1336" i="4"/>
  <c r="P1336" i="4"/>
  <c r="M1336" i="4"/>
  <c r="L1336" i="4"/>
  <c r="K1336" i="4"/>
  <c r="H1336" i="4"/>
  <c r="G1336" i="4"/>
  <c r="F1336" i="4"/>
  <c r="R1335" i="4"/>
  <c r="Q1335" i="4"/>
  <c r="P1335" i="4"/>
  <c r="M1335" i="4"/>
  <c r="L1335" i="4"/>
  <c r="K1335" i="4"/>
  <c r="H1335" i="4"/>
  <c r="G1335" i="4"/>
  <c r="F1335" i="4"/>
  <c r="R1334" i="4"/>
  <c r="Q1334" i="4"/>
  <c r="P1334" i="4"/>
  <c r="M1334" i="4"/>
  <c r="L1334" i="4"/>
  <c r="K1334" i="4"/>
  <c r="H1334" i="4"/>
  <c r="G1334" i="4"/>
  <c r="F1334" i="4"/>
  <c r="R1333" i="4"/>
  <c r="Q1333" i="4"/>
  <c r="P1333" i="4"/>
  <c r="M1333" i="4"/>
  <c r="L1333" i="4"/>
  <c r="K1333" i="4"/>
  <c r="H1333" i="4"/>
  <c r="G1333" i="4"/>
  <c r="F1333" i="4"/>
  <c r="R1332" i="4"/>
  <c r="Q1332" i="4"/>
  <c r="P1332" i="4"/>
  <c r="M1332" i="4"/>
  <c r="L1332" i="4"/>
  <c r="K1332" i="4"/>
  <c r="H1332" i="4"/>
  <c r="G1332" i="4"/>
  <c r="F1332" i="4"/>
  <c r="R1331" i="4"/>
  <c r="Q1331" i="4"/>
  <c r="P1331" i="4"/>
  <c r="M1331" i="4"/>
  <c r="L1331" i="4"/>
  <c r="K1331" i="4"/>
  <c r="H1331" i="4"/>
  <c r="G1331" i="4"/>
  <c r="F1331" i="4"/>
  <c r="R1330" i="4"/>
  <c r="Q1330" i="4"/>
  <c r="P1330" i="4"/>
  <c r="M1330" i="4"/>
  <c r="L1330" i="4"/>
  <c r="K1330" i="4"/>
  <c r="H1330" i="4"/>
  <c r="G1330" i="4"/>
  <c r="F1330" i="4"/>
  <c r="R1329" i="4"/>
  <c r="Q1329" i="4"/>
  <c r="P1329" i="4"/>
  <c r="M1329" i="4"/>
  <c r="L1329" i="4"/>
  <c r="K1329" i="4"/>
  <c r="H1329" i="4"/>
  <c r="G1329" i="4"/>
  <c r="F1329" i="4"/>
  <c r="R1328" i="4"/>
  <c r="Q1328" i="4"/>
  <c r="P1328" i="4"/>
  <c r="M1328" i="4"/>
  <c r="L1328" i="4"/>
  <c r="K1328" i="4"/>
  <c r="H1328" i="4"/>
  <c r="G1328" i="4"/>
  <c r="F1328" i="4"/>
  <c r="R1327" i="4"/>
  <c r="Q1327" i="4"/>
  <c r="P1327" i="4"/>
  <c r="M1327" i="4"/>
  <c r="L1327" i="4"/>
  <c r="K1327" i="4"/>
  <c r="H1327" i="4"/>
  <c r="G1327" i="4"/>
  <c r="F1327" i="4"/>
  <c r="R1326" i="4"/>
  <c r="Q1326" i="4"/>
  <c r="P1326" i="4"/>
  <c r="M1326" i="4"/>
  <c r="L1326" i="4"/>
  <c r="K1326" i="4"/>
  <c r="H1326" i="4"/>
  <c r="G1326" i="4"/>
  <c r="F1326" i="4"/>
  <c r="R1325" i="4"/>
  <c r="Q1325" i="4"/>
  <c r="P1325" i="4"/>
  <c r="M1325" i="4"/>
  <c r="L1325" i="4"/>
  <c r="K1325" i="4"/>
  <c r="H1325" i="4"/>
  <c r="G1325" i="4"/>
  <c r="F1325" i="4"/>
  <c r="R1324" i="4"/>
  <c r="Q1324" i="4"/>
  <c r="P1324" i="4"/>
  <c r="M1324" i="4"/>
  <c r="L1324" i="4"/>
  <c r="K1324" i="4"/>
  <c r="H1324" i="4"/>
  <c r="G1324" i="4"/>
  <c r="F1324" i="4"/>
  <c r="R1323" i="4"/>
  <c r="Q1323" i="4"/>
  <c r="P1323" i="4"/>
  <c r="M1323" i="4"/>
  <c r="L1323" i="4"/>
  <c r="K1323" i="4"/>
  <c r="H1323" i="4"/>
  <c r="G1323" i="4"/>
  <c r="F1323" i="4"/>
  <c r="R1322" i="4"/>
  <c r="Q1322" i="4"/>
  <c r="P1322" i="4"/>
  <c r="M1322" i="4"/>
  <c r="L1322" i="4"/>
  <c r="K1322" i="4"/>
  <c r="H1322" i="4"/>
  <c r="G1322" i="4"/>
  <c r="F1322" i="4"/>
  <c r="R1321" i="4"/>
  <c r="Q1321" i="4"/>
  <c r="P1321" i="4"/>
  <c r="M1321" i="4"/>
  <c r="L1321" i="4"/>
  <c r="K1321" i="4"/>
  <c r="H1321" i="4"/>
  <c r="G1321" i="4"/>
  <c r="F1321" i="4"/>
  <c r="R1320" i="4"/>
  <c r="Q1320" i="4"/>
  <c r="P1320" i="4"/>
  <c r="M1320" i="4"/>
  <c r="L1320" i="4"/>
  <c r="K1320" i="4"/>
  <c r="H1320" i="4"/>
  <c r="G1320" i="4"/>
  <c r="F1320" i="4"/>
  <c r="R1319" i="4"/>
  <c r="Q1319" i="4"/>
  <c r="P1319" i="4"/>
  <c r="M1319" i="4"/>
  <c r="L1319" i="4"/>
  <c r="K1319" i="4"/>
  <c r="H1319" i="4"/>
  <c r="G1319" i="4"/>
  <c r="F1319" i="4"/>
  <c r="R1318" i="4"/>
  <c r="Q1318" i="4"/>
  <c r="P1318" i="4"/>
  <c r="M1318" i="4"/>
  <c r="L1318" i="4"/>
  <c r="K1318" i="4"/>
  <c r="H1318" i="4"/>
  <c r="G1318" i="4"/>
  <c r="F1318" i="4"/>
  <c r="R1317" i="4"/>
  <c r="Q1317" i="4"/>
  <c r="P1317" i="4"/>
  <c r="M1317" i="4"/>
  <c r="L1317" i="4"/>
  <c r="K1317" i="4"/>
  <c r="H1317" i="4"/>
  <c r="G1317" i="4"/>
  <c r="F1317" i="4"/>
  <c r="R1316" i="4"/>
  <c r="Q1316" i="4"/>
  <c r="P1316" i="4"/>
  <c r="M1316" i="4"/>
  <c r="L1316" i="4"/>
  <c r="K1316" i="4"/>
  <c r="H1316" i="4"/>
  <c r="G1316" i="4"/>
  <c r="F1316" i="4"/>
  <c r="R1315" i="4"/>
  <c r="Q1315" i="4"/>
  <c r="P1315" i="4"/>
  <c r="M1315" i="4"/>
  <c r="L1315" i="4"/>
  <c r="K1315" i="4"/>
  <c r="H1315" i="4"/>
  <c r="G1315" i="4"/>
  <c r="F1315" i="4"/>
  <c r="R1314" i="4"/>
  <c r="Q1314" i="4"/>
  <c r="P1314" i="4"/>
  <c r="M1314" i="4"/>
  <c r="L1314" i="4"/>
  <c r="K1314" i="4"/>
  <c r="H1314" i="4"/>
  <c r="G1314" i="4"/>
  <c r="F1314" i="4"/>
  <c r="R1313" i="4"/>
  <c r="Q1313" i="4"/>
  <c r="P1313" i="4"/>
  <c r="M1313" i="4"/>
  <c r="L1313" i="4"/>
  <c r="K1313" i="4"/>
  <c r="H1313" i="4"/>
  <c r="G1313" i="4"/>
  <c r="F1313" i="4"/>
  <c r="R1312" i="4"/>
  <c r="Q1312" i="4"/>
  <c r="P1312" i="4"/>
  <c r="M1312" i="4"/>
  <c r="L1312" i="4"/>
  <c r="K1312" i="4"/>
  <c r="H1312" i="4"/>
  <c r="G1312" i="4"/>
  <c r="F1312" i="4"/>
  <c r="R1311" i="4"/>
  <c r="Q1311" i="4"/>
  <c r="P1311" i="4"/>
  <c r="M1311" i="4"/>
  <c r="L1311" i="4"/>
  <c r="K1311" i="4"/>
  <c r="H1311" i="4"/>
  <c r="G1311" i="4"/>
  <c r="F1311" i="4"/>
  <c r="R1310" i="4"/>
  <c r="Q1310" i="4"/>
  <c r="P1310" i="4"/>
  <c r="M1310" i="4"/>
  <c r="L1310" i="4"/>
  <c r="K1310" i="4"/>
  <c r="H1310" i="4"/>
  <c r="G1310" i="4"/>
  <c r="F1310" i="4"/>
  <c r="R1309" i="4"/>
  <c r="Q1309" i="4"/>
  <c r="P1309" i="4"/>
  <c r="M1309" i="4"/>
  <c r="L1309" i="4"/>
  <c r="K1309" i="4"/>
  <c r="H1309" i="4"/>
  <c r="G1309" i="4"/>
  <c r="F1309" i="4"/>
  <c r="R1308" i="4"/>
  <c r="Q1308" i="4"/>
  <c r="P1308" i="4"/>
  <c r="M1308" i="4"/>
  <c r="L1308" i="4"/>
  <c r="K1308" i="4"/>
  <c r="H1308" i="4"/>
  <c r="G1308" i="4"/>
  <c r="F1308" i="4"/>
  <c r="R1307" i="4"/>
  <c r="Q1307" i="4"/>
  <c r="P1307" i="4"/>
  <c r="M1307" i="4"/>
  <c r="L1307" i="4"/>
  <c r="K1307" i="4"/>
  <c r="H1307" i="4"/>
  <c r="G1307" i="4"/>
  <c r="F1307" i="4"/>
  <c r="R1306" i="4"/>
  <c r="Q1306" i="4"/>
  <c r="P1306" i="4"/>
  <c r="M1306" i="4"/>
  <c r="L1306" i="4"/>
  <c r="K1306" i="4"/>
  <c r="H1306" i="4"/>
  <c r="G1306" i="4"/>
  <c r="F1306" i="4"/>
  <c r="R1305" i="4"/>
  <c r="Q1305" i="4"/>
  <c r="P1305" i="4"/>
  <c r="M1305" i="4"/>
  <c r="L1305" i="4"/>
  <c r="K1305" i="4"/>
  <c r="H1305" i="4"/>
  <c r="G1305" i="4"/>
  <c r="F1305" i="4"/>
  <c r="R1304" i="4"/>
  <c r="Q1304" i="4"/>
  <c r="P1304" i="4"/>
  <c r="M1304" i="4"/>
  <c r="L1304" i="4"/>
  <c r="K1304" i="4"/>
  <c r="H1304" i="4"/>
  <c r="G1304" i="4"/>
  <c r="F1304" i="4"/>
  <c r="R1303" i="4"/>
  <c r="Q1303" i="4"/>
  <c r="P1303" i="4"/>
  <c r="M1303" i="4"/>
  <c r="L1303" i="4"/>
  <c r="K1303" i="4"/>
  <c r="H1303" i="4"/>
  <c r="G1303" i="4"/>
  <c r="F1303" i="4"/>
  <c r="R1302" i="4"/>
  <c r="Q1302" i="4"/>
  <c r="P1302" i="4"/>
  <c r="M1302" i="4"/>
  <c r="L1302" i="4"/>
  <c r="K1302" i="4"/>
  <c r="H1302" i="4"/>
  <c r="G1302" i="4"/>
  <c r="F1302" i="4"/>
  <c r="R1301" i="4"/>
  <c r="Q1301" i="4"/>
  <c r="P1301" i="4"/>
  <c r="M1301" i="4"/>
  <c r="L1301" i="4"/>
  <c r="K1301" i="4"/>
  <c r="H1301" i="4"/>
  <c r="G1301" i="4"/>
  <c r="F1301" i="4"/>
  <c r="R1300" i="4"/>
  <c r="Q1300" i="4"/>
  <c r="P1300" i="4"/>
  <c r="M1300" i="4"/>
  <c r="L1300" i="4"/>
  <c r="K1300" i="4"/>
  <c r="H1300" i="4"/>
  <c r="G1300" i="4"/>
  <c r="F1300" i="4"/>
  <c r="R1299" i="4"/>
  <c r="Q1299" i="4"/>
  <c r="P1299" i="4"/>
  <c r="M1299" i="4"/>
  <c r="L1299" i="4"/>
  <c r="K1299" i="4"/>
  <c r="H1299" i="4"/>
  <c r="G1299" i="4"/>
  <c r="F1299" i="4"/>
  <c r="R1298" i="4"/>
  <c r="Q1298" i="4"/>
  <c r="P1298" i="4"/>
  <c r="M1298" i="4"/>
  <c r="L1298" i="4"/>
  <c r="K1298" i="4"/>
  <c r="H1298" i="4"/>
  <c r="G1298" i="4"/>
  <c r="F1298" i="4"/>
  <c r="R1297" i="4"/>
  <c r="Q1297" i="4"/>
  <c r="P1297" i="4"/>
  <c r="M1297" i="4"/>
  <c r="L1297" i="4"/>
  <c r="K1297" i="4"/>
  <c r="H1297" i="4"/>
  <c r="G1297" i="4"/>
  <c r="F1297" i="4"/>
  <c r="R1296" i="4"/>
  <c r="Q1296" i="4"/>
  <c r="P1296" i="4"/>
  <c r="M1296" i="4"/>
  <c r="L1296" i="4"/>
  <c r="K1296" i="4"/>
  <c r="H1296" i="4"/>
  <c r="G1296" i="4"/>
  <c r="F1296" i="4"/>
  <c r="R1295" i="4"/>
  <c r="Q1295" i="4"/>
  <c r="P1295" i="4"/>
  <c r="M1295" i="4"/>
  <c r="L1295" i="4"/>
  <c r="K1295" i="4"/>
  <c r="H1295" i="4"/>
  <c r="G1295" i="4"/>
  <c r="F1295" i="4"/>
  <c r="R1294" i="4"/>
  <c r="Q1294" i="4"/>
  <c r="P1294" i="4"/>
  <c r="M1294" i="4"/>
  <c r="L1294" i="4"/>
  <c r="K1294" i="4"/>
  <c r="H1294" i="4"/>
  <c r="G1294" i="4"/>
  <c r="F1294" i="4"/>
  <c r="R1293" i="4"/>
  <c r="Q1293" i="4"/>
  <c r="P1293" i="4"/>
  <c r="M1293" i="4"/>
  <c r="L1293" i="4"/>
  <c r="K1293" i="4"/>
  <c r="H1293" i="4"/>
  <c r="G1293" i="4"/>
  <c r="F1293" i="4"/>
  <c r="R1292" i="4"/>
  <c r="Q1292" i="4"/>
  <c r="P1292" i="4"/>
  <c r="M1292" i="4"/>
  <c r="L1292" i="4"/>
  <c r="K1292" i="4"/>
  <c r="H1292" i="4"/>
  <c r="G1292" i="4"/>
  <c r="F1292" i="4"/>
  <c r="R1291" i="4"/>
  <c r="Q1291" i="4"/>
  <c r="P1291" i="4"/>
  <c r="M1291" i="4"/>
  <c r="L1291" i="4"/>
  <c r="K1291" i="4"/>
  <c r="H1291" i="4"/>
  <c r="G1291" i="4"/>
  <c r="F1291" i="4"/>
  <c r="R1290" i="4"/>
  <c r="Q1290" i="4"/>
  <c r="P1290" i="4"/>
  <c r="M1290" i="4"/>
  <c r="L1290" i="4"/>
  <c r="K1290" i="4"/>
  <c r="H1290" i="4"/>
  <c r="G1290" i="4"/>
  <c r="F1290" i="4"/>
  <c r="R1289" i="4"/>
  <c r="Q1289" i="4"/>
  <c r="P1289" i="4"/>
  <c r="M1289" i="4"/>
  <c r="L1289" i="4"/>
  <c r="K1289" i="4"/>
  <c r="H1289" i="4"/>
  <c r="G1289" i="4"/>
  <c r="F1289" i="4"/>
  <c r="R1288" i="4"/>
  <c r="Q1288" i="4"/>
  <c r="P1288" i="4"/>
  <c r="M1288" i="4"/>
  <c r="L1288" i="4"/>
  <c r="K1288" i="4"/>
  <c r="H1288" i="4"/>
  <c r="G1288" i="4"/>
  <c r="F1288" i="4"/>
  <c r="R1287" i="4"/>
  <c r="Q1287" i="4"/>
  <c r="P1287" i="4"/>
  <c r="M1287" i="4"/>
  <c r="L1287" i="4"/>
  <c r="K1287" i="4"/>
  <c r="H1287" i="4"/>
  <c r="G1287" i="4"/>
  <c r="F1287" i="4"/>
  <c r="R1286" i="4"/>
  <c r="Q1286" i="4"/>
  <c r="P1286" i="4"/>
  <c r="M1286" i="4"/>
  <c r="L1286" i="4"/>
  <c r="K1286" i="4"/>
  <c r="H1286" i="4"/>
  <c r="G1286" i="4"/>
  <c r="F1286" i="4"/>
  <c r="R1285" i="4"/>
  <c r="Q1285" i="4"/>
  <c r="S1285" i="4" s="1" a="1"/>
  <c r="S1285" i="4" s="1"/>
  <c r="P1285" i="4"/>
  <c r="M1285" i="4"/>
  <c r="L1285" i="4"/>
  <c r="K1285" i="4"/>
  <c r="H1285" i="4"/>
  <c r="G1285" i="4"/>
  <c r="F1285" i="4"/>
  <c r="R1284" i="4"/>
  <c r="Q1284" i="4"/>
  <c r="P1284" i="4"/>
  <c r="M1284" i="4"/>
  <c r="L1284" i="4"/>
  <c r="K1284" i="4"/>
  <c r="H1284" i="4"/>
  <c r="G1284" i="4"/>
  <c r="F1284" i="4"/>
  <c r="R1283" i="4"/>
  <c r="Q1283" i="4"/>
  <c r="P1283" i="4"/>
  <c r="M1283" i="4"/>
  <c r="L1283" i="4"/>
  <c r="K1283" i="4"/>
  <c r="H1283" i="4"/>
  <c r="G1283" i="4"/>
  <c r="F1283" i="4"/>
  <c r="R1282" i="4"/>
  <c r="Q1282" i="4"/>
  <c r="P1282" i="4"/>
  <c r="M1282" i="4"/>
  <c r="L1282" i="4"/>
  <c r="K1282" i="4"/>
  <c r="H1282" i="4"/>
  <c r="G1282" i="4"/>
  <c r="F1282" i="4"/>
  <c r="R1281" i="4"/>
  <c r="Q1281" i="4"/>
  <c r="P1281" i="4"/>
  <c r="M1281" i="4"/>
  <c r="L1281" i="4"/>
  <c r="K1281" i="4"/>
  <c r="H1281" i="4"/>
  <c r="G1281" i="4"/>
  <c r="F1281" i="4"/>
  <c r="R1280" i="4"/>
  <c r="Q1280" i="4"/>
  <c r="P1280" i="4"/>
  <c r="M1280" i="4"/>
  <c r="L1280" i="4"/>
  <c r="K1280" i="4"/>
  <c r="H1280" i="4"/>
  <c r="G1280" i="4"/>
  <c r="F1280" i="4"/>
  <c r="R1279" i="4"/>
  <c r="Q1279" i="4"/>
  <c r="P1279" i="4"/>
  <c r="M1279" i="4"/>
  <c r="L1279" i="4"/>
  <c r="K1279" i="4"/>
  <c r="H1279" i="4"/>
  <c r="G1279" i="4"/>
  <c r="F1279" i="4"/>
  <c r="R1278" i="4"/>
  <c r="Q1278" i="4"/>
  <c r="P1278" i="4"/>
  <c r="M1278" i="4"/>
  <c r="L1278" i="4"/>
  <c r="K1278" i="4"/>
  <c r="H1278" i="4"/>
  <c r="G1278" i="4"/>
  <c r="F1278" i="4"/>
  <c r="R1277" i="4"/>
  <c r="Q1277" i="4"/>
  <c r="P1277" i="4"/>
  <c r="M1277" i="4"/>
  <c r="L1277" i="4"/>
  <c r="K1277" i="4"/>
  <c r="H1277" i="4"/>
  <c r="G1277" i="4"/>
  <c r="F1277" i="4"/>
  <c r="R1276" i="4"/>
  <c r="Q1276" i="4"/>
  <c r="P1276" i="4"/>
  <c r="M1276" i="4"/>
  <c r="L1276" i="4"/>
  <c r="K1276" i="4"/>
  <c r="H1276" i="4"/>
  <c r="G1276" i="4"/>
  <c r="F1276" i="4"/>
  <c r="R1275" i="4"/>
  <c r="Q1275" i="4"/>
  <c r="P1275" i="4"/>
  <c r="M1275" i="4"/>
  <c r="L1275" i="4"/>
  <c r="K1275" i="4"/>
  <c r="H1275" i="4"/>
  <c r="G1275" i="4"/>
  <c r="F1275" i="4"/>
  <c r="R1274" i="4"/>
  <c r="Q1274" i="4"/>
  <c r="P1274" i="4"/>
  <c r="M1274" i="4"/>
  <c r="L1274" i="4"/>
  <c r="K1274" i="4"/>
  <c r="H1274" i="4"/>
  <c r="G1274" i="4"/>
  <c r="F1274" i="4"/>
  <c r="R1273" i="4"/>
  <c r="Q1273" i="4"/>
  <c r="P1273" i="4"/>
  <c r="M1273" i="4"/>
  <c r="L1273" i="4"/>
  <c r="K1273" i="4"/>
  <c r="H1273" i="4"/>
  <c r="G1273" i="4"/>
  <c r="F1273" i="4"/>
  <c r="R1272" i="4"/>
  <c r="Q1272" i="4"/>
  <c r="P1272" i="4"/>
  <c r="M1272" i="4"/>
  <c r="L1272" i="4"/>
  <c r="K1272" i="4"/>
  <c r="H1272" i="4"/>
  <c r="G1272" i="4"/>
  <c r="F1272" i="4"/>
  <c r="R1271" i="4"/>
  <c r="Q1271" i="4"/>
  <c r="P1271" i="4"/>
  <c r="M1271" i="4"/>
  <c r="L1271" i="4"/>
  <c r="K1271" i="4"/>
  <c r="H1271" i="4"/>
  <c r="G1271" i="4"/>
  <c r="F1271" i="4"/>
  <c r="R1270" i="4"/>
  <c r="Q1270" i="4"/>
  <c r="P1270" i="4"/>
  <c r="M1270" i="4"/>
  <c r="L1270" i="4"/>
  <c r="K1270" i="4"/>
  <c r="H1270" i="4"/>
  <c r="G1270" i="4"/>
  <c r="F1270" i="4"/>
  <c r="R1269" i="4"/>
  <c r="Q1269" i="4"/>
  <c r="P1269" i="4"/>
  <c r="M1269" i="4"/>
  <c r="L1269" i="4"/>
  <c r="K1269" i="4"/>
  <c r="H1269" i="4"/>
  <c r="G1269" i="4"/>
  <c r="F1269" i="4"/>
  <c r="R1268" i="4"/>
  <c r="Q1268" i="4"/>
  <c r="P1268" i="4"/>
  <c r="M1268" i="4"/>
  <c r="L1268" i="4"/>
  <c r="K1268" i="4"/>
  <c r="H1268" i="4"/>
  <c r="G1268" i="4"/>
  <c r="F1268" i="4"/>
  <c r="R1267" i="4"/>
  <c r="Q1267" i="4"/>
  <c r="P1267" i="4"/>
  <c r="M1267" i="4"/>
  <c r="L1267" i="4"/>
  <c r="K1267" i="4"/>
  <c r="H1267" i="4"/>
  <c r="G1267" i="4"/>
  <c r="F1267" i="4"/>
  <c r="R1266" i="4"/>
  <c r="Q1266" i="4"/>
  <c r="P1266" i="4"/>
  <c r="M1266" i="4"/>
  <c r="L1266" i="4"/>
  <c r="K1266" i="4"/>
  <c r="H1266" i="4"/>
  <c r="G1266" i="4"/>
  <c r="F1266" i="4"/>
  <c r="R1265" i="4"/>
  <c r="Q1265" i="4"/>
  <c r="P1265" i="4"/>
  <c r="M1265" i="4"/>
  <c r="L1265" i="4"/>
  <c r="K1265" i="4"/>
  <c r="H1265" i="4"/>
  <c r="G1265" i="4"/>
  <c r="F1265" i="4"/>
  <c r="R1264" i="4"/>
  <c r="Q1264" i="4"/>
  <c r="P1264" i="4"/>
  <c r="M1264" i="4"/>
  <c r="L1264" i="4"/>
  <c r="K1264" i="4"/>
  <c r="H1264" i="4"/>
  <c r="G1264" i="4"/>
  <c r="F1264" i="4"/>
  <c r="R1263" i="4"/>
  <c r="Q1263" i="4"/>
  <c r="P1263" i="4"/>
  <c r="M1263" i="4"/>
  <c r="L1263" i="4"/>
  <c r="K1263" i="4"/>
  <c r="H1263" i="4"/>
  <c r="G1263" i="4"/>
  <c r="F1263" i="4"/>
  <c r="R1262" i="4"/>
  <c r="Q1262" i="4"/>
  <c r="P1262" i="4"/>
  <c r="M1262" i="4"/>
  <c r="L1262" i="4"/>
  <c r="K1262" i="4"/>
  <c r="H1262" i="4"/>
  <c r="G1262" i="4"/>
  <c r="F1262" i="4"/>
  <c r="R1261" i="4"/>
  <c r="Q1261" i="4"/>
  <c r="P1261" i="4"/>
  <c r="M1261" i="4"/>
  <c r="L1261" i="4"/>
  <c r="K1261" i="4"/>
  <c r="H1261" i="4"/>
  <c r="G1261" i="4"/>
  <c r="F1261" i="4"/>
  <c r="R1260" i="4"/>
  <c r="Q1260" i="4"/>
  <c r="P1260" i="4"/>
  <c r="M1260" i="4"/>
  <c r="L1260" i="4"/>
  <c r="K1260" i="4"/>
  <c r="H1260" i="4"/>
  <c r="G1260" i="4"/>
  <c r="F1260" i="4"/>
  <c r="R1259" i="4"/>
  <c r="Q1259" i="4"/>
  <c r="P1259" i="4"/>
  <c r="M1259" i="4"/>
  <c r="L1259" i="4"/>
  <c r="K1259" i="4"/>
  <c r="H1259" i="4"/>
  <c r="G1259" i="4"/>
  <c r="F1259" i="4"/>
  <c r="R1258" i="4"/>
  <c r="Q1258" i="4"/>
  <c r="P1258" i="4"/>
  <c r="M1258" i="4"/>
  <c r="L1258" i="4"/>
  <c r="K1258" i="4"/>
  <c r="H1258" i="4"/>
  <c r="G1258" i="4"/>
  <c r="F1258" i="4"/>
  <c r="R1257" i="4"/>
  <c r="Q1257" i="4"/>
  <c r="P1257" i="4"/>
  <c r="M1257" i="4"/>
  <c r="L1257" i="4"/>
  <c r="K1257" i="4"/>
  <c r="H1257" i="4"/>
  <c r="G1257" i="4"/>
  <c r="F1257" i="4"/>
  <c r="R1256" i="4"/>
  <c r="Q1256" i="4"/>
  <c r="P1256" i="4"/>
  <c r="M1256" i="4"/>
  <c r="L1256" i="4"/>
  <c r="K1256" i="4"/>
  <c r="H1256" i="4"/>
  <c r="G1256" i="4"/>
  <c r="F1256" i="4"/>
  <c r="R1255" i="4"/>
  <c r="Q1255" i="4"/>
  <c r="S1255" i="4" s="1" a="1"/>
  <c r="S1255" i="4" s="1"/>
  <c r="P1255" i="4"/>
  <c r="M1255" i="4"/>
  <c r="L1255" i="4"/>
  <c r="K1255" i="4"/>
  <c r="H1255" i="4"/>
  <c r="G1255" i="4"/>
  <c r="F1255" i="4"/>
  <c r="R1254" i="4"/>
  <c r="Q1254" i="4"/>
  <c r="P1254" i="4"/>
  <c r="M1254" i="4"/>
  <c r="L1254" i="4"/>
  <c r="K1254" i="4"/>
  <c r="H1254" i="4"/>
  <c r="G1254" i="4"/>
  <c r="F1254" i="4"/>
  <c r="R1253" i="4"/>
  <c r="Q1253" i="4"/>
  <c r="P1253" i="4"/>
  <c r="M1253" i="4"/>
  <c r="L1253" i="4"/>
  <c r="K1253" i="4"/>
  <c r="H1253" i="4"/>
  <c r="G1253" i="4"/>
  <c r="F1253" i="4"/>
  <c r="R1252" i="4"/>
  <c r="Q1252" i="4"/>
  <c r="P1252" i="4"/>
  <c r="M1252" i="4"/>
  <c r="L1252" i="4"/>
  <c r="K1252" i="4"/>
  <c r="H1252" i="4"/>
  <c r="G1252" i="4"/>
  <c r="F1252" i="4"/>
  <c r="R1251" i="4"/>
  <c r="Q1251" i="4"/>
  <c r="P1251" i="4"/>
  <c r="M1251" i="4"/>
  <c r="L1251" i="4"/>
  <c r="K1251" i="4"/>
  <c r="H1251" i="4"/>
  <c r="G1251" i="4"/>
  <c r="F1251" i="4"/>
  <c r="R1250" i="4"/>
  <c r="Q1250" i="4"/>
  <c r="P1250" i="4"/>
  <c r="M1250" i="4"/>
  <c r="L1250" i="4"/>
  <c r="K1250" i="4"/>
  <c r="H1250" i="4"/>
  <c r="G1250" i="4"/>
  <c r="F1250" i="4"/>
  <c r="R1249" i="4"/>
  <c r="Q1249" i="4"/>
  <c r="P1249" i="4"/>
  <c r="M1249" i="4"/>
  <c r="L1249" i="4"/>
  <c r="K1249" i="4"/>
  <c r="H1249" i="4"/>
  <c r="G1249" i="4"/>
  <c r="F1249" i="4"/>
  <c r="R1248" i="4"/>
  <c r="Q1248" i="4"/>
  <c r="P1248" i="4"/>
  <c r="M1248" i="4"/>
  <c r="L1248" i="4"/>
  <c r="K1248" i="4"/>
  <c r="H1248" i="4"/>
  <c r="G1248" i="4"/>
  <c r="F1248" i="4"/>
  <c r="R1247" i="4"/>
  <c r="Q1247" i="4"/>
  <c r="P1247" i="4"/>
  <c r="M1247" i="4"/>
  <c r="L1247" i="4"/>
  <c r="K1247" i="4"/>
  <c r="H1247" i="4"/>
  <c r="G1247" i="4"/>
  <c r="F1247" i="4"/>
  <c r="R1246" i="4"/>
  <c r="Q1246" i="4"/>
  <c r="P1246" i="4"/>
  <c r="M1246" i="4"/>
  <c r="L1246" i="4"/>
  <c r="K1246" i="4"/>
  <c r="H1246" i="4"/>
  <c r="G1246" i="4"/>
  <c r="F1246" i="4"/>
  <c r="R1245" i="4"/>
  <c r="Q1245" i="4"/>
  <c r="P1245" i="4"/>
  <c r="M1245" i="4"/>
  <c r="L1245" i="4"/>
  <c r="K1245" i="4"/>
  <c r="H1245" i="4"/>
  <c r="G1245" i="4"/>
  <c r="F1245" i="4"/>
  <c r="R1244" i="4"/>
  <c r="Q1244" i="4"/>
  <c r="P1244" i="4"/>
  <c r="M1244" i="4"/>
  <c r="L1244" i="4"/>
  <c r="K1244" i="4"/>
  <c r="H1244" i="4"/>
  <c r="G1244" i="4"/>
  <c r="F1244" i="4"/>
  <c r="R1243" i="4"/>
  <c r="Q1243" i="4"/>
  <c r="P1243" i="4"/>
  <c r="M1243" i="4"/>
  <c r="L1243" i="4"/>
  <c r="K1243" i="4"/>
  <c r="H1243" i="4"/>
  <c r="G1243" i="4"/>
  <c r="F1243" i="4"/>
  <c r="R1242" i="4"/>
  <c r="Q1242" i="4"/>
  <c r="P1242" i="4"/>
  <c r="M1242" i="4"/>
  <c r="L1242" i="4"/>
  <c r="K1242" i="4"/>
  <c r="H1242" i="4"/>
  <c r="G1242" i="4"/>
  <c r="F1242" i="4"/>
  <c r="R1241" i="4"/>
  <c r="Q1241" i="4"/>
  <c r="P1241" i="4"/>
  <c r="M1241" i="4"/>
  <c r="L1241" i="4"/>
  <c r="K1241" i="4"/>
  <c r="H1241" i="4"/>
  <c r="G1241" i="4"/>
  <c r="F1241" i="4"/>
  <c r="R1240" i="4"/>
  <c r="Q1240" i="4"/>
  <c r="P1240" i="4"/>
  <c r="M1240" i="4"/>
  <c r="L1240" i="4"/>
  <c r="K1240" i="4"/>
  <c r="H1240" i="4"/>
  <c r="G1240" i="4"/>
  <c r="F1240" i="4"/>
  <c r="R1239" i="4"/>
  <c r="Q1239" i="4"/>
  <c r="P1239" i="4"/>
  <c r="M1239" i="4"/>
  <c r="L1239" i="4"/>
  <c r="K1239" i="4"/>
  <c r="H1239" i="4"/>
  <c r="G1239" i="4"/>
  <c r="F1239" i="4"/>
  <c r="R1238" i="4"/>
  <c r="Q1238" i="4"/>
  <c r="P1238" i="4"/>
  <c r="M1238" i="4"/>
  <c r="L1238" i="4"/>
  <c r="K1238" i="4"/>
  <c r="H1238" i="4"/>
  <c r="G1238" i="4"/>
  <c r="F1238" i="4"/>
  <c r="R1237" i="4"/>
  <c r="Q1237" i="4"/>
  <c r="P1237" i="4"/>
  <c r="M1237" i="4"/>
  <c r="L1237" i="4"/>
  <c r="K1237" i="4"/>
  <c r="H1237" i="4"/>
  <c r="G1237" i="4"/>
  <c r="F1237" i="4"/>
  <c r="R1236" i="4"/>
  <c r="Q1236" i="4"/>
  <c r="P1236" i="4"/>
  <c r="M1236" i="4"/>
  <c r="L1236" i="4"/>
  <c r="K1236" i="4"/>
  <c r="H1236" i="4"/>
  <c r="G1236" i="4"/>
  <c r="F1236" i="4"/>
  <c r="R1235" i="4"/>
  <c r="Q1235" i="4"/>
  <c r="P1235" i="4"/>
  <c r="M1235" i="4"/>
  <c r="L1235" i="4"/>
  <c r="K1235" i="4"/>
  <c r="H1235" i="4"/>
  <c r="G1235" i="4"/>
  <c r="F1235" i="4"/>
  <c r="R1234" i="4"/>
  <c r="Q1234" i="4"/>
  <c r="P1234" i="4"/>
  <c r="M1234" i="4"/>
  <c r="L1234" i="4"/>
  <c r="K1234" i="4"/>
  <c r="H1234" i="4"/>
  <c r="G1234" i="4"/>
  <c r="F1234" i="4"/>
  <c r="R1233" i="4"/>
  <c r="Q1233" i="4"/>
  <c r="P1233" i="4"/>
  <c r="M1233" i="4"/>
  <c r="L1233" i="4"/>
  <c r="K1233" i="4"/>
  <c r="H1233" i="4"/>
  <c r="G1233" i="4"/>
  <c r="F1233" i="4"/>
  <c r="R1232" i="4"/>
  <c r="Q1232" i="4"/>
  <c r="P1232" i="4"/>
  <c r="M1232" i="4"/>
  <c r="L1232" i="4"/>
  <c r="K1232" i="4"/>
  <c r="H1232" i="4"/>
  <c r="G1232" i="4"/>
  <c r="F1232" i="4"/>
  <c r="R1231" i="4"/>
  <c r="Q1231" i="4"/>
  <c r="P1231" i="4"/>
  <c r="M1231" i="4"/>
  <c r="L1231" i="4"/>
  <c r="K1231" i="4"/>
  <c r="H1231" i="4"/>
  <c r="G1231" i="4"/>
  <c r="F1231" i="4"/>
  <c r="R1230" i="4"/>
  <c r="Q1230" i="4"/>
  <c r="P1230" i="4"/>
  <c r="M1230" i="4"/>
  <c r="L1230" i="4"/>
  <c r="K1230" i="4"/>
  <c r="H1230" i="4"/>
  <c r="G1230" i="4"/>
  <c r="F1230" i="4"/>
  <c r="R1229" i="4"/>
  <c r="Q1229" i="4"/>
  <c r="P1229" i="4"/>
  <c r="M1229" i="4"/>
  <c r="L1229" i="4"/>
  <c r="K1229" i="4"/>
  <c r="H1229" i="4"/>
  <c r="G1229" i="4"/>
  <c r="F1229" i="4"/>
  <c r="R1228" i="4"/>
  <c r="Q1228" i="4"/>
  <c r="P1228" i="4"/>
  <c r="M1228" i="4"/>
  <c r="L1228" i="4"/>
  <c r="K1228" i="4"/>
  <c r="H1228" i="4"/>
  <c r="G1228" i="4"/>
  <c r="F1228" i="4"/>
  <c r="R1227" i="4"/>
  <c r="Q1227" i="4"/>
  <c r="P1227" i="4"/>
  <c r="M1227" i="4"/>
  <c r="L1227" i="4"/>
  <c r="K1227" i="4"/>
  <c r="H1227" i="4"/>
  <c r="G1227" i="4"/>
  <c r="F1227" i="4"/>
  <c r="R1226" i="4"/>
  <c r="Q1226" i="4"/>
  <c r="P1226" i="4"/>
  <c r="M1226" i="4"/>
  <c r="L1226" i="4"/>
  <c r="K1226" i="4"/>
  <c r="H1226" i="4"/>
  <c r="G1226" i="4"/>
  <c r="F1226" i="4"/>
  <c r="R1225" i="4"/>
  <c r="Q1225" i="4"/>
  <c r="P1225" i="4"/>
  <c r="M1225" i="4"/>
  <c r="L1225" i="4"/>
  <c r="K1225" i="4"/>
  <c r="H1225" i="4"/>
  <c r="G1225" i="4"/>
  <c r="F1225" i="4"/>
  <c r="R1224" i="4"/>
  <c r="Q1224" i="4"/>
  <c r="P1224" i="4"/>
  <c r="M1224" i="4"/>
  <c r="L1224" i="4"/>
  <c r="K1224" i="4"/>
  <c r="H1224" i="4"/>
  <c r="G1224" i="4"/>
  <c r="F1224" i="4"/>
  <c r="R1223" i="4"/>
  <c r="Q1223" i="4"/>
  <c r="P1223" i="4"/>
  <c r="M1223" i="4"/>
  <c r="L1223" i="4"/>
  <c r="K1223" i="4"/>
  <c r="H1223" i="4"/>
  <c r="G1223" i="4"/>
  <c r="F1223" i="4"/>
  <c r="R1222" i="4"/>
  <c r="Q1222" i="4"/>
  <c r="P1222" i="4"/>
  <c r="M1222" i="4"/>
  <c r="L1222" i="4"/>
  <c r="K1222" i="4"/>
  <c r="H1222" i="4"/>
  <c r="G1222" i="4"/>
  <c r="F1222" i="4"/>
  <c r="R1221" i="4"/>
  <c r="Q1221" i="4"/>
  <c r="P1221" i="4"/>
  <c r="M1221" i="4"/>
  <c r="L1221" i="4"/>
  <c r="K1221" i="4"/>
  <c r="H1221" i="4"/>
  <c r="G1221" i="4"/>
  <c r="F1221" i="4"/>
  <c r="R1220" i="4"/>
  <c r="Q1220" i="4"/>
  <c r="P1220" i="4"/>
  <c r="M1220" i="4"/>
  <c r="L1220" i="4"/>
  <c r="K1220" i="4"/>
  <c r="H1220" i="4"/>
  <c r="G1220" i="4"/>
  <c r="F1220" i="4"/>
  <c r="R1219" i="4"/>
  <c r="Q1219" i="4"/>
  <c r="P1219" i="4"/>
  <c r="M1219" i="4"/>
  <c r="L1219" i="4"/>
  <c r="K1219" i="4"/>
  <c r="H1219" i="4"/>
  <c r="G1219" i="4"/>
  <c r="F1219" i="4"/>
  <c r="R1218" i="4"/>
  <c r="Q1218" i="4"/>
  <c r="P1218" i="4"/>
  <c r="M1218" i="4"/>
  <c r="L1218" i="4"/>
  <c r="K1218" i="4"/>
  <c r="H1218" i="4"/>
  <c r="G1218" i="4"/>
  <c r="F1218" i="4"/>
  <c r="R1217" i="4"/>
  <c r="Q1217" i="4"/>
  <c r="P1217" i="4"/>
  <c r="M1217" i="4"/>
  <c r="L1217" i="4"/>
  <c r="K1217" i="4"/>
  <c r="H1217" i="4"/>
  <c r="G1217" i="4"/>
  <c r="F1217" i="4"/>
  <c r="R1216" i="4"/>
  <c r="Q1216" i="4"/>
  <c r="P1216" i="4"/>
  <c r="M1216" i="4"/>
  <c r="L1216" i="4"/>
  <c r="K1216" i="4"/>
  <c r="H1216" i="4"/>
  <c r="G1216" i="4"/>
  <c r="F1216" i="4"/>
  <c r="R1215" i="4"/>
  <c r="Q1215" i="4"/>
  <c r="P1215" i="4"/>
  <c r="M1215" i="4"/>
  <c r="L1215" i="4"/>
  <c r="K1215" i="4"/>
  <c r="H1215" i="4"/>
  <c r="G1215" i="4"/>
  <c r="F1215" i="4"/>
  <c r="R1214" i="4"/>
  <c r="Q1214" i="4"/>
  <c r="P1214" i="4"/>
  <c r="M1214" i="4"/>
  <c r="L1214" i="4"/>
  <c r="K1214" i="4"/>
  <c r="H1214" i="4"/>
  <c r="G1214" i="4"/>
  <c r="F1214" i="4"/>
  <c r="R1213" i="4"/>
  <c r="Q1213" i="4"/>
  <c r="P1213" i="4"/>
  <c r="M1213" i="4"/>
  <c r="L1213" i="4"/>
  <c r="K1213" i="4"/>
  <c r="H1213" i="4"/>
  <c r="G1213" i="4"/>
  <c r="F1213" i="4"/>
  <c r="R1212" i="4"/>
  <c r="Q1212" i="4"/>
  <c r="P1212" i="4"/>
  <c r="M1212" i="4"/>
  <c r="L1212" i="4"/>
  <c r="K1212" i="4"/>
  <c r="H1212" i="4"/>
  <c r="G1212" i="4"/>
  <c r="F1212" i="4"/>
  <c r="R1211" i="4"/>
  <c r="Q1211" i="4"/>
  <c r="P1211" i="4"/>
  <c r="M1211" i="4"/>
  <c r="L1211" i="4"/>
  <c r="K1211" i="4"/>
  <c r="H1211" i="4"/>
  <c r="G1211" i="4"/>
  <c r="F1211" i="4"/>
  <c r="R1210" i="4"/>
  <c r="Q1210" i="4"/>
  <c r="P1210" i="4"/>
  <c r="M1210" i="4"/>
  <c r="L1210" i="4"/>
  <c r="K1210" i="4"/>
  <c r="H1210" i="4"/>
  <c r="G1210" i="4"/>
  <c r="F1210" i="4"/>
  <c r="R1209" i="4"/>
  <c r="Q1209" i="4"/>
  <c r="P1209" i="4"/>
  <c r="M1209" i="4"/>
  <c r="L1209" i="4"/>
  <c r="K1209" i="4"/>
  <c r="H1209" i="4"/>
  <c r="G1209" i="4"/>
  <c r="F1209" i="4"/>
  <c r="R1208" i="4"/>
  <c r="Q1208" i="4"/>
  <c r="P1208" i="4"/>
  <c r="M1208" i="4"/>
  <c r="L1208" i="4"/>
  <c r="K1208" i="4"/>
  <c r="H1208" i="4"/>
  <c r="G1208" i="4"/>
  <c r="F1208" i="4"/>
  <c r="R1207" i="4"/>
  <c r="Q1207" i="4"/>
  <c r="P1207" i="4"/>
  <c r="M1207" i="4"/>
  <c r="L1207" i="4"/>
  <c r="K1207" i="4"/>
  <c r="H1207" i="4"/>
  <c r="G1207" i="4"/>
  <c r="F1207" i="4"/>
  <c r="R1206" i="4"/>
  <c r="Q1206" i="4"/>
  <c r="P1206" i="4"/>
  <c r="M1206" i="4"/>
  <c r="L1206" i="4"/>
  <c r="K1206" i="4"/>
  <c r="H1206" i="4"/>
  <c r="G1206" i="4"/>
  <c r="F1206" i="4"/>
  <c r="R1205" i="4"/>
  <c r="Q1205" i="4"/>
  <c r="P1205" i="4"/>
  <c r="M1205" i="4"/>
  <c r="L1205" i="4"/>
  <c r="K1205" i="4"/>
  <c r="H1205" i="4"/>
  <c r="G1205" i="4"/>
  <c r="F1205" i="4"/>
  <c r="R1204" i="4"/>
  <c r="Q1204" i="4"/>
  <c r="P1204" i="4"/>
  <c r="M1204" i="4"/>
  <c r="L1204" i="4"/>
  <c r="K1204" i="4"/>
  <c r="H1204" i="4"/>
  <c r="G1204" i="4"/>
  <c r="F1204" i="4"/>
  <c r="R1203" i="4"/>
  <c r="Q1203" i="4"/>
  <c r="P1203" i="4"/>
  <c r="M1203" i="4"/>
  <c r="L1203" i="4"/>
  <c r="K1203" i="4"/>
  <c r="H1203" i="4"/>
  <c r="G1203" i="4"/>
  <c r="F1203" i="4"/>
  <c r="R1202" i="4"/>
  <c r="Q1202" i="4"/>
  <c r="P1202" i="4"/>
  <c r="M1202" i="4"/>
  <c r="L1202" i="4"/>
  <c r="K1202" i="4"/>
  <c r="H1202" i="4"/>
  <c r="G1202" i="4"/>
  <c r="F1202" i="4"/>
  <c r="R1201" i="4"/>
  <c r="Q1201" i="4"/>
  <c r="P1201" i="4"/>
  <c r="M1201" i="4"/>
  <c r="L1201" i="4"/>
  <c r="K1201" i="4"/>
  <c r="H1201" i="4"/>
  <c r="G1201" i="4"/>
  <c r="F1201" i="4"/>
  <c r="R1200" i="4"/>
  <c r="Q1200" i="4"/>
  <c r="P1200" i="4"/>
  <c r="M1200" i="4"/>
  <c r="L1200" i="4"/>
  <c r="K1200" i="4"/>
  <c r="H1200" i="4"/>
  <c r="G1200" i="4"/>
  <c r="F1200" i="4"/>
  <c r="R1199" i="4"/>
  <c r="Q1199" i="4"/>
  <c r="P1199" i="4"/>
  <c r="M1199" i="4"/>
  <c r="L1199" i="4"/>
  <c r="K1199" i="4"/>
  <c r="H1199" i="4"/>
  <c r="G1199" i="4"/>
  <c r="F1199" i="4"/>
  <c r="R1198" i="4"/>
  <c r="Q1198" i="4"/>
  <c r="P1198" i="4"/>
  <c r="M1198" i="4"/>
  <c r="L1198" i="4"/>
  <c r="K1198" i="4"/>
  <c r="H1198" i="4"/>
  <c r="G1198" i="4"/>
  <c r="F1198" i="4"/>
  <c r="R1197" i="4"/>
  <c r="Q1197" i="4"/>
  <c r="P1197" i="4"/>
  <c r="M1197" i="4"/>
  <c r="L1197" i="4"/>
  <c r="K1197" i="4"/>
  <c r="H1197" i="4"/>
  <c r="G1197" i="4"/>
  <c r="F1197" i="4"/>
  <c r="R1196" i="4"/>
  <c r="Q1196" i="4"/>
  <c r="P1196" i="4"/>
  <c r="M1196" i="4"/>
  <c r="L1196" i="4"/>
  <c r="K1196" i="4"/>
  <c r="H1196" i="4"/>
  <c r="G1196" i="4"/>
  <c r="F1196" i="4"/>
  <c r="R1195" i="4"/>
  <c r="Q1195" i="4"/>
  <c r="P1195" i="4"/>
  <c r="M1195" i="4"/>
  <c r="L1195" i="4"/>
  <c r="K1195" i="4"/>
  <c r="H1195" i="4"/>
  <c r="G1195" i="4"/>
  <c r="F1195" i="4"/>
  <c r="R1194" i="4"/>
  <c r="Q1194" i="4"/>
  <c r="P1194" i="4"/>
  <c r="M1194" i="4"/>
  <c r="L1194" i="4"/>
  <c r="K1194" i="4"/>
  <c r="H1194" i="4"/>
  <c r="G1194" i="4"/>
  <c r="F1194" i="4"/>
  <c r="R1193" i="4"/>
  <c r="Q1193" i="4"/>
  <c r="P1193" i="4"/>
  <c r="M1193" i="4"/>
  <c r="L1193" i="4"/>
  <c r="K1193" i="4"/>
  <c r="H1193" i="4"/>
  <c r="G1193" i="4"/>
  <c r="F1193" i="4"/>
  <c r="R1192" i="4"/>
  <c r="Q1192" i="4"/>
  <c r="P1192" i="4"/>
  <c r="M1192" i="4"/>
  <c r="L1192" i="4"/>
  <c r="K1192" i="4"/>
  <c r="H1192" i="4"/>
  <c r="G1192" i="4"/>
  <c r="F1192" i="4"/>
  <c r="R1191" i="4"/>
  <c r="Q1191" i="4"/>
  <c r="P1191" i="4"/>
  <c r="M1191" i="4"/>
  <c r="L1191" i="4"/>
  <c r="K1191" i="4"/>
  <c r="H1191" i="4"/>
  <c r="G1191" i="4"/>
  <c r="F1191" i="4"/>
  <c r="R1190" i="4"/>
  <c r="Q1190" i="4"/>
  <c r="P1190" i="4"/>
  <c r="M1190" i="4"/>
  <c r="L1190" i="4"/>
  <c r="N1190" i="4" s="1" a="1"/>
  <c r="N1190" i="4" s="1"/>
  <c r="K1190" i="4"/>
  <c r="H1190" i="4"/>
  <c r="G1190" i="4"/>
  <c r="F1190" i="4"/>
  <c r="R1189" i="4"/>
  <c r="Q1189" i="4"/>
  <c r="P1189" i="4"/>
  <c r="M1189" i="4"/>
  <c r="L1189" i="4"/>
  <c r="K1189" i="4"/>
  <c r="H1189" i="4"/>
  <c r="G1189" i="4"/>
  <c r="F1189" i="4"/>
  <c r="R1188" i="4"/>
  <c r="Q1188" i="4"/>
  <c r="P1188" i="4"/>
  <c r="M1188" i="4"/>
  <c r="L1188" i="4"/>
  <c r="K1188" i="4"/>
  <c r="H1188" i="4"/>
  <c r="G1188" i="4"/>
  <c r="F1188" i="4"/>
  <c r="R1187" i="4"/>
  <c r="Q1187" i="4"/>
  <c r="P1187" i="4"/>
  <c r="M1187" i="4"/>
  <c r="L1187" i="4"/>
  <c r="K1187" i="4"/>
  <c r="H1187" i="4"/>
  <c r="G1187" i="4"/>
  <c r="F1187" i="4"/>
  <c r="R1186" i="4"/>
  <c r="Q1186" i="4"/>
  <c r="P1186" i="4"/>
  <c r="M1186" i="4"/>
  <c r="L1186" i="4"/>
  <c r="K1186" i="4"/>
  <c r="H1186" i="4"/>
  <c r="G1186" i="4"/>
  <c r="F1186" i="4"/>
  <c r="R1185" i="4"/>
  <c r="Q1185" i="4"/>
  <c r="P1185" i="4"/>
  <c r="M1185" i="4"/>
  <c r="L1185" i="4"/>
  <c r="K1185" i="4"/>
  <c r="H1185" i="4"/>
  <c r="G1185" i="4"/>
  <c r="F1185" i="4"/>
  <c r="R1184" i="4"/>
  <c r="Q1184" i="4"/>
  <c r="P1184" i="4"/>
  <c r="M1184" i="4"/>
  <c r="L1184" i="4"/>
  <c r="K1184" i="4"/>
  <c r="H1184" i="4"/>
  <c r="G1184" i="4"/>
  <c r="F1184" i="4"/>
  <c r="R1183" i="4"/>
  <c r="Q1183" i="4"/>
  <c r="P1183" i="4"/>
  <c r="M1183" i="4"/>
  <c r="L1183" i="4"/>
  <c r="K1183" i="4"/>
  <c r="H1183" i="4"/>
  <c r="G1183" i="4"/>
  <c r="F1183" i="4"/>
  <c r="R1182" i="4"/>
  <c r="Q1182" i="4"/>
  <c r="P1182" i="4"/>
  <c r="M1182" i="4"/>
  <c r="L1182" i="4"/>
  <c r="K1182" i="4"/>
  <c r="H1182" i="4"/>
  <c r="G1182" i="4"/>
  <c r="F1182" i="4"/>
  <c r="R1181" i="4"/>
  <c r="Q1181" i="4"/>
  <c r="P1181" i="4"/>
  <c r="M1181" i="4"/>
  <c r="L1181" i="4"/>
  <c r="K1181" i="4"/>
  <c r="H1181" i="4"/>
  <c r="G1181" i="4"/>
  <c r="F1181" i="4"/>
  <c r="R1180" i="4"/>
  <c r="Q1180" i="4"/>
  <c r="P1180" i="4"/>
  <c r="M1180" i="4"/>
  <c r="L1180" i="4"/>
  <c r="K1180" i="4"/>
  <c r="H1180" i="4"/>
  <c r="G1180" i="4"/>
  <c r="F1180" i="4"/>
  <c r="R1179" i="4"/>
  <c r="Q1179" i="4"/>
  <c r="P1179" i="4"/>
  <c r="M1179" i="4"/>
  <c r="L1179" i="4"/>
  <c r="K1179" i="4"/>
  <c r="H1179" i="4"/>
  <c r="G1179" i="4"/>
  <c r="F1179" i="4"/>
  <c r="R1178" i="4"/>
  <c r="Q1178" i="4"/>
  <c r="P1178" i="4"/>
  <c r="M1178" i="4"/>
  <c r="L1178" i="4"/>
  <c r="K1178" i="4"/>
  <c r="H1178" i="4"/>
  <c r="G1178" i="4"/>
  <c r="F1178" i="4"/>
  <c r="R1177" i="4"/>
  <c r="Q1177" i="4"/>
  <c r="P1177" i="4"/>
  <c r="M1177" i="4"/>
  <c r="L1177" i="4"/>
  <c r="K1177" i="4"/>
  <c r="H1177" i="4"/>
  <c r="G1177" i="4"/>
  <c r="F1177" i="4"/>
  <c r="R1176" i="4"/>
  <c r="Q1176" i="4"/>
  <c r="P1176" i="4"/>
  <c r="M1176" i="4"/>
  <c r="L1176" i="4"/>
  <c r="K1176" i="4"/>
  <c r="H1176" i="4"/>
  <c r="G1176" i="4"/>
  <c r="F1176" i="4"/>
  <c r="R1175" i="4"/>
  <c r="Q1175" i="4"/>
  <c r="P1175" i="4"/>
  <c r="M1175" i="4"/>
  <c r="L1175" i="4"/>
  <c r="K1175" i="4"/>
  <c r="H1175" i="4"/>
  <c r="G1175" i="4"/>
  <c r="F1175" i="4"/>
  <c r="R1174" i="4"/>
  <c r="Q1174" i="4"/>
  <c r="P1174" i="4"/>
  <c r="M1174" i="4"/>
  <c r="L1174" i="4"/>
  <c r="K1174" i="4"/>
  <c r="H1174" i="4"/>
  <c r="G1174" i="4"/>
  <c r="F1174" i="4"/>
  <c r="R1173" i="4"/>
  <c r="Q1173" i="4"/>
  <c r="P1173" i="4"/>
  <c r="M1173" i="4"/>
  <c r="L1173" i="4"/>
  <c r="K1173" i="4"/>
  <c r="H1173" i="4"/>
  <c r="G1173" i="4"/>
  <c r="F1173" i="4"/>
  <c r="R1172" i="4"/>
  <c r="Q1172" i="4"/>
  <c r="P1172" i="4"/>
  <c r="M1172" i="4"/>
  <c r="L1172" i="4"/>
  <c r="K1172" i="4"/>
  <c r="H1172" i="4"/>
  <c r="G1172" i="4"/>
  <c r="F1172" i="4"/>
  <c r="R1171" i="4"/>
  <c r="Q1171" i="4"/>
  <c r="P1171" i="4"/>
  <c r="M1171" i="4"/>
  <c r="L1171" i="4"/>
  <c r="K1171" i="4"/>
  <c r="H1171" i="4"/>
  <c r="G1171" i="4"/>
  <c r="F1171" i="4"/>
  <c r="R1170" i="4"/>
  <c r="Q1170" i="4"/>
  <c r="P1170" i="4"/>
  <c r="M1170" i="4"/>
  <c r="L1170" i="4"/>
  <c r="K1170" i="4"/>
  <c r="H1170" i="4"/>
  <c r="G1170" i="4"/>
  <c r="F1170" i="4"/>
  <c r="R1169" i="4"/>
  <c r="Q1169" i="4"/>
  <c r="P1169" i="4"/>
  <c r="M1169" i="4"/>
  <c r="L1169" i="4"/>
  <c r="K1169" i="4"/>
  <c r="H1169" i="4"/>
  <c r="G1169" i="4"/>
  <c r="F1169" i="4"/>
  <c r="R1168" i="4"/>
  <c r="Q1168" i="4"/>
  <c r="P1168" i="4"/>
  <c r="M1168" i="4"/>
  <c r="L1168" i="4"/>
  <c r="K1168" i="4"/>
  <c r="H1168" i="4"/>
  <c r="G1168" i="4"/>
  <c r="F1168" i="4"/>
  <c r="R1167" i="4"/>
  <c r="Q1167" i="4"/>
  <c r="P1167" i="4"/>
  <c r="M1167" i="4"/>
  <c r="L1167" i="4"/>
  <c r="K1167" i="4"/>
  <c r="H1167" i="4"/>
  <c r="G1167" i="4"/>
  <c r="F1167" i="4"/>
  <c r="R1166" i="4"/>
  <c r="Q1166" i="4"/>
  <c r="P1166" i="4"/>
  <c r="M1166" i="4"/>
  <c r="L1166" i="4"/>
  <c r="K1166" i="4"/>
  <c r="H1166" i="4"/>
  <c r="G1166" i="4"/>
  <c r="F1166" i="4"/>
  <c r="R1165" i="4"/>
  <c r="Q1165" i="4"/>
  <c r="P1165" i="4"/>
  <c r="M1165" i="4"/>
  <c r="L1165" i="4"/>
  <c r="K1165" i="4"/>
  <c r="H1165" i="4"/>
  <c r="G1165" i="4"/>
  <c r="F1165" i="4"/>
  <c r="R1164" i="4"/>
  <c r="Q1164" i="4"/>
  <c r="P1164" i="4"/>
  <c r="M1164" i="4"/>
  <c r="L1164" i="4"/>
  <c r="K1164" i="4"/>
  <c r="H1164" i="4"/>
  <c r="G1164" i="4"/>
  <c r="F1164" i="4"/>
  <c r="R1163" i="4"/>
  <c r="Q1163" i="4"/>
  <c r="P1163" i="4"/>
  <c r="M1163" i="4"/>
  <c r="L1163" i="4"/>
  <c r="K1163" i="4"/>
  <c r="H1163" i="4"/>
  <c r="G1163" i="4"/>
  <c r="F1163" i="4"/>
  <c r="R1162" i="4"/>
  <c r="Q1162" i="4"/>
  <c r="P1162" i="4"/>
  <c r="M1162" i="4"/>
  <c r="L1162" i="4"/>
  <c r="K1162" i="4"/>
  <c r="H1162" i="4"/>
  <c r="G1162" i="4"/>
  <c r="F1162" i="4"/>
  <c r="R1161" i="4"/>
  <c r="Q1161" i="4"/>
  <c r="P1161" i="4"/>
  <c r="M1161" i="4"/>
  <c r="L1161" i="4"/>
  <c r="K1161" i="4"/>
  <c r="H1161" i="4"/>
  <c r="G1161" i="4"/>
  <c r="F1161" i="4"/>
  <c r="R1160" i="4"/>
  <c r="Q1160" i="4"/>
  <c r="P1160" i="4"/>
  <c r="M1160" i="4"/>
  <c r="L1160" i="4"/>
  <c r="K1160" i="4"/>
  <c r="H1160" i="4"/>
  <c r="G1160" i="4"/>
  <c r="F1160" i="4"/>
  <c r="R1159" i="4"/>
  <c r="Q1159" i="4"/>
  <c r="P1159" i="4"/>
  <c r="M1159" i="4"/>
  <c r="L1159" i="4"/>
  <c r="K1159" i="4"/>
  <c r="H1159" i="4"/>
  <c r="G1159" i="4"/>
  <c r="F1159" i="4"/>
  <c r="R1158" i="4"/>
  <c r="Q1158" i="4"/>
  <c r="P1158" i="4"/>
  <c r="M1158" i="4"/>
  <c r="L1158" i="4"/>
  <c r="K1158" i="4"/>
  <c r="H1158" i="4"/>
  <c r="G1158" i="4"/>
  <c r="F1158" i="4"/>
  <c r="R1157" i="4"/>
  <c r="Q1157" i="4"/>
  <c r="P1157" i="4"/>
  <c r="M1157" i="4"/>
  <c r="L1157" i="4"/>
  <c r="K1157" i="4"/>
  <c r="H1157" i="4"/>
  <c r="G1157" i="4"/>
  <c r="F1157" i="4"/>
  <c r="R1156" i="4"/>
  <c r="Q1156" i="4"/>
  <c r="P1156" i="4"/>
  <c r="M1156" i="4"/>
  <c r="L1156" i="4"/>
  <c r="K1156" i="4"/>
  <c r="H1156" i="4"/>
  <c r="G1156" i="4"/>
  <c r="F1156" i="4"/>
  <c r="R1155" i="4"/>
  <c r="Q1155" i="4"/>
  <c r="P1155" i="4"/>
  <c r="M1155" i="4"/>
  <c r="L1155" i="4"/>
  <c r="K1155" i="4"/>
  <c r="H1155" i="4"/>
  <c r="G1155" i="4"/>
  <c r="F1155" i="4"/>
  <c r="R1154" i="4"/>
  <c r="Q1154" i="4"/>
  <c r="P1154" i="4"/>
  <c r="M1154" i="4"/>
  <c r="L1154" i="4"/>
  <c r="K1154" i="4"/>
  <c r="H1154" i="4"/>
  <c r="G1154" i="4"/>
  <c r="F1154" i="4"/>
  <c r="R1153" i="4"/>
  <c r="Q1153" i="4"/>
  <c r="P1153" i="4"/>
  <c r="M1153" i="4"/>
  <c r="L1153" i="4"/>
  <c r="K1153" i="4"/>
  <c r="H1153" i="4"/>
  <c r="G1153" i="4"/>
  <c r="F1153" i="4"/>
  <c r="R1152" i="4"/>
  <c r="Q1152" i="4"/>
  <c r="P1152" i="4"/>
  <c r="M1152" i="4"/>
  <c r="L1152" i="4"/>
  <c r="K1152" i="4"/>
  <c r="H1152" i="4"/>
  <c r="G1152" i="4"/>
  <c r="F1152" i="4"/>
  <c r="R1151" i="4"/>
  <c r="Q1151" i="4"/>
  <c r="P1151" i="4"/>
  <c r="M1151" i="4"/>
  <c r="L1151" i="4"/>
  <c r="K1151" i="4"/>
  <c r="H1151" i="4"/>
  <c r="G1151" i="4"/>
  <c r="F1151" i="4"/>
  <c r="R1150" i="4"/>
  <c r="Q1150" i="4"/>
  <c r="P1150" i="4"/>
  <c r="M1150" i="4"/>
  <c r="L1150" i="4"/>
  <c r="K1150" i="4"/>
  <c r="H1150" i="4"/>
  <c r="G1150" i="4"/>
  <c r="F1150" i="4"/>
  <c r="R1149" i="4"/>
  <c r="Q1149" i="4"/>
  <c r="P1149" i="4"/>
  <c r="M1149" i="4"/>
  <c r="L1149" i="4"/>
  <c r="K1149" i="4"/>
  <c r="H1149" i="4"/>
  <c r="G1149" i="4"/>
  <c r="F1149" i="4"/>
  <c r="R1148" i="4"/>
  <c r="Q1148" i="4"/>
  <c r="P1148" i="4"/>
  <c r="M1148" i="4"/>
  <c r="L1148" i="4"/>
  <c r="K1148" i="4"/>
  <c r="H1148" i="4"/>
  <c r="G1148" i="4"/>
  <c r="F1148" i="4"/>
  <c r="R1147" i="4"/>
  <c r="Q1147" i="4"/>
  <c r="P1147" i="4"/>
  <c r="M1147" i="4"/>
  <c r="L1147" i="4"/>
  <c r="K1147" i="4"/>
  <c r="H1147" i="4"/>
  <c r="G1147" i="4"/>
  <c r="F1147" i="4"/>
  <c r="R1146" i="4"/>
  <c r="Q1146" i="4"/>
  <c r="P1146" i="4"/>
  <c r="M1146" i="4"/>
  <c r="L1146" i="4"/>
  <c r="K1146" i="4"/>
  <c r="H1146" i="4"/>
  <c r="G1146" i="4"/>
  <c r="F1146" i="4"/>
  <c r="R1145" i="4"/>
  <c r="Q1145" i="4"/>
  <c r="P1145" i="4"/>
  <c r="M1145" i="4"/>
  <c r="L1145" i="4"/>
  <c r="K1145" i="4"/>
  <c r="H1145" i="4"/>
  <c r="G1145" i="4"/>
  <c r="F1145" i="4"/>
  <c r="R1144" i="4"/>
  <c r="Q1144" i="4"/>
  <c r="P1144" i="4"/>
  <c r="M1144" i="4"/>
  <c r="L1144" i="4"/>
  <c r="K1144" i="4"/>
  <c r="H1144" i="4"/>
  <c r="G1144" i="4"/>
  <c r="F1144" i="4"/>
  <c r="R1143" i="4"/>
  <c r="Q1143" i="4"/>
  <c r="P1143" i="4"/>
  <c r="M1143" i="4"/>
  <c r="L1143" i="4"/>
  <c r="K1143" i="4"/>
  <c r="H1143" i="4"/>
  <c r="G1143" i="4"/>
  <c r="F1143" i="4"/>
  <c r="R1142" i="4"/>
  <c r="Q1142" i="4"/>
  <c r="P1142" i="4"/>
  <c r="M1142" i="4"/>
  <c r="L1142" i="4"/>
  <c r="K1142" i="4"/>
  <c r="H1142" i="4"/>
  <c r="G1142" i="4"/>
  <c r="F1142" i="4"/>
  <c r="R1141" i="4"/>
  <c r="Q1141" i="4"/>
  <c r="P1141" i="4"/>
  <c r="M1141" i="4"/>
  <c r="L1141" i="4"/>
  <c r="K1141" i="4"/>
  <c r="H1141" i="4"/>
  <c r="G1141" i="4"/>
  <c r="F1141" i="4"/>
  <c r="R1140" i="4"/>
  <c r="Q1140" i="4"/>
  <c r="P1140" i="4"/>
  <c r="M1140" i="4"/>
  <c r="L1140" i="4"/>
  <c r="K1140" i="4"/>
  <c r="H1140" i="4"/>
  <c r="G1140" i="4"/>
  <c r="F1140" i="4"/>
  <c r="R1139" i="4"/>
  <c r="Q1139" i="4"/>
  <c r="P1139" i="4"/>
  <c r="M1139" i="4"/>
  <c r="L1139" i="4"/>
  <c r="K1139" i="4"/>
  <c r="H1139" i="4"/>
  <c r="G1139" i="4"/>
  <c r="F1139" i="4"/>
  <c r="R1138" i="4"/>
  <c r="Q1138" i="4"/>
  <c r="P1138" i="4"/>
  <c r="M1138" i="4"/>
  <c r="L1138" i="4"/>
  <c r="K1138" i="4"/>
  <c r="H1138" i="4"/>
  <c r="G1138" i="4"/>
  <c r="F1138" i="4"/>
  <c r="R1137" i="4"/>
  <c r="Q1137" i="4"/>
  <c r="P1137" i="4"/>
  <c r="M1137" i="4"/>
  <c r="L1137" i="4"/>
  <c r="K1137" i="4"/>
  <c r="H1137" i="4"/>
  <c r="G1137" i="4"/>
  <c r="F1137" i="4"/>
  <c r="R1136" i="4"/>
  <c r="Q1136" i="4"/>
  <c r="P1136" i="4"/>
  <c r="M1136" i="4"/>
  <c r="L1136" i="4"/>
  <c r="K1136" i="4"/>
  <c r="H1136" i="4"/>
  <c r="G1136" i="4"/>
  <c r="F1136" i="4"/>
  <c r="R1135" i="4"/>
  <c r="Q1135" i="4"/>
  <c r="P1135" i="4"/>
  <c r="M1135" i="4"/>
  <c r="L1135" i="4"/>
  <c r="K1135" i="4"/>
  <c r="H1135" i="4"/>
  <c r="G1135" i="4"/>
  <c r="F1135" i="4"/>
  <c r="R1134" i="4"/>
  <c r="Q1134" i="4"/>
  <c r="P1134" i="4"/>
  <c r="M1134" i="4"/>
  <c r="L1134" i="4"/>
  <c r="K1134" i="4"/>
  <c r="H1134" i="4"/>
  <c r="G1134" i="4"/>
  <c r="F1134" i="4"/>
  <c r="R1133" i="4"/>
  <c r="Q1133" i="4"/>
  <c r="P1133" i="4"/>
  <c r="M1133" i="4"/>
  <c r="L1133" i="4"/>
  <c r="K1133" i="4"/>
  <c r="H1133" i="4"/>
  <c r="G1133" i="4"/>
  <c r="F1133" i="4"/>
  <c r="R1132" i="4"/>
  <c r="Q1132" i="4"/>
  <c r="P1132" i="4"/>
  <c r="M1132" i="4"/>
  <c r="L1132" i="4"/>
  <c r="K1132" i="4"/>
  <c r="H1132" i="4"/>
  <c r="G1132" i="4"/>
  <c r="F1132" i="4"/>
  <c r="R1131" i="4"/>
  <c r="Q1131" i="4"/>
  <c r="P1131" i="4"/>
  <c r="M1131" i="4"/>
  <c r="L1131" i="4"/>
  <c r="K1131" i="4"/>
  <c r="H1131" i="4"/>
  <c r="G1131" i="4"/>
  <c r="F1131" i="4"/>
  <c r="R1130" i="4"/>
  <c r="Q1130" i="4"/>
  <c r="P1130" i="4"/>
  <c r="M1130" i="4"/>
  <c r="L1130" i="4"/>
  <c r="K1130" i="4"/>
  <c r="H1130" i="4"/>
  <c r="G1130" i="4"/>
  <c r="F1130" i="4"/>
  <c r="R1129" i="4"/>
  <c r="Q1129" i="4"/>
  <c r="P1129" i="4"/>
  <c r="M1129" i="4"/>
  <c r="L1129" i="4"/>
  <c r="K1129" i="4"/>
  <c r="H1129" i="4"/>
  <c r="G1129" i="4"/>
  <c r="F1129" i="4"/>
  <c r="R1128" i="4"/>
  <c r="Q1128" i="4"/>
  <c r="P1128" i="4"/>
  <c r="M1128" i="4"/>
  <c r="L1128" i="4"/>
  <c r="K1128" i="4"/>
  <c r="H1128" i="4"/>
  <c r="G1128" i="4"/>
  <c r="F1128" i="4"/>
  <c r="R1127" i="4"/>
  <c r="Q1127" i="4"/>
  <c r="P1127" i="4"/>
  <c r="M1127" i="4"/>
  <c r="L1127" i="4"/>
  <c r="K1127" i="4"/>
  <c r="H1127" i="4"/>
  <c r="G1127" i="4"/>
  <c r="F1127" i="4"/>
  <c r="R1126" i="4"/>
  <c r="Q1126" i="4"/>
  <c r="P1126" i="4"/>
  <c r="M1126" i="4"/>
  <c r="L1126" i="4"/>
  <c r="K1126" i="4"/>
  <c r="H1126" i="4"/>
  <c r="G1126" i="4"/>
  <c r="F1126" i="4"/>
  <c r="R1125" i="4"/>
  <c r="Q1125" i="4"/>
  <c r="P1125" i="4"/>
  <c r="M1125" i="4"/>
  <c r="L1125" i="4"/>
  <c r="K1125" i="4"/>
  <c r="H1125" i="4"/>
  <c r="G1125" i="4"/>
  <c r="F1125" i="4"/>
  <c r="R1124" i="4"/>
  <c r="Q1124" i="4"/>
  <c r="P1124" i="4"/>
  <c r="M1124" i="4"/>
  <c r="L1124" i="4"/>
  <c r="K1124" i="4"/>
  <c r="H1124" i="4"/>
  <c r="G1124" i="4"/>
  <c r="F1124" i="4"/>
  <c r="R1123" i="4"/>
  <c r="Q1123" i="4"/>
  <c r="P1123" i="4"/>
  <c r="M1123" i="4"/>
  <c r="L1123" i="4"/>
  <c r="K1123" i="4"/>
  <c r="H1123" i="4"/>
  <c r="G1123" i="4"/>
  <c r="F1123" i="4"/>
  <c r="R1122" i="4"/>
  <c r="Q1122" i="4"/>
  <c r="P1122" i="4"/>
  <c r="M1122" i="4"/>
  <c r="L1122" i="4"/>
  <c r="K1122" i="4"/>
  <c r="H1122" i="4"/>
  <c r="G1122" i="4"/>
  <c r="F1122" i="4"/>
  <c r="R1121" i="4"/>
  <c r="Q1121" i="4"/>
  <c r="P1121" i="4"/>
  <c r="M1121" i="4"/>
  <c r="L1121" i="4"/>
  <c r="K1121" i="4"/>
  <c r="H1121" i="4"/>
  <c r="G1121" i="4"/>
  <c r="F1121" i="4"/>
  <c r="R1120" i="4"/>
  <c r="Q1120" i="4"/>
  <c r="P1120" i="4"/>
  <c r="M1120" i="4"/>
  <c r="L1120" i="4"/>
  <c r="K1120" i="4"/>
  <c r="H1120" i="4"/>
  <c r="G1120" i="4"/>
  <c r="F1120" i="4"/>
  <c r="R1119" i="4"/>
  <c r="Q1119" i="4"/>
  <c r="P1119" i="4"/>
  <c r="M1119" i="4"/>
  <c r="L1119" i="4"/>
  <c r="K1119" i="4"/>
  <c r="H1119" i="4"/>
  <c r="G1119" i="4"/>
  <c r="F1119" i="4"/>
  <c r="R1118" i="4"/>
  <c r="Q1118" i="4"/>
  <c r="P1118" i="4"/>
  <c r="M1118" i="4"/>
  <c r="L1118" i="4"/>
  <c r="K1118" i="4"/>
  <c r="H1118" i="4"/>
  <c r="G1118" i="4"/>
  <c r="F1118" i="4"/>
  <c r="R1117" i="4"/>
  <c r="Q1117" i="4"/>
  <c r="P1117" i="4"/>
  <c r="M1117" i="4"/>
  <c r="L1117" i="4"/>
  <c r="K1117" i="4"/>
  <c r="H1117" i="4"/>
  <c r="G1117" i="4"/>
  <c r="F1117" i="4"/>
  <c r="R1116" i="4"/>
  <c r="Q1116" i="4"/>
  <c r="P1116" i="4"/>
  <c r="M1116" i="4"/>
  <c r="L1116" i="4"/>
  <c r="K1116" i="4"/>
  <c r="H1116" i="4"/>
  <c r="G1116" i="4"/>
  <c r="F1116" i="4"/>
  <c r="R1115" i="4"/>
  <c r="Q1115" i="4"/>
  <c r="P1115" i="4"/>
  <c r="M1115" i="4"/>
  <c r="L1115" i="4"/>
  <c r="K1115" i="4"/>
  <c r="H1115" i="4"/>
  <c r="G1115" i="4"/>
  <c r="F1115" i="4"/>
  <c r="R1114" i="4"/>
  <c r="Q1114" i="4"/>
  <c r="P1114" i="4"/>
  <c r="M1114" i="4"/>
  <c r="L1114" i="4"/>
  <c r="K1114" i="4"/>
  <c r="H1114" i="4"/>
  <c r="G1114" i="4"/>
  <c r="F1114" i="4"/>
  <c r="R1113" i="4"/>
  <c r="Q1113" i="4"/>
  <c r="P1113" i="4"/>
  <c r="M1113" i="4"/>
  <c r="L1113" i="4"/>
  <c r="K1113" i="4"/>
  <c r="H1113" i="4"/>
  <c r="G1113" i="4"/>
  <c r="F1113" i="4"/>
  <c r="R1112" i="4"/>
  <c r="Q1112" i="4"/>
  <c r="P1112" i="4"/>
  <c r="M1112" i="4"/>
  <c r="L1112" i="4"/>
  <c r="K1112" i="4"/>
  <c r="H1112" i="4"/>
  <c r="G1112" i="4"/>
  <c r="F1112" i="4"/>
  <c r="R1111" i="4"/>
  <c r="Q1111" i="4"/>
  <c r="P1111" i="4"/>
  <c r="M1111" i="4"/>
  <c r="L1111" i="4"/>
  <c r="K1111" i="4"/>
  <c r="H1111" i="4"/>
  <c r="G1111" i="4"/>
  <c r="F1111" i="4"/>
  <c r="R1110" i="4"/>
  <c r="Q1110" i="4"/>
  <c r="P1110" i="4"/>
  <c r="M1110" i="4"/>
  <c r="L1110" i="4"/>
  <c r="K1110" i="4"/>
  <c r="H1110" i="4"/>
  <c r="G1110" i="4"/>
  <c r="F1110" i="4"/>
  <c r="R1109" i="4"/>
  <c r="Q1109" i="4"/>
  <c r="P1109" i="4"/>
  <c r="M1109" i="4"/>
  <c r="L1109" i="4"/>
  <c r="K1109" i="4"/>
  <c r="H1109" i="4"/>
  <c r="G1109" i="4"/>
  <c r="F1109" i="4"/>
  <c r="R1108" i="4"/>
  <c r="Q1108" i="4"/>
  <c r="P1108" i="4"/>
  <c r="M1108" i="4"/>
  <c r="L1108" i="4"/>
  <c r="K1108" i="4"/>
  <c r="H1108" i="4"/>
  <c r="G1108" i="4"/>
  <c r="F1108" i="4"/>
  <c r="R1107" i="4"/>
  <c r="Q1107" i="4"/>
  <c r="P1107" i="4"/>
  <c r="M1107" i="4"/>
  <c r="L1107" i="4"/>
  <c r="K1107" i="4"/>
  <c r="H1107" i="4"/>
  <c r="G1107" i="4"/>
  <c r="F1107" i="4"/>
  <c r="R1106" i="4"/>
  <c r="Q1106" i="4"/>
  <c r="P1106" i="4"/>
  <c r="M1106" i="4"/>
  <c r="L1106" i="4"/>
  <c r="K1106" i="4"/>
  <c r="H1106" i="4"/>
  <c r="G1106" i="4"/>
  <c r="F1106" i="4"/>
  <c r="R1105" i="4"/>
  <c r="Q1105" i="4"/>
  <c r="P1105" i="4"/>
  <c r="M1105" i="4"/>
  <c r="L1105" i="4"/>
  <c r="K1105" i="4"/>
  <c r="H1105" i="4"/>
  <c r="G1105" i="4"/>
  <c r="F1105" i="4"/>
  <c r="R1104" i="4"/>
  <c r="Q1104" i="4"/>
  <c r="P1104" i="4"/>
  <c r="M1104" i="4"/>
  <c r="L1104" i="4"/>
  <c r="K1104" i="4"/>
  <c r="H1104" i="4"/>
  <c r="G1104" i="4"/>
  <c r="F1104" i="4"/>
  <c r="R1103" i="4"/>
  <c r="Q1103" i="4"/>
  <c r="P1103" i="4"/>
  <c r="M1103" i="4"/>
  <c r="L1103" i="4"/>
  <c r="K1103" i="4"/>
  <c r="H1103" i="4"/>
  <c r="G1103" i="4"/>
  <c r="F1103" i="4"/>
  <c r="R1102" i="4"/>
  <c r="Q1102" i="4"/>
  <c r="P1102" i="4"/>
  <c r="M1102" i="4"/>
  <c r="L1102" i="4"/>
  <c r="K1102" i="4"/>
  <c r="H1102" i="4"/>
  <c r="G1102" i="4"/>
  <c r="F1102" i="4"/>
  <c r="R1101" i="4"/>
  <c r="Q1101" i="4"/>
  <c r="P1101" i="4"/>
  <c r="M1101" i="4"/>
  <c r="L1101" i="4"/>
  <c r="K1101" i="4"/>
  <c r="H1101" i="4"/>
  <c r="G1101" i="4"/>
  <c r="F1101" i="4"/>
  <c r="R1100" i="4"/>
  <c r="Q1100" i="4"/>
  <c r="P1100" i="4"/>
  <c r="M1100" i="4"/>
  <c r="L1100" i="4"/>
  <c r="K1100" i="4"/>
  <c r="H1100" i="4"/>
  <c r="G1100" i="4"/>
  <c r="F1100" i="4"/>
  <c r="R1099" i="4"/>
  <c r="Q1099" i="4"/>
  <c r="P1099" i="4"/>
  <c r="M1099" i="4"/>
  <c r="L1099" i="4"/>
  <c r="K1099" i="4"/>
  <c r="H1099" i="4"/>
  <c r="G1099" i="4"/>
  <c r="F1099" i="4"/>
  <c r="R1098" i="4"/>
  <c r="Q1098" i="4"/>
  <c r="P1098" i="4"/>
  <c r="M1098" i="4"/>
  <c r="L1098" i="4"/>
  <c r="K1098" i="4"/>
  <c r="H1098" i="4"/>
  <c r="G1098" i="4"/>
  <c r="F1098" i="4"/>
  <c r="R1097" i="4"/>
  <c r="Q1097" i="4"/>
  <c r="P1097" i="4"/>
  <c r="M1097" i="4"/>
  <c r="L1097" i="4"/>
  <c r="K1097" i="4"/>
  <c r="H1097" i="4"/>
  <c r="G1097" i="4"/>
  <c r="F1097" i="4"/>
  <c r="R1096" i="4"/>
  <c r="Q1096" i="4"/>
  <c r="P1096" i="4"/>
  <c r="M1096" i="4"/>
  <c r="L1096" i="4"/>
  <c r="K1096" i="4"/>
  <c r="H1096" i="4"/>
  <c r="G1096" i="4"/>
  <c r="F1096" i="4"/>
  <c r="R1095" i="4"/>
  <c r="Q1095" i="4"/>
  <c r="P1095" i="4"/>
  <c r="M1095" i="4"/>
  <c r="L1095" i="4"/>
  <c r="K1095" i="4"/>
  <c r="H1095" i="4"/>
  <c r="G1095" i="4"/>
  <c r="F1095" i="4"/>
  <c r="R1094" i="4"/>
  <c r="Q1094" i="4"/>
  <c r="P1094" i="4"/>
  <c r="M1094" i="4"/>
  <c r="L1094" i="4"/>
  <c r="K1094" i="4"/>
  <c r="H1094" i="4"/>
  <c r="G1094" i="4"/>
  <c r="F1094" i="4"/>
  <c r="R1093" i="4"/>
  <c r="Q1093" i="4"/>
  <c r="P1093" i="4"/>
  <c r="M1093" i="4"/>
  <c r="L1093" i="4"/>
  <c r="K1093" i="4"/>
  <c r="H1093" i="4"/>
  <c r="G1093" i="4"/>
  <c r="F1093" i="4"/>
  <c r="R1092" i="4"/>
  <c r="Q1092" i="4"/>
  <c r="P1092" i="4"/>
  <c r="M1092" i="4"/>
  <c r="L1092" i="4"/>
  <c r="K1092" i="4"/>
  <c r="H1092" i="4"/>
  <c r="G1092" i="4"/>
  <c r="F1092" i="4"/>
  <c r="R1091" i="4"/>
  <c r="Q1091" i="4"/>
  <c r="P1091" i="4"/>
  <c r="M1091" i="4"/>
  <c r="L1091" i="4"/>
  <c r="K1091" i="4"/>
  <c r="H1091" i="4"/>
  <c r="G1091" i="4"/>
  <c r="F1091" i="4"/>
  <c r="R1090" i="4"/>
  <c r="Q1090" i="4"/>
  <c r="P1090" i="4"/>
  <c r="M1090" i="4"/>
  <c r="L1090" i="4"/>
  <c r="K1090" i="4"/>
  <c r="H1090" i="4"/>
  <c r="G1090" i="4"/>
  <c r="F1090" i="4"/>
  <c r="R1089" i="4"/>
  <c r="Q1089" i="4"/>
  <c r="P1089" i="4"/>
  <c r="M1089" i="4"/>
  <c r="L1089" i="4"/>
  <c r="K1089" i="4"/>
  <c r="H1089" i="4"/>
  <c r="G1089" i="4"/>
  <c r="F1089" i="4"/>
  <c r="R1088" i="4"/>
  <c r="Q1088" i="4"/>
  <c r="P1088" i="4"/>
  <c r="M1088" i="4"/>
  <c r="L1088" i="4"/>
  <c r="K1088" i="4"/>
  <c r="H1088" i="4"/>
  <c r="G1088" i="4"/>
  <c r="F1088" i="4"/>
  <c r="R1087" i="4"/>
  <c r="Q1087" i="4"/>
  <c r="P1087" i="4"/>
  <c r="M1087" i="4"/>
  <c r="L1087" i="4"/>
  <c r="K1087" i="4"/>
  <c r="H1087" i="4"/>
  <c r="G1087" i="4"/>
  <c r="F1087" i="4"/>
  <c r="R1086" i="4"/>
  <c r="Q1086" i="4"/>
  <c r="P1086" i="4"/>
  <c r="M1086" i="4"/>
  <c r="L1086" i="4"/>
  <c r="K1086" i="4"/>
  <c r="H1086" i="4"/>
  <c r="G1086" i="4"/>
  <c r="F1086" i="4"/>
  <c r="R1085" i="4"/>
  <c r="Q1085" i="4"/>
  <c r="P1085" i="4"/>
  <c r="M1085" i="4"/>
  <c r="L1085" i="4"/>
  <c r="K1085" i="4"/>
  <c r="H1085" i="4"/>
  <c r="G1085" i="4"/>
  <c r="F1085" i="4"/>
  <c r="R1084" i="4"/>
  <c r="Q1084" i="4"/>
  <c r="P1084" i="4"/>
  <c r="M1084" i="4"/>
  <c r="L1084" i="4"/>
  <c r="K1084" i="4"/>
  <c r="H1084" i="4"/>
  <c r="G1084" i="4"/>
  <c r="F1084" i="4"/>
  <c r="R1083" i="4"/>
  <c r="Q1083" i="4"/>
  <c r="P1083" i="4"/>
  <c r="M1083" i="4"/>
  <c r="L1083" i="4"/>
  <c r="K1083" i="4"/>
  <c r="H1083" i="4"/>
  <c r="G1083" i="4"/>
  <c r="F1083" i="4"/>
  <c r="R1082" i="4"/>
  <c r="Q1082" i="4"/>
  <c r="P1082" i="4"/>
  <c r="M1082" i="4"/>
  <c r="L1082" i="4"/>
  <c r="K1082" i="4"/>
  <c r="H1082" i="4"/>
  <c r="G1082" i="4"/>
  <c r="F1082" i="4"/>
  <c r="R1081" i="4"/>
  <c r="Q1081" i="4"/>
  <c r="P1081" i="4"/>
  <c r="M1081" i="4"/>
  <c r="L1081" i="4"/>
  <c r="K1081" i="4"/>
  <c r="H1081" i="4"/>
  <c r="G1081" i="4"/>
  <c r="F1081" i="4"/>
  <c r="R1080" i="4"/>
  <c r="Q1080" i="4"/>
  <c r="P1080" i="4"/>
  <c r="M1080" i="4"/>
  <c r="L1080" i="4"/>
  <c r="K1080" i="4"/>
  <c r="H1080" i="4"/>
  <c r="G1080" i="4"/>
  <c r="F1080" i="4"/>
  <c r="R1079" i="4"/>
  <c r="Q1079" i="4"/>
  <c r="P1079" i="4"/>
  <c r="M1079" i="4"/>
  <c r="L1079" i="4"/>
  <c r="K1079" i="4"/>
  <c r="H1079" i="4"/>
  <c r="G1079" i="4"/>
  <c r="F1079" i="4"/>
  <c r="R1078" i="4"/>
  <c r="Q1078" i="4"/>
  <c r="P1078" i="4"/>
  <c r="M1078" i="4"/>
  <c r="L1078" i="4"/>
  <c r="K1078" i="4"/>
  <c r="H1078" i="4"/>
  <c r="G1078" i="4"/>
  <c r="F1078" i="4"/>
  <c r="R1077" i="4"/>
  <c r="Q1077" i="4"/>
  <c r="P1077" i="4"/>
  <c r="M1077" i="4"/>
  <c r="L1077" i="4"/>
  <c r="K1077" i="4"/>
  <c r="H1077" i="4"/>
  <c r="G1077" i="4"/>
  <c r="F1077" i="4"/>
  <c r="R1076" i="4"/>
  <c r="Q1076" i="4"/>
  <c r="P1076" i="4"/>
  <c r="M1076" i="4"/>
  <c r="L1076" i="4"/>
  <c r="K1076" i="4"/>
  <c r="H1076" i="4"/>
  <c r="G1076" i="4"/>
  <c r="F1076" i="4"/>
  <c r="R1075" i="4"/>
  <c r="Q1075" i="4"/>
  <c r="P1075" i="4"/>
  <c r="M1075" i="4"/>
  <c r="L1075" i="4"/>
  <c r="K1075" i="4"/>
  <c r="H1075" i="4"/>
  <c r="G1075" i="4"/>
  <c r="F1075" i="4"/>
  <c r="R1074" i="4"/>
  <c r="Q1074" i="4"/>
  <c r="P1074" i="4"/>
  <c r="M1074" i="4"/>
  <c r="L1074" i="4"/>
  <c r="K1074" i="4"/>
  <c r="H1074" i="4"/>
  <c r="G1074" i="4"/>
  <c r="F1074" i="4"/>
  <c r="R1073" i="4"/>
  <c r="Q1073" i="4"/>
  <c r="P1073" i="4"/>
  <c r="M1073" i="4"/>
  <c r="L1073" i="4"/>
  <c r="K1073" i="4"/>
  <c r="H1073" i="4"/>
  <c r="G1073" i="4"/>
  <c r="F1073" i="4"/>
  <c r="R1072" i="4"/>
  <c r="Q1072" i="4"/>
  <c r="P1072" i="4"/>
  <c r="M1072" i="4"/>
  <c r="L1072" i="4"/>
  <c r="K1072" i="4"/>
  <c r="H1072" i="4"/>
  <c r="G1072" i="4"/>
  <c r="F1072" i="4"/>
  <c r="R1071" i="4"/>
  <c r="Q1071" i="4"/>
  <c r="P1071" i="4"/>
  <c r="M1071" i="4"/>
  <c r="L1071" i="4"/>
  <c r="K1071" i="4"/>
  <c r="H1071" i="4"/>
  <c r="G1071" i="4"/>
  <c r="F1071" i="4"/>
  <c r="R1070" i="4"/>
  <c r="Q1070" i="4"/>
  <c r="P1070" i="4"/>
  <c r="M1070" i="4"/>
  <c r="L1070" i="4"/>
  <c r="K1070" i="4"/>
  <c r="H1070" i="4"/>
  <c r="G1070" i="4"/>
  <c r="F1070" i="4"/>
  <c r="R1069" i="4"/>
  <c r="Q1069" i="4"/>
  <c r="P1069" i="4"/>
  <c r="M1069" i="4"/>
  <c r="L1069" i="4"/>
  <c r="K1069" i="4"/>
  <c r="H1069" i="4"/>
  <c r="G1069" i="4"/>
  <c r="F1069" i="4"/>
  <c r="R1068" i="4"/>
  <c r="Q1068" i="4"/>
  <c r="P1068" i="4"/>
  <c r="M1068" i="4"/>
  <c r="L1068" i="4"/>
  <c r="K1068" i="4"/>
  <c r="H1068" i="4"/>
  <c r="G1068" i="4"/>
  <c r="F1068" i="4"/>
  <c r="R1067" i="4"/>
  <c r="Q1067" i="4"/>
  <c r="P1067" i="4"/>
  <c r="M1067" i="4"/>
  <c r="L1067" i="4"/>
  <c r="K1067" i="4"/>
  <c r="H1067" i="4"/>
  <c r="G1067" i="4"/>
  <c r="F1067" i="4"/>
  <c r="R1066" i="4"/>
  <c r="Q1066" i="4"/>
  <c r="P1066" i="4"/>
  <c r="M1066" i="4"/>
  <c r="L1066" i="4"/>
  <c r="K1066" i="4"/>
  <c r="H1066" i="4"/>
  <c r="G1066" i="4"/>
  <c r="F1066" i="4"/>
  <c r="R1065" i="4"/>
  <c r="Q1065" i="4"/>
  <c r="P1065" i="4"/>
  <c r="M1065" i="4"/>
  <c r="L1065" i="4"/>
  <c r="K1065" i="4"/>
  <c r="H1065" i="4"/>
  <c r="G1065" i="4"/>
  <c r="F1065" i="4"/>
  <c r="R1064" i="4"/>
  <c r="Q1064" i="4"/>
  <c r="P1064" i="4"/>
  <c r="M1064" i="4"/>
  <c r="L1064" i="4"/>
  <c r="K1064" i="4"/>
  <c r="H1064" i="4"/>
  <c r="G1064" i="4"/>
  <c r="F1064" i="4"/>
  <c r="R1063" i="4"/>
  <c r="Q1063" i="4"/>
  <c r="P1063" i="4"/>
  <c r="M1063" i="4"/>
  <c r="L1063" i="4"/>
  <c r="K1063" i="4"/>
  <c r="H1063" i="4"/>
  <c r="G1063" i="4"/>
  <c r="F1063" i="4"/>
  <c r="R1062" i="4"/>
  <c r="Q1062" i="4"/>
  <c r="P1062" i="4"/>
  <c r="M1062" i="4"/>
  <c r="L1062" i="4"/>
  <c r="K1062" i="4"/>
  <c r="H1062" i="4"/>
  <c r="G1062" i="4"/>
  <c r="F1062" i="4"/>
  <c r="R1061" i="4"/>
  <c r="Q1061" i="4"/>
  <c r="P1061" i="4"/>
  <c r="M1061" i="4"/>
  <c r="L1061" i="4"/>
  <c r="K1061" i="4"/>
  <c r="H1061" i="4"/>
  <c r="G1061" i="4"/>
  <c r="F1061" i="4"/>
  <c r="R1060" i="4"/>
  <c r="Q1060" i="4"/>
  <c r="P1060" i="4"/>
  <c r="M1060" i="4"/>
  <c r="L1060" i="4"/>
  <c r="K1060" i="4"/>
  <c r="H1060" i="4"/>
  <c r="G1060" i="4"/>
  <c r="F1060" i="4"/>
  <c r="R1059" i="4"/>
  <c r="Q1059" i="4"/>
  <c r="P1059" i="4"/>
  <c r="M1059" i="4"/>
  <c r="L1059" i="4"/>
  <c r="K1059" i="4"/>
  <c r="H1059" i="4"/>
  <c r="G1059" i="4"/>
  <c r="F1059" i="4"/>
  <c r="R1058" i="4"/>
  <c r="Q1058" i="4"/>
  <c r="P1058" i="4"/>
  <c r="M1058" i="4"/>
  <c r="L1058" i="4"/>
  <c r="K1058" i="4"/>
  <c r="H1058" i="4"/>
  <c r="G1058" i="4"/>
  <c r="F1058" i="4"/>
  <c r="R1057" i="4"/>
  <c r="Q1057" i="4"/>
  <c r="P1057" i="4"/>
  <c r="M1057" i="4"/>
  <c r="L1057" i="4"/>
  <c r="K1057" i="4"/>
  <c r="H1057" i="4"/>
  <c r="G1057" i="4"/>
  <c r="F1057" i="4"/>
  <c r="R1056" i="4"/>
  <c r="Q1056" i="4"/>
  <c r="P1056" i="4"/>
  <c r="M1056" i="4"/>
  <c r="L1056" i="4"/>
  <c r="K1056" i="4"/>
  <c r="H1056" i="4"/>
  <c r="G1056" i="4"/>
  <c r="F1056" i="4"/>
  <c r="R1055" i="4"/>
  <c r="Q1055" i="4"/>
  <c r="P1055" i="4"/>
  <c r="M1055" i="4"/>
  <c r="L1055" i="4"/>
  <c r="K1055" i="4"/>
  <c r="H1055" i="4"/>
  <c r="G1055" i="4"/>
  <c r="F1055" i="4"/>
  <c r="R1054" i="4"/>
  <c r="Q1054" i="4"/>
  <c r="P1054" i="4"/>
  <c r="M1054" i="4"/>
  <c r="L1054" i="4"/>
  <c r="K1054" i="4"/>
  <c r="H1054" i="4"/>
  <c r="G1054" i="4"/>
  <c r="F1054" i="4"/>
  <c r="R1053" i="4"/>
  <c r="Q1053" i="4"/>
  <c r="P1053" i="4"/>
  <c r="M1053" i="4"/>
  <c r="L1053" i="4"/>
  <c r="K1053" i="4"/>
  <c r="H1053" i="4"/>
  <c r="G1053" i="4"/>
  <c r="F1053" i="4"/>
  <c r="R1052" i="4"/>
  <c r="Q1052" i="4"/>
  <c r="P1052" i="4"/>
  <c r="M1052" i="4"/>
  <c r="L1052" i="4"/>
  <c r="K1052" i="4"/>
  <c r="H1052" i="4"/>
  <c r="G1052" i="4"/>
  <c r="F1052" i="4"/>
  <c r="R1051" i="4"/>
  <c r="Q1051" i="4"/>
  <c r="P1051" i="4"/>
  <c r="M1051" i="4"/>
  <c r="L1051" i="4"/>
  <c r="K1051" i="4"/>
  <c r="H1051" i="4"/>
  <c r="G1051" i="4"/>
  <c r="F1051" i="4"/>
  <c r="R1050" i="4"/>
  <c r="Q1050" i="4"/>
  <c r="P1050" i="4"/>
  <c r="M1050" i="4"/>
  <c r="L1050" i="4"/>
  <c r="K1050" i="4"/>
  <c r="H1050" i="4"/>
  <c r="G1050" i="4"/>
  <c r="F1050" i="4"/>
  <c r="R1049" i="4"/>
  <c r="Q1049" i="4"/>
  <c r="P1049" i="4"/>
  <c r="M1049" i="4"/>
  <c r="L1049" i="4"/>
  <c r="K1049" i="4"/>
  <c r="H1049" i="4"/>
  <c r="G1049" i="4"/>
  <c r="F1049" i="4"/>
  <c r="R1048" i="4"/>
  <c r="Q1048" i="4"/>
  <c r="P1048" i="4"/>
  <c r="M1048" i="4"/>
  <c r="L1048" i="4"/>
  <c r="K1048" i="4"/>
  <c r="H1048" i="4"/>
  <c r="G1048" i="4"/>
  <c r="F1048" i="4"/>
  <c r="R1047" i="4"/>
  <c r="Q1047" i="4"/>
  <c r="P1047" i="4"/>
  <c r="M1047" i="4"/>
  <c r="L1047" i="4"/>
  <c r="K1047" i="4"/>
  <c r="H1047" i="4"/>
  <c r="G1047" i="4"/>
  <c r="F1047" i="4"/>
  <c r="R1046" i="4"/>
  <c r="Q1046" i="4"/>
  <c r="P1046" i="4"/>
  <c r="M1046" i="4"/>
  <c r="L1046" i="4"/>
  <c r="K1046" i="4"/>
  <c r="H1046" i="4"/>
  <c r="G1046" i="4"/>
  <c r="F1046" i="4"/>
  <c r="R1045" i="4"/>
  <c r="Q1045" i="4"/>
  <c r="P1045" i="4"/>
  <c r="M1045" i="4"/>
  <c r="L1045" i="4"/>
  <c r="K1045" i="4"/>
  <c r="H1045" i="4"/>
  <c r="G1045" i="4"/>
  <c r="F1045" i="4"/>
  <c r="R1044" i="4"/>
  <c r="Q1044" i="4"/>
  <c r="P1044" i="4"/>
  <c r="M1044" i="4"/>
  <c r="L1044" i="4"/>
  <c r="K1044" i="4"/>
  <c r="H1044" i="4"/>
  <c r="G1044" i="4"/>
  <c r="F1044" i="4"/>
  <c r="R1043" i="4"/>
  <c r="Q1043" i="4"/>
  <c r="P1043" i="4"/>
  <c r="M1043" i="4"/>
  <c r="L1043" i="4"/>
  <c r="K1043" i="4"/>
  <c r="H1043" i="4"/>
  <c r="G1043" i="4"/>
  <c r="F1043" i="4"/>
  <c r="R1042" i="4"/>
  <c r="Q1042" i="4"/>
  <c r="P1042" i="4"/>
  <c r="M1042" i="4"/>
  <c r="L1042" i="4"/>
  <c r="K1042" i="4"/>
  <c r="H1042" i="4"/>
  <c r="G1042" i="4"/>
  <c r="F1042" i="4"/>
  <c r="R1041" i="4"/>
  <c r="Q1041" i="4"/>
  <c r="P1041" i="4"/>
  <c r="M1041" i="4"/>
  <c r="L1041" i="4"/>
  <c r="K1041" i="4"/>
  <c r="H1041" i="4"/>
  <c r="G1041" i="4"/>
  <c r="F1041" i="4"/>
  <c r="R1040" i="4"/>
  <c r="Q1040" i="4"/>
  <c r="P1040" i="4"/>
  <c r="M1040" i="4"/>
  <c r="L1040" i="4"/>
  <c r="K1040" i="4"/>
  <c r="H1040" i="4"/>
  <c r="G1040" i="4"/>
  <c r="F1040" i="4"/>
  <c r="R1039" i="4"/>
  <c r="Q1039" i="4"/>
  <c r="P1039" i="4"/>
  <c r="M1039" i="4"/>
  <c r="L1039" i="4"/>
  <c r="K1039" i="4"/>
  <c r="H1039" i="4"/>
  <c r="G1039" i="4"/>
  <c r="F1039" i="4"/>
  <c r="R1038" i="4"/>
  <c r="Q1038" i="4"/>
  <c r="P1038" i="4"/>
  <c r="M1038" i="4"/>
  <c r="L1038" i="4"/>
  <c r="K1038" i="4"/>
  <c r="H1038" i="4"/>
  <c r="G1038" i="4"/>
  <c r="F1038" i="4"/>
  <c r="R1037" i="4"/>
  <c r="Q1037" i="4"/>
  <c r="P1037" i="4"/>
  <c r="M1037" i="4"/>
  <c r="L1037" i="4"/>
  <c r="K1037" i="4"/>
  <c r="H1037" i="4"/>
  <c r="G1037" i="4"/>
  <c r="F1037" i="4"/>
  <c r="R1036" i="4"/>
  <c r="Q1036" i="4"/>
  <c r="P1036" i="4"/>
  <c r="M1036" i="4"/>
  <c r="L1036" i="4"/>
  <c r="K1036" i="4"/>
  <c r="H1036" i="4"/>
  <c r="G1036" i="4"/>
  <c r="F1036" i="4"/>
  <c r="R1035" i="4"/>
  <c r="Q1035" i="4"/>
  <c r="P1035" i="4"/>
  <c r="M1035" i="4"/>
  <c r="L1035" i="4"/>
  <c r="K1035" i="4"/>
  <c r="H1035" i="4"/>
  <c r="G1035" i="4"/>
  <c r="F1035" i="4"/>
  <c r="R1034" i="4"/>
  <c r="Q1034" i="4"/>
  <c r="P1034" i="4"/>
  <c r="M1034" i="4"/>
  <c r="L1034" i="4"/>
  <c r="K1034" i="4"/>
  <c r="H1034" i="4"/>
  <c r="G1034" i="4"/>
  <c r="F1034" i="4"/>
  <c r="R1033" i="4"/>
  <c r="Q1033" i="4"/>
  <c r="P1033" i="4"/>
  <c r="M1033" i="4"/>
  <c r="L1033" i="4"/>
  <c r="K1033" i="4"/>
  <c r="H1033" i="4"/>
  <c r="G1033" i="4"/>
  <c r="F1033" i="4"/>
  <c r="R1032" i="4"/>
  <c r="Q1032" i="4"/>
  <c r="P1032" i="4"/>
  <c r="M1032" i="4"/>
  <c r="L1032" i="4"/>
  <c r="K1032" i="4"/>
  <c r="H1032" i="4"/>
  <c r="G1032" i="4"/>
  <c r="F1032" i="4"/>
  <c r="R1031" i="4"/>
  <c r="Q1031" i="4"/>
  <c r="P1031" i="4"/>
  <c r="M1031" i="4"/>
  <c r="L1031" i="4"/>
  <c r="K1031" i="4"/>
  <c r="H1031" i="4"/>
  <c r="G1031" i="4"/>
  <c r="F1031" i="4"/>
  <c r="R1030" i="4"/>
  <c r="Q1030" i="4"/>
  <c r="P1030" i="4"/>
  <c r="M1030" i="4"/>
  <c r="L1030" i="4"/>
  <c r="K1030" i="4"/>
  <c r="H1030" i="4"/>
  <c r="G1030" i="4"/>
  <c r="F1030" i="4"/>
  <c r="R1029" i="4"/>
  <c r="Q1029" i="4"/>
  <c r="P1029" i="4"/>
  <c r="M1029" i="4"/>
  <c r="L1029" i="4"/>
  <c r="K1029" i="4"/>
  <c r="H1029" i="4"/>
  <c r="G1029" i="4"/>
  <c r="F1029" i="4"/>
  <c r="R1028" i="4"/>
  <c r="Q1028" i="4"/>
  <c r="P1028" i="4"/>
  <c r="M1028" i="4"/>
  <c r="L1028" i="4"/>
  <c r="K1028" i="4"/>
  <c r="H1028" i="4"/>
  <c r="G1028" i="4"/>
  <c r="F1028" i="4"/>
  <c r="R1027" i="4"/>
  <c r="Q1027" i="4"/>
  <c r="P1027" i="4"/>
  <c r="M1027" i="4"/>
  <c r="L1027" i="4"/>
  <c r="K1027" i="4"/>
  <c r="H1027" i="4"/>
  <c r="G1027" i="4"/>
  <c r="F1027" i="4"/>
  <c r="R1026" i="4"/>
  <c r="Q1026" i="4"/>
  <c r="P1026" i="4"/>
  <c r="M1026" i="4"/>
  <c r="L1026" i="4"/>
  <c r="K1026" i="4"/>
  <c r="H1026" i="4"/>
  <c r="G1026" i="4"/>
  <c r="F1026" i="4"/>
  <c r="R1025" i="4"/>
  <c r="Q1025" i="4"/>
  <c r="P1025" i="4"/>
  <c r="M1025" i="4"/>
  <c r="L1025" i="4"/>
  <c r="K1025" i="4"/>
  <c r="H1025" i="4"/>
  <c r="G1025" i="4"/>
  <c r="F1025" i="4"/>
  <c r="R1024" i="4"/>
  <c r="Q1024" i="4"/>
  <c r="P1024" i="4"/>
  <c r="M1024" i="4"/>
  <c r="L1024" i="4"/>
  <c r="K1024" i="4"/>
  <c r="H1024" i="4"/>
  <c r="G1024" i="4"/>
  <c r="F1024" i="4"/>
  <c r="R1023" i="4"/>
  <c r="Q1023" i="4"/>
  <c r="P1023" i="4"/>
  <c r="M1023" i="4"/>
  <c r="L1023" i="4"/>
  <c r="K1023" i="4"/>
  <c r="H1023" i="4"/>
  <c r="G1023" i="4"/>
  <c r="F1023" i="4"/>
  <c r="R1022" i="4"/>
  <c r="Q1022" i="4"/>
  <c r="P1022" i="4"/>
  <c r="M1022" i="4"/>
  <c r="L1022" i="4"/>
  <c r="K1022" i="4"/>
  <c r="H1022" i="4"/>
  <c r="G1022" i="4"/>
  <c r="F1022" i="4"/>
  <c r="R1021" i="4"/>
  <c r="Q1021" i="4"/>
  <c r="P1021" i="4"/>
  <c r="M1021" i="4"/>
  <c r="L1021" i="4"/>
  <c r="K1021" i="4"/>
  <c r="H1021" i="4"/>
  <c r="G1021" i="4"/>
  <c r="F1021" i="4"/>
  <c r="R1020" i="4"/>
  <c r="Q1020" i="4"/>
  <c r="P1020" i="4"/>
  <c r="M1020" i="4"/>
  <c r="L1020" i="4"/>
  <c r="K1020" i="4"/>
  <c r="H1020" i="4"/>
  <c r="G1020" i="4"/>
  <c r="F1020" i="4"/>
  <c r="R1019" i="4"/>
  <c r="Q1019" i="4"/>
  <c r="P1019" i="4"/>
  <c r="M1019" i="4"/>
  <c r="L1019" i="4"/>
  <c r="K1019" i="4"/>
  <c r="H1019" i="4"/>
  <c r="G1019" i="4"/>
  <c r="F1019" i="4"/>
  <c r="R1018" i="4"/>
  <c r="Q1018" i="4"/>
  <c r="P1018" i="4"/>
  <c r="M1018" i="4"/>
  <c r="L1018" i="4"/>
  <c r="K1018" i="4"/>
  <c r="H1018" i="4"/>
  <c r="G1018" i="4"/>
  <c r="F1018" i="4"/>
  <c r="R1017" i="4"/>
  <c r="Q1017" i="4"/>
  <c r="P1017" i="4"/>
  <c r="M1017" i="4"/>
  <c r="L1017" i="4"/>
  <c r="K1017" i="4"/>
  <c r="H1017" i="4"/>
  <c r="G1017" i="4"/>
  <c r="F1017" i="4"/>
  <c r="R1016" i="4"/>
  <c r="Q1016" i="4"/>
  <c r="P1016" i="4"/>
  <c r="M1016" i="4"/>
  <c r="L1016" i="4"/>
  <c r="K1016" i="4"/>
  <c r="H1016" i="4"/>
  <c r="G1016" i="4"/>
  <c r="F1016" i="4"/>
  <c r="R1015" i="4"/>
  <c r="Q1015" i="4"/>
  <c r="P1015" i="4"/>
  <c r="M1015" i="4"/>
  <c r="L1015" i="4"/>
  <c r="K1015" i="4"/>
  <c r="H1015" i="4"/>
  <c r="G1015" i="4"/>
  <c r="F1015" i="4"/>
  <c r="R1014" i="4"/>
  <c r="Q1014" i="4"/>
  <c r="P1014" i="4"/>
  <c r="M1014" i="4"/>
  <c r="L1014" i="4"/>
  <c r="K1014" i="4"/>
  <c r="H1014" i="4"/>
  <c r="G1014" i="4"/>
  <c r="F1014" i="4"/>
  <c r="R1013" i="4"/>
  <c r="Q1013" i="4"/>
  <c r="P1013" i="4"/>
  <c r="M1013" i="4"/>
  <c r="L1013" i="4"/>
  <c r="K1013" i="4"/>
  <c r="H1013" i="4"/>
  <c r="G1013" i="4"/>
  <c r="F1013" i="4"/>
  <c r="R1012" i="4"/>
  <c r="Q1012" i="4"/>
  <c r="P1012" i="4"/>
  <c r="M1012" i="4"/>
  <c r="L1012" i="4"/>
  <c r="K1012" i="4"/>
  <c r="H1012" i="4"/>
  <c r="G1012" i="4"/>
  <c r="F1012" i="4"/>
  <c r="R1011" i="4"/>
  <c r="Q1011" i="4"/>
  <c r="P1011" i="4"/>
  <c r="M1011" i="4"/>
  <c r="L1011" i="4"/>
  <c r="K1011" i="4"/>
  <c r="H1011" i="4"/>
  <c r="G1011" i="4"/>
  <c r="F1011" i="4"/>
  <c r="R1010" i="4"/>
  <c r="Q1010" i="4"/>
  <c r="P1010" i="4"/>
  <c r="M1010" i="4"/>
  <c r="L1010" i="4"/>
  <c r="K1010" i="4"/>
  <c r="H1010" i="4"/>
  <c r="G1010" i="4"/>
  <c r="F1010" i="4"/>
  <c r="R1009" i="4"/>
  <c r="Q1009" i="4"/>
  <c r="P1009" i="4"/>
  <c r="M1009" i="4"/>
  <c r="L1009" i="4"/>
  <c r="K1009" i="4"/>
  <c r="H1009" i="4"/>
  <c r="G1009" i="4"/>
  <c r="F1009" i="4"/>
  <c r="R1008" i="4"/>
  <c r="Q1008" i="4"/>
  <c r="P1008" i="4"/>
  <c r="M1008" i="4"/>
  <c r="L1008" i="4"/>
  <c r="K1008" i="4"/>
  <c r="H1008" i="4"/>
  <c r="G1008" i="4"/>
  <c r="F1008" i="4"/>
  <c r="R1007" i="4"/>
  <c r="Q1007" i="4"/>
  <c r="P1007" i="4"/>
  <c r="M1007" i="4"/>
  <c r="L1007" i="4"/>
  <c r="K1007" i="4"/>
  <c r="H1007" i="4"/>
  <c r="G1007" i="4"/>
  <c r="F1007" i="4"/>
  <c r="R1006" i="4"/>
  <c r="Q1006" i="4"/>
  <c r="P1006" i="4"/>
  <c r="M1006" i="4"/>
  <c r="L1006" i="4"/>
  <c r="K1006" i="4"/>
  <c r="H1006" i="4"/>
  <c r="G1006" i="4"/>
  <c r="F1006" i="4"/>
  <c r="R1005" i="4"/>
  <c r="Q1005" i="4"/>
  <c r="P1005" i="4"/>
  <c r="M1005" i="4"/>
  <c r="L1005" i="4"/>
  <c r="K1005" i="4"/>
  <c r="H1005" i="4"/>
  <c r="G1005" i="4"/>
  <c r="F1005" i="4"/>
  <c r="R1004" i="4"/>
  <c r="Q1004" i="4"/>
  <c r="P1004" i="4"/>
  <c r="M1004" i="4"/>
  <c r="L1004" i="4"/>
  <c r="K1004" i="4"/>
  <c r="H1004" i="4"/>
  <c r="G1004" i="4"/>
  <c r="F1004" i="4"/>
  <c r="R1003" i="4"/>
  <c r="Q1003" i="4"/>
  <c r="P1003" i="4"/>
  <c r="M1003" i="4"/>
  <c r="L1003" i="4"/>
  <c r="K1003" i="4"/>
  <c r="H1003" i="4"/>
  <c r="G1003" i="4"/>
  <c r="F1003" i="4"/>
  <c r="R1002" i="4"/>
  <c r="Q1002" i="4"/>
  <c r="P1002" i="4"/>
  <c r="M1002" i="4"/>
  <c r="L1002" i="4"/>
  <c r="K1002" i="4"/>
  <c r="H1002" i="4"/>
  <c r="G1002" i="4"/>
  <c r="F1002" i="4"/>
  <c r="R1001" i="4"/>
  <c r="Q1001" i="4"/>
  <c r="P1001" i="4"/>
  <c r="M1001" i="4"/>
  <c r="L1001" i="4"/>
  <c r="K1001" i="4"/>
  <c r="H1001" i="4"/>
  <c r="G1001" i="4"/>
  <c r="F1001" i="4"/>
  <c r="R1000" i="4"/>
  <c r="Q1000" i="4"/>
  <c r="P1000" i="4"/>
  <c r="M1000" i="4"/>
  <c r="L1000" i="4"/>
  <c r="K1000" i="4"/>
  <c r="H1000" i="4"/>
  <c r="G1000" i="4"/>
  <c r="F1000" i="4"/>
  <c r="R999" i="4"/>
  <c r="Q999" i="4"/>
  <c r="P999" i="4"/>
  <c r="M999" i="4"/>
  <c r="L999" i="4"/>
  <c r="K999" i="4"/>
  <c r="H999" i="4"/>
  <c r="G999" i="4"/>
  <c r="F999" i="4"/>
  <c r="R998" i="4"/>
  <c r="Q998" i="4"/>
  <c r="P998" i="4"/>
  <c r="M998" i="4"/>
  <c r="L998" i="4"/>
  <c r="K998" i="4"/>
  <c r="H998" i="4"/>
  <c r="G998" i="4"/>
  <c r="F998" i="4"/>
  <c r="R997" i="4"/>
  <c r="Q997" i="4"/>
  <c r="P997" i="4"/>
  <c r="M997" i="4"/>
  <c r="L997" i="4"/>
  <c r="K997" i="4"/>
  <c r="H997" i="4"/>
  <c r="G997" i="4"/>
  <c r="F997" i="4"/>
  <c r="R996" i="4"/>
  <c r="Q996" i="4"/>
  <c r="P996" i="4"/>
  <c r="M996" i="4"/>
  <c r="L996" i="4"/>
  <c r="K996" i="4"/>
  <c r="H996" i="4"/>
  <c r="G996" i="4"/>
  <c r="F996" i="4"/>
  <c r="R995" i="4"/>
  <c r="Q995" i="4"/>
  <c r="P995" i="4"/>
  <c r="M995" i="4"/>
  <c r="L995" i="4"/>
  <c r="K995" i="4"/>
  <c r="H995" i="4"/>
  <c r="G995" i="4"/>
  <c r="F995" i="4"/>
  <c r="R994" i="4"/>
  <c r="Q994" i="4"/>
  <c r="P994" i="4"/>
  <c r="M994" i="4"/>
  <c r="L994" i="4"/>
  <c r="K994" i="4"/>
  <c r="H994" i="4"/>
  <c r="G994" i="4"/>
  <c r="F994" i="4"/>
  <c r="R993" i="4"/>
  <c r="Q993" i="4"/>
  <c r="P993" i="4"/>
  <c r="M993" i="4"/>
  <c r="L993" i="4"/>
  <c r="K993" i="4"/>
  <c r="H993" i="4"/>
  <c r="G993" i="4"/>
  <c r="F993" i="4"/>
  <c r="R992" i="4"/>
  <c r="Q992" i="4"/>
  <c r="P992" i="4"/>
  <c r="M992" i="4"/>
  <c r="L992" i="4"/>
  <c r="K992" i="4"/>
  <c r="H992" i="4"/>
  <c r="G992" i="4"/>
  <c r="F992" i="4"/>
  <c r="R991" i="4"/>
  <c r="Q991" i="4"/>
  <c r="P991" i="4"/>
  <c r="M991" i="4"/>
  <c r="L991" i="4"/>
  <c r="K991" i="4"/>
  <c r="H991" i="4"/>
  <c r="G991" i="4"/>
  <c r="F991" i="4"/>
  <c r="R990" i="4"/>
  <c r="Q990" i="4"/>
  <c r="P990" i="4"/>
  <c r="M990" i="4"/>
  <c r="L990" i="4"/>
  <c r="K990" i="4"/>
  <c r="H990" i="4"/>
  <c r="G990" i="4"/>
  <c r="F990" i="4"/>
  <c r="R989" i="4"/>
  <c r="Q989" i="4"/>
  <c r="P989" i="4"/>
  <c r="M989" i="4"/>
  <c r="L989" i="4"/>
  <c r="K989" i="4"/>
  <c r="H989" i="4"/>
  <c r="G989" i="4"/>
  <c r="F989" i="4"/>
  <c r="R988" i="4"/>
  <c r="Q988" i="4"/>
  <c r="P988" i="4"/>
  <c r="M988" i="4"/>
  <c r="L988" i="4"/>
  <c r="K988" i="4"/>
  <c r="H988" i="4"/>
  <c r="G988" i="4"/>
  <c r="F988" i="4"/>
  <c r="R987" i="4"/>
  <c r="Q987" i="4"/>
  <c r="P987" i="4"/>
  <c r="M987" i="4"/>
  <c r="L987" i="4"/>
  <c r="K987" i="4"/>
  <c r="H987" i="4"/>
  <c r="G987" i="4"/>
  <c r="F987" i="4"/>
  <c r="R986" i="4"/>
  <c r="Q986" i="4"/>
  <c r="P986" i="4"/>
  <c r="M986" i="4"/>
  <c r="L986" i="4"/>
  <c r="K986" i="4"/>
  <c r="H986" i="4"/>
  <c r="G986" i="4"/>
  <c r="F986" i="4"/>
  <c r="R985" i="4"/>
  <c r="Q985" i="4"/>
  <c r="P985" i="4"/>
  <c r="M985" i="4"/>
  <c r="L985" i="4"/>
  <c r="K985" i="4"/>
  <c r="H985" i="4"/>
  <c r="G985" i="4"/>
  <c r="F985" i="4"/>
  <c r="R984" i="4"/>
  <c r="Q984" i="4"/>
  <c r="P984" i="4"/>
  <c r="M984" i="4"/>
  <c r="L984" i="4"/>
  <c r="K984" i="4"/>
  <c r="H984" i="4"/>
  <c r="G984" i="4"/>
  <c r="F984" i="4"/>
  <c r="R983" i="4"/>
  <c r="Q983" i="4"/>
  <c r="P983" i="4"/>
  <c r="M983" i="4"/>
  <c r="L983" i="4"/>
  <c r="K983" i="4"/>
  <c r="H983" i="4"/>
  <c r="G983" i="4"/>
  <c r="F983" i="4"/>
  <c r="R982" i="4"/>
  <c r="Q982" i="4"/>
  <c r="P982" i="4"/>
  <c r="M982" i="4"/>
  <c r="L982" i="4"/>
  <c r="K982" i="4"/>
  <c r="H982" i="4"/>
  <c r="G982" i="4"/>
  <c r="F982" i="4"/>
  <c r="R981" i="4"/>
  <c r="Q981" i="4"/>
  <c r="P981" i="4"/>
  <c r="M981" i="4"/>
  <c r="L981" i="4"/>
  <c r="K981" i="4"/>
  <c r="H981" i="4"/>
  <c r="G981" i="4"/>
  <c r="F981" i="4"/>
  <c r="R980" i="4"/>
  <c r="Q980" i="4"/>
  <c r="P980" i="4"/>
  <c r="M980" i="4"/>
  <c r="L980" i="4"/>
  <c r="K980" i="4"/>
  <c r="H980" i="4"/>
  <c r="G980" i="4"/>
  <c r="F980" i="4"/>
  <c r="R979" i="4"/>
  <c r="Q979" i="4"/>
  <c r="P979" i="4"/>
  <c r="M979" i="4"/>
  <c r="L979" i="4"/>
  <c r="K979" i="4"/>
  <c r="H979" i="4"/>
  <c r="G979" i="4"/>
  <c r="F979" i="4"/>
  <c r="R978" i="4"/>
  <c r="Q978" i="4"/>
  <c r="P978" i="4"/>
  <c r="M978" i="4"/>
  <c r="L978" i="4"/>
  <c r="K978" i="4"/>
  <c r="H978" i="4"/>
  <c r="G978" i="4"/>
  <c r="F978" i="4"/>
  <c r="R977" i="4"/>
  <c r="Q977" i="4"/>
  <c r="P977" i="4"/>
  <c r="M977" i="4"/>
  <c r="L977" i="4"/>
  <c r="K977" i="4"/>
  <c r="H977" i="4"/>
  <c r="G977" i="4"/>
  <c r="F977" i="4"/>
  <c r="R976" i="4"/>
  <c r="Q976" i="4"/>
  <c r="P976" i="4"/>
  <c r="M976" i="4"/>
  <c r="L976" i="4"/>
  <c r="K976" i="4"/>
  <c r="H976" i="4"/>
  <c r="G976" i="4"/>
  <c r="F976" i="4"/>
  <c r="R975" i="4"/>
  <c r="Q975" i="4"/>
  <c r="P975" i="4"/>
  <c r="M975" i="4"/>
  <c r="L975" i="4"/>
  <c r="K975" i="4"/>
  <c r="H975" i="4"/>
  <c r="G975" i="4"/>
  <c r="F975" i="4"/>
  <c r="R974" i="4"/>
  <c r="Q974" i="4"/>
  <c r="P974" i="4"/>
  <c r="M974" i="4"/>
  <c r="L974" i="4"/>
  <c r="K974" i="4"/>
  <c r="H974" i="4"/>
  <c r="G974" i="4"/>
  <c r="F974" i="4"/>
  <c r="R973" i="4"/>
  <c r="Q973" i="4"/>
  <c r="P973" i="4"/>
  <c r="M973" i="4"/>
  <c r="L973" i="4"/>
  <c r="K973" i="4"/>
  <c r="H973" i="4"/>
  <c r="G973" i="4"/>
  <c r="F973" i="4"/>
  <c r="R972" i="4"/>
  <c r="Q972" i="4"/>
  <c r="P972" i="4"/>
  <c r="M972" i="4"/>
  <c r="L972" i="4"/>
  <c r="K972" i="4"/>
  <c r="H972" i="4"/>
  <c r="G972" i="4"/>
  <c r="F972" i="4"/>
  <c r="R971" i="4"/>
  <c r="Q971" i="4"/>
  <c r="P971" i="4"/>
  <c r="M971" i="4"/>
  <c r="L971" i="4"/>
  <c r="K971" i="4"/>
  <c r="H971" i="4"/>
  <c r="G971" i="4"/>
  <c r="F971" i="4"/>
  <c r="R970" i="4"/>
  <c r="Q970" i="4"/>
  <c r="P970" i="4"/>
  <c r="M970" i="4"/>
  <c r="L970" i="4"/>
  <c r="K970" i="4"/>
  <c r="H970" i="4"/>
  <c r="G970" i="4"/>
  <c r="F970" i="4"/>
  <c r="R969" i="4"/>
  <c r="Q969" i="4"/>
  <c r="P969" i="4"/>
  <c r="M969" i="4"/>
  <c r="L969" i="4"/>
  <c r="K969" i="4"/>
  <c r="H969" i="4"/>
  <c r="G969" i="4"/>
  <c r="F969" i="4"/>
  <c r="R968" i="4"/>
  <c r="Q968" i="4"/>
  <c r="P968" i="4"/>
  <c r="M968" i="4"/>
  <c r="L968" i="4"/>
  <c r="K968" i="4"/>
  <c r="H968" i="4"/>
  <c r="G968" i="4"/>
  <c r="F968" i="4"/>
  <c r="R967" i="4"/>
  <c r="Q967" i="4"/>
  <c r="P967" i="4"/>
  <c r="M967" i="4"/>
  <c r="L967" i="4"/>
  <c r="K967" i="4"/>
  <c r="H967" i="4"/>
  <c r="G967" i="4"/>
  <c r="F967" i="4"/>
  <c r="R966" i="4"/>
  <c r="Q966" i="4"/>
  <c r="P966" i="4"/>
  <c r="M966" i="4"/>
  <c r="L966" i="4"/>
  <c r="K966" i="4"/>
  <c r="H966" i="4"/>
  <c r="G966" i="4"/>
  <c r="F966" i="4"/>
  <c r="R965" i="4"/>
  <c r="Q965" i="4"/>
  <c r="P965" i="4"/>
  <c r="M965" i="4"/>
  <c r="L965" i="4"/>
  <c r="K965" i="4"/>
  <c r="H965" i="4"/>
  <c r="G965" i="4"/>
  <c r="F965" i="4"/>
  <c r="R964" i="4"/>
  <c r="Q964" i="4"/>
  <c r="P964" i="4"/>
  <c r="M964" i="4"/>
  <c r="L964" i="4"/>
  <c r="K964" i="4"/>
  <c r="H964" i="4"/>
  <c r="G964" i="4"/>
  <c r="F964" i="4"/>
  <c r="R963" i="4"/>
  <c r="Q963" i="4"/>
  <c r="P963" i="4"/>
  <c r="M963" i="4"/>
  <c r="L963" i="4"/>
  <c r="K963" i="4"/>
  <c r="H963" i="4"/>
  <c r="G963" i="4"/>
  <c r="F963" i="4"/>
  <c r="R962" i="4"/>
  <c r="Q962" i="4"/>
  <c r="P962" i="4"/>
  <c r="M962" i="4"/>
  <c r="L962" i="4"/>
  <c r="K962" i="4"/>
  <c r="H962" i="4"/>
  <c r="G962" i="4"/>
  <c r="F962" i="4"/>
  <c r="R961" i="4"/>
  <c r="Q961" i="4"/>
  <c r="P961" i="4"/>
  <c r="M961" i="4"/>
  <c r="L961" i="4"/>
  <c r="K961" i="4"/>
  <c r="H961" i="4"/>
  <c r="G961" i="4"/>
  <c r="F961" i="4"/>
  <c r="R960" i="4"/>
  <c r="Q960" i="4"/>
  <c r="P960" i="4"/>
  <c r="M960" i="4"/>
  <c r="L960" i="4"/>
  <c r="K960" i="4"/>
  <c r="H960" i="4"/>
  <c r="G960" i="4"/>
  <c r="F960" i="4"/>
  <c r="R959" i="4"/>
  <c r="Q959" i="4"/>
  <c r="P959" i="4"/>
  <c r="M959" i="4"/>
  <c r="L959" i="4"/>
  <c r="K959" i="4"/>
  <c r="H959" i="4"/>
  <c r="G959" i="4"/>
  <c r="F959" i="4"/>
  <c r="R958" i="4"/>
  <c r="Q958" i="4"/>
  <c r="P958" i="4"/>
  <c r="M958" i="4"/>
  <c r="L958" i="4"/>
  <c r="K958" i="4"/>
  <c r="H958" i="4"/>
  <c r="G958" i="4"/>
  <c r="F958" i="4"/>
  <c r="R957" i="4"/>
  <c r="Q957" i="4"/>
  <c r="P957" i="4"/>
  <c r="M957" i="4"/>
  <c r="L957" i="4"/>
  <c r="K957" i="4"/>
  <c r="H957" i="4"/>
  <c r="G957" i="4"/>
  <c r="F957" i="4"/>
  <c r="R956" i="4"/>
  <c r="Q956" i="4"/>
  <c r="P956" i="4"/>
  <c r="M956" i="4"/>
  <c r="L956" i="4"/>
  <c r="K956" i="4"/>
  <c r="H956" i="4"/>
  <c r="G956" i="4"/>
  <c r="F956" i="4"/>
  <c r="R955" i="4"/>
  <c r="Q955" i="4"/>
  <c r="P955" i="4"/>
  <c r="M955" i="4"/>
  <c r="L955" i="4"/>
  <c r="K955" i="4"/>
  <c r="H955" i="4"/>
  <c r="G955" i="4"/>
  <c r="F955" i="4"/>
  <c r="R954" i="4"/>
  <c r="Q954" i="4"/>
  <c r="P954" i="4"/>
  <c r="M954" i="4"/>
  <c r="L954" i="4"/>
  <c r="K954" i="4"/>
  <c r="H954" i="4"/>
  <c r="G954" i="4"/>
  <c r="F954" i="4"/>
  <c r="R953" i="4"/>
  <c r="Q953" i="4"/>
  <c r="P953" i="4"/>
  <c r="M953" i="4"/>
  <c r="L953" i="4"/>
  <c r="K953" i="4"/>
  <c r="H953" i="4"/>
  <c r="G953" i="4"/>
  <c r="F953" i="4"/>
  <c r="R952" i="4"/>
  <c r="Q952" i="4"/>
  <c r="P952" i="4"/>
  <c r="M952" i="4"/>
  <c r="L952" i="4"/>
  <c r="K952" i="4"/>
  <c r="H952" i="4"/>
  <c r="G952" i="4"/>
  <c r="F952" i="4"/>
  <c r="R951" i="4"/>
  <c r="Q951" i="4"/>
  <c r="P951" i="4"/>
  <c r="M951" i="4"/>
  <c r="L951" i="4"/>
  <c r="K951" i="4"/>
  <c r="H951" i="4"/>
  <c r="G951" i="4"/>
  <c r="F951" i="4"/>
  <c r="R950" i="4"/>
  <c r="Q950" i="4"/>
  <c r="P950" i="4"/>
  <c r="M950" i="4"/>
  <c r="L950" i="4"/>
  <c r="K950" i="4"/>
  <c r="H950" i="4"/>
  <c r="G950" i="4"/>
  <c r="F950" i="4"/>
  <c r="R949" i="4"/>
  <c r="Q949" i="4"/>
  <c r="P949" i="4"/>
  <c r="M949" i="4"/>
  <c r="L949" i="4"/>
  <c r="K949" i="4"/>
  <c r="H949" i="4"/>
  <c r="G949" i="4"/>
  <c r="F949" i="4"/>
  <c r="R948" i="4"/>
  <c r="Q948" i="4"/>
  <c r="P948" i="4"/>
  <c r="M948" i="4"/>
  <c r="L948" i="4"/>
  <c r="K948" i="4"/>
  <c r="H948" i="4"/>
  <c r="G948" i="4"/>
  <c r="F948" i="4"/>
  <c r="R947" i="4"/>
  <c r="Q947" i="4"/>
  <c r="P947" i="4"/>
  <c r="M947" i="4"/>
  <c r="L947" i="4"/>
  <c r="K947" i="4"/>
  <c r="H947" i="4"/>
  <c r="G947" i="4"/>
  <c r="F947" i="4"/>
  <c r="R946" i="4"/>
  <c r="Q946" i="4"/>
  <c r="P946" i="4"/>
  <c r="M946" i="4"/>
  <c r="L946" i="4"/>
  <c r="K946" i="4"/>
  <c r="H946" i="4"/>
  <c r="G946" i="4"/>
  <c r="F946" i="4"/>
  <c r="R945" i="4"/>
  <c r="Q945" i="4"/>
  <c r="P945" i="4"/>
  <c r="M945" i="4"/>
  <c r="L945" i="4"/>
  <c r="K945" i="4"/>
  <c r="H945" i="4"/>
  <c r="G945" i="4"/>
  <c r="F945" i="4"/>
  <c r="R944" i="4"/>
  <c r="Q944" i="4"/>
  <c r="P944" i="4"/>
  <c r="M944" i="4"/>
  <c r="L944" i="4"/>
  <c r="K944" i="4"/>
  <c r="H944" i="4"/>
  <c r="G944" i="4"/>
  <c r="F944" i="4"/>
  <c r="R943" i="4"/>
  <c r="Q943" i="4"/>
  <c r="P943" i="4"/>
  <c r="M943" i="4"/>
  <c r="L943" i="4"/>
  <c r="K943" i="4"/>
  <c r="H943" i="4"/>
  <c r="G943" i="4"/>
  <c r="F943" i="4"/>
  <c r="R942" i="4"/>
  <c r="Q942" i="4"/>
  <c r="P942" i="4"/>
  <c r="M942" i="4"/>
  <c r="L942" i="4"/>
  <c r="K942" i="4"/>
  <c r="H942" i="4"/>
  <c r="G942" i="4"/>
  <c r="F942" i="4"/>
  <c r="R941" i="4"/>
  <c r="Q941" i="4"/>
  <c r="P941" i="4"/>
  <c r="M941" i="4"/>
  <c r="L941" i="4"/>
  <c r="K941" i="4"/>
  <c r="H941" i="4"/>
  <c r="G941" i="4"/>
  <c r="F941" i="4"/>
  <c r="R940" i="4"/>
  <c r="Q940" i="4"/>
  <c r="P940" i="4"/>
  <c r="M940" i="4"/>
  <c r="L940" i="4"/>
  <c r="K940" i="4"/>
  <c r="H940" i="4"/>
  <c r="G940" i="4"/>
  <c r="F940" i="4"/>
  <c r="R939" i="4"/>
  <c r="Q939" i="4"/>
  <c r="P939" i="4"/>
  <c r="M939" i="4"/>
  <c r="L939" i="4"/>
  <c r="K939" i="4"/>
  <c r="H939" i="4"/>
  <c r="G939" i="4"/>
  <c r="F939" i="4"/>
  <c r="R938" i="4"/>
  <c r="Q938" i="4"/>
  <c r="P938" i="4"/>
  <c r="M938" i="4"/>
  <c r="L938" i="4"/>
  <c r="K938" i="4"/>
  <c r="H938" i="4"/>
  <c r="G938" i="4"/>
  <c r="F938" i="4"/>
  <c r="R937" i="4"/>
  <c r="Q937" i="4"/>
  <c r="P937" i="4"/>
  <c r="M937" i="4"/>
  <c r="L937" i="4"/>
  <c r="K937" i="4"/>
  <c r="H937" i="4"/>
  <c r="G937" i="4"/>
  <c r="F937" i="4"/>
  <c r="R936" i="4"/>
  <c r="Q936" i="4"/>
  <c r="P936" i="4"/>
  <c r="M936" i="4"/>
  <c r="L936" i="4"/>
  <c r="K936" i="4"/>
  <c r="H936" i="4"/>
  <c r="G936" i="4"/>
  <c r="F936" i="4"/>
  <c r="R935" i="4"/>
  <c r="Q935" i="4"/>
  <c r="P935" i="4"/>
  <c r="M935" i="4"/>
  <c r="L935" i="4"/>
  <c r="K935" i="4"/>
  <c r="H935" i="4"/>
  <c r="G935" i="4"/>
  <c r="F935" i="4"/>
  <c r="R934" i="4"/>
  <c r="Q934" i="4"/>
  <c r="P934" i="4"/>
  <c r="M934" i="4"/>
  <c r="L934" i="4"/>
  <c r="K934" i="4"/>
  <c r="H934" i="4"/>
  <c r="G934" i="4"/>
  <c r="F934" i="4"/>
  <c r="R933" i="4"/>
  <c r="Q933" i="4"/>
  <c r="P933" i="4"/>
  <c r="M933" i="4"/>
  <c r="L933" i="4"/>
  <c r="K933" i="4"/>
  <c r="H933" i="4"/>
  <c r="G933" i="4"/>
  <c r="F933" i="4"/>
  <c r="R932" i="4"/>
  <c r="Q932" i="4"/>
  <c r="P932" i="4"/>
  <c r="M932" i="4"/>
  <c r="L932" i="4"/>
  <c r="K932" i="4"/>
  <c r="H932" i="4"/>
  <c r="G932" i="4"/>
  <c r="F932" i="4"/>
  <c r="R931" i="4"/>
  <c r="Q931" i="4"/>
  <c r="P931" i="4"/>
  <c r="M931" i="4"/>
  <c r="L931" i="4"/>
  <c r="K931" i="4"/>
  <c r="H931" i="4"/>
  <c r="G931" i="4"/>
  <c r="F931" i="4"/>
  <c r="R930" i="4"/>
  <c r="Q930" i="4"/>
  <c r="P930" i="4"/>
  <c r="M930" i="4"/>
  <c r="L930" i="4"/>
  <c r="K930" i="4"/>
  <c r="H930" i="4"/>
  <c r="G930" i="4"/>
  <c r="F930" i="4"/>
  <c r="R929" i="4"/>
  <c r="Q929" i="4"/>
  <c r="P929" i="4"/>
  <c r="M929" i="4"/>
  <c r="L929" i="4"/>
  <c r="K929" i="4"/>
  <c r="H929" i="4"/>
  <c r="G929" i="4"/>
  <c r="F929" i="4"/>
  <c r="R928" i="4"/>
  <c r="Q928" i="4"/>
  <c r="P928" i="4"/>
  <c r="M928" i="4"/>
  <c r="L928" i="4"/>
  <c r="K928" i="4"/>
  <c r="H928" i="4"/>
  <c r="G928" i="4"/>
  <c r="F928" i="4"/>
  <c r="R927" i="4"/>
  <c r="Q927" i="4"/>
  <c r="P927" i="4"/>
  <c r="M927" i="4"/>
  <c r="L927" i="4"/>
  <c r="K927" i="4"/>
  <c r="H927" i="4"/>
  <c r="G927" i="4"/>
  <c r="F927" i="4"/>
  <c r="R926" i="4"/>
  <c r="Q926" i="4"/>
  <c r="P926" i="4"/>
  <c r="M926" i="4"/>
  <c r="L926" i="4"/>
  <c r="K926" i="4"/>
  <c r="H926" i="4"/>
  <c r="G926" i="4"/>
  <c r="F926" i="4"/>
  <c r="R925" i="4"/>
  <c r="Q925" i="4"/>
  <c r="P925" i="4"/>
  <c r="M925" i="4"/>
  <c r="L925" i="4"/>
  <c r="K925" i="4"/>
  <c r="H925" i="4"/>
  <c r="G925" i="4"/>
  <c r="F925" i="4"/>
  <c r="R924" i="4"/>
  <c r="Q924" i="4"/>
  <c r="P924" i="4"/>
  <c r="M924" i="4"/>
  <c r="L924" i="4"/>
  <c r="K924" i="4"/>
  <c r="H924" i="4"/>
  <c r="G924" i="4"/>
  <c r="F924" i="4"/>
  <c r="R923" i="4"/>
  <c r="Q923" i="4"/>
  <c r="P923" i="4"/>
  <c r="M923" i="4"/>
  <c r="L923" i="4"/>
  <c r="K923" i="4"/>
  <c r="H923" i="4"/>
  <c r="G923" i="4"/>
  <c r="F923" i="4"/>
  <c r="R922" i="4"/>
  <c r="Q922" i="4"/>
  <c r="P922" i="4"/>
  <c r="M922" i="4"/>
  <c r="L922" i="4"/>
  <c r="K922" i="4"/>
  <c r="H922" i="4"/>
  <c r="G922" i="4"/>
  <c r="F922" i="4"/>
  <c r="R921" i="4"/>
  <c r="Q921" i="4"/>
  <c r="P921" i="4"/>
  <c r="M921" i="4"/>
  <c r="L921" i="4"/>
  <c r="K921" i="4"/>
  <c r="H921" i="4"/>
  <c r="G921" i="4"/>
  <c r="F921" i="4"/>
  <c r="R920" i="4"/>
  <c r="Q920" i="4"/>
  <c r="P920" i="4"/>
  <c r="M920" i="4"/>
  <c r="L920" i="4"/>
  <c r="K920" i="4"/>
  <c r="H920" i="4"/>
  <c r="G920" i="4"/>
  <c r="F920" i="4"/>
  <c r="R919" i="4"/>
  <c r="Q919" i="4"/>
  <c r="P919" i="4"/>
  <c r="M919" i="4"/>
  <c r="L919" i="4"/>
  <c r="K919" i="4"/>
  <c r="H919" i="4"/>
  <c r="G919" i="4"/>
  <c r="F919" i="4"/>
  <c r="R918" i="4"/>
  <c r="Q918" i="4"/>
  <c r="P918" i="4"/>
  <c r="M918" i="4"/>
  <c r="L918" i="4"/>
  <c r="K918" i="4"/>
  <c r="H918" i="4"/>
  <c r="G918" i="4"/>
  <c r="F918" i="4"/>
  <c r="R917" i="4"/>
  <c r="Q917" i="4"/>
  <c r="P917" i="4"/>
  <c r="M917" i="4"/>
  <c r="L917" i="4"/>
  <c r="K917" i="4"/>
  <c r="H917" i="4"/>
  <c r="G917" i="4"/>
  <c r="F917" i="4"/>
  <c r="R916" i="4"/>
  <c r="Q916" i="4"/>
  <c r="P916" i="4"/>
  <c r="M916" i="4"/>
  <c r="L916" i="4"/>
  <c r="K916" i="4"/>
  <c r="H916" i="4"/>
  <c r="G916" i="4"/>
  <c r="F916" i="4"/>
  <c r="R915" i="4"/>
  <c r="Q915" i="4"/>
  <c r="P915" i="4"/>
  <c r="M915" i="4"/>
  <c r="L915" i="4"/>
  <c r="K915" i="4"/>
  <c r="H915" i="4"/>
  <c r="G915" i="4"/>
  <c r="F915" i="4"/>
  <c r="R914" i="4"/>
  <c r="Q914" i="4"/>
  <c r="P914" i="4"/>
  <c r="M914" i="4"/>
  <c r="L914" i="4"/>
  <c r="K914" i="4"/>
  <c r="H914" i="4"/>
  <c r="G914" i="4"/>
  <c r="F914" i="4"/>
  <c r="R913" i="4"/>
  <c r="Q913" i="4"/>
  <c r="P913" i="4"/>
  <c r="M913" i="4"/>
  <c r="L913" i="4"/>
  <c r="K913" i="4"/>
  <c r="H913" i="4"/>
  <c r="G913" i="4"/>
  <c r="F913" i="4"/>
  <c r="R912" i="4"/>
  <c r="Q912" i="4"/>
  <c r="P912" i="4"/>
  <c r="M912" i="4"/>
  <c r="L912" i="4"/>
  <c r="K912" i="4"/>
  <c r="H912" i="4"/>
  <c r="G912" i="4"/>
  <c r="F912" i="4"/>
  <c r="R911" i="4"/>
  <c r="Q911" i="4"/>
  <c r="P911" i="4"/>
  <c r="M911" i="4"/>
  <c r="L911" i="4"/>
  <c r="K911" i="4"/>
  <c r="H911" i="4"/>
  <c r="G911" i="4"/>
  <c r="F911" i="4"/>
  <c r="R910" i="4"/>
  <c r="Q910" i="4"/>
  <c r="P910" i="4"/>
  <c r="M910" i="4"/>
  <c r="L910" i="4"/>
  <c r="K910" i="4"/>
  <c r="H910" i="4"/>
  <c r="G910" i="4"/>
  <c r="F910" i="4"/>
  <c r="R909" i="4"/>
  <c r="Q909" i="4"/>
  <c r="P909" i="4"/>
  <c r="M909" i="4"/>
  <c r="L909" i="4"/>
  <c r="K909" i="4"/>
  <c r="H909" i="4"/>
  <c r="G909" i="4"/>
  <c r="F909" i="4"/>
  <c r="R908" i="4"/>
  <c r="Q908" i="4"/>
  <c r="P908" i="4"/>
  <c r="M908" i="4"/>
  <c r="L908" i="4"/>
  <c r="K908" i="4"/>
  <c r="H908" i="4"/>
  <c r="G908" i="4"/>
  <c r="F908" i="4"/>
  <c r="R907" i="4"/>
  <c r="Q907" i="4"/>
  <c r="P907" i="4"/>
  <c r="M907" i="4"/>
  <c r="L907" i="4"/>
  <c r="K907" i="4"/>
  <c r="H907" i="4"/>
  <c r="G907" i="4"/>
  <c r="F907" i="4"/>
  <c r="R906" i="4"/>
  <c r="Q906" i="4"/>
  <c r="P906" i="4"/>
  <c r="M906" i="4"/>
  <c r="L906" i="4"/>
  <c r="K906" i="4"/>
  <c r="H906" i="4"/>
  <c r="G906" i="4"/>
  <c r="F906" i="4"/>
  <c r="R905" i="4"/>
  <c r="Q905" i="4"/>
  <c r="P905" i="4"/>
  <c r="M905" i="4"/>
  <c r="L905" i="4"/>
  <c r="K905" i="4"/>
  <c r="H905" i="4"/>
  <c r="G905" i="4"/>
  <c r="F905" i="4"/>
  <c r="R904" i="4"/>
  <c r="Q904" i="4"/>
  <c r="P904" i="4"/>
  <c r="M904" i="4"/>
  <c r="L904" i="4"/>
  <c r="K904" i="4"/>
  <c r="H904" i="4"/>
  <c r="G904" i="4"/>
  <c r="F904" i="4"/>
  <c r="R903" i="4"/>
  <c r="Q903" i="4"/>
  <c r="P903" i="4"/>
  <c r="M903" i="4"/>
  <c r="L903" i="4"/>
  <c r="K903" i="4"/>
  <c r="H903" i="4"/>
  <c r="G903" i="4"/>
  <c r="F903" i="4"/>
  <c r="R902" i="4"/>
  <c r="Q902" i="4"/>
  <c r="P902" i="4"/>
  <c r="M902" i="4"/>
  <c r="L902" i="4"/>
  <c r="K902" i="4"/>
  <c r="H902" i="4"/>
  <c r="G902" i="4"/>
  <c r="F902" i="4"/>
  <c r="R901" i="4"/>
  <c r="Q901" i="4"/>
  <c r="P901" i="4"/>
  <c r="M901" i="4"/>
  <c r="L901" i="4"/>
  <c r="K901" i="4"/>
  <c r="H901" i="4"/>
  <c r="G901" i="4"/>
  <c r="F901" i="4"/>
  <c r="R900" i="4"/>
  <c r="Q900" i="4"/>
  <c r="P900" i="4"/>
  <c r="M900" i="4"/>
  <c r="L900" i="4"/>
  <c r="K900" i="4"/>
  <c r="H900" i="4"/>
  <c r="G900" i="4"/>
  <c r="F900" i="4"/>
  <c r="R899" i="4"/>
  <c r="Q899" i="4"/>
  <c r="P899" i="4"/>
  <c r="M899" i="4"/>
  <c r="L899" i="4"/>
  <c r="K899" i="4"/>
  <c r="H899" i="4"/>
  <c r="G899" i="4"/>
  <c r="F899" i="4"/>
  <c r="R898" i="4"/>
  <c r="Q898" i="4"/>
  <c r="P898" i="4"/>
  <c r="M898" i="4"/>
  <c r="L898" i="4"/>
  <c r="K898" i="4"/>
  <c r="H898" i="4"/>
  <c r="G898" i="4"/>
  <c r="F898" i="4"/>
  <c r="R897" i="4"/>
  <c r="Q897" i="4"/>
  <c r="P897" i="4"/>
  <c r="M897" i="4"/>
  <c r="L897" i="4"/>
  <c r="K897" i="4"/>
  <c r="H897" i="4"/>
  <c r="G897" i="4"/>
  <c r="F897" i="4"/>
  <c r="R896" i="4"/>
  <c r="Q896" i="4"/>
  <c r="P896" i="4"/>
  <c r="M896" i="4"/>
  <c r="L896" i="4"/>
  <c r="K896" i="4"/>
  <c r="H896" i="4"/>
  <c r="G896" i="4"/>
  <c r="F896" i="4"/>
  <c r="R895" i="4"/>
  <c r="Q895" i="4"/>
  <c r="P895" i="4"/>
  <c r="M895" i="4"/>
  <c r="L895" i="4"/>
  <c r="K895" i="4"/>
  <c r="H895" i="4"/>
  <c r="G895" i="4"/>
  <c r="F895" i="4"/>
  <c r="R894" i="4"/>
  <c r="Q894" i="4"/>
  <c r="P894" i="4"/>
  <c r="M894" i="4"/>
  <c r="L894" i="4"/>
  <c r="K894" i="4"/>
  <c r="H894" i="4"/>
  <c r="G894" i="4"/>
  <c r="F894" i="4"/>
  <c r="R893" i="4"/>
  <c r="Q893" i="4"/>
  <c r="P893" i="4"/>
  <c r="M893" i="4"/>
  <c r="L893" i="4"/>
  <c r="K893" i="4"/>
  <c r="H893" i="4"/>
  <c r="G893" i="4"/>
  <c r="F893" i="4"/>
  <c r="R892" i="4"/>
  <c r="Q892" i="4"/>
  <c r="P892" i="4"/>
  <c r="M892" i="4"/>
  <c r="L892" i="4"/>
  <c r="K892" i="4"/>
  <c r="H892" i="4"/>
  <c r="G892" i="4"/>
  <c r="F892" i="4"/>
  <c r="R891" i="4"/>
  <c r="Q891" i="4"/>
  <c r="P891" i="4"/>
  <c r="M891" i="4"/>
  <c r="L891" i="4"/>
  <c r="K891" i="4"/>
  <c r="H891" i="4"/>
  <c r="G891" i="4"/>
  <c r="F891" i="4"/>
  <c r="R890" i="4"/>
  <c r="Q890" i="4"/>
  <c r="P890" i="4"/>
  <c r="M890" i="4"/>
  <c r="L890" i="4"/>
  <c r="K890" i="4"/>
  <c r="H890" i="4"/>
  <c r="G890" i="4"/>
  <c r="F890" i="4"/>
  <c r="R889" i="4"/>
  <c r="Q889" i="4"/>
  <c r="P889" i="4"/>
  <c r="M889" i="4"/>
  <c r="L889" i="4"/>
  <c r="K889" i="4"/>
  <c r="H889" i="4"/>
  <c r="G889" i="4"/>
  <c r="F889" i="4"/>
  <c r="R888" i="4"/>
  <c r="Q888" i="4"/>
  <c r="P888" i="4"/>
  <c r="M888" i="4"/>
  <c r="L888" i="4"/>
  <c r="K888" i="4"/>
  <c r="H888" i="4"/>
  <c r="G888" i="4"/>
  <c r="F888" i="4"/>
  <c r="R887" i="4"/>
  <c r="Q887" i="4"/>
  <c r="P887" i="4"/>
  <c r="M887" i="4"/>
  <c r="L887" i="4"/>
  <c r="K887" i="4"/>
  <c r="H887" i="4"/>
  <c r="G887" i="4"/>
  <c r="F887" i="4"/>
  <c r="R886" i="4"/>
  <c r="Q886" i="4"/>
  <c r="P886" i="4"/>
  <c r="M886" i="4"/>
  <c r="L886" i="4"/>
  <c r="K886" i="4"/>
  <c r="H886" i="4"/>
  <c r="G886" i="4"/>
  <c r="F886" i="4"/>
  <c r="R885" i="4"/>
  <c r="Q885" i="4"/>
  <c r="P885" i="4"/>
  <c r="M885" i="4"/>
  <c r="L885" i="4"/>
  <c r="K885" i="4"/>
  <c r="H885" i="4"/>
  <c r="G885" i="4"/>
  <c r="F885" i="4"/>
  <c r="R884" i="4"/>
  <c r="Q884" i="4"/>
  <c r="P884" i="4"/>
  <c r="M884" i="4"/>
  <c r="L884" i="4"/>
  <c r="K884" i="4"/>
  <c r="H884" i="4"/>
  <c r="G884" i="4"/>
  <c r="F884" i="4"/>
  <c r="R883" i="4"/>
  <c r="Q883" i="4"/>
  <c r="P883" i="4"/>
  <c r="M883" i="4"/>
  <c r="L883" i="4"/>
  <c r="K883" i="4"/>
  <c r="H883" i="4"/>
  <c r="G883" i="4"/>
  <c r="F883" i="4"/>
  <c r="R882" i="4"/>
  <c r="Q882" i="4"/>
  <c r="P882" i="4"/>
  <c r="M882" i="4"/>
  <c r="L882" i="4"/>
  <c r="K882" i="4"/>
  <c r="H882" i="4"/>
  <c r="G882" i="4"/>
  <c r="F882" i="4"/>
  <c r="R881" i="4"/>
  <c r="Q881" i="4"/>
  <c r="P881" i="4"/>
  <c r="M881" i="4"/>
  <c r="L881" i="4"/>
  <c r="K881" i="4"/>
  <c r="H881" i="4"/>
  <c r="G881" i="4"/>
  <c r="F881" i="4"/>
  <c r="R880" i="4"/>
  <c r="Q880" i="4"/>
  <c r="P880" i="4"/>
  <c r="M880" i="4"/>
  <c r="L880" i="4"/>
  <c r="K880" i="4"/>
  <c r="H880" i="4"/>
  <c r="G880" i="4"/>
  <c r="F880" i="4"/>
  <c r="R879" i="4"/>
  <c r="Q879" i="4"/>
  <c r="P879" i="4"/>
  <c r="M879" i="4"/>
  <c r="L879" i="4"/>
  <c r="K879" i="4"/>
  <c r="H879" i="4"/>
  <c r="G879" i="4"/>
  <c r="F879" i="4"/>
  <c r="R878" i="4"/>
  <c r="Q878" i="4"/>
  <c r="P878" i="4"/>
  <c r="M878" i="4"/>
  <c r="L878" i="4"/>
  <c r="K878" i="4"/>
  <c r="H878" i="4"/>
  <c r="G878" i="4"/>
  <c r="F878" i="4"/>
  <c r="R877" i="4"/>
  <c r="Q877" i="4"/>
  <c r="P877" i="4"/>
  <c r="M877" i="4"/>
  <c r="L877" i="4"/>
  <c r="K877" i="4"/>
  <c r="H877" i="4"/>
  <c r="G877" i="4"/>
  <c r="F877" i="4"/>
  <c r="R876" i="4"/>
  <c r="Q876" i="4"/>
  <c r="P876" i="4"/>
  <c r="M876" i="4"/>
  <c r="L876" i="4"/>
  <c r="K876" i="4"/>
  <c r="H876" i="4"/>
  <c r="G876" i="4"/>
  <c r="F876" i="4"/>
  <c r="R875" i="4"/>
  <c r="Q875" i="4"/>
  <c r="P875" i="4"/>
  <c r="M875" i="4"/>
  <c r="L875" i="4"/>
  <c r="K875" i="4"/>
  <c r="H875" i="4"/>
  <c r="G875" i="4"/>
  <c r="F875" i="4"/>
  <c r="R874" i="4"/>
  <c r="Q874" i="4"/>
  <c r="P874" i="4"/>
  <c r="M874" i="4"/>
  <c r="L874" i="4"/>
  <c r="K874" i="4"/>
  <c r="H874" i="4"/>
  <c r="G874" i="4"/>
  <c r="F874" i="4"/>
  <c r="R873" i="4"/>
  <c r="Q873" i="4"/>
  <c r="P873" i="4"/>
  <c r="M873" i="4"/>
  <c r="L873" i="4"/>
  <c r="K873" i="4"/>
  <c r="H873" i="4"/>
  <c r="G873" i="4"/>
  <c r="F873" i="4"/>
  <c r="R872" i="4"/>
  <c r="Q872" i="4"/>
  <c r="P872" i="4"/>
  <c r="M872" i="4"/>
  <c r="L872" i="4"/>
  <c r="K872" i="4"/>
  <c r="H872" i="4"/>
  <c r="G872" i="4"/>
  <c r="F872" i="4"/>
  <c r="R871" i="4"/>
  <c r="Q871" i="4"/>
  <c r="P871" i="4"/>
  <c r="M871" i="4"/>
  <c r="L871" i="4"/>
  <c r="K871" i="4"/>
  <c r="H871" i="4"/>
  <c r="G871" i="4"/>
  <c r="F871" i="4"/>
  <c r="R870" i="4"/>
  <c r="Q870" i="4"/>
  <c r="P870" i="4"/>
  <c r="M870" i="4"/>
  <c r="L870" i="4"/>
  <c r="K870" i="4"/>
  <c r="H870" i="4"/>
  <c r="G870" i="4"/>
  <c r="F870" i="4"/>
  <c r="R869" i="4"/>
  <c r="Q869" i="4"/>
  <c r="P869" i="4"/>
  <c r="M869" i="4"/>
  <c r="L869" i="4"/>
  <c r="K869" i="4"/>
  <c r="H869" i="4"/>
  <c r="G869" i="4"/>
  <c r="F869" i="4"/>
  <c r="R868" i="4"/>
  <c r="Q868" i="4"/>
  <c r="P868" i="4"/>
  <c r="M868" i="4"/>
  <c r="L868" i="4"/>
  <c r="K868" i="4"/>
  <c r="H868" i="4"/>
  <c r="G868" i="4"/>
  <c r="F868" i="4"/>
  <c r="R867" i="4"/>
  <c r="Q867" i="4"/>
  <c r="P867" i="4"/>
  <c r="M867" i="4"/>
  <c r="L867" i="4"/>
  <c r="K867" i="4"/>
  <c r="H867" i="4"/>
  <c r="G867" i="4"/>
  <c r="F867" i="4"/>
  <c r="R866" i="4"/>
  <c r="Q866" i="4"/>
  <c r="P866" i="4"/>
  <c r="M866" i="4"/>
  <c r="L866" i="4"/>
  <c r="K866" i="4"/>
  <c r="H866" i="4"/>
  <c r="G866" i="4"/>
  <c r="F866" i="4"/>
  <c r="R865" i="4"/>
  <c r="Q865" i="4"/>
  <c r="P865" i="4"/>
  <c r="M865" i="4"/>
  <c r="L865" i="4"/>
  <c r="K865" i="4"/>
  <c r="H865" i="4"/>
  <c r="G865" i="4"/>
  <c r="F865" i="4"/>
  <c r="R864" i="4"/>
  <c r="Q864" i="4"/>
  <c r="P864" i="4"/>
  <c r="M864" i="4"/>
  <c r="L864" i="4"/>
  <c r="K864" i="4"/>
  <c r="H864" i="4"/>
  <c r="G864" i="4"/>
  <c r="F864" i="4"/>
  <c r="R863" i="4"/>
  <c r="Q863" i="4"/>
  <c r="P863" i="4"/>
  <c r="M863" i="4"/>
  <c r="L863" i="4"/>
  <c r="K863" i="4"/>
  <c r="H863" i="4"/>
  <c r="G863" i="4"/>
  <c r="F863" i="4"/>
  <c r="R862" i="4"/>
  <c r="Q862" i="4"/>
  <c r="P862" i="4"/>
  <c r="M862" i="4"/>
  <c r="L862" i="4"/>
  <c r="K862" i="4"/>
  <c r="H862" i="4"/>
  <c r="G862" i="4"/>
  <c r="F862" i="4"/>
  <c r="R861" i="4"/>
  <c r="Q861" i="4"/>
  <c r="P861" i="4"/>
  <c r="M861" i="4"/>
  <c r="L861" i="4"/>
  <c r="K861" i="4"/>
  <c r="H861" i="4"/>
  <c r="G861" i="4"/>
  <c r="F861" i="4"/>
  <c r="R860" i="4"/>
  <c r="Q860" i="4"/>
  <c r="P860" i="4"/>
  <c r="M860" i="4"/>
  <c r="L860" i="4"/>
  <c r="K860" i="4"/>
  <c r="H860" i="4"/>
  <c r="G860" i="4"/>
  <c r="F860" i="4"/>
  <c r="R859" i="4"/>
  <c r="Q859" i="4"/>
  <c r="P859" i="4"/>
  <c r="M859" i="4"/>
  <c r="L859" i="4"/>
  <c r="K859" i="4"/>
  <c r="H859" i="4"/>
  <c r="G859" i="4"/>
  <c r="F859" i="4"/>
  <c r="R858" i="4"/>
  <c r="Q858" i="4"/>
  <c r="P858" i="4"/>
  <c r="M858" i="4"/>
  <c r="L858" i="4"/>
  <c r="K858" i="4"/>
  <c r="H858" i="4"/>
  <c r="G858" i="4"/>
  <c r="F858" i="4"/>
  <c r="R857" i="4"/>
  <c r="Q857" i="4"/>
  <c r="P857" i="4"/>
  <c r="M857" i="4"/>
  <c r="L857" i="4"/>
  <c r="K857" i="4"/>
  <c r="H857" i="4"/>
  <c r="G857" i="4"/>
  <c r="F857" i="4"/>
  <c r="R856" i="4"/>
  <c r="Q856" i="4"/>
  <c r="P856" i="4"/>
  <c r="M856" i="4"/>
  <c r="L856" i="4"/>
  <c r="K856" i="4"/>
  <c r="H856" i="4"/>
  <c r="G856" i="4"/>
  <c r="F856" i="4"/>
  <c r="R855" i="4"/>
  <c r="Q855" i="4"/>
  <c r="P855" i="4"/>
  <c r="M855" i="4"/>
  <c r="L855" i="4"/>
  <c r="K855" i="4"/>
  <c r="H855" i="4"/>
  <c r="G855" i="4"/>
  <c r="F855" i="4"/>
  <c r="R854" i="4"/>
  <c r="Q854" i="4"/>
  <c r="P854" i="4"/>
  <c r="M854" i="4"/>
  <c r="L854" i="4"/>
  <c r="K854" i="4"/>
  <c r="H854" i="4"/>
  <c r="G854" i="4"/>
  <c r="F854" i="4"/>
  <c r="R853" i="4"/>
  <c r="Q853" i="4"/>
  <c r="P853" i="4"/>
  <c r="M853" i="4"/>
  <c r="L853" i="4"/>
  <c r="K853" i="4"/>
  <c r="H853" i="4"/>
  <c r="G853" i="4"/>
  <c r="F853" i="4"/>
  <c r="R852" i="4"/>
  <c r="Q852" i="4"/>
  <c r="P852" i="4"/>
  <c r="M852" i="4"/>
  <c r="L852" i="4"/>
  <c r="K852" i="4"/>
  <c r="H852" i="4"/>
  <c r="G852" i="4"/>
  <c r="F852" i="4"/>
  <c r="R851" i="4"/>
  <c r="Q851" i="4"/>
  <c r="P851" i="4"/>
  <c r="M851" i="4"/>
  <c r="L851" i="4"/>
  <c r="K851" i="4"/>
  <c r="H851" i="4"/>
  <c r="G851" i="4"/>
  <c r="F851" i="4"/>
  <c r="R850" i="4"/>
  <c r="Q850" i="4"/>
  <c r="P850" i="4"/>
  <c r="M850" i="4"/>
  <c r="L850" i="4"/>
  <c r="K850" i="4"/>
  <c r="H850" i="4"/>
  <c r="G850" i="4"/>
  <c r="F850" i="4"/>
  <c r="R849" i="4"/>
  <c r="Q849" i="4"/>
  <c r="P849" i="4"/>
  <c r="M849" i="4"/>
  <c r="L849" i="4"/>
  <c r="K849" i="4"/>
  <c r="H849" i="4"/>
  <c r="G849" i="4"/>
  <c r="F849" i="4"/>
  <c r="R848" i="4"/>
  <c r="Q848" i="4"/>
  <c r="P848" i="4"/>
  <c r="M848" i="4"/>
  <c r="L848" i="4"/>
  <c r="K848" i="4"/>
  <c r="H848" i="4"/>
  <c r="G848" i="4"/>
  <c r="F848" i="4"/>
  <c r="R847" i="4"/>
  <c r="Q847" i="4"/>
  <c r="P847" i="4"/>
  <c r="M847" i="4"/>
  <c r="L847" i="4"/>
  <c r="K847" i="4"/>
  <c r="H847" i="4"/>
  <c r="G847" i="4"/>
  <c r="F847" i="4"/>
  <c r="R846" i="4"/>
  <c r="Q846" i="4"/>
  <c r="P846" i="4"/>
  <c r="M846" i="4"/>
  <c r="L846" i="4"/>
  <c r="K846" i="4"/>
  <c r="H846" i="4"/>
  <c r="G846" i="4"/>
  <c r="F846" i="4"/>
  <c r="R845" i="4"/>
  <c r="Q845" i="4"/>
  <c r="P845" i="4"/>
  <c r="M845" i="4"/>
  <c r="L845" i="4"/>
  <c r="K845" i="4"/>
  <c r="H845" i="4"/>
  <c r="G845" i="4"/>
  <c r="F845" i="4"/>
  <c r="R844" i="4"/>
  <c r="Q844" i="4"/>
  <c r="P844" i="4"/>
  <c r="M844" i="4"/>
  <c r="L844" i="4"/>
  <c r="K844" i="4"/>
  <c r="H844" i="4"/>
  <c r="G844" i="4"/>
  <c r="F844" i="4"/>
  <c r="R843" i="4"/>
  <c r="Q843" i="4"/>
  <c r="P843" i="4"/>
  <c r="M843" i="4"/>
  <c r="L843" i="4"/>
  <c r="K843" i="4"/>
  <c r="H843" i="4"/>
  <c r="G843" i="4"/>
  <c r="F843" i="4"/>
  <c r="R842" i="4"/>
  <c r="Q842" i="4"/>
  <c r="P842" i="4"/>
  <c r="M842" i="4"/>
  <c r="L842" i="4"/>
  <c r="K842" i="4"/>
  <c r="H842" i="4"/>
  <c r="G842" i="4"/>
  <c r="F842" i="4"/>
  <c r="R841" i="4"/>
  <c r="Q841" i="4"/>
  <c r="P841" i="4"/>
  <c r="M841" i="4"/>
  <c r="L841" i="4"/>
  <c r="K841" i="4"/>
  <c r="H841" i="4"/>
  <c r="G841" i="4"/>
  <c r="F841" i="4"/>
  <c r="R840" i="4"/>
  <c r="Q840" i="4"/>
  <c r="P840" i="4"/>
  <c r="M840" i="4"/>
  <c r="L840" i="4"/>
  <c r="K840" i="4"/>
  <c r="H840" i="4"/>
  <c r="G840" i="4"/>
  <c r="F840" i="4"/>
  <c r="R839" i="4"/>
  <c r="Q839" i="4"/>
  <c r="P839" i="4"/>
  <c r="M839" i="4"/>
  <c r="L839" i="4"/>
  <c r="K839" i="4"/>
  <c r="H839" i="4"/>
  <c r="G839" i="4"/>
  <c r="F839" i="4"/>
  <c r="R838" i="4"/>
  <c r="Q838" i="4"/>
  <c r="P838" i="4"/>
  <c r="M838" i="4"/>
  <c r="L838" i="4"/>
  <c r="K838" i="4"/>
  <c r="H838" i="4"/>
  <c r="G838" i="4"/>
  <c r="F838" i="4"/>
  <c r="R837" i="4"/>
  <c r="Q837" i="4"/>
  <c r="P837" i="4"/>
  <c r="M837" i="4"/>
  <c r="L837" i="4"/>
  <c r="K837" i="4"/>
  <c r="H837" i="4"/>
  <c r="G837" i="4"/>
  <c r="F837" i="4"/>
  <c r="R836" i="4"/>
  <c r="Q836" i="4"/>
  <c r="P836" i="4"/>
  <c r="M836" i="4"/>
  <c r="L836" i="4"/>
  <c r="K836" i="4"/>
  <c r="H836" i="4"/>
  <c r="G836" i="4"/>
  <c r="F836" i="4"/>
  <c r="R835" i="4"/>
  <c r="Q835" i="4"/>
  <c r="P835" i="4"/>
  <c r="M835" i="4"/>
  <c r="L835" i="4"/>
  <c r="K835" i="4"/>
  <c r="H835" i="4"/>
  <c r="G835" i="4"/>
  <c r="F835" i="4"/>
  <c r="R834" i="4"/>
  <c r="Q834" i="4"/>
  <c r="P834" i="4"/>
  <c r="M834" i="4"/>
  <c r="L834" i="4"/>
  <c r="K834" i="4"/>
  <c r="H834" i="4"/>
  <c r="G834" i="4"/>
  <c r="F834" i="4"/>
  <c r="R833" i="4"/>
  <c r="Q833" i="4"/>
  <c r="P833" i="4"/>
  <c r="M833" i="4"/>
  <c r="L833" i="4"/>
  <c r="K833" i="4"/>
  <c r="H833" i="4"/>
  <c r="G833" i="4"/>
  <c r="F833" i="4"/>
  <c r="R832" i="4"/>
  <c r="Q832" i="4"/>
  <c r="P832" i="4"/>
  <c r="M832" i="4"/>
  <c r="L832" i="4"/>
  <c r="K832" i="4"/>
  <c r="H832" i="4"/>
  <c r="G832" i="4"/>
  <c r="F832" i="4"/>
  <c r="R831" i="4"/>
  <c r="Q831" i="4"/>
  <c r="P831" i="4"/>
  <c r="M831" i="4"/>
  <c r="L831" i="4"/>
  <c r="K831" i="4"/>
  <c r="H831" i="4"/>
  <c r="G831" i="4"/>
  <c r="F831" i="4"/>
  <c r="R830" i="4"/>
  <c r="Q830" i="4"/>
  <c r="P830" i="4"/>
  <c r="M830" i="4"/>
  <c r="L830" i="4"/>
  <c r="K830" i="4"/>
  <c r="H830" i="4"/>
  <c r="G830" i="4"/>
  <c r="F830" i="4"/>
  <c r="R829" i="4"/>
  <c r="Q829" i="4"/>
  <c r="P829" i="4"/>
  <c r="M829" i="4"/>
  <c r="L829" i="4"/>
  <c r="K829" i="4"/>
  <c r="H829" i="4"/>
  <c r="G829" i="4"/>
  <c r="F829" i="4"/>
  <c r="R828" i="4"/>
  <c r="Q828" i="4"/>
  <c r="P828" i="4"/>
  <c r="M828" i="4"/>
  <c r="L828" i="4"/>
  <c r="K828" i="4"/>
  <c r="H828" i="4"/>
  <c r="G828" i="4"/>
  <c r="F828" i="4"/>
  <c r="R827" i="4"/>
  <c r="Q827" i="4"/>
  <c r="P827" i="4"/>
  <c r="M827" i="4"/>
  <c r="L827" i="4"/>
  <c r="K827" i="4"/>
  <c r="H827" i="4"/>
  <c r="G827" i="4"/>
  <c r="F827" i="4"/>
  <c r="R826" i="4"/>
  <c r="Q826" i="4"/>
  <c r="P826" i="4"/>
  <c r="M826" i="4"/>
  <c r="L826" i="4"/>
  <c r="K826" i="4"/>
  <c r="H826" i="4"/>
  <c r="G826" i="4"/>
  <c r="F826" i="4"/>
  <c r="R825" i="4"/>
  <c r="Q825" i="4"/>
  <c r="P825" i="4"/>
  <c r="M825" i="4"/>
  <c r="L825" i="4"/>
  <c r="K825" i="4"/>
  <c r="H825" i="4"/>
  <c r="G825" i="4"/>
  <c r="F825" i="4"/>
  <c r="R824" i="4"/>
  <c r="Q824" i="4"/>
  <c r="P824" i="4"/>
  <c r="M824" i="4"/>
  <c r="L824" i="4"/>
  <c r="K824" i="4"/>
  <c r="H824" i="4"/>
  <c r="G824" i="4"/>
  <c r="F824" i="4"/>
  <c r="R823" i="4"/>
  <c r="Q823" i="4"/>
  <c r="P823" i="4"/>
  <c r="M823" i="4"/>
  <c r="L823" i="4"/>
  <c r="K823" i="4"/>
  <c r="H823" i="4"/>
  <c r="G823" i="4"/>
  <c r="F823" i="4"/>
  <c r="R822" i="4"/>
  <c r="Q822" i="4"/>
  <c r="P822" i="4"/>
  <c r="M822" i="4"/>
  <c r="L822" i="4"/>
  <c r="K822" i="4"/>
  <c r="H822" i="4"/>
  <c r="G822" i="4"/>
  <c r="F822" i="4"/>
  <c r="R821" i="4"/>
  <c r="Q821" i="4"/>
  <c r="P821" i="4"/>
  <c r="M821" i="4"/>
  <c r="L821" i="4"/>
  <c r="K821" i="4"/>
  <c r="H821" i="4"/>
  <c r="G821" i="4"/>
  <c r="F821" i="4"/>
  <c r="R820" i="4"/>
  <c r="Q820" i="4"/>
  <c r="P820" i="4"/>
  <c r="M820" i="4"/>
  <c r="L820" i="4"/>
  <c r="K820" i="4"/>
  <c r="H820" i="4"/>
  <c r="G820" i="4"/>
  <c r="F820" i="4"/>
  <c r="R819" i="4"/>
  <c r="Q819" i="4"/>
  <c r="P819" i="4"/>
  <c r="M819" i="4"/>
  <c r="L819" i="4"/>
  <c r="K819" i="4"/>
  <c r="H819" i="4"/>
  <c r="G819" i="4"/>
  <c r="F819" i="4"/>
  <c r="R818" i="4"/>
  <c r="Q818" i="4"/>
  <c r="P818" i="4"/>
  <c r="M818" i="4"/>
  <c r="L818" i="4"/>
  <c r="K818" i="4"/>
  <c r="H818" i="4"/>
  <c r="G818" i="4"/>
  <c r="F818" i="4"/>
  <c r="R817" i="4"/>
  <c r="Q817" i="4"/>
  <c r="P817" i="4"/>
  <c r="M817" i="4"/>
  <c r="L817" i="4"/>
  <c r="K817" i="4"/>
  <c r="H817" i="4"/>
  <c r="G817" i="4"/>
  <c r="F817" i="4"/>
  <c r="R816" i="4"/>
  <c r="Q816" i="4"/>
  <c r="P816" i="4"/>
  <c r="M816" i="4"/>
  <c r="L816" i="4"/>
  <c r="K816" i="4"/>
  <c r="H816" i="4"/>
  <c r="G816" i="4"/>
  <c r="F816" i="4"/>
  <c r="R815" i="4"/>
  <c r="Q815" i="4"/>
  <c r="P815" i="4"/>
  <c r="M815" i="4"/>
  <c r="L815" i="4"/>
  <c r="K815" i="4"/>
  <c r="H815" i="4"/>
  <c r="G815" i="4"/>
  <c r="F815" i="4"/>
  <c r="R814" i="4"/>
  <c r="Q814" i="4"/>
  <c r="P814" i="4"/>
  <c r="M814" i="4"/>
  <c r="L814" i="4"/>
  <c r="K814" i="4"/>
  <c r="H814" i="4"/>
  <c r="G814" i="4"/>
  <c r="F814" i="4"/>
  <c r="R813" i="4"/>
  <c r="Q813" i="4"/>
  <c r="P813" i="4"/>
  <c r="M813" i="4"/>
  <c r="L813" i="4"/>
  <c r="K813" i="4"/>
  <c r="H813" i="4"/>
  <c r="G813" i="4"/>
  <c r="F813" i="4"/>
  <c r="R812" i="4"/>
  <c r="Q812" i="4"/>
  <c r="P812" i="4"/>
  <c r="M812" i="4"/>
  <c r="L812" i="4"/>
  <c r="K812" i="4"/>
  <c r="H812" i="4"/>
  <c r="G812" i="4"/>
  <c r="F812" i="4"/>
  <c r="R811" i="4"/>
  <c r="Q811" i="4"/>
  <c r="P811" i="4"/>
  <c r="M811" i="4"/>
  <c r="L811" i="4"/>
  <c r="K811" i="4"/>
  <c r="H811" i="4"/>
  <c r="G811" i="4"/>
  <c r="F811" i="4"/>
  <c r="R810" i="4"/>
  <c r="Q810" i="4"/>
  <c r="P810" i="4"/>
  <c r="M810" i="4"/>
  <c r="L810" i="4"/>
  <c r="K810" i="4"/>
  <c r="H810" i="4"/>
  <c r="G810" i="4"/>
  <c r="F810" i="4"/>
  <c r="R809" i="4"/>
  <c r="Q809" i="4"/>
  <c r="P809" i="4"/>
  <c r="M809" i="4"/>
  <c r="L809" i="4"/>
  <c r="K809" i="4"/>
  <c r="H809" i="4"/>
  <c r="G809" i="4"/>
  <c r="F809" i="4"/>
  <c r="R808" i="4"/>
  <c r="Q808" i="4"/>
  <c r="P808" i="4"/>
  <c r="M808" i="4"/>
  <c r="L808" i="4"/>
  <c r="K808" i="4"/>
  <c r="H808" i="4"/>
  <c r="G808" i="4"/>
  <c r="F808" i="4"/>
  <c r="R807" i="4"/>
  <c r="Q807" i="4"/>
  <c r="P807" i="4"/>
  <c r="M807" i="4"/>
  <c r="L807" i="4"/>
  <c r="K807" i="4"/>
  <c r="H807" i="4"/>
  <c r="G807" i="4"/>
  <c r="F807" i="4"/>
  <c r="R806" i="4"/>
  <c r="Q806" i="4"/>
  <c r="P806" i="4"/>
  <c r="M806" i="4"/>
  <c r="L806" i="4"/>
  <c r="K806" i="4"/>
  <c r="H806" i="4"/>
  <c r="G806" i="4"/>
  <c r="F806" i="4"/>
  <c r="R805" i="4"/>
  <c r="Q805" i="4"/>
  <c r="P805" i="4"/>
  <c r="M805" i="4"/>
  <c r="L805" i="4"/>
  <c r="K805" i="4"/>
  <c r="H805" i="4"/>
  <c r="G805" i="4"/>
  <c r="F805" i="4"/>
  <c r="R804" i="4"/>
  <c r="Q804" i="4"/>
  <c r="P804" i="4"/>
  <c r="M804" i="4"/>
  <c r="L804" i="4"/>
  <c r="K804" i="4"/>
  <c r="H804" i="4"/>
  <c r="G804" i="4"/>
  <c r="F804" i="4"/>
  <c r="R803" i="4"/>
  <c r="Q803" i="4"/>
  <c r="P803" i="4"/>
  <c r="M803" i="4"/>
  <c r="L803" i="4"/>
  <c r="K803" i="4"/>
  <c r="H803" i="4"/>
  <c r="G803" i="4"/>
  <c r="F803" i="4"/>
  <c r="R802" i="4"/>
  <c r="Q802" i="4"/>
  <c r="P802" i="4"/>
  <c r="M802" i="4"/>
  <c r="L802" i="4"/>
  <c r="K802" i="4"/>
  <c r="H802" i="4"/>
  <c r="G802" i="4"/>
  <c r="F802" i="4"/>
  <c r="R801" i="4"/>
  <c r="Q801" i="4"/>
  <c r="P801" i="4"/>
  <c r="M801" i="4"/>
  <c r="L801" i="4"/>
  <c r="K801" i="4"/>
  <c r="H801" i="4"/>
  <c r="G801" i="4"/>
  <c r="F801" i="4"/>
  <c r="R800" i="4"/>
  <c r="Q800" i="4"/>
  <c r="P800" i="4"/>
  <c r="M800" i="4"/>
  <c r="L800" i="4"/>
  <c r="K800" i="4"/>
  <c r="H800" i="4"/>
  <c r="G800" i="4"/>
  <c r="F800" i="4"/>
  <c r="R799" i="4"/>
  <c r="Q799" i="4"/>
  <c r="P799" i="4"/>
  <c r="M799" i="4"/>
  <c r="L799" i="4"/>
  <c r="K799" i="4"/>
  <c r="H799" i="4"/>
  <c r="G799" i="4"/>
  <c r="F799" i="4"/>
  <c r="R798" i="4"/>
  <c r="Q798" i="4"/>
  <c r="P798" i="4"/>
  <c r="M798" i="4"/>
  <c r="L798" i="4"/>
  <c r="K798" i="4"/>
  <c r="H798" i="4"/>
  <c r="G798" i="4"/>
  <c r="F798" i="4"/>
  <c r="R797" i="4"/>
  <c r="Q797" i="4"/>
  <c r="P797" i="4"/>
  <c r="M797" i="4"/>
  <c r="L797" i="4"/>
  <c r="K797" i="4"/>
  <c r="H797" i="4"/>
  <c r="G797" i="4"/>
  <c r="F797" i="4"/>
  <c r="R796" i="4"/>
  <c r="Q796" i="4"/>
  <c r="P796" i="4"/>
  <c r="M796" i="4"/>
  <c r="L796" i="4"/>
  <c r="K796" i="4"/>
  <c r="H796" i="4"/>
  <c r="G796" i="4"/>
  <c r="F796" i="4"/>
  <c r="R795" i="4"/>
  <c r="Q795" i="4"/>
  <c r="P795" i="4"/>
  <c r="M795" i="4"/>
  <c r="L795" i="4"/>
  <c r="K795" i="4"/>
  <c r="H795" i="4"/>
  <c r="G795" i="4"/>
  <c r="F795" i="4"/>
  <c r="R794" i="4"/>
  <c r="Q794" i="4"/>
  <c r="P794" i="4"/>
  <c r="M794" i="4"/>
  <c r="L794" i="4"/>
  <c r="K794" i="4"/>
  <c r="H794" i="4"/>
  <c r="G794" i="4"/>
  <c r="F794" i="4"/>
  <c r="R793" i="4"/>
  <c r="Q793" i="4"/>
  <c r="P793" i="4"/>
  <c r="M793" i="4"/>
  <c r="L793" i="4"/>
  <c r="K793" i="4"/>
  <c r="H793" i="4"/>
  <c r="G793" i="4"/>
  <c r="F793" i="4"/>
  <c r="R792" i="4"/>
  <c r="Q792" i="4"/>
  <c r="P792" i="4"/>
  <c r="M792" i="4"/>
  <c r="L792" i="4"/>
  <c r="K792" i="4"/>
  <c r="H792" i="4"/>
  <c r="G792" i="4"/>
  <c r="F792" i="4"/>
  <c r="R791" i="4"/>
  <c r="Q791" i="4"/>
  <c r="P791" i="4"/>
  <c r="M791" i="4"/>
  <c r="L791" i="4"/>
  <c r="K791" i="4"/>
  <c r="H791" i="4"/>
  <c r="G791" i="4"/>
  <c r="F791" i="4"/>
  <c r="R790" i="4"/>
  <c r="Q790" i="4"/>
  <c r="P790" i="4"/>
  <c r="M790" i="4"/>
  <c r="L790" i="4"/>
  <c r="K790" i="4"/>
  <c r="H790" i="4"/>
  <c r="G790" i="4"/>
  <c r="F790" i="4"/>
  <c r="R789" i="4"/>
  <c r="Q789" i="4"/>
  <c r="P789" i="4"/>
  <c r="M789" i="4"/>
  <c r="L789" i="4"/>
  <c r="K789" i="4"/>
  <c r="H789" i="4"/>
  <c r="G789" i="4"/>
  <c r="F789" i="4"/>
  <c r="R788" i="4"/>
  <c r="Q788" i="4"/>
  <c r="P788" i="4"/>
  <c r="M788" i="4"/>
  <c r="L788" i="4"/>
  <c r="K788" i="4"/>
  <c r="H788" i="4"/>
  <c r="G788" i="4"/>
  <c r="F788" i="4"/>
  <c r="R787" i="4"/>
  <c r="Q787" i="4"/>
  <c r="P787" i="4"/>
  <c r="M787" i="4"/>
  <c r="L787" i="4"/>
  <c r="K787" i="4"/>
  <c r="H787" i="4"/>
  <c r="G787" i="4"/>
  <c r="F787" i="4"/>
  <c r="R786" i="4"/>
  <c r="Q786" i="4"/>
  <c r="P786" i="4"/>
  <c r="M786" i="4"/>
  <c r="L786" i="4"/>
  <c r="K786" i="4"/>
  <c r="H786" i="4"/>
  <c r="G786" i="4"/>
  <c r="F786" i="4"/>
  <c r="R785" i="4"/>
  <c r="Q785" i="4"/>
  <c r="P785" i="4"/>
  <c r="M785" i="4"/>
  <c r="L785" i="4"/>
  <c r="K785" i="4"/>
  <c r="H785" i="4"/>
  <c r="G785" i="4"/>
  <c r="F785" i="4"/>
  <c r="R784" i="4"/>
  <c r="Q784" i="4"/>
  <c r="P784" i="4"/>
  <c r="M784" i="4"/>
  <c r="L784" i="4"/>
  <c r="K784" i="4"/>
  <c r="H784" i="4"/>
  <c r="G784" i="4"/>
  <c r="F784" i="4"/>
  <c r="R783" i="4"/>
  <c r="Q783" i="4"/>
  <c r="P783" i="4"/>
  <c r="M783" i="4"/>
  <c r="L783" i="4"/>
  <c r="K783" i="4"/>
  <c r="H783" i="4"/>
  <c r="G783" i="4"/>
  <c r="F783" i="4"/>
  <c r="R782" i="4"/>
  <c r="Q782" i="4"/>
  <c r="P782" i="4"/>
  <c r="M782" i="4"/>
  <c r="L782" i="4"/>
  <c r="K782" i="4"/>
  <c r="H782" i="4"/>
  <c r="G782" i="4"/>
  <c r="F782" i="4"/>
  <c r="R781" i="4"/>
  <c r="Q781" i="4"/>
  <c r="P781" i="4"/>
  <c r="M781" i="4"/>
  <c r="L781" i="4"/>
  <c r="K781" i="4"/>
  <c r="H781" i="4"/>
  <c r="G781" i="4"/>
  <c r="F781" i="4"/>
  <c r="R780" i="4"/>
  <c r="Q780" i="4"/>
  <c r="P780" i="4"/>
  <c r="M780" i="4"/>
  <c r="L780" i="4"/>
  <c r="K780" i="4"/>
  <c r="H780" i="4"/>
  <c r="G780" i="4"/>
  <c r="F780" i="4"/>
  <c r="R779" i="4"/>
  <c r="Q779" i="4"/>
  <c r="P779" i="4"/>
  <c r="M779" i="4"/>
  <c r="L779" i="4"/>
  <c r="K779" i="4"/>
  <c r="H779" i="4"/>
  <c r="G779" i="4"/>
  <c r="F779" i="4"/>
  <c r="R778" i="4"/>
  <c r="Q778" i="4"/>
  <c r="P778" i="4"/>
  <c r="M778" i="4"/>
  <c r="L778" i="4"/>
  <c r="K778" i="4"/>
  <c r="H778" i="4"/>
  <c r="G778" i="4"/>
  <c r="F778" i="4"/>
  <c r="R777" i="4"/>
  <c r="Q777" i="4"/>
  <c r="P777" i="4"/>
  <c r="M777" i="4"/>
  <c r="L777" i="4"/>
  <c r="K777" i="4"/>
  <c r="H777" i="4"/>
  <c r="G777" i="4"/>
  <c r="F777" i="4"/>
  <c r="R776" i="4"/>
  <c r="Q776" i="4"/>
  <c r="P776" i="4"/>
  <c r="M776" i="4"/>
  <c r="L776" i="4"/>
  <c r="K776" i="4"/>
  <c r="H776" i="4"/>
  <c r="G776" i="4"/>
  <c r="F776" i="4"/>
  <c r="R775" i="4"/>
  <c r="Q775" i="4"/>
  <c r="P775" i="4"/>
  <c r="M775" i="4"/>
  <c r="L775" i="4"/>
  <c r="K775" i="4"/>
  <c r="H775" i="4"/>
  <c r="G775" i="4"/>
  <c r="F775" i="4"/>
  <c r="R774" i="4"/>
  <c r="Q774" i="4"/>
  <c r="P774" i="4"/>
  <c r="M774" i="4"/>
  <c r="L774" i="4"/>
  <c r="K774" i="4"/>
  <c r="H774" i="4"/>
  <c r="G774" i="4"/>
  <c r="F774" i="4"/>
  <c r="R773" i="4"/>
  <c r="Q773" i="4"/>
  <c r="P773" i="4"/>
  <c r="M773" i="4"/>
  <c r="L773" i="4"/>
  <c r="K773" i="4"/>
  <c r="H773" i="4"/>
  <c r="G773" i="4"/>
  <c r="F773" i="4"/>
  <c r="R772" i="4"/>
  <c r="Q772" i="4"/>
  <c r="P772" i="4"/>
  <c r="M772" i="4"/>
  <c r="L772" i="4"/>
  <c r="K772" i="4"/>
  <c r="H772" i="4"/>
  <c r="G772" i="4"/>
  <c r="F772" i="4"/>
  <c r="R771" i="4"/>
  <c r="Q771" i="4"/>
  <c r="P771" i="4"/>
  <c r="M771" i="4"/>
  <c r="L771" i="4"/>
  <c r="K771" i="4"/>
  <c r="H771" i="4"/>
  <c r="G771" i="4"/>
  <c r="F771" i="4"/>
  <c r="R770" i="4"/>
  <c r="Q770" i="4"/>
  <c r="P770" i="4"/>
  <c r="M770" i="4"/>
  <c r="L770" i="4"/>
  <c r="K770" i="4"/>
  <c r="H770" i="4"/>
  <c r="G770" i="4"/>
  <c r="F770" i="4"/>
  <c r="R769" i="4"/>
  <c r="Q769" i="4"/>
  <c r="P769" i="4"/>
  <c r="M769" i="4"/>
  <c r="L769" i="4"/>
  <c r="K769" i="4"/>
  <c r="H769" i="4"/>
  <c r="G769" i="4"/>
  <c r="F769" i="4"/>
  <c r="R768" i="4"/>
  <c r="Q768" i="4"/>
  <c r="P768" i="4"/>
  <c r="M768" i="4"/>
  <c r="L768" i="4"/>
  <c r="K768" i="4"/>
  <c r="H768" i="4"/>
  <c r="G768" i="4"/>
  <c r="F768" i="4"/>
  <c r="R767" i="4"/>
  <c r="Q767" i="4"/>
  <c r="P767" i="4"/>
  <c r="M767" i="4"/>
  <c r="L767" i="4"/>
  <c r="K767" i="4"/>
  <c r="H767" i="4"/>
  <c r="G767" i="4"/>
  <c r="F767" i="4"/>
  <c r="R766" i="4"/>
  <c r="Q766" i="4"/>
  <c r="P766" i="4"/>
  <c r="M766" i="4"/>
  <c r="L766" i="4"/>
  <c r="K766" i="4"/>
  <c r="H766" i="4"/>
  <c r="G766" i="4"/>
  <c r="F766" i="4"/>
  <c r="R765" i="4"/>
  <c r="Q765" i="4"/>
  <c r="P765" i="4"/>
  <c r="M765" i="4"/>
  <c r="L765" i="4"/>
  <c r="K765" i="4"/>
  <c r="H765" i="4"/>
  <c r="G765" i="4"/>
  <c r="F765" i="4"/>
  <c r="R764" i="4"/>
  <c r="Q764" i="4"/>
  <c r="P764" i="4"/>
  <c r="M764" i="4"/>
  <c r="L764" i="4"/>
  <c r="K764" i="4"/>
  <c r="H764" i="4"/>
  <c r="G764" i="4"/>
  <c r="F764" i="4"/>
  <c r="R763" i="4"/>
  <c r="Q763" i="4"/>
  <c r="P763" i="4"/>
  <c r="M763" i="4"/>
  <c r="L763" i="4"/>
  <c r="K763" i="4"/>
  <c r="H763" i="4"/>
  <c r="G763" i="4"/>
  <c r="F763" i="4"/>
  <c r="R762" i="4"/>
  <c r="Q762" i="4"/>
  <c r="P762" i="4"/>
  <c r="M762" i="4"/>
  <c r="L762" i="4"/>
  <c r="K762" i="4"/>
  <c r="H762" i="4"/>
  <c r="G762" i="4"/>
  <c r="F762" i="4"/>
  <c r="R761" i="4"/>
  <c r="Q761" i="4"/>
  <c r="P761" i="4"/>
  <c r="M761" i="4"/>
  <c r="L761" i="4"/>
  <c r="K761" i="4"/>
  <c r="H761" i="4"/>
  <c r="G761" i="4"/>
  <c r="F761" i="4"/>
  <c r="R760" i="4"/>
  <c r="Q760" i="4"/>
  <c r="P760" i="4"/>
  <c r="M760" i="4"/>
  <c r="L760" i="4"/>
  <c r="K760" i="4"/>
  <c r="H760" i="4"/>
  <c r="G760" i="4"/>
  <c r="F760" i="4"/>
  <c r="R759" i="4"/>
  <c r="Q759" i="4"/>
  <c r="P759" i="4"/>
  <c r="M759" i="4"/>
  <c r="L759" i="4"/>
  <c r="K759" i="4"/>
  <c r="H759" i="4"/>
  <c r="G759" i="4"/>
  <c r="F759" i="4"/>
  <c r="R758" i="4"/>
  <c r="Q758" i="4"/>
  <c r="P758" i="4"/>
  <c r="M758" i="4"/>
  <c r="L758" i="4"/>
  <c r="K758" i="4"/>
  <c r="H758" i="4"/>
  <c r="G758" i="4"/>
  <c r="F758" i="4"/>
  <c r="R757" i="4"/>
  <c r="Q757" i="4"/>
  <c r="P757" i="4"/>
  <c r="M757" i="4"/>
  <c r="L757" i="4"/>
  <c r="K757" i="4"/>
  <c r="H757" i="4"/>
  <c r="G757" i="4"/>
  <c r="F757" i="4"/>
  <c r="R756" i="4"/>
  <c r="Q756" i="4"/>
  <c r="P756" i="4"/>
  <c r="M756" i="4"/>
  <c r="L756" i="4"/>
  <c r="K756" i="4"/>
  <c r="H756" i="4"/>
  <c r="G756" i="4"/>
  <c r="F756" i="4"/>
  <c r="R755" i="4"/>
  <c r="Q755" i="4"/>
  <c r="P755" i="4"/>
  <c r="M755" i="4"/>
  <c r="L755" i="4"/>
  <c r="K755" i="4"/>
  <c r="H755" i="4"/>
  <c r="G755" i="4"/>
  <c r="F755" i="4"/>
  <c r="R754" i="4"/>
  <c r="Q754" i="4"/>
  <c r="P754" i="4"/>
  <c r="M754" i="4"/>
  <c r="L754" i="4"/>
  <c r="K754" i="4"/>
  <c r="H754" i="4"/>
  <c r="G754" i="4"/>
  <c r="F754" i="4"/>
  <c r="R753" i="4"/>
  <c r="Q753" i="4"/>
  <c r="P753" i="4"/>
  <c r="M753" i="4"/>
  <c r="L753" i="4"/>
  <c r="K753" i="4"/>
  <c r="H753" i="4"/>
  <c r="G753" i="4"/>
  <c r="F753" i="4"/>
  <c r="R752" i="4"/>
  <c r="Q752" i="4"/>
  <c r="P752" i="4"/>
  <c r="M752" i="4"/>
  <c r="L752" i="4"/>
  <c r="K752" i="4"/>
  <c r="H752" i="4"/>
  <c r="G752" i="4"/>
  <c r="F752" i="4"/>
  <c r="R751" i="4"/>
  <c r="Q751" i="4"/>
  <c r="P751" i="4"/>
  <c r="M751" i="4"/>
  <c r="L751" i="4"/>
  <c r="K751" i="4"/>
  <c r="H751" i="4"/>
  <c r="G751" i="4"/>
  <c r="F751" i="4"/>
  <c r="R750" i="4"/>
  <c r="Q750" i="4"/>
  <c r="P750" i="4"/>
  <c r="M750" i="4"/>
  <c r="L750" i="4"/>
  <c r="K750" i="4"/>
  <c r="H750" i="4"/>
  <c r="G750" i="4"/>
  <c r="F750" i="4"/>
  <c r="R749" i="4"/>
  <c r="Q749" i="4"/>
  <c r="P749" i="4"/>
  <c r="M749" i="4"/>
  <c r="L749" i="4"/>
  <c r="K749" i="4"/>
  <c r="H749" i="4"/>
  <c r="G749" i="4"/>
  <c r="F749" i="4"/>
  <c r="R748" i="4"/>
  <c r="Q748" i="4"/>
  <c r="P748" i="4"/>
  <c r="M748" i="4"/>
  <c r="L748" i="4"/>
  <c r="K748" i="4"/>
  <c r="H748" i="4"/>
  <c r="G748" i="4"/>
  <c r="F748" i="4"/>
  <c r="R747" i="4"/>
  <c r="Q747" i="4"/>
  <c r="P747" i="4"/>
  <c r="M747" i="4"/>
  <c r="L747" i="4"/>
  <c r="K747" i="4"/>
  <c r="H747" i="4"/>
  <c r="G747" i="4"/>
  <c r="F747" i="4"/>
  <c r="R746" i="4"/>
  <c r="Q746" i="4"/>
  <c r="P746" i="4"/>
  <c r="M746" i="4"/>
  <c r="L746" i="4"/>
  <c r="K746" i="4"/>
  <c r="H746" i="4"/>
  <c r="G746" i="4"/>
  <c r="F746" i="4"/>
  <c r="R745" i="4"/>
  <c r="Q745" i="4"/>
  <c r="P745" i="4"/>
  <c r="M745" i="4"/>
  <c r="L745" i="4"/>
  <c r="K745" i="4"/>
  <c r="H745" i="4"/>
  <c r="G745" i="4"/>
  <c r="F745" i="4"/>
  <c r="R744" i="4"/>
  <c r="Q744" i="4"/>
  <c r="P744" i="4"/>
  <c r="M744" i="4"/>
  <c r="L744" i="4"/>
  <c r="K744" i="4"/>
  <c r="H744" i="4"/>
  <c r="G744" i="4"/>
  <c r="F744" i="4"/>
  <c r="R743" i="4"/>
  <c r="Q743" i="4"/>
  <c r="P743" i="4"/>
  <c r="M743" i="4"/>
  <c r="L743" i="4"/>
  <c r="K743" i="4"/>
  <c r="H743" i="4"/>
  <c r="G743" i="4"/>
  <c r="F743" i="4"/>
  <c r="R742" i="4"/>
  <c r="Q742" i="4"/>
  <c r="P742" i="4"/>
  <c r="M742" i="4"/>
  <c r="L742" i="4"/>
  <c r="K742" i="4"/>
  <c r="H742" i="4"/>
  <c r="G742" i="4"/>
  <c r="F742" i="4"/>
  <c r="R741" i="4"/>
  <c r="Q741" i="4"/>
  <c r="P741" i="4"/>
  <c r="M741" i="4"/>
  <c r="L741" i="4"/>
  <c r="K741" i="4"/>
  <c r="H741" i="4"/>
  <c r="G741" i="4"/>
  <c r="F741" i="4"/>
  <c r="R740" i="4"/>
  <c r="Q740" i="4"/>
  <c r="P740" i="4"/>
  <c r="M740" i="4"/>
  <c r="L740" i="4"/>
  <c r="K740" i="4"/>
  <c r="H740" i="4"/>
  <c r="G740" i="4"/>
  <c r="F740" i="4"/>
  <c r="R739" i="4"/>
  <c r="Q739" i="4"/>
  <c r="P739" i="4"/>
  <c r="M739" i="4"/>
  <c r="L739" i="4"/>
  <c r="K739" i="4"/>
  <c r="H739" i="4"/>
  <c r="G739" i="4"/>
  <c r="F739" i="4"/>
  <c r="R738" i="4"/>
  <c r="Q738" i="4"/>
  <c r="P738" i="4"/>
  <c r="M738" i="4"/>
  <c r="L738" i="4"/>
  <c r="K738" i="4"/>
  <c r="H738" i="4"/>
  <c r="G738" i="4"/>
  <c r="F738" i="4"/>
  <c r="R737" i="4"/>
  <c r="Q737" i="4"/>
  <c r="P737" i="4"/>
  <c r="M737" i="4"/>
  <c r="L737" i="4"/>
  <c r="K737" i="4"/>
  <c r="H737" i="4"/>
  <c r="G737" i="4"/>
  <c r="F737" i="4"/>
  <c r="R736" i="4"/>
  <c r="Q736" i="4"/>
  <c r="P736" i="4"/>
  <c r="M736" i="4"/>
  <c r="L736" i="4"/>
  <c r="K736" i="4"/>
  <c r="H736" i="4"/>
  <c r="G736" i="4"/>
  <c r="F736" i="4"/>
  <c r="R735" i="4"/>
  <c r="Q735" i="4"/>
  <c r="P735" i="4"/>
  <c r="M735" i="4"/>
  <c r="L735" i="4"/>
  <c r="K735" i="4"/>
  <c r="H735" i="4"/>
  <c r="G735" i="4"/>
  <c r="F735" i="4"/>
  <c r="R734" i="4"/>
  <c r="Q734" i="4"/>
  <c r="P734" i="4"/>
  <c r="M734" i="4"/>
  <c r="L734" i="4"/>
  <c r="K734" i="4"/>
  <c r="H734" i="4"/>
  <c r="G734" i="4"/>
  <c r="F734" i="4"/>
  <c r="R733" i="4"/>
  <c r="Q733" i="4"/>
  <c r="P733" i="4"/>
  <c r="M733" i="4"/>
  <c r="L733" i="4"/>
  <c r="K733" i="4"/>
  <c r="H733" i="4"/>
  <c r="G733" i="4"/>
  <c r="F733" i="4"/>
  <c r="R732" i="4"/>
  <c r="Q732" i="4"/>
  <c r="P732" i="4"/>
  <c r="M732" i="4"/>
  <c r="L732" i="4"/>
  <c r="K732" i="4"/>
  <c r="H732" i="4"/>
  <c r="G732" i="4"/>
  <c r="F732" i="4"/>
  <c r="R731" i="4"/>
  <c r="Q731" i="4"/>
  <c r="P731" i="4"/>
  <c r="M731" i="4"/>
  <c r="L731" i="4"/>
  <c r="K731" i="4"/>
  <c r="H731" i="4"/>
  <c r="G731" i="4"/>
  <c r="F731" i="4"/>
  <c r="R730" i="4"/>
  <c r="Q730" i="4"/>
  <c r="P730" i="4"/>
  <c r="M730" i="4"/>
  <c r="L730" i="4"/>
  <c r="K730" i="4"/>
  <c r="H730" i="4"/>
  <c r="G730" i="4"/>
  <c r="F730" i="4"/>
  <c r="R729" i="4"/>
  <c r="Q729" i="4"/>
  <c r="P729" i="4"/>
  <c r="M729" i="4"/>
  <c r="L729" i="4"/>
  <c r="K729" i="4"/>
  <c r="H729" i="4"/>
  <c r="G729" i="4"/>
  <c r="F729" i="4"/>
  <c r="R728" i="4"/>
  <c r="Q728" i="4"/>
  <c r="P728" i="4"/>
  <c r="M728" i="4"/>
  <c r="L728" i="4"/>
  <c r="K728" i="4"/>
  <c r="H728" i="4"/>
  <c r="G728" i="4"/>
  <c r="F728" i="4"/>
  <c r="R727" i="4"/>
  <c r="Q727" i="4"/>
  <c r="P727" i="4"/>
  <c r="M727" i="4"/>
  <c r="L727" i="4"/>
  <c r="K727" i="4"/>
  <c r="H727" i="4"/>
  <c r="G727" i="4"/>
  <c r="F727" i="4"/>
  <c r="R726" i="4"/>
  <c r="Q726" i="4"/>
  <c r="P726" i="4"/>
  <c r="M726" i="4"/>
  <c r="L726" i="4"/>
  <c r="K726" i="4"/>
  <c r="H726" i="4"/>
  <c r="G726" i="4"/>
  <c r="F726" i="4"/>
  <c r="R725" i="4"/>
  <c r="Q725" i="4"/>
  <c r="P725" i="4"/>
  <c r="M725" i="4"/>
  <c r="L725" i="4"/>
  <c r="K725" i="4"/>
  <c r="H725" i="4"/>
  <c r="G725" i="4"/>
  <c r="F725" i="4"/>
  <c r="R724" i="4"/>
  <c r="Q724" i="4"/>
  <c r="P724" i="4"/>
  <c r="M724" i="4"/>
  <c r="L724" i="4"/>
  <c r="K724" i="4"/>
  <c r="H724" i="4"/>
  <c r="G724" i="4"/>
  <c r="F724" i="4"/>
  <c r="R723" i="4"/>
  <c r="Q723" i="4"/>
  <c r="P723" i="4"/>
  <c r="M723" i="4"/>
  <c r="L723" i="4"/>
  <c r="K723" i="4"/>
  <c r="H723" i="4"/>
  <c r="G723" i="4"/>
  <c r="F723" i="4"/>
  <c r="R722" i="4"/>
  <c r="Q722" i="4"/>
  <c r="P722" i="4"/>
  <c r="M722" i="4"/>
  <c r="L722" i="4"/>
  <c r="K722" i="4"/>
  <c r="H722" i="4"/>
  <c r="G722" i="4"/>
  <c r="F722" i="4"/>
  <c r="R721" i="4"/>
  <c r="Q721" i="4"/>
  <c r="P721" i="4"/>
  <c r="M721" i="4"/>
  <c r="L721" i="4"/>
  <c r="K721" i="4"/>
  <c r="H721" i="4"/>
  <c r="G721" i="4"/>
  <c r="F721" i="4"/>
  <c r="R720" i="4"/>
  <c r="Q720" i="4"/>
  <c r="P720" i="4"/>
  <c r="M720" i="4"/>
  <c r="L720" i="4"/>
  <c r="K720" i="4"/>
  <c r="H720" i="4"/>
  <c r="G720" i="4"/>
  <c r="F720" i="4"/>
  <c r="R719" i="4"/>
  <c r="Q719" i="4"/>
  <c r="P719" i="4"/>
  <c r="M719" i="4"/>
  <c r="L719" i="4"/>
  <c r="K719" i="4"/>
  <c r="H719" i="4"/>
  <c r="G719" i="4"/>
  <c r="F719" i="4"/>
  <c r="R718" i="4"/>
  <c r="Q718" i="4"/>
  <c r="P718" i="4"/>
  <c r="M718" i="4"/>
  <c r="L718" i="4"/>
  <c r="K718" i="4"/>
  <c r="H718" i="4"/>
  <c r="G718" i="4"/>
  <c r="F718" i="4"/>
  <c r="R717" i="4"/>
  <c r="Q717" i="4"/>
  <c r="P717" i="4"/>
  <c r="M717" i="4"/>
  <c r="L717" i="4"/>
  <c r="K717" i="4"/>
  <c r="H717" i="4"/>
  <c r="G717" i="4"/>
  <c r="F717" i="4"/>
  <c r="R716" i="4"/>
  <c r="Q716" i="4"/>
  <c r="P716" i="4"/>
  <c r="M716" i="4"/>
  <c r="L716" i="4"/>
  <c r="K716" i="4"/>
  <c r="H716" i="4"/>
  <c r="G716" i="4"/>
  <c r="F716" i="4"/>
  <c r="R715" i="4"/>
  <c r="Q715" i="4"/>
  <c r="P715" i="4"/>
  <c r="M715" i="4"/>
  <c r="L715" i="4"/>
  <c r="K715" i="4"/>
  <c r="H715" i="4"/>
  <c r="G715" i="4"/>
  <c r="F715" i="4"/>
  <c r="R714" i="4"/>
  <c r="Q714" i="4"/>
  <c r="P714" i="4"/>
  <c r="M714" i="4"/>
  <c r="L714" i="4"/>
  <c r="K714" i="4"/>
  <c r="H714" i="4"/>
  <c r="G714" i="4"/>
  <c r="F714" i="4"/>
  <c r="R713" i="4"/>
  <c r="Q713" i="4"/>
  <c r="P713" i="4"/>
  <c r="M713" i="4"/>
  <c r="L713" i="4"/>
  <c r="K713" i="4"/>
  <c r="H713" i="4"/>
  <c r="G713" i="4"/>
  <c r="F713" i="4"/>
  <c r="R712" i="4"/>
  <c r="Q712" i="4"/>
  <c r="P712" i="4"/>
  <c r="M712" i="4"/>
  <c r="L712" i="4"/>
  <c r="K712" i="4"/>
  <c r="H712" i="4"/>
  <c r="G712" i="4"/>
  <c r="F712" i="4"/>
  <c r="R711" i="4"/>
  <c r="Q711" i="4"/>
  <c r="P711" i="4"/>
  <c r="M711" i="4"/>
  <c r="L711" i="4"/>
  <c r="K711" i="4"/>
  <c r="H711" i="4"/>
  <c r="G711" i="4"/>
  <c r="F711" i="4"/>
  <c r="R710" i="4"/>
  <c r="Q710" i="4"/>
  <c r="P710" i="4"/>
  <c r="M710" i="4"/>
  <c r="L710" i="4"/>
  <c r="K710" i="4"/>
  <c r="H710" i="4"/>
  <c r="G710" i="4"/>
  <c r="F710" i="4"/>
  <c r="R709" i="4"/>
  <c r="Q709" i="4"/>
  <c r="P709" i="4"/>
  <c r="M709" i="4"/>
  <c r="L709" i="4"/>
  <c r="K709" i="4"/>
  <c r="H709" i="4"/>
  <c r="G709" i="4"/>
  <c r="F709" i="4"/>
  <c r="R708" i="4"/>
  <c r="Q708" i="4"/>
  <c r="P708" i="4"/>
  <c r="M708" i="4"/>
  <c r="L708" i="4"/>
  <c r="K708" i="4"/>
  <c r="H708" i="4"/>
  <c r="G708" i="4"/>
  <c r="F708" i="4"/>
  <c r="R707" i="4"/>
  <c r="Q707" i="4"/>
  <c r="P707" i="4"/>
  <c r="M707" i="4"/>
  <c r="L707" i="4"/>
  <c r="K707" i="4"/>
  <c r="H707" i="4"/>
  <c r="G707" i="4"/>
  <c r="F707" i="4"/>
  <c r="R706" i="4"/>
  <c r="Q706" i="4"/>
  <c r="P706" i="4"/>
  <c r="M706" i="4"/>
  <c r="L706" i="4"/>
  <c r="K706" i="4"/>
  <c r="H706" i="4"/>
  <c r="G706" i="4"/>
  <c r="F706" i="4"/>
  <c r="R705" i="4"/>
  <c r="Q705" i="4"/>
  <c r="P705" i="4"/>
  <c r="M705" i="4"/>
  <c r="L705" i="4"/>
  <c r="K705" i="4"/>
  <c r="H705" i="4"/>
  <c r="G705" i="4"/>
  <c r="F705" i="4"/>
  <c r="R704" i="4"/>
  <c r="Q704" i="4"/>
  <c r="P704" i="4"/>
  <c r="M704" i="4"/>
  <c r="L704" i="4"/>
  <c r="K704" i="4"/>
  <c r="H704" i="4"/>
  <c r="G704" i="4"/>
  <c r="F704" i="4"/>
  <c r="R703" i="4"/>
  <c r="Q703" i="4"/>
  <c r="P703" i="4"/>
  <c r="M703" i="4"/>
  <c r="L703" i="4"/>
  <c r="K703" i="4"/>
  <c r="H703" i="4"/>
  <c r="G703" i="4"/>
  <c r="F703" i="4"/>
  <c r="R702" i="4"/>
  <c r="Q702" i="4"/>
  <c r="P702" i="4"/>
  <c r="M702" i="4"/>
  <c r="L702" i="4"/>
  <c r="K702" i="4"/>
  <c r="H702" i="4"/>
  <c r="G702" i="4"/>
  <c r="F702" i="4"/>
  <c r="R701" i="4"/>
  <c r="Q701" i="4"/>
  <c r="P701" i="4"/>
  <c r="M701" i="4"/>
  <c r="L701" i="4"/>
  <c r="K701" i="4"/>
  <c r="H701" i="4"/>
  <c r="G701" i="4"/>
  <c r="F701" i="4"/>
  <c r="R700" i="4"/>
  <c r="Q700" i="4"/>
  <c r="P700" i="4"/>
  <c r="M700" i="4"/>
  <c r="L700" i="4"/>
  <c r="K700" i="4"/>
  <c r="H700" i="4"/>
  <c r="G700" i="4"/>
  <c r="F700" i="4"/>
  <c r="R699" i="4"/>
  <c r="Q699" i="4"/>
  <c r="P699" i="4"/>
  <c r="M699" i="4"/>
  <c r="L699" i="4"/>
  <c r="K699" i="4"/>
  <c r="H699" i="4"/>
  <c r="G699" i="4"/>
  <c r="F699" i="4"/>
  <c r="R698" i="4"/>
  <c r="Q698" i="4"/>
  <c r="P698" i="4"/>
  <c r="M698" i="4"/>
  <c r="L698" i="4"/>
  <c r="K698" i="4"/>
  <c r="H698" i="4"/>
  <c r="G698" i="4"/>
  <c r="F698" i="4"/>
  <c r="R697" i="4"/>
  <c r="Q697" i="4"/>
  <c r="P697" i="4"/>
  <c r="M697" i="4"/>
  <c r="L697" i="4"/>
  <c r="K697" i="4"/>
  <c r="H697" i="4"/>
  <c r="G697" i="4"/>
  <c r="F697" i="4"/>
  <c r="R696" i="4"/>
  <c r="Q696" i="4"/>
  <c r="P696" i="4"/>
  <c r="M696" i="4"/>
  <c r="L696" i="4"/>
  <c r="K696" i="4"/>
  <c r="H696" i="4"/>
  <c r="G696" i="4"/>
  <c r="F696" i="4"/>
  <c r="R695" i="4"/>
  <c r="Q695" i="4"/>
  <c r="P695" i="4"/>
  <c r="M695" i="4"/>
  <c r="L695" i="4"/>
  <c r="K695" i="4"/>
  <c r="H695" i="4"/>
  <c r="G695" i="4"/>
  <c r="F695" i="4"/>
  <c r="R694" i="4"/>
  <c r="Q694" i="4"/>
  <c r="P694" i="4"/>
  <c r="M694" i="4"/>
  <c r="L694" i="4"/>
  <c r="K694" i="4"/>
  <c r="H694" i="4"/>
  <c r="G694" i="4"/>
  <c r="F694" i="4"/>
  <c r="R693" i="4"/>
  <c r="Q693" i="4"/>
  <c r="P693" i="4"/>
  <c r="M693" i="4"/>
  <c r="L693" i="4"/>
  <c r="K693" i="4"/>
  <c r="H693" i="4"/>
  <c r="G693" i="4"/>
  <c r="F693" i="4"/>
  <c r="R692" i="4"/>
  <c r="Q692" i="4"/>
  <c r="P692" i="4"/>
  <c r="M692" i="4"/>
  <c r="L692" i="4"/>
  <c r="K692" i="4"/>
  <c r="H692" i="4"/>
  <c r="G692" i="4"/>
  <c r="F692" i="4"/>
  <c r="R691" i="4"/>
  <c r="Q691" i="4"/>
  <c r="P691" i="4"/>
  <c r="M691" i="4"/>
  <c r="L691" i="4"/>
  <c r="K691" i="4"/>
  <c r="H691" i="4"/>
  <c r="G691" i="4"/>
  <c r="F691" i="4"/>
  <c r="R690" i="4"/>
  <c r="Q690" i="4"/>
  <c r="P690" i="4"/>
  <c r="M690" i="4"/>
  <c r="L690" i="4"/>
  <c r="K690" i="4"/>
  <c r="H690" i="4"/>
  <c r="G690" i="4"/>
  <c r="F690" i="4"/>
  <c r="R689" i="4"/>
  <c r="Q689" i="4"/>
  <c r="P689" i="4"/>
  <c r="M689" i="4"/>
  <c r="L689" i="4"/>
  <c r="K689" i="4"/>
  <c r="H689" i="4"/>
  <c r="G689" i="4"/>
  <c r="F689" i="4"/>
  <c r="R688" i="4"/>
  <c r="Q688" i="4"/>
  <c r="P688" i="4"/>
  <c r="M688" i="4"/>
  <c r="L688" i="4"/>
  <c r="K688" i="4"/>
  <c r="H688" i="4"/>
  <c r="G688" i="4"/>
  <c r="F688" i="4"/>
  <c r="R687" i="4"/>
  <c r="Q687" i="4"/>
  <c r="P687" i="4"/>
  <c r="M687" i="4"/>
  <c r="L687" i="4"/>
  <c r="K687" i="4"/>
  <c r="H687" i="4"/>
  <c r="G687" i="4"/>
  <c r="F687" i="4"/>
  <c r="R686" i="4"/>
  <c r="Q686" i="4"/>
  <c r="P686" i="4"/>
  <c r="M686" i="4"/>
  <c r="L686" i="4"/>
  <c r="K686" i="4"/>
  <c r="H686" i="4"/>
  <c r="G686" i="4"/>
  <c r="F686" i="4"/>
  <c r="R685" i="4"/>
  <c r="Q685" i="4"/>
  <c r="P685" i="4"/>
  <c r="M685" i="4"/>
  <c r="L685" i="4"/>
  <c r="K685" i="4"/>
  <c r="H685" i="4"/>
  <c r="G685" i="4"/>
  <c r="F685" i="4"/>
  <c r="R684" i="4"/>
  <c r="Q684" i="4"/>
  <c r="P684" i="4"/>
  <c r="M684" i="4"/>
  <c r="L684" i="4"/>
  <c r="K684" i="4"/>
  <c r="H684" i="4"/>
  <c r="G684" i="4"/>
  <c r="F684" i="4"/>
  <c r="R683" i="4"/>
  <c r="Q683" i="4"/>
  <c r="P683" i="4"/>
  <c r="M683" i="4"/>
  <c r="L683" i="4"/>
  <c r="K683" i="4"/>
  <c r="H683" i="4"/>
  <c r="G683" i="4"/>
  <c r="F683" i="4"/>
  <c r="R682" i="4"/>
  <c r="Q682" i="4"/>
  <c r="P682" i="4"/>
  <c r="M682" i="4"/>
  <c r="L682" i="4"/>
  <c r="K682" i="4"/>
  <c r="H682" i="4"/>
  <c r="G682" i="4"/>
  <c r="F682" i="4"/>
  <c r="R681" i="4"/>
  <c r="Q681" i="4"/>
  <c r="P681" i="4"/>
  <c r="M681" i="4"/>
  <c r="L681" i="4"/>
  <c r="K681" i="4"/>
  <c r="H681" i="4"/>
  <c r="G681" i="4"/>
  <c r="F681" i="4"/>
  <c r="R680" i="4"/>
  <c r="Q680" i="4"/>
  <c r="P680" i="4"/>
  <c r="M680" i="4"/>
  <c r="L680" i="4"/>
  <c r="K680" i="4"/>
  <c r="H680" i="4"/>
  <c r="G680" i="4"/>
  <c r="F680" i="4"/>
  <c r="R679" i="4"/>
  <c r="Q679" i="4"/>
  <c r="P679" i="4"/>
  <c r="M679" i="4"/>
  <c r="L679" i="4"/>
  <c r="K679" i="4"/>
  <c r="H679" i="4"/>
  <c r="G679" i="4"/>
  <c r="F679" i="4"/>
  <c r="R678" i="4"/>
  <c r="Q678" i="4"/>
  <c r="P678" i="4"/>
  <c r="M678" i="4"/>
  <c r="L678" i="4"/>
  <c r="K678" i="4"/>
  <c r="H678" i="4"/>
  <c r="G678" i="4"/>
  <c r="F678" i="4"/>
  <c r="R677" i="4"/>
  <c r="Q677" i="4"/>
  <c r="P677" i="4"/>
  <c r="M677" i="4"/>
  <c r="L677" i="4"/>
  <c r="K677" i="4"/>
  <c r="H677" i="4"/>
  <c r="G677" i="4"/>
  <c r="F677" i="4"/>
  <c r="R676" i="4"/>
  <c r="Q676" i="4"/>
  <c r="P676" i="4"/>
  <c r="M676" i="4"/>
  <c r="L676" i="4"/>
  <c r="K676" i="4"/>
  <c r="H676" i="4"/>
  <c r="G676" i="4"/>
  <c r="F676" i="4"/>
  <c r="R675" i="4"/>
  <c r="Q675" i="4"/>
  <c r="P675" i="4"/>
  <c r="M675" i="4"/>
  <c r="L675" i="4"/>
  <c r="K675" i="4"/>
  <c r="H675" i="4"/>
  <c r="G675" i="4"/>
  <c r="F675" i="4"/>
  <c r="R674" i="4"/>
  <c r="Q674" i="4"/>
  <c r="P674" i="4"/>
  <c r="M674" i="4"/>
  <c r="L674" i="4"/>
  <c r="K674" i="4"/>
  <c r="H674" i="4"/>
  <c r="G674" i="4"/>
  <c r="F674" i="4"/>
  <c r="R673" i="4"/>
  <c r="Q673" i="4"/>
  <c r="P673" i="4"/>
  <c r="M673" i="4"/>
  <c r="L673" i="4"/>
  <c r="K673" i="4"/>
  <c r="H673" i="4"/>
  <c r="G673" i="4"/>
  <c r="F673" i="4"/>
  <c r="R672" i="4"/>
  <c r="Q672" i="4"/>
  <c r="P672" i="4"/>
  <c r="M672" i="4"/>
  <c r="L672" i="4"/>
  <c r="K672" i="4"/>
  <c r="H672" i="4"/>
  <c r="G672" i="4"/>
  <c r="F672" i="4"/>
  <c r="R671" i="4"/>
  <c r="Q671" i="4"/>
  <c r="P671" i="4"/>
  <c r="M671" i="4"/>
  <c r="L671" i="4"/>
  <c r="K671" i="4"/>
  <c r="H671" i="4"/>
  <c r="G671" i="4"/>
  <c r="F671" i="4"/>
  <c r="R670" i="4"/>
  <c r="Q670" i="4"/>
  <c r="P670" i="4"/>
  <c r="M670" i="4"/>
  <c r="L670" i="4"/>
  <c r="K670" i="4"/>
  <c r="H670" i="4"/>
  <c r="G670" i="4"/>
  <c r="F670" i="4"/>
  <c r="R669" i="4"/>
  <c r="Q669" i="4"/>
  <c r="P669" i="4"/>
  <c r="M669" i="4"/>
  <c r="L669" i="4"/>
  <c r="K669" i="4"/>
  <c r="H669" i="4"/>
  <c r="G669" i="4"/>
  <c r="F669" i="4"/>
  <c r="R668" i="4"/>
  <c r="Q668" i="4"/>
  <c r="P668" i="4"/>
  <c r="M668" i="4"/>
  <c r="L668" i="4"/>
  <c r="K668" i="4"/>
  <c r="H668" i="4"/>
  <c r="G668" i="4"/>
  <c r="F668" i="4"/>
  <c r="R667" i="4"/>
  <c r="Q667" i="4"/>
  <c r="P667" i="4"/>
  <c r="M667" i="4"/>
  <c r="L667" i="4"/>
  <c r="K667" i="4"/>
  <c r="H667" i="4"/>
  <c r="G667" i="4"/>
  <c r="F667" i="4"/>
  <c r="R666" i="4"/>
  <c r="Q666" i="4"/>
  <c r="P666" i="4"/>
  <c r="M666" i="4"/>
  <c r="L666" i="4"/>
  <c r="K666" i="4"/>
  <c r="H666" i="4"/>
  <c r="G666" i="4"/>
  <c r="F666" i="4"/>
  <c r="R665" i="4"/>
  <c r="Q665" i="4"/>
  <c r="P665" i="4"/>
  <c r="M665" i="4"/>
  <c r="L665" i="4"/>
  <c r="K665" i="4"/>
  <c r="H665" i="4"/>
  <c r="G665" i="4"/>
  <c r="F665" i="4"/>
  <c r="R664" i="4"/>
  <c r="Q664" i="4"/>
  <c r="P664" i="4"/>
  <c r="M664" i="4"/>
  <c r="L664" i="4"/>
  <c r="K664" i="4"/>
  <c r="H664" i="4"/>
  <c r="G664" i="4"/>
  <c r="F664" i="4"/>
  <c r="R663" i="4"/>
  <c r="Q663" i="4"/>
  <c r="P663" i="4"/>
  <c r="M663" i="4"/>
  <c r="L663" i="4"/>
  <c r="K663" i="4"/>
  <c r="H663" i="4"/>
  <c r="G663" i="4"/>
  <c r="F663" i="4"/>
  <c r="R662" i="4"/>
  <c r="Q662" i="4"/>
  <c r="P662" i="4"/>
  <c r="M662" i="4"/>
  <c r="L662" i="4"/>
  <c r="K662" i="4"/>
  <c r="H662" i="4"/>
  <c r="G662" i="4"/>
  <c r="F662" i="4"/>
  <c r="R661" i="4"/>
  <c r="Q661" i="4"/>
  <c r="P661" i="4"/>
  <c r="M661" i="4"/>
  <c r="L661" i="4"/>
  <c r="K661" i="4"/>
  <c r="H661" i="4"/>
  <c r="G661" i="4"/>
  <c r="F661" i="4"/>
  <c r="R660" i="4"/>
  <c r="Q660" i="4"/>
  <c r="P660" i="4"/>
  <c r="M660" i="4"/>
  <c r="L660" i="4"/>
  <c r="K660" i="4"/>
  <c r="H660" i="4"/>
  <c r="G660" i="4"/>
  <c r="F660" i="4"/>
  <c r="R659" i="4"/>
  <c r="Q659" i="4"/>
  <c r="P659" i="4"/>
  <c r="M659" i="4"/>
  <c r="L659" i="4"/>
  <c r="K659" i="4"/>
  <c r="H659" i="4"/>
  <c r="G659" i="4"/>
  <c r="F659" i="4"/>
  <c r="R658" i="4"/>
  <c r="Q658" i="4"/>
  <c r="P658" i="4"/>
  <c r="M658" i="4"/>
  <c r="L658" i="4"/>
  <c r="K658" i="4"/>
  <c r="H658" i="4"/>
  <c r="G658" i="4"/>
  <c r="F658" i="4"/>
  <c r="R657" i="4"/>
  <c r="Q657" i="4"/>
  <c r="P657" i="4"/>
  <c r="M657" i="4"/>
  <c r="L657" i="4"/>
  <c r="K657" i="4"/>
  <c r="H657" i="4"/>
  <c r="G657" i="4"/>
  <c r="F657" i="4"/>
  <c r="R656" i="4"/>
  <c r="Q656" i="4"/>
  <c r="P656" i="4"/>
  <c r="M656" i="4"/>
  <c r="L656" i="4"/>
  <c r="K656" i="4"/>
  <c r="H656" i="4"/>
  <c r="G656" i="4"/>
  <c r="F656" i="4"/>
  <c r="R655" i="4"/>
  <c r="Q655" i="4"/>
  <c r="P655" i="4"/>
  <c r="M655" i="4"/>
  <c r="L655" i="4"/>
  <c r="K655" i="4"/>
  <c r="H655" i="4"/>
  <c r="G655" i="4"/>
  <c r="F655" i="4"/>
  <c r="R654" i="4"/>
  <c r="Q654" i="4"/>
  <c r="P654" i="4"/>
  <c r="M654" i="4"/>
  <c r="L654" i="4"/>
  <c r="K654" i="4"/>
  <c r="H654" i="4"/>
  <c r="G654" i="4"/>
  <c r="F654" i="4"/>
  <c r="R653" i="4"/>
  <c r="Q653" i="4"/>
  <c r="P653" i="4"/>
  <c r="M653" i="4"/>
  <c r="L653" i="4"/>
  <c r="K653" i="4"/>
  <c r="H653" i="4"/>
  <c r="G653" i="4"/>
  <c r="F653" i="4"/>
  <c r="R652" i="4"/>
  <c r="Q652" i="4"/>
  <c r="P652" i="4"/>
  <c r="M652" i="4"/>
  <c r="L652" i="4"/>
  <c r="K652" i="4"/>
  <c r="H652" i="4"/>
  <c r="G652" i="4"/>
  <c r="F652" i="4"/>
  <c r="R651" i="4"/>
  <c r="Q651" i="4"/>
  <c r="P651" i="4"/>
  <c r="M651" i="4"/>
  <c r="L651" i="4"/>
  <c r="K651" i="4"/>
  <c r="H651" i="4"/>
  <c r="G651" i="4"/>
  <c r="F651" i="4"/>
  <c r="R650" i="4"/>
  <c r="Q650" i="4"/>
  <c r="P650" i="4"/>
  <c r="M650" i="4"/>
  <c r="L650" i="4"/>
  <c r="K650" i="4"/>
  <c r="H650" i="4"/>
  <c r="G650" i="4"/>
  <c r="F650" i="4"/>
  <c r="R649" i="4"/>
  <c r="Q649" i="4"/>
  <c r="P649" i="4"/>
  <c r="M649" i="4"/>
  <c r="L649" i="4"/>
  <c r="K649" i="4"/>
  <c r="H649" i="4"/>
  <c r="G649" i="4"/>
  <c r="F649" i="4"/>
  <c r="R648" i="4"/>
  <c r="Q648" i="4"/>
  <c r="P648" i="4"/>
  <c r="M648" i="4"/>
  <c r="L648" i="4"/>
  <c r="K648" i="4"/>
  <c r="H648" i="4"/>
  <c r="G648" i="4"/>
  <c r="F648" i="4"/>
  <c r="R647" i="4"/>
  <c r="Q647" i="4"/>
  <c r="P647" i="4"/>
  <c r="M647" i="4"/>
  <c r="L647" i="4"/>
  <c r="K647" i="4"/>
  <c r="H647" i="4"/>
  <c r="G647" i="4"/>
  <c r="F647" i="4"/>
  <c r="R646" i="4"/>
  <c r="Q646" i="4"/>
  <c r="P646" i="4"/>
  <c r="M646" i="4"/>
  <c r="L646" i="4"/>
  <c r="K646" i="4"/>
  <c r="H646" i="4"/>
  <c r="G646" i="4"/>
  <c r="F646" i="4"/>
  <c r="R645" i="4"/>
  <c r="Q645" i="4"/>
  <c r="P645" i="4"/>
  <c r="M645" i="4"/>
  <c r="L645" i="4"/>
  <c r="K645" i="4"/>
  <c r="H645" i="4"/>
  <c r="G645" i="4"/>
  <c r="F645" i="4"/>
  <c r="R644" i="4"/>
  <c r="Q644" i="4"/>
  <c r="P644" i="4"/>
  <c r="M644" i="4"/>
  <c r="L644" i="4"/>
  <c r="K644" i="4"/>
  <c r="H644" i="4"/>
  <c r="G644" i="4"/>
  <c r="F644" i="4"/>
  <c r="R643" i="4"/>
  <c r="Q643" i="4"/>
  <c r="P643" i="4"/>
  <c r="M643" i="4"/>
  <c r="L643" i="4"/>
  <c r="K643" i="4"/>
  <c r="H643" i="4"/>
  <c r="G643" i="4"/>
  <c r="F643" i="4"/>
  <c r="R642" i="4"/>
  <c r="Q642" i="4"/>
  <c r="P642" i="4"/>
  <c r="M642" i="4"/>
  <c r="L642" i="4"/>
  <c r="K642" i="4"/>
  <c r="H642" i="4"/>
  <c r="G642" i="4"/>
  <c r="F642" i="4"/>
  <c r="R641" i="4"/>
  <c r="Q641" i="4"/>
  <c r="P641" i="4"/>
  <c r="M641" i="4"/>
  <c r="L641" i="4"/>
  <c r="K641" i="4"/>
  <c r="H641" i="4"/>
  <c r="G641" i="4"/>
  <c r="F641" i="4"/>
  <c r="R640" i="4"/>
  <c r="Q640" i="4"/>
  <c r="P640" i="4"/>
  <c r="M640" i="4"/>
  <c r="L640" i="4"/>
  <c r="K640" i="4"/>
  <c r="H640" i="4"/>
  <c r="G640" i="4"/>
  <c r="F640" i="4"/>
  <c r="R639" i="4"/>
  <c r="Q639" i="4"/>
  <c r="P639" i="4"/>
  <c r="M639" i="4"/>
  <c r="L639" i="4"/>
  <c r="K639" i="4"/>
  <c r="H639" i="4"/>
  <c r="G639" i="4"/>
  <c r="F639" i="4"/>
  <c r="R638" i="4"/>
  <c r="Q638" i="4"/>
  <c r="P638" i="4"/>
  <c r="M638" i="4"/>
  <c r="L638" i="4"/>
  <c r="K638" i="4"/>
  <c r="H638" i="4"/>
  <c r="G638" i="4"/>
  <c r="F638" i="4"/>
  <c r="R637" i="4"/>
  <c r="Q637" i="4"/>
  <c r="P637" i="4"/>
  <c r="M637" i="4"/>
  <c r="L637" i="4"/>
  <c r="K637" i="4"/>
  <c r="H637" i="4"/>
  <c r="G637" i="4"/>
  <c r="F637" i="4"/>
  <c r="R636" i="4"/>
  <c r="Q636" i="4"/>
  <c r="P636" i="4"/>
  <c r="M636" i="4"/>
  <c r="L636" i="4"/>
  <c r="K636" i="4"/>
  <c r="H636" i="4"/>
  <c r="G636" i="4"/>
  <c r="F636" i="4"/>
  <c r="R635" i="4"/>
  <c r="Q635" i="4"/>
  <c r="P635" i="4"/>
  <c r="M635" i="4"/>
  <c r="L635" i="4"/>
  <c r="K635" i="4"/>
  <c r="H635" i="4"/>
  <c r="G635" i="4"/>
  <c r="F635" i="4"/>
  <c r="R634" i="4"/>
  <c r="Q634" i="4"/>
  <c r="P634" i="4"/>
  <c r="M634" i="4"/>
  <c r="L634" i="4"/>
  <c r="K634" i="4"/>
  <c r="H634" i="4"/>
  <c r="G634" i="4"/>
  <c r="F634" i="4"/>
  <c r="R633" i="4"/>
  <c r="Q633" i="4"/>
  <c r="P633" i="4"/>
  <c r="M633" i="4"/>
  <c r="L633" i="4"/>
  <c r="K633" i="4"/>
  <c r="H633" i="4"/>
  <c r="G633" i="4"/>
  <c r="F633" i="4"/>
  <c r="R632" i="4"/>
  <c r="Q632" i="4"/>
  <c r="P632" i="4"/>
  <c r="M632" i="4"/>
  <c r="L632" i="4"/>
  <c r="K632" i="4"/>
  <c r="H632" i="4"/>
  <c r="G632" i="4"/>
  <c r="F632" i="4"/>
  <c r="R631" i="4"/>
  <c r="Q631" i="4"/>
  <c r="P631" i="4"/>
  <c r="M631" i="4"/>
  <c r="L631" i="4"/>
  <c r="K631" i="4"/>
  <c r="H631" i="4"/>
  <c r="G631" i="4"/>
  <c r="F631" i="4"/>
  <c r="R630" i="4"/>
  <c r="Q630" i="4"/>
  <c r="P630" i="4"/>
  <c r="M630" i="4"/>
  <c r="L630" i="4"/>
  <c r="K630" i="4"/>
  <c r="H630" i="4"/>
  <c r="G630" i="4"/>
  <c r="F630" i="4"/>
  <c r="R629" i="4"/>
  <c r="Q629" i="4"/>
  <c r="P629" i="4"/>
  <c r="M629" i="4"/>
  <c r="L629" i="4"/>
  <c r="K629" i="4"/>
  <c r="H629" i="4"/>
  <c r="G629" i="4"/>
  <c r="F629" i="4"/>
  <c r="R628" i="4"/>
  <c r="Q628" i="4"/>
  <c r="P628" i="4"/>
  <c r="M628" i="4"/>
  <c r="L628" i="4"/>
  <c r="K628" i="4"/>
  <c r="H628" i="4"/>
  <c r="G628" i="4"/>
  <c r="F628" i="4"/>
  <c r="R627" i="4"/>
  <c r="Q627" i="4"/>
  <c r="P627" i="4"/>
  <c r="M627" i="4"/>
  <c r="L627" i="4"/>
  <c r="K627" i="4"/>
  <c r="H627" i="4"/>
  <c r="G627" i="4"/>
  <c r="F627" i="4"/>
  <c r="R626" i="4"/>
  <c r="Q626" i="4"/>
  <c r="P626" i="4"/>
  <c r="M626" i="4"/>
  <c r="L626" i="4"/>
  <c r="K626" i="4"/>
  <c r="H626" i="4"/>
  <c r="G626" i="4"/>
  <c r="F626" i="4"/>
  <c r="R625" i="4"/>
  <c r="Q625" i="4"/>
  <c r="P625" i="4"/>
  <c r="M625" i="4"/>
  <c r="L625" i="4"/>
  <c r="K625" i="4"/>
  <c r="H625" i="4"/>
  <c r="G625" i="4"/>
  <c r="F625" i="4"/>
  <c r="R624" i="4"/>
  <c r="Q624" i="4"/>
  <c r="P624" i="4"/>
  <c r="M624" i="4"/>
  <c r="L624" i="4"/>
  <c r="K624" i="4"/>
  <c r="H624" i="4"/>
  <c r="G624" i="4"/>
  <c r="F624" i="4"/>
  <c r="R623" i="4"/>
  <c r="Q623" i="4"/>
  <c r="P623" i="4"/>
  <c r="M623" i="4"/>
  <c r="L623" i="4"/>
  <c r="K623" i="4"/>
  <c r="H623" i="4"/>
  <c r="G623" i="4"/>
  <c r="F623" i="4"/>
  <c r="R622" i="4"/>
  <c r="Q622" i="4"/>
  <c r="P622" i="4"/>
  <c r="M622" i="4"/>
  <c r="L622" i="4"/>
  <c r="K622" i="4"/>
  <c r="H622" i="4"/>
  <c r="G622" i="4"/>
  <c r="F622" i="4"/>
  <c r="R621" i="4"/>
  <c r="Q621" i="4"/>
  <c r="P621" i="4"/>
  <c r="M621" i="4"/>
  <c r="L621" i="4"/>
  <c r="K621" i="4"/>
  <c r="H621" i="4"/>
  <c r="G621" i="4"/>
  <c r="F621" i="4"/>
  <c r="R620" i="4"/>
  <c r="Q620" i="4"/>
  <c r="P620" i="4"/>
  <c r="M620" i="4"/>
  <c r="L620" i="4"/>
  <c r="K620" i="4"/>
  <c r="H620" i="4"/>
  <c r="G620" i="4"/>
  <c r="F620" i="4"/>
  <c r="R619" i="4"/>
  <c r="Q619" i="4"/>
  <c r="P619" i="4"/>
  <c r="M619" i="4"/>
  <c r="L619" i="4"/>
  <c r="K619" i="4"/>
  <c r="H619" i="4"/>
  <c r="G619" i="4"/>
  <c r="F619" i="4"/>
  <c r="R618" i="4"/>
  <c r="Q618" i="4"/>
  <c r="P618" i="4"/>
  <c r="M618" i="4"/>
  <c r="L618" i="4"/>
  <c r="K618" i="4"/>
  <c r="H618" i="4"/>
  <c r="G618" i="4"/>
  <c r="F618" i="4"/>
  <c r="R617" i="4"/>
  <c r="Q617" i="4"/>
  <c r="P617" i="4"/>
  <c r="M617" i="4"/>
  <c r="L617" i="4"/>
  <c r="K617" i="4"/>
  <c r="H617" i="4"/>
  <c r="G617" i="4"/>
  <c r="F617" i="4"/>
  <c r="R616" i="4"/>
  <c r="Q616" i="4"/>
  <c r="P616" i="4"/>
  <c r="M616" i="4"/>
  <c r="L616" i="4"/>
  <c r="K616" i="4"/>
  <c r="H616" i="4"/>
  <c r="G616" i="4"/>
  <c r="F616" i="4"/>
  <c r="R615" i="4"/>
  <c r="Q615" i="4"/>
  <c r="P615" i="4"/>
  <c r="M615" i="4"/>
  <c r="L615" i="4"/>
  <c r="K615" i="4"/>
  <c r="H615" i="4"/>
  <c r="G615" i="4"/>
  <c r="F615" i="4"/>
  <c r="R614" i="4"/>
  <c r="Q614" i="4"/>
  <c r="P614" i="4"/>
  <c r="M614" i="4"/>
  <c r="L614" i="4"/>
  <c r="K614" i="4"/>
  <c r="H614" i="4"/>
  <c r="G614" i="4"/>
  <c r="F614" i="4"/>
  <c r="R613" i="4"/>
  <c r="Q613" i="4"/>
  <c r="P613" i="4"/>
  <c r="M613" i="4"/>
  <c r="L613" i="4"/>
  <c r="K613" i="4"/>
  <c r="H613" i="4"/>
  <c r="G613" i="4"/>
  <c r="F613" i="4"/>
  <c r="R612" i="4"/>
  <c r="Q612" i="4"/>
  <c r="P612" i="4"/>
  <c r="M612" i="4"/>
  <c r="L612" i="4"/>
  <c r="K612" i="4"/>
  <c r="H612" i="4"/>
  <c r="G612" i="4"/>
  <c r="F612" i="4"/>
  <c r="R611" i="4"/>
  <c r="Q611" i="4"/>
  <c r="P611" i="4"/>
  <c r="M611" i="4"/>
  <c r="L611" i="4"/>
  <c r="K611" i="4"/>
  <c r="H611" i="4"/>
  <c r="G611" i="4"/>
  <c r="F611" i="4"/>
  <c r="R610" i="4"/>
  <c r="Q610" i="4"/>
  <c r="P610" i="4"/>
  <c r="M610" i="4"/>
  <c r="L610" i="4"/>
  <c r="K610" i="4"/>
  <c r="H610" i="4"/>
  <c r="G610" i="4"/>
  <c r="F610" i="4"/>
  <c r="R609" i="4"/>
  <c r="Q609" i="4"/>
  <c r="P609" i="4"/>
  <c r="M609" i="4"/>
  <c r="L609" i="4"/>
  <c r="K609" i="4"/>
  <c r="H609" i="4"/>
  <c r="G609" i="4"/>
  <c r="F609" i="4"/>
  <c r="R608" i="4"/>
  <c r="Q608" i="4"/>
  <c r="P608" i="4"/>
  <c r="M608" i="4"/>
  <c r="L608" i="4"/>
  <c r="K608" i="4"/>
  <c r="H608" i="4"/>
  <c r="G608" i="4"/>
  <c r="F608" i="4"/>
  <c r="R607" i="4"/>
  <c r="Q607" i="4"/>
  <c r="P607" i="4"/>
  <c r="M607" i="4"/>
  <c r="L607" i="4"/>
  <c r="K607" i="4"/>
  <c r="H607" i="4"/>
  <c r="G607" i="4"/>
  <c r="F607" i="4"/>
  <c r="R606" i="4"/>
  <c r="Q606" i="4"/>
  <c r="P606" i="4"/>
  <c r="M606" i="4"/>
  <c r="L606" i="4"/>
  <c r="K606" i="4"/>
  <c r="H606" i="4"/>
  <c r="G606" i="4"/>
  <c r="F606" i="4"/>
  <c r="R605" i="4"/>
  <c r="Q605" i="4"/>
  <c r="P605" i="4"/>
  <c r="M605" i="4"/>
  <c r="L605" i="4"/>
  <c r="K605" i="4"/>
  <c r="H605" i="4"/>
  <c r="G605" i="4"/>
  <c r="F605" i="4"/>
  <c r="R604" i="4"/>
  <c r="Q604" i="4"/>
  <c r="P604" i="4"/>
  <c r="M604" i="4"/>
  <c r="L604" i="4"/>
  <c r="K604" i="4"/>
  <c r="H604" i="4"/>
  <c r="G604" i="4"/>
  <c r="F604" i="4"/>
  <c r="R603" i="4"/>
  <c r="Q603" i="4"/>
  <c r="P603" i="4"/>
  <c r="M603" i="4"/>
  <c r="L603" i="4"/>
  <c r="K603" i="4"/>
  <c r="H603" i="4"/>
  <c r="G603" i="4"/>
  <c r="F603" i="4"/>
  <c r="R602" i="4"/>
  <c r="Q602" i="4"/>
  <c r="P602" i="4"/>
  <c r="M602" i="4"/>
  <c r="L602" i="4"/>
  <c r="K602" i="4"/>
  <c r="H602" i="4"/>
  <c r="G602" i="4"/>
  <c r="F602" i="4"/>
  <c r="R601" i="4"/>
  <c r="Q601" i="4"/>
  <c r="P601" i="4"/>
  <c r="M601" i="4"/>
  <c r="L601" i="4"/>
  <c r="K601" i="4"/>
  <c r="H601" i="4"/>
  <c r="G601" i="4"/>
  <c r="F601" i="4"/>
  <c r="R600" i="4"/>
  <c r="Q600" i="4"/>
  <c r="P600" i="4"/>
  <c r="M600" i="4"/>
  <c r="L600" i="4"/>
  <c r="K600" i="4"/>
  <c r="H600" i="4"/>
  <c r="G600" i="4"/>
  <c r="F600" i="4"/>
  <c r="R599" i="4"/>
  <c r="Q599" i="4"/>
  <c r="P599" i="4"/>
  <c r="M599" i="4"/>
  <c r="L599" i="4"/>
  <c r="K599" i="4"/>
  <c r="H599" i="4"/>
  <c r="G599" i="4"/>
  <c r="F599" i="4"/>
  <c r="R598" i="4"/>
  <c r="Q598" i="4"/>
  <c r="P598" i="4"/>
  <c r="M598" i="4"/>
  <c r="L598" i="4"/>
  <c r="K598" i="4"/>
  <c r="H598" i="4"/>
  <c r="G598" i="4"/>
  <c r="F598" i="4"/>
  <c r="R597" i="4"/>
  <c r="Q597" i="4"/>
  <c r="P597" i="4"/>
  <c r="M597" i="4"/>
  <c r="L597" i="4"/>
  <c r="K597" i="4"/>
  <c r="H597" i="4"/>
  <c r="G597" i="4"/>
  <c r="F597" i="4"/>
  <c r="R596" i="4"/>
  <c r="Q596" i="4"/>
  <c r="P596" i="4"/>
  <c r="M596" i="4"/>
  <c r="L596" i="4"/>
  <c r="K596" i="4"/>
  <c r="H596" i="4"/>
  <c r="G596" i="4"/>
  <c r="F596" i="4"/>
  <c r="R595" i="4"/>
  <c r="Q595" i="4"/>
  <c r="P595" i="4"/>
  <c r="M595" i="4"/>
  <c r="L595" i="4"/>
  <c r="K595" i="4"/>
  <c r="H595" i="4"/>
  <c r="G595" i="4"/>
  <c r="F595" i="4"/>
  <c r="R594" i="4"/>
  <c r="Q594" i="4"/>
  <c r="P594" i="4"/>
  <c r="M594" i="4"/>
  <c r="L594" i="4"/>
  <c r="K594" i="4"/>
  <c r="H594" i="4"/>
  <c r="G594" i="4"/>
  <c r="F594" i="4"/>
  <c r="R593" i="4"/>
  <c r="Q593" i="4"/>
  <c r="P593" i="4"/>
  <c r="M593" i="4"/>
  <c r="L593" i="4"/>
  <c r="K593" i="4"/>
  <c r="H593" i="4"/>
  <c r="G593" i="4"/>
  <c r="F593" i="4"/>
  <c r="R592" i="4"/>
  <c r="Q592" i="4"/>
  <c r="P592" i="4"/>
  <c r="M592" i="4"/>
  <c r="L592" i="4"/>
  <c r="K592" i="4"/>
  <c r="H592" i="4"/>
  <c r="G592" i="4"/>
  <c r="I592" i="4" s="1" a="1"/>
  <c r="I592" i="4" s="1"/>
  <c r="F592" i="4"/>
  <c r="R591" i="4"/>
  <c r="Q591" i="4"/>
  <c r="P591" i="4"/>
  <c r="M591" i="4"/>
  <c r="L591" i="4"/>
  <c r="K591" i="4"/>
  <c r="H591" i="4"/>
  <c r="G591" i="4"/>
  <c r="F591" i="4"/>
  <c r="R590" i="4"/>
  <c r="Q590" i="4"/>
  <c r="P590" i="4"/>
  <c r="M590" i="4"/>
  <c r="L590" i="4"/>
  <c r="K590" i="4"/>
  <c r="H590" i="4"/>
  <c r="G590" i="4"/>
  <c r="F590" i="4"/>
  <c r="R589" i="4"/>
  <c r="Q589" i="4"/>
  <c r="P589" i="4"/>
  <c r="M589" i="4"/>
  <c r="L589" i="4"/>
  <c r="K589" i="4"/>
  <c r="H589" i="4"/>
  <c r="G589" i="4"/>
  <c r="F589" i="4"/>
  <c r="R588" i="4"/>
  <c r="Q588" i="4"/>
  <c r="P588" i="4"/>
  <c r="M588" i="4"/>
  <c r="L588" i="4"/>
  <c r="K588" i="4"/>
  <c r="H588" i="4"/>
  <c r="G588" i="4"/>
  <c r="F588" i="4"/>
  <c r="R587" i="4"/>
  <c r="Q587" i="4"/>
  <c r="P587" i="4"/>
  <c r="M587" i="4"/>
  <c r="L587" i="4"/>
  <c r="K587" i="4"/>
  <c r="H587" i="4"/>
  <c r="G587" i="4"/>
  <c r="F587" i="4"/>
  <c r="R586" i="4"/>
  <c r="Q586" i="4"/>
  <c r="P586" i="4"/>
  <c r="M586" i="4"/>
  <c r="L586" i="4"/>
  <c r="K586" i="4"/>
  <c r="H586" i="4"/>
  <c r="G586" i="4"/>
  <c r="F586" i="4"/>
  <c r="R585" i="4"/>
  <c r="Q585" i="4"/>
  <c r="P585" i="4"/>
  <c r="M585" i="4"/>
  <c r="L585" i="4"/>
  <c r="K585" i="4"/>
  <c r="H585" i="4"/>
  <c r="G585" i="4"/>
  <c r="F585" i="4"/>
  <c r="R584" i="4"/>
  <c r="Q584" i="4"/>
  <c r="P584" i="4"/>
  <c r="M584" i="4"/>
  <c r="L584" i="4"/>
  <c r="K584" i="4"/>
  <c r="H584" i="4"/>
  <c r="G584" i="4"/>
  <c r="F584" i="4"/>
  <c r="R583" i="4"/>
  <c r="Q583" i="4"/>
  <c r="P583" i="4"/>
  <c r="M583" i="4"/>
  <c r="L583" i="4"/>
  <c r="K583" i="4"/>
  <c r="H583" i="4"/>
  <c r="G583" i="4"/>
  <c r="F583" i="4"/>
  <c r="R582" i="4"/>
  <c r="Q582" i="4"/>
  <c r="P582" i="4"/>
  <c r="M582" i="4"/>
  <c r="L582" i="4"/>
  <c r="K582" i="4"/>
  <c r="H582" i="4"/>
  <c r="G582" i="4"/>
  <c r="F582" i="4"/>
  <c r="R581" i="4"/>
  <c r="Q581" i="4"/>
  <c r="P581" i="4"/>
  <c r="M581" i="4"/>
  <c r="L581" i="4"/>
  <c r="K581" i="4"/>
  <c r="H581" i="4"/>
  <c r="G581" i="4"/>
  <c r="F581" i="4"/>
  <c r="R580" i="4"/>
  <c r="Q580" i="4"/>
  <c r="P580" i="4"/>
  <c r="M580" i="4"/>
  <c r="L580" i="4"/>
  <c r="K580" i="4"/>
  <c r="H580" i="4"/>
  <c r="G580" i="4"/>
  <c r="F580" i="4"/>
  <c r="R579" i="4"/>
  <c r="Q579" i="4"/>
  <c r="P579" i="4"/>
  <c r="M579" i="4"/>
  <c r="L579" i="4"/>
  <c r="K579" i="4"/>
  <c r="H579" i="4"/>
  <c r="G579" i="4"/>
  <c r="F579" i="4"/>
  <c r="R578" i="4"/>
  <c r="Q578" i="4"/>
  <c r="P578" i="4"/>
  <c r="M578" i="4"/>
  <c r="L578" i="4"/>
  <c r="K578" i="4"/>
  <c r="H578" i="4"/>
  <c r="G578" i="4"/>
  <c r="F578" i="4"/>
  <c r="R577" i="4"/>
  <c r="Q577" i="4"/>
  <c r="P577" i="4"/>
  <c r="M577" i="4"/>
  <c r="L577" i="4"/>
  <c r="K577" i="4"/>
  <c r="H577" i="4"/>
  <c r="G577" i="4"/>
  <c r="F577" i="4"/>
  <c r="R576" i="4"/>
  <c r="Q576" i="4"/>
  <c r="P576" i="4"/>
  <c r="M576" i="4"/>
  <c r="L576" i="4"/>
  <c r="K576" i="4"/>
  <c r="H576" i="4"/>
  <c r="G576" i="4"/>
  <c r="F576" i="4"/>
  <c r="R575" i="4"/>
  <c r="Q575" i="4"/>
  <c r="P575" i="4"/>
  <c r="M575" i="4"/>
  <c r="L575" i="4"/>
  <c r="K575" i="4"/>
  <c r="H575" i="4"/>
  <c r="G575" i="4"/>
  <c r="F575" i="4"/>
  <c r="R574" i="4"/>
  <c r="Q574" i="4"/>
  <c r="P574" i="4"/>
  <c r="M574" i="4"/>
  <c r="L574" i="4"/>
  <c r="K574" i="4"/>
  <c r="H574" i="4"/>
  <c r="G574" i="4"/>
  <c r="F574" i="4"/>
  <c r="R573" i="4"/>
  <c r="Q573" i="4"/>
  <c r="P573" i="4"/>
  <c r="M573" i="4"/>
  <c r="L573" i="4"/>
  <c r="K573" i="4"/>
  <c r="H573" i="4"/>
  <c r="G573" i="4"/>
  <c r="F573" i="4"/>
  <c r="R572" i="4"/>
  <c r="Q572" i="4"/>
  <c r="P572" i="4"/>
  <c r="M572" i="4"/>
  <c r="L572" i="4"/>
  <c r="K572" i="4"/>
  <c r="H572" i="4"/>
  <c r="G572" i="4"/>
  <c r="F572" i="4"/>
  <c r="R571" i="4"/>
  <c r="Q571" i="4"/>
  <c r="P571" i="4"/>
  <c r="M571" i="4"/>
  <c r="L571" i="4"/>
  <c r="K571" i="4"/>
  <c r="H571" i="4"/>
  <c r="G571" i="4"/>
  <c r="F571" i="4"/>
  <c r="R570" i="4"/>
  <c r="Q570" i="4"/>
  <c r="P570" i="4"/>
  <c r="M570" i="4"/>
  <c r="L570" i="4"/>
  <c r="K570" i="4"/>
  <c r="H570" i="4"/>
  <c r="G570" i="4"/>
  <c r="F570" i="4"/>
  <c r="R569" i="4"/>
  <c r="Q569" i="4"/>
  <c r="P569" i="4"/>
  <c r="M569" i="4"/>
  <c r="L569" i="4"/>
  <c r="K569" i="4"/>
  <c r="H569" i="4"/>
  <c r="G569" i="4"/>
  <c r="F569" i="4"/>
  <c r="R568" i="4"/>
  <c r="Q568" i="4"/>
  <c r="P568" i="4"/>
  <c r="M568" i="4"/>
  <c r="L568" i="4"/>
  <c r="K568" i="4"/>
  <c r="H568" i="4"/>
  <c r="G568" i="4"/>
  <c r="F568" i="4"/>
  <c r="R567" i="4"/>
  <c r="Q567" i="4"/>
  <c r="P567" i="4"/>
  <c r="M567" i="4"/>
  <c r="L567" i="4"/>
  <c r="K567" i="4"/>
  <c r="H567" i="4"/>
  <c r="G567" i="4"/>
  <c r="F567" i="4"/>
  <c r="R566" i="4"/>
  <c r="Q566" i="4"/>
  <c r="P566" i="4"/>
  <c r="M566" i="4"/>
  <c r="L566" i="4"/>
  <c r="K566" i="4"/>
  <c r="H566" i="4"/>
  <c r="G566" i="4"/>
  <c r="F566" i="4"/>
  <c r="R565" i="4"/>
  <c r="Q565" i="4"/>
  <c r="P565" i="4"/>
  <c r="M565" i="4"/>
  <c r="L565" i="4"/>
  <c r="K565" i="4"/>
  <c r="H565" i="4"/>
  <c r="G565" i="4"/>
  <c r="F565" i="4"/>
  <c r="R564" i="4"/>
  <c r="Q564" i="4"/>
  <c r="P564" i="4"/>
  <c r="M564" i="4"/>
  <c r="L564" i="4"/>
  <c r="K564" i="4"/>
  <c r="H564" i="4"/>
  <c r="G564" i="4"/>
  <c r="F564" i="4"/>
  <c r="R563" i="4"/>
  <c r="Q563" i="4"/>
  <c r="P563" i="4"/>
  <c r="M563" i="4"/>
  <c r="L563" i="4"/>
  <c r="K563" i="4"/>
  <c r="H563" i="4"/>
  <c r="G563" i="4"/>
  <c r="F563" i="4"/>
  <c r="R562" i="4"/>
  <c r="Q562" i="4"/>
  <c r="P562" i="4"/>
  <c r="M562" i="4"/>
  <c r="L562" i="4"/>
  <c r="K562" i="4"/>
  <c r="H562" i="4"/>
  <c r="G562" i="4"/>
  <c r="F562" i="4"/>
  <c r="R561" i="4"/>
  <c r="Q561" i="4"/>
  <c r="P561" i="4"/>
  <c r="M561" i="4"/>
  <c r="L561" i="4"/>
  <c r="K561" i="4"/>
  <c r="H561" i="4"/>
  <c r="G561" i="4"/>
  <c r="F561" i="4"/>
  <c r="R560" i="4"/>
  <c r="Q560" i="4"/>
  <c r="P560" i="4"/>
  <c r="M560" i="4"/>
  <c r="L560" i="4"/>
  <c r="K560" i="4"/>
  <c r="H560" i="4"/>
  <c r="G560" i="4"/>
  <c r="F560" i="4"/>
  <c r="R559" i="4"/>
  <c r="Q559" i="4"/>
  <c r="P559" i="4"/>
  <c r="M559" i="4"/>
  <c r="L559" i="4"/>
  <c r="K559" i="4"/>
  <c r="H559" i="4"/>
  <c r="G559" i="4"/>
  <c r="F559" i="4"/>
  <c r="R558" i="4"/>
  <c r="Q558" i="4"/>
  <c r="P558" i="4"/>
  <c r="M558" i="4"/>
  <c r="L558" i="4"/>
  <c r="K558" i="4"/>
  <c r="H558" i="4"/>
  <c r="G558" i="4"/>
  <c r="F558" i="4"/>
  <c r="R557" i="4"/>
  <c r="Q557" i="4"/>
  <c r="P557" i="4"/>
  <c r="M557" i="4"/>
  <c r="L557" i="4"/>
  <c r="K557" i="4"/>
  <c r="H557" i="4"/>
  <c r="G557" i="4"/>
  <c r="F557" i="4"/>
  <c r="R556" i="4"/>
  <c r="Q556" i="4"/>
  <c r="P556" i="4"/>
  <c r="M556" i="4"/>
  <c r="L556" i="4"/>
  <c r="K556" i="4"/>
  <c r="H556" i="4"/>
  <c r="G556" i="4"/>
  <c r="F556" i="4"/>
  <c r="R555" i="4"/>
  <c r="Q555" i="4"/>
  <c r="P555" i="4"/>
  <c r="M555" i="4"/>
  <c r="L555" i="4"/>
  <c r="K555" i="4"/>
  <c r="H555" i="4"/>
  <c r="G555" i="4"/>
  <c r="F555" i="4"/>
  <c r="R554" i="4"/>
  <c r="Q554" i="4"/>
  <c r="P554" i="4"/>
  <c r="M554" i="4"/>
  <c r="L554" i="4"/>
  <c r="K554" i="4"/>
  <c r="H554" i="4"/>
  <c r="G554" i="4"/>
  <c r="F554" i="4"/>
  <c r="R553" i="4"/>
  <c r="Q553" i="4"/>
  <c r="P553" i="4"/>
  <c r="M553" i="4"/>
  <c r="L553" i="4"/>
  <c r="K553" i="4"/>
  <c r="H553" i="4"/>
  <c r="G553" i="4"/>
  <c r="F553" i="4"/>
  <c r="R552" i="4"/>
  <c r="Q552" i="4"/>
  <c r="P552" i="4"/>
  <c r="M552" i="4"/>
  <c r="L552" i="4"/>
  <c r="K552" i="4"/>
  <c r="H552" i="4"/>
  <c r="G552" i="4"/>
  <c r="F552" i="4"/>
  <c r="R551" i="4"/>
  <c r="Q551" i="4"/>
  <c r="P551" i="4"/>
  <c r="M551" i="4"/>
  <c r="L551" i="4"/>
  <c r="K551" i="4"/>
  <c r="H551" i="4"/>
  <c r="G551" i="4"/>
  <c r="F551" i="4"/>
  <c r="R550" i="4"/>
  <c r="Q550" i="4"/>
  <c r="P550" i="4"/>
  <c r="M550" i="4"/>
  <c r="L550" i="4"/>
  <c r="K550" i="4"/>
  <c r="H550" i="4"/>
  <c r="G550" i="4"/>
  <c r="F550" i="4"/>
  <c r="R549" i="4"/>
  <c r="Q549" i="4"/>
  <c r="P549" i="4"/>
  <c r="M549" i="4"/>
  <c r="L549" i="4"/>
  <c r="K549" i="4"/>
  <c r="H549" i="4"/>
  <c r="G549" i="4"/>
  <c r="F549" i="4"/>
  <c r="R548" i="4"/>
  <c r="Q548" i="4"/>
  <c r="P548" i="4"/>
  <c r="M548" i="4"/>
  <c r="L548" i="4"/>
  <c r="K548" i="4"/>
  <c r="H548" i="4"/>
  <c r="G548" i="4"/>
  <c r="F548" i="4"/>
  <c r="R547" i="4"/>
  <c r="Q547" i="4"/>
  <c r="P547" i="4"/>
  <c r="M547" i="4"/>
  <c r="L547" i="4"/>
  <c r="K547" i="4"/>
  <c r="H547" i="4"/>
  <c r="G547" i="4"/>
  <c r="F547" i="4"/>
  <c r="R546" i="4"/>
  <c r="Q546" i="4"/>
  <c r="P546" i="4"/>
  <c r="M546" i="4"/>
  <c r="L546" i="4"/>
  <c r="K546" i="4"/>
  <c r="H546" i="4"/>
  <c r="G546" i="4"/>
  <c r="F546" i="4"/>
  <c r="R545" i="4"/>
  <c r="Q545" i="4"/>
  <c r="P545" i="4"/>
  <c r="M545" i="4"/>
  <c r="L545" i="4"/>
  <c r="K545" i="4"/>
  <c r="H545" i="4"/>
  <c r="G545" i="4"/>
  <c r="F545" i="4"/>
  <c r="R544" i="4"/>
  <c r="Q544" i="4"/>
  <c r="P544" i="4"/>
  <c r="M544" i="4"/>
  <c r="L544" i="4"/>
  <c r="K544" i="4"/>
  <c r="H544" i="4"/>
  <c r="G544" i="4"/>
  <c r="F544" i="4"/>
  <c r="R543" i="4"/>
  <c r="Q543" i="4"/>
  <c r="P543" i="4"/>
  <c r="M543" i="4"/>
  <c r="L543" i="4"/>
  <c r="K543" i="4"/>
  <c r="H543" i="4"/>
  <c r="G543" i="4"/>
  <c r="F543" i="4"/>
  <c r="R542" i="4"/>
  <c r="Q542" i="4"/>
  <c r="P542" i="4"/>
  <c r="M542" i="4"/>
  <c r="L542" i="4"/>
  <c r="K542" i="4"/>
  <c r="H542" i="4"/>
  <c r="G542" i="4"/>
  <c r="F542" i="4"/>
  <c r="R541" i="4"/>
  <c r="Q541" i="4"/>
  <c r="P541" i="4"/>
  <c r="M541" i="4"/>
  <c r="L541" i="4"/>
  <c r="K541" i="4"/>
  <c r="H541" i="4"/>
  <c r="G541" i="4"/>
  <c r="F541" i="4"/>
  <c r="R540" i="4"/>
  <c r="Q540" i="4"/>
  <c r="P540" i="4"/>
  <c r="M540" i="4"/>
  <c r="L540" i="4"/>
  <c r="K540" i="4"/>
  <c r="H540" i="4"/>
  <c r="G540" i="4"/>
  <c r="F540" i="4"/>
  <c r="R539" i="4"/>
  <c r="Q539" i="4"/>
  <c r="P539" i="4"/>
  <c r="M539" i="4"/>
  <c r="L539" i="4"/>
  <c r="K539" i="4"/>
  <c r="H539" i="4"/>
  <c r="G539" i="4"/>
  <c r="F539" i="4"/>
  <c r="R538" i="4"/>
  <c r="Q538" i="4"/>
  <c r="P538" i="4"/>
  <c r="M538" i="4"/>
  <c r="L538" i="4"/>
  <c r="K538" i="4"/>
  <c r="H538" i="4"/>
  <c r="G538" i="4"/>
  <c r="F538" i="4"/>
  <c r="R537" i="4"/>
  <c r="Q537" i="4"/>
  <c r="P537" i="4"/>
  <c r="M537" i="4"/>
  <c r="L537" i="4"/>
  <c r="K537" i="4"/>
  <c r="H537" i="4"/>
  <c r="G537" i="4"/>
  <c r="F537" i="4"/>
  <c r="R536" i="4"/>
  <c r="Q536" i="4"/>
  <c r="P536" i="4"/>
  <c r="M536" i="4"/>
  <c r="L536" i="4"/>
  <c r="K536" i="4"/>
  <c r="H536" i="4"/>
  <c r="G536" i="4"/>
  <c r="F536" i="4"/>
  <c r="R535" i="4"/>
  <c r="Q535" i="4"/>
  <c r="P535" i="4"/>
  <c r="M535" i="4"/>
  <c r="L535" i="4"/>
  <c r="K535" i="4"/>
  <c r="H535" i="4"/>
  <c r="G535" i="4"/>
  <c r="F535" i="4"/>
  <c r="R534" i="4"/>
  <c r="Q534" i="4"/>
  <c r="P534" i="4"/>
  <c r="M534" i="4"/>
  <c r="L534" i="4"/>
  <c r="K534" i="4"/>
  <c r="H534" i="4"/>
  <c r="G534" i="4"/>
  <c r="F534" i="4"/>
  <c r="R533" i="4"/>
  <c r="Q533" i="4"/>
  <c r="P533" i="4"/>
  <c r="M533" i="4"/>
  <c r="L533" i="4"/>
  <c r="K533" i="4"/>
  <c r="H533" i="4"/>
  <c r="G533" i="4"/>
  <c r="F533" i="4"/>
  <c r="R532" i="4"/>
  <c r="Q532" i="4"/>
  <c r="P532" i="4"/>
  <c r="M532" i="4"/>
  <c r="L532" i="4"/>
  <c r="K532" i="4"/>
  <c r="H532" i="4"/>
  <c r="G532" i="4"/>
  <c r="F532" i="4"/>
  <c r="R531" i="4"/>
  <c r="Q531" i="4"/>
  <c r="P531" i="4"/>
  <c r="M531" i="4"/>
  <c r="L531" i="4"/>
  <c r="K531" i="4"/>
  <c r="H531" i="4"/>
  <c r="G531" i="4"/>
  <c r="F531" i="4"/>
  <c r="R530" i="4"/>
  <c r="Q530" i="4"/>
  <c r="P530" i="4"/>
  <c r="M530" i="4"/>
  <c r="L530" i="4"/>
  <c r="K530" i="4"/>
  <c r="H530" i="4"/>
  <c r="G530" i="4"/>
  <c r="F530" i="4"/>
  <c r="R529" i="4"/>
  <c r="Q529" i="4"/>
  <c r="P529" i="4"/>
  <c r="M529" i="4"/>
  <c r="L529" i="4"/>
  <c r="K529" i="4"/>
  <c r="H529" i="4"/>
  <c r="G529" i="4"/>
  <c r="F529" i="4"/>
  <c r="R528" i="4"/>
  <c r="Q528" i="4"/>
  <c r="P528" i="4"/>
  <c r="M528" i="4"/>
  <c r="L528" i="4"/>
  <c r="K528" i="4"/>
  <c r="H528" i="4"/>
  <c r="G528" i="4"/>
  <c r="F528" i="4"/>
  <c r="R527" i="4"/>
  <c r="Q527" i="4"/>
  <c r="P527" i="4"/>
  <c r="M527" i="4"/>
  <c r="L527" i="4"/>
  <c r="K527" i="4"/>
  <c r="H527" i="4"/>
  <c r="G527" i="4"/>
  <c r="F527" i="4"/>
  <c r="R526" i="4"/>
  <c r="Q526" i="4"/>
  <c r="P526" i="4"/>
  <c r="M526" i="4"/>
  <c r="L526" i="4"/>
  <c r="K526" i="4"/>
  <c r="H526" i="4"/>
  <c r="G526" i="4"/>
  <c r="F526" i="4"/>
  <c r="R525" i="4"/>
  <c r="Q525" i="4"/>
  <c r="P525" i="4"/>
  <c r="M525" i="4"/>
  <c r="L525" i="4"/>
  <c r="K525" i="4"/>
  <c r="H525" i="4"/>
  <c r="G525" i="4"/>
  <c r="F525" i="4"/>
  <c r="R524" i="4"/>
  <c r="Q524" i="4"/>
  <c r="P524" i="4"/>
  <c r="M524" i="4"/>
  <c r="L524" i="4"/>
  <c r="K524" i="4"/>
  <c r="H524" i="4"/>
  <c r="G524" i="4"/>
  <c r="F524" i="4"/>
  <c r="R523" i="4"/>
  <c r="Q523" i="4"/>
  <c r="P523" i="4"/>
  <c r="M523" i="4"/>
  <c r="L523" i="4"/>
  <c r="K523" i="4"/>
  <c r="H523" i="4"/>
  <c r="G523" i="4"/>
  <c r="F523" i="4"/>
  <c r="R522" i="4"/>
  <c r="Q522" i="4"/>
  <c r="P522" i="4"/>
  <c r="M522" i="4"/>
  <c r="L522" i="4"/>
  <c r="K522" i="4"/>
  <c r="H522" i="4"/>
  <c r="G522" i="4"/>
  <c r="F522" i="4"/>
  <c r="R521" i="4"/>
  <c r="Q521" i="4"/>
  <c r="P521" i="4"/>
  <c r="M521" i="4"/>
  <c r="L521" i="4"/>
  <c r="K521" i="4"/>
  <c r="H521" i="4"/>
  <c r="G521" i="4"/>
  <c r="F521" i="4"/>
  <c r="R520" i="4"/>
  <c r="Q520" i="4"/>
  <c r="P520" i="4"/>
  <c r="M520" i="4"/>
  <c r="L520" i="4"/>
  <c r="K520" i="4"/>
  <c r="H520" i="4"/>
  <c r="G520" i="4"/>
  <c r="F520" i="4"/>
  <c r="R519" i="4"/>
  <c r="Q519" i="4"/>
  <c r="P519" i="4"/>
  <c r="M519" i="4"/>
  <c r="L519" i="4"/>
  <c r="K519" i="4"/>
  <c r="H519" i="4"/>
  <c r="G519" i="4"/>
  <c r="F519" i="4"/>
  <c r="R518" i="4"/>
  <c r="Q518" i="4"/>
  <c r="P518" i="4"/>
  <c r="M518" i="4"/>
  <c r="L518" i="4"/>
  <c r="K518" i="4"/>
  <c r="H518" i="4"/>
  <c r="G518" i="4"/>
  <c r="F518" i="4"/>
  <c r="R517" i="4"/>
  <c r="Q517" i="4"/>
  <c r="P517" i="4"/>
  <c r="M517" i="4"/>
  <c r="L517" i="4"/>
  <c r="K517" i="4"/>
  <c r="H517" i="4"/>
  <c r="G517" i="4"/>
  <c r="F517" i="4"/>
  <c r="R516" i="4"/>
  <c r="Q516" i="4"/>
  <c r="P516" i="4"/>
  <c r="M516" i="4"/>
  <c r="L516" i="4"/>
  <c r="K516" i="4"/>
  <c r="H516" i="4"/>
  <c r="G516" i="4"/>
  <c r="F516" i="4"/>
  <c r="R515" i="4"/>
  <c r="Q515" i="4"/>
  <c r="P515" i="4"/>
  <c r="M515" i="4"/>
  <c r="L515" i="4"/>
  <c r="K515" i="4"/>
  <c r="H515" i="4"/>
  <c r="G515" i="4"/>
  <c r="F515" i="4"/>
  <c r="R514" i="4"/>
  <c r="Q514" i="4"/>
  <c r="P514" i="4"/>
  <c r="M514" i="4"/>
  <c r="L514" i="4"/>
  <c r="K514" i="4"/>
  <c r="H514" i="4"/>
  <c r="G514" i="4"/>
  <c r="F514" i="4"/>
  <c r="R513" i="4"/>
  <c r="Q513" i="4"/>
  <c r="P513" i="4"/>
  <c r="M513" i="4"/>
  <c r="L513" i="4"/>
  <c r="K513" i="4"/>
  <c r="H513" i="4"/>
  <c r="G513" i="4"/>
  <c r="F513" i="4"/>
  <c r="R512" i="4"/>
  <c r="Q512" i="4"/>
  <c r="P512" i="4"/>
  <c r="M512" i="4"/>
  <c r="L512" i="4"/>
  <c r="K512" i="4"/>
  <c r="H512" i="4"/>
  <c r="G512" i="4"/>
  <c r="F512" i="4"/>
  <c r="R511" i="4"/>
  <c r="Q511" i="4"/>
  <c r="P511" i="4"/>
  <c r="M511" i="4"/>
  <c r="L511" i="4"/>
  <c r="K511" i="4"/>
  <c r="H511" i="4"/>
  <c r="G511" i="4"/>
  <c r="F511" i="4"/>
  <c r="R510" i="4"/>
  <c r="Q510" i="4"/>
  <c r="P510" i="4"/>
  <c r="M510" i="4"/>
  <c r="L510" i="4"/>
  <c r="K510" i="4"/>
  <c r="H510" i="4"/>
  <c r="G510" i="4"/>
  <c r="F510" i="4"/>
  <c r="R509" i="4"/>
  <c r="Q509" i="4"/>
  <c r="P509" i="4"/>
  <c r="M509" i="4"/>
  <c r="L509" i="4"/>
  <c r="K509" i="4"/>
  <c r="H509" i="4"/>
  <c r="G509" i="4"/>
  <c r="F509" i="4"/>
  <c r="R508" i="4"/>
  <c r="Q508" i="4"/>
  <c r="P508" i="4"/>
  <c r="M508" i="4"/>
  <c r="L508" i="4"/>
  <c r="K508" i="4"/>
  <c r="H508" i="4"/>
  <c r="G508" i="4"/>
  <c r="F508" i="4"/>
  <c r="R507" i="4"/>
  <c r="Q507" i="4"/>
  <c r="P507" i="4"/>
  <c r="M507" i="4"/>
  <c r="L507" i="4"/>
  <c r="K507" i="4"/>
  <c r="H507" i="4"/>
  <c r="G507" i="4"/>
  <c r="F507" i="4"/>
  <c r="R506" i="4"/>
  <c r="Q506" i="4"/>
  <c r="P506" i="4"/>
  <c r="M506" i="4"/>
  <c r="L506" i="4"/>
  <c r="K506" i="4"/>
  <c r="H506" i="4"/>
  <c r="G506" i="4"/>
  <c r="F506" i="4"/>
  <c r="R505" i="4"/>
  <c r="Q505" i="4"/>
  <c r="P505" i="4"/>
  <c r="M505" i="4"/>
  <c r="L505" i="4"/>
  <c r="K505" i="4"/>
  <c r="H505" i="4"/>
  <c r="G505" i="4"/>
  <c r="F505" i="4"/>
  <c r="R504" i="4"/>
  <c r="Q504" i="4"/>
  <c r="P504" i="4"/>
  <c r="M504" i="4"/>
  <c r="L504" i="4"/>
  <c r="K504" i="4"/>
  <c r="H504" i="4"/>
  <c r="G504" i="4"/>
  <c r="F504" i="4"/>
  <c r="R503" i="4"/>
  <c r="Q503" i="4"/>
  <c r="P503" i="4"/>
  <c r="M503" i="4"/>
  <c r="L503" i="4"/>
  <c r="K503" i="4"/>
  <c r="H503" i="4"/>
  <c r="G503" i="4"/>
  <c r="F503" i="4"/>
  <c r="R502" i="4"/>
  <c r="Q502" i="4"/>
  <c r="P502" i="4"/>
  <c r="M502" i="4"/>
  <c r="L502" i="4"/>
  <c r="K502" i="4"/>
  <c r="H502" i="4"/>
  <c r="G502" i="4"/>
  <c r="F502" i="4"/>
  <c r="R501" i="4"/>
  <c r="Q501" i="4"/>
  <c r="P501" i="4"/>
  <c r="M501" i="4"/>
  <c r="L501" i="4"/>
  <c r="K501" i="4"/>
  <c r="H501" i="4"/>
  <c r="G501" i="4"/>
  <c r="F501" i="4"/>
  <c r="R500" i="4"/>
  <c r="Q500" i="4"/>
  <c r="P500" i="4"/>
  <c r="M500" i="4"/>
  <c r="L500" i="4"/>
  <c r="K500" i="4"/>
  <c r="H500" i="4"/>
  <c r="G500" i="4"/>
  <c r="F500" i="4"/>
  <c r="R499" i="4"/>
  <c r="Q499" i="4"/>
  <c r="P499" i="4"/>
  <c r="M499" i="4"/>
  <c r="L499" i="4"/>
  <c r="K499" i="4"/>
  <c r="H499" i="4"/>
  <c r="G499" i="4"/>
  <c r="F499" i="4"/>
  <c r="R498" i="4"/>
  <c r="Q498" i="4"/>
  <c r="P498" i="4"/>
  <c r="M498" i="4"/>
  <c r="L498" i="4"/>
  <c r="K498" i="4"/>
  <c r="H498" i="4"/>
  <c r="G498" i="4"/>
  <c r="F498" i="4"/>
  <c r="R497" i="4"/>
  <c r="Q497" i="4"/>
  <c r="P497" i="4"/>
  <c r="M497" i="4"/>
  <c r="L497" i="4"/>
  <c r="K497" i="4"/>
  <c r="H497" i="4"/>
  <c r="G497" i="4"/>
  <c r="F497" i="4"/>
  <c r="R496" i="4"/>
  <c r="Q496" i="4"/>
  <c r="P496" i="4"/>
  <c r="M496" i="4"/>
  <c r="L496" i="4"/>
  <c r="K496" i="4"/>
  <c r="H496" i="4"/>
  <c r="G496" i="4"/>
  <c r="F496" i="4"/>
  <c r="R495" i="4"/>
  <c r="Q495" i="4"/>
  <c r="P495" i="4"/>
  <c r="M495" i="4"/>
  <c r="L495" i="4"/>
  <c r="K495" i="4"/>
  <c r="H495" i="4"/>
  <c r="G495" i="4"/>
  <c r="F495" i="4"/>
  <c r="R494" i="4"/>
  <c r="Q494" i="4"/>
  <c r="P494" i="4"/>
  <c r="M494" i="4"/>
  <c r="L494" i="4"/>
  <c r="K494" i="4"/>
  <c r="H494" i="4"/>
  <c r="G494" i="4"/>
  <c r="F494" i="4"/>
  <c r="R493" i="4"/>
  <c r="Q493" i="4"/>
  <c r="P493" i="4"/>
  <c r="M493" i="4"/>
  <c r="L493" i="4"/>
  <c r="K493" i="4"/>
  <c r="H493" i="4"/>
  <c r="G493" i="4"/>
  <c r="F493" i="4"/>
  <c r="R492" i="4"/>
  <c r="Q492" i="4"/>
  <c r="P492" i="4"/>
  <c r="M492" i="4"/>
  <c r="L492" i="4"/>
  <c r="K492" i="4"/>
  <c r="H492" i="4"/>
  <c r="G492" i="4"/>
  <c r="F492" i="4"/>
  <c r="R491" i="4"/>
  <c r="Q491" i="4"/>
  <c r="P491" i="4"/>
  <c r="M491" i="4"/>
  <c r="L491" i="4"/>
  <c r="K491" i="4"/>
  <c r="H491" i="4"/>
  <c r="G491" i="4"/>
  <c r="F491" i="4"/>
  <c r="R490" i="4"/>
  <c r="Q490" i="4"/>
  <c r="P490" i="4"/>
  <c r="M490" i="4"/>
  <c r="L490" i="4"/>
  <c r="K490" i="4"/>
  <c r="H490" i="4"/>
  <c r="G490" i="4"/>
  <c r="F490" i="4"/>
  <c r="R489" i="4"/>
  <c r="Q489" i="4"/>
  <c r="P489" i="4"/>
  <c r="M489" i="4"/>
  <c r="L489" i="4"/>
  <c r="K489" i="4"/>
  <c r="H489" i="4"/>
  <c r="G489" i="4"/>
  <c r="F489" i="4"/>
  <c r="R488" i="4"/>
  <c r="Q488" i="4"/>
  <c r="P488" i="4"/>
  <c r="M488" i="4"/>
  <c r="L488" i="4"/>
  <c r="K488" i="4"/>
  <c r="H488" i="4"/>
  <c r="G488" i="4"/>
  <c r="F488" i="4"/>
  <c r="R487" i="4"/>
  <c r="Q487" i="4"/>
  <c r="P487" i="4"/>
  <c r="M487" i="4"/>
  <c r="L487" i="4"/>
  <c r="K487" i="4"/>
  <c r="H487" i="4"/>
  <c r="G487" i="4"/>
  <c r="F487" i="4"/>
  <c r="R486" i="4"/>
  <c r="Q486" i="4"/>
  <c r="P486" i="4"/>
  <c r="M486" i="4"/>
  <c r="L486" i="4"/>
  <c r="K486" i="4"/>
  <c r="H486" i="4"/>
  <c r="G486" i="4"/>
  <c r="F486" i="4"/>
  <c r="R485" i="4"/>
  <c r="Q485" i="4"/>
  <c r="P485" i="4"/>
  <c r="M485" i="4"/>
  <c r="L485" i="4"/>
  <c r="K485" i="4"/>
  <c r="H485" i="4"/>
  <c r="G485" i="4"/>
  <c r="F485" i="4"/>
  <c r="R484" i="4"/>
  <c r="Q484" i="4"/>
  <c r="P484" i="4"/>
  <c r="M484" i="4"/>
  <c r="L484" i="4"/>
  <c r="K484" i="4"/>
  <c r="H484" i="4"/>
  <c r="G484" i="4"/>
  <c r="F484" i="4"/>
  <c r="R483" i="4"/>
  <c r="Q483" i="4"/>
  <c r="P483" i="4"/>
  <c r="M483" i="4"/>
  <c r="L483" i="4"/>
  <c r="K483" i="4"/>
  <c r="H483" i="4"/>
  <c r="G483" i="4"/>
  <c r="F483" i="4"/>
  <c r="R482" i="4"/>
  <c r="Q482" i="4"/>
  <c r="P482" i="4"/>
  <c r="M482" i="4"/>
  <c r="L482" i="4"/>
  <c r="K482" i="4"/>
  <c r="H482" i="4"/>
  <c r="G482" i="4"/>
  <c r="F482" i="4"/>
  <c r="R481" i="4"/>
  <c r="Q481" i="4"/>
  <c r="P481" i="4"/>
  <c r="M481" i="4"/>
  <c r="L481" i="4"/>
  <c r="K481" i="4"/>
  <c r="H481" i="4"/>
  <c r="G481" i="4"/>
  <c r="F481" i="4"/>
  <c r="R480" i="4"/>
  <c r="Q480" i="4"/>
  <c r="P480" i="4"/>
  <c r="M480" i="4"/>
  <c r="L480" i="4"/>
  <c r="K480" i="4"/>
  <c r="H480" i="4"/>
  <c r="G480" i="4"/>
  <c r="F480" i="4"/>
  <c r="R479" i="4"/>
  <c r="Q479" i="4"/>
  <c r="P479" i="4"/>
  <c r="M479" i="4"/>
  <c r="L479" i="4"/>
  <c r="K479" i="4"/>
  <c r="H479" i="4"/>
  <c r="G479" i="4"/>
  <c r="F479" i="4"/>
  <c r="R478" i="4"/>
  <c r="Q478" i="4"/>
  <c r="P478" i="4"/>
  <c r="M478" i="4"/>
  <c r="L478" i="4"/>
  <c r="K478" i="4"/>
  <c r="H478" i="4"/>
  <c r="G478" i="4"/>
  <c r="F478" i="4"/>
  <c r="R477" i="4"/>
  <c r="Q477" i="4"/>
  <c r="P477" i="4"/>
  <c r="M477" i="4"/>
  <c r="L477" i="4"/>
  <c r="K477" i="4"/>
  <c r="H477" i="4"/>
  <c r="G477" i="4"/>
  <c r="F477" i="4"/>
  <c r="R476" i="4"/>
  <c r="Q476" i="4"/>
  <c r="P476" i="4"/>
  <c r="M476" i="4"/>
  <c r="L476" i="4"/>
  <c r="K476" i="4"/>
  <c r="H476" i="4"/>
  <c r="G476" i="4"/>
  <c r="F476" i="4"/>
  <c r="R475" i="4"/>
  <c r="Q475" i="4"/>
  <c r="P475" i="4"/>
  <c r="M475" i="4"/>
  <c r="L475" i="4"/>
  <c r="K475" i="4"/>
  <c r="H475" i="4"/>
  <c r="G475" i="4"/>
  <c r="F475" i="4"/>
  <c r="R474" i="4"/>
  <c r="Q474" i="4"/>
  <c r="P474" i="4"/>
  <c r="M474" i="4"/>
  <c r="L474" i="4"/>
  <c r="K474" i="4"/>
  <c r="H474" i="4"/>
  <c r="G474" i="4"/>
  <c r="F474" i="4"/>
  <c r="R473" i="4"/>
  <c r="Q473" i="4"/>
  <c r="P473" i="4"/>
  <c r="M473" i="4"/>
  <c r="L473" i="4"/>
  <c r="K473" i="4"/>
  <c r="H473" i="4"/>
  <c r="G473" i="4"/>
  <c r="F473" i="4"/>
  <c r="R472" i="4"/>
  <c r="Q472" i="4"/>
  <c r="P472" i="4"/>
  <c r="M472" i="4"/>
  <c r="L472" i="4"/>
  <c r="K472" i="4"/>
  <c r="H472" i="4"/>
  <c r="G472" i="4"/>
  <c r="F472" i="4"/>
  <c r="R471" i="4"/>
  <c r="Q471" i="4"/>
  <c r="P471" i="4"/>
  <c r="M471" i="4"/>
  <c r="L471" i="4"/>
  <c r="K471" i="4"/>
  <c r="H471" i="4"/>
  <c r="G471" i="4"/>
  <c r="F471" i="4"/>
  <c r="R470" i="4"/>
  <c r="Q470" i="4"/>
  <c r="P470" i="4"/>
  <c r="M470" i="4"/>
  <c r="L470" i="4"/>
  <c r="K470" i="4"/>
  <c r="H470" i="4"/>
  <c r="G470" i="4"/>
  <c r="F470" i="4"/>
  <c r="R469" i="4"/>
  <c r="Q469" i="4"/>
  <c r="P469" i="4"/>
  <c r="M469" i="4"/>
  <c r="L469" i="4"/>
  <c r="K469" i="4"/>
  <c r="H469" i="4"/>
  <c r="G469" i="4"/>
  <c r="F469" i="4"/>
  <c r="R468" i="4"/>
  <c r="Q468" i="4"/>
  <c r="P468" i="4"/>
  <c r="M468" i="4"/>
  <c r="L468" i="4"/>
  <c r="K468" i="4"/>
  <c r="H468" i="4"/>
  <c r="G468" i="4"/>
  <c r="F468" i="4"/>
  <c r="R467" i="4"/>
  <c r="Q467" i="4"/>
  <c r="P467" i="4"/>
  <c r="M467" i="4"/>
  <c r="L467" i="4"/>
  <c r="K467" i="4"/>
  <c r="H467" i="4"/>
  <c r="G467" i="4"/>
  <c r="F467" i="4"/>
  <c r="R466" i="4"/>
  <c r="Q466" i="4"/>
  <c r="P466" i="4"/>
  <c r="M466" i="4"/>
  <c r="L466" i="4"/>
  <c r="K466" i="4"/>
  <c r="H466" i="4"/>
  <c r="G466" i="4"/>
  <c r="F466" i="4"/>
  <c r="R465" i="4"/>
  <c r="Q465" i="4"/>
  <c r="P465" i="4"/>
  <c r="M465" i="4"/>
  <c r="L465" i="4"/>
  <c r="K465" i="4"/>
  <c r="H465" i="4"/>
  <c r="G465" i="4"/>
  <c r="F465" i="4"/>
  <c r="R464" i="4"/>
  <c r="Q464" i="4"/>
  <c r="P464" i="4"/>
  <c r="M464" i="4"/>
  <c r="L464" i="4"/>
  <c r="K464" i="4"/>
  <c r="H464" i="4"/>
  <c r="G464" i="4"/>
  <c r="F464" i="4"/>
  <c r="R463" i="4"/>
  <c r="Q463" i="4"/>
  <c r="P463" i="4"/>
  <c r="M463" i="4"/>
  <c r="L463" i="4"/>
  <c r="K463" i="4"/>
  <c r="H463" i="4"/>
  <c r="G463" i="4"/>
  <c r="F463" i="4"/>
  <c r="R462" i="4"/>
  <c r="Q462" i="4"/>
  <c r="P462" i="4"/>
  <c r="M462" i="4"/>
  <c r="L462" i="4"/>
  <c r="K462" i="4"/>
  <c r="H462" i="4"/>
  <c r="G462" i="4"/>
  <c r="F462" i="4"/>
  <c r="R461" i="4"/>
  <c r="Q461" i="4"/>
  <c r="P461" i="4"/>
  <c r="M461" i="4"/>
  <c r="L461" i="4"/>
  <c r="K461" i="4"/>
  <c r="H461" i="4"/>
  <c r="G461" i="4"/>
  <c r="F461" i="4"/>
  <c r="R460" i="4"/>
  <c r="Q460" i="4"/>
  <c r="P460" i="4"/>
  <c r="M460" i="4"/>
  <c r="L460" i="4"/>
  <c r="K460" i="4"/>
  <c r="H460" i="4"/>
  <c r="G460" i="4"/>
  <c r="F460" i="4"/>
  <c r="R459" i="4"/>
  <c r="Q459" i="4"/>
  <c r="P459" i="4"/>
  <c r="M459" i="4"/>
  <c r="L459" i="4"/>
  <c r="K459" i="4"/>
  <c r="H459" i="4"/>
  <c r="G459" i="4"/>
  <c r="F459" i="4"/>
  <c r="R458" i="4"/>
  <c r="Q458" i="4"/>
  <c r="P458" i="4"/>
  <c r="M458" i="4"/>
  <c r="L458" i="4"/>
  <c r="K458" i="4"/>
  <c r="H458" i="4"/>
  <c r="G458" i="4"/>
  <c r="F458" i="4"/>
  <c r="R457" i="4"/>
  <c r="Q457" i="4"/>
  <c r="P457" i="4"/>
  <c r="M457" i="4"/>
  <c r="L457" i="4"/>
  <c r="K457" i="4"/>
  <c r="H457" i="4"/>
  <c r="G457" i="4"/>
  <c r="F457" i="4"/>
  <c r="R456" i="4"/>
  <c r="Q456" i="4"/>
  <c r="P456" i="4"/>
  <c r="M456" i="4"/>
  <c r="L456" i="4"/>
  <c r="K456" i="4"/>
  <c r="H456" i="4"/>
  <c r="G456" i="4"/>
  <c r="F456" i="4"/>
  <c r="R455" i="4"/>
  <c r="Q455" i="4"/>
  <c r="P455" i="4"/>
  <c r="M455" i="4"/>
  <c r="L455" i="4"/>
  <c r="K455" i="4"/>
  <c r="H455" i="4"/>
  <c r="G455" i="4"/>
  <c r="F455" i="4"/>
  <c r="R454" i="4"/>
  <c r="Q454" i="4"/>
  <c r="P454" i="4"/>
  <c r="M454" i="4"/>
  <c r="L454" i="4"/>
  <c r="K454" i="4"/>
  <c r="H454" i="4"/>
  <c r="G454" i="4"/>
  <c r="F454" i="4"/>
  <c r="R453" i="4"/>
  <c r="Q453" i="4"/>
  <c r="P453" i="4"/>
  <c r="M453" i="4"/>
  <c r="L453" i="4"/>
  <c r="K453" i="4"/>
  <c r="H453" i="4"/>
  <c r="G453" i="4"/>
  <c r="F453" i="4"/>
  <c r="R452" i="4"/>
  <c r="Q452" i="4"/>
  <c r="P452" i="4"/>
  <c r="M452" i="4"/>
  <c r="L452" i="4"/>
  <c r="K452" i="4"/>
  <c r="H452" i="4"/>
  <c r="G452" i="4"/>
  <c r="F452" i="4"/>
  <c r="R451" i="4"/>
  <c r="Q451" i="4"/>
  <c r="P451" i="4"/>
  <c r="M451" i="4"/>
  <c r="L451" i="4"/>
  <c r="K451" i="4"/>
  <c r="H451" i="4"/>
  <c r="G451" i="4"/>
  <c r="F451" i="4"/>
  <c r="R450" i="4"/>
  <c r="Q450" i="4"/>
  <c r="P450" i="4"/>
  <c r="M450" i="4"/>
  <c r="L450" i="4"/>
  <c r="K450" i="4"/>
  <c r="H450" i="4"/>
  <c r="G450" i="4"/>
  <c r="F450" i="4"/>
  <c r="R449" i="4"/>
  <c r="Q449" i="4"/>
  <c r="P449" i="4"/>
  <c r="M449" i="4"/>
  <c r="L449" i="4"/>
  <c r="K449" i="4"/>
  <c r="H449" i="4"/>
  <c r="G449" i="4"/>
  <c r="F449" i="4"/>
  <c r="R448" i="4"/>
  <c r="Q448" i="4"/>
  <c r="P448" i="4"/>
  <c r="M448" i="4"/>
  <c r="L448" i="4"/>
  <c r="K448" i="4"/>
  <c r="H448" i="4"/>
  <c r="G448" i="4"/>
  <c r="F448" i="4"/>
  <c r="R447" i="4"/>
  <c r="Q447" i="4"/>
  <c r="P447" i="4"/>
  <c r="M447" i="4"/>
  <c r="L447" i="4"/>
  <c r="K447" i="4"/>
  <c r="H447" i="4"/>
  <c r="G447" i="4"/>
  <c r="F447" i="4"/>
  <c r="R446" i="4"/>
  <c r="Q446" i="4"/>
  <c r="P446" i="4"/>
  <c r="M446" i="4"/>
  <c r="L446" i="4"/>
  <c r="K446" i="4"/>
  <c r="H446" i="4"/>
  <c r="G446" i="4"/>
  <c r="F446" i="4"/>
  <c r="R445" i="4"/>
  <c r="Q445" i="4"/>
  <c r="P445" i="4"/>
  <c r="M445" i="4"/>
  <c r="L445" i="4"/>
  <c r="K445" i="4"/>
  <c r="H445" i="4"/>
  <c r="G445" i="4"/>
  <c r="F445" i="4"/>
  <c r="R444" i="4"/>
  <c r="Q444" i="4"/>
  <c r="P444" i="4"/>
  <c r="M444" i="4"/>
  <c r="L444" i="4"/>
  <c r="K444" i="4"/>
  <c r="H444" i="4"/>
  <c r="G444" i="4"/>
  <c r="F444" i="4"/>
  <c r="R443" i="4"/>
  <c r="Q443" i="4"/>
  <c r="P443" i="4"/>
  <c r="M443" i="4"/>
  <c r="L443" i="4"/>
  <c r="K443" i="4"/>
  <c r="H443" i="4"/>
  <c r="G443" i="4"/>
  <c r="F443" i="4"/>
  <c r="R442" i="4"/>
  <c r="Q442" i="4"/>
  <c r="P442" i="4"/>
  <c r="M442" i="4"/>
  <c r="L442" i="4"/>
  <c r="K442" i="4"/>
  <c r="H442" i="4"/>
  <c r="G442" i="4"/>
  <c r="F442" i="4"/>
  <c r="R441" i="4"/>
  <c r="Q441" i="4"/>
  <c r="P441" i="4"/>
  <c r="M441" i="4"/>
  <c r="L441" i="4"/>
  <c r="K441" i="4"/>
  <c r="H441" i="4"/>
  <c r="G441" i="4"/>
  <c r="F441" i="4"/>
  <c r="R440" i="4"/>
  <c r="Q440" i="4"/>
  <c r="P440" i="4"/>
  <c r="M440" i="4"/>
  <c r="L440" i="4"/>
  <c r="K440" i="4"/>
  <c r="H440" i="4"/>
  <c r="G440" i="4"/>
  <c r="F440" i="4"/>
  <c r="R439" i="4"/>
  <c r="Q439" i="4"/>
  <c r="P439" i="4"/>
  <c r="M439" i="4"/>
  <c r="L439" i="4"/>
  <c r="K439" i="4"/>
  <c r="H439" i="4"/>
  <c r="G439" i="4"/>
  <c r="F439" i="4"/>
  <c r="R438" i="4"/>
  <c r="Q438" i="4"/>
  <c r="P438" i="4"/>
  <c r="M438" i="4"/>
  <c r="L438" i="4"/>
  <c r="K438" i="4"/>
  <c r="H438" i="4"/>
  <c r="G438" i="4"/>
  <c r="F438" i="4"/>
  <c r="R437" i="4"/>
  <c r="Q437" i="4"/>
  <c r="P437" i="4"/>
  <c r="M437" i="4"/>
  <c r="L437" i="4"/>
  <c r="K437" i="4"/>
  <c r="H437" i="4"/>
  <c r="G437" i="4"/>
  <c r="F437" i="4"/>
  <c r="R436" i="4"/>
  <c r="Q436" i="4"/>
  <c r="P436" i="4"/>
  <c r="M436" i="4"/>
  <c r="L436" i="4"/>
  <c r="K436" i="4"/>
  <c r="H436" i="4"/>
  <c r="G436" i="4"/>
  <c r="F436" i="4"/>
  <c r="R435" i="4"/>
  <c r="Q435" i="4"/>
  <c r="P435" i="4"/>
  <c r="M435" i="4"/>
  <c r="L435" i="4"/>
  <c r="K435" i="4"/>
  <c r="H435" i="4"/>
  <c r="G435" i="4"/>
  <c r="F435" i="4"/>
  <c r="R434" i="4"/>
  <c r="Q434" i="4"/>
  <c r="P434" i="4"/>
  <c r="M434" i="4"/>
  <c r="L434" i="4"/>
  <c r="K434" i="4"/>
  <c r="H434" i="4"/>
  <c r="G434" i="4"/>
  <c r="F434" i="4"/>
  <c r="R433" i="4"/>
  <c r="Q433" i="4"/>
  <c r="P433" i="4"/>
  <c r="M433" i="4"/>
  <c r="L433" i="4"/>
  <c r="K433" i="4"/>
  <c r="H433" i="4"/>
  <c r="G433" i="4"/>
  <c r="F433" i="4"/>
  <c r="R432" i="4"/>
  <c r="Q432" i="4"/>
  <c r="P432" i="4"/>
  <c r="M432" i="4"/>
  <c r="L432" i="4"/>
  <c r="K432" i="4"/>
  <c r="H432" i="4"/>
  <c r="G432" i="4"/>
  <c r="F432" i="4"/>
  <c r="R431" i="4"/>
  <c r="Q431" i="4"/>
  <c r="P431" i="4"/>
  <c r="M431" i="4"/>
  <c r="L431" i="4"/>
  <c r="K431" i="4"/>
  <c r="H431" i="4"/>
  <c r="G431" i="4"/>
  <c r="F431" i="4"/>
  <c r="R430" i="4"/>
  <c r="Q430" i="4"/>
  <c r="P430" i="4"/>
  <c r="M430" i="4"/>
  <c r="L430" i="4"/>
  <c r="K430" i="4"/>
  <c r="H430" i="4"/>
  <c r="G430" i="4"/>
  <c r="F430" i="4"/>
  <c r="R429" i="4"/>
  <c r="Q429" i="4"/>
  <c r="P429" i="4"/>
  <c r="M429" i="4"/>
  <c r="L429" i="4"/>
  <c r="K429" i="4"/>
  <c r="H429" i="4"/>
  <c r="G429" i="4"/>
  <c r="F429" i="4"/>
  <c r="R428" i="4"/>
  <c r="Q428" i="4"/>
  <c r="P428" i="4"/>
  <c r="M428" i="4"/>
  <c r="L428" i="4"/>
  <c r="K428" i="4"/>
  <c r="H428" i="4"/>
  <c r="G428" i="4"/>
  <c r="F428" i="4"/>
  <c r="R427" i="4"/>
  <c r="Q427" i="4"/>
  <c r="P427" i="4"/>
  <c r="M427" i="4"/>
  <c r="L427" i="4"/>
  <c r="K427" i="4"/>
  <c r="H427" i="4"/>
  <c r="G427" i="4"/>
  <c r="F427" i="4"/>
  <c r="R426" i="4"/>
  <c r="Q426" i="4"/>
  <c r="P426" i="4"/>
  <c r="M426" i="4"/>
  <c r="L426" i="4"/>
  <c r="K426" i="4"/>
  <c r="H426" i="4"/>
  <c r="G426" i="4"/>
  <c r="F426" i="4"/>
  <c r="R425" i="4"/>
  <c r="Q425" i="4"/>
  <c r="P425" i="4"/>
  <c r="M425" i="4"/>
  <c r="L425" i="4"/>
  <c r="K425" i="4"/>
  <c r="H425" i="4"/>
  <c r="G425" i="4"/>
  <c r="F425" i="4"/>
  <c r="R424" i="4"/>
  <c r="Q424" i="4"/>
  <c r="P424" i="4"/>
  <c r="M424" i="4"/>
  <c r="L424" i="4"/>
  <c r="K424" i="4"/>
  <c r="H424" i="4"/>
  <c r="G424" i="4"/>
  <c r="F424" i="4"/>
  <c r="R423" i="4"/>
  <c r="Q423" i="4"/>
  <c r="P423" i="4"/>
  <c r="M423" i="4"/>
  <c r="L423" i="4"/>
  <c r="K423" i="4"/>
  <c r="H423" i="4"/>
  <c r="G423" i="4"/>
  <c r="F423" i="4"/>
  <c r="R422" i="4"/>
  <c r="Q422" i="4"/>
  <c r="P422" i="4"/>
  <c r="M422" i="4"/>
  <c r="L422" i="4"/>
  <c r="K422" i="4"/>
  <c r="H422" i="4"/>
  <c r="G422" i="4"/>
  <c r="F422" i="4"/>
  <c r="R421" i="4"/>
  <c r="Q421" i="4"/>
  <c r="P421" i="4"/>
  <c r="M421" i="4"/>
  <c r="L421" i="4"/>
  <c r="K421" i="4"/>
  <c r="H421" i="4"/>
  <c r="G421" i="4"/>
  <c r="F421" i="4"/>
  <c r="R420" i="4"/>
  <c r="Q420" i="4"/>
  <c r="P420" i="4"/>
  <c r="M420" i="4"/>
  <c r="L420" i="4"/>
  <c r="K420" i="4"/>
  <c r="H420" i="4"/>
  <c r="G420" i="4"/>
  <c r="F420" i="4"/>
  <c r="R419" i="4"/>
  <c r="Q419" i="4"/>
  <c r="P419" i="4"/>
  <c r="M419" i="4"/>
  <c r="L419" i="4"/>
  <c r="K419" i="4"/>
  <c r="H419" i="4"/>
  <c r="G419" i="4"/>
  <c r="F419" i="4"/>
  <c r="R418" i="4"/>
  <c r="Q418" i="4"/>
  <c r="P418" i="4"/>
  <c r="M418" i="4"/>
  <c r="L418" i="4"/>
  <c r="K418" i="4"/>
  <c r="H418" i="4"/>
  <c r="G418" i="4"/>
  <c r="F418" i="4"/>
  <c r="R417" i="4"/>
  <c r="Q417" i="4"/>
  <c r="P417" i="4"/>
  <c r="M417" i="4"/>
  <c r="L417" i="4"/>
  <c r="K417" i="4"/>
  <c r="H417" i="4"/>
  <c r="G417" i="4"/>
  <c r="F417" i="4"/>
  <c r="R416" i="4"/>
  <c r="Q416" i="4"/>
  <c r="P416" i="4"/>
  <c r="M416" i="4"/>
  <c r="L416" i="4"/>
  <c r="K416" i="4"/>
  <c r="H416" i="4"/>
  <c r="G416" i="4"/>
  <c r="F416" i="4"/>
  <c r="R415" i="4"/>
  <c r="Q415" i="4"/>
  <c r="P415" i="4"/>
  <c r="M415" i="4"/>
  <c r="L415" i="4"/>
  <c r="K415" i="4"/>
  <c r="H415" i="4"/>
  <c r="G415" i="4"/>
  <c r="F415" i="4"/>
  <c r="R414" i="4"/>
  <c r="Q414" i="4"/>
  <c r="P414" i="4"/>
  <c r="M414" i="4"/>
  <c r="L414" i="4"/>
  <c r="K414" i="4"/>
  <c r="H414" i="4"/>
  <c r="G414" i="4"/>
  <c r="F414" i="4"/>
  <c r="R413" i="4"/>
  <c r="Q413" i="4"/>
  <c r="P413" i="4"/>
  <c r="M413" i="4"/>
  <c r="L413" i="4"/>
  <c r="K413" i="4"/>
  <c r="H413" i="4"/>
  <c r="G413" i="4"/>
  <c r="F413" i="4"/>
  <c r="R412" i="4"/>
  <c r="Q412" i="4"/>
  <c r="P412" i="4"/>
  <c r="M412" i="4"/>
  <c r="L412" i="4"/>
  <c r="K412" i="4"/>
  <c r="H412" i="4"/>
  <c r="G412" i="4"/>
  <c r="F412" i="4"/>
  <c r="R411" i="4"/>
  <c r="Q411" i="4"/>
  <c r="P411" i="4"/>
  <c r="M411" i="4"/>
  <c r="L411" i="4"/>
  <c r="K411" i="4"/>
  <c r="H411" i="4"/>
  <c r="G411" i="4"/>
  <c r="F411" i="4"/>
  <c r="R410" i="4"/>
  <c r="Q410" i="4"/>
  <c r="P410" i="4"/>
  <c r="M410" i="4"/>
  <c r="L410" i="4"/>
  <c r="K410" i="4"/>
  <c r="H410" i="4"/>
  <c r="G410" i="4"/>
  <c r="F410" i="4"/>
  <c r="R409" i="4"/>
  <c r="Q409" i="4"/>
  <c r="P409" i="4"/>
  <c r="M409" i="4"/>
  <c r="L409" i="4"/>
  <c r="K409" i="4"/>
  <c r="H409" i="4"/>
  <c r="G409" i="4"/>
  <c r="F409" i="4"/>
  <c r="R408" i="4"/>
  <c r="Q408" i="4"/>
  <c r="P408" i="4"/>
  <c r="M408" i="4"/>
  <c r="L408" i="4"/>
  <c r="K408" i="4"/>
  <c r="H408" i="4"/>
  <c r="G408" i="4"/>
  <c r="F408" i="4"/>
  <c r="R407" i="4"/>
  <c r="Q407" i="4"/>
  <c r="P407" i="4"/>
  <c r="M407" i="4"/>
  <c r="L407" i="4"/>
  <c r="K407" i="4"/>
  <c r="H407" i="4"/>
  <c r="G407" i="4"/>
  <c r="F407" i="4"/>
  <c r="R406" i="4"/>
  <c r="Q406" i="4"/>
  <c r="P406" i="4"/>
  <c r="M406" i="4"/>
  <c r="L406" i="4"/>
  <c r="K406" i="4"/>
  <c r="H406" i="4"/>
  <c r="G406" i="4"/>
  <c r="F406" i="4"/>
  <c r="R405" i="4"/>
  <c r="Q405" i="4"/>
  <c r="P405" i="4"/>
  <c r="M405" i="4"/>
  <c r="L405" i="4"/>
  <c r="K405" i="4"/>
  <c r="H405" i="4"/>
  <c r="G405" i="4"/>
  <c r="F405" i="4"/>
  <c r="R404" i="4"/>
  <c r="Q404" i="4"/>
  <c r="P404" i="4"/>
  <c r="M404" i="4"/>
  <c r="L404" i="4"/>
  <c r="K404" i="4"/>
  <c r="H404" i="4"/>
  <c r="G404" i="4"/>
  <c r="F404" i="4"/>
  <c r="R403" i="4"/>
  <c r="Q403" i="4"/>
  <c r="P403" i="4"/>
  <c r="M403" i="4"/>
  <c r="L403" i="4"/>
  <c r="K403" i="4"/>
  <c r="H403" i="4"/>
  <c r="G403" i="4"/>
  <c r="F403" i="4"/>
  <c r="R402" i="4"/>
  <c r="Q402" i="4"/>
  <c r="P402" i="4"/>
  <c r="M402" i="4"/>
  <c r="L402" i="4"/>
  <c r="K402" i="4"/>
  <c r="H402" i="4"/>
  <c r="G402" i="4"/>
  <c r="F402" i="4"/>
  <c r="R401" i="4"/>
  <c r="Q401" i="4"/>
  <c r="P401" i="4"/>
  <c r="M401" i="4"/>
  <c r="L401" i="4"/>
  <c r="K401" i="4"/>
  <c r="H401" i="4"/>
  <c r="G401" i="4"/>
  <c r="F401" i="4"/>
  <c r="R400" i="4"/>
  <c r="Q400" i="4"/>
  <c r="P400" i="4"/>
  <c r="M400" i="4"/>
  <c r="L400" i="4"/>
  <c r="K400" i="4"/>
  <c r="H400" i="4"/>
  <c r="G400" i="4"/>
  <c r="F400" i="4"/>
  <c r="R399" i="4"/>
  <c r="Q399" i="4"/>
  <c r="P399" i="4"/>
  <c r="M399" i="4"/>
  <c r="L399" i="4"/>
  <c r="K399" i="4"/>
  <c r="H399" i="4"/>
  <c r="G399" i="4"/>
  <c r="F399" i="4"/>
  <c r="R398" i="4"/>
  <c r="Q398" i="4"/>
  <c r="P398" i="4"/>
  <c r="M398" i="4"/>
  <c r="L398" i="4"/>
  <c r="K398" i="4"/>
  <c r="H398" i="4"/>
  <c r="G398" i="4"/>
  <c r="F398" i="4"/>
  <c r="R397" i="4"/>
  <c r="Q397" i="4"/>
  <c r="P397" i="4"/>
  <c r="M397" i="4"/>
  <c r="L397" i="4"/>
  <c r="K397" i="4"/>
  <c r="H397" i="4"/>
  <c r="G397" i="4"/>
  <c r="F397" i="4"/>
  <c r="R396" i="4"/>
  <c r="Q396" i="4"/>
  <c r="P396" i="4"/>
  <c r="M396" i="4"/>
  <c r="L396" i="4"/>
  <c r="K396" i="4"/>
  <c r="H396" i="4"/>
  <c r="G396" i="4"/>
  <c r="F396" i="4"/>
  <c r="R395" i="4"/>
  <c r="Q395" i="4"/>
  <c r="P395" i="4"/>
  <c r="M395" i="4"/>
  <c r="L395" i="4"/>
  <c r="K395" i="4"/>
  <c r="H395" i="4"/>
  <c r="G395" i="4"/>
  <c r="F395" i="4"/>
  <c r="R394" i="4"/>
  <c r="Q394" i="4"/>
  <c r="P394" i="4"/>
  <c r="M394" i="4"/>
  <c r="L394" i="4"/>
  <c r="K394" i="4"/>
  <c r="H394" i="4"/>
  <c r="G394" i="4"/>
  <c r="F394" i="4"/>
  <c r="R393" i="4"/>
  <c r="Q393" i="4"/>
  <c r="P393" i="4"/>
  <c r="M393" i="4"/>
  <c r="L393" i="4"/>
  <c r="K393" i="4"/>
  <c r="H393" i="4"/>
  <c r="G393" i="4"/>
  <c r="F393" i="4"/>
  <c r="R392" i="4"/>
  <c r="Q392" i="4"/>
  <c r="P392" i="4"/>
  <c r="M392" i="4"/>
  <c r="L392" i="4"/>
  <c r="K392" i="4"/>
  <c r="H392" i="4"/>
  <c r="G392" i="4"/>
  <c r="F392" i="4"/>
  <c r="R391" i="4"/>
  <c r="Q391" i="4"/>
  <c r="P391" i="4"/>
  <c r="M391" i="4"/>
  <c r="L391" i="4"/>
  <c r="K391" i="4"/>
  <c r="H391" i="4"/>
  <c r="G391" i="4"/>
  <c r="F391" i="4"/>
  <c r="R390" i="4"/>
  <c r="Q390" i="4"/>
  <c r="P390" i="4"/>
  <c r="M390" i="4"/>
  <c r="L390" i="4"/>
  <c r="K390" i="4"/>
  <c r="H390" i="4"/>
  <c r="G390" i="4"/>
  <c r="F390" i="4"/>
  <c r="R389" i="4"/>
  <c r="Q389" i="4"/>
  <c r="P389" i="4"/>
  <c r="M389" i="4"/>
  <c r="L389" i="4"/>
  <c r="K389" i="4"/>
  <c r="H389" i="4"/>
  <c r="G389" i="4"/>
  <c r="F389" i="4"/>
  <c r="R388" i="4"/>
  <c r="Q388" i="4"/>
  <c r="P388" i="4"/>
  <c r="M388" i="4"/>
  <c r="L388" i="4"/>
  <c r="K388" i="4"/>
  <c r="H388" i="4"/>
  <c r="G388" i="4"/>
  <c r="F388" i="4"/>
  <c r="R387" i="4"/>
  <c r="Q387" i="4"/>
  <c r="P387" i="4"/>
  <c r="M387" i="4"/>
  <c r="L387" i="4"/>
  <c r="K387" i="4"/>
  <c r="H387" i="4"/>
  <c r="G387" i="4"/>
  <c r="F387" i="4"/>
  <c r="R386" i="4"/>
  <c r="Q386" i="4"/>
  <c r="P386" i="4"/>
  <c r="M386" i="4"/>
  <c r="L386" i="4"/>
  <c r="K386" i="4"/>
  <c r="H386" i="4"/>
  <c r="G386" i="4"/>
  <c r="F386" i="4"/>
  <c r="R385" i="4"/>
  <c r="Q385" i="4"/>
  <c r="P385" i="4"/>
  <c r="M385" i="4"/>
  <c r="L385" i="4"/>
  <c r="K385" i="4"/>
  <c r="H385" i="4"/>
  <c r="G385" i="4"/>
  <c r="F385" i="4"/>
  <c r="R384" i="4"/>
  <c r="Q384" i="4"/>
  <c r="P384" i="4"/>
  <c r="M384" i="4"/>
  <c r="L384" i="4"/>
  <c r="K384" i="4"/>
  <c r="H384" i="4"/>
  <c r="G384" i="4"/>
  <c r="F384" i="4"/>
  <c r="R383" i="4"/>
  <c r="Q383" i="4"/>
  <c r="P383" i="4"/>
  <c r="M383" i="4"/>
  <c r="L383" i="4"/>
  <c r="K383" i="4"/>
  <c r="H383" i="4"/>
  <c r="G383" i="4"/>
  <c r="F383" i="4"/>
  <c r="R382" i="4"/>
  <c r="Q382" i="4"/>
  <c r="P382" i="4"/>
  <c r="M382" i="4"/>
  <c r="L382" i="4"/>
  <c r="K382" i="4"/>
  <c r="H382" i="4"/>
  <c r="G382" i="4"/>
  <c r="F382" i="4"/>
  <c r="R381" i="4"/>
  <c r="Q381" i="4"/>
  <c r="P381" i="4"/>
  <c r="M381" i="4"/>
  <c r="L381" i="4"/>
  <c r="K381" i="4"/>
  <c r="H381" i="4"/>
  <c r="G381" i="4"/>
  <c r="F381" i="4"/>
  <c r="R380" i="4"/>
  <c r="Q380" i="4"/>
  <c r="P380" i="4"/>
  <c r="M380" i="4"/>
  <c r="L380" i="4"/>
  <c r="K380" i="4"/>
  <c r="H380" i="4"/>
  <c r="G380" i="4"/>
  <c r="F380" i="4"/>
  <c r="R379" i="4"/>
  <c r="Q379" i="4"/>
  <c r="P379" i="4"/>
  <c r="M379" i="4"/>
  <c r="L379" i="4"/>
  <c r="K379" i="4"/>
  <c r="H379" i="4"/>
  <c r="G379" i="4"/>
  <c r="F379" i="4"/>
  <c r="R378" i="4"/>
  <c r="Q378" i="4"/>
  <c r="P378" i="4"/>
  <c r="M378" i="4"/>
  <c r="L378" i="4"/>
  <c r="K378" i="4"/>
  <c r="H378" i="4"/>
  <c r="G378" i="4"/>
  <c r="F378" i="4"/>
  <c r="R377" i="4"/>
  <c r="Q377" i="4"/>
  <c r="P377" i="4"/>
  <c r="M377" i="4"/>
  <c r="L377" i="4"/>
  <c r="K377" i="4"/>
  <c r="H377" i="4"/>
  <c r="G377" i="4"/>
  <c r="F377" i="4"/>
  <c r="R376" i="4"/>
  <c r="Q376" i="4"/>
  <c r="P376" i="4"/>
  <c r="M376" i="4"/>
  <c r="L376" i="4"/>
  <c r="K376" i="4"/>
  <c r="H376" i="4"/>
  <c r="G376" i="4"/>
  <c r="F376" i="4"/>
  <c r="R375" i="4"/>
  <c r="Q375" i="4"/>
  <c r="P375" i="4"/>
  <c r="M375" i="4"/>
  <c r="L375" i="4"/>
  <c r="K375" i="4"/>
  <c r="H375" i="4"/>
  <c r="G375" i="4"/>
  <c r="F375" i="4"/>
  <c r="R374" i="4"/>
  <c r="Q374" i="4"/>
  <c r="P374" i="4"/>
  <c r="M374" i="4"/>
  <c r="L374" i="4"/>
  <c r="K374" i="4"/>
  <c r="H374" i="4"/>
  <c r="G374" i="4"/>
  <c r="F374" i="4"/>
  <c r="R373" i="4"/>
  <c r="Q373" i="4"/>
  <c r="P373" i="4"/>
  <c r="M373" i="4"/>
  <c r="L373" i="4"/>
  <c r="K373" i="4"/>
  <c r="H373" i="4"/>
  <c r="G373" i="4"/>
  <c r="F373" i="4"/>
  <c r="R372" i="4"/>
  <c r="Q372" i="4"/>
  <c r="P372" i="4"/>
  <c r="M372" i="4"/>
  <c r="L372" i="4"/>
  <c r="K372" i="4"/>
  <c r="H372" i="4"/>
  <c r="G372" i="4"/>
  <c r="F372" i="4"/>
  <c r="R371" i="4"/>
  <c r="Q371" i="4"/>
  <c r="P371" i="4"/>
  <c r="M371" i="4"/>
  <c r="L371" i="4"/>
  <c r="K371" i="4"/>
  <c r="H371" i="4"/>
  <c r="G371" i="4"/>
  <c r="F371" i="4"/>
  <c r="R370" i="4"/>
  <c r="Q370" i="4"/>
  <c r="P370" i="4"/>
  <c r="M370" i="4"/>
  <c r="L370" i="4"/>
  <c r="K370" i="4"/>
  <c r="H370" i="4"/>
  <c r="G370" i="4"/>
  <c r="F370" i="4"/>
  <c r="R369" i="4"/>
  <c r="Q369" i="4"/>
  <c r="P369" i="4"/>
  <c r="M369" i="4"/>
  <c r="L369" i="4"/>
  <c r="K369" i="4"/>
  <c r="H369" i="4"/>
  <c r="G369" i="4"/>
  <c r="F369" i="4"/>
  <c r="R368" i="4"/>
  <c r="Q368" i="4"/>
  <c r="P368" i="4"/>
  <c r="M368" i="4"/>
  <c r="L368" i="4"/>
  <c r="K368" i="4"/>
  <c r="H368" i="4"/>
  <c r="G368" i="4"/>
  <c r="F368" i="4"/>
  <c r="R367" i="4"/>
  <c r="Q367" i="4"/>
  <c r="P367" i="4"/>
  <c r="M367" i="4"/>
  <c r="L367" i="4"/>
  <c r="K367" i="4"/>
  <c r="H367" i="4"/>
  <c r="G367" i="4"/>
  <c r="F367" i="4"/>
  <c r="R366" i="4"/>
  <c r="Q366" i="4"/>
  <c r="P366" i="4"/>
  <c r="M366" i="4"/>
  <c r="L366" i="4"/>
  <c r="K366" i="4"/>
  <c r="H366" i="4"/>
  <c r="G366" i="4"/>
  <c r="F366" i="4"/>
  <c r="R365" i="4"/>
  <c r="Q365" i="4"/>
  <c r="P365" i="4"/>
  <c r="M365" i="4"/>
  <c r="L365" i="4"/>
  <c r="K365" i="4"/>
  <c r="H365" i="4"/>
  <c r="G365" i="4"/>
  <c r="F365" i="4"/>
  <c r="R364" i="4"/>
  <c r="Q364" i="4"/>
  <c r="P364" i="4"/>
  <c r="M364" i="4"/>
  <c r="L364" i="4"/>
  <c r="K364" i="4"/>
  <c r="H364" i="4"/>
  <c r="G364" i="4"/>
  <c r="F364" i="4"/>
  <c r="R363" i="4"/>
  <c r="Q363" i="4"/>
  <c r="P363" i="4"/>
  <c r="M363" i="4"/>
  <c r="L363" i="4"/>
  <c r="K363" i="4"/>
  <c r="H363" i="4"/>
  <c r="G363" i="4"/>
  <c r="F363" i="4"/>
  <c r="R362" i="4"/>
  <c r="Q362" i="4"/>
  <c r="P362" i="4"/>
  <c r="M362" i="4"/>
  <c r="L362" i="4"/>
  <c r="K362" i="4"/>
  <c r="H362" i="4"/>
  <c r="G362" i="4"/>
  <c r="F362" i="4"/>
  <c r="R361" i="4"/>
  <c r="Q361" i="4"/>
  <c r="P361" i="4"/>
  <c r="M361" i="4"/>
  <c r="L361" i="4"/>
  <c r="K361" i="4"/>
  <c r="H361" i="4"/>
  <c r="G361" i="4"/>
  <c r="F361" i="4"/>
  <c r="R360" i="4"/>
  <c r="Q360" i="4"/>
  <c r="P360" i="4"/>
  <c r="M360" i="4"/>
  <c r="L360" i="4"/>
  <c r="K360" i="4"/>
  <c r="H360" i="4"/>
  <c r="G360" i="4"/>
  <c r="F360" i="4"/>
  <c r="R359" i="4"/>
  <c r="Q359" i="4"/>
  <c r="P359" i="4"/>
  <c r="M359" i="4"/>
  <c r="L359" i="4"/>
  <c r="K359" i="4"/>
  <c r="H359" i="4"/>
  <c r="G359" i="4"/>
  <c r="F359" i="4"/>
  <c r="R358" i="4"/>
  <c r="Q358" i="4"/>
  <c r="P358" i="4"/>
  <c r="M358" i="4"/>
  <c r="L358" i="4"/>
  <c r="K358" i="4"/>
  <c r="H358" i="4"/>
  <c r="G358" i="4"/>
  <c r="F358" i="4"/>
  <c r="R357" i="4"/>
  <c r="Q357" i="4"/>
  <c r="P357" i="4"/>
  <c r="M357" i="4"/>
  <c r="L357" i="4"/>
  <c r="K357" i="4"/>
  <c r="H357" i="4"/>
  <c r="G357" i="4"/>
  <c r="F357" i="4"/>
  <c r="R356" i="4"/>
  <c r="Q356" i="4"/>
  <c r="P356" i="4"/>
  <c r="M356" i="4"/>
  <c r="L356" i="4"/>
  <c r="K356" i="4"/>
  <c r="H356" i="4"/>
  <c r="G356" i="4"/>
  <c r="F356" i="4"/>
  <c r="R355" i="4"/>
  <c r="Q355" i="4"/>
  <c r="P355" i="4"/>
  <c r="M355" i="4"/>
  <c r="L355" i="4"/>
  <c r="K355" i="4"/>
  <c r="H355" i="4"/>
  <c r="G355" i="4"/>
  <c r="F355" i="4"/>
  <c r="R354" i="4"/>
  <c r="Q354" i="4"/>
  <c r="P354" i="4"/>
  <c r="M354" i="4"/>
  <c r="L354" i="4"/>
  <c r="K354" i="4"/>
  <c r="H354" i="4"/>
  <c r="G354" i="4"/>
  <c r="F354" i="4"/>
  <c r="R353" i="4"/>
  <c r="Q353" i="4"/>
  <c r="P353" i="4"/>
  <c r="M353" i="4"/>
  <c r="L353" i="4"/>
  <c r="K353" i="4"/>
  <c r="H353" i="4"/>
  <c r="G353" i="4"/>
  <c r="F353" i="4"/>
  <c r="R352" i="4"/>
  <c r="Q352" i="4"/>
  <c r="P352" i="4"/>
  <c r="M352" i="4"/>
  <c r="L352" i="4"/>
  <c r="K352" i="4"/>
  <c r="H352" i="4"/>
  <c r="G352" i="4"/>
  <c r="F352" i="4"/>
  <c r="R351" i="4"/>
  <c r="Q351" i="4"/>
  <c r="P351" i="4"/>
  <c r="M351" i="4"/>
  <c r="L351" i="4"/>
  <c r="K351" i="4"/>
  <c r="H351" i="4"/>
  <c r="G351" i="4"/>
  <c r="F351" i="4"/>
  <c r="R350" i="4"/>
  <c r="Q350" i="4"/>
  <c r="P350" i="4"/>
  <c r="M350" i="4"/>
  <c r="L350" i="4"/>
  <c r="K350" i="4"/>
  <c r="H350" i="4"/>
  <c r="G350" i="4"/>
  <c r="F350" i="4"/>
  <c r="R349" i="4"/>
  <c r="Q349" i="4"/>
  <c r="P349" i="4"/>
  <c r="M349" i="4"/>
  <c r="L349" i="4"/>
  <c r="K349" i="4"/>
  <c r="H349" i="4"/>
  <c r="G349" i="4"/>
  <c r="F349" i="4"/>
  <c r="R348" i="4"/>
  <c r="Q348" i="4"/>
  <c r="P348" i="4"/>
  <c r="M348" i="4"/>
  <c r="L348" i="4"/>
  <c r="K348" i="4"/>
  <c r="H348" i="4"/>
  <c r="G348" i="4"/>
  <c r="F348" i="4"/>
  <c r="R347" i="4"/>
  <c r="Q347" i="4"/>
  <c r="P347" i="4"/>
  <c r="M347" i="4"/>
  <c r="L347" i="4"/>
  <c r="K347" i="4"/>
  <c r="H347" i="4"/>
  <c r="G347" i="4"/>
  <c r="F347" i="4"/>
  <c r="R346" i="4"/>
  <c r="Q346" i="4"/>
  <c r="P346" i="4"/>
  <c r="M346" i="4"/>
  <c r="L346" i="4"/>
  <c r="K346" i="4"/>
  <c r="H346" i="4"/>
  <c r="G346" i="4"/>
  <c r="F346" i="4"/>
  <c r="R345" i="4"/>
  <c r="Q345" i="4"/>
  <c r="P345" i="4"/>
  <c r="M345" i="4"/>
  <c r="L345" i="4"/>
  <c r="K345" i="4"/>
  <c r="H345" i="4"/>
  <c r="G345" i="4"/>
  <c r="F345" i="4"/>
  <c r="R344" i="4"/>
  <c r="Q344" i="4"/>
  <c r="P344" i="4"/>
  <c r="M344" i="4"/>
  <c r="L344" i="4"/>
  <c r="K344" i="4"/>
  <c r="H344" i="4"/>
  <c r="G344" i="4"/>
  <c r="F344" i="4"/>
  <c r="R343" i="4"/>
  <c r="Q343" i="4"/>
  <c r="P343" i="4"/>
  <c r="M343" i="4"/>
  <c r="L343" i="4"/>
  <c r="K343" i="4"/>
  <c r="H343" i="4"/>
  <c r="G343" i="4"/>
  <c r="F343" i="4"/>
  <c r="R342" i="4"/>
  <c r="Q342" i="4"/>
  <c r="P342" i="4"/>
  <c r="M342" i="4"/>
  <c r="L342" i="4"/>
  <c r="K342" i="4"/>
  <c r="H342" i="4"/>
  <c r="G342" i="4"/>
  <c r="F342" i="4"/>
  <c r="R341" i="4"/>
  <c r="Q341" i="4"/>
  <c r="P341" i="4"/>
  <c r="M341" i="4"/>
  <c r="L341" i="4"/>
  <c r="K341" i="4"/>
  <c r="H341" i="4"/>
  <c r="G341" i="4"/>
  <c r="F341" i="4"/>
  <c r="R340" i="4"/>
  <c r="Q340" i="4"/>
  <c r="P340" i="4"/>
  <c r="M340" i="4"/>
  <c r="L340" i="4"/>
  <c r="K340" i="4"/>
  <c r="H340" i="4"/>
  <c r="G340" i="4"/>
  <c r="F340" i="4"/>
  <c r="R339" i="4"/>
  <c r="Q339" i="4"/>
  <c r="P339" i="4"/>
  <c r="M339" i="4"/>
  <c r="L339" i="4"/>
  <c r="K339" i="4"/>
  <c r="H339" i="4"/>
  <c r="G339" i="4"/>
  <c r="F339" i="4"/>
  <c r="R338" i="4"/>
  <c r="Q338" i="4"/>
  <c r="P338" i="4"/>
  <c r="M338" i="4"/>
  <c r="L338" i="4"/>
  <c r="K338" i="4"/>
  <c r="H338" i="4"/>
  <c r="G338" i="4"/>
  <c r="F338" i="4"/>
  <c r="R337" i="4"/>
  <c r="Q337" i="4"/>
  <c r="P337" i="4"/>
  <c r="M337" i="4"/>
  <c r="L337" i="4"/>
  <c r="K337" i="4"/>
  <c r="H337" i="4"/>
  <c r="G337" i="4"/>
  <c r="F337" i="4"/>
  <c r="R336" i="4"/>
  <c r="Q336" i="4"/>
  <c r="P336" i="4"/>
  <c r="M336" i="4"/>
  <c r="L336" i="4"/>
  <c r="K336" i="4"/>
  <c r="H336" i="4"/>
  <c r="G336" i="4"/>
  <c r="F336" i="4"/>
  <c r="R335" i="4"/>
  <c r="Q335" i="4"/>
  <c r="P335" i="4"/>
  <c r="M335" i="4"/>
  <c r="L335" i="4"/>
  <c r="K335" i="4"/>
  <c r="H335" i="4"/>
  <c r="G335" i="4"/>
  <c r="F335" i="4"/>
  <c r="R334" i="4"/>
  <c r="Q334" i="4"/>
  <c r="P334" i="4"/>
  <c r="M334" i="4"/>
  <c r="L334" i="4"/>
  <c r="K334" i="4"/>
  <c r="H334" i="4"/>
  <c r="G334" i="4"/>
  <c r="F334" i="4"/>
  <c r="R333" i="4"/>
  <c r="Q333" i="4"/>
  <c r="P333" i="4"/>
  <c r="M333" i="4"/>
  <c r="L333" i="4"/>
  <c r="K333" i="4"/>
  <c r="H333" i="4"/>
  <c r="G333" i="4"/>
  <c r="F333" i="4"/>
  <c r="R332" i="4"/>
  <c r="Q332" i="4"/>
  <c r="P332" i="4"/>
  <c r="M332" i="4"/>
  <c r="L332" i="4"/>
  <c r="K332" i="4"/>
  <c r="H332" i="4"/>
  <c r="G332" i="4"/>
  <c r="F332" i="4"/>
  <c r="R331" i="4"/>
  <c r="Q331" i="4"/>
  <c r="P331" i="4"/>
  <c r="M331" i="4"/>
  <c r="L331" i="4"/>
  <c r="K331" i="4"/>
  <c r="H331" i="4"/>
  <c r="G331" i="4"/>
  <c r="F331" i="4"/>
  <c r="R330" i="4"/>
  <c r="Q330" i="4"/>
  <c r="P330" i="4"/>
  <c r="M330" i="4"/>
  <c r="L330" i="4"/>
  <c r="K330" i="4"/>
  <c r="H330" i="4"/>
  <c r="G330" i="4"/>
  <c r="F330" i="4"/>
  <c r="R329" i="4"/>
  <c r="Q329" i="4"/>
  <c r="P329" i="4"/>
  <c r="M329" i="4"/>
  <c r="L329" i="4"/>
  <c r="K329" i="4"/>
  <c r="H329" i="4"/>
  <c r="G329" i="4"/>
  <c r="F329" i="4"/>
  <c r="R328" i="4"/>
  <c r="Q328" i="4"/>
  <c r="P328" i="4"/>
  <c r="M328" i="4"/>
  <c r="L328" i="4"/>
  <c r="K328" i="4"/>
  <c r="H328" i="4"/>
  <c r="G328" i="4"/>
  <c r="F328" i="4"/>
  <c r="R327" i="4"/>
  <c r="Q327" i="4"/>
  <c r="P327" i="4"/>
  <c r="M327" i="4"/>
  <c r="L327" i="4"/>
  <c r="K327" i="4"/>
  <c r="H327" i="4"/>
  <c r="G327" i="4"/>
  <c r="F327" i="4"/>
  <c r="R326" i="4"/>
  <c r="Q326" i="4"/>
  <c r="P326" i="4"/>
  <c r="M326" i="4"/>
  <c r="L326" i="4"/>
  <c r="K326" i="4"/>
  <c r="H326" i="4"/>
  <c r="G326" i="4"/>
  <c r="F326" i="4"/>
  <c r="R325" i="4"/>
  <c r="Q325" i="4"/>
  <c r="P325" i="4"/>
  <c r="M325" i="4"/>
  <c r="L325" i="4"/>
  <c r="K325" i="4"/>
  <c r="H325" i="4"/>
  <c r="G325" i="4"/>
  <c r="F325" i="4"/>
  <c r="R324" i="4"/>
  <c r="Q324" i="4"/>
  <c r="P324" i="4"/>
  <c r="M324" i="4"/>
  <c r="L324" i="4"/>
  <c r="K324" i="4"/>
  <c r="H324" i="4"/>
  <c r="G324" i="4"/>
  <c r="F324" i="4"/>
  <c r="R323" i="4"/>
  <c r="Q323" i="4"/>
  <c r="P323" i="4"/>
  <c r="M323" i="4"/>
  <c r="L323" i="4"/>
  <c r="K323" i="4"/>
  <c r="H323" i="4"/>
  <c r="G323" i="4"/>
  <c r="F323" i="4"/>
  <c r="R322" i="4"/>
  <c r="Q322" i="4"/>
  <c r="P322" i="4"/>
  <c r="M322" i="4"/>
  <c r="L322" i="4"/>
  <c r="K322" i="4"/>
  <c r="H322" i="4"/>
  <c r="G322" i="4"/>
  <c r="F322" i="4"/>
  <c r="R321" i="4"/>
  <c r="Q321" i="4"/>
  <c r="P321" i="4"/>
  <c r="M321" i="4"/>
  <c r="L321" i="4"/>
  <c r="K321" i="4"/>
  <c r="H321" i="4"/>
  <c r="G321" i="4"/>
  <c r="F321" i="4"/>
  <c r="R320" i="4"/>
  <c r="Q320" i="4"/>
  <c r="P320" i="4"/>
  <c r="M320" i="4"/>
  <c r="L320" i="4"/>
  <c r="K320" i="4"/>
  <c r="H320" i="4"/>
  <c r="G320" i="4"/>
  <c r="F320" i="4"/>
  <c r="R319" i="4"/>
  <c r="Q319" i="4"/>
  <c r="P319" i="4"/>
  <c r="M319" i="4"/>
  <c r="L319" i="4"/>
  <c r="K319" i="4"/>
  <c r="H319" i="4"/>
  <c r="G319" i="4"/>
  <c r="F319" i="4"/>
  <c r="R318" i="4"/>
  <c r="Q318" i="4"/>
  <c r="P318" i="4"/>
  <c r="M318" i="4"/>
  <c r="L318" i="4"/>
  <c r="K318" i="4"/>
  <c r="H318" i="4"/>
  <c r="G318" i="4"/>
  <c r="F318" i="4"/>
  <c r="R317" i="4"/>
  <c r="Q317" i="4"/>
  <c r="P317" i="4"/>
  <c r="M317" i="4"/>
  <c r="L317" i="4"/>
  <c r="K317" i="4"/>
  <c r="H317" i="4"/>
  <c r="G317" i="4"/>
  <c r="F317" i="4"/>
  <c r="R316" i="4"/>
  <c r="Q316" i="4"/>
  <c r="P316" i="4"/>
  <c r="M316" i="4"/>
  <c r="L316" i="4"/>
  <c r="K316" i="4"/>
  <c r="H316" i="4"/>
  <c r="G316" i="4"/>
  <c r="F316" i="4"/>
  <c r="R315" i="4"/>
  <c r="Q315" i="4"/>
  <c r="P315" i="4"/>
  <c r="M315" i="4"/>
  <c r="L315" i="4"/>
  <c r="K315" i="4"/>
  <c r="H315" i="4"/>
  <c r="G315" i="4"/>
  <c r="F315" i="4"/>
  <c r="R314" i="4"/>
  <c r="Q314" i="4"/>
  <c r="P314" i="4"/>
  <c r="M314" i="4"/>
  <c r="L314" i="4"/>
  <c r="K314" i="4"/>
  <c r="H314" i="4"/>
  <c r="G314" i="4"/>
  <c r="F314" i="4"/>
  <c r="R313" i="4"/>
  <c r="Q313" i="4"/>
  <c r="P313" i="4"/>
  <c r="M313" i="4"/>
  <c r="L313" i="4"/>
  <c r="K313" i="4"/>
  <c r="H313" i="4"/>
  <c r="G313" i="4"/>
  <c r="F313" i="4"/>
  <c r="R312" i="4"/>
  <c r="Q312" i="4"/>
  <c r="P312" i="4"/>
  <c r="M312" i="4"/>
  <c r="L312" i="4"/>
  <c r="K312" i="4"/>
  <c r="H312" i="4"/>
  <c r="G312" i="4"/>
  <c r="F312" i="4"/>
  <c r="R311" i="4"/>
  <c r="Q311" i="4"/>
  <c r="P311" i="4"/>
  <c r="M311" i="4"/>
  <c r="L311" i="4"/>
  <c r="K311" i="4"/>
  <c r="H311" i="4"/>
  <c r="G311" i="4"/>
  <c r="F311" i="4"/>
  <c r="R310" i="4"/>
  <c r="Q310" i="4"/>
  <c r="P310" i="4"/>
  <c r="M310" i="4"/>
  <c r="L310" i="4"/>
  <c r="K310" i="4"/>
  <c r="H310" i="4"/>
  <c r="G310" i="4"/>
  <c r="F310" i="4"/>
  <c r="R309" i="4"/>
  <c r="Q309" i="4"/>
  <c r="P309" i="4"/>
  <c r="M309" i="4"/>
  <c r="L309" i="4"/>
  <c r="K309" i="4"/>
  <c r="H309" i="4"/>
  <c r="G309" i="4"/>
  <c r="F309" i="4"/>
  <c r="R308" i="4"/>
  <c r="Q308" i="4"/>
  <c r="P308" i="4"/>
  <c r="M308" i="4"/>
  <c r="L308" i="4"/>
  <c r="K308" i="4"/>
  <c r="H308" i="4"/>
  <c r="G308" i="4"/>
  <c r="F308" i="4"/>
  <c r="R307" i="4"/>
  <c r="Q307" i="4"/>
  <c r="P307" i="4"/>
  <c r="M307" i="4"/>
  <c r="L307" i="4"/>
  <c r="K307" i="4"/>
  <c r="H307" i="4"/>
  <c r="G307" i="4"/>
  <c r="F307" i="4"/>
  <c r="R306" i="4"/>
  <c r="Q306" i="4"/>
  <c r="P306" i="4"/>
  <c r="M306" i="4"/>
  <c r="L306" i="4"/>
  <c r="K306" i="4"/>
  <c r="H306" i="4"/>
  <c r="G306" i="4"/>
  <c r="F306" i="4"/>
  <c r="R305" i="4"/>
  <c r="Q305" i="4"/>
  <c r="P305" i="4"/>
  <c r="M305" i="4"/>
  <c r="L305" i="4"/>
  <c r="K305" i="4"/>
  <c r="H305" i="4"/>
  <c r="G305" i="4"/>
  <c r="F305" i="4"/>
  <c r="R304" i="4"/>
  <c r="Q304" i="4"/>
  <c r="P304" i="4"/>
  <c r="M304" i="4"/>
  <c r="L304" i="4"/>
  <c r="K304" i="4"/>
  <c r="H304" i="4"/>
  <c r="G304" i="4"/>
  <c r="F304" i="4"/>
  <c r="R303" i="4"/>
  <c r="Q303" i="4"/>
  <c r="P303" i="4"/>
  <c r="M303" i="4"/>
  <c r="L303" i="4"/>
  <c r="K303" i="4"/>
  <c r="H303" i="4"/>
  <c r="G303" i="4"/>
  <c r="F303" i="4"/>
  <c r="R302" i="4"/>
  <c r="Q302" i="4"/>
  <c r="P302" i="4"/>
  <c r="M302" i="4"/>
  <c r="L302" i="4"/>
  <c r="K302" i="4"/>
  <c r="H302" i="4"/>
  <c r="G302" i="4"/>
  <c r="F302" i="4"/>
  <c r="R301" i="4"/>
  <c r="Q301" i="4"/>
  <c r="P301" i="4"/>
  <c r="M301" i="4"/>
  <c r="L301" i="4"/>
  <c r="K301" i="4"/>
  <c r="H301" i="4"/>
  <c r="G301" i="4"/>
  <c r="F301" i="4"/>
  <c r="R300" i="4"/>
  <c r="Q300" i="4"/>
  <c r="P300" i="4"/>
  <c r="M300" i="4"/>
  <c r="L300" i="4"/>
  <c r="K300" i="4"/>
  <c r="H300" i="4"/>
  <c r="G300" i="4"/>
  <c r="F300" i="4"/>
  <c r="R299" i="4"/>
  <c r="Q299" i="4"/>
  <c r="P299" i="4"/>
  <c r="M299" i="4"/>
  <c r="L299" i="4"/>
  <c r="K299" i="4"/>
  <c r="H299" i="4"/>
  <c r="G299" i="4"/>
  <c r="F299" i="4"/>
  <c r="R298" i="4"/>
  <c r="Q298" i="4"/>
  <c r="P298" i="4"/>
  <c r="M298" i="4"/>
  <c r="L298" i="4"/>
  <c r="K298" i="4"/>
  <c r="H298" i="4"/>
  <c r="G298" i="4"/>
  <c r="F298" i="4"/>
  <c r="R297" i="4"/>
  <c r="Q297" i="4"/>
  <c r="P297" i="4"/>
  <c r="M297" i="4"/>
  <c r="L297" i="4"/>
  <c r="K297" i="4"/>
  <c r="H297" i="4"/>
  <c r="G297" i="4"/>
  <c r="F297" i="4"/>
  <c r="R296" i="4"/>
  <c r="Q296" i="4"/>
  <c r="P296" i="4"/>
  <c r="M296" i="4"/>
  <c r="L296" i="4"/>
  <c r="K296" i="4"/>
  <c r="H296" i="4"/>
  <c r="G296" i="4"/>
  <c r="F296" i="4"/>
  <c r="R295" i="4"/>
  <c r="Q295" i="4"/>
  <c r="P295" i="4"/>
  <c r="M295" i="4"/>
  <c r="L295" i="4"/>
  <c r="K295" i="4"/>
  <c r="H295" i="4"/>
  <c r="G295" i="4"/>
  <c r="F295" i="4"/>
  <c r="R294" i="4"/>
  <c r="Q294" i="4"/>
  <c r="P294" i="4"/>
  <c r="M294" i="4"/>
  <c r="L294" i="4"/>
  <c r="K294" i="4"/>
  <c r="H294" i="4"/>
  <c r="G294" i="4"/>
  <c r="F294" i="4"/>
  <c r="R293" i="4"/>
  <c r="Q293" i="4"/>
  <c r="P293" i="4"/>
  <c r="M293" i="4"/>
  <c r="L293" i="4"/>
  <c r="K293" i="4"/>
  <c r="H293" i="4"/>
  <c r="G293" i="4"/>
  <c r="F293" i="4"/>
  <c r="R292" i="4"/>
  <c r="Q292" i="4"/>
  <c r="P292" i="4"/>
  <c r="M292" i="4"/>
  <c r="L292" i="4"/>
  <c r="K292" i="4"/>
  <c r="H292" i="4"/>
  <c r="G292" i="4"/>
  <c r="F292" i="4"/>
  <c r="R291" i="4"/>
  <c r="Q291" i="4"/>
  <c r="P291" i="4"/>
  <c r="M291" i="4"/>
  <c r="L291" i="4"/>
  <c r="K291" i="4"/>
  <c r="H291" i="4"/>
  <c r="G291" i="4"/>
  <c r="F291" i="4"/>
  <c r="R290" i="4"/>
  <c r="Q290" i="4"/>
  <c r="P290" i="4"/>
  <c r="M290" i="4"/>
  <c r="L290" i="4"/>
  <c r="K290" i="4"/>
  <c r="H290" i="4"/>
  <c r="G290" i="4"/>
  <c r="F290" i="4"/>
  <c r="R289" i="4"/>
  <c r="Q289" i="4"/>
  <c r="P289" i="4"/>
  <c r="M289" i="4"/>
  <c r="L289" i="4"/>
  <c r="K289" i="4"/>
  <c r="H289" i="4"/>
  <c r="G289" i="4"/>
  <c r="F289" i="4"/>
  <c r="R288" i="4"/>
  <c r="Q288" i="4"/>
  <c r="P288" i="4"/>
  <c r="M288" i="4"/>
  <c r="L288" i="4"/>
  <c r="K288" i="4"/>
  <c r="H288" i="4"/>
  <c r="G288" i="4"/>
  <c r="F288" i="4"/>
  <c r="R287" i="4"/>
  <c r="Q287" i="4"/>
  <c r="P287" i="4"/>
  <c r="M287" i="4"/>
  <c r="L287" i="4"/>
  <c r="K287" i="4"/>
  <c r="H287" i="4"/>
  <c r="G287" i="4"/>
  <c r="F287" i="4"/>
  <c r="R286" i="4"/>
  <c r="Q286" i="4"/>
  <c r="P286" i="4"/>
  <c r="M286" i="4"/>
  <c r="L286" i="4"/>
  <c r="K286" i="4"/>
  <c r="H286" i="4"/>
  <c r="G286" i="4"/>
  <c r="F286" i="4"/>
  <c r="R285" i="4"/>
  <c r="Q285" i="4"/>
  <c r="P285" i="4"/>
  <c r="M285" i="4"/>
  <c r="L285" i="4"/>
  <c r="K285" i="4"/>
  <c r="H285" i="4"/>
  <c r="G285" i="4"/>
  <c r="F285" i="4"/>
  <c r="R284" i="4"/>
  <c r="Q284" i="4"/>
  <c r="P284" i="4"/>
  <c r="M284" i="4"/>
  <c r="L284" i="4"/>
  <c r="K284" i="4"/>
  <c r="H284" i="4"/>
  <c r="G284" i="4"/>
  <c r="F284" i="4"/>
  <c r="R283" i="4"/>
  <c r="Q283" i="4"/>
  <c r="P283" i="4"/>
  <c r="M283" i="4"/>
  <c r="L283" i="4"/>
  <c r="K283" i="4"/>
  <c r="H283" i="4"/>
  <c r="G283" i="4"/>
  <c r="F283" i="4"/>
  <c r="R282" i="4"/>
  <c r="Q282" i="4"/>
  <c r="P282" i="4"/>
  <c r="M282" i="4"/>
  <c r="L282" i="4"/>
  <c r="K282" i="4"/>
  <c r="H282" i="4"/>
  <c r="G282" i="4"/>
  <c r="F282" i="4"/>
  <c r="R281" i="4"/>
  <c r="Q281" i="4"/>
  <c r="P281" i="4"/>
  <c r="M281" i="4"/>
  <c r="L281" i="4"/>
  <c r="K281" i="4"/>
  <c r="H281" i="4"/>
  <c r="G281" i="4"/>
  <c r="F281" i="4"/>
  <c r="R280" i="4"/>
  <c r="Q280" i="4"/>
  <c r="P280" i="4"/>
  <c r="M280" i="4"/>
  <c r="L280" i="4"/>
  <c r="K280" i="4"/>
  <c r="H280" i="4"/>
  <c r="G280" i="4"/>
  <c r="F280" i="4"/>
  <c r="R279" i="4"/>
  <c r="Q279" i="4"/>
  <c r="P279" i="4"/>
  <c r="M279" i="4"/>
  <c r="L279" i="4"/>
  <c r="K279" i="4"/>
  <c r="H279" i="4"/>
  <c r="G279" i="4"/>
  <c r="F279" i="4"/>
  <c r="R278" i="4"/>
  <c r="Q278" i="4"/>
  <c r="P278" i="4"/>
  <c r="M278" i="4"/>
  <c r="L278" i="4"/>
  <c r="K278" i="4"/>
  <c r="H278" i="4"/>
  <c r="G278" i="4"/>
  <c r="F278" i="4"/>
  <c r="R277" i="4"/>
  <c r="Q277" i="4"/>
  <c r="P277" i="4"/>
  <c r="M277" i="4"/>
  <c r="L277" i="4"/>
  <c r="K277" i="4"/>
  <c r="H277" i="4"/>
  <c r="G277" i="4"/>
  <c r="F277" i="4"/>
  <c r="R276" i="4"/>
  <c r="Q276" i="4"/>
  <c r="P276" i="4"/>
  <c r="M276" i="4"/>
  <c r="L276" i="4"/>
  <c r="K276" i="4"/>
  <c r="H276" i="4"/>
  <c r="G276" i="4"/>
  <c r="F276" i="4"/>
  <c r="R275" i="4"/>
  <c r="Q275" i="4"/>
  <c r="P275" i="4"/>
  <c r="M275" i="4"/>
  <c r="L275" i="4"/>
  <c r="K275" i="4"/>
  <c r="H275" i="4"/>
  <c r="G275" i="4"/>
  <c r="F275" i="4"/>
  <c r="R274" i="4"/>
  <c r="Q274" i="4"/>
  <c r="P274" i="4"/>
  <c r="M274" i="4"/>
  <c r="L274" i="4"/>
  <c r="K274" i="4"/>
  <c r="H274" i="4"/>
  <c r="G274" i="4"/>
  <c r="F274" i="4"/>
  <c r="R273" i="4"/>
  <c r="Q273" i="4"/>
  <c r="P273" i="4"/>
  <c r="M273" i="4"/>
  <c r="L273" i="4"/>
  <c r="K273" i="4"/>
  <c r="H273" i="4"/>
  <c r="G273" i="4"/>
  <c r="F273" i="4"/>
  <c r="R272" i="4"/>
  <c r="Q272" i="4"/>
  <c r="P272" i="4"/>
  <c r="M272" i="4"/>
  <c r="L272" i="4"/>
  <c r="K272" i="4"/>
  <c r="H272" i="4"/>
  <c r="G272" i="4"/>
  <c r="F272" i="4"/>
  <c r="R271" i="4"/>
  <c r="Q271" i="4"/>
  <c r="P271" i="4"/>
  <c r="M271" i="4"/>
  <c r="L271" i="4"/>
  <c r="K271" i="4"/>
  <c r="H271" i="4"/>
  <c r="G271" i="4"/>
  <c r="F271" i="4"/>
  <c r="R270" i="4"/>
  <c r="Q270" i="4"/>
  <c r="P270" i="4"/>
  <c r="M270" i="4"/>
  <c r="L270" i="4"/>
  <c r="K270" i="4"/>
  <c r="H270" i="4"/>
  <c r="G270" i="4"/>
  <c r="F270" i="4"/>
  <c r="R269" i="4"/>
  <c r="Q269" i="4"/>
  <c r="P269" i="4"/>
  <c r="M269" i="4"/>
  <c r="L269" i="4"/>
  <c r="K269" i="4"/>
  <c r="H269" i="4"/>
  <c r="G269" i="4"/>
  <c r="F269" i="4"/>
  <c r="R268" i="4"/>
  <c r="Q268" i="4"/>
  <c r="P268" i="4"/>
  <c r="M268" i="4"/>
  <c r="L268" i="4"/>
  <c r="K268" i="4"/>
  <c r="H268" i="4"/>
  <c r="G268" i="4"/>
  <c r="F268" i="4"/>
  <c r="R267" i="4"/>
  <c r="Q267" i="4"/>
  <c r="P267" i="4"/>
  <c r="M267" i="4"/>
  <c r="L267" i="4"/>
  <c r="K267" i="4"/>
  <c r="H267" i="4"/>
  <c r="G267" i="4"/>
  <c r="F267" i="4"/>
  <c r="R266" i="4"/>
  <c r="Q266" i="4"/>
  <c r="P266" i="4"/>
  <c r="M266" i="4"/>
  <c r="L266" i="4"/>
  <c r="K266" i="4"/>
  <c r="H266" i="4"/>
  <c r="G266" i="4"/>
  <c r="F266" i="4"/>
  <c r="R265" i="4"/>
  <c r="Q265" i="4"/>
  <c r="P265" i="4"/>
  <c r="M265" i="4"/>
  <c r="L265" i="4"/>
  <c r="K265" i="4"/>
  <c r="H265" i="4"/>
  <c r="G265" i="4"/>
  <c r="F265" i="4"/>
  <c r="R264" i="4"/>
  <c r="Q264" i="4"/>
  <c r="P264" i="4"/>
  <c r="M264" i="4"/>
  <c r="L264" i="4"/>
  <c r="K264" i="4"/>
  <c r="H264" i="4"/>
  <c r="G264" i="4"/>
  <c r="F264" i="4"/>
  <c r="R263" i="4"/>
  <c r="Q263" i="4"/>
  <c r="P263" i="4"/>
  <c r="M263" i="4"/>
  <c r="L263" i="4"/>
  <c r="K263" i="4"/>
  <c r="H263" i="4"/>
  <c r="G263" i="4"/>
  <c r="F263" i="4"/>
  <c r="R262" i="4"/>
  <c r="Q262" i="4"/>
  <c r="P262" i="4"/>
  <c r="M262" i="4"/>
  <c r="L262" i="4"/>
  <c r="K262" i="4"/>
  <c r="H262" i="4"/>
  <c r="G262" i="4"/>
  <c r="F262" i="4"/>
  <c r="R261" i="4"/>
  <c r="Q261" i="4"/>
  <c r="P261" i="4"/>
  <c r="M261" i="4"/>
  <c r="L261" i="4"/>
  <c r="K261" i="4"/>
  <c r="H261" i="4"/>
  <c r="G261" i="4"/>
  <c r="F261" i="4"/>
  <c r="R260" i="4"/>
  <c r="Q260" i="4"/>
  <c r="P260" i="4"/>
  <c r="M260" i="4"/>
  <c r="L260" i="4"/>
  <c r="K260" i="4"/>
  <c r="H260" i="4"/>
  <c r="G260" i="4"/>
  <c r="F260" i="4"/>
  <c r="R259" i="4"/>
  <c r="Q259" i="4"/>
  <c r="P259" i="4"/>
  <c r="M259" i="4"/>
  <c r="L259" i="4"/>
  <c r="K259" i="4"/>
  <c r="H259" i="4"/>
  <c r="G259" i="4"/>
  <c r="F259" i="4"/>
  <c r="R258" i="4"/>
  <c r="Q258" i="4"/>
  <c r="P258" i="4"/>
  <c r="M258" i="4"/>
  <c r="L258" i="4"/>
  <c r="K258" i="4"/>
  <c r="H258" i="4"/>
  <c r="G258" i="4"/>
  <c r="F258" i="4"/>
  <c r="R257" i="4"/>
  <c r="Q257" i="4"/>
  <c r="P257" i="4"/>
  <c r="M257" i="4"/>
  <c r="L257" i="4"/>
  <c r="K257" i="4"/>
  <c r="H257" i="4"/>
  <c r="G257" i="4"/>
  <c r="F257" i="4"/>
  <c r="R256" i="4"/>
  <c r="Q256" i="4"/>
  <c r="P256" i="4"/>
  <c r="M256" i="4"/>
  <c r="L256" i="4"/>
  <c r="K256" i="4"/>
  <c r="H256" i="4"/>
  <c r="G256" i="4"/>
  <c r="F256" i="4"/>
  <c r="R255" i="4"/>
  <c r="Q255" i="4"/>
  <c r="P255" i="4"/>
  <c r="M255" i="4"/>
  <c r="L255" i="4"/>
  <c r="K255" i="4"/>
  <c r="H255" i="4"/>
  <c r="G255" i="4"/>
  <c r="F255" i="4"/>
  <c r="R254" i="4"/>
  <c r="Q254" i="4"/>
  <c r="P254" i="4"/>
  <c r="M254" i="4"/>
  <c r="L254" i="4"/>
  <c r="K254" i="4"/>
  <c r="H254" i="4"/>
  <c r="G254" i="4"/>
  <c r="F254" i="4"/>
  <c r="R253" i="4"/>
  <c r="Q253" i="4"/>
  <c r="P253" i="4"/>
  <c r="M253" i="4"/>
  <c r="L253" i="4"/>
  <c r="K253" i="4"/>
  <c r="H253" i="4"/>
  <c r="G253" i="4"/>
  <c r="F253" i="4"/>
  <c r="R252" i="4"/>
  <c r="Q252" i="4"/>
  <c r="P252" i="4"/>
  <c r="M252" i="4"/>
  <c r="L252" i="4"/>
  <c r="K252" i="4"/>
  <c r="H252" i="4"/>
  <c r="G252" i="4"/>
  <c r="F252" i="4"/>
  <c r="R251" i="4"/>
  <c r="Q251" i="4"/>
  <c r="P251" i="4"/>
  <c r="M251" i="4"/>
  <c r="L251" i="4"/>
  <c r="K251" i="4"/>
  <c r="H251" i="4"/>
  <c r="G251" i="4"/>
  <c r="F251" i="4"/>
  <c r="R250" i="4"/>
  <c r="Q250" i="4"/>
  <c r="P250" i="4"/>
  <c r="M250" i="4"/>
  <c r="L250" i="4"/>
  <c r="K250" i="4"/>
  <c r="H250" i="4"/>
  <c r="G250" i="4"/>
  <c r="F250" i="4"/>
  <c r="R249" i="4"/>
  <c r="Q249" i="4"/>
  <c r="P249" i="4"/>
  <c r="M249" i="4"/>
  <c r="L249" i="4"/>
  <c r="K249" i="4"/>
  <c r="H249" i="4"/>
  <c r="G249" i="4"/>
  <c r="F249" i="4"/>
  <c r="R248" i="4"/>
  <c r="Q248" i="4"/>
  <c r="P248" i="4"/>
  <c r="M248" i="4"/>
  <c r="L248" i="4"/>
  <c r="K248" i="4"/>
  <c r="H248" i="4"/>
  <c r="G248" i="4"/>
  <c r="F248" i="4"/>
  <c r="R247" i="4"/>
  <c r="Q247" i="4"/>
  <c r="P247" i="4"/>
  <c r="M247" i="4"/>
  <c r="L247" i="4"/>
  <c r="K247" i="4"/>
  <c r="H247" i="4"/>
  <c r="G247" i="4"/>
  <c r="F247" i="4"/>
  <c r="R246" i="4"/>
  <c r="Q246" i="4"/>
  <c r="P246" i="4"/>
  <c r="M246" i="4"/>
  <c r="L246" i="4"/>
  <c r="K246" i="4"/>
  <c r="H246" i="4"/>
  <c r="G246" i="4"/>
  <c r="F246" i="4"/>
  <c r="R245" i="4"/>
  <c r="Q245" i="4"/>
  <c r="P245" i="4"/>
  <c r="M245" i="4"/>
  <c r="L245" i="4"/>
  <c r="K245" i="4"/>
  <c r="H245" i="4"/>
  <c r="G245" i="4"/>
  <c r="F245" i="4"/>
  <c r="R244" i="4"/>
  <c r="Q244" i="4"/>
  <c r="P244" i="4"/>
  <c r="M244" i="4"/>
  <c r="L244" i="4"/>
  <c r="K244" i="4"/>
  <c r="H244" i="4"/>
  <c r="G244" i="4"/>
  <c r="F244" i="4"/>
  <c r="R243" i="4"/>
  <c r="Q243" i="4"/>
  <c r="P243" i="4"/>
  <c r="M243" i="4"/>
  <c r="L243" i="4"/>
  <c r="K243" i="4"/>
  <c r="H243" i="4"/>
  <c r="G243" i="4"/>
  <c r="F243" i="4"/>
  <c r="R242" i="4"/>
  <c r="Q242" i="4"/>
  <c r="P242" i="4"/>
  <c r="M242" i="4"/>
  <c r="L242" i="4"/>
  <c r="K242" i="4"/>
  <c r="H242" i="4"/>
  <c r="G242" i="4"/>
  <c r="F242" i="4"/>
  <c r="R241" i="4"/>
  <c r="Q241" i="4"/>
  <c r="P241" i="4"/>
  <c r="M241" i="4"/>
  <c r="L241" i="4"/>
  <c r="K241" i="4"/>
  <c r="H241" i="4"/>
  <c r="G241" i="4"/>
  <c r="F241" i="4"/>
  <c r="R240" i="4"/>
  <c r="Q240" i="4"/>
  <c r="P240" i="4"/>
  <c r="M240" i="4"/>
  <c r="L240" i="4"/>
  <c r="K240" i="4"/>
  <c r="H240" i="4"/>
  <c r="G240" i="4"/>
  <c r="F240" i="4"/>
  <c r="R239" i="4"/>
  <c r="Q239" i="4"/>
  <c r="P239" i="4"/>
  <c r="M239" i="4"/>
  <c r="L239" i="4"/>
  <c r="K239" i="4"/>
  <c r="H239" i="4"/>
  <c r="G239" i="4"/>
  <c r="F239" i="4"/>
  <c r="R238" i="4"/>
  <c r="Q238" i="4"/>
  <c r="P238" i="4"/>
  <c r="M238" i="4"/>
  <c r="L238" i="4"/>
  <c r="K238" i="4"/>
  <c r="H238" i="4"/>
  <c r="G238" i="4"/>
  <c r="F238" i="4"/>
  <c r="R237" i="4"/>
  <c r="Q237" i="4"/>
  <c r="P237" i="4"/>
  <c r="M237" i="4"/>
  <c r="L237" i="4"/>
  <c r="K237" i="4"/>
  <c r="H237" i="4"/>
  <c r="G237" i="4"/>
  <c r="F237" i="4"/>
  <c r="R236" i="4"/>
  <c r="Q236" i="4"/>
  <c r="P236" i="4"/>
  <c r="M236" i="4"/>
  <c r="L236" i="4"/>
  <c r="K236" i="4"/>
  <c r="H236" i="4"/>
  <c r="G236" i="4"/>
  <c r="F236" i="4"/>
  <c r="R235" i="4"/>
  <c r="Q235" i="4"/>
  <c r="P235" i="4"/>
  <c r="M235" i="4"/>
  <c r="L235" i="4"/>
  <c r="K235" i="4"/>
  <c r="H235" i="4"/>
  <c r="G235" i="4"/>
  <c r="F235" i="4"/>
  <c r="R234" i="4"/>
  <c r="Q234" i="4"/>
  <c r="P234" i="4"/>
  <c r="M234" i="4"/>
  <c r="L234" i="4"/>
  <c r="K234" i="4"/>
  <c r="H234" i="4"/>
  <c r="G234" i="4"/>
  <c r="F234" i="4"/>
  <c r="R233" i="4"/>
  <c r="Q233" i="4"/>
  <c r="P233" i="4"/>
  <c r="M233" i="4"/>
  <c r="L233" i="4"/>
  <c r="K233" i="4"/>
  <c r="H233" i="4"/>
  <c r="G233" i="4"/>
  <c r="F233" i="4"/>
  <c r="R232" i="4"/>
  <c r="Q232" i="4"/>
  <c r="P232" i="4"/>
  <c r="M232" i="4"/>
  <c r="L232" i="4"/>
  <c r="K232" i="4"/>
  <c r="H232" i="4"/>
  <c r="G232" i="4"/>
  <c r="F232" i="4"/>
  <c r="R231" i="4"/>
  <c r="Q231" i="4"/>
  <c r="P231" i="4"/>
  <c r="M231" i="4"/>
  <c r="L231" i="4"/>
  <c r="K231" i="4"/>
  <c r="H231" i="4"/>
  <c r="G231" i="4"/>
  <c r="F231" i="4"/>
  <c r="R230" i="4"/>
  <c r="Q230" i="4"/>
  <c r="P230" i="4"/>
  <c r="M230" i="4"/>
  <c r="L230" i="4"/>
  <c r="K230" i="4"/>
  <c r="H230" i="4"/>
  <c r="G230" i="4"/>
  <c r="F230" i="4"/>
  <c r="R229" i="4"/>
  <c r="Q229" i="4"/>
  <c r="P229" i="4"/>
  <c r="M229" i="4"/>
  <c r="L229" i="4"/>
  <c r="K229" i="4"/>
  <c r="H229" i="4"/>
  <c r="G229" i="4"/>
  <c r="F229" i="4"/>
  <c r="R228" i="4"/>
  <c r="Q228" i="4"/>
  <c r="P228" i="4"/>
  <c r="M228" i="4"/>
  <c r="L228" i="4"/>
  <c r="K228" i="4"/>
  <c r="H228" i="4"/>
  <c r="G228" i="4"/>
  <c r="F228" i="4"/>
  <c r="R227" i="4"/>
  <c r="Q227" i="4"/>
  <c r="P227" i="4"/>
  <c r="M227" i="4"/>
  <c r="L227" i="4"/>
  <c r="K227" i="4"/>
  <c r="H227" i="4"/>
  <c r="G227" i="4"/>
  <c r="F227" i="4"/>
  <c r="R226" i="4"/>
  <c r="Q226" i="4"/>
  <c r="P226" i="4"/>
  <c r="M226" i="4"/>
  <c r="L226" i="4"/>
  <c r="K226" i="4"/>
  <c r="H226" i="4"/>
  <c r="G226" i="4"/>
  <c r="F226" i="4"/>
  <c r="R225" i="4"/>
  <c r="Q225" i="4"/>
  <c r="P225" i="4"/>
  <c r="M225" i="4"/>
  <c r="L225" i="4"/>
  <c r="K225" i="4"/>
  <c r="H225" i="4"/>
  <c r="G225" i="4"/>
  <c r="F225" i="4"/>
  <c r="R224" i="4"/>
  <c r="Q224" i="4"/>
  <c r="P224" i="4"/>
  <c r="M224" i="4"/>
  <c r="L224" i="4"/>
  <c r="K224" i="4"/>
  <c r="H224" i="4"/>
  <c r="G224" i="4"/>
  <c r="F224" i="4"/>
  <c r="R223" i="4"/>
  <c r="Q223" i="4"/>
  <c r="P223" i="4"/>
  <c r="M223" i="4"/>
  <c r="L223" i="4"/>
  <c r="K223" i="4"/>
  <c r="H223" i="4"/>
  <c r="G223" i="4"/>
  <c r="F223" i="4"/>
  <c r="R222" i="4"/>
  <c r="Q222" i="4"/>
  <c r="P222" i="4"/>
  <c r="M222" i="4"/>
  <c r="L222" i="4"/>
  <c r="K222" i="4"/>
  <c r="H222" i="4"/>
  <c r="G222" i="4"/>
  <c r="F222" i="4"/>
  <c r="R221" i="4"/>
  <c r="Q221" i="4"/>
  <c r="P221" i="4"/>
  <c r="M221" i="4"/>
  <c r="L221" i="4"/>
  <c r="K221" i="4"/>
  <c r="H221" i="4"/>
  <c r="G221" i="4"/>
  <c r="F221" i="4"/>
  <c r="R220" i="4"/>
  <c r="Q220" i="4"/>
  <c r="P220" i="4"/>
  <c r="M220" i="4"/>
  <c r="L220" i="4"/>
  <c r="K220" i="4"/>
  <c r="H220" i="4"/>
  <c r="G220" i="4"/>
  <c r="F220" i="4"/>
  <c r="R219" i="4"/>
  <c r="Q219" i="4"/>
  <c r="P219" i="4"/>
  <c r="M219" i="4"/>
  <c r="L219" i="4"/>
  <c r="K219" i="4"/>
  <c r="H219" i="4"/>
  <c r="G219" i="4"/>
  <c r="F219" i="4"/>
  <c r="R218" i="4"/>
  <c r="Q218" i="4"/>
  <c r="P218" i="4"/>
  <c r="M218" i="4"/>
  <c r="L218" i="4"/>
  <c r="K218" i="4"/>
  <c r="H218" i="4"/>
  <c r="G218" i="4"/>
  <c r="F218" i="4"/>
  <c r="R217" i="4"/>
  <c r="Q217" i="4"/>
  <c r="P217" i="4"/>
  <c r="M217" i="4"/>
  <c r="L217" i="4"/>
  <c r="K217" i="4"/>
  <c r="H217" i="4"/>
  <c r="G217" i="4"/>
  <c r="F217" i="4"/>
  <c r="R216" i="4"/>
  <c r="Q216" i="4"/>
  <c r="P216" i="4"/>
  <c r="M216" i="4"/>
  <c r="L216" i="4"/>
  <c r="K216" i="4"/>
  <c r="H216" i="4"/>
  <c r="G216" i="4"/>
  <c r="F216" i="4"/>
  <c r="R215" i="4"/>
  <c r="Q215" i="4"/>
  <c r="P215" i="4"/>
  <c r="M215" i="4"/>
  <c r="L215" i="4"/>
  <c r="K215" i="4"/>
  <c r="H215" i="4"/>
  <c r="G215" i="4"/>
  <c r="F215" i="4"/>
  <c r="R214" i="4"/>
  <c r="Q214" i="4"/>
  <c r="P214" i="4"/>
  <c r="M214" i="4"/>
  <c r="L214" i="4"/>
  <c r="K214" i="4"/>
  <c r="H214" i="4"/>
  <c r="G214" i="4"/>
  <c r="F214" i="4"/>
  <c r="R213" i="4"/>
  <c r="Q213" i="4"/>
  <c r="P213" i="4"/>
  <c r="M213" i="4"/>
  <c r="L213" i="4"/>
  <c r="K213" i="4"/>
  <c r="H213" i="4"/>
  <c r="G213" i="4"/>
  <c r="F213" i="4"/>
  <c r="R212" i="4"/>
  <c r="Q212" i="4"/>
  <c r="P212" i="4"/>
  <c r="M212" i="4"/>
  <c r="L212" i="4"/>
  <c r="K212" i="4"/>
  <c r="H212" i="4"/>
  <c r="G212" i="4"/>
  <c r="F212" i="4"/>
  <c r="R211" i="4"/>
  <c r="Q211" i="4"/>
  <c r="P211" i="4"/>
  <c r="M211" i="4"/>
  <c r="L211" i="4"/>
  <c r="K211" i="4"/>
  <c r="H211" i="4"/>
  <c r="G211" i="4"/>
  <c r="F211" i="4"/>
  <c r="R210" i="4"/>
  <c r="Q210" i="4"/>
  <c r="P210" i="4"/>
  <c r="M210" i="4"/>
  <c r="L210" i="4"/>
  <c r="K210" i="4"/>
  <c r="H210" i="4"/>
  <c r="G210" i="4"/>
  <c r="F210" i="4"/>
  <c r="R209" i="4"/>
  <c r="Q209" i="4"/>
  <c r="P209" i="4"/>
  <c r="M209" i="4"/>
  <c r="L209" i="4"/>
  <c r="K209" i="4"/>
  <c r="H209" i="4"/>
  <c r="G209" i="4"/>
  <c r="F209" i="4"/>
  <c r="R208" i="4"/>
  <c r="Q208" i="4"/>
  <c r="P208" i="4"/>
  <c r="M208" i="4"/>
  <c r="L208" i="4"/>
  <c r="K208" i="4"/>
  <c r="H208" i="4"/>
  <c r="G208" i="4"/>
  <c r="F208" i="4"/>
  <c r="R207" i="4"/>
  <c r="Q207" i="4"/>
  <c r="P207" i="4"/>
  <c r="M207" i="4"/>
  <c r="L207" i="4"/>
  <c r="K207" i="4"/>
  <c r="H207" i="4"/>
  <c r="G207" i="4"/>
  <c r="F207" i="4"/>
  <c r="R206" i="4"/>
  <c r="Q206" i="4"/>
  <c r="P206" i="4"/>
  <c r="M206" i="4"/>
  <c r="L206" i="4"/>
  <c r="K206" i="4"/>
  <c r="H206" i="4"/>
  <c r="G206" i="4"/>
  <c r="F206" i="4"/>
  <c r="R205" i="4"/>
  <c r="Q205" i="4"/>
  <c r="P205" i="4"/>
  <c r="M205" i="4"/>
  <c r="L205" i="4"/>
  <c r="K205" i="4"/>
  <c r="H205" i="4"/>
  <c r="G205" i="4"/>
  <c r="F205" i="4"/>
  <c r="R204" i="4"/>
  <c r="Q204" i="4"/>
  <c r="P204" i="4"/>
  <c r="M204" i="4"/>
  <c r="L204" i="4"/>
  <c r="K204" i="4"/>
  <c r="H204" i="4"/>
  <c r="G204" i="4"/>
  <c r="F204" i="4"/>
  <c r="R203" i="4"/>
  <c r="Q203" i="4"/>
  <c r="P203" i="4"/>
  <c r="M203" i="4"/>
  <c r="L203" i="4"/>
  <c r="K203" i="4"/>
  <c r="H203" i="4"/>
  <c r="G203" i="4"/>
  <c r="F203" i="4"/>
  <c r="R202" i="4"/>
  <c r="Q202" i="4"/>
  <c r="P202" i="4"/>
  <c r="M202" i="4"/>
  <c r="L202" i="4"/>
  <c r="K202" i="4"/>
  <c r="H202" i="4"/>
  <c r="G202" i="4"/>
  <c r="F202" i="4"/>
  <c r="R201" i="4"/>
  <c r="Q201" i="4"/>
  <c r="P201" i="4"/>
  <c r="M201" i="4"/>
  <c r="L201" i="4"/>
  <c r="K201" i="4"/>
  <c r="H201" i="4"/>
  <c r="G201" i="4"/>
  <c r="F201" i="4"/>
  <c r="R200" i="4"/>
  <c r="Q200" i="4"/>
  <c r="P200" i="4"/>
  <c r="M200" i="4"/>
  <c r="L200" i="4"/>
  <c r="K200" i="4"/>
  <c r="H200" i="4"/>
  <c r="G200" i="4"/>
  <c r="F200" i="4"/>
  <c r="R199" i="4"/>
  <c r="Q199" i="4"/>
  <c r="P199" i="4"/>
  <c r="M199" i="4"/>
  <c r="L199" i="4"/>
  <c r="K199" i="4"/>
  <c r="H199" i="4"/>
  <c r="G199" i="4"/>
  <c r="F199" i="4"/>
  <c r="R198" i="4"/>
  <c r="Q198" i="4"/>
  <c r="P198" i="4"/>
  <c r="M198" i="4"/>
  <c r="L198" i="4"/>
  <c r="K198" i="4"/>
  <c r="H198" i="4"/>
  <c r="G198" i="4"/>
  <c r="F198" i="4"/>
  <c r="R197" i="4"/>
  <c r="Q197" i="4"/>
  <c r="P197" i="4"/>
  <c r="M197" i="4"/>
  <c r="L197" i="4"/>
  <c r="K197" i="4"/>
  <c r="H197" i="4"/>
  <c r="G197" i="4"/>
  <c r="F197" i="4"/>
  <c r="R196" i="4"/>
  <c r="Q196" i="4"/>
  <c r="P196" i="4"/>
  <c r="M196" i="4"/>
  <c r="L196" i="4"/>
  <c r="K196" i="4"/>
  <c r="H196" i="4"/>
  <c r="G196" i="4"/>
  <c r="F196" i="4"/>
  <c r="R195" i="4"/>
  <c r="Q195" i="4"/>
  <c r="P195" i="4"/>
  <c r="M195" i="4"/>
  <c r="L195" i="4"/>
  <c r="K195" i="4"/>
  <c r="H195" i="4"/>
  <c r="G195" i="4"/>
  <c r="F195" i="4"/>
  <c r="R194" i="4"/>
  <c r="Q194" i="4"/>
  <c r="P194" i="4"/>
  <c r="M194" i="4"/>
  <c r="L194" i="4"/>
  <c r="K194" i="4"/>
  <c r="H194" i="4"/>
  <c r="G194" i="4"/>
  <c r="F194" i="4"/>
  <c r="R193" i="4"/>
  <c r="Q193" i="4"/>
  <c r="P193" i="4"/>
  <c r="M193" i="4"/>
  <c r="L193" i="4"/>
  <c r="K193" i="4"/>
  <c r="H193" i="4"/>
  <c r="G193" i="4"/>
  <c r="F193" i="4"/>
  <c r="R192" i="4"/>
  <c r="Q192" i="4"/>
  <c r="P192" i="4"/>
  <c r="M192" i="4"/>
  <c r="L192" i="4"/>
  <c r="K192" i="4"/>
  <c r="H192" i="4"/>
  <c r="G192" i="4"/>
  <c r="F192" i="4"/>
  <c r="R191" i="4"/>
  <c r="Q191" i="4"/>
  <c r="P191" i="4"/>
  <c r="M191" i="4"/>
  <c r="L191" i="4"/>
  <c r="K191" i="4"/>
  <c r="H191" i="4"/>
  <c r="G191" i="4"/>
  <c r="F191" i="4"/>
  <c r="R190" i="4"/>
  <c r="Q190" i="4"/>
  <c r="P190" i="4"/>
  <c r="M190" i="4"/>
  <c r="L190" i="4"/>
  <c r="K190" i="4"/>
  <c r="H190" i="4"/>
  <c r="G190" i="4"/>
  <c r="F190" i="4"/>
  <c r="R189" i="4"/>
  <c r="Q189" i="4"/>
  <c r="P189" i="4"/>
  <c r="M189" i="4"/>
  <c r="L189" i="4"/>
  <c r="K189" i="4"/>
  <c r="H189" i="4"/>
  <c r="G189" i="4"/>
  <c r="F189" i="4"/>
  <c r="R188" i="4"/>
  <c r="Q188" i="4"/>
  <c r="P188" i="4"/>
  <c r="M188" i="4"/>
  <c r="L188" i="4"/>
  <c r="K188" i="4"/>
  <c r="H188" i="4"/>
  <c r="G188" i="4"/>
  <c r="F188" i="4"/>
  <c r="R187" i="4"/>
  <c r="Q187" i="4"/>
  <c r="P187" i="4"/>
  <c r="M187" i="4"/>
  <c r="L187" i="4"/>
  <c r="K187" i="4"/>
  <c r="H187" i="4"/>
  <c r="G187" i="4"/>
  <c r="F187" i="4"/>
  <c r="R186" i="4"/>
  <c r="Q186" i="4"/>
  <c r="P186" i="4"/>
  <c r="M186" i="4"/>
  <c r="L186" i="4"/>
  <c r="K186" i="4"/>
  <c r="H186" i="4"/>
  <c r="G186" i="4"/>
  <c r="F186" i="4"/>
  <c r="R185" i="4"/>
  <c r="Q185" i="4"/>
  <c r="P185" i="4"/>
  <c r="M185" i="4"/>
  <c r="L185" i="4"/>
  <c r="K185" i="4"/>
  <c r="H185" i="4"/>
  <c r="G185" i="4"/>
  <c r="F185" i="4"/>
  <c r="R184" i="4"/>
  <c r="Q184" i="4"/>
  <c r="P184" i="4"/>
  <c r="M184" i="4"/>
  <c r="L184" i="4"/>
  <c r="K184" i="4"/>
  <c r="H184" i="4"/>
  <c r="G184" i="4"/>
  <c r="F184" i="4"/>
  <c r="R183" i="4"/>
  <c r="Q183" i="4"/>
  <c r="P183" i="4"/>
  <c r="M183" i="4"/>
  <c r="L183" i="4"/>
  <c r="K183" i="4"/>
  <c r="H183" i="4"/>
  <c r="G183" i="4"/>
  <c r="F183" i="4"/>
  <c r="R182" i="4"/>
  <c r="Q182" i="4"/>
  <c r="P182" i="4"/>
  <c r="M182" i="4"/>
  <c r="L182" i="4"/>
  <c r="K182" i="4"/>
  <c r="H182" i="4"/>
  <c r="G182" i="4"/>
  <c r="F182" i="4"/>
  <c r="R181" i="4"/>
  <c r="Q181" i="4"/>
  <c r="P181" i="4"/>
  <c r="M181" i="4"/>
  <c r="L181" i="4"/>
  <c r="K181" i="4"/>
  <c r="H181" i="4"/>
  <c r="G181" i="4"/>
  <c r="F181" i="4"/>
  <c r="R180" i="4"/>
  <c r="Q180" i="4"/>
  <c r="P180" i="4"/>
  <c r="M180" i="4"/>
  <c r="L180" i="4"/>
  <c r="K180" i="4"/>
  <c r="H180" i="4"/>
  <c r="G180" i="4"/>
  <c r="F180" i="4"/>
  <c r="R179" i="4"/>
  <c r="Q179" i="4"/>
  <c r="P179" i="4"/>
  <c r="M179" i="4"/>
  <c r="L179" i="4"/>
  <c r="K179" i="4"/>
  <c r="H179" i="4"/>
  <c r="G179" i="4"/>
  <c r="F179" i="4"/>
  <c r="R178" i="4"/>
  <c r="Q178" i="4"/>
  <c r="P178" i="4"/>
  <c r="M178" i="4"/>
  <c r="L178" i="4"/>
  <c r="K178" i="4"/>
  <c r="H178" i="4"/>
  <c r="G178" i="4"/>
  <c r="F178" i="4"/>
  <c r="R177" i="4"/>
  <c r="Q177" i="4"/>
  <c r="P177" i="4"/>
  <c r="M177" i="4"/>
  <c r="L177" i="4"/>
  <c r="K177" i="4"/>
  <c r="H177" i="4"/>
  <c r="G177" i="4"/>
  <c r="F177" i="4"/>
  <c r="R176" i="4"/>
  <c r="Q176" i="4"/>
  <c r="P176" i="4"/>
  <c r="M176" i="4"/>
  <c r="L176" i="4"/>
  <c r="K176" i="4"/>
  <c r="H176" i="4"/>
  <c r="G176" i="4"/>
  <c r="F176" i="4"/>
  <c r="R175" i="4"/>
  <c r="Q175" i="4"/>
  <c r="P175" i="4"/>
  <c r="M175" i="4"/>
  <c r="L175" i="4"/>
  <c r="K175" i="4"/>
  <c r="H175" i="4"/>
  <c r="G175" i="4"/>
  <c r="F175" i="4"/>
  <c r="R174" i="4"/>
  <c r="Q174" i="4"/>
  <c r="P174" i="4"/>
  <c r="M174" i="4"/>
  <c r="L174" i="4"/>
  <c r="K174" i="4"/>
  <c r="H174" i="4"/>
  <c r="G174" i="4"/>
  <c r="F174" i="4"/>
  <c r="R173" i="4"/>
  <c r="Q173" i="4"/>
  <c r="P173" i="4"/>
  <c r="M173" i="4"/>
  <c r="L173" i="4"/>
  <c r="K173" i="4"/>
  <c r="H173" i="4"/>
  <c r="G173" i="4"/>
  <c r="F173" i="4"/>
  <c r="R172" i="4"/>
  <c r="Q172" i="4"/>
  <c r="P172" i="4"/>
  <c r="M172" i="4"/>
  <c r="L172" i="4"/>
  <c r="K172" i="4"/>
  <c r="H172" i="4"/>
  <c r="G172" i="4"/>
  <c r="F172" i="4"/>
  <c r="R171" i="4"/>
  <c r="Q171" i="4"/>
  <c r="P171" i="4"/>
  <c r="M171" i="4"/>
  <c r="L171" i="4"/>
  <c r="K171" i="4"/>
  <c r="H171" i="4"/>
  <c r="G171" i="4"/>
  <c r="F171" i="4"/>
  <c r="R170" i="4"/>
  <c r="Q170" i="4"/>
  <c r="P170" i="4"/>
  <c r="M170" i="4"/>
  <c r="L170" i="4"/>
  <c r="K170" i="4"/>
  <c r="H170" i="4"/>
  <c r="G170" i="4"/>
  <c r="F170" i="4"/>
  <c r="R169" i="4"/>
  <c r="Q169" i="4"/>
  <c r="P169" i="4"/>
  <c r="M169" i="4"/>
  <c r="L169" i="4"/>
  <c r="K169" i="4"/>
  <c r="H169" i="4"/>
  <c r="G169" i="4"/>
  <c r="F169" i="4"/>
  <c r="R168" i="4"/>
  <c r="Q168" i="4"/>
  <c r="P168" i="4"/>
  <c r="M168" i="4"/>
  <c r="L168" i="4"/>
  <c r="K168" i="4"/>
  <c r="H168" i="4"/>
  <c r="G168" i="4"/>
  <c r="F168" i="4"/>
  <c r="R167" i="4"/>
  <c r="Q167" i="4"/>
  <c r="P167" i="4"/>
  <c r="M167" i="4"/>
  <c r="L167" i="4"/>
  <c r="K167" i="4"/>
  <c r="H167" i="4"/>
  <c r="G167" i="4"/>
  <c r="F167" i="4"/>
  <c r="R166" i="4"/>
  <c r="Q166" i="4"/>
  <c r="P166" i="4"/>
  <c r="M166" i="4"/>
  <c r="L166" i="4"/>
  <c r="K166" i="4"/>
  <c r="H166" i="4"/>
  <c r="G166" i="4"/>
  <c r="F166" i="4"/>
  <c r="R165" i="4"/>
  <c r="Q165" i="4"/>
  <c r="P165" i="4"/>
  <c r="M165" i="4"/>
  <c r="L165" i="4"/>
  <c r="K165" i="4"/>
  <c r="H165" i="4"/>
  <c r="G165" i="4"/>
  <c r="F165" i="4"/>
  <c r="R164" i="4"/>
  <c r="Q164" i="4"/>
  <c r="P164" i="4"/>
  <c r="M164" i="4"/>
  <c r="L164" i="4"/>
  <c r="K164" i="4"/>
  <c r="H164" i="4"/>
  <c r="G164" i="4"/>
  <c r="F164" i="4"/>
  <c r="R163" i="4"/>
  <c r="Q163" i="4"/>
  <c r="P163" i="4"/>
  <c r="M163" i="4"/>
  <c r="L163" i="4"/>
  <c r="K163" i="4"/>
  <c r="H163" i="4"/>
  <c r="G163" i="4"/>
  <c r="F163" i="4"/>
  <c r="R162" i="4"/>
  <c r="Q162" i="4"/>
  <c r="P162" i="4"/>
  <c r="M162" i="4"/>
  <c r="L162" i="4"/>
  <c r="K162" i="4"/>
  <c r="H162" i="4"/>
  <c r="G162" i="4"/>
  <c r="F162" i="4"/>
  <c r="R161" i="4"/>
  <c r="Q161" i="4"/>
  <c r="P161" i="4"/>
  <c r="M161" i="4"/>
  <c r="L161" i="4"/>
  <c r="K161" i="4"/>
  <c r="H161" i="4"/>
  <c r="G161" i="4"/>
  <c r="F161" i="4"/>
  <c r="R160" i="4"/>
  <c r="Q160" i="4"/>
  <c r="P160" i="4"/>
  <c r="M160" i="4"/>
  <c r="L160" i="4"/>
  <c r="K160" i="4"/>
  <c r="H160" i="4"/>
  <c r="G160" i="4"/>
  <c r="F160" i="4"/>
  <c r="R159" i="4"/>
  <c r="Q159" i="4"/>
  <c r="P159" i="4"/>
  <c r="M159" i="4"/>
  <c r="L159" i="4"/>
  <c r="K159" i="4"/>
  <c r="H159" i="4"/>
  <c r="G159" i="4"/>
  <c r="F159" i="4"/>
  <c r="R158" i="4"/>
  <c r="Q158" i="4"/>
  <c r="P158" i="4"/>
  <c r="M158" i="4"/>
  <c r="L158" i="4"/>
  <c r="K158" i="4"/>
  <c r="H158" i="4"/>
  <c r="G158" i="4"/>
  <c r="F158" i="4"/>
  <c r="R157" i="4"/>
  <c r="Q157" i="4"/>
  <c r="P157" i="4"/>
  <c r="M157" i="4"/>
  <c r="L157" i="4"/>
  <c r="K157" i="4"/>
  <c r="H157" i="4"/>
  <c r="G157" i="4"/>
  <c r="F157" i="4"/>
  <c r="R156" i="4"/>
  <c r="Q156" i="4"/>
  <c r="P156" i="4"/>
  <c r="M156" i="4"/>
  <c r="L156" i="4"/>
  <c r="K156" i="4"/>
  <c r="H156" i="4"/>
  <c r="G156" i="4"/>
  <c r="F156" i="4"/>
  <c r="R155" i="4"/>
  <c r="Q155" i="4"/>
  <c r="P155" i="4"/>
  <c r="M155" i="4"/>
  <c r="L155" i="4"/>
  <c r="K155" i="4"/>
  <c r="H155" i="4"/>
  <c r="G155" i="4"/>
  <c r="F155" i="4"/>
  <c r="R154" i="4"/>
  <c r="Q154" i="4"/>
  <c r="P154" i="4"/>
  <c r="M154" i="4"/>
  <c r="L154" i="4"/>
  <c r="K154" i="4"/>
  <c r="H154" i="4"/>
  <c r="G154" i="4"/>
  <c r="F154" i="4"/>
  <c r="R153" i="4"/>
  <c r="Q153" i="4"/>
  <c r="P153" i="4"/>
  <c r="M153" i="4"/>
  <c r="L153" i="4"/>
  <c r="K153" i="4"/>
  <c r="H153" i="4"/>
  <c r="G153" i="4"/>
  <c r="F153" i="4"/>
  <c r="R152" i="4"/>
  <c r="Q152" i="4"/>
  <c r="P152" i="4"/>
  <c r="M152" i="4"/>
  <c r="L152" i="4"/>
  <c r="K152" i="4"/>
  <c r="H152" i="4"/>
  <c r="G152" i="4"/>
  <c r="F152" i="4"/>
  <c r="R151" i="4"/>
  <c r="Q151" i="4"/>
  <c r="P151" i="4"/>
  <c r="M151" i="4"/>
  <c r="L151" i="4"/>
  <c r="K151" i="4"/>
  <c r="H151" i="4"/>
  <c r="G151" i="4"/>
  <c r="F151" i="4"/>
  <c r="R150" i="4"/>
  <c r="Q150" i="4"/>
  <c r="P150" i="4"/>
  <c r="M150" i="4"/>
  <c r="L150" i="4"/>
  <c r="K150" i="4"/>
  <c r="H150" i="4"/>
  <c r="G150" i="4"/>
  <c r="F150" i="4"/>
  <c r="R149" i="4"/>
  <c r="Q149" i="4"/>
  <c r="P149" i="4"/>
  <c r="M149" i="4"/>
  <c r="L149" i="4"/>
  <c r="K149" i="4"/>
  <c r="H149" i="4"/>
  <c r="G149" i="4"/>
  <c r="F149" i="4"/>
  <c r="R148" i="4"/>
  <c r="Q148" i="4"/>
  <c r="P148" i="4"/>
  <c r="M148" i="4"/>
  <c r="L148" i="4"/>
  <c r="K148" i="4"/>
  <c r="H148" i="4"/>
  <c r="G148" i="4"/>
  <c r="F148" i="4"/>
  <c r="R147" i="4"/>
  <c r="Q147" i="4"/>
  <c r="P147" i="4"/>
  <c r="M147" i="4"/>
  <c r="L147" i="4"/>
  <c r="K147" i="4"/>
  <c r="H147" i="4"/>
  <c r="G147" i="4"/>
  <c r="F147" i="4"/>
  <c r="R146" i="4"/>
  <c r="Q146" i="4"/>
  <c r="P146" i="4"/>
  <c r="M146" i="4"/>
  <c r="L146" i="4"/>
  <c r="K146" i="4"/>
  <c r="H146" i="4"/>
  <c r="G146" i="4"/>
  <c r="F146" i="4"/>
  <c r="R145" i="4"/>
  <c r="Q145" i="4"/>
  <c r="P145" i="4"/>
  <c r="M145" i="4"/>
  <c r="L145" i="4"/>
  <c r="K145" i="4"/>
  <c r="H145" i="4"/>
  <c r="G145" i="4"/>
  <c r="F145" i="4"/>
  <c r="R144" i="4"/>
  <c r="Q144" i="4"/>
  <c r="P144" i="4"/>
  <c r="M144" i="4"/>
  <c r="L144" i="4"/>
  <c r="K144" i="4"/>
  <c r="H144" i="4"/>
  <c r="G144" i="4"/>
  <c r="F144" i="4"/>
  <c r="R143" i="4"/>
  <c r="Q143" i="4"/>
  <c r="P143" i="4"/>
  <c r="M143" i="4"/>
  <c r="L143" i="4"/>
  <c r="K143" i="4"/>
  <c r="H143" i="4"/>
  <c r="G143" i="4"/>
  <c r="F143" i="4"/>
  <c r="R142" i="4"/>
  <c r="Q142" i="4"/>
  <c r="P142" i="4"/>
  <c r="M142" i="4"/>
  <c r="L142" i="4"/>
  <c r="K142" i="4"/>
  <c r="H142" i="4"/>
  <c r="G142" i="4"/>
  <c r="F142" i="4"/>
  <c r="R141" i="4"/>
  <c r="Q141" i="4"/>
  <c r="P141" i="4"/>
  <c r="M141" i="4"/>
  <c r="L141" i="4"/>
  <c r="K141" i="4"/>
  <c r="H141" i="4"/>
  <c r="G141" i="4"/>
  <c r="F141" i="4"/>
  <c r="R140" i="4"/>
  <c r="Q140" i="4"/>
  <c r="P140" i="4"/>
  <c r="M140" i="4"/>
  <c r="L140" i="4"/>
  <c r="K140" i="4"/>
  <c r="H140" i="4"/>
  <c r="G140" i="4"/>
  <c r="F140" i="4"/>
  <c r="R139" i="4"/>
  <c r="Q139" i="4"/>
  <c r="P139" i="4"/>
  <c r="M139" i="4"/>
  <c r="L139" i="4"/>
  <c r="K139" i="4"/>
  <c r="H139" i="4"/>
  <c r="G139" i="4"/>
  <c r="F139" i="4"/>
  <c r="R138" i="4"/>
  <c r="Q138" i="4"/>
  <c r="P138" i="4"/>
  <c r="M138" i="4"/>
  <c r="L138" i="4"/>
  <c r="K138" i="4"/>
  <c r="H138" i="4"/>
  <c r="G138" i="4"/>
  <c r="F138" i="4"/>
  <c r="R137" i="4"/>
  <c r="Q137" i="4"/>
  <c r="P137" i="4"/>
  <c r="M137" i="4"/>
  <c r="L137" i="4"/>
  <c r="K137" i="4"/>
  <c r="H137" i="4"/>
  <c r="G137" i="4"/>
  <c r="F137" i="4"/>
  <c r="R136" i="4"/>
  <c r="Q136" i="4"/>
  <c r="P136" i="4"/>
  <c r="M136" i="4"/>
  <c r="L136" i="4"/>
  <c r="K136" i="4"/>
  <c r="H136" i="4"/>
  <c r="G136" i="4"/>
  <c r="F136" i="4"/>
  <c r="R135" i="4"/>
  <c r="Q135" i="4"/>
  <c r="P135" i="4"/>
  <c r="M135" i="4"/>
  <c r="L135" i="4"/>
  <c r="K135" i="4"/>
  <c r="H135" i="4"/>
  <c r="G135" i="4"/>
  <c r="F135" i="4"/>
  <c r="R134" i="4"/>
  <c r="Q134" i="4"/>
  <c r="P134" i="4"/>
  <c r="M134" i="4"/>
  <c r="L134" i="4"/>
  <c r="K134" i="4"/>
  <c r="H134" i="4"/>
  <c r="G134" i="4"/>
  <c r="F134" i="4"/>
  <c r="R133" i="4"/>
  <c r="Q133" i="4"/>
  <c r="P133" i="4"/>
  <c r="M133" i="4"/>
  <c r="L133" i="4"/>
  <c r="K133" i="4"/>
  <c r="H133" i="4"/>
  <c r="G133" i="4"/>
  <c r="F133" i="4"/>
  <c r="R132" i="4"/>
  <c r="Q132" i="4"/>
  <c r="P132" i="4"/>
  <c r="M132" i="4"/>
  <c r="L132" i="4"/>
  <c r="K132" i="4"/>
  <c r="H132" i="4"/>
  <c r="G132" i="4"/>
  <c r="F132" i="4"/>
  <c r="R131" i="4"/>
  <c r="Q131" i="4"/>
  <c r="P131" i="4"/>
  <c r="M131" i="4"/>
  <c r="L131" i="4"/>
  <c r="K131" i="4"/>
  <c r="H131" i="4"/>
  <c r="G131" i="4"/>
  <c r="F131" i="4"/>
  <c r="R130" i="4"/>
  <c r="Q130" i="4"/>
  <c r="P130" i="4"/>
  <c r="M130" i="4"/>
  <c r="L130" i="4"/>
  <c r="K130" i="4"/>
  <c r="H130" i="4"/>
  <c r="G130" i="4"/>
  <c r="F130" i="4"/>
  <c r="R129" i="4"/>
  <c r="Q129" i="4"/>
  <c r="P129" i="4"/>
  <c r="M129" i="4"/>
  <c r="L129" i="4"/>
  <c r="K129" i="4"/>
  <c r="H129" i="4"/>
  <c r="G129" i="4"/>
  <c r="F129" i="4"/>
  <c r="R128" i="4"/>
  <c r="Q128" i="4"/>
  <c r="P128" i="4"/>
  <c r="M128" i="4"/>
  <c r="L128" i="4"/>
  <c r="K128" i="4"/>
  <c r="H128" i="4"/>
  <c r="G128" i="4"/>
  <c r="F128" i="4"/>
  <c r="R127" i="4"/>
  <c r="Q127" i="4"/>
  <c r="P127" i="4"/>
  <c r="M127" i="4"/>
  <c r="L127" i="4"/>
  <c r="K127" i="4"/>
  <c r="H127" i="4"/>
  <c r="G127" i="4"/>
  <c r="F127" i="4"/>
  <c r="R126" i="4"/>
  <c r="Q126" i="4"/>
  <c r="P126" i="4"/>
  <c r="M126" i="4"/>
  <c r="L126" i="4"/>
  <c r="K126" i="4"/>
  <c r="H126" i="4"/>
  <c r="G126" i="4"/>
  <c r="F126" i="4"/>
  <c r="R125" i="4"/>
  <c r="Q125" i="4"/>
  <c r="P125" i="4"/>
  <c r="M125" i="4"/>
  <c r="L125" i="4"/>
  <c r="K125" i="4"/>
  <c r="H125" i="4"/>
  <c r="G125" i="4"/>
  <c r="F125" i="4"/>
  <c r="R124" i="4"/>
  <c r="Q124" i="4"/>
  <c r="P124" i="4"/>
  <c r="M124" i="4"/>
  <c r="L124" i="4"/>
  <c r="K124" i="4"/>
  <c r="H124" i="4"/>
  <c r="G124" i="4"/>
  <c r="F124" i="4"/>
  <c r="R123" i="4"/>
  <c r="Q123" i="4"/>
  <c r="P123" i="4"/>
  <c r="M123" i="4"/>
  <c r="L123" i="4"/>
  <c r="K123" i="4"/>
  <c r="H123" i="4"/>
  <c r="G123" i="4"/>
  <c r="F123" i="4"/>
  <c r="R122" i="4"/>
  <c r="Q122" i="4"/>
  <c r="P122" i="4"/>
  <c r="M122" i="4"/>
  <c r="L122" i="4"/>
  <c r="K122" i="4"/>
  <c r="H122" i="4"/>
  <c r="G122" i="4"/>
  <c r="F122" i="4"/>
  <c r="R121" i="4"/>
  <c r="Q121" i="4"/>
  <c r="P121" i="4"/>
  <c r="M121" i="4"/>
  <c r="L121" i="4"/>
  <c r="K121" i="4"/>
  <c r="H121" i="4"/>
  <c r="G121" i="4"/>
  <c r="F121" i="4"/>
  <c r="R120" i="4"/>
  <c r="Q120" i="4"/>
  <c r="P120" i="4"/>
  <c r="M120" i="4"/>
  <c r="L120" i="4"/>
  <c r="K120" i="4"/>
  <c r="H120" i="4"/>
  <c r="G120" i="4"/>
  <c r="F120" i="4"/>
  <c r="R119" i="4"/>
  <c r="Q119" i="4"/>
  <c r="P119" i="4"/>
  <c r="M119" i="4"/>
  <c r="L119" i="4"/>
  <c r="K119" i="4"/>
  <c r="H119" i="4"/>
  <c r="G119" i="4"/>
  <c r="F119" i="4"/>
  <c r="R118" i="4"/>
  <c r="Q118" i="4"/>
  <c r="P118" i="4"/>
  <c r="M118" i="4"/>
  <c r="L118" i="4"/>
  <c r="K118" i="4"/>
  <c r="H118" i="4"/>
  <c r="G118" i="4"/>
  <c r="F118" i="4"/>
  <c r="R117" i="4"/>
  <c r="Q117" i="4"/>
  <c r="P117" i="4"/>
  <c r="M117" i="4"/>
  <c r="L117" i="4"/>
  <c r="K117" i="4"/>
  <c r="H117" i="4"/>
  <c r="G117" i="4"/>
  <c r="F117" i="4"/>
  <c r="R116" i="4"/>
  <c r="Q116" i="4"/>
  <c r="P116" i="4"/>
  <c r="M116" i="4"/>
  <c r="L116" i="4"/>
  <c r="K116" i="4"/>
  <c r="H116" i="4"/>
  <c r="G116" i="4"/>
  <c r="F116" i="4"/>
  <c r="R115" i="4"/>
  <c r="Q115" i="4"/>
  <c r="P115" i="4"/>
  <c r="M115" i="4"/>
  <c r="L115" i="4"/>
  <c r="K115" i="4"/>
  <c r="H115" i="4"/>
  <c r="G115" i="4"/>
  <c r="F115" i="4"/>
  <c r="R114" i="4"/>
  <c r="Q114" i="4"/>
  <c r="P114" i="4"/>
  <c r="M114" i="4"/>
  <c r="L114" i="4"/>
  <c r="K114" i="4"/>
  <c r="H114" i="4"/>
  <c r="G114" i="4"/>
  <c r="F114" i="4"/>
  <c r="R113" i="4"/>
  <c r="Q113" i="4"/>
  <c r="P113" i="4"/>
  <c r="M113" i="4"/>
  <c r="L113" i="4"/>
  <c r="K113" i="4"/>
  <c r="H113" i="4"/>
  <c r="G113" i="4"/>
  <c r="F113" i="4"/>
  <c r="R112" i="4"/>
  <c r="Q112" i="4"/>
  <c r="P112" i="4"/>
  <c r="M112" i="4"/>
  <c r="L112" i="4"/>
  <c r="K112" i="4"/>
  <c r="H112" i="4"/>
  <c r="G112" i="4"/>
  <c r="F112" i="4"/>
  <c r="R111" i="4"/>
  <c r="Q111" i="4"/>
  <c r="P111" i="4"/>
  <c r="M111" i="4"/>
  <c r="L111" i="4"/>
  <c r="K111" i="4"/>
  <c r="H111" i="4"/>
  <c r="G111" i="4"/>
  <c r="F111" i="4"/>
  <c r="R110" i="4"/>
  <c r="Q110" i="4"/>
  <c r="P110" i="4"/>
  <c r="M110" i="4"/>
  <c r="L110" i="4"/>
  <c r="K110" i="4"/>
  <c r="H110" i="4"/>
  <c r="G110" i="4"/>
  <c r="F110" i="4"/>
  <c r="R109" i="4"/>
  <c r="Q109" i="4"/>
  <c r="P109" i="4"/>
  <c r="M109" i="4"/>
  <c r="L109" i="4"/>
  <c r="K109" i="4"/>
  <c r="H109" i="4"/>
  <c r="G109" i="4"/>
  <c r="F109" i="4"/>
  <c r="R108" i="4"/>
  <c r="Q108" i="4"/>
  <c r="P108" i="4"/>
  <c r="M108" i="4"/>
  <c r="L108" i="4"/>
  <c r="K108" i="4"/>
  <c r="H108" i="4"/>
  <c r="G108" i="4"/>
  <c r="F108" i="4"/>
  <c r="R107" i="4"/>
  <c r="Q107" i="4"/>
  <c r="P107" i="4"/>
  <c r="M107" i="4"/>
  <c r="L107" i="4"/>
  <c r="K107" i="4"/>
  <c r="H107" i="4"/>
  <c r="G107" i="4"/>
  <c r="F107" i="4"/>
  <c r="R106" i="4"/>
  <c r="Q106" i="4"/>
  <c r="P106" i="4"/>
  <c r="M106" i="4"/>
  <c r="L106" i="4"/>
  <c r="K106" i="4"/>
  <c r="H106" i="4"/>
  <c r="G106" i="4"/>
  <c r="F106" i="4"/>
  <c r="R105" i="4"/>
  <c r="Q105" i="4"/>
  <c r="P105" i="4"/>
  <c r="M105" i="4"/>
  <c r="L105" i="4"/>
  <c r="K105" i="4"/>
  <c r="H105" i="4"/>
  <c r="G105" i="4"/>
  <c r="F105" i="4"/>
  <c r="R104" i="4"/>
  <c r="Q104" i="4"/>
  <c r="P104" i="4"/>
  <c r="M104" i="4"/>
  <c r="L104" i="4"/>
  <c r="K104" i="4"/>
  <c r="H104" i="4"/>
  <c r="G104" i="4"/>
  <c r="F104" i="4"/>
  <c r="R103" i="4"/>
  <c r="Q103" i="4"/>
  <c r="P103" i="4"/>
  <c r="M103" i="4"/>
  <c r="L103" i="4"/>
  <c r="K103" i="4"/>
  <c r="H103" i="4"/>
  <c r="G103" i="4"/>
  <c r="F103" i="4"/>
  <c r="R102" i="4"/>
  <c r="Q102" i="4"/>
  <c r="P102" i="4"/>
  <c r="M102" i="4"/>
  <c r="L102" i="4"/>
  <c r="K102" i="4"/>
  <c r="H102" i="4"/>
  <c r="G102" i="4"/>
  <c r="F102" i="4"/>
  <c r="R101" i="4"/>
  <c r="Q101" i="4"/>
  <c r="P101" i="4"/>
  <c r="M101" i="4"/>
  <c r="L101" i="4"/>
  <c r="K101" i="4"/>
  <c r="H101" i="4"/>
  <c r="G101" i="4"/>
  <c r="F101" i="4"/>
  <c r="R100" i="4"/>
  <c r="Q100" i="4"/>
  <c r="P100" i="4"/>
  <c r="M100" i="4"/>
  <c r="L100" i="4"/>
  <c r="K100" i="4"/>
  <c r="H100" i="4"/>
  <c r="G100" i="4"/>
  <c r="F100" i="4"/>
  <c r="R99" i="4"/>
  <c r="Q99" i="4"/>
  <c r="P99" i="4"/>
  <c r="M99" i="4"/>
  <c r="L99" i="4"/>
  <c r="K99" i="4"/>
  <c r="H99" i="4"/>
  <c r="G99" i="4"/>
  <c r="F99" i="4"/>
  <c r="R98" i="4"/>
  <c r="Q98" i="4"/>
  <c r="P98" i="4"/>
  <c r="M98" i="4"/>
  <c r="L98" i="4"/>
  <c r="K98" i="4"/>
  <c r="H98" i="4"/>
  <c r="G98" i="4"/>
  <c r="F98" i="4"/>
  <c r="R97" i="4"/>
  <c r="Q97" i="4"/>
  <c r="P97" i="4"/>
  <c r="M97" i="4"/>
  <c r="L97" i="4"/>
  <c r="K97" i="4"/>
  <c r="H97" i="4"/>
  <c r="G97" i="4"/>
  <c r="F97" i="4"/>
  <c r="R96" i="4"/>
  <c r="Q96" i="4"/>
  <c r="P96" i="4"/>
  <c r="M96" i="4"/>
  <c r="L96" i="4"/>
  <c r="K96" i="4"/>
  <c r="H96" i="4"/>
  <c r="G96" i="4"/>
  <c r="F96" i="4"/>
  <c r="R95" i="4"/>
  <c r="Q95" i="4"/>
  <c r="P95" i="4"/>
  <c r="M95" i="4"/>
  <c r="L95" i="4"/>
  <c r="K95" i="4"/>
  <c r="H95" i="4"/>
  <c r="G95" i="4"/>
  <c r="F95" i="4"/>
  <c r="R94" i="4"/>
  <c r="Q94" i="4"/>
  <c r="P94" i="4"/>
  <c r="M94" i="4"/>
  <c r="L94" i="4"/>
  <c r="K94" i="4"/>
  <c r="H94" i="4"/>
  <c r="G94" i="4"/>
  <c r="F94" i="4"/>
  <c r="R93" i="4"/>
  <c r="Q93" i="4"/>
  <c r="P93" i="4"/>
  <c r="M93" i="4"/>
  <c r="L93" i="4"/>
  <c r="K93" i="4"/>
  <c r="H93" i="4"/>
  <c r="G93" i="4"/>
  <c r="F93" i="4"/>
  <c r="R92" i="4"/>
  <c r="Q92" i="4"/>
  <c r="P92" i="4"/>
  <c r="M92" i="4"/>
  <c r="L92" i="4"/>
  <c r="K92" i="4"/>
  <c r="H92" i="4"/>
  <c r="G92" i="4"/>
  <c r="F92" i="4"/>
  <c r="R91" i="4"/>
  <c r="Q91" i="4"/>
  <c r="P91" i="4"/>
  <c r="M91" i="4"/>
  <c r="L91" i="4"/>
  <c r="K91" i="4"/>
  <c r="H91" i="4"/>
  <c r="G91" i="4"/>
  <c r="F91" i="4"/>
  <c r="R90" i="4"/>
  <c r="Q90" i="4"/>
  <c r="P90" i="4"/>
  <c r="M90" i="4"/>
  <c r="L90" i="4"/>
  <c r="K90" i="4"/>
  <c r="H90" i="4"/>
  <c r="G90" i="4"/>
  <c r="F90" i="4"/>
  <c r="R89" i="4"/>
  <c r="Q89" i="4"/>
  <c r="P89" i="4"/>
  <c r="M89" i="4"/>
  <c r="L89" i="4"/>
  <c r="K89" i="4"/>
  <c r="H89" i="4"/>
  <c r="G89" i="4"/>
  <c r="F89" i="4"/>
  <c r="R88" i="4"/>
  <c r="Q88" i="4"/>
  <c r="P88" i="4"/>
  <c r="M88" i="4"/>
  <c r="L88" i="4"/>
  <c r="K88" i="4"/>
  <c r="H88" i="4"/>
  <c r="G88" i="4"/>
  <c r="F88" i="4"/>
  <c r="R87" i="4"/>
  <c r="Q87" i="4"/>
  <c r="P87" i="4"/>
  <c r="M87" i="4"/>
  <c r="L87" i="4"/>
  <c r="K87" i="4"/>
  <c r="H87" i="4"/>
  <c r="G87" i="4"/>
  <c r="F87" i="4"/>
  <c r="R86" i="4"/>
  <c r="Q86" i="4"/>
  <c r="P86" i="4"/>
  <c r="M86" i="4"/>
  <c r="L86" i="4"/>
  <c r="K86" i="4"/>
  <c r="H86" i="4"/>
  <c r="G86" i="4"/>
  <c r="F86" i="4"/>
  <c r="R85" i="4"/>
  <c r="Q85" i="4"/>
  <c r="P85" i="4"/>
  <c r="M85" i="4"/>
  <c r="L85" i="4"/>
  <c r="K85" i="4"/>
  <c r="H85" i="4"/>
  <c r="G85" i="4"/>
  <c r="F85" i="4"/>
  <c r="R84" i="4"/>
  <c r="Q84" i="4"/>
  <c r="P84" i="4"/>
  <c r="M84" i="4"/>
  <c r="L84" i="4"/>
  <c r="K84" i="4"/>
  <c r="H84" i="4"/>
  <c r="G84" i="4"/>
  <c r="F84" i="4"/>
  <c r="R83" i="4"/>
  <c r="Q83" i="4"/>
  <c r="P83" i="4"/>
  <c r="M83" i="4"/>
  <c r="L83" i="4"/>
  <c r="K83" i="4"/>
  <c r="H83" i="4"/>
  <c r="G83" i="4"/>
  <c r="F83" i="4"/>
  <c r="R82" i="4"/>
  <c r="Q82" i="4"/>
  <c r="P82" i="4"/>
  <c r="M82" i="4"/>
  <c r="L82" i="4"/>
  <c r="K82" i="4"/>
  <c r="H82" i="4"/>
  <c r="G82" i="4"/>
  <c r="F82" i="4"/>
  <c r="R81" i="4"/>
  <c r="Q81" i="4"/>
  <c r="P81" i="4"/>
  <c r="M81" i="4"/>
  <c r="L81" i="4"/>
  <c r="K81" i="4"/>
  <c r="H81" i="4"/>
  <c r="G81" i="4"/>
  <c r="F81" i="4"/>
  <c r="R80" i="4"/>
  <c r="Q80" i="4"/>
  <c r="P80" i="4"/>
  <c r="M80" i="4"/>
  <c r="L80" i="4"/>
  <c r="K80" i="4"/>
  <c r="H80" i="4"/>
  <c r="G80" i="4"/>
  <c r="F80" i="4"/>
  <c r="R79" i="4"/>
  <c r="Q79" i="4"/>
  <c r="P79" i="4"/>
  <c r="M79" i="4"/>
  <c r="L79" i="4"/>
  <c r="K79" i="4"/>
  <c r="H79" i="4"/>
  <c r="G79" i="4"/>
  <c r="F79" i="4"/>
  <c r="R78" i="4"/>
  <c r="Q78" i="4"/>
  <c r="P78" i="4"/>
  <c r="M78" i="4"/>
  <c r="L78" i="4"/>
  <c r="K78" i="4"/>
  <c r="H78" i="4"/>
  <c r="G78" i="4"/>
  <c r="F78" i="4"/>
  <c r="R77" i="4"/>
  <c r="Q77" i="4"/>
  <c r="P77" i="4"/>
  <c r="M77" i="4"/>
  <c r="L77" i="4"/>
  <c r="K77" i="4"/>
  <c r="H77" i="4"/>
  <c r="G77" i="4"/>
  <c r="F77" i="4"/>
  <c r="R76" i="4"/>
  <c r="Q76" i="4"/>
  <c r="P76" i="4"/>
  <c r="M76" i="4"/>
  <c r="L76" i="4"/>
  <c r="K76" i="4"/>
  <c r="H76" i="4"/>
  <c r="G76" i="4"/>
  <c r="F76" i="4"/>
  <c r="R75" i="4"/>
  <c r="Q75" i="4"/>
  <c r="P75" i="4"/>
  <c r="M75" i="4"/>
  <c r="L75" i="4"/>
  <c r="K75" i="4"/>
  <c r="H75" i="4"/>
  <c r="G75" i="4"/>
  <c r="F75" i="4"/>
  <c r="R74" i="4"/>
  <c r="Q74" i="4"/>
  <c r="P74" i="4"/>
  <c r="M74" i="4"/>
  <c r="L74" i="4"/>
  <c r="K74" i="4"/>
  <c r="H74" i="4"/>
  <c r="G74" i="4"/>
  <c r="F74" i="4"/>
  <c r="R73" i="4"/>
  <c r="Q73" i="4"/>
  <c r="P73" i="4"/>
  <c r="M73" i="4"/>
  <c r="L73" i="4"/>
  <c r="K73" i="4"/>
  <c r="H73" i="4"/>
  <c r="G73" i="4"/>
  <c r="F73" i="4"/>
  <c r="R72" i="4"/>
  <c r="Q72" i="4"/>
  <c r="P72" i="4"/>
  <c r="M72" i="4"/>
  <c r="L72" i="4"/>
  <c r="K72" i="4"/>
  <c r="H72" i="4"/>
  <c r="G72" i="4"/>
  <c r="F72" i="4"/>
  <c r="R71" i="4"/>
  <c r="Q71" i="4"/>
  <c r="P71" i="4"/>
  <c r="M71" i="4"/>
  <c r="L71" i="4"/>
  <c r="K71" i="4"/>
  <c r="H71" i="4"/>
  <c r="G71" i="4"/>
  <c r="F71" i="4"/>
  <c r="R70" i="4"/>
  <c r="Q70" i="4"/>
  <c r="P70" i="4"/>
  <c r="M70" i="4"/>
  <c r="L70" i="4"/>
  <c r="K70" i="4"/>
  <c r="H70" i="4"/>
  <c r="G70" i="4"/>
  <c r="F70" i="4"/>
  <c r="R69" i="4"/>
  <c r="Q69" i="4"/>
  <c r="P69" i="4"/>
  <c r="M69" i="4"/>
  <c r="L69" i="4"/>
  <c r="K69" i="4"/>
  <c r="H69" i="4"/>
  <c r="G69" i="4"/>
  <c r="F69" i="4"/>
  <c r="R68" i="4"/>
  <c r="Q68" i="4"/>
  <c r="P68" i="4"/>
  <c r="M68" i="4"/>
  <c r="L68" i="4"/>
  <c r="K68" i="4"/>
  <c r="H68" i="4"/>
  <c r="G68" i="4"/>
  <c r="F68" i="4"/>
  <c r="R67" i="4"/>
  <c r="Q67" i="4"/>
  <c r="P67" i="4"/>
  <c r="M67" i="4"/>
  <c r="L67" i="4"/>
  <c r="K67" i="4"/>
  <c r="H67" i="4"/>
  <c r="G67" i="4"/>
  <c r="F67" i="4"/>
  <c r="R66" i="4"/>
  <c r="Q66" i="4"/>
  <c r="P66" i="4"/>
  <c r="M66" i="4"/>
  <c r="L66" i="4"/>
  <c r="K66" i="4"/>
  <c r="H66" i="4"/>
  <c r="G66" i="4"/>
  <c r="F66" i="4"/>
  <c r="R65" i="4"/>
  <c r="Q65" i="4"/>
  <c r="P65" i="4"/>
  <c r="M65" i="4"/>
  <c r="L65" i="4"/>
  <c r="K65" i="4"/>
  <c r="H65" i="4"/>
  <c r="G65" i="4"/>
  <c r="F65" i="4"/>
  <c r="R64" i="4"/>
  <c r="Q64" i="4"/>
  <c r="P64" i="4"/>
  <c r="M64" i="4"/>
  <c r="L64" i="4"/>
  <c r="K64" i="4"/>
  <c r="H64" i="4"/>
  <c r="G64" i="4"/>
  <c r="F64" i="4"/>
  <c r="R63" i="4"/>
  <c r="Q63" i="4"/>
  <c r="P63" i="4"/>
  <c r="M63" i="4"/>
  <c r="L63" i="4"/>
  <c r="K63" i="4"/>
  <c r="H63" i="4"/>
  <c r="G63" i="4"/>
  <c r="F63" i="4"/>
  <c r="R62" i="4"/>
  <c r="Q62" i="4"/>
  <c r="P62" i="4"/>
  <c r="M62" i="4"/>
  <c r="L62" i="4"/>
  <c r="K62" i="4"/>
  <c r="H62" i="4"/>
  <c r="G62" i="4"/>
  <c r="F62" i="4"/>
  <c r="R61" i="4"/>
  <c r="Q61" i="4"/>
  <c r="P61" i="4"/>
  <c r="M61" i="4"/>
  <c r="L61" i="4"/>
  <c r="K61" i="4"/>
  <c r="H61" i="4"/>
  <c r="G61" i="4"/>
  <c r="F61" i="4"/>
  <c r="R60" i="4"/>
  <c r="Q60" i="4"/>
  <c r="P60" i="4"/>
  <c r="M60" i="4"/>
  <c r="L60" i="4"/>
  <c r="K60" i="4"/>
  <c r="H60" i="4"/>
  <c r="G60" i="4"/>
  <c r="F60" i="4"/>
  <c r="R59" i="4"/>
  <c r="Q59" i="4"/>
  <c r="P59" i="4"/>
  <c r="M59" i="4"/>
  <c r="L59" i="4"/>
  <c r="K59" i="4"/>
  <c r="H59" i="4"/>
  <c r="G59" i="4"/>
  <c r="F59" i="4"/>
  <c r="R58" i="4"/>
  <c r="Q58" i="4"/>
  <c r="P58" i="4"/>
  <c r="M58" i="4"/>
  <c r="L58" i="4"/>
  <c r="K58" i="4"/>
  <c r="H58" i="4"/>
  <c r="G58" i="4"/>
  <c r="F58" i="4"/>
  <c r="R57" i="4"/>
  <c r="Q57" i="4"/>
  <c r="P57" i="4"/>
  <c r="M57" i="4"/>
  <c r="L57" i="4"/>
  <c r="K57" i="4"/>
  <c r="H57" i="4"/>
  <c r="G57" i="4"/>
  <c r="F57" i="4"/>
  <c r="R56" i="4"/>
  <c r="Q56" i="4"/>
  <c r="P56" i="4"/>
  <c r="M56" i="4"/>
  <c r="L56" i="4"/>
  <c r="K56" i="4"/>
  <c r="H56" i="4"/>
  <c r="G56" i="4"/>
  <c r="F56" i="4"/>
  <c r="R55" i="4"/>
  <c r="Q55" i="4"/>
  <c r="P55" i="4"/>
  <c r="M55" i="4"/>
  <c r="L55" i="4"/>
  <c r="K55" i="4"/>
  <c r="H55" i="4"/>
  <c r="G55" i="4"/>
  <c r="F55" i="4"/>
  <c r="R54" i="4"/>
  <c r="Q54" i="4"/>
  <c r="P54" i="4"/>
  <c r="M54" i="4"/>
  <c r="L54" i="4"/>
  <c r="K54" i="4"/>
  <c r="H54" i="4"/>
  <c r="G54" i="4"/>
  <c r="F54" i="4"/>
  <c r="R53" i="4"/>
  <c r="Q53" i="4"/>
  <c r="P53" i="4"/>
  <c r="M53" i="4"/>
  <c r="L53" i="4"/>
  <c r="K53" i="4"/>
  <c r="H53" i="4"/>
  <c r="G53" i="4"/>
  <c r="F53" i="4"/>
  <c r="R52" i="4"/>
  <c r="Q52" i="4"/>
  <c r="P52" i="4"/>
  <c r="M52" i="4"/>
  <c r="L52" i="4"/>
  <c r="K52" i="4"/>
  <c r="H52" i="4"/>
  <c r="G52" i="4"/>
  <c r="F52" i="4"/>
  <c r="R51" i="4"/>
  <c r="Q51" i="4"/>
  <c r="P51" i="4"/>
  <c r="M51" i="4"/>
  <c r="L51" i="4"/>
  <c r="K51" i="4"/>
  <c r="H51" i="4"/>
  <c r="G51" i="4"/>
  <c r="F51" i="4"/>
  <c r="R50" i="4"/>
  <c r="Q50" i="4"/>
  <c r="P50" i="4"/>
  <c r="M50" i="4"/>
  <c r="L50" i="4"/>
  <c r="K50" i="4"/>
  <c r="H50" i="4"/>
  <c r="G50" i="4"/>
  <c r="F50" i="4"/>
  <c r="R49" i="4"/>
  <c r="Q49" i="4"/>
  <c r="P49" i="4"/>
  <c r="M49" i="4"/>
  <c r="L49" i="4"/>
  <c r="K49" i="4"/>
  <c r="H49" i="4"/>
  <c r="G49" i="4"/>
  <c r="F49" i="4"/>
  <c r="R48" i="4"/>
  <c r="Q48" i="4"/>
  <c r="P48" i="4"/>
  <c r="M48" i="4"/>
  <c r="L48" i="4"/>
  <c r="K48" i="4"/>
  <c r="H48" i="4"/>
  <c r="G48" i="4"/>
  <c r="F48" i="4"/>
  <c r="R47" i="4"/>
  <c r="Q47" i="4"/>
  <c r="P47" i="4"/>
  <c r="M47" i="4"/>
  <c r="L47" i="4"/>
  <c r="K47" i="4"/>
  <c r="H47" i="4"/>
  <c r="G47" i="4"/>
  <c r="F47" i="4"/>
  <c r="R46" i="4"/>
  <c r="Q46" i="4"/>
  <c r="P46" i="4"/>
  <c r="M46" i="4"/>
  <c r="L46" i="4"/>
  <c r="K46" i="4"/>
  <c r="H46" i="4"/>
  <c r="G46" i="4"/>
  <c r="F46" i="4"/>
  <c r="R45" i="4"/>
  <c r="Q45" i="4"/>
  <c r="P45" i="4"/>
  <c r="M45" i="4"/>
  <c r="L45" i="4"/>
  <c r="K45" i="4"/>
  <c r="H45" i="4"/>
  <c r="G45" i="4"/>
  <c r="F45" i="4"/>
  <c r="R44" i="4"/>
  <c r="Q44" i="4"/>
  <c r="P44" i="4"/>
  <c r="M44" i="4"/>
  <c r="L44" i="4"/>
  <c r="K44" i="4"/>
  <c r="H44" i="4"/>
  <c r="G44" i="4"/>
  <c r="F44" i="4"/>
  <c r="R43" i="4"/>
  <c r="Q43" i="4"/>
  <c r="P43" i="4"/>
  <c r="M43" i="4"/>
  <c r="L43" i="4"/>
  <c r="K43" i="4"/>
  <c r="H43" i="4"/>
  <c r="G43" i="4"/>
  <c r="F43" i="4"/>
  <c r="R42" i="4"/>
  <c r="Q42" i="4"/>
  <c r="P42" i="4"/>
  <c r="M42" i="4"/>
  <c r="L42" i="4"/>
  <c r="K42" i="4"/>
  <c r="H42" i="4"/>
  <c r="G42" i="4"/>
  <c r="F42" i="4"/>
  <c r="R41" i="4"/>
  <c r="Q41" i="4"/>
  <c r="P41" i="4"/>
  <c r="M41" i="4"/>
  <c r="L41" i="4"/>
  <c r="K41" i="4"/>
  <c r="H41" i="4"/>
  <c r="G41" i="4"/>
  <c r="F41" i="4"/>
  <c r="R40" i="4"/>
  <c r="Q40" i="4"/>
  <c r="P40" i="4"/>
  <c r="M40" i="4"/>
  <c r="L40" i="4"/>
  <c r="K40" i="4"/>
  <c r="H40" i="4"/>
  <c r="G40" i="4"/>
  <c r="F40" i="4"/>
  <c r="R39" i="4"/>
  <c r="Q39" i="4"/>
  <c r="P39" i="4"/>
  <c r="M39" i="4"/>
  <c r="L39" i="4"/>
  <c r="K39" i="4"/>
  <c r="H39" i="4"/>
  <c r="G39" i="4"/>
  <c r="F39" i="4"/>
  <c r="R38" i="4"/>
  <c r="Q38" i="4"/>
  <c r="P38" i="4"/>
  <c r="M38" i="4"/>
  <c r="L38" i="4"/>
  <c r="K38" i="4"/>
  <c r="H38" i="4"/>
  <c r="G38" i="4"/>
  <c r="F38" i="4"/>
  <c r="R37" i="4"/>
  <c r="Q37" i="4"/>
  <c r="P37" i="4"/>
  <c r="M37" i="4"/>
  <c r="L37" i="4"/>
  <c r="K37" i="4"/>
  <c r="H37" i="4"/>
  <c r="G37" i="4"/>
  <c r="F37" i="4"/>
  <c r="R36" i="4"/>
  <c r="Q36" i="4"/>
  <c r="P36" i="4"/>
  <c r="M36" i="4"/>
  <c r="L36" i="4"/>
  <c r="K36" i="4"/>
  <c r="H36" i="4"/>
  <c r="G36" i="4"/>
  <c r="F36" i="4"/>
  <c r="R35" i="4"/>
  <c r="Q35" i="4"/>
  <c r="P35" i="4"/>
  <c r="M35" i="4"/>
  <c r="L35" i="4"/>
  <c r="K35" i="4"/>
  <c r="H35" i="4"/>
  <c r="G35" i="4"/>
  <c r="F35" i="4"/>
  <c r="R34" i="4"/>
  <c r="Q34" i="4"/>
  <c r="P34" i="4"/>
  <c r="M34" i="4"/>
  <c r="L34" i="4"/>
  <c r="K34" i="4"/>
  <c r="H34" i="4"/>
  <c r="G34" i="4"/>
  <c r="F34" i="4"/>
  <c r="R33" i="4"/>
  <c r="Q33" i="4"/>
  <c r="P33" i="4"/>
  <c r="M33" i="4"/>
  <c r="L33" i="4"/>
  <c r="K33" i="4"/>
  <c r="H33" i="4"/>
  <c r="G33" i="4"/>
  <c r="F33" i="4"/>
  <c r="R32" i="4"/>
  <c r="Q32" i="4"/>
  <c r="P32" i="4"/>
  <c r="M32" i="4"/>
  <c r="L32" i="4"/>
  <c r="K32" i="4"/>
  <c r="H32" i="4"/>
  <c r="G32" i="4"/>
  <c r="F32" i="4"/>
  <c r="R31" i="4"/>
  <c r="Q31" i="4"/>
  <c r="P31" i="4"/>
  <c r="M31" i="4"/>
  <c r="L31" i="4"/>
  <c r="K31" i="4"/>
  <c r="H31" i="4"/>
  <c r="G31" i="4"/>
  <c r="F31" i="4"/>
  <c r="R30" i="4"/>
  <c r="Q30" i="4"/>
  <c r="P30" i="4"/>
  <c r="M30" i="4"/>
  <c r="L30" i="4"/>
  <c r="K30" i="4"/>
  <c r="H30" i="4"/>
  <c r="G30" i="4"/>
  <c r="F30" i="4"/>
  <c r="R29" i="4"/>
  <c r="Q29" i="4"/>
  <c r="P29" i="4"/>
  <c r="M29" i="4"/>
  <c r="L29" i="4"/>
  <c r="K29" i="4"/>
  <c r="H29" i="4"/>
  <c r="G29" i="4"/>
  <c r="F29" i="4"/>
  <c r="R28" i="4"/>
  <c r="Q28" i="4"/>
  <c r="P28" i="4"/>
  <c r="M28" i="4"/>
  <c r="L28" i="4"/>
  <c r="K28" i="4"/>
  <c r="H28" i="4"/>
  <c r="G28" i="4"/>
  <c r="F28" i="4"/>
  <c r="R27" i="4"/>
  <c r="Q27" i="4"/>
  <c r="P27" i="4"/>
  <c r="M27" i="4"/>
  <c r="L27" i="4"/>
  <c r="K27" i="4"/>
  <c r="H27" i="4"/>
  <c r="G27" i="4"/>
  <c r="F27" i="4"/>
  <c r="R26" i="4"/>
  <c r="Q26" i="4"/>
  <c r="P26" i="4"/>
  <c r="M26" i="4"/>
  <c r="L26" i="4"/>
  <c r="K26" i="4"/>
  <c r="H26" i="4"/>
  <c r="G26" i="4"/>
  <c r="F26" i="4"/>
  <c r="R25" i="4"/>
  <c r="Q25" i="4"/>
  <c r="P25" i="4"/>
  <c r="M25" i="4"/>
  <c r="L25" i="4"/>
  <c r="K25" i="4"/>
  <c r="H25" i="4"/>
  <c r="G25" i="4"/>
  <c r="F25" i="4"/>
  <c r="R24" i="4"/>
  <c r="Q24" i="4"/>
  <c r="P24" i="4"/>
  <c r="M24" i="4"/>
  <c r="L24" i="4"/>
  <c r="K24" i="4"/>
  <c r="H24" i="4"/>
  <c r="G24" i="4"/>
  <c r="F24" i="4"/>
  <c r="R23" i="4"/>
  <c r="Q23" i="4"/>
  <c r="P23" i="4"/>
  <c r="M23" i="4"/>
  <c r="L23" i="4"/>
  <c r="K23" i="4"/>
  <c r="H23" i="4"/>
  <c r="G23" i="4"/>
  <c r="F23" i="4"/>
  <c r="R22" i="4"/>
  <c r="Q22" i="4"/>
  <c r="P22" i="4"/>
  <c r="M22" i="4"/>
  <c r="L22" i="4"/>
  <c r="K22" i="4"/>
  <c r="H22" i="4"/>
  <c r="G22" i="4"/>
  <c r="F22" i="4"/>
  <c r="R21" i="4"/>
  <c r="Q21" i="4"/>
  <c r="P21" i="4"/>
  <c r="M21" i="4"/>
  <c r="L21" i="4"/>
  <c r="K21" i="4"/>
  <c r="H21" i="4"/>
  <c r="G21" i="4"/>
  <c r="F21" i="4"/>
  <c r="R20" i="4"/>
  <c r="Q20" i="4"/>
  <c r="P20" i="4"/>
  <c r="M20" i="4"/>
  <c r="L20" i="4"/>
  <c r="K20" i="4"/>
  <c r="H20" i="4"/>
  <c r="G20" i="4"/>
  <c r="F20" i="4"/>
  <c r="R19" i="4"/>
  <c r="Q19" i="4"/>
  <c r="P19" i="4"/>
  <c r="M19" i="4"/>
  <c r="L19" i="4"/>
  <c r="K19" i="4"/>
  <c r="H19" i="4"/>
  <c r="G19" i="4"/>
  <c r="F19" i="4"/>
  <c r="R18" i="4"/>
  <c r="Q18" i="4"/>
  <c r="P18" i="4"/>
  <c r="M18" i="4"/>
  <c r="L18" i="4"/>
  <c r="K18" i="4"/>
  <c r="H18" i="4"/>
  <c r="G18" i="4"/>
  <c r="F18" i="4"/>
  <c r="R17" i="4"/>
  <c r="Q17" i="4"/>
  <c r="P17" i="4"/>
  <c r="M17" i="4"/>
  <c r="L17" i="4"/>
  <c r="K17" i="4"/>
  <c r="H17" i="4"/>
  <c r="G17" i="4"/>
  <c r="F17" i="4"/>
  <c r="R16" i="4"/>
  <c r="Q16" i="4"/>
  <c r="P16" i="4"/>
  <c r="M16" i="4"/>
  <c r="L16" i="4"/>
  <c r="K16" i="4"/>
  <c r="H16" i="4"/>
  <c r="G16" i="4"/>
  <c r="F16" i="4"/>
  <c r="R15" i="4"/>
  <c r="Q15" i="4"/>
  <c r="P15" i="4"/>
  <c r="M15" i="4"/>
  <c r="L15" i="4"/>
  <c r="K15" i="4"/>
  <c r="H15" i="4"/>
  <c r="G15" i="4"/>
  <c r="F15" i="4"/>
  <c r="R14" i="4"/>
  <c r="Q14" i="4"/>
  <c r="P14" i="4"/>
  <c r="M14" i="4"/>
  <c r="L14" i="4"/>
  <c r="K14" i="4"/>
  <c r="H14" i="4"/>
  <c r="G14" i="4"/>
  <c r="F14" i="4"/>
  <c r="R13" i="4"/>
  <c r="Q13" i="4"/>
  <c r="P13" i="4"/>
  <c r="M13" i="4"/>
  <c r="L13" i="4"/>
  <c r="K13" i="4"/>
  <c r="H13" i="4"/>
  <c r="G13" i="4"/>
  <c r="F13" i="4"/>
  <c r="R12" i="4"/>
  <c r="Q12" i="4"/>
  <c r="P12" i="4"/>
  <c r="M12" i="4"/>
  <c r="L12" i="4"/>
  <c r="K12" i="4"/>
  <c r="H12" i="4"/>
  <c r="G12" i="4"/>
  <c r="F12" i="4"/>
  <c r="R11" i="4"/>
  <c r="Q11" i="4"/>
  <c r="P11" i="4"/>
  <c r="M11" i="4"/>
  <c r="L11" i="4"/>
  <c r="K11" i="4"/>
  <c r="H11" i="4"/>
  <c r="G11" i="4"/>
  <c r="F11" i="4"/>
  <c r="R10" i="4"/>
  <c r="Q10" i="4"/>
  <c r="P10" i="4"/>
  <c r="M10" i="4"/>
  <c r="L10" i="4"/>
  <c r="K10" i="4"/>
  <c r="H10" i="4"/>
  <c r="G10" i="4"/>
  <c r="F10" i="4"/>
  <c r="R9" i="4"/>
  <c r="Q9" i="4"/>
  <c r="P9" i="4"/>
  <c r="M9" i="4"/>
  <c r="L9" i="4"/>
  <c r="K9" i="4"/>
  <c r="H9" i="4"/>
  <c r="G9" i="4"/>
  <c r="F9" i="4"/>
  <c r="R8" i="4"/>
  <c r="Q8" i="4"/>
  <c r="P8" i="4"/>
  <c r="M8" i="4"/>
  <c r="L8" i="4"/>
  <c r="K8" i="4"/>
  <c r="H8" i="4"/>
  <c r="G8" i="4"/>
  <c r="F8" i="4"/>
  <c r="R7" i="4"/>
  <c r="Q7" i="4"/>
  <c r="P7" i="4"/>
  <c r="M7" i="4"/>
  <c r="L7" i="4"/>
  <c r="K7" i="4"/>
  <c r="H7" i="4"/>
  <c r="G7" i="4"/>
  <c r="F7" i="4"/>
  <c r="R6" i="4"/>
  <c r="Q6" i="4"/>
  <c r="P6" i="4"/>
  <c r="M6" i="4"/>
  <c r="L6" i="4"/>
  <c r="K6" i="4"/>
  <c r="H6" i="4"/>
  <c r="G6" i="4"/>
  <c r="F6" i="4"/>
  <c r="R5" i="4"/>
  <c r="Q5" i="4"/>
  <c r="P5" i="4"/>
  <c r="M5" i="4"/>
  <c r="L5" i="4"/>
  <c r="K5" i="4"/>
  <c r="H5" i="4"/>
  <c r="G5" i="4"/>
  <c r="F5" i="4"/>
  <c r="H4" i="4"/>
  <c r="G4" i="4"/>
  <c r="A381" i="27"/>
  <c r="A380" i="27"/>
  <c r="A379" i="27"/>
  <c r="A378" i="27"/>
  <c r="A377" i="27"/>
  <c r="A376" i="27"/>
  <c r="A375" i="27"/>
  <c r="A374" i="27"/>
  <c r="A373" i="27"/>
  <c r="A372" i="27"/>
  <c r="A371" i="27"/>
  <c r="A370" i="27"/>
  <c r="A369" i="27"/>
  <c r="A368" i="27"/>
  <c r="A367" i="27"/>
  <c r="A366" i="27"/>
  <c r="A365" i="27"/>
  <c r="A364" i="27"/>
  <c r="A363" i="27"/>
  <c r="A362" i="27"/>
  <c r="A361" i="27"/>
  <c r="A360" i="27"/>
  <c r="A359" i="27"/>
  <c r="A358" i="27"/>
  <c r="A357" i="27"/>
  <c r="A356" i="27"/>
  <c r="A355" i="27"/>
  <c r="A354" i="27"/>
  <c r="A353" i="27"/>
  <c r="A352" i="27"/>
  <c r="A351" i="27"/>
  <c r="A350" i="27"/>
  <c r="A349" i="27"/>
  <c r="A348" i="27"/>
  <c r="A347" i="27"/>
  <c r="A346" i="27"/>
  <c r="A345" i="27"/>
  <c r="A344" i="27"/>
  <c r="A343" i="27"/>
  <c r="A342" i="27"/>
  <c r="A341" i="27"/>
  <c r="A340" i="27"/>
  <c r="A339" i="27"/>
  <c r="A338" i="27"/>
  <c r="A337" i="27"/>
  <c r="A336" i="27"/>
  <c r="A335" i="27"/>
  <c r="A334" i="27"/>
  <c r="A333" i="27"/>
  <c r="A332" i="27"/>
  <c r="A331" i="27"/>
  <c r="A330" i="27"/>
  <c r="A329" i="27"/>
  <c r="A328" i="27"/>
  <c r="A327" i="27"/>
  <c r="A326" i="27"/>
  <c r="A325" i="27"/>
  <c r="A324" i="27"/>
  <c r="A323" i="27"/>
  <c r="A322" i="27"/>
  <c r="A321" i="27"/>
  <c r="A320" i="27"/>
  <c r="A319" i="27"/>
  <c r="A318" i="27"/>
  <c r="A317" i="27"/>
  <c r="A316" i="27"/>
  <c r="A315" i="27"/>
  <c r="A314" i="27"/>
  <c r="A313" i="27"/>
  <c r="A312" i="27"/>
  <c r="A311" i="27"/>
  <c r="A310" i="27"/>
  <c r="A309" i="27"/>
  <c r="A308" i="27"/>
  <c r="A307" i="27"/>
  <c r="A306" i="27"/>
  <c r="A305" i="27"/>
  <c r="A304" i="27"/>
  <c r="A303" i="27"/>
  <c r="A302" i="27"/>
  <c r="A301" i="27"/>
  <c r="A300" i="27"/>
  <c r="A299" i="27"/>
  <c r="A298" i="27"/>
  <c r="A297" i="27"/>
  <c r="A296" i="27"/>
  <c r="A295" i="27"/>
  <c r="A294" i="27"/>
  <c r="A293" i="27"/>
  <c r="A292" i="27"/>
  <c r="A291" i="27"/>
  <c r="A290" i="27"/>
  <c r="A289" i="27"/>
  <c r="A288" i="27"/>
  <c r="A287" i="27"/>
  <c r="A286" i="27"/>
  <c r="A285" i="27"/>
  <c r="A284" i="27"/>
  <c r="A283" i="27"/>
  <c r="A282" i="27"/>
  <c r="A281" i="27"/>
  <c r="A280" i="27"/>
  <c r="A279" i="27"/>
  <c r="A278" i="27"/>
  <c r="A277" i="27"/>
  <c r="A276" i="27"/>
  <c r="A275" i="27"/>
  <c r="A274" i="27"/>
  <c r="A273" i="27"/>
  <c r="A272" i="27"/>
  <c r="A271" i="27"/>
  <c r="A270" i="27"/>
  <c r="A269" i="27"/>
  <c r="A268" i="27"/>
  <c r="A267" i="27"/>
  <c r="A266" i="27"/>
  <c r="A265" i="27"/>
  <c r="A264" i="27"/>
  <c r="A263" i="27"/>
  <c r="A262" i="27"/>
  <c r="A261" i="27"/>
  <c r="A260" i="27"/>
  <c r="A259" i="27"/>
  <c r="A258" i="27"/>
  <c r="A257" i="27"/>
  <c r="A256" i="27"/>
  <c r="A255" i="27"/>
  <c r="A254" i="27"/>
  <c r="A253" i="27"/>
  <c r="A252" i="27"/>
  <c r="A251" i="27"/>
  <c r="A250" i="27"/>
  <c r="A249" i="27"/>
  <c r="A248" i="27"/>
  <c r="A247" i="27"/>
  <c r="A246" i="27"/>
  <c r="A245" i="27"/>
  <c r="A244" i="27"/>
  <c r="A243" i="27"/>
  <c r="A242" i="27"/>
  <c r="A241" i="27"/>
  <c r="A240" i="27"/>
  <c r="A239" i="27"/>
  <c r="A238" i="27"/>
  <c r="A237" i="27"/>
  <c r="A236" i="27"/>
  <c r="A235" i="27"/>
  <c r="A234" i="27"/>
  <c r="A233" i="27"/>
  <c r="A232" i="27"/>
  <c r="A231" i="27"/>
  <c r="A230" i="27"/>
  <c r="A229" i="27"/>
  <c r="A228" i="27"/>
  <c r="A227" i="27"/>
  <c r="A226" i="27"/>
  <c r="A225" i="27"/>
  <c r="A224" i="27"/>
  <c r="A223" i="27"/>
  <c r="A222" i="27"/>
  <c r="A221" i="27"/>
  <c r="A220" i="27"/>
  <c r="A219" i="27"/>
  <c r="A218" i="27"/>
  <c r="A217" i="27"/>
  <c r="A216" i="27"/>
  <c r="A215" i="27"/>
  <c r="A214" i="27"/>
  <c r="A213" i="27"/>
  <c r="A212" i="27"/>
  <c r="A211" i="27"/>
  <c r="A210" i="27"/>
  <c r="A209" i="27"/>
  <c r="A208" i="27"/>
  <c r="A207" i="27"/>
  <c r="A206" i="27"/>
  <c r="A205" i="27"/>
  <c r="A204" i="27"/>
  <c r="A203" i="27"/>
  <c r="A202" i="27"/>
  <c r="A201" i="27"/>
  <c r="A200" i="27"/>
  <c r="A199" i="27"/>
  <c r="A198" i="27"/>
  <c r="A197" i="27"/>
  <c r="A196" i="27"/>
  <c r="A195" i="27"/>
  <c r="A194" i="27"/>
  <c r="A193" i="27"/>
  <c r="A192" i="27"/>
  <c r="A191" i="27"/>
  <c r="A190" i="27"/>
  <c r="A189" i="27"/>
  <c r="A188" i="27"/>
  <c r="A187" i="27"/>
  <c r="A186" i="27"/>
  <c r="A185" i="27"/>
  <c r="A184" i="27"/>
  <c r="A183" i="27"/>
  <c r="A182" i="27"/>
  <c r="A181" i="27"/>
  <c r="A180" i="27"/>
  <c r="A179" i="27"/>
  <c r="A178" i="27"/>
  <c r="A177" i="27"/>
  <c r="A176" i="27"/>
  <c r="A175" i="27"/>
  <c r="A174" i="27"/>
  <c r="A173" i="27"/>
  <c r="A172" i="27"/>
  <c r="A171" i="27"/>
  <c r="A170" i="27"/>
  <c r="A169" i="27"/>
  <c r="A168" i="27"/>
  <c r="A167" i="27"/>
  <c r="A166" i="27"/>
  <c r="A165" i="27"/>
  <c r="A164" i="27"/>
  <c r="A163" i="27"/>
  <c r="A162" i="27"/>
  <c r="A161" i="27"/>
  <c r="A160" i="27"/>
  <c r="A159" i="27"/>
  <c r="A158" i="27"/>
  <c r="A157" i="27"/>
  <c r="A156" i="27"/>
  <c r="A155" i="27"/>
  <c r="A154" i="27"/>
  <c r="A153" i="27"/>
  <c r="A152" i="27"/>
  <c r="A151" i="27"/>
  <c r="A150" i="27"/>
  <c r="A149" i="27"/>
  <c r="A148" i="27"/>
  <c r="A147" i="27"/>
  <c r="A146" i="27"/>
  <c r="A145" i="27"/>
  <c r="A144" i="27"/>
  <c r="A143" i="27"/>
  <c r="A142" i="27"/>
  <c r="A141" i="27"/>
  <c r="A140" i="27"/>
  <c r="A139" i="27"/>
  <c r="A138" i="27"/>
  <c r="A137" i="27"/>
  <c r="A136" i="27"/>
  <c r="A135" i="27"/>
  <c r="A134" i="27"/>
  <c r="A133" i="27"/>
  <c r="A132" i="27"/>
  <c r="A131" i="27"/>
  <c r="A130" i="27"/>
  <c r="A129" i="27"/>
  <c r="A128" i="27"/>
  <c r="A127" i="27"/>
  <c r="A126" i="27"/>
  <c r="A125" i="27"/>
  <c r="A124" i="27"/>
  <c r="A123" i="27"/>
  <c r="A122" i="27"/>
  <c r="A121" i="27"/>
  <c r="A120" i="27"/>
  <c r="A119" i="27"/>
  <c r="A118" i="27"/>
  <c r="A117" i="27"/>
  <c r="A116" i="27"/>
  <c r="A115" i="27"/>
  <c r="A114" i="27"/>
  <c r="A113" i="27"/>
  <c r="A112" i="27"/>
  <c r="A111" i="27"/>
  <c r="A110" i="27"/>
  <c r="A109" i="27"/>
  <c r="A108" i="27"/>
  <c r="A107" i="27"/>
  <c r="A106" i="27"/>
  <c r="A105" i="27"/>
  <c r="A104" i="27"/>
  <c r="A103" i="27"/>
  <c r="A102" i="27"/>
  <c r="A101" i="27"/>
  <c r="A100" i="27"/>
  <c r="A99" i="27"/>
  <c r="A98" i="27"/>
  <c r="A97" i="27"/>
  <c r="A96" i="27"/>
  <c r="A95" i="27"/>
  <c r="A94" i="27"/>
  <c r="A93" i="27"/>
  <c r="A92" i="27"/>
  <c r="A91" i="27"/>
  <c r="A90" i="27"/>
  <c r="A89" i="27"/>
  <c r="A88" i="27"/>
  <c r="A87" i="27"/>
  <c r="A86" i="27"/>
  <c r="A85" i="27"/>
  <c r="A84" i="27"/>
  <c r="A83" i="27"/>
  <c r="A82" i="27"/>
  <c r="A81" i="27"/>
  <c r="A80" i="27"/>
  <c r="A79" i="27"/>
  <c r="A78" i="27"/>
  <c r="A77" i="27"/>
  <c r="A76" i="27"/>
  <c r="A75" i="27"/>
  <c r="A74" i="27"/>
  <c r="A73" i="27"/>
  <c r="A72" i="27"/>
  <c r="A71" i="27"/>
  <c r="A70" i="27"/>
  <c r="A69" i="27"/>
  <c r="A68" i="27"/>
  <c r="A67" i="27"/>
  <c r="A66" i="27"/>
  <c r="A65" i="27"/>
  <c r="A64" i="27"/>
  <c r="A63" i="27"/>
  <c r="A62" i="27"/>
  <c r="A61" i="27"/>
  <c r="A60" i="27"/>
  <c r="A59" i="27"/>
  <c r="A58" i="27"/>
  <c r="A57" i="27"/>
  <c r="A56" i="27"/>
  <c r="A55" i="27"/>
  <c r="A54" i="27"/>
  <c r="A53" i="27"/>
  <c r="A52" i="27"/>
  <c r="A51" i="27"/>
  <c r="A50" i="27"/>
  <c r="A49" i="27"/>
  <c r="A48" i="27"/>
  <c r="A47" i="27"/>
  <c r="A46" i="27"/>
  <c r="A45" i="27"/>
  <c r="A44" i="27"/>
  <c r="A43" i="27"/>
  <c r="A42" i="27"/>
  <c r="A41" i="27"/>
  <c r="A40" i="27"/>
  <c r="A39" i="27"/>
  <c r="A38" i="27"/>
  <c r="A37" i="27"/>
  <c r="A36" i="27"/>
  <c r="A35" i="27"/>
  <c r="A34" i="27"/>
  <c r="A33" i="27"/>
  <c r="A32" i="27"/>
  <c r="A31" i="27"/>
  <c r="A30" i="27"/>
  <c r="A29" i="27"/>
  <c r="A28" i="27"/>
  <c r="A27" i="27"/>
  <c r="A26" i="27"/>
  <c r="A25" i="27"/>
  <c r="A24" i="27"/>
  <c r="A23" i="27"/>
  <c r="A22" i="27"/>
  <c r="A21" i="27"/>
  <c r="A20" i="27"/>
  <c r="A19" i="27"/>
  <c r="A18" i="27"/>
  <c r="A17" i="27"/>
  <c r="A16" i="27"/>
  <c r="A15" i="27"/>
  <c r="A14" i="27"/>
  <c r="A13" i="27"/>
  <c r="A12" i="27"/>
  <c r="A11" i="27"/>
  <c r="A10" i="27"/>
  <c r="A9" i="27"/>
  <c r="A8" i="27"/>
  <c r="A7" i="27"/>
  <c r="E7" i="54"/>
  <c r="C5" i="54"/>
  <c r="H48" i="36"/>
  <c r="J84" i="55"/>
  <c r="F26" i="41"/>
  <c r="E84" i="55"/>
  <c r="E59" i="48"/>
  <c r="L48" i="36"/>
  <c r="N49" i="38"/>
  <c r="G26" i="48"/>
  <c r="G41" i="48"/>
  <c r="F41" i="48"/>
  <c r="F31" i="49" s="1"/>
  <c r="N1326" i="4" a="1"/>
  <c r="N1326" i="4" s="1"/>
  <c r="K42" i="55"/>
  <c r="I48" i="55"/>
  <c r="K48" i="55" s="1"/>
  <c r="E52" i="48"/>
  <c r="E49" i="49" s="1"/>
  <c r="E43" i="49"/>
  <c r="E46" i="49"/>
  <c r="I17" i="57"/>
  <c r="I51" i="55"/>
  <c r="K51" i="55" s="1"/>
  <c r="F52" i="48"/>
  <c r="F49" i="49"/>
  <c r="F43" i="49"/>
  <c r="I74" i="12"/>
  <c r="I70" i="12" s="1"/>
  <c r="I115" i="12"/>
  <c r="I111" i="12" s="1"/>
  <c r="N1270" i="4" a="1"/>
  <c r="N1270" i="4" s="1"/>
  <c r="S1259" i="4" a="1"/>
  <c r="S1259" i="4" s="1"/>
  <c r="S1407" i="4" a="1"/>
  <c r="S1407" i="4" s="1"/>
  <c r="I1653" i="4" a="1"/>
  <c r="I1653" i="4" s="1"/>
  <c r="D24" i="39"/>
  <c r="D26" i="40"/>
  <c r="D57" i="40"/>
  <c r="D26" i="41"/>
  <c r="D37" i="41"/>
  <c r="D41" i="41"/>
  <c r="D46" i="41"/>
  <c r="D59" i="41"/>
  <c r="D39" i="46"/>
  <c r="D23" i="39"/>
  <c r="D18" i="40"/>
  <c r="D25" i="40"/>
  <c r="D28" i="40"/>
  <c r="D47" i="40"/>
  <c r="D60" i="40"/>
  <c r="D68" i="40"/>
  <c r="D22" i="41"/>
  <c r="D25" i="41"/>
  <c r="D28" i="41"/>
  <c r="D40" i="41"/>
  <c r="D58" i="41"/>
  <c r="D66" i="41"/>
  <c r="D23" i="43"/>
  <c r="D32" i="46"/>
  <c r="D42" i="46"/>
  <c r="D21" i="39"/>
  <c r="D25" i="39"/>
  <c r="D29" i="39"/>
  <c r="D23" i="40"/>
  <c r="D54" i="40"/>
  <c r="D62" i="40"/>
  <c r="D23" i="41"/>
  <c r="D38" i="41"/>
  <c r="D56" i="41"/>
  <c r="D64" i="41"/>
  <c r="D20" i="46"/>
  <c r="D24" i="46"/>
  <c r="D34" i="46"/>
  <c r="D65" i="40"/>
  <c r="D18" i="39"/>
  <c r="D26" i="39"/>
  <c r="D17" i="40"/>
  <c r="D27" i="40"/>
  <c r="D55" i="40"/>
  <c r="D18" i="41"/>
  <c r="D24" i="41"/>
  <c r="D39" i="41"/>
  <c r="D57" i="41"/>
  <c r="D65" i="41"/>
  <c r="D29" i="46"/>
  <c r="W883" i="2"/>
  <c r="W1244" i="2"/>
  <c r="W593" i="2"/>
  <c r="AB835" i="2"/>
  <c r="AB423" i="2"/>
  <c r="W277" i="2"/>
  <c r="AB341" i="2"/>
  <c r="AB231" i="2"/>
  <c r="W466" i="2"/>
  <c r="W322" i="2"/>
  <c r="W207" i="2"/>
  <c r="AB102" i="2"/>
  <c r="AB22" i="2"/>
  <c r="AB80" i="2"/>
  <c r="W26" i="2"/>
  <c r="E28" i="30"/>
  <c r="L16" i="14"/>
  <c r="E37" i="49"/>
  <c r="E38" i="49"/>
  <c r="E42" i="48"/>
  <c r="E17" i="49"/>
  <c r="I15" i="53"/>
  <c r="F26" i="49"/>
  <c r="E12" i="49"/>
  <c r="G42" i="48"/>
  <c r="E11" i="49"/>
  <c r="E15" i="49"/>
  <c r="E23" i="49"/>
  <c r="E14" i="49"/>
  <c r="E71" i="45"/>
  <c r="G71" i="45" s="1"/>
  <c r="G23" i="45" l="1"/>
  <c r="H23" i="45" s="1"/>
  <c r="N103" i="12"/>
  <c r="G114" i="12"/>
  <c r="N25" i="12"/>
  <c r="F114" i="12"/>
  <c r="N28" i="12"/>
  <c r="S714" i="4" a="1"/>
  <c r="S714" i="4" s="1"/>
  <c r="N1514" i="4" a="1"/>
  <c r="N1514" i="4" s="1"/>
  <c r="I1589" i="4" a="1"/>
  <c r="I1589" i="4" s="1"/>
  <c r="S1122" i="4" a="1"/>
  <c r="S1122" i="4" s="1"/>
  <c r="S1076" i="4" a="1"/>
  <c r="S1076" i="4" s="1"/>
  <c r="I1506" i="4" a="1"/>
  <c r="I1506" i="4" s="1"/>
  <c r="N986" i="4" a="1"/>
  <c r="N986" i="4" s="1"/>
  <c r="I1240" i="4" a="1"/>
  <c r="I1240" i="4" s="1"/>
  <c r="AF24" i="32"/>
  <c r="AF79" i="32" s="1"/>
  <c r="AE22" i="32"/>
  <c r="AE77" i="32" s="1"/>
  <c r="AF23" i="32"/>
  <c r="AF78" i="32" s="1"/>
  <c r="AE21" i="32"/>
  <c r="AE76" i="32" s="1"/>
  <c r="AF22" i="32"/>
  <c r="AF77" i="32" s="1"/>
  <c r="AE20" i="32"/>
  <c r="AE75" i="32" s="1"/>
  <c r="AF21" i="32"/>
  <c r="AF76" i="32" s="1"/>
  <c r="AE19" i="32"/>
  <c r="AE74" i="32" s="1"/>
  <c r="AF20" i="32"/>
  <c r="AF75" i="32" s="1"/>
  <c r="AE18" i="32"/>
  <c r="AE73" i="32" s="1"/>
  <c r="AE24" i="32"/>
  <c r="AE79" i="32" s="1"/>
  <c r="AE23" i="32"/>
  <c r="AE78" i="32" s="1"/>
  <c r="AF18" i="32"/>
  <c r="I1619" i="4" a="1"/>
  <c r="I1619" i="4" s="1"/>
  <c r="N1640" i="4" a="1"/>
  <c r="N1640" i="4" s="1"/>
  <c r="I1651" i="4" a="1"/>
  <c r="I1651" i="4" s="1"/>
  <c r="N1672" i="4" a="1"/>
  <c r="N1672" i="4" s="1"/>
  <c r="S1631" i="4" a="1"/>
  <c r="S1631" i="4" s="1"/>
  <c r="N1051" i="4" a="1"/>
  <c r="N1051" i="4" s="1"/>
  <c r="S1104" i="4" a="1"/>
  <c r="S1104" i="4" s="1"/>
  <c r="I1190" i="4" a="1"/>
  <c r="I1190" i="4" s="1"/>
  <c r="I1254" i="4" a="1"/>
  <c r="I1254" i="4" s="1"/>
  <c r="N1307" i="4" a="1"/>
  <c r="N1307" i="4" s="1"/>
  <c r="N1323" i="4" a="1"/>
  <c r="N1323" i="4" s="1"/>
  <c r="N1339" i="4" a="1"/>
  <c r="N1339" i="4" s="1"/>
  <c r="I1350" i="4" a="1"/>
  <c r="I1350" i="4" s="1"/>
  <c r="N1355" i="4" a="1"/>
  <c r="N1355" i="4" s="1"/>
  <c r="S1360" i="4" a="1"/>
  <c r="S1360" i="4" s="1"/>
  <c r="I1374" i="4" a="1"/>
  <c r="I1374" i="4" s="1"/>
  <c r="N1387" i="4" a="1"/>
  <c r="N1387" i="4" s="1"/>
  <c r="S1392" i="4" a="1"/>
  <c r="S1392" i="4" s="1"/>
  <c r="I1438" i="4" a="1"/>
  <c r="I1438" i="4" s="1"/>
  <c r="S1448" i="4" a="1"/>
  <c r="S1448" i="4" s="1"/>
  <c r="N1451" i="4" a="1"/>
  <c r="N1451" i="4" s="1"/>
  <c r="N1475" i="4" a="1"/>
  <c r="N1475" i="4" s="1"/>
  <c r="S1480" i="4" a="1"/>
  <c r="S1480" i="4" s="1"/>
  <c r="N1531" i="4" a="1"/>
  <c r="N1531" i="4" s="1"/>
  <c r="I1534" i="4" a="1"/>
  <c r="I1534" i="4" s="1"/>
  <c r="I1566" i="4" a="1"/>
  <c r="I1566" i="4" s="1"/>
  <c r="N1571" i="4" a="1"/>
  <c r="N1571" i="4" s="1"/>
  <c r="N1619" i="4" a="1"/>
  <c r="N1619" i="4" s="1"/>
  <c r="S1640" i="4" a="1"/>
  <c r="S1640" i="4" s="1"/>
  <c r="N1659" i="4" a="1"/>
  <c r="N1659" i="4" s="1"/>
  <c r="I1662" i="4" a="1"/>
  <c r="I1662" i="4" s="1"/>
  <c r="S1664" i="4" a="1"/>
  <c r="S1664" i="4" s="1"/>
  <c r="S917" i="4" a="1"/>
  <c r="S917" i="4" s="1"/>
  <c r="N928" i="4" a="1"/>
  <c r="N928" i="4" s="1"/>
  <c r="I971" i="4" a="1"/>
  <c r="I971" i="4" s="1"/>
  <c r="I1115" i="4" a="1"/>
  <c r="I1115" i="4" s="1"/>
  <c r="S1125" i="4" a="1"/>
  <c r="S1125" i="4" s="1"/>
  <c r="I1147" i="4" a="1"/>
  <c r="I1147" i="4" s="1"/>
  <c r="S1157" i="4" a="1"/>
  <c r="S1157" i="4" s="1"/>
  <c r="N1168" i="4" a="1"/>
  <c r="N1168" i="4" s="1"/>
  <c r="S1189" i="4" a="1"/>
  <c r="S1189" i="4" s="1"/>
  <c r="N1200" i="4" a="1"/>
  <c r="N1200" i="4" s="1"/>
  <c r="S1221" i="4" a="1"/>
  <c r="S1221" i="4" s="1"/>
  <c r="N1232" i="4" a="1"/>
  <c r="N1232" i="4" s="1"/>
  <c r="S1253" i="4" a="1"/>
  <c r="S1253" i="4" s="1"/>
  <c r="N1264" i="4" a="1"/>
  <c r="N1264" i="4" s="1"/>
  <c r="N1296" i="4" a="1"/>
  <c r="N1296" i="4" s="1"/>
  <c r="I1307" i="4" a="1"/>
  <c r="I1307" i="4" s="1"/>
  <c r="N1328" i="4" a="1"/>
  <c r="N1328" i="4" s="1"/>
  <c r="I1339" i="4" a="1"/>
  <c r="I1339" i="4" s="1"/>
  <c r="S1349" i="4" a="1"/>
  <c r="S1349" i="4" s="1"/>
  <c r="N1360" i="4" a="1"/>
  <c r="N1360" i="4" s="1"/>
  <c r="I1371" i="4" a="1"/>
  <c r="I1371" i="4" s="1"/>
  <c r="S1381" i="4" a="1"/>
  <c r="S1381" i="4" s="1"/>
  <c r="S1405" i="4" a="1"/>
  <c r="S1405" i="4" s="1"/>
  <c r="N1480" i="4" a="1"/>
  <c r="N1480" i="4" s="1"/>
  <c r="I1491" i="4" a="1"/>
  <c r="I1491" i="4" s="1"/>
  <c r="S1533" i="4" a="1"/>
  <c r="S1533" i="4" s="1"/>
  <c r="N1576" i="4" a="1"/>
  <c r="N1576" i="4" s="1"/>
  <c r="E114" i="12"/>
  <c r="S748" i="4" a="1"/>
  <c r="S748" i="4" s="1"/>
  <c r="I762" i="4" a="1"/>
  <c r="I762" i="4" s="1"/>
  <c r="S884" i="4" a="1"/>
  <c r="S884" i="4" s="1"/>
  <c r="I898" i="4" a="1"/>
  <c r="I898" i="4" s="1"/>
  <c r="I914" i="4" a="1"/>
  <c r="I914" i="4" s="1"/>
  <c r="N919" i="4" a="1"/>
  <c r="N919" i="4" s="1"/>
  <c r="S956" i="4" a="1"/>
  <c r="S956" i="4" s="1"/>
  <c r="S964" i="4" a="1"/>
  <c r="S964" i="4" s="1"/>
  <c r="I978" i="4" a="1"/>
  <c r="I978" i="4" s="1"/>
  <c r="S988" i="4" a="1"/>
  <c r="S988" i="4" s="1"/>
  <c r="S1012" i="4" a="1"/>
  <c r="S1012" i="4" s="1"/>
  <c r="N1023" i="4" a="1"/>
  <c r="N1023" i="4" s="1"/>
  <c r="N1071" i="4" a="1"/>
  <c r="N1071" i="4" s="1"/>
  <c r="I1074" i="4" a="1"/>
  <c r="I1074" i="4" s="1"/>
  <c r="N1079" i="4" a="1"/>
  <c r="N1079" i="4" s="1"/>
  <c r="N1111" i="4" a="1"/>
  <c r="N1111" i="4" s="1"/>
  <c r="S1124" i="4" a="1"/>
  <c r="S1124" i="4" s="1"/>
  <c r="S1132" i="4" a="1"/>
  <c r="S1132" i="4" s="1"/>
  <c r="N1135" i="4" a="1"/>
  <c r="N1135" i="4" s="1"/>
  <c r="N1151" i="4" a="1"/>
  <c r="N1151" i="4" s="1"/>
  <c r="I1154" i="4" a="1"/>
  <c r="I1154" i="4" s="1"/>
  <c r="S1156" i="4" a="1"/>
  <c r="S1156" i="4" s="1"/>
  <c r="N1159" i="4" a="1"/>
  <c r="N1159" i="4" s="1"/>
  <c r="S1164" i="4" a="1"/>
  <c r="S1164" i="4" s="1"/>
  <c r="N1167" i="4" a="1"/>
  <c r="N1167" i="4" s="1"/>
  <c r="S1172" i="4" a="1"/>
  <c r="S1172" i="4" s="1"/>
  <c r="I1178" i="4" a="1"/>
  <c r="I1178" i="4" s="1"/>
  <c r="S1180" i="4" a="1"/>
  <c r="S1180" i="4" s="1"/>
  <c r="N1183" i="4" a="1"/>
  <c r="N1183" i="4" s="1"/>
  <c r="I1186" i="4" a="1"/>
  <c r="I1186" i="4" s="1"/>
  <c r="S1188" i="4" a="1"/>
  <c r="S1188" i="4" s="1"/>
  <c r="N1191" i="4" a="1"/>
  <c r="N1191" i="4" s="1"/>
  <c r="S1196" i="4" a="1"/>
  <c r="S1196" i="4" s="1"/>
  <c r="N1199" i="4" a="1"/>
  <c r="N1199" i="4" s="1"/>
  <c r="I1210" i="4" a="1"/>
  <c r="I1210" i="4" s="1"/>
  <c r="N1215" i="4" a="1"/>
  <c r="N1215" i="4" s="1"/>
  <c r="I1218" i="4" a="1"/>
  <c r="I1218" i="4" s="1"/>
  <c r="S1220" i="4" a="1"/>
  <c r="S1220" i="4" s="1"/>
  <c r="N1223" i="4" a="1"/>
  <c r="N1223" i="4" s="1"/>
  <c r="N1231" i="4" a="1"/>
  <c r="N1231" i="4" s="1"/>
  <c r="I1234" i="4" a="1"/>
  <c r="I1234" i="4" s="1"/>
  <c r="S1236" i="4" a="1"/>
  <c r="S1236" i="4" s="1"/>
  <c r="N1239" i="4" a="1"/>
  <c r="N1239" i="4" s="1"/>
  <c r="S1244" i="4" a="1"/>
  <c r="S1244" i="4" s="1"/>
  <c r="N1247" i="4" a="1"/>
  <c r="N1247" i="4" s="1"/>
  <c r="I1250" i="4" a="1"/>
  <c r="I1250" i="4" s="1"/>
  <c r="N1255" i="4" a="1"/>
  <c r="N1255" i="4" s="1"/>
  <c r="N1263" i="4" a="1"/>
  <c r="N1263" i="4" s="1"/>
  <c r="I1266" i="4" a="1"/>
  <c r="I1266" i="4" s="1"/>
  <c r="S1268" i="4" a="1"/>
  <c r="S1268" i="4" s="1"/>
  <c r="N1271" i="4" a="1"/>
  <c r="N1271" i="4" s="1"/>
  <c r="I1274" i="4" a="1"/>
  <c r="I1274" i="4" s="1"/>
  <c r="S1276" i="4" a="1"/>
  <c r="S1276" i="4" s="1"/>
  <c r="N1279" i="4" a="1"/>
  <c r="N1279" i="4" s="1"/>
  <c r="S1284" i="4" a="1"/>
  <c r="S1284" i="4" s="1"/>
  <c r="N1295" i="4" a="1"/>
  <c r="N1295" i="4" s="1"/>
  <c r="S1300" i="4" a="1"/>
  <c r="S1300" i="4" s="1"/>
  <c r="N1303" i="4" a="1"/>
  <c r="N1303" i="4" s="1"/>
  <c r="I1306" i="4" a="1"/>
  <c r="I1306" i="4" s="1"/>
  <c r="N1311" i="4" a="1"/>
  <c r="N1311" i="4" s="1"/>
  <c r="I1322" i="4" a="1"/>
  <c r="I1322" i="4" s="1"/>
  <c r="S1324" i="4" a="1"/>
  <c r="S1324" i="4" s="1"/>
  <c r="I1330" i="4" a="1"/>
  <c r="I1330" i="4" s="1"/>
  <c r="I1338" i="4" a="1"/>
  <c r="I1338" i="4" s="1"/>
  <c r="I1346" i="4" a="1"/>
  <c r="I1346" i="4" s="1"/>
  <c r="S1348" i="4" a="1"/>
  <c r="S1348" i="4" s="1"/>
  <c r="N1351" i="4" a="1"/>
  <c r="N1351" i="4" s="1"/>
  <c r="I1354" i="4" a="1"/>
  <c r="I1354" i="4" s="1"/>
  <c r="S1356" i="4" a="1"/>
  <c r="S1356" i="4" s="1"/>
  <c r="N1359" i="4" a="1"/>
  <c r="N1359" i="4" s="1"/>
  <c r="I1362" i="4" a="1"/>
  <c r="I1362" i="4" s="1"/>
  <c r="S1364" i="4" a="1"/>
  <c r="S1364" i="4" s="1"/>
  <c r="N1367" i="4" a="1"/>
  <c r="N1367" i="4" s="1"/>
  <c r="I1370" i="4" a="1"/>
  <c r="I1370" i="4" s="1"/>
  <c r="S1372" i="4" a="1"/>
  <c r="S1372" i="4" s="1"/>
  <c r="N1375" i="4" a="1"/>
  <c r="N1375" i="4" s="1"/>
  <c r="S1380" i="4" a="1"/>
  <c r="S1380" i="4" s="1"/>
  <c r="S1388" i="4" a="1"/>
  <c r="S1388" i="4" s="1"/>
  <c r="N1391" i="4" a="1"/>
  <c r="N1391" i="4" s="1"/>
  <c r="I1394" i="4" a="1"/>
  <c r="I1394" i="4" s="1"/>
  <c r="S1396" i="4" a="1"/>
  <c r="S1396" i="4" s="1"/>
  <c r="I1402" i="4" a="1"/>
  <c r="I1402" i="4" s="1"/>
  <c r="S1404" i="4" a="1"/>
  <c r="S1404" i="4" s="1"/>
  <c r="S1412" i="4" a="1"/>
  <c r="S1412" i="4" s="1"/>
  <c r="S1420" i="4" a="1"/>
  <c r="S1420" i="4" s="1"/>
  <c r="I1426" i="4" a="1"/>
  <c r="I1426" i="4" s="1"/>
  <c r="S1428" i="4" a="1"/>
  <c r="S1428" i="4" s="1"/>
  <c r="N1431" i="4" a="1"/>
  <c r="N1431" i="4" s="1"/>
  <c r="I1442" i="4" a="1"/>
  <c r="I1442" i="4" s="1"/>
  <c r="S1444" i="4" a="1"/>
  <c r="S1444" i="4" s="1"/>
  <c r="N1447" i="4" a="1"/>
  <c r="N1447" i="4" s="1"/>
  <c r="I1450" i="4" a="1"/>
  <c r="I1450" i="4" s="1"/>
  <c r="S1452" i="4" a="1"/>
  <c r="S1452" i="4" s="1"/>
  <c r="N1463" i="4" a="1"/>
  <c r="N1463" i="4" s="1"/>
  <c r="I1474" i="4" a="1"/>
  <c r="I1474" i="4" s="1"/>
  <c r="S1484" i="4" a="1"/>
  <c r="S1484" i="4" s="1"/>
  <c r="N1487" i="4" a="1"/>
  <c r="N1487" i="4" s="1"/>
  <c r="I1490" i="4" a="1"/>
  <c r="I1490" i="4" s="1"/>
  <c r="S1492" i="4" a="1"/>
  <c r="S1492" i="4" s="1"/>
  <c r="I1514" i="4" a="1"/>
  <c r="I1514" i="4" s="1"/>
  <c r="S1516" i="4" a="1"/>
  <c r="S1516" i="4" s="1"/>
  <c r="N1519" i="4" a="1"/>
  <c r="N1519" i="4" s="1"/>
  <c r="S1524" i="4" a="1"/>
  <c r="S1524" i="4" s="1"/>
  <c r="N1527" i="4" a="1"/>
  <c r="N1527" i="4" s="1"/>
  <c r="I1530" i="4" a="1"/>
  <c r="I1530" i="4" s="1"/>
  <c r="S1532" i="4" a="1"/>
  <c r="S1532" i="4" s="1"/>
  <c r="N1535" i="4" a="1"/>
  <c r="N1535" i="4" s="1"/>
  <c r="N1543" i="4" a="1"/>
  <c r="N1543" i="4" s="1"/>
  <c r="I1546" i="4" a="1"/>
  <c r="I1546" i="4" s="1"/>
  <c r="S1548" i="4" a="1"/>
  <c r="S1548" i="4" s="1"/>
  <c r="N1551" i="4" a="1"/>
  <c r="N1551" i="4" s="1"/>
  <c r="S1556" i="4" a="1"/>
  <c r="S1556" i="4" s="1"/>
  <c r="N1559" i="4" a="1"/>
  <c r="N1559" i="4" s="1"/>
  <c r="I1562" i="4" a="1"/>
  <c r="I1562" i="4" s="1"/>
  <c r="S1564" i="4" a="1"/>
  <c r="S1564" i="4" s="1"/>
  <c r="N1567" i="4" a="1"/>
  <c r="N1567" i="4" s="1"/>
  <c r="I1570" i="4" a="1"/>
  <c r="I1570" i="4" s="1"/>
  <c r="N1575" i="4" a="1"/>
  <c r="N1575" i="4" s="1"/>
  <c r="S1580" i="4" a="1"/>
  <c r="S1580" i="4" s="1"/>
  <c r="I1586" i="4" a="1"/>
  <c r="I1586" i="4" s="1"/>
  <c r="S1588" i="4" a="1"/>
  <c r="S1588" i="4" s="1"/>
  <c r="N1591" i="4" a="1"/>
  <c r="N1591" i="4" s="1"/>
  <c r="I1594" i="4" a="1"/>
  <c r="I1594" i="4" s="1"/>
  <c r="I1602" i="4" a="1"/>
  <c r="I1602" i="4" s="1"/>
  <c r="I1610" i="4" a="1"/>
  <c r="I1610" i="4" s="1"/>
  <c r="S1612" i="4" a="1"/>
  <c r="S1612" i="4" s="1"/>
  <c r="N1615" i="4" a="1"/>
  <c r="N1615" i="4" s="1"/>
  <c r="I1618" i="4" a="1"/>
  <c r="I1618" i="4" s="1"/>
  <c r="S1620" i="4" a="1"/>
  <c r="S1620" i="4" s="1"/>
  <c r="N1623" i="4" a="1"/>
  <c r="N1623" i="4" s="1"/>
  <c r="I1626" i="4" a="1"/>
  <c r="I1626" i="4" s="1"/>
  <c r="S1628" i="4" a="1"/>
  <c r="S1628" i="4" s="1"/>
  <c r="N1631" i="4" a="1"/>
  <c r="N1631" i="4" s="1"/>
  <c r="I1634" i="4" a="1"/>
  <c r="I1634" i="4" s="1"/>
  <c r="S1636" i="4" a="1"/>
  <c r="S1636" i="4" s="1"/>
  <c r="N1639" i="4" a="1"/>
  <c r="N1639" i="4" s="1"/>
  <c r="I1642" i="4" a="1"/>
  <c r="I1642" i="4" s="1"/>
  <c r="I1658" i="4" a="1"/>
  <c r="I1658" i="4" s="1"/>
  <c r="S322" i="4" a="1"/>
  <c r="S322" i="4" s="1"/>
  <c r="I982" i="4" a="1"/>
  <c r="I982" i="4" s="1"/>
  <c r="I998" i="4" a="1"/>
  <c r="I998" i="4" s="1"/>
  <c r="S1008" i="4" a="1"/>
  <c r="S1008" i="4" s="1"/>
  <c r="I1014" i="4" a="1"/>
  <c r="I1014" i="4" s="1"/>
  <c r="N1018" i="4" a="1"/>
  <c r="N1018" i="4" s="1"/>
  <c r="N1019" i="4" a="1"/>
  <c r="N1019" i="4" s="1"/>
  <c r="I1062" i="4" a="1"/>
  <c r="I1062" i="4" s="1"/>
  <c r="N1083" i="4" a="1"/>
  <c r="N1083" i="4" s="1"/>
  <c r="S1103" i="4" a="1"/>
  <c r="S1103" i="4" s="1"/>
  <c r="N1107" i="4" a="1"/>
  <c r="N1107" i="4" s="1"/>
  <c r="I1126" i="4" a="1"/>
  <c r="I1126" i="4" s="1"/>
  <c r="N1131" i="4" a="1"/>
  <c r="N1131" i="4" s="1"/>
  <c r="S1136" i="4" a="1"/>
  <c r="S1136" i="4" s="1"/>
  <c r="N1155" i="4" a="1"/>
  <c r="N1155" i="4" s="1"/>
  <c r="S1168" i="4" a="1"/>
  <c r="S1168" i="4" s="1"/>
  <c r="N1179" i="4" a="1"/>
  <c r="N1179" i="4" s="1"/>
  <c r="N1219" i="4" a="1"/>
  <c r="N1219" i="4" s="1"/>
  <c r="I1222" i="4" a="1"/>
  <c r="I1222" i="4" s="1"/>
  <c r="S1223" i="4" a="1"/>
  <c r="S1223" i="4" s="1"/>
  <c r="S1232" i="4" a="1"/>
  <c r="S1232" i="4" s="1"/>
  <c r="I1270" i="4" a="1"/>
  <c r="I1270" i="4" s="1"/>
  <c r="N1275" i="4" a="1"/>
  <c r="N1275" i="4" s="1"/>
  <c r="S1296" i="4" a="1"/>
  <c r="S1296" i="4" s="1"/>
  <c r="I1301" i="4" a="1"/>
  <c r="I1301" i="4" s="1"/>
  <c r="F27" i="20"/>
  <c r="D33" i="48"/>
  <c r="D29" i="48" s="1"/>
  <c r="I1302" i="4" a="1"/>
  <c r="I1302" i="4" s="1"/>
  <c r="N747" i="4" a="1"/>
  <c r="N747" i="4" s="1"/>
  <c r="S760" i="4" a="1"/>
  <c r="S760" i="4" s="1"/>
  <c r="I790" i="4" a="1"/>
  <c r="I790" i="4" s="1"/>
  <c r="S800" i="4" a="1"/>
  <c r="S800" i="4" s="1"/>
  <c r="S808" i="4" a="1"/>
  <c r="S808" i="4" s="1"/>
  <c r="N875" i="4" a="1"/>
  <c r="N875" i="4" s="1"/>
  <c r="N883" i="4" a="1"/>
  <c r="N883" i="4" s="1"/>
  <c r="I886" i="4" a="1"/>
  <c r="I886" i="4" s="1"/>
  <c r="S904" i="4" a="1"/>
  <c r="S904" i="4" s="1"/>
  <c r="N907" i="4" a="1"/>
  <c r="N907" i="4" s="1"/>
  <c r="I918" i="4" a="1"/>
  <c r="I918" i="4" s="1"/>
  <c r="N947" i="4" a="1"/>
  <c r="N947" i="4" s="1"/>
  <c r="S960" i="4" a="1"/>
  <c r="S960" i="4" s="1"/>
  <c r="I1030" i="4" a="1"/>
  <c r="I1030" i="4" s="1"/>
  <c r="S1032" i="4" a="1"/>
  <c r="S1032" i="4" s="1"/>
  <c r="I1038" i="4" a="1"/>
  <c r="I1038" i="4" s="1"/>
  <c r="S1040" i="4" a="1"/>
  <c r="S1040" i="4" s="1"/>
  <c r="S1056" i="4" a="1"/>
  <c r="S1056" i="4" s="1"/>
  <c r="S1072" i="4" a="1"/>
  <c r="S1072" i="4" s="1"/>
  <c r="N1091" i="4" a="1"/>
  <c r="N1091" i="4" s="1"/>
  <c r="I1094" i="4" a="1"/>
  <c r="I1094" i="4" s="1"/>
  <c r="S1096" i="4" a="1"/>
  <c r="S1096" i="4" s="1"/>
  <c r="N1099" i="4" a="1"/>
  <c r="N1099" i="4" s="1"/>
  <c r="I1102" i="4" a="1"/>
  <c r="I1102" i="4" s="1"/>
  <c r="S1112" i="4" a="1"/>
  <c r="S1112" i="4" s="1"/>
  <c r="N1115" i="4" a="1"/>
  <c r="N1115" i="4" s="1"/>
  <c r="S1144" i="4" a="1"/>
  <c r="S1144" i="4" s="1"/>
  <c r="N1147" i="4" a="1"/>
  <c r="N1147" i="4" s="1"/>
  <c r="I1150" i="4" a="1"/>
  <c r="I1150" i="4" s="1"/>
  <c r="S1152" i="4" a="1"/>
  <c r="S1152" i="4" s="1"/>
  <c r="I1158" i="4" a="1"/>
  <c r="I1158" i="4" s="1"/>
  <c r="N1171" i="4" a="1"/>
  <c r="N1171" i="4" s="1"/>
  <c r="I1174" i="4" a="1"/>
  <c r="I1174" i="4" s="1"/>
  <c r="S1176" i="4" a="1"/>
  <c r="S1176" i="4" s="1"/>
  <c r="I1182" i="4" a="1"/>
  <c r="I1182" i="4" s="1"/>
  <c r="S1184" i="4" a="1"/>
  <c r="S1184" i="4" s="1"/>
  <c r="N1187" i="4" a="1"/>
  <c r="N1187" i="4" s="1"/>
  <c r="I1198" i="4" a="1"/>
  <c r="I1198" i="4" s="1"/>
  <c r="S1200" i="4" a="1"/>
  <c r="S1200" i="4" s="1"/>
  <c r="S1208" i="4" a="1"/>
  <c r="S1208" i="4" s="1"/>
  <c r="N1211" i="4" a="1"/>
  <c r="N1211" i="4" s="1"/>
  <c r="I1214" i="4" a="1"/>
  <c r="I1214" i="4" s="1"/>
  <c r="S1216" i="4" a="1"/>
  <c r="S1216" i="4" s="1"/>
  <c r="N1227" i="4" a="1"/>
  <c r="N1227" i="4" s="1"/>
  <c r="I1230" i="4" a="1"/>
  <c r="I1230" i="4" s="1"/>
  <c r="N1235" i="4" a="1"/>
  <c r="N1235" i="4" s="1"/>
  <c r="I1238" i="4" a="1"/>
  <c r="I1238" i="4" s="1"/>
  <c r="N1243" i="4" a="1"/>
  <c r="N1243" i="4" s="1"/>
  <c r="I1246" i="4" a="1"/>
  <c r="I1246" i="4" s="1"/>
  <c r="S1248" i="4" a="1"/>
  <c r="S1248" i="4" s="1"/>
  <c r="N1251" i="4" a="1"/>
  <c r="N1251" i="4" s="1"/>
  <c r="N1259" i="4" a="1"/>
  <c r="N1259" i="4" s="1"/>
  <c r="I1262" i="4" a="1"/>
  <c r="I1262" i="4" s="1"/>
  <c r="S1264" i="4" a="1"/>
  <c r="S1264" i="4" s="1"/>
  <c r="N1267" i="4" a="1"/>
  <c r="N1267" i="4" s="1"/>
  <c r="S1280" i="4" a="1"/>
  <c r="S1280" i="4" s="1"/>
  <c r="N1283" i="4" a="1"/>
  <c r="N1283" i="4" s="1"/>
  <c r="I1286" i="4" a="1"/>
  <c r="I1286" i="4" s="1"/>
  <c r="N1291" i="4" a="1"/>
  <c r="N1291" i="4" s="1"/>
  <c r="I1294" i="4" a="1"/>
  <c r="I1294" i="4" s="1"/>
  <c r="N1299" i="4" a="1"/>
  <c r="N1299" i="4" s="1"/>
  <c r="S1304" i="4" a="1"/>
  <c r="S1304" i="4" s="1"/>
  <c r="I1318" i="4" a="1"/>
  <c r="I1318" i="4" s="1"/>
  <c r="S1320" i="4" a="1"/>
  <c r="S1320" i="4" s="1"/>
  <c r="S1328" i="4" a="1"/>
  <c r="S1328" i="4" s="1"/>
  <c r="I1334" i="4" a="1"/>
  <c r="I1334" i="4" s="1"/>
  <c r="S1336" i="4" a="1"/>
  <c r="S1336" i="4" s="1"/>
  <c r="S1344" i="4" a="1"/>
  <c r="S1344" i="4" s="1"/>
  <c r="N1347" i="4" a="1"/>
  <c r="N1347" i="4" s="1"/>
  <c r="S1352" i="4" a="1"/>
  <c r="S1352" i="4" s="1"/>
  <c r="I1358" i="4" a="1"/>
  <c r="I1358" i="4" s="1"/>
  <c r="N1363" i="4" a="1"/>
  <c r="N1363" i="4" s="1"/>
  <c r="I1366" i="4" a="1"/>
  <c r="I1366" i="4" s="1"/>
  <c r="N1371" i="4" a="1"/>
  <c r="N1371" i="4" s="1"/>
  <c r="N1379" i="4" a="1"/>
  <c r="N1379" i="4" s="1"/>
  <c r="I1382" i="4" a="1"/>
  <c r="I1382" i="4" s="1"/>
  <c r="S1384" i="4" a="1"/>
  <c r="S1384" i="4" s="1"/>
  <c r="I1390" i="4" a="1"/>
  <c r="I1390" i="4" s="1"/>
  <c r="S1400" i="4" a="1"/>
  <c r="S1400" i="4" s="1"/>
  <c r="N1403" i="4" a="1"/>
  <c r="N1403" i="4" s="1"/>
  <c r="N1411" i="4" a="1"/>
  <c r="N1411" i="4" s="1"/>
  <c r="I1414" i="4" a="1"/>
  <c r="I1414" i="4" s="1"/>
  <c r="N1419" i="4" a="1"/>
  <c r="N1419" i="4" s="1"/>
  <c r="S1432" i="4" a="1"/>
  <c r="S1432" i="4" s="1"/>
  <c r="N1435" i="4" a="1"/>
  <c r="N1435" i="4" s="1"/>
  <c r="N1443" i="4" a="1"/>
  <c r="N1443" i="4" s="1"/>
  <c r="I1446" i="4" a="1"/>
  <c r="I1446" i="4" s="1"/>
  <c r="I1454" i="4" a="1"/>
  <c r="I1454" i="4" s="1"/>
  <c r="S1456" i="4" a="1"/>
  <c r="S1456" i="4" s="1"/>
  <c r="S1464" i="4" a="1"/>
  <c r="S1464" i="4" s="1"/>
  <c r="N1467" i="4" a="1"/>
  <c r="N1467" i="4" s="1"/>
  <c r="S1472" i="4" a="1"/>
  <c r="S1472" i="4" s="1"/>
  <c r="I1478" i="4" a="1"/>
  <c r="I1478" i="4" s="1"/>
  <c r="N1483" i="4" a="1"/>
  <c r="N1483" i="4" s="1"/>
  <c r="I1486" i="4" a="1"/>
  <c r="I1486" i="4" s="1"/>
  <c r="S1488" i="4" a="1"/>
  <c r="S1488" i="4" s="1"/>
  <c r="N1491" i="4" a="1"/>
  <c r="N1491" i="4" s="1"/>
  <c r="I1494" i="4" a="1"/>
  <c r="I1494" i="4" s="1"/>
  <c r="S1496" i="4" a="1"/>
  <c r="S1496" i="4" s="1"/>
  <c r="N1499" i="4" a="1"/>
  <c r="N1499" i="4" s="1"/>
  <c r="I1502" i="4" a="1"/>
  <c r="I1502" i="4" s="1"/>
  <c r="I1518" i="4" a="1"/>
  <c r="I1518" i="4" s="1"/>
  <c r="S1520" i="4" a="1"/>
  <c r="S1520" i="4" s="1"/>
  <c r="N1523" i="4" a="1"/>
  <c r="N1523" i="4" s="1"/>
  <c r="S1528" i="4" a="1"/>
  <c r="S1528" i="4" s="1"/>
  <c r="S1536" i="4" a="1"/>
  <c r="S1536" i="4" s="1"/>
  <c r="I1550" i="4" a="1"/>
  <c r="I1550" i="4" s="1"/>
  <c r="S1552" i="4" a="1"/>
  <c r="S1552" i="4" s="1"/>
  <c r="N1555" i="4" a="1"/>
  <c r="N1555" i="4" s="1"/>
  <c r="S1560" i="4" a="1"/>
  <c r="S1560" i="4" s="1"/>
  <c r="N1563" i="4" a="1"/>
  <c r="N1563" i="4" s="1"/>
  <c r="S1568" i="4" a="1"/>
  <c r="S1568" i="4" s="1"/>
  <c r="I1574" i="4" a="1"/>
  <c r="I1574" i="4" s="1"/>
  <c r="S1576" i="4" a="1"/>
  <c r="S1576" i="4" s="1"/>
  <c r="N1579" i="4" a="1"/>
  <c r="N1579" i="4" s="1"/>
  <c r="I1582" i="4" a="1"/>
  <c r="I1582" i="4" s="1"/>
  <c r="S1584" i="4" a="1"/>
  <c r="S1584" i="4" s="1"/>
  <c r="S1592" i="4" a="1"/>
  <c r="S1592" i="4" s="1"/>
  <c r="N1595" i="4" a="1"/>
  <c r="N1595" i="4" s="1"/>
  <c r="I1598" i="4" a="1"/>
  <c r="I1598" i="4" s="1"/>
  <c r="S1600" i="4" a="1"/>
  <c r="S1600" i="4" s="1"/>
  <c r="N1603" i="4" a="1"/>
  <c r="N1603" i="4" s="1"/>
  <c r="I1606" i="4" a="1"/>
  <c r="I1606" i="4" s="1"/>
  <c r="S1608" i="4" a="1"/>
  <c r="S1608" i="4" s="1"/>
  <c r="I1614" i="4" a="1"/>
  <c r="I1614" i="4" s="1"/>
  <c r="S1616" i="4" a="1"/>
  <c r="S1616" i="4" s="1"/>
  <c r="I1622" i="4" a="1"/>
  <c r="I1622" i="4" s="1"/>
  <c r="S1624" i="4" a="1"/>
  <c r="S1624" i="4" s="1"/>
  <c r="N1627" i="4" a="1"/>
  <c r="N1627" i="4" s="1"/>
  <c r="I1630" i="4" a="1"/>
  <c r="I1630" i="4" s="1"/>
  <c r="S1632" i="4" a="1"/>
  <c r="S1632" i="4" s="1"/>
  <c r="N1635" i="4" a="1"/>
  <c r="N1635" i="4" s="1"/>
  <c r="I1678" i="4" a="1"/>
  <c r="I1678" i="4" s="1"/>
  <c r="D5" i="67"/>
  <c r="E5" i="68"/>
  <c r="N1643" i="4" a="1"/>
  <c r="N1643" i="4" s="1"/>
  <c r="S1644" i="4" a="1"/>
  <c r="S1644" i="4" s="1"/>
  <c r="I1646" i="4" a="1"/>
  <c r="I1646" i="4" s="1"/>
  <c r="N1647" i="4" a="1"/>
  <c r="N1647" i="4" s="1"/>
  <c r="S1648" i="4" a="1"/>
  <c r="S1648" i="4" s="1"/>
  <c r="I1650" i="4" a="1"/>
  <c r="I1650" i="4" s="1"/>
  <c r="N1651" i="4" a="1"/>
  <c r="N1651" i="4" s="1"/>
  <c r="S1652" i="4" a="1"/>
  <c r="S1652" i="4" s="1"/>
  <c r="I1654" i="4" a="1"/>
  <c r="I1654" i="4" s="1"/>
  <c r="N1655" i="4" a="1"/>
  <c r="N1655" i="4" s="1"/>
  <c r="S1656" i="4" a="1"/>
  <c r="S1656" i="4" s="1"/>
  <c r="S1660" i="4" a="1"/>
  <c r="S1660" i="4" s="1"/>
  <c r="N1663" i="4" a="1"/>
  <c r="N1663" i="4" s="1"/>
  <c r="I1666" i="4" a="1"/>
  <c r="I1666" i="4" s="1"/>
  <c r="N1667" i="4" a="1"/>
  <c r="N1667" i="4" s="1"/>
  <c r="S1668" i="4" a="1"/>
  <c r="S1668" i="4" s="1"/>
  <c r="I1670" i="4" a="1"/>
  <c r="I1670" i="4" s="1"/>
  <c r="N1671" i="4" a="1"/>
  <c r="N1671" i="4" s="1"/>
  <c r="S1672" i="4" a="1"/>
  <c r="S1672" i="4" s="1"/>
  <c r="I1674" i="4" a="1"/>
  <c r="I1674" i="4" s="1"/>
  <c r="N1675" i="4" a="1"/>
  <c r="N1675" i="4" s="1"/>
  <c r="S1676" i="4" a="1"/>
  <c r="S1676" i="4" s="1"/>
  <c r="S370" i="4" a="1"/>
  <c r="S370" i="4" s="1"/>
  <c r="S402" i="4" a="1"/>
  <c r="S402" i="4" s="1"/>
  <c r="S474" i="4" a="1"/>
  <c r="S474" i="4" s="1"/>
  <c r="F43" i="48"/>
  <c r="J9" i="53"/>
  <c r="F10" i="49"/>
  <c r="F12" i="49"/>
  <c r="F13" i="49"/>
  <c r="F22" i="49"/>
  <c r="F18" i="49"/>
  <c r="F19" i="49"/>
  <c r="F29" i="49"/>
  <c r="F28" i="30"/>
  <c r="H26" i="30"/>
  <c r="H28" i="30" s="1"/>
  <c r="D33" i="57" s="1"/>
  <c r="F20" i="40"/>
  <c r="F20" i="41"/>
  <c r="I64" i="55"/>
  <c r="K64" i="55" s="1"/>
  <c r="F82" i="55"/>
  <c r="F84" i="55" s="1"/>
  <c r="E73" i="37"/>
  <c r="I73" i="37" s="1"/>
  <c r="M64" i="36"/>
  <c r="E81" i="37" s="1"/>
  <c r="F41" i="45"/>
  <c r="F44" i="45" s="1"/>
  <c r="F47" i="45" s="1"/>
  <c r="E78" i="44"/>
  <c r="I29" i="57" s="1"/>
  <c r="E21" i="49"/>
  <c r="E20" i="49"/>
  <c r="E19" i="49"/>
  <c r="E18" i="49"/>
  <c r="E36" i="49"/>
  <c r="E29" i="49"/>
  <c r="E30" i="49"/>
  <c r="F50" i="49"/>
  <c r="F59" i="48"/>
  <c r="E10" i="49"/>
  <c r="E31" i="49"/>
  <c r="F50" i="12"/>
  <c r="F34" i="49"/>
  <c r="F27" i="49"/>
  <c r="I61" i="55"/>
  <c r="K61" i="55" s="1"/>
  <c r="L82" i="55" s="1"/>
  <c r="F117" i="12"/>
  <c r="S66" i="4" a="1"/>
  <c r="S66" i="4" s="1"/>
  <c r="S162" i="4" a="1"/>
  <c r="S162" i="4" s="1"/>
  <c r="N237" i="4" a="1"/>
  <c r="N237" i="4" s="1"/>
  <c r="I528" i="4" a="1"/>
  <c r="I528" i="4" s="1"/>
  <c r="G43" i="48"/>
  <c r="N360" i="4" a="1"/>
  <c r="N360" i="4" s="1"/>
  <c r="S361" i="4" a="1"/>
  <c r="S361" i="4" s="1"/>
  <c r="I363" i="4" a="1"/>
  <c r="I363" i="4" s="1"/>
  <c r="N364" i="4" a="1"/>
  <c r="N364" i="4" s="1"/>
  <c r="S365" i="4" a="1"/>
  <c r="S365" i="4" s="1"/>
  <c r="I367" i="4" a="1"/>
  <c r="I367" i="4" s="1"/>
  <c r="N368" i="4" a="1"/>
  <c r="N368" i="4" s="1"/>
  <c r="S369" i="4" a="1"/>
  <c r="S369" i="4" s="1"/>
  <c r="I371" i="4" a="1"/>
  <c r="I371" i="4" s="1"/>
  <c r="N372" i="4" a="1"/>
  <c r="N372" i="4" s="1"/>
  <c r="S373" i="4" a="1"/>
  <c r="S373" i="4" s="1"/>
  <c r="I375" i="4" a="1"/>
  <c r="I375" i="4" s="1"/>
  <c r="N376" i="4" a="1"/>
  <c r="N376" i="4" s="1"/>
  <c r="S377" i="4" a="1"/>
  <c r="S377" i="4" s="1"/>
  <c r="I379" i="4" a="1"/>
  <c r="I379" i="4" s="1"/>
  <c r="N380" i="4" a="1"/>
  <c r="N380" i="4" s="1"/>
  <c r="S381" i="4" a="1"/>
  <c r="S381" i="4" s="1"/>
  <c r="I383" i="4" a="1"/>
  <c r="I383" i="4" s="1"/>
  <c r="N384" i="4" a="1"/>
  <c r="N384" i="4" s="1"/>
  <c r="S385" i="4" a="1"/>
  <c r="S385" i="4" s="1"/>
  <c r="I387" i="4" a="1"/>
  <c r="I387" i="4" s="1"/>
  <c r="N388" i="4" a="1"/>
  <c r="N388" i="4" s="1"/>
  <c r="S389" i="4" a="1"/>
  <c r="S389" i="4" s="1"/>
  <c r="I391" i="4" a="1"/>
  <c r="I391" i="4" s="1"/>
  <c r="N392" i="4" a="1"/>
  <c r="N392" i="4" s="1"/>
  <c r="S393" i="4" a="1"/>
  <c r="S393" i="4" s="1"/>
  <c r="I395" i="4" a="1"/>
  <c r="I395" i="4" s="1"/>
  <c r="N396" i="4" a="1"/>
  <c r="N396" i="4" s="1"/>
  <c r="S397" i="4" a="1"/>
  <c r="S397" i="4" s="1"/>
  <c r="I399" i="4" a="1"/>
  <c r="I399" i="4" s="1"/>
  <c r="N400" i="4" a="1"/>
  <c r="N400" i="4" s="1"/>
  <c r="S401" i="4" a="1"/>
  <c r="S401" i="4" s="1"/>
  <c r="I403" i="4" a="1"/>
  <c r="I403" i="4" s="1"/>
  <c r="N404" i="4" a="1"/>
  <c r="N404" i="4" s="1"/>
  <c r="S405" i="4" a="1"/>
  <c r="S405" i="4" s="1"/>
  <c r="I407" i="4" a="1"/>
  <c r="I407" i="4" s="1"/>
  <c r="N408" i="4" a="1"/>
  <c r="N408" i="4" s="1"/>
  <c r="S409" i="4" a="1"/>
  <c r="S409" i="4" s="1"/>
  <c r="I411" i="4" a="1"/>
  <c r="I411" i="4" s="1"/>
  <c r="N412" i="4" a="1"/>
  <c r="N412" i="4" s="1"/>
  <c r="S413" i="4" a="1"/>
  <c r="S413" i="4" s="1"/>
  <c r="I415" i="4" a="1"/>
  <c r="I415" i="4" s="1"/>
  <c r="N416" i="4" a="1"/>
  <c r="N416" i="4" s="1"/>
  <c r="S417" i="4" a="1"/>
  <c r="S417" i="4" s="1"/>
  <c r="I419" i="4" a="1"/>
  <c r="I419" i="4" s="1"/>
  <c r="N420" i="4" a="1"/>
  <c r="N420" i="4" s="1"/>
  <c r="S421" i="4" a="1"/>
  <c r="S421" i="4" s="1"/>
  <c r="I423" i="4" a="1"/>
  <c r="I423" i="4" s="1"/>
  <c r="N424" i="4" a="1"/>
  <c r="N424" i="4" s="1"/>
  <c r="S425" i="4" a="1"/>
  <c r="S425" i="4" s="1"/>
  <c r="I427" i="4" a="1"/>
  <c r="I427" i="4" s="1"/>
  <c r="N428" i="4" a="1"/>
  <c r="N428" i="4" s="1"/>
  <c r="S429" i="4" a="1"/>
  <c r="S429" i="4" s="1"/>
  <c r="I431" i="4" a="1"/>
  <c r="I431" i="4" s="1"/>
  <c r="N432" i="4" a="1"/>
  <c r="N432" i="4" s="1"/>
  <c r="S433" i="4" a="1"/>
  <c r="S433" i="4" s="1"/>
  <c r="I435" i="4" a="1"/>
  <c r="I435" i="4" s="1"/>
  <c r="N436" i="4" a="1"/>
  <c r="N436" i="4" s="1"/>
  <c r="S437" i="4" a="1"/>
  <c r="S437" i="4" s="1"/>
  <c r="I439" i="4" a="1"/>
  <c r="I439" i="4" s="1"/>
  <c r="N440" i="4" a="1"/>
  <c r="N440" i="4" s="1"/>
  <c r="S441" i="4" a="1"/>
  <c r="S441" i="4" s="1"/>
  <c r="I443" i="4" a="1"/>
  <c r="I443" i="4" s="1"/>
  <c r="N444" i="4" a="1"/>
  <c r="N444" i="4" s="1"/>
  <c r="S445" i="4" a="1"/>
  <c r="S445" i="4" s="1"/>
  <c r="I447" i="4" a="1"/>
  <c r="I447" i="4" s="1"/>
  <c r="N448" i="4" a="1"/>
  <c r="N448" i="4" s="1"/>
  <c r="S449" i="4" a="1"/>
  <c r="S449" i="4" s="1"/>
  <c r="I451" i="4" a="1"/>
  <c r="I451" i="4" s="1"/>
  <c r="N452" i="4" a="1"/>
  <c r="N452" i="4" s="1"/>
  <c r="S453" i="4" a="1"/>
  <c r="S453" i="4" s="1"/>
  <c r="I455" i="4" a="1"/>
  <c r="I455" i="4" s="1"/>
  <c r="N456" i="4" a="1"/>
  <c r="N456" i="4" s="1"/>
  <c r="S457" i="4" a="1"/>
  <c r="S457" i="4" s="1"/>
  <c r="I459" i="4" a="1"/>
  <c r="I459" i="4" s="1"/>
  <c r="N460" i="4" a="1"/>
  <c r="N460" i="4" s="1"/>
  <c r="S461" i="4" a="1"/>
  <c r="S461" i="4" s="1"/>
  <c r="I463" i="4" a="1"/>
  <c r="I463" i="4" s="1"/>
  <c r="N464" i="4" a="1"/>
  <c r="N464" i="4" s="1"/>
  <c r="S465" i="4" a="1"/>
  <c r="S465" i="4" s="1"/>
  <c r="I467" i="4" a="1"/>
  <c r="I467" i="4" s="1"/>
  <c r="N468" i="4" a="1"/>
  <c r="N468" i="4" s="1"/>
  <c r="S469" i="4" a="1"/>
  <c r="S469" i="4" s="1"/>
  <c r="I471" i="4" a="1"/>
  <c r="I471" i="4" s="1"/>
  <c r="N472" i="4" a="1"/>
  <c r="N472" i="4" s="1"/>
  <c r="S473" i="4" a="1"/>
  <c r="S473" i="4" s="1"/>
  <c r="I475" i="4" a="1"/>
  <c r="I475" i="4" s="1"/>
  <c r="N476" i="4" a="1"/>
  <c r="N476" i="4" s="1"/>
  <c r="S477" i="4" a="1"/>
  <c r="S477" i="4" s="1"/>
  <c r="I479" i="4" a="1"/>
  <c r="I479" i="4" s="1"/>
  <c r="N480" i="4" a="1"/>
  <c r="N480" i="4" s="1"/>
  <c r="S481" i="4" a="1"/>
  <c r="S481" i="4" s="1"/>
  <c r="I483" i="4" a="1"/>
  <c r="I483" i="4" s="1"/>
  <c r="N484" i="4" a="1"/>
  <c r="N484" i="4" s="1"/>
  <c r="S485" i="4" a="1"/>
  <c r="S485" i="4" s="1"/>
  <c r="I487" i="4" a="1"/>
  <c r="I487" i="4" s="1"/>
  <c r="N488" i="4" a="1"/>
  <c r="N488" i="4" s="1"/>
  <c r="S489" i="4" a="1"/>
  <c r="S489" i="4" s="1"/>
  <c r="I491" i="4" a="1"/>
  <c r="I491" i="4" s="1"/>
  <c r="N492" i="4" a="1"/>
  <c r="N492" i="4" s="1"/>
  <c r="S493" i="4" a="1"/>
  <c r="S493" i="4" s="1"/>
  <c r="I495" i="4" a="1"/>
  <c r="I495" i="4" s="1"/>
  <c r="N496" i="4" a="1"/>
  <c r="N496" i="4" s="1"/>
  <c r="S497" i="4" a="1"/>
  <c r="S497" i="4" s="1"/>
  <c r="I499" i="4" a="1"/>
  <c r="I499" i="4" s="1"/>
  <c r="N500" i="4" a="1"/>
  <c r="N500" i="4" s="1"/>
  <c r="S501" i="4" a="1"/>
  <c r="S501" i="4" s="1"/>
  <c r="I503" i="4" a="1"/>
  <c r="I503" i="4" s="1"/>
  <c r="N504" i="4" a="1"/>
  <c r="N504" i="4" s="1"/>
  <c r="S505" i="4" a="1"/>
  <c r="S505" i="4" s="1"/>
  <c r="I507" i="4" a="1"/>
  <c r="I507" i="4" s="1"/>
  <c r="N508" i="4" a="1"/>
  <c r="N508" i="4" s="1"/>
  <c r="S509" i="4" a="1"/>
  <c r="S509" i="4" s="1"/>
  <c r="I511" i="4" a="1"/>
  <c r="I511" i="4" s="1"/>
  <c r="N512" i="4" a="1"/>
  <c r="N512" i="4" s="1"/>
  <c r="S513" i="4" a="1"/>
  <c r="S513" i="4" s="1"/>
  <c r="I515" i="4" a="1"/>
  <c r="I515" i="4" s="1"/>
  <c r="N516" i="4" a="1"/>
  <c r="N516" i="4" s="1"/>
  <c r="S517" i="4" a="1"/>
  <c r="S517" i="4" s="1"/>
  <c r="I519" i="4" a="1"/>
  <c r="I519" i="4" s="1"/>
  <c r="N520" i="4" a="1"/>
  <c r="N520" i="4" s="1"/>
  <c r="S521" i="4" a="1"/>
  <c r="S521" i="4" s="1"/>
  <c r="I523" i="4" a="1"/>
  <c r="I523" i="4" s="1"/>
  <c r="N524" i="4" a="1"/>
  <c r="N524" i="4" s="1"/>
  <c r="S525" i="4" a="1"/>
  <c r="S525" i="4" s="1"/>
  <c r="I527" i="4" a="1"/>
  <c r="I527" i="4" s="1"/>
  <c r="N528" i="4" a="1"/>
  <c r="N528" i="4" s="1"/>
  <c r="S529" i="4" a="1"/>
  <c r="S529" i="4" s="1"/>
  <c r="I531" i="4" a="1"/>
  <c r="I531" i="4" s="1"/>
  <c r="N532" i="4" a="1"/>
  <c r="N532" i="4" s="1"/>
  <c r="S533" i="4" a="1"/>
  <c r="S533" i="4" s="1"/>
  <c r="I535" i="4" a="1"/>
  <c r="I535" i="4" s="1"/>
  <c r="N536" i="4" a="1"/>
  <c r="N536" i="4" s="1"/>
  <c r="S537" i="4" a="1"/>
  <c r="S537" i="4" s="1"/>
  <c r="I539" i="4" a="1"/>
  <c r="I539" i="4" s="1"/>
  <c r="N540" i="4" a="1"/>
  <c r="N540" i="4" s="1"/>
  <c r="S541" i="4" a="1"/>
  <c r="S541" i="4" s="1"/>
  <c r="I543" i="4" a="1"/>
  <c r="I543" i="4" s="1"/>
  <c r="N544" i="4" a="1"/>
  <c r="N544" i="4" s="1"/>
  <c r="S545" i="4" a="1"/>
  <c r="S545" i="4" s="1"/>
  <c r="I547" i="4" a="1"/>
  <c r="I547" i="4" s="1"/>
  <c r="N548" i="4" a="1"/>
  <c r="N548" i="4" s="1"/>
  <c r="S549" i="4" a="1"/>
  <c r="S549" i="4" s="1"/>
  <c r="I551" i="4" a="1"/>
  <c r="I551" i="4" s="1"/>
  <c r="N552" i="4" a="1"/>
  <c r="N552" i="4" s="1"/>
  <c r="S553" i="4" a="1"/>
  <c r="S553" i="4" s="1"/>
  <c r="I555" i="4" a="1"/>
  <c r="I555" i="4" s="1"/>
  <c r="N556" i="4" a="1"/>
  <c r="N556" i="4" s="1"/>
  <c r="S557" i="4" a="1"/>
  <c r="S557" i="4" s="1"/>
  <c r="I559" i="4" a="1"/>
  <c r="I559" i="4" s="1"/>
  <c r="N560" i="4" a="1"/>
  <c r="N560" i="4" s="1"/>
  <c r="S561" i="4" a="1"/>
  <c r="S561" i="4" s="1"/>
  <c r="I563" i="4" a="1"/>
  <c r="I563" i="4" s="1"/>
  <c r="N564" i="4" a="1"/>
  <c r="N564" i="4" s="1"/>
  <c r="S565" i="4" a="1"/>
  <c r="S565" i="4" s="1"/>
  <c r="I567" i="4" a="1"/>
  <c r="I567" i="4" s="1"/>
  <c r="N568" i="4" a="1"/>
  <c r="N568" i="4" s="1"/>
  <c r="S569" i="4" a="1"/>
  <c r="S569" i="4" s="1"/>
  <c r="I571" i="4" a="1"/>
  <c r="I571" i="4" s="1"/>
  <c r="N572" i="4" a="1"/>
  <c r="N572" i="4" s="1"/>
  <c r="S573" i="4" a="1"/>
  <c r="S573" i="4" s="1"/>
  <c r="I575" i="4" a="1"/>
  <c r="I575" i="4" s="1"/>
  <c r="N576" i="4" a="1"/>
  <c r="N576" i="4" s="1"/>
  <c r="S577" i="4" a="1"/>
  <c r="S577" i="4" s="1"/>
  <c r="I579" i="4" a="1"/>
  <c r="I579" i="4" s="1"/>
  <c r="N580" i="4" a="1"/>
  <c r="N580" i="4" s="1"/>
  <c r="S581" i="4" a="1"/>
  <c r="S581" i="4" s="1"/>
  <c r="I583" i="4" a="1"/>
  <c r="I583" i="4" s="1"/>
  <c r="N584" i="4" a="1"/>
  <c r="N584" i="4" s="1"/>
  <c r="S585" i="4" a="1"/>
  <c r="S585" i="4" s="1"/>
  <c r="I587" i="4" a="1"/>
  <c r="I587" i="4" s="1"/>
  <c r="N588" i="4" a="1"/>
  <c r="N588" i="4" s="1"/>
  <c r="S589" i="4" a="1"/>
  <c r="S589" i="4" s="1"/>
  <c r="I591" i="4" a="1"/>
  <c r="I591" i="4" s="1"/>
  <c r="N592" i="4" a="1"/>
  <c r="N592" i="4" s="1"/>
  <c r="S593" i="4" a="1"/>
  <c r="S593" i="4" s="1"/>
  <c r="I595" i="4" a="1"/>
  <c r="I595" i="4" s="1"/>
  <c r="N596" i="4" a="1"/>
  <c r="N596" i="4" s="1"/>
  <c r="S597" i="4" a="1"/>
  <c r="S597" i="4" s="1"/>
  <c r="I599" i="4" a="1"/>
  <c r="I599" i="4" s="1"/>
  <c r="N600" i="4" a="1"/>
  <c r="N600" i="4" s="1"/>
  <c r="S601" i="4" a="1"/>
  <c r="S601" i="4" s="1"/>
  <c r="I603" i="4" a="1"/>
  <c r="I603" i="4" s="1"/>
  <c r="N604" i="4" a="1"/>
  <c r="N604" i="4" s="1"/>
  <c r="S605" i="4" a="1"/>
  <c r="S605" i="4" s="1"/>
  <c r="I607" i="4" a="1"/>
  <c r="I607" i="4" s="1"/>
  <c r="N608" i="4" a="1"/>
  <c r="N608" i="4" s="1"/>
  <c r="S609" i="4" a="1"/>
  <c r="S609" i="4" s="1"/>
  <c r="I611" i="4" a="1"/>
  <c r="I611" i="4" s="1"/>
  <c r="N612" i="4" a="1"/>
  <c r="N612" i="4" s="1"/>
  <c r="S613" i="4" a="1"/>
  <c r="S613" i="4" s="1"/>
  <c r="I615" i="4" a="1"/>
  <c r="I615" i="4" s="1"/>
  <c r="N616" i="4" a="1"/>
  <c r="N616" i="4" s="1"/>
  <c r="S617" i="4" a="1"/>
  <c r="S617" i="4" s="1"/>
  <c r="I619" i="4" a="1"/>
  <c r="I619" i="4" s="1"/>
  <c r="N620" i="4" a="1"/>
  <c r="N620" i="4" s="1"/>
  <c r="S621" i="4" a="1"/>
  <c r="S621" i="4" s="1"/>
  <c r="I623" i="4" a="1"/>
  <c r="I623" i="4" s="1"/>
  <c r="N624" i="4" a="1"/>
  <c r="N624" i="4" s="1"/>
  <c r="S625" i="4" a="1"/>
  <c r="S625" i="4" s="1"/>
  <c r="I627" i="4" a="1"/>
  <c r="I627" i="4" s="1"/>
  <c r="N628" i="4" a="1"/>
  <c r="N628" i="4" s="1"/>
  <c r="S629" i="4" a="1"/>
  <c r="S629" i="4" s="1"/>
  <c r="I631" i="4" a="1"/>
  <c r="I631" i="4" s="1"/>
  <c r="N632" i="4" a="1"/>
  <c r="N632" i="4" s="1"/>
  <c r="S633" i="4" a="1"/>
  <c r="S633" i="4" s="1"/>
  <c r="I635" i="4" a="1"/>
  <c r="I635" i="4" s="1"/>
  <c r="N636" i="4" a="1"/>
  <c r="N636" i="4" s="1"/>
  <c r="S637" i="4" a="1"/>
  <c r="S637" i="4" s="1"/>
  <c r="I639" i="4" a="1"/>
  <c r="I639" i="4" s="1"/>
  <c r="N640" i="4" a="1"/>
  <c r="N640" i="4" s="1"/>
  <c r="S641" i="4" a="1"/>
  <c r="S641" i="4" s="1"/>
  <c r="I643" i="4" a="1"/>
  <c r="I643" i="4" s="1"/>
  <c r="N644" i="4" a="1"/>
  <c r="N644" i="4" s="1"/>
  <c r="S645" i="4" a="1"/>
  <c r="S645" i="4" s="1"/>
  <c r="I647" i="4" a="1"/>
  <c r="I647" i="4" s="1"/>
  <c r="N648" i="4" a="1"/>
  <c r="N648" i="4" s="1"/>
  <c r="N59" i="4" a="1"/>
  <c r="N59" i="4" s="1"/>
  <c r="S144" i="4" a="1"/>
  <c r="S144" i="4" s="1"/>
  <c r="I170" i="4" a="1"/>
  <c r="I170" i="4" s="1"/>
  <c r="N175" i="4" a="1"/>
  <c r="N175" i="4" s="1"/>
  <c r="S240" i="4" a="1"/>
  <c r="S240" i="4" s="1"/>
  <c r="I326" i="4" a="1"/>
  <c r="I326" i="4" s="1"/>
  <c r="S360" i="4" a="1"/>
  <c r="S360" i="4" s="1"/>
  <c r="I362" i="4" a="1"/>
  <c r="I362" i="4" s="1"/>
  <c r="N363" i="4" a="1"/>
  <c r="N363" i="4" s="1"/>
  <c r="S364" i="4" a="1"/>
  <c r="S364" i="4" s="1"/>
  <c r="I366" i="4" a="1"/>
  <c r="I366" i="4" s="1"/>
  <c r="N367" i="4" a="1"/>
  <c r="N367" i="4" s="1"/>
  <c r="S368" i="4" a="1"/>
  <c r="S368" i="4" s="1"/>
  <c r="I370" i="4" a="1"/>
  <c r="I370" i="4" s="1"/>
  <c r="N371" i="4" a="1"/>
  <c r="N371" i="4" s="1"/>
  <c r="S372" i="4" a="1"/>
  <c r="S372" i="4" s="1"/>
  <c r="I374" i="4" a="1"/>
  <c r="I374" i="4" s="1"/>
  <c r="N375" i="4" a="1"/>
  <c r="N375" i="4" s="1"/>
  <c r="S376" i="4" a="1"/>
  <c r="S376" i="4" s="1"/>
  <c r="I378" i="4" a="1"/>
  <c r="I378" i="4" s="1"/>
  <c r="N379" i="4" a="1"/>
  <c r="N379" i="4" s="1"/>
  <c r="S380" i="4" a="1"/>
  <c r="S380" i="4" s="1"/>
  <c r="I382" i="4" a="1"/>
  <c r="I382" i="4" s="1"/>
  <c r="N383" i="4" a="1"/>
  <c r="N383" i="4" s="1"/>
  <c r="S384" i="4" a="1"/>
  <c r="S384" i="4" s="1"/>
  <c r="I386" i="4" a="1"/>
  <c r="I386" i="4" s="1"/>
  <c r="N387" i="4" a="1"/>
  <c r="N387" i="4" s="1"/>
  <c r="S388" i="4" a="1"/>
  <c r="S388" i="4" s="1"/>
  <c r="I390" i="4" a="1"/>
  <c r="I390" i="4" s="1"/>
  <c r="N391" i="4" a="1"/>
  <c r="N391" i="4" s="1"/>
  <c r="S392" i="4" a="1"/>
  <c r="S392" i="4" s="1"/>
  <c r="I394" i="4" a="1"/>
  <c r="I394" i="4" s="1"/>
  <c r="N395" i="4" a="1"/>
  <c r="N395" i="4" s="1"/>
  <c r="S396" i="4" a="1"/>
  <c r="S396" i="4" s="1"/>
  <c r="I398" i="4" a="1"/>
  <c r="I398" i="4" s="1"/>
  <c r="S649" i="4" a="1"/>
  <c r="S649" i="4" s="1"/>
  <c r="I651" i="4" a="1"/>
  <c r="I651" i="4" s="1"/>
  <c r="N652" i="4" a="1"/>
  <c r="N652" i="4" s="1"/>
  <c r="S653" i="4" a="1"/>
  <c r="S653" i="4" s="1"/>
  <c r="I655" i="4" a="1"/>
  <c r="I655" i="4" s="1"/>
  <c r="N656" i="4" a="1"/>
  <c r="N656" i="4" s="1"/>
  <c r="S657" i="4" a="1"/>
  <c r="S657" i="4" s="1"/>
  <c r="I659" i="4" a="1"/>
  <c r="I659" i="4" s="1"/>
  <c r="N660" i="4" a="1"/>
  <c r="N660" i="4" s="1"/>
  <c r="S661" i="4" a="1"/>
  <c r="S661" i="4" s="1"/>
  <c r="I663" i="4" a="1"/>
  <c r="I663" i="4" s="1"/>
  <c r="N664" i="4" a="1"/>
  <c r="N664" i="4" s="1"/>
  <c r="S665" i="4" a="1"/>
  <c r="S665" i="4" s="1"/>
  <c r="I667" i="4" a="1"/>
  <c r="I667" i="4" s="1"/>
  <c r="N668" i="4" a="1"/>
  <c r="N668" i="4" s="1"/>
  <c r="S669" i="4" a="1"/>
  <c r="S669" i="4" s="1"/>
  <c r="I671" i="4" a="1"/>
  <c r="I671" i="4" s="1"/>
  <c r="N672" i="4" a="1"/>
  <c r="N672" i="4" s="1"/>
  <c r="S673" i="4" a="1"/>
  <c r="S673" i="4" s="1"/>
  <c r="I675" i="4" a="1"/>
  <c r="I675" i="4" s="1"/>
  <c r="N676" i="4" a="1"/>
  <c r="N676" i="4" s="1"/>
  <c r="S677" i="4" a="1"/>
  <c r="S677" i="4" s="1"/>
  <c r="I679" i="4" a="1"/>
  <c r="I679" i="4" s="1"/>
  <c r="N680" i="4" a="1"/>
  <c r="N680" i="4" s="1"/>
  <c r="S681" i="4" a="1"/>
  <c r="S681" i="4" s="1"/>
  <c r="I683" i="4" a="1"/>
  <c r="I683" i="4" s="1"/>
  <c r="N684" i="4" a="1"/>
  <c r="N684" i="4" s="1"/>
  <c r="S685" i="4" a="1"/>
  <c r="S685" i="4" s="1"/>
  <c r="I687" i="4" a="1"/>
  <c r="I687" i="4" s="1"/>
  <c r="N688" i="4" a="1"/>
  <c r="N688" i="4" s="1"/>
  <c r="S689" i="4" a="1"/>
  <c r="S689" i="4" s="1"/>
  <c r="I691" i="4" a="1"/>
  <c r="I691" i="4" s="1"/>
  <c r="N692" i="4" a="1"/>
  <c r="N692" i="4" s="1"/>
  <c r="S693" i="4" a="1"/>
  <c r="S693" i="4" s="1"/>
  <c r="I695" i="4" a="1"/>
  <c r="I695" i="4" s="1"/>
  <c r="N696" i="4" a="1"/>
  <c r="N696" i="4" s="1"/>
  <c r="S697" i="4" a="1"/>
  <c r="S697" i="4" s="1"/>
  <c r="I699" i="4" a="1"/>
  <c r="I699" i="4" s="1"/>
  <c r="N700" i="4" a="1"/>
  <c r="N700" i="4" s="1"/>
  <c r="S701" i="4" a="1"/>
  <c r="S701" i="4" s="1"/>
  <c r="I703" i="4" a="1"/>
  <c r="I703" i="4" s="1"/>
  <c r="N704" i="4" a="1"/>
  <c r="N704" i="4" s="1"/>
  <c r="S705" i="4" a="1"/>
  <c r="S705" i="4" s="1"/>
  <c r="I707" i="4" a="1"/>
  <c r="I707" i="4" s="1"/>
  <c r="N708" i="4" a="1"/>
  <c r="N708" i="4" s="1"/>
  <c r="S709" i="4" a="1"/>
  <c r="S709" i="4" s="1"/>
  <c r="I711" i="4" a="1"/>
  <c r="I711" i="4" s="1"/>
  <c r="N712" i="4" a="1"/>
  <c r="N712" i="4" s="1"/>
  <c r="S713" i="4" a="1"/>
  <c r="S713" i="4" s="1"/>
  <c r="I715" i="4" a="1"/>
  <c r="I715" i="4" s="1"/>
  <c r="N716" i="4" a="1"/>
  <c r="N716" i="4" s="1"/>
  <c r="S717" i="4" a="1"/>
  <c r="S717" i="4" s="1"/>
  <c r="I719" i="4" a="1"/>
  <c r="I719" i="4" s="1"/>
  <c r="N720" i="4" a="1"/>
  <c r="N720" i="4" s="1"/>
  <c r="S721" i="4" a="1"/>
  <c r="S721" i="4" s="1"/>
  <c r="I723" i="4" a="1"/>
  <c r="I723" i="4" s="1"/>
  <c r="N724" i="4" a="1"/>
  <c r="N724" i="4" s="1"/>
  <c r="S725" i="4" a="1"/>
  <c r="S725" i="4" s="1"/>
  <c r="I727" i="4" a="1"/>
  <c r="I727" i="4" s="1"/>
  <c r="N728" i="4" a="1"/>
  <c r="N728" i="4" s="1"/>
  <c r="S729" i="4" a="1"/>
  <c r="S729" i="4" s="1"/>
  <c r="I731" i="4" a="1"/>
  <c r="I731" i="4" s="1"/>
  <c r="N732" i="4" a="1"/>
  <c r="N732" i="4" s="1"/>
  <c r="S733" i="4" a="1"/>
  <c r="S733" i="4" s="1"/>
  <c r="I735" i="4" a="1"/>
  <c r="I735" i="4" s="1"/>
  <c r="N736" i="4" a="1"/>
  <c r="N736" i="4" s="1"/>
  <c r="S737" i="4" a="1"/>
  <c r="S737" i="4" s="1"/>
  <c r="I739" i="4" a="1"/>
  <c r="I739" i="4" s="1"/>
  <c r="N740" i="4" a="1"/>
  <c r="N740" i="4" s="1"/>
  <c r="S741" i="4" a="1"/>
  <c r="S741" i="4" s="1"/>
  <c r="I743" i="4" a="1"/>
  <c r="I743" i="4" s="1"/>
  <c r="N744" i="4" a="1"/>
  <c r="N744" i="4" s="1"/>
  <c r="S745" i="4" a="1"/>
  <c r="S745" i="4" s="1"/>
  <c r="I747" i="4" a="1"/>
  <c r="I747" i="4" s="1"/>
  <c r="N748" i="4" a="1"/>
  <c r="N748" i="4" s="1"/>
  <c r="S749" i="4" a="1"/>
  <c r="S749" i="4" s="1"/>
  <c r="I751" i="4" a="1"/>
  <c r="I751" i="4" s="1"/>
  <c r="N752" i="4" a="1"/>
  <c r="N752" i="4" s="1"/>
  <c r="S753" i="4" a="1"/>
  <c r="S753" i="4" s="1"/>
  <c r="I755" i="4" a="1"/>
  <c r="I755" i="4" s="1"/>
  <c r="N756" i="4" a="1"/>
  <c r="N756" i="4" s="1"/>
  <c r="S757" i="4" a="1"/>
  <c r="S757" i="4" s="1"/>
  <c r="I759" i="4" a="1"/>
  <c r="I759" i="4" s="1"/>
  <c r="N760" i="4" a="1"/>
  <c r="N760" i="4" s="1"/>
  <c r="S761" i="4" a="1"/>
  <c r="S761" i="4" s="1"/>
  <c r="I763" i="4" a="1"/>
  <c r="I763" i="4" s="1"/>
  <c r="N764" i="4" a="1"/>
  <c r="N764" i="4" s="1"/>
  <c r="S765" i="4" a="1"/>
  <c r="S765" i="4" s="1"/>
  <c r="I767" i="4" a="1"/>
  <c r="I767" i="4" s="1"/>
  <c r="N768" i="4" a="1"/>
  <c r="N768" i="4" s="1"/>
  <c r="S769" i="4" a="1"/>
  <c r="S769" i="4" s="1"/>
  <c r="I771" i="4" a="1"/>
  <c r="I771" i="4" s="1"/>
  <c r="N772" i="4" a="1"/>
  <c r="N772" i="4" s="1"/>
  <c r="S773" i="4" a="1"/>
  <c r="S773" i="4" s="1"/>
  <c r="I775" i="4" a="1"/>
  <c r="I775" i="4" s="1"/>
  <c r="N776" i="4" a="1"/>
  <c r="N776" i="4" s="1"/>
  <c r="S777" i="4" a="1"/>
  <c r="S777" i="4" s="1"/>
  <c r="I779" i="4" a="1"/>
  <c r="I779" i="4" s="1"/>
  <c r="N780" i="4" a="1"/>
  <c r="N780" i="4" s="1"/>
  <c r="S781" i="4" a="1"/>
  <c r="S781" i="4" s="1"/>
  <c r="I783" i="4" a="1"/>
  <c r="I783" i="4" s="1"/>
  <c r="N784" i="4" a="1"/>
  <c r="N784" i="4" s="1"/>
  <c r="S785" i="4" a="1"/>
  <c r="S785" i="4" s="1"/>
  <c r="I787" i="4" a="1"/>
  <c r="I787" i="4" s="1"/>
  <c r="N788" i="4" a="1"/>
  <c r="N788" i="4" s="1"/>
  <c r="S789" i="4" a="1"/>
  <c r="S789" i="4" s="1"/>
  <c r="I791" i="4" a="1"/>
  <c r="I791" i="4" s="1"/>
  <c r="N792" i="4" a="1"/>
  <c r="N792" i="4" s="1"/>
  <c r="S793" i="4" a="1"/>
  <c r="S793" i="4" s="1"/>
  <c r="I795" i="4" a="1"/>
  <c r="I795" i="4" s="1"/>
  <c r="N796" i="4" a="1"/>
  <c r="N796" i="4" s="1"/>
  <c r="S797" i="4" a="1"/>
  <c r="S797" i="4" s="1"/>
  <c r="I799" i="4" a="1"/>
  <c r="I799" i="4" s="1"/>
  <c r="N800" i="4" a="1"/>
  <c r="N800" i="4" s="1"/>
  <c r="S801" i="4" a="1"/>
  <c r="S801" i="4" s="1"/>
  <c r="I803" i="4" a="1"/>
  <c r="I803" i="4" s="1"/>
  <c r="N804" i="4" a="1"/>
  <c r="N804" i="4" s="1"/>
  <c r="S805" i="4" a="1"/>
  <c r="S805" i="4" s="1"/>
  <c r="I807" i="4" a="1"/>
  <c r="I807" i="4" s="1"/>
  <c r="N808" i="4" a="1"/>
  <c r="N808" i="4" s="1"/>
  <c r="S809" i="4" a="1"/>
  <c r="S809" i="4" s="1"/>
  <c r="I811" i="4" a="1"/>
  <c r="I811" i="4" s="1"/>
  <c r="N812" i="4" a="1"/>
  <c r="N812" i="4" s="1"/>
  <c r="S813" i="4" a="1"/>
  <c r="S813" i="4" s="1"/>
  <c r="I815" i="4" a="1"/>
  <c r="I815" i="4" s="1"/>
  <c r="N816" i="4" a="1"/>
  <c r="N816" i="4" s="1"/>
  <c r="S817" i="4" a="1"/>
  <c r="S817" i="4" s="1"/>
  <c r="I819" i="4" a="1"/>
  <c r="I819" i="4" s="1"/>
  <c r="N820" i="4" a="1"/>
  <c r="N820" i="4" s="1"/>
  <c r="S821" i="4" a="1"/>
  <c r="S821" i="4" s="1"/>
  <c r="I823" i="4" a="1"/>
  <c r="I823" i="4" s="1"/>
  <c r="N824" i="4" a="1"/>
  <c r="N824" i="4" s="1"/>
  <c r="S825" i="4" a="1"/>
  <c r="S825" i="4" s="1"/>
  <c r="I827" i="4" a="1"/>
  <c r="I827" i="4" s="1"/>
  <c r="N828" i="4" a="1"/>
  <c r="N828" i="4" s="1"/>
  <c r="S829" i="4" a="1"/>
  <c r="S829" i="4" s="1"/>
  <c r="I831" i="4" a="1"/>
  <c r="I831" i="4" s="1"/>
  <c r="N832" i="4" a="1"/>
  <c r="N832" i="4" s="1"/>
  <c r="S833" i="4" a="1"/>
  <c r="S833" i="4" s="1"/>
  <c r="I835" i="4" a="1"/>
  <c r="I835" i="4" s="1"/>
  <c r="N836" i="4" a="1"/>
  <c r="N836" i="4" s="1"/>
  <c r="S837" i="4" a="1"/>
  <c r="S837" i="4" s="1"/>
  <c r="N399" i="4" a="1"/>
  <c r="N399" i="4" s="1"/>
  <c r="S400" i="4" a="1"/>
  <c r="S400" i="4" s="1"/>
  <c r="I402" i="4" a="1"/>
  <c r="I402" i="4" s="1"/>
  <c r="N403" i="4" a="1"/>
  <c r="N403" i="4" s="1"/>
  <c r="S404" i="4" a="1"/>
  <c r="S404" i="4" s="1"/>
  <c r="I406" i="4" a="1"/>
  <c r="I406" i="4" s="1"/>
  <c r="N407" i="4" a="1"/>
  <c r="N407" i="4" s="1"/>
  <c r="S408" i="4" a="1"/>
  <c r="S408" i="4" s="1"/>
  <c r="I410" i="4" a="1"/>
  <c r="I410" i="4" s="1"/>
  <c r="N411" i="4" a="1"/>
  <c r="N411" i="4" s="1"/>
  <c r="S412" i="4" a="1"/>
  <c r="S412" i="4" s="1"/>
  <c r="I414" i="4" a="1"/>
  <c r="I414" i="4" s="1"/>
  <c r="N415" i="4" a="1"/>
  <c r="N415" i="4" s="1"/>
  <c r="S416" i="4" a="1"/>
  <c r="S416" i="4" s="1"/>
  <c r="I418" i="4" a="1"/>
  <c r="I418" i="4" s="1"/>
  <c r="N419" i="4" a="1"/>
  <c r="N419" i="4" s="1"/>
  <c r="S420" i="4" a="1"/>
  <c r="S420" i="4" s="1"/>
  <c r="I422" i="4" a="1"/>
  <c r="I422" i="4" s="1"/>
  <c r="N423" i="4" a="1"/>
  <c r="N423" i="4" s="1"/>
  <c r="S424" i="4" a="1"/>
  <c r="S424" i="4" s="1"/>
  <c r="I426" i="4" a="1"/>
  <c r="I426" i="4" s="1"/>
  <c r="N427" i="4" a="1"/>
  <c r="N427" i="4" s="1"/>
  <c r="S428" i="4" a="1"/>
  <c r="S428" i="4" s="1"/>
  <c r="I430" i="4" a="1"/>
  <c r="I430" i="4" s="1"/>
  <c r="N431" i="4" a="1"/>
  <c r="N431" i="4" s="1"/>
  <c r="S432" i="4" a="1"/>
  <c r="S432" i="4" s="1"/>
  <c r="I434" i="4" a="1"/>
  <c r="I434" i="4" s="1"/>
  <c r="N435" i="4" a="1"/>
  <c r="N435" i="4" s="1"/>
  <c r="S436" i="4" a="1"/>
  <c r="S436" i="4" s="1"/>
  <c r="I438" i="4" a="1"/>
  <c r="I438" i="4" s="1"/>
  <c r="N439" i="4" a="1"/>
  <c r="N439" i="4" s="1"/>
  <c r="S440" i="4" a="1"/>
  <c r="S440" i="4" s="1"/>
  <c r="I442" i="4" a="1"/>
  <c r="I442" i="4" s="1"/>
  <c r="N443" i="4" a="1"/>
  <c r="N443" i="4" s="1"/>
  <c r="S444" i="4" a="1"/>
  <c r="S444" i="4" s="1"/>
  <c r="I446" i="4" a="1"/>
  <c r="I446" i="4" s="1"/>
  <c r="N447" i="4" a="1"/>
  <c r="N447" i="4" s="1"/>
  <c r="S448" i="4" a="1"/>
  <c r="S448" i="4" s="1"/>
  <c r="I450" i="4" a="1"/>
  <c r="I450" i="4" s="1"/>
  <c r="N451" i="4" a="1"/>
  <c r="N451" i="4" s="1"/>
  <c r="S452" i="4" a="1"/>
  <c r="S452" i="4" s="1"/>
  <c r="I454" i="4" a="1"/>
  <c r="I454" i="4" s="1"/>
  <c r="N455" i="4" a="1"/>
  <c r="N455" i="4" s="1"/>
  <c r="S456" i="4" a="1"/>
  <c r="S456" i="4" s="1"/>
  <c r="I458" i="4" a="1"/>
  <c r="I458" i="4" s="1"/>
  <c r="N459" i="4" a="1"/>
  <c r="N459" i="4" s="1"/>
  <c r="S460" i="4" a="1"/>
  <c r="S460" i="4" s="1"/>
  <c r="I462" i="4" a="1"/>
  <c r="I462" i="4" s="1"/>
  <c r="N463" i="4" a="1"/>
  <c r="N463" i="4" s="1"/>
  <c r="S464" i="4" a="1"/>
  <c r="S464" i="4" s="1"/>
  <c r="I466" i="4" a="1"/>
  <c r="I466" i="4" s="1"/>
  <c r="N467" i="4" a="1"/>
  <c r="N467" i="4" s="1"/>
  <c r="S468" i="4" a="1"/>
  <c r="S468" i="4" s="1"/>
  <c r="I470" i="4" a="1"/>
  <c r="I470" i="4" s="1"/>
  <c r="N471" i="4" a="1"/>
  <c r="N471" i="4" s="1"/>
  <c r="S472" i="4" a="1"/>
  <c r="S472" i="4" s="1"/>
  <c r="I474" i="4" a="1"/>
  <c r="I474" i="4" s="1"/>
  <c r="N475" i="4" a="1"/>
  <c r="N475" i="4" s="1"/>
  <c r="S476" i="4" a="1"/>
  <c r="S476" i="4" s="1"/>
  <c r="I478" i="4" a="1"/>
  <c r="I478" i="4" s="1"/>
  <c r="N479" i="4" a="1"/>
  <c r="N479" i="4" s="1"/>
  <c r="S480" i="4" a="1"/>
  <c r="S480" i="4" s="1"/>
  <c r="I482" i="4" a="1"/>
  <c r="I482" i="4" s="1"/>
  <c r="N483" i="4" a="1"/>
  <c r="N483" i="4" s="1"/>
  <c r="S484" i="4" a="1"/>
  <c r="S484" i="4" s="1"/>
  <c r="I486" i="4" a="1"/>
  <c r="I486" i="4" s="1"/>
  <c r="N487" i="4" a="1"/>
  <c r="N487" i="4" s="1"/>
  <c r="S488" i="4" a="1"/>
  <c r="S488" i="4" s="1"/>
  <c r="I490" i="4" a="1"/>
  <c r="I490" i="4" s="1"/>
  <c r="N491" i="4" a="1"/>
  <c r="N491" i="4" s="1"/>
  <c r="S492" i="4" a="1"/>
  <c r="S492" i="4" s="1"/>
  <c r="I494" i="4" a="1"/>
  <c r="I494" i="4" s="1"/>
  <c r="N495" i="4" a="1"/>
  <c r="N495" i="4" s="1"/>
  <c r="S496" i="4" a="1"/>
  <c r="S496" i="4" s="1"/>
  <c r="I498" i="4" a="1"/>
  <c r="I498" i="4" s="1"/>
  <c r="N499" i="4" a="1"/>
  <c r="N499" i="4" s="1"/>
  <c r="S500" i="4" a="1"/>
  <c r="S500" i="4" s="1"/>
  <c r="I502" i="4" a="1"/>
  <c r="I502" i="4" s="1"/>
  <c r="N503" i="4" a="1"/>
  <c r="N503" i="4" s="1"/>
  <c r="S504" i="4" a="1"/>
  <c r="S504" i="4" s="1"/>
  <c r="I506" i="4" a="1"/>
  <c r="I506" i="4" s="1"/>
  <c r="N507" i="4" a="1"/>
  <c r="N507" i="4" s="1"/>
  <c r="S508" i="4" a="1"/>
  <c r="S508" i="4" s="1"/>
  <c r="I510" i="4" a="1"/>
  <c r="I510" i="4" s="1"/>
  <c r="N511" i="4" a="1"/>
  <c r="N511" i="4" s="1"/>
  <c r="S512" i="4" a="1"/>
  <c r="S512" i="4" s="1"/>
  <c r="I514" i="4" a="1"/>
  <c r="I514" i="4" s="1"/>
  <c r="N515" i="4" a="1"/>
  <c r="N515" i="4" s="1"/>
  <c r="S516" i="4" a="1"/>
  <c r="S516" i="4" s="1"/>
  <c r="I518" i="4" a="1"/>
  <c r="I518" i="4" s="1"/>
  <c r="N519" i="4" a="1"/>
  <c r="N519" i="4" s="1"/>
  <c r="S520" i="4" a="1"/>
  <c r="S520" i="4" s="1"/>
  <c r="I522" i="4" a="1"/>
  <c r="I522" i="4" s="1"/>
  <c r="N523" i="4" a="1"/>
  <c r="N523" i="4" s="1"/>
  <c r="S524" i="4" a="1"/>
  <c r="S524" i="4" s="1"/>
  <c r="I526" i="4" a="1"/>
  <c r="I526" i="4" s="1"/>
  <c r="N527" i="4" a="1"/>
  <c r="N527" i="4" s="1"/>
  <c r="S528" i="4" a="1"/>
  <c r="S528" i="4" s="1"/>
  <c r="I530" i="4" a="1"/>
  <c r="I530" i="4" s="1"/>
  <c r="N531" i="4" a="1"/>
  <c r="N531" i="4" s="1"/>
  <c r="S532" i="4" a="1"/>
  <c r="S532" i="4" s="1"/>
  <c r="I534" i="4" a="1"/>
  <c r="I534" i="4" s="1"/>
  <c r="N535" i="4" a="1"/>
  <c r="N535" i="4" s="1"/>
  <c r="S536" i="4" a="1"/>
  <c r="S536" i="4" s="1"/>
  <c r="I538" i="4" a="1"/>
  <c r="I538" i="4" s="1"/>
  <c r="N539" i="4" a="1"/>
  <c r="N539" i="4" s="1"/>
  <c r="S540" i="4" a="1"/>
  <c r="S540" i="4" s="1"/>
  <c r="I542" i="4" a="1"/>
  <c r="I542" i="4" s="1"/>
  <c r="N543" i="4" a="1"/>
  <c r="N543" i="4" s="1"/>
  <c r="S544" i="4" a="1"/>
  <c r="S544" i="4" s="1"/>
  <c r="I546" i="4" a="1"/>
  <c r="I546" i="4" s="1"/>
  <c r="N547" i="4" a="1"/>
  <c r="N547" i="4" s="1"/>
  <c r="S548" i="4" a="1"/>
  <c r="S548" i="4" s="1"/>
  <c r="I550" i="4" a="1"/>
  <c r="I550" i="4" s="1"/>
  <c r="N551" i="4" a="1"/>
  <c r="N551" i="4" s="1"/>
  <c r="S552" i="4" a="1"/>
  <c r="S552" i="4" s="1"/>
  <c r="I554" i="4" a="1"/>
  <c r="I554" i="4" s="1"/>
  <c r="N555" i="4" a="1"/>
  <c r="N555" i="4" s="1"/>
  <c r="S556" i="4" a="1"/>
  <c r="S556" i="4" s="1"/>
  <c r="I558" i="4" a="1"/>
  <c r="I558" i="4" s="1"/>
  <c r="N559" i="4" a="1"/>
  <c r="N559" i="4" s="1"/>
  <c r="S560" i="4" a="1"/>
  <c r="S560" i="4" s="1"/>
  <c r="I562" i="4" a="1"/>
  <c r="I562" i="4" s="1"/>
  <c r="N563" i="4" a="1"/>
  <c r="N563" i="4" s="1"/>
  <c r="S564" i="4" a="1"/>
  <c r="S564" i="4" s="1"/>
  <c r="I566" i="4" a="1"/>
  <c r="I566" i="4" s="1"/>
  <c r="N567" i="4" a="1"/>
  <c r="N567" i="4" s="1"/>
  <c r="S568" i="4" a="1"/>
  <c r="S568" i="4" s="1"/>
  <c r="I570" i="4" a="1"/>
  <c r="I570" i="4" s="1"/>
  <c r="N571" i="4" a="1"/>
  <c r="N571" i="4" s="1"/>
  <c r="S572" i="4" a="1"/>
  <c r="S572" i="4" s="1"/>
  <c r="I574" i="4" a="1"/>
  <c r="I574" i="4" s="1"/>
  <c r="N575" i="4" a="1"/>
  <c r="N575" i="4" s="1"/>
  <c r="S576" i="4" a="1"/>
  <c r="S576" i="4" s="1"/>
  <c r="I578" i="4" a="1"/>
  <c r="I578" i="4" s="1"/>
  <c r="N579" i="4" a="1"/>
  <c r="N579" i="4" s="1"/>
  <c r="S580" i="4" a="1"/>
  <c r="S580" i="4" s="1"/>
  <c r="I582" i="4" a="1"/>
  <c r="I582" i="4" s="1"/>
  <c r="N583" i="4" a="1"/>
  <c r="N583" i="4" s="1"/>
  <c r="S584" i="4" a="1"/>
  <c r="S584" i="4" s="1"/>
  <c r="I586" i="4" a="1"/>
  <c r="I586" i="4" s="1"/>
  <c r="N587" i="4" a="1"/>
  <c r="N587" i="4" s="1"/>
  <c r="S588" i="4" a="1"/>
  <c r="S588" i="4" s="1"/>
  <c r="I590" i="4" a="1"/>
  <c r="I590" i="4" s="1"/>
  <c r="N591" i="4" a="1"/>
  <c r="N591" i="4" s="1"/>
  <c r="S592" i="4" a="1"/>
  <c r="S592" i="4" s="1"/>
  <c r="I594" i="4" a="1"/>
  <c r="I594" i="4" s="1"/>
  <c r="N595" i="4" a="1"/>
  <c r="N595" i="4" s="1"/>
  <c r="S596" i="4" a="1"/>
  <c r="S596" i="4" s="1"/>
  <c r="I598" i="4" a="1"/>
  <c r="I598" i="4" s="1"/>
  <c r="N599" i="4" a="1"/>
  <c r="N599" i="4" s="1"/>
  <c r="S600" i="4" a="1"/>
  <c r="S600" i="4" s="1"/>
  <c r="I602" i="4" a="1"/>
  <c r="I602" i="4" s="1"/>
  <c r="N603" i="4" a="1"/>
  <c r="N603" i="4" s="1"/>
  <c r="S604" i="4" a="1"/>
  <c r="S604" i="4" s="1"/>
  <c r="I606" i="4" a="1"/>
  <c r="I606" i="4" s="1"/>
  <c r="N607" i="4" a="1"/>
  <c r="N607" i="4" s="1"/>
  <c r="S608" i="4" a="1"/>
  <c r="S608" i="4" s="1"/>
  <c r="I610" i="4" a="1"/>
  <c r="I610" i="4" s="1"/>
  <c r="N611" i="4" a="1"/>
  <c r="N611" i="4" s="1"/>
  <c r="S612" i="4" a="1"/>
  <c r="S612" i="4" s="1"/>
  <c r="I614" i="4" a="1"/>
  <c r="I614" i="4" s="1"/>
  <c r="N615" i="4" a="1"/>
  <c r="N615" i="4" s="1"/>
  <c r="S616" i="4" a="1"/>
  <c r="S616" i="4" s="1"/>
  <c r="I618" i="4" a="1"/>
  <c r="I618" i="4" s="1"/>
  <c r="N619" i="4" a="1"/>
  <c r="N619" i="4" s="1"/>
  <c r="S620" i="4" a="1"/>
  <c r="S620" i="4" s="1"/>
  <c r="I622" i="4" a="1"/>
  <c r="I622" i="4" s="1"/>
  <c r="N623" i="4" a="1"/>
  <c r="N623" i="4" s="1"/>
  <c r="S624" i="4" a="1"/>
  <c r="S624" i="4" s="1"/>
  <c r="I839" i="4" a="1"/>
  <c r="I839" i="4" s="1"/>
  <c r="N840" i="4" a="1"/>
  <c r="N840" i="4" s="1"/>
  <c r="S841" i="4" a="1"/>
  <c r="S841" i="4" s="1"/>
  <c r="I843" i="4" a="1"/>
  <c r="I843" i="4" s="1"/>
  <c r="N844" i="4" a="1"/>
  <c r="N844" i="4" s="1"/>
  <c r="S845" i="4" a="1"/>
  <c r="S845" i="4" s="1"/>
  <c r="I847" i="4" a="1"/>
  <c r="I847" i="4" s="1"/>
  <c r="N848" i="4" a="1"/>
  <c r="N848" i="4" s="1"/>
  <c r="S849" i="4" a="1"/>
  <c r="S849" i="4" s="1"/>
  <c r="I851" i="4" a="1"/>
  <c r="I851" i="4" s="1"/>
  <c r="N852" i="4" a="1"/>
  <c r="N852" i="4" s="1"/>
  <c r="S853" i="4" a="1"/>
  <c r="S853" i="4" s="1"/>
  <c r="I855" i="4" a="1"/>
  <c r="I855" i="4" s="1"/>
  <c r="N856" i="4" a="1"/>
  <c r="N856" i="4" s="1"/>
  <c r="S857" i="4" a="1"/>
  <c r="S857" i="4" s="1"/>
  <c r="I859" i="4" a="1"/>
  <c r="I859" i="4" s="1"/>
  <c r="N860" i="4" a="1"/>
  <c r="N860" i="4" s="1"/>
  <c r="S861" i="4" a="1"/>
  <c r="S861" i="4" s="1"/>
  <c r="I863" i="4" a="1"/>
  <c r="I863" i="4" s="1"/>
  <c r="N864" i="4" a="1"/>
  <c r="N864" i="4" s="1"/>
  <c r="S865" i="4" a="1"/>
  <c r="S865" i="4" s="1"/>
  <c r="I867" i="4" a="1"/>
  <c r="I867" i="4" s="1"/>
  <c r="N868" i="4" a="1"/>
  <c r="N868" i="4" s="1"/>
  <c r="S869" i="4" a="1"/>
  <c r="S869" i="4" s="1"/>
  <c r="I871" i="4" a="1"/>
  <c r="I871" i="4" s="1"/>
  <c r="N872" i="4" a="1"/>
  <c r="N872" i="4" s="1"/>
  <c r="S873" i="4" a="1"/>
  <c r="S873" i="4" s="1"/>
  <c r="I875" i="4" a="1"/>
  <c r="I875" i="4" s="1"/>
  <c r="N876" i="4" a="1"/>
  <c r="N876" i="4" s="1"/>
  <c r="S877" i="4" a="1"/>
  <c r="S877" i="4" s="1"/>
  <c r="I879" i="4" a="1"/>
  <c r="I879" i="4" s="1"/>
  <c r="N880" i="4" a="1"/>
  <c r="N880" i="4" s="1"/>
  <c r="S881" i="4" a="1"/>
  <c r="S881" i="4" s="1"/>
  <c r="I883" i="4" a="1"/>
  <c r="I883" i="4" s="1"/>
  <c r="N884" i="4" a="1"/>
  <c r="N884" i="4" s="1"/>
  <c r="S885" i="4" a="1"/>
  <c r="S885" i="4" s="1"/>
  <c r="I887" i="4" a="1"/>
  <c r="I887" i="4" s="1"/>
  <c r="N888" i="4" a="1"/>
  <c r="N888" i="4" s="1"/>
  <c r="S889" i="4" a="1"/>
  <c r="S889" i="4" s="1"/>
  <c r="I891" i="4" a="1"/>
  <c r="I891" i="4" s="1"/>
  <c r="N892" i="4" a="1"/>
  <c r="N892" i="4" s="1"/>
  <c r="S893" i="4" a="1"/>
  <c r="S893" i="4" s="1"/>
  <c r="I895" i="4" a="1"/>
  <c r="I895" i="4" s="1"/>
  <c r="N896" i="4" a="1"/>
  <c r="N896" i="4" s="1"/>
  <c r="S897" i="4" a="1"/>
  <c r="S897" i="4" s="1"/>
  <c r="I899" i="4" a="1"/>
  <c r="I899" i="4" s="1"/>
  <c r="N900" i="4" a="1"/>
  <c r="N900" i="4" s="1"/>
  <c r="S901" i="4" a="1"/>
  <c r="S901" i="4" s="1"/>
  <c r="I903" i="4" a="1"/>
  <c r="I903" i="4" s="1"/>
  <c r="N904" i="4" a="1"/>
  <c r="N904" i="4" s="1"/>
  <c r="S905" i="4" a="1"/>
  <c r="S905" i="4" s="1"/>
  <c r="I907" i="4" a="1"/>
  <c r="I907" i="4" s="1"/>
  <c r="N908" i="4" a="1"/>
  <c r="N908" i="4" s="1"/>
  <c r="S909" i="4" a="1"/>
  <c r="S909" i="4" s="1"/>
  <c r="I911" i="4" a="1"/>
  <c r="I911" i="4" s="1"/>
  <c r="N912" i="4" a="1"/>
  <c r="N912" i="4" s="1"/>
  <c r="S913" i="4" a="1"/>
  <c r="S913" i="4" s="1"/>
  <c r="I915" i="4" a="1"/>
  <c r="I915" i="4" s="1"/>
  <c r="N916" i="4" a="1"/>
  <c r="N916" i="4" s="1"/>
  <c r="I919" i="4" a="1"/>
  <c r="I919" i="4" s="1"/>
  <c r="N920" i="4" a="1"/>
  <c r="N920" i="4" s="1"/>
  <c r="S921" i="4" a="1"/>
  <c r="S921" i="4" s="1"/>
  <c r="I923" i="4" a="1"/>
  <c r="I923" i="4" s="1"/>
  <c r="N924" i="4" a="1"/>
  <c r="N924" i="4" s="1"/>
  <c r="S925" i="4" a="1"/>
  <c r="S925" i="4" s="1"/>
  <c r="I927" i="4" a="1"/>
  <c r="I927" i="4" s="1"/>
  <c r="S929" i="4" a="1"/>
  <c r="S929" i="4" s="1"/>
  <c r="I931" i="4" a="1"/>
  <c r="I931" i="4" s="1"/>
  <c r="N932" i="4" a="1"/>
  <c r="N932" i="4" s="1"/>
  <c r="S933" i="4" a="1"/>
  <c r="S933" i="4" s="1"/>
  <c r="I935" i="4" a="1"/>
  <c r="I935" i="4" s="1"/>
  <c r="N936" i="4" a="1"/>
  <c r="N936" i="4" s="1"/>
  <c r="S937" i="4" a="1"/>
  <c r="S937" i="4" s="1"/>
  <c r="I939" i="4" a="1"/>
  <c r="I939" i="4" s="1"/>
  <c r="N940" i="4" a="1"/>
  <c r="N940" i="4" s="1"/>
  <c r="S941" i="4" a="1"/>
  <c r="S941" i="4" s="1"/>
  <c r="I943" i="4" a="1"/>
  <c r="I943" i="4" s="1"/>
  <c r="N944" i="4" a="1"/>
  <c r="N944" i="4" s="1"/>
  <c r="S945" i="4" a="1"/>
  <c r="S945" i="4" s="1"/>
  <c r="I947" i="4" a="1"/>
  <c r="I947" i="4" s="1"/>
  <c r="N948" i="4" a="1"/>
  <c r="N948" i="4" s="1"/>
  <c r="S949" i="4" a="1"/>
  <c r="S949" i="4" s="1"/>
  <c r="I951" i="4" a="1"/>
  <c r="I951" i="4" s="1"/>
  <c r="N952" i="4" a="1"/>
  <c r="N952" i="4" s="1"/>
  <c r="S953" i="4" a="1"/>
  <c r="S953" i="4" s="1"/>
  <c r="I955" i="4" a="1"/>
  <c r="I955" i="4" s="1"/>
  <c r="N956" i="4" a="1"/>
  <c r="N956" i="4" s="1"/>
  <c r="S957" i="4" a="1"/>
  <c r="S957" i="4" s="1"/>
  <c r="I959" i="4" a="1"/>
  <c r="I959" i="4" s="1"/>
  <c r="N960" i="4" a="1"/>
  <c r="N960" i="4" s="1"/>
  <c r="S961" i="4" a="1"/>
  <c r="S961" i="4" s="1"/>
  <c r="I963" i="4" a="1"/>
  <c r="I963" i="4" s="1"/>
  <c r="N964" i="4" a="1"/>
  <c r="N964" i="4" s="1"/>
  <c r="S965" i="4" a="1"/>
  <c r="S965" i="4" s="1"/>
  <c r="I967" i="4" a="1"/>
  <c r="I967" i="4" s="1"/>
  <c r="N968" i="4" a="1"/>
  <c r="N968" i="4" s="1"/>
  <c r="S969" i="4" a="1"/>
  <c r="S969" i="4" s="1"/>
  <c r="N972" i="4" a="1"/>
  <c r="N972" i="4" s="1"/>
  <c r="S973" i="4" a="1"/>
  <c r="S973" i="4" s="1"/>
  <c r="I975" i="4" a="1"/>
  <c r="I975" i="4" s="1"/>
  <c r="N976" i="4" a="1"/>
  <c r="N976" i="4" s="1"/>
  <c r="S977" i="4" a="1"/>
  <c r="S977" i="4" s="1"/>
  <c r="I979" i="4" a="1"/>
  <c r="I979" i="4" s="1"/>
  <c r="N980" i="4" a="1"/>
  <c r="N980" i="4" s="1"/>
  <c r="S981" i="4" a="1"/>
  <c r="S981" i="4" s="1"/>
  <c r="I983" i="4" a="1"/>
  <c r="I983" i="4" s="1"/>
  <c r="N984" i="4" a="1"/>
  <c r="N984" i="4" s="1"/>
  <c r="S985" i="4" a="1"/>
  <c r="S985" i="4" s="1"/>
  <c r="I987" i="4" a="1"/>
  <c r="I987" i="4" s="1"/>
  <c r="N988" i="4" a="1"/>
  <c r="N988" i="4" s="1"/>
  <c r="S989" i="4" a="1"/>
  <c r="S989" i="4" s="1"/>
  <c r="I991" i="4" a="1"/>
  <c r="I991" i="4" s="1"/>
  <c r="N992" i="4" a="1"/>
  <c r="N992" i="4" s="1"/>
  <c r="S993" i="4" a="1"/>
  <c r="S993" i="4" s="1"/>
  <c r="I995" i="4" a="1"/>
  <c r="I995" i="4" s="1"/>
  <c r="N996" i="4" a="1"/>
  <c r="N996" i="4" s="1"/>
  <c r="S997" i="4" a="1"/>
  <c r="S997" i="4" s="1"/>
  <c r="I999" i="4" a="1"/>
  <c r="I999" i="4" s="1"/>
  <c r="N1000" i="4" a="1"/>
  <c r="N1000" i="4" s="1"/>
  <c r="S1001" i="4" a="1"/>
  <c r="S1001" i="4" s="1"/>
  <c r="I1003" i="4" a="1"/>
  <c r="I1003" i="4" s="1"/>
  <c r="N1004" i="4" a="1"/>
  <c r="N1004" i="4" s="1"/>
  <c r="S1005" i="4" a="1"/>
  <c r="S1005" i="4" s="1"/>
  <c r="I1007" i="4" a="1"/>
  <c r="I1007" i="4" s="1"/>
  <c r="N1008" i="4" a="1"/>
  <c r="N1008" i="4" s="1"/>
  <c r="S1009" i="4" a="1"/>
  <c r="S1009" i="4" s="1"/>
  <c r="I1011" i="4" a="1"/>
  <c r="I1011" i="4" s="1"/>
  <c r="N1012" i="4" a="1"/>
  <c r="N1012" i="4" s="1"/>
  <c r="S1013" i="4" a="1"/>
  <c r="S1013" i="4" s="1"/>
  <c r="I1015" i="4" a="1"/>
  <c r="I1015" i="4" s="1"/>
  <c r="N1016" i="4" a="1"/>
  <c r="N1016" i="4" s="1"/>
  <c r="S1017" i="4" a="1"/>
  <c r="S1017" i="4" s="1"/>
  <c r="I1019" i="4" a="1"/>
  <c r="I1019" i="4" s="1"/>
  <c r="N1020" i="4" a="1"/>
  <c r="N1020" i="4" s="1"/>
  <c r="S1021" i="4" a="1"/>
  <c r="S1021" i="4" s="1"/>
  <c r="I1023" i="4" a="1"/>
  <c r="I1023" i="4" s="1"/>
  <c r="N1024" i="4" a="1"/>
  <c r="N1024" i="4" s="1"/>
  <c r="S1025" i="4" a="1"/>
  <c r="S1025" i="4" s="1"/>
  <c r="I1027" i="4" a="1"/>
  <c r="I1027" i="4" s="1"/>
  <c r="N1028" i="4" a="1"/>
  <c r="N1028" i="4" s="1"/>
  <c r="S1029" i="4" a="1"/>
  <c r="S1029" i="4" s="1"/>
  <c r="I1031" i="4" a="1"/>
  <c r="I1031" i="4" s="1"/>
  <c r="N1032" i="4" a="1"/>
  <c r="N1032" i="4" s="1"/>
  <c r="S1033" i="4" a="1"/>
  <c r="S1033" i="4" s="1"/>
  <c r="I1035" i="4" a="1"/>
  <c r="I1035" i="4" s="1"/>
  <c r="N1036" i="4" a="1"/>
  <c r="N1036" i="4" s="1"/>
  <c r="S1037" i="4" a="1"/>
  <c r="S1037" i="4" s="1"/>
  <c r="I1039" i="4" a="1"/>
  <c r="I1039" i="4" s="1"/>
  <c r="N1040" i="4" a="1"/>
  <c r="N1040" i="4" s="1"/>
  <c r="S1041" i="4" a="1"/>
  <c r="S1041" i="4" s="1"/>
  <c r="I1043" i="4" a="1"/>
  <c r="I1043" i="4" s="1"/>
  <c r="N1044" i="4" a="1"/>
  <c r="N1044" i="4" s="1"/>
  <c r="S1045" i="4" a="1"/>
  <c r="S1045" i="4" s="1"/>
  <c r="I1047" i="4" a="1"/>
  <c r="I1047" i="4" s="1"/>
  <c r="N1048" i="4" a="1"/>
  <c r="N1048" i="4" s="1"/>
  <c r="S1049" i="4" a="1"/>
  <c r="S1049" i="4" s="1"/>
  <c r="I1051" i="4" a="1"/>
  <c r="I1051" i="4" s="1"/>
  <c r="N1052" i="4" a="1"/>
  <c r="N1052" i="4" s="1"/>
  <c r="S1053" i="4" a="1"/>
  <c r="S1053" i="4" s="1"/>
  <c r="I1055" i="4" a="1"/>
  <c r="I1055" i="4" s="1"/>
  <c r="N1056" i="4" a="1"/>
  <c r="N1056" i="4" s="1"/>
  <c r="S1057" i="4" a="1"/>
  <c r="S1057" i="4" s="1"/>
  <c r="I1059" i="4" a="1"/>
  <c r="I1059" i="4" s="1"/>
  <c r="N1060" i="4" a="1"/>
  <c r="N1060" i="4" s="1"/>
  <c r="S1061" i="4" a="1"/>
  <c r="S1061" i="4" s="1"/>
  <c r="I1063" i="4" a="1"/>
  <c r="I1063" i="4" s="1"/>
  <c r="N1064" i="4" a="1"/>
  <c r="N1064" i="4" s="1"/>
  <c r="S1065" i="4" a="1"/>
  <c r="S1065" i="4" s="1"/>
  <c r="I1067" i="4" a="1"/>
  <c r="I1067" i="4" s="1"/>
  <c r="N1068" i="4" a="1"/>
  <c r="N1068" i="4" s="1"/>
  <c r="I626" i="4" a="1"/>
  <c r="I626" i="4" s="1"/>
  <c r="N627" i="4" a="1"/>
  <c r="N627" i="4" s="1"/>
  <c r="S628" i="4" a="1"/>
  <c r="S628" i="4" s="1"/>
  <c r="I630" i="4" a="1"/>
  <c r="I630" i="4" s="1"/>
  <c r="N631" i="4" a="1"/>
  <c r="N631" i="4" s="1"/>
  <c r="S632" i="4" a="1"/>
  <c r="S632" i="4" s="1"/>
  <c r="I634" i="4" a="1"/>
  <c r="I634" i="4" s="1"/>
  <c r="N635" i="4" a="1"/>
  <c r="N635" i="4" s="1"/>
  <c r="S636" i="4" a="1"/>
  <c r="S636" i="4" s="1"/>
  <c r="I638" i="4" a="1"/>
  <c r="I638" i="4" s="1"/>
  <c r="N639" i="4" a="1"/>
  <c r="N639" i="4" s="1"/>
  <c r="S640" i="4" a="1"/>
  <c r="S640" i="4" s="1"/>
  <c r="I642" i="4" a="1"/>
  <c r="I642" i="4" s="1"/>
  <c r="N643" i="4" a="1"/>
  <c r="N643" i="4" s="1"/>
  <c r="S644" i="4" a="1"/>
  <c r="S644" i="4" s="1"/>
  <c r="I646" i="4" a="1"/>
  <c r="I646" i="4" s="1"/>
  <c r="N647" i="4" a="1"/>
  <c r="N647" i="4" s="1"/>
  <c r="S648" i="4" a="1"/>
  <c r="S648" i="4" s="1"/>
  <c r="I650" i="4" a="1"/>
  <c r="I650" i="4" s="1"/>
  <c r="N651" i="4" a="1"/>
  <c r="N651" i="4" s="1"/>
  <c r="S652" i="4" a="1"/>
  <c r="S652" i="4" s="1"/>
  <c r="I654" i="4" a="1"/>
  <c r="I654" i="4" s="1"/>
  <c r="N655" i="4" a="1"/>
  <c r="N655" i="4" s="1"/>
  <c r="S656" i="4" a="1"/>
  <c r="S656" i="4" s="1"/>
  <c r="I658" i="4" a="1"/>
  <c r="I658" i="4" s="1"/>
  <c r="N659" i="4" a="1"/>
  <c r="N659" i="4" s="1"/>
  <c r="S660" i="4" a="1"/>
  <c r="S660" i="4" s="1"/>
  <c r="I662" i="4" a="1"/>
  <c r="I662" i="4" s="1"/>
  <c r="N663" i="4" a="1"/>
  <c r="N663" i="4" s="1"/>
  <c r="S664" i="4" a="1"/>
  <c r="S664" i="4" s="1"/>
  <c r="I666" i="4" a="1"/>
  <c r="I666" i="4" s="1"/>
  <c r="N667" i="4" a="1"/>
  <c r="N667" i="4" s="1"/>
  <c r="S668" i="4" a="1"/>
  <c r="S668" i="4" s="1"/>
  <c r="I670" i="4" a="1"/>
  <c r="I670" i="4" s="1"/>
  <c r="N671" i="4" a="1"/>
  <c r="N671" i="4" s="1"/>
  <c r="S672" i="4" a="1"/>
  <c r="S672" i="4" s="1"/>
  <c r="I674" i="4" a="1"/>
  <c r="I674" i="4" s="1"/>
  <c r="N675" i="4" a="1"/>
  <c r="N675" i="4" s="1"/>
  <c r="S676" i="4" a="1"/>
  <c r="S676" i="4" s="1"/>
  <c r="I678" i="4" a="1"/>
  <c r="I678" i="4" s="1"/>
  <c r="N679" i="4" a="1"/>
  <c r="N679" i="4" s="1"/>
  <c r="S680" i="4" a="1"/>
  <c r="S680" i="4" s="1"/>
  <c r="I682" i="4" a="1"/>
  <c r="I682" i="4" s="1"/>
  <c r="N683" i="4" a="1"/>
  <c r="N683" i="4" s="1"/>
  <c r="S684" i="4" a="1"/>
  <c r="S684" i="4" s="1"/>
  <c r="I686" i="4" a="1"/>
  <c r="I686" i="4" s="1"/>
  <c r="N687" i="4" a="1"/>
  <c r="N687" i="4" s="1"/>
  <c r="S688" i="4" a="1"/>
  <c r="S688" i="4" s="1"/>
  <c r="I690" i="4" a="1"/>
  <c r="I690" i="4" s="1"/>
  <c r="N691" i="4" a="1"/>
  <c r="N691" i="4" s="1"/>
  <c r="S692" i="4" a="1"/>
  <c r="S692" i="4" s="1"/>
  <c r="I694" i="4" a="1"/>
  <c r="I694" i="4" s="1"/>
  <c r="N695" i="4" a="1"/>
  <c r="N695" i="4" s="1"/>
  <c r="S696" i="4" a="1"/>
  <c r="S696" i="4" s="1"/>
  <c r="I698" i="4" a="1"/>
  <c r="I698" i="4" s="1"/>
  <c r="N699" i="4" a="1"/>
  <c r="N699" i="4" s="1"/>
  <c r="S700" i="4" a="1"/>
  <c r="S700" i="4" s="1"/>
  <c r="I702" i="4" a="1"/>
  <c r="I702" i="4" s="1"/>
  <c r="N703" i="4" a="1"/>
  <c r="N703" i="4" s="1"/>
  <c r="S704" i="4" a="1"/>
  <c r="S704" i="4" s="1"/>
  <c r="I706" i="4" a="1"/>
  <c r="I706" i="4" s="1"/>
  <c r="N707" i="4" a="1"/>
  <c r="N707" i="4" s="1"/>
  <c r="S708" i="4" a="1"/>
  <c r="S708" i="4" s="1"/>
  <c r="I710" i="4" a="1"/>
  <c r="I710" i="4" s="1"/>
  <c r="N711" i="4" a="1"/>
  <c r="N711" i="4" s="1"/>
  <c r="S712" i="4" a="1"/>
  <c r="S712" i="4" s="1"/>
  <c r="I714" i="4" a="1"/>
  <c r="I714" i="4" s="1"/>
  <c r="N715" i="4" a="1"/>
  <c r="N715" i="4" s="1"/>
  <c r="S716" i="4" a="1"/>
  <c r="S716" i="4" s="1"/>
  <c r="I718" i="4" a="1"/>
  <c r="I718" i="4" s="1"/>
  <c r="N719" i="4" a="1"/>
  <c r="N719" i="4" s="1"/>
  <c r="S720" i="4" a="1"/>
  <c r="S720" i="4" s="1"/>
  <c r="I722" i="4" a="1"/>
  <c r="I722" i="4" s="1"/>
  <c r="N723" i="4" a="1"/>
  <c r="N723" i="4" s="1"/>
  <c r="S724" i="4" a="1"/>
  <c r="S724" i="4" s="1"/>
  <c r="I726" i="4" a="1"/>
  <c r="I726" i="4" s="1"/>
  <c r="N727" i="4" a="1"/>
  <c r="N727" i="4" s="1"/>
  <c r="S728" i="4" a="1"/>
  <c r="S728" i="4" s="1"/>
  <c r="I730" i="4" a="1"/>
  <c r="I730" i="4" s="1"/>
  <c r="N731" i="4" a="1"/>
  <c r="N731" i="4" s="1"/>
  <c r="S732" i="4" a="1"/>
  <c r="S732" i="4" s="1"/>
  <c r="I734" i="4" a="1"/>
  <c r="I734" i="4" s="1"/>
  <c r="N735" i="4" a="1"/>
  <c r="N735" i="4" s="1"/>
  <c r="S736" i="4" a="1"/>
  <c r="S736" i="4" s="1"/>
  <c r="I738" i="4" a="1"/>
  <c r="I738" i="4" s="1"/>
  <c r="N739" i="4" a="1"/>
  <c r="N739" i="4" s="1"/>
  <c r="S740" i="4" a="1"/>
  <c r="S740" i="4" s="1"/>
  <c r="I742" i="4" a="1"/>
  <c r="I742" i="4" s="1"/>
  <c r="N743" i="4" a="1"/>
  <c r="N743" i="4" s="1"/>
  <c r="S1069" i="4" a="1"/>
  <c r="S1069" i="4" s="1"/>
  <c r="I1071" i="4" a="1"/>
  <c r="I1071" i="4" s="1"/>
  <c r="N1072" i="4" a="1"/>
  <c r="N1072" i="4" s="1"/>
  <c r="S1073" i="4" a="1"/>
  <c r="S1073" i="4" s="1"/>
  <c r="I1075" i="4" a="1"/>
  <c r="I1075" i="4" s="1"/>
  <c r="N1076" i="4" a="1"/>
  <c r="N1076" i="4" s="1"/>
  <c r="S1077" i="4" a="1"/>
  <c r="S1077" i="4" s="1"/>
  <c r="I1079" i="4" a="1"/>
  <c r="I1079" i="4" s="1"/>
  <c r="N1080" i="4" a="1"/>
  <c r="N1080" i="4" s="1"/>
  <c r="S1081" i="4" a="1"/>
  <c r="S1081" i="4" s="1"/>
  <c r="I1083" i="4" a="1"/>
  <c r="I1083" i="4" s="1"/>
  <c r="N1084" i="4" a="1"/>
  <c r="N1084" i="4" s="1"/>
  <c r="S1085" i="4" a="1"/>
  <c r="S1085" i="4" s="1"/>
  <c r="I1087" i="4" a="1"/>
  <c r="I1087" i="4" s="1"/>
  <c r="N1088" i="4" a="1"/>
  <c r="N1088" i="4" s="1"/>
  <c r="S1089" i="4" a="1"/>
  <c r="S1089" i="4" s="1"/>
  <c r="I1091" i="4" a="1"/>
  <c r="I1091" i="4" s="1"/>
  <c r="N1092" i="4" a="1"/>
  <c r="N1092" i="4" s="1"/>
  <c r="S1093" i="4" a="1"/>
  <c r="S1093" i="4" s="1"/>
  <c r="I1095" i="4" a="1"/>
  <c r="I1095" i="4" s="1"/>
  <c r="N1096" i="4" a="1"/>
  <c r="N1096" i="4" s="1"/>
  <c r="S1097" i="4" a="1"/>
  <c r="S1097" i="4" s="1"/>
  <c r="I1099" i="4" a="1"/>
  <c r="I1099" i="4" s="1"/>
  <c r="N1100" i="4" a="1"/>
  <c r="N1100" i="4" s="1"/>
  <c r="S1101" i="4" a="1"/>
  <c r="S1101" i="4" s="1"/>
  <c r="I1103" i="4" a="1"/>
  <c r="I1103" i="4" s="1"/>
  <c r="N1104" i="4" a="1"/>
  <c r="N1104" i="4" s="1"/>
  <c r="S1105" i="4" a="1"/>
  <c r="S1105" i="4" s="1"/>
  <c r="I1107" i="4" a="1"/>
  <c r="I1107" i="4" s="1"/>
  <c r="N1108" i="4" a="1"/>
  <c r="N1108" i="4" s="1"/>
  <c r="S1109" i="4" a="1"/>
  <c r="S1109" i="4" s="1"/>
  <c r="I1111" i="4" a="1"/>
  <c r="I1111" i="4" s="1"/>
  <c r="N1112" i="4" a="1"/>
  <c r="N1112" i="4" s="1"/>
  <c r="S1113" i="4" a="1"/>
  <c r="S1113" i="4" s="1"/>
  <c r="S1597" i="4" a="1"/>
  <c r="S1597" i="4" s="1"/>
  <c r="I1599" i="4" a="1"/>
  <c r="I1599" i="4" s="1"/>
  <c r="N1600" i="4" a="1"/>
  <c r="N1600" i="4" s="1"/>
  <c r="S1601" i="4" a="1"/>
  <c r="S1601" i="4" s="1"/>
  <c r="I1603" i="4" a="1"/>
  <c r="I1603" i="4" s="1"/>
  <c r="N1604" i="4" a="1"/>
  <c r="N1604" i="4" s="1"/>
  <c r="S1605" i="4" a="1"/>
  <c r="S1605" i="4" s="1"/>
  <c r="I1607" i="4" a="1"/>
  <c r="I1607" i="4" s="1"/>
  <c r="N1608" i="4" a="1"/>
  <c r="N1608" i="4" s="1"/>
  <c r="S1609" i="4" a="1"/>
  <c r="S1609" i="4" s="1"/>
  <c r="I1611" i="4" a="1"/>
  <c r="I1611" i="4" s="1"/>
  <c r="N1612" i="4" a="1"/>
  <c r="N1612" i="4" s="1"/>
  <c r="S1613" i="4" a="1"/>
  <c r="S1613" i="4" s="1"/>
  <c r="I1615" i="4" a="1"/>
  <c r="I1615" i="4" s="1"/>
  <c r="N1616" i="4" a="1"/>
  <c r="N1616" i="4" s="1"/>
  <c r="S1617" i="4" a="1"/>
  <c r="S1617" i="4" s="1"/>
  <c r="N1620" i="4" a="1"/>
  <c r="N1620" i="4" s="1"/>
  <c r="S1621" i="4" a="1"/>
  <c r="S1621" i="4" s="1"/>
  <c r="I1623" i="4" a="1"/>
  <c r="I1623" i="4" s="1"/>
  <c r="N1624" i="4" a="1"/>
  <c r="N1624" i="4" s="1"/>
  <c r="S1625" i="4" a="1"/>
  <c r="S1625" i="4" s="1"/>
  <c r="I1627" i="4" a="1"/>
  <c r="I1627" i="4" s="1"/>
  <c r="N1628" i="4" a="1"/>
  <c r="N1628" i="4" s="1"/>
  <c r="S1629" i="4" a="1"/>
  <c r="S1629" i="4" s="1"/>
  <c r="I1631" i="4" a="1"/>
  <c r="I1631" i="4" s="1"/>
  <c r="N1632" i="4" a="1"/>
  <c r="N1632" i="4" s="1"/>
  <c r="S1633" i="4" a="1"/>
  <c r="S1633" i="4" s="1"/>
  <c r="I1635" i="4" a="1"/>
  <c r="I1635" i="4" s="1"/>
  <c r="N1636" i="4" a="1"/>
  <c r="N1636" i="4" s="1"/>
  <c r="S1637" i="4" a="1"/>
  <c r="S1637" i="4" s="1"/>
  <c r="I1639" i="4" a="1"/>
  <c r="I1639" i="4" s="1"/>
  <c r="S1641" i="4" a="1"/>
  <c r="S1641" i="4" s="1"/>
  <c r="I1643" i="4" a="1"/>
  <c r="I1643" i="4" s="1"/>
  <c r="N1644" i="4" a="1"/>
  <c r="N1644" i="4" s="1"/>
  <c r="S1645" i="4" a="1"/>
  <c r="S1645" i="4" s="1"/>
  <c r="I1647" i="4" a="1"/>
  <c r="I1647" i="4" s="1"/>
  <c r="N1648" i="4" a="1"/>
  <c r="N1648" i="4" s="1"/>
  <c r="S1649" i="4" a="1"/>
  <c r="S1649" i="4" s="1"/>
  <c r="N1652" i="4" a="1"/>
  <c r="N1652" i="4" s="1"/>
  <c r="S1653" i="4" a="1"/>
  <c r="S1653" i="4" s="1"/>
  <c r="I1655" i="4" a="1"/>
  <c r="I1655" i="4" s="1"/>
  <c r="N1656" i="4" a="1"/>
  <c r="N1656" i="4" s="1"/>
  <c r="S1657" i="4" a="1"/>
  <c r="S1657" i="4" s="1"/>
  <c r="I1659" i="4" a="1"/>
  <c r="I1659" i="4" s="1"/>
  <c r="N1660" i="4" a="1"/>
  <c r="N1660" i="4" s="1"/>
  <c r="S1661" i="4" a="1"/>
  <c r="S1661" i="4" s="1"/>
  <c r="I1663" i="4" a="1"/>
  <c r="I1663" i="4" s="1"/>
  <c r="N1664" i="4" a="1"/>
  <c r="N1664" i="4" s="1"/>
  <c r="S1665" i="4" a="1"/>
  <c r="S1665" i="4" s="1"/>
  <c r="F22" i="41"/>
  <c r="F22" i="40"/>
  <c r="E49" i="38"/>
  <c r="F51" i="12"/>
  <c r="G50" i="12"/>
  <c r="G113" i="12"/>
  <c r="F113" i="12"/>
  <c r="E39" i="37"/>
  <c r="I39" i="37" s="1"/>
  <c r="M61" i="36"/>
  <c r="E78" i="37" s="1"/>
  <c r="G51" i="12"/>
  <c r="F50" i="37"/>
  <c r="N46" i="36"/>
  <c r="S744" i="4" a="1"/>
  <c r="S744" i="4" s="1"/>
  <c r="I746" i="4" a="1"/>
  <c r="I746" i="4" s="1"/>
  <c r="I750" i="4" a="1"/>
  <c r="I750" i="4" s="1"/>
  <c r="N751" i="4" a="1"/>
  <c r="N751" i="4" s="1"/>
  <c r="S752" i="4" a="1"/>
  <c r="S752" i="4" s="1"/>
  <c r="I754" i="4" a="1"/>
  <c r="I754" i="4" s="1"/>
  <c r="N755" i="4" a="1"/>
  <c r="N755" i="4" s="1"/>
  <c r="S756" i="4" a="1"/>
  <c r="S756" i="4" s="1"/>
  <c r="I758" i="4" a="1"/>
  <c r="I758" i="4" s="1"/>
  <c r="N759" i="4" a="1"/>
  <c r="N759" i="4" s="1"/>
  <c r="N763" i="4" a="1"/>
  <c r="N763" i="4" s="1"/>
  <c r="S764" i="4" a="1"/>
  <c r="S764" i="4" s="1"/>
  <c r="I766" i="4" a="1"/>
  <c r="I766" i="4" s="1"/>
  <c r="N767" i="4" a="1"/>
  <c r="N767" i="4" s="1"/>
  <c r="S768" i="4" a="1"/>
  <c r="S768" i="4" s="1"/>
  <c r="I770" i="4" a="1"/>
  <c r="I770" i="4" s="1"/>
  <c r="N771" i="4" a="1"/>
  <c r="N771" i="4" s="1"/>
  <c r="S772" i="4" a="1"/>
  <c r="S772" i="4" s="1"/>
  <c r="I774" i="4" a="1"/>
  <c r="I774" i="4" s="1"/>
  <c r="N775" i="4" a="1"/>
  <c r="N775" i="4" s="1"/>
  <c r="S776" i="4" a="1"/>
  <c r="S776" i="4" s="1"/>
  <c r="I778" i="4" a="1"/>
  <c r="I778" i="4" s="1"/>
  <c r="N779" i="4" a="1"/>
  <c r="N779" i="4" s="1"/>
  <c r="S780" i="4" a="1"/>
  <c r="S780" i="4" s="1"/>
  <c r="I782" i="4" a="1"/>
  <c r="I782" i="4" s="1"/>
  <c r="N783" i="4" a="1"/>
  <c r="N783" i="4" s="1"/>
  <c r="S784" i="4" a="1"/>
  <c r="S784" i="4" s="1"/>
  <c r="I786" i="4" a="1"/>
  <c r="I786" i="4" s="1"/>
  <c r="N787" i="4" a="1"/>
  <c r="N787" i="4" s="1"/>
  <c r="S788" i="4" a="1"/>
  <c r="S788" i="4" s="1"/>
  <c r="N799" i="4" a="1"/>
  <c r="N799" i="4" s="1"/>
  <c r="I822" i="4" a="1"/>
  <c r="I822" i="4" s="1"/>
  <c r="N827" i="4" a="1"/>
  <c r="N827" i="4" s="1"/>
  <c r="S832" i="4" a="1"/>
  <c r="S832" i="4" s="1"/>
  <c r="I834" i="4" a="1"/>
  <c r="I834" i="4" s="1"/>
  <c r="I1592" i="4" a="1"/>
  <c r="I1592" i="4" s="1"/>
  <c r="N1599" i="4" a="1"/>
  <c r="N1599" i="4" s="1"/>
  <c r="I255" i="4" a="1"/>
  <c r="I255" i="4" s="1"/>
  <c r="N256" i="4" a="1"/>
  <c r="N256" i="4" s="1"/>
  <c r="S257" i="4" a="1"/>
  <c r="S257" i="4" s="1"/>
  <c r="I259" i="4" a="1"/>
  <c r="I259" i="4" s="1"/>
  <c r="W1753" i="10" s="1"/>
  <c r="N260" i="4" a="1"/>
  <c r="N260" i="4" s="1"/>
  <c r="S261" i="4" a="1"/>
  <c r="S261" i="4" s="1"/>
  <c r="I263" i="4" a="1"/>
  <c r="I263" i="4" s="1"/>
  <c r="N264" i="4" a="1"/>
  <c r="N264" i="4" s="1"/>
  <c r="S265" i="4" a="1"/>
  <c r="S265" i="4" s="1"/>
  <c r="I267" i="4" a="1"/>
  <c r="I267" i="4" s="1"/>
  <c r="N268" i="4" a="1"/>
  <c r="N268" i="4" s="1"/>
  <c r="I271" i="4" a="1"/>
  <c r="I271" i="4" s="1"/>
  <c r="N272" i="4" a="1"/>
  <c r="N272" i="4" s="1"/>
  <c r="S273" i="4" a="1"/>
  <c r="S273" i="4" s="1"/>
  <c r="S277" i="4" a="1"/>
  <c r="S277" i="4" s="1"/>
  <c r="N280" i="4" a="1"/>
  <c r="N280" i="4" s="1"/>
  <c r="I283" i="4" a="1"/>
  <c r="I283" i="4" s="1"/>
  <c r="N284" i="4" a="1"/>
  <c r="N284" i="4" s="1"/>
  <c r="I287" i="4" a="1"/>
  <c r="I287" i="4" s="1"/>
  <c r="N288" i="4" a="1"/>
  <c r="N288" i="4" s="1"/>
  <c r="N292" i="4" a="1"/>
  <c r="N292" i="4" s="1"/>
  <c r="S293" i="4" a="1"/>
  <c r="S293" i="4" s="1"/>
  <c r="I295" i="4" a="1"/>
  <c r="I295" i="4" s="1"/>
  <c r="S297" i="4" a="1"/>
  <c r="S297" i="4" s="1"/>
  <c r="I299" i="4" a="1"/>
  <c r="I299" i="4" s="1"/>
  <c r="N300" i="4" a="1"/>
  <c r="N300" i="4" s="1"/>
  <c r="S301" i="4" a="1"/>
  <c r="S301" i="4" s="1"/>
  <c r="I303" i="4" a="1"/>
  <c r="I303" i="4" s="1"/>
  <c r="N304" i="4" a="1"/>
  <c r="N304" i="4" s="1"/>
  <c r="S305" i="4" a="1"/>
  <c r="S305" i="4" s="1"/>
  <c r="I307" i="4" a="1"/>
  <c r="I307" i="4" s="1"/>
  <c r="N308" i="4" a="1"/>
  <c r="N308" i="4" s="1"/>
  <c r="S309" i="4" a="1"/>
  <c r="S309" i="4" s="1"/>
  <c r="I311" i="4" a="1"/>
  <c r="I311" i="4" s="1"/>
  <c r="I315" i="4" a="1"/>
  <c r="I315" i="4" s="1"/>
  <c r="N316" i="4" a="1"/>
  <c r="N316" i="4" s="1"/>
  <c r="S317" i="4" a="1"/>
  <c r="S317" i="4" s="1"/>
  <c r="N320" i="4" a="1"/>
  <c r="N320" i="4" s="1"/>
  <c r="I323" i="4" a="1"/>
  <c r="I323" i="4" s="1"/>
  <c r="N324" i="4" a="1"/>
  <c r="N324" i="4" s="1"/>
  <c r="S325" i="4" a="1"/>
  <c r="S325" i="4" s="1"/>
  <c r="I327" i="4" a="1"/>
  <c r="I327" i="4" s="1"/>
  <c r="S329" i="4" a="1"/>
  <c r="S329" i="4" s="1"/>
  <c r="I331" i="4" a="1"/>
  <c r="I331" i="4" s="1"/>
  <c r="N332" i="4" a="1"/>
  <c r="N332" i="4" s="1"/>
  <c r="I335" i="4" a="1"/>
  <c r="I335" i="4" s="1"/>
  <c r="N336" i="4" a="1"/>
  <c r="N336" i="4" s="1"/>
  <c r="S337" i="4" a="1"/>
  <c r="S337" i="4" s="1"/>
  <c r="S341" i="4" a="1"/>
  <c r="S341" i="4" s="1"/>
  <c r="I343" i="4" a="1"/>
  <c r="I343" i="4" s="1"/>
  <c r="N344" i="4" a="1"/>
  <c r="N344" i="4" s="1"/>
  <c r="I347" i="4" a="1"/>
  <c r="I347" i="4" s="1"/>
  <c r="N348" i="4" a="1"/>
  <c r="N348" i="4" s="1"/>
  <c r="I351" i="4" a="1"/>
  <c r="I351" i="4" s="1"/>
  <c r="N352" i="4" a="1"/>
  <c r="N352" i="4" s="1"/>
  <c r="S353" i="4" a="1"/>
  <c r="S353" i="4" s="1"/>
  <c r="I355" i="4" a="1"/>
  <c r="I355" i="4" s="1"/>
  <c r="N356" i="4" a="1"/>
  <c r="N356" i="4" s="1"/>
  <c r="I359" i="4" a="1"/>
  <c r="I359" i="4" s="1"/>
  <c r="S9" i="4" a="1"/>
  <c r="S9" i="4" s="1"/>
  <c r="N12" i="4" a="1"/>
  <c r="N12" i="4" s="1"/>
  <c r="N24" i="4" a="1"/>
  <c r="N24" i="4" s="1"/>
  <c r="S41" i="4" a="1"/>
  <c r="S41" i="4" s="1"/>
  <c r="S49" i="4" a="1"/>
  <c r="S49" i="4" s="1"/>
  <c r="I63" i="4" a="1"/>
  <c r="I63" i="4" s="1"/>
  <c r="N80" i="4" a="1"/>
  <c r="N80" i="4" s="1"/>
  <c r="I91" i="4" a="1"/>
  <c r="I91" i="4" s="1"/>
  <c r="S101" i="4" a="1"/>
  <c r="S101" i="4" s="1"/>
  <c r="N112" i="4" a="1"/>
  <c r="N112" i="4" s="1"/>
  <c r="N128" i="4" a="1"/>
  <c r="N128" i="4" s="1"/>
  <c r="I131" i="4" a="1"/>
  <c r="I131" i="4" s="1"/>
  <c r="I135" i="4" a="1"/>
  <c r="I135" i="4" s="1"/>
  <c r="S137" i="4" a="1"/>
  <c r="S137" i="4" s="1"/>
  <c r="I143" i="4" a="1"/>
  <c r="I143" i="4" s="1"/>
  <c r="N148" i="4" a="1"/>
  <c r="N148" i="4" s="1"/>
  <c r="N152" i="4" a="1"/>
  <c r="N152" i="4" s="1"/>
  <c r="N156" i="4" a="1"/>
  <c r="N156" i="4" s="1"/>
  <c r="S161" i="4" a="1"/>
  <c r="S161" i="4" s="1"/>
  <c r="I167" i="4" a="1"/>
  <c r="I167" i="4" s="1"/>
  <c r="S169" i="4" a="1"/>
  <c r="S169" i="4" s="1"/>
  <c r="S173" i="4" a="1"/>
  <c r="S173" i="4" s="1"/>
  <c r="N176" i="4" a="1"/>
  <c r="N176" i="4" s="1"/>
  <c r="N180" i="4" a="1"/>
  <c r="N180" i="4" s="1"/>
  <c r="I183" i="4" a="1"/>
  <c r="I183" i="4" s="1"/>
  <c r="I187" i="4" a="1"/>
  <c r="I187" i="4" s="1"/>
  <c r="S189" i="4" a="1"/>
  <c r="S189" i="4" s="1"/>
  <c r="I191" i="4" a="1"/>
  <c r="I191" i="4" s="1"/>
  <c r="N192" i="4" a="1"/>
  <c r="N192" i="4" s="1"/>
  <c r="S193" i="4" a="1"/>
  <c r="S193" i="4" s="1"/>
  <c r="I199" i="4" a="1"/>
  <c r="I199" i="4" s="1"/>
  <c r="N200" i="4" a="1"/>
  <c r="N200" i="4" s="1"/>
  <c r="S201" i="4" a="1"/>
  <c r="S201" i="4" s="1"/>
  <c r="N204" i="4" a="1"/>
  <c r="N204" i="4" s="1"/>
  <c r="I207" i="4" a="1"/>
  <c r="I207" i="4" s="1"/>
  <c r="N208" i="4" a="1"/>
  <c r="N208" i="4" s="1"/>
  <c r="S209" i="4" a="1"/>
  <c r="S209" i="4" s="1"/>
  <c r="I211" i="4" a="1"/>
  <c r="I211" i="4" s="1"/>
  <c r="N212" i="4" a="1"/>
  <c r="N212" i="4" s="1"/>
  <c r="S213" i="4" a="1"/>
  <c r="S213" i="4" s="1"/>
  <c r="I215" i="4" a="1"/>
  <c r="I215" i="4" s="1"/>
  <c r="N216" i="4" a="1"/>
  <c r="N216" i="4" s="1"/>
  <c r="I219" i="4" a="1"/>
  <c r="I219" i="4" s="1"/>
  <c r="N220" i="4" a="1"/>
  <c r="N220" i="4" s="1"/>
  <c r="S221" i="4" a="1"/>
  <c r="S221" i="4" s="1"/>
  <c r="I223" i="4" a="1"/>
  <c r="I223" i="4" s="1"/>
  <c r="N224" i="4" a="1"/>
  <c r="N224" i="4" s="1"/>
  <c r="S225" i="4" a="1"/>
  <c r="S225" i="4" s="1"/>
  <c r="I227" i="4" a="1"/>
  <c r="I227" i="4" s="1"/>
  <c r="S229" i="4" a="1"/>
  <c r="S229" i="4" s="1"/>
  <c r="I231" i="4" a="1"/>
  <c r="I231" i="4" s="1"/>
  <c r="N232" i="4" a="1"/>
  <c r="N232" i="4" s="1"/>
  <c r="S233" i="4" a="1"/>
  <c r="S233" i="4" s="1"/>
  <c r="I235" i="4" a="1"/>
  <c r="I235" i="4" s="1"/>
  <c r="N236" i="4" a="1"/>
  <c r="N236" i="4" s="1"/>
  <c r="S237" i="4" a="1"/>
  <c r="S237" i="4" s="1"/>
  <c r="I239" i="4" a="1"/>
  <c r="I239" i="4" s="1"/>
  <c r="N240" i="4" a="1"/>
  <c r="N240" i="4" s="1"/>
  <c r="S241" i="4" a="1"/>
  <c r="S241" i="4" s="1"/>
  <c r="I243" i="4" a="1"/>
  <c r="I243" i="4" s="1"/>
  <c r="N244" i="4" a="1"/>
  <c r="N244" i="4" s="1"/>
  <c r="S245" i="4" a="1"/>
  <c r="S245" i="4" s="1"/>
  <c r="I251" i="4" a="1"/>
  <c r="I251" i="4" s="1"/>
  <c r="N252" i="4" a="1"/>
  <c r="N252" i="4" s="1"/>
  <c r="S5" i="4" a="1"/>
  <c r="S5" i="4" s="1"/>
  <c r="N16" i="4" a="1"/>
  <c r="N16" i="4" s="1"/>
  <c r="S21" i="4" a="1"/>
  <c r="S21" i="4" s="1"/>
  <c r="S33" i="4" a="1"/>
  <c r="S33" i="4" s="1"/>
  <c r="I43" i="4" a="1"/>
  <c r="I43" i="4" s="1"/>
  <c r="N48" i="4" a="1"/>
  <c r="N48" i="4" s="1"/>
  <c r="N60" i="4" a="1"/>
  <c r="N60" i="4" s="1"/>
  <c r="S65" i="4" a="1"/>
  <c r="S65" i="4" s="1"/>
  <c r="I75" i="4" a="1"/>
  <c r="I75" i="4" s="1"/>
  <c r="I83" i="4" a="1"/>
  <c r="I83" i="4" s="1"/>
  <c r="N92" i="4" a="1"/>
  <c r="N92" i="4" s="1"/>
  <c r="S97" i="4" a="1"/>
  <c r="S97" i="4" s="1"/>
  <c r="S109" i="4" a="1"/>
  <c r="S109" i="4" s="1"/>
  <c r="I119" i="4" a="1"/>
  <c r="I119" i="4" s="1"/>
  <c r="S125" i="4" a="1"/>
  <c r="S125" i="4" s="1"/>
  <c r="I127" i="4" a="1"/>
  <c r="I127" i="4" s="1"/>
  <c r="W1504" i="10" s="1"/>
  <c r="N132" i="4" a="1"/>
  <c r="N132" i="4" s="1"/>
  <c r="S133" i="4" a="1"/>
  <c r="S133" i="4" s="1"/>
  <c r="I139" i="4" a="1"/>
  <c r="I139" i="4" s="1"/>
  <c r="N140" i="4" a="1"/>
  <c r="N140" i="4" s="1"/>
  <c r="S145" i="4" a="1"/>
  <c r="S145" i="4" s="1"/>
  <c r="S149" i="4" a="1"/>
  <c r="S149" i="4" s="1"/>
  <c r="I151" i="4" a="1"/>
  <c r="I151" i="4" s="1"/>
  <c r="I155" i="4" a="1"/>
  <c r="I155" i="4" s="1"/>
  <c r="I159" i="4" a="1"/>
  <c r="I159" i="4" s="1"/>
  <c r="S165" i="4" a="1"/>
  <c r="S165" i="4" s="1"/>
  <c r="N168" i="4" a="1"/>
  <c r="N168" i="4" s="1"/>
  <c r="I171" i="4" a="1"/>
  <c r="I171" i="4" s="1"/>
  <c r="N172" i="4" a="1"/>
  <c r="N172" i="4" s="1"/>
  <c r="I175" i="4" a="1"/>
  <c r="I175" i="4" s="1"/>
  <c r="AB1058" i="10" s="1"/>
  <c r="S177" i="4" a="1"/>
  <c r="S177" i="4" s="1"/>
  <c r="S181" i="4" a="1"/>
  <c r="S181" i="4" s="1"/>
  <c r="S185" i="4" a="1"/>
  <c r="S185" i="4" s="1"/>
  <c r="N188" i="4" a="1"/>
  <c r="N188" i="4" s="1"/>
  <c r="S197" i="4" a="1"/>
  <c r="S197" i="4" s="1"/>
  <c r="I7" i="4" a="1"/>
  <c r="I7" i="4" s="1"/>
  <c r="AB52" i="10" s="1"/>
  <c r="S13" i="4" a="1"/>
  <c r="S13" i="4" s="1"/>
  <c r="I27" i="4" a="1"/>
  <c r="I27" i="4" s="1"/>
  <c r="I35" i="4" a="1"/>
  <c r="I35" i="4" s="1"/>
  <c r="I47" i="4" a="1"/>
  <c r="I47" i="4" s="1"/>
  <c r="I55" i="4" a="1"/>
  <c r="I55" i="4" s="1"/>
  <c r="N64" i="4" a="1"/>
  <c r="N64" i="4" s="1"/>
  <c r="E64" i="11" s="1"/>
  <c r="N76" i="4" a="1"/>
  <c r="N76" i="4" s="1"/>
  <c r="I87" i="4" a="1"/>
  <c r="I87" i="4" s="1"/>
  <c r="N96" i="4" a="1"/>
  <c r="N96" i="4" s="1"/>
  <c r="N104" i="4" a="1"/>
  <c r="N104" i="4" s="1"/>
  <c r="S113" i="4" a="1"/>
  <c r="S113" i="4" s="1"/>
  <c r="N124" i="4" a="1"/>
  <c r="N124" i="4" s="1"/>
  <c r="I19" i="4" a="1"/>
  <c r="I19" i="4" s="1"/>
  <c r="S25" i="4" a="1"/>
  <c r="S25" i="4" s="1"/>
  <c r="S53" i="4" a="1"/>
  <c r="S53" i="4" s="1"/>
  <c r="S61" i="4" a="1"/>
  <c r="S61" i="4" s="1"/>
  <c r="S69" i="4" a="1"/>
  <c r="S69" i="4" s="1"/>
  <c r="N84" i="4" a="1"/>
  <c r="N84" i="4" s="1"/>
  <c r="S89" i="4" a="1"/>
  <c r="S89" i="4" s="1"/>
  <c r="I103" i="4" a="1"/>
  <c r="I103" i="4" s="1"/>
  <c r="I107" i="4" a="1"/>
  <c r="I107" i="4" s="1"/>
  <c r="I123" i="4" a="1"/>
  <c r="I123" i="4" s="1"/>
  <c r="N144" i="4" a="1"/>
  <c r="N144" i="4" s="1"/>
  <c r="I15" i="4" a="1"/>
  <c r="I15" i="4" s="1"/>
  <c r="I23" i="4" a="1"/>
  <c r="I23" i="4" s="1"/>
  <c r="N28" i="4" a="1"/>
  <c r="N28" i="4" s="1"/>
  <c r="N32" i="4" a="1"/>
  <c r="N32" i="4" s="1"/>
  <c r="N44" i="4" a="1"/>
  <c r="N44" i="4" s="1"/>
  <c r="I59" i="4" a="1"/>
  <c r="I59" i="4" s="1"/>
  <c r="I67" i="4" a="1"/>
  <c r="I67" i="4" s="1"/>
  <c r="W18" i="10" s="1"/>
  <c r="N72" i="4" a="1"/>
  <c r="N72" i="4" s="1"/>
  <c r="S81" i="4" a="1"/>
  <c r="S81" i="4" s="1"/>
  <c r="S85" i="4" a="1"/>
  <c r="S85" i="4" s="1"/>
  <c r="I95" i="4" a="1"/>
  <c r="I95" i="4" s="1"/>
  <c r="F95" i="11" s="1"/>
  <c r="N100" i="4" a="1"/>
  <c r="N100" i="4" s="1"/>
  <c r="S105" i="4" a="1"/>
  <c r="S105" i="4" s="1"/>
  <c r="S117" i="4" a="1"/>
  <c r="S117" i="4" s="1"/>
  <c r="I147" i="4" a="1"/>
  <c r="I147" i="4" s="1"/>
  <c r="I837" i="4" a="1"/>
  <c r="I837" i="4" s="1"/>
  <c r="I857" i="4" a="1"/>
  <c r="I857" i="4" s="1"/>
  <c r="S931" i="4" a="1"/>
  <c r="S931" i="4" s="1"/>
  <c r="W1042" i="10"/>
  <c r="D22" i="48"/>
  <c r="D27" i="52" s="1"/>
  <c r="D40" i="48"/>
  <c r="D37" i="48" s="1"/>
  <c r="C7" i="20"/>
  <c r="AB118" i="10"/>
  <c r="W323" i="10"/>
  <c r="W683" i="10"/>
  <c r="W1153" i="10"/>
  <c r="W505" i="10"/>
  <c r="F104" i="11"/>
  <c r="E104" i="11"/>
  <c r="N37" i="12"/>
  <c r="N64" i="12"/>
  <c r="N109" i="12"/>
  <c r="G76" i="12"/>
  <c r="G52" i="12"/>
  <c r="G48" i="12" s="1"/>
  <c r="G54" i="12"/>
  <c r="G73" i="12"/>
  <c r="G72" i="12"/>
  <c r="F54" i="12"/>
  <c r="F76" i="12"/>
  <c r="F73" i="12"/>
  <c r="F72" i="12"/>
  <c r="G58" i="31"/>
  <c r="F58" i="31"/>
  <c r="E58" i="31"/>
  <c r="D58" i="31"/>
  <c r="I128" i="32"/>
  <c r="F144" i="32" s="1"/>
  <c r="AF66" i="32"/>
  <c r="AF121" i="32" s="1"/>
  <c r="AF45" i="32"/>
  <c r="AF100" i="32" s="1"/>
  <c r="AF42" i="32"/>
  <c r="AF97" i="32" s="1"/>
  <c r="AF39" i="32"/>
  <c r="AF94" i="32" s="1"/>
  <c r="AF36" i="32"/>
  <c r="AE66" i="32"/>
  <c r="AE121" i="32" s="1"/>
  <c r="AF53" i="32"/>
  <c r="AF108" i="32" s="1"/>
  <c r="AE45" i="32"/>
  <c r="AE100" i="32" s="1"/>
  <c r="AE42" i="32"/>
  <c r="AE97" i="32" s="1"/>
  <c r="AE39" i="32"/>
  <c r="AE94" i="32" s="1"/>
  <c r="AE36" i="32"/>
  <c r="AE91" i="32" s="1"/>
  <c r="AF30" i="32"/>
  <c r="AF85" i="32" s="1"/>
  <c r="AF27" i="32"/>
  <c r="AF82" i="32" s="1"/>
  <c r="AE30" i="32"/>
  <c r="AE85" i="32" s="1"/>
  <c r="AE27" i="32"/>
  <c r="AE82" i="32" s="1"/>
  <c r="AF52" i="32"/>
  <c r="AF107" i="32" s="1"/>
  <c r="AF44" i="32"/>
  <c r="AF99" i="32" s="1"/>
  <c r="AF41" i="32"/>
  <c r="AF96" i="32" s="1"/>
  <c r="AF38" i="32"/>
  <c r="AF93" i="32" s="1"/>
  <c r="AF49" i="32"/>
  <c r="AF104" i="32" s="1"/>
  <c r="AE44" i="32"/>
  <c r="AE99" i="32" s="1"/>
  <c r="AE41" i="32"/>
  <c r="AE96" i="32" s="1"/>
  <c r="AE38" i="32"/>
  <c r="AE93" i="32" s="1"/>
  <c r="AF32" i="32"/>
  <c r="AF87" i="32" s="1"/>
  <c r="AF29" i="32"/>
  <c r="AF84" i="32" s="1"/>
  <c r="AF26" i="32"/>
  <c r="AF81" i="32" s="1"/>
  <c r="AE32" i="32"/>
  <c r="AE87" i="32" s="1"/>
  <c r="AE29" i="32"/>
  <c r="AE84" i="32" s="1"/>
  <c r="AE26" i="32"/>
  <c r="AE81" i="32" s="1"/>
  <c r="AE58" i="32"/>
  <c r="AE113" i="32" s="1"/>
  <c r="AF68" i="32"/>
  <c r="AF123" i="32" s="1"/>
  <c r="AF43" i="32"/>
  <c r="AF98" i="32" s="1"/>
  <c r="AF40" i="32"/>
  <c r="AF95" i="32" s="1"/>
  <c r="AF37" i="32"/>
  <c r="AF92" i="32" s="1"/>
  <c r="AE68" i="32"/>
  <c r="AE123" i="32" s="1"/>
  <c r="AE57" i="32"/>
  <c r="AE112" i="32" s="1"/>
  <c r="AE43" i="32"/>
  <c r="AE98" i="32" s="1"/>
  <c r="AE40" i="32"/>
  <c r="AE95" i="32" s="1"/>
  <c r="AE37" i="32"/>
  <c r="AE92" i="32" s="1"/>
  <c r="AF31" i="32"/>
  <c r="AF86" i="32" s="1"/>
  <c r="AF28" i="32"/>
  <c r="AF83" i="32" s="1"/>
  <c r="AF25" i="32"/>
  <c r="AF80" i="32" s="1"/>
  <c r="AE31" i="32"/>
  <c r="AE86" i="32" s="1"/>
  <c r="AE28" i="32"/>
  <c r="AE83" i="32" s="1"/>
  <c r="AE25" i="32"/>
  <c r="AE56" i="32"/>
  <c r="AE111" i="32" s="1"/>
  <c r="J61" i="26"/>
  <c r="E78" i="26" s="1"/>
  <c r="G61" i="26"/>
  <c r="K61" i="26"/>
  <c r="E61" i="26"/>
  <c r="I61" i="26"/>
  <c r="D61" i="26"/>
  <c r="F61" i="26"/>
  <c r="H61" i="26"/>
  <c r="M61" i="26"/>
  <c r="L61" i="26"/>
  <c r="E61" i="29"/>
  <c r="D61" i="29"/>
  <c r="G61" i="29"/>
  <c r="F61" i="29"/>
  <c r="D67" i="40"/>
  <c r="D22" i="40"/>
  <c r="E22" i="44"/>
  <c r="D22" i="44"/>
  <c r="D70" i="40"/>
  <c r="D21" i="40"/>
  <c r="D69" i="40"/>
  <c r="D42" i="40"/>
  <c r="E29" i="40"/>
  <c r="G29" i="40" s="1"/>
  <c r="D25" i="44"/>
  <c r="D29" i="40"/>
  <c r="D24" i="44"/>
  <c r="D23" i="44"/>
  <c r="F69" i="40"/>
  <c r="D21" i="44"/>
  <c r="F70" i="40"/>
  <c r="E25" i="44"/>
  <c r="D20" i="44"/>
  <c r="D18" i="44"/>
  <c r="E24" i="44"/>
  <c r="D19" i="44"/>
  <c r="E23" i="44"/>
  <c r="D31" i="46"/>
  <c r="D27" i="41"/>
  <c r="D19" i="35"/>
  <c r="D18" i="35"/>
  <c r="D26" i="35"/>
  <c r="D20" i="35"/>
  <c r="D25" i="35"/>
  <c r="D30" i="35"/>
  <c r="D24" i="35"/>
  <c r="D29" i="35"/>
  <c r="D23" i="35"/>
  <c r="D21" i="35"/>
  <c r="D28" i="35"/>
  <c r="D22" i="35"/>
  <c r="D27" i="35"/>
  <c r="D53" i="40"/>
  <c r="I24" i="38"/>
  <c r="G26" i="38"/>
  <c r="I26" i="38" s="1"/>
  <c r="J24" i="38"/>
  <c r="H26" i="38"/>
  <c r="J26" i="38" s="1"/>
  <c r="D22" i="46"/>
  <c r="D23" i="46"/>
  <c r="D21" i="41"/>
  <c r="D30" i="39"/>
  <c r="D30" i="46"/>
  <c r="D47" i="41"/>
  <c r="D20" i="40"/>
  <c r="D18" i="46"/>
  <c r="D36" i="41"/>
  <c r="D35" i="46"/>
  <c r="D55" i="41"/>
  <c r="D38" i="40"/>
  <c r="D19" i="46"/>
  <c r="D42" i="41"/>
  <c r="D21" i="43"/>
  <c r="D21" i="46"/>
  <c r="D69" i="41"/>
  <c r="D59" i="40"/>
  <c r="D22" i="43"/>
  <c r="D17" i="41"/>
  <c r="D19" i="43"/>
  <c r="D19" i="41"/>
  <c r="D27" i="39"/>
  <c r="D17" i="46"/>
  <c r="D29" i="41"/>
  <c r="D19" i="40"/>
  <c r="D20" i="43"/>
  <c r="D17" i="43"/>
  <c r="D61" i="41"/>
  <c r="D46" i="40"/>
  <c r="D18" i="43"/>
  <c r="D66" i="40"/>
  <c r="D70" i="41"/>
  <c r="D64" i="40"/>
  <c r="D19" i="39"/>
  <c r="D20" i="41"/>
  <c r="D20" i="39"/>
  <c r="D43" i="46"/>
  <c r="D53" i="41"/>
  <c r="D36" i="40"/>
  <c r="D28" i="39"/>
  <c r="D68" i="41"/>
  <c r="D58" i="40"/>
  <c r="D36" i="46"/>
  <c r="D62" i="41"/>
  <c r="D56" i="40"/>
  <c r="D61" i="40"/>
  <c r="D33" i="46"/>
  <c r="D24" i="40"/>
  <c r="D38" i="46"/>
  <c r="D60" i="41"/>
  <c r="D39" i="40"/>
  <c r="D26" i="46"/>
  <c r="D54" i="41"/>
  <c r="D41" i="40"/>
  <c r="D63" i="41"/>
  <c r="E11" i="2"/>
  <c r="F3" i="11" s="1"/>
  <c r="L50" i="36"/>
  <c r="L51" i="36" s="1"/>
  <c r="L55" i="36" s="1"/>
  <c r="F48" i="36"/>
  <c r="N48" i="36" s="1"/>
  <c r="J50" i="36"/>
  <c r="J51" i="36" s="1"/>
  <c r="J55" i="36" s="1"/>
  <c r="H50" i="36"/>
  <c r="H51" i="36" s="1"/>
  <c r="H55" i="36" s="1"/>
  <c r="Q47" i="38"/>
  <c r="R40" i="38"/>
  <c r="R33" i="38"/>
  <c r="Q33" i="38"/>
  <c r="I40" i="38"/>
  <c r="C1" i="65"/>
  <c r="E5" i="66"/>
  <c r="W48" i="2"/>
  <c r="W21" i="2"/>
  <c r="W221" i="2"/>
  <c r="AB361" i="2"/>
  <c r="AB439" i="2"/>
  <c r="AB570" i="2"/>
  <c r="W1371" i="2"/>
  <c r="W1732" i="2"/>
  <c r="W1304" i="2"/>
  <c r="AB957" i="2"/>
  <c r="W649" i="2"/>
  <c r="W606" i="2"/>
  <c r="W667" i="2"/>
  <c r="AB287" i="2"/>
  <c r="W312" i="2"/>
  <c r="AB414" i="2"/>
  <c r="W294" i="2"/>
  <c r="AB187" i="2"/>
  <c r="AB372" i="2"/>
  <c r="W268" i="2"/>
  <c r="AB180" i="2"/>
  <c r="W113" i="2"/>
  <c r="AB43" i="2"/>
  <c r="W45" i="2"/>
  <c r="AB37" i="2"/>
  <c r="AB30" i="2"/>
  <c r="W39" i="2"/>
  <c r="W138" i="2"/>
  <c r="AB131" i="2"/>
  <c r="W249" i="2"/>
  <c r="W456" i="2"/>
  <c r="AB500" i="2"/>
  <c r="W888" i="2"/>
  <c r="F37" i="49"/>
  <c r="F30" i="49"/>
  <c r="I82" i="55"/>
  <c r="AB59" i="2"/>
  <c r="W36" i="2"/>
  <c r="AB74" i="2"/>
  <c r="AB143" i="2"/>
  <c r="AB260" i="2"/>
  <c r="W411" i="2"/>
  <c r="AB141" i="2"/>
  <c r="AB286" i="2"/>
  <c r="AB110" i="2"/>
  <c r="W112" i="2"/>
  <c r="W610" i="2"/>
  <c r="AB741" i="2"/>
  <c r="AB569" i="2"/>
  <c r="W1158" i="2"/>
  <c r="O102" i="6"/>
  <c r="G117" i="12"/>
  <c r="W34" i="2"/>
  <c r="AB67" i="2"/>
  <c r="W76" i="2"/>
  <c r="W170" i="2"/>
  <c r="W305" i="2"/>
  <c r="W422" i="2"/>
  <c r="W177" i="2"/>
  <c r="AB331" i="2"/>
  <c r="AB129" i="2"/>
  <c r="W250" i="2"/>
  <c r="AB800" i="2"/>
  <c r="W807" i="2"/>
  <c r="W805" i="2"/>
  <c r="W1094" i="2"/>
  <c r="F42" i="48"/>
  <c r="F17" i="49"/>
  <c r="F16" i="49"/>
  <c r="F15" i="49"/>
  <c r="W1694" i="10"/>
  <c r="W743" i="10"/>
  <c r="W107" i="10"/>
  <c r="N1116" i="4" a="1"/>
  <c r="N1116" i="4" s="1"/>
  <c r="S1117" i="4" a="1"/>
  <c r="S1117" i="4" s="1"/>
  <c r="I1119" i="4" a="1"/>
  <c r="I1119" i="4" s="1"/>
  <c r="N1120" i="4" a="1"/>
  <c r="N1120" i="4" s="1"/>
  <c r="S1121" i="4" a="1"/>
  <c r="S1121" i="4" s="1"/>
  <c r="I1123" i="4" a="1"/>
  <c r="I1123" i="4" s="1"/>
  <c r="N1124" i="4" a="1"/>
  <c r="N1124" i="4" s="1"/>
  <c r="I1127" i="4" a="1"/>
  <c r="I1127" i="4" s="1"/>
  <c r="N1128" i="4" a="1"/>
  <c r="N1128" i="4" s="1"/>
  <c r="S1129" i="4" a="1"/>
  <c r="S1129" i="4" s="1"/>
  <c r="I1131" i="4" a="1"/>
  <c r="I1131" i="4" s="1"/>
  <c r="N1132" i="4" a="1"/>
  <c r="N1132" i="4" s="1"/>
  <c r="S1133" i="4" a="1"/>
  <c r="S1133" i="4" s="1"/>
  <c r="I1135" i="4" a="1"/>
  <c r="I1135" i="4" s="1"/>
  <c r="N1136" i="4" a="1"/>
  <c r="N1136" i="4" s="1"/>
  <c r="S1137" i="4" a="1"/>
  <c r="S1137" i="4" s="1"/>
  <c r="I1139" i="4" a="1"/>
  <c r="I1139" i="4" s="1"/>
  <c r="N1140" i="4" a="1"/>
  <c r="N1140" i="4" s="1"/>
  <c r="S1141" i="4" a="1"/>
  <c r="S1141" i="4" s="1"/>
  <c r="I1143" i="4" a="1"/>
  <c r="I1143" i="4" s="1"/>
  <c r="N1144" i="4" a="1"/>
  <c r="N1144" i="4" s="1"/>
  <c r="S1145" i="4" a="1"/>
  <c r="S1145" i="4" s="1"/>
  <c r="N1148" i="4" a="1"/>
  <c r="N1148" i="4" s="1"/>
  <c r="S1149" i="4" a="1"/>
  <c r="S1149" i="4" s="1"/>
  <c r="I1151" i="4" a="1"/>
  <c r="I1151" i="4" s="1"/>
  <c r="N1152" i="4" a="1"/>
  <c r="N1152" i="4" s="1"/>
  <c r="S1153" i="4" a="1"/>
  <c r="S1153" i="4" s="1"/>
  <c r="I1155" i="4" a="1"/>
  <c r="I1155" i="4" s="1"/>
  <c r="N1156" i="4" a="1"/>
  <c r="N1156" i="4" s="1"/>
  <c r="I1159" i="4" a="1"/>
  <c r="I1159" i="4" s="1"/>
  <c r="N1160" i="4" a="1"/>
  <c r="N1160" i="4" s="1"/>
  <c r="S1161" i="4" a="1"/>
  <c r="S1161" i="4" s="1"/>
  <c r="I1163" i="4" a="1"/>
  <c r="I1163" i="4" s="1"/>
  <c r="N1164" i="4" a="1"/>
  <c r="N1164" i="4" s="1"/>
  <c r="S1165" i="4" a="1"/>
  <c r="S1165" i="4" s="1"/>
  <c r="I1167" i="4" a="1"/>
  <c r="I1167" i="4" s="1"/>
  <c r="S1169" i="4" a="1"/>
  <c r="S1169" i="4" s="1"/>
  <c r="I1171" i="4" a="1"/>
  <c r="I1171" i="4" s="1"/>
  <c r="N1172" i="4" a="1"/>
  <c r="N1172" i="4" s="1"/>
  <c r="S1173" i="4" a="1"/>
  <c r="S1173" i="4" s="1"/>
  <c r="I1175" i="4" a="1"/>
  <c r="I1175" i="4" s="1"/>
  <c r="N1176" i="4" a="1"/>
  <c r="N1176" i="4" s="1"/>
  <c r="S1177" i="4" a="1"/>
  <c r="S1177" i="4" s="1"/>
  <c r="I1179" i="4" a="1"/>
  <c r="I1179" i="4" s="1"/>
  <c r="N1180" i="4" a="1"/>
  <c r="N1180" i="4" s="1"/>
  <c r="S1181" i="4" a="1"/>
  <c r="S1181" i="4" s="1"/>
  <c r="I1183" i="4" a="1"/>
  <c r="I1183" i="4" s="1"/>
  <c r="N1184" i="4" a="1"/>
  <c r="N1184" i="4" s="1"/>
  <c r="S1185" i="4" a="1"/>
  <c r="S1185" i="4" s="1"/>
  <c r="I1187" i="4" a="1"/>
  <c r="I1187" i="4" s="1"/>
  <c r="N1188" i="4" a="1"/>
  <c r="N1188" i="4" s="1"/>
  <c r="I1191" i="4" a="1"/>
  <c r="I1191" i="4" s="1"/>
  <c r="N1192" i="4" a="1"/>
  <c r="N1192" i="4" s="1"/>
  <c r="S1193" i="4" a="1"/>
  <c r="S1193" i="4" s="1"/>
  <c r="I1195" i="4" a="1"/>
  <c r="I1195" i="4" s="1"/>
  <c r="N1196" i="4" a="1"/>
  <c r="N1196" i="4" s="1"/>
  <c r="S1197" i="4" a="1"/>
  <c r="S1197" i="4" s="1"/>
  <c r="I1199" i="4" a="1"/>
  <c r="I1199" i="4" s="1"/>
  <c r="S1201" i="4" a="1"/>
  <c r="S1201" i="4" s="1"/>
  <c r="I1203" i="4" a="1"/>
  <c r="I1203" i="4" s="1"/>
  <c r="N1204" i="4" a="1"/>
  <c r="N1204" i="4" s="1"/>
  <c r="S1205" i="4" a="1"/>
  <c r="S1205" i="4" s="1"/>
  <c r="I1207" i="4" a="1"/>
  <c r="I1207" i="4" s="1"/>
  <c r="N1208" i="4" a="1"/>
  <c r="N1208" i="4" s="1"/>
  <c r="S1209" i="4" a="1"/>
  <c r="S1209" i="4" s="1"/>
  <c r="I1211" i="4" a="1"/>
  <c r="I1211" i="4" s="1"/>
  <c r="N1212" i="4" a="1"/>
  <c r="N1212" i="4" s="1"/>
  <c r="S1213" i="4" a="1"/>
  <c r="S1213" i="4" s="1"/>
  <c r="I1215" i="4" a="1"/>
  <c r="I1215" i="4" s="1"/>
  <c r="N1216" i="4" a="1"/>
  <c r="N1216" i="4" s="1"/>
  <c r="S1217" i="4" a="1"/>
  <c r="S1217" i="4" s="1"/>
  <c r="I1219" i="4" a="1"/>
  <c r="I1219" i="4" s="1"/>
  <c r="N1220" i="4" a="1"/>
  <c r="N1220" i="4" s="1"/>
  <c r="I1223" i="4" a="1"/>
  <c r="I1223" i="4" s="1"/>
  <c r="N1224" i="4" a="1"/>
  <c r="N1224" i="4" s="1"/>
  <c r="S1225" i="4" a="1"/>
  <c r="S1225" i="4" s="1"/>
  <c r="I1227" i="4" a="1"/>
  <c r="I1227" i="4" s="1"/>
  <c r="N1228" i="4" a="1"/>
  <c r="N1228" i="4" s="1"/>
  <c r="S1229" i="4" a="1"/>
  <c r="S1229" i="4" s="1"/>
  <c r="I1231" i="4" a="1"/>
  <c r="I1231" i="4" s="1"/>
  <c r="S1233" i="4" a="1"/>
  <c r="S1233" i="4" s="1"/>
  <c r="I1235" i="4" a="1"/>
  <c r="I1235" i="4" s="1"/>
  <c r="N1236" i="4" a="1"/>
  <c r="N1236" i="4" s="1"/>
  <c r="S1237" i="4" a="1"/>
  <c r="S1237" i="4" s="1"/>
  <c r="I1239" i="4" a="1"/>
  <c r="I1239" i="4" s="1"/>
  <c r="N1240" i="4" a="1"/>
  <c r="N1240" i="4" s="1"/>
  <c r="S1241" i="4" a="1"/>
  <c r="S1241" i="4" s="1"/>
  <c r="I1243" i="4" a="1"/>
  <c r="I1243" i="4" s="1"/>
  <c r="N1244" i="4" a="1"/>
  <c r="N1244" i="4" s="1"/>
  <c r="S1245" i="4" a="1"/>
  <c r="S1245" i="4" s="1"/>
  <c r="I1247" i="4" a="1"/>
  <c r="I1247" i="4" s="1"/>
  <c r="N1248" i="4" a="1"/>
  <c r="N1248" i="4" s="1"/>
  <c r="S1249" i="4" a="1"/>
  <c r="S1249" i="4" s="1"/>
  <c r="I1251" i="4" a="1"/>
  <c r="I1251" i="4" s="1"/>
  <c r="N1252" i="4" a="1"/>
  <c r="N1252" i="4" s="1"/>
  <c r="I1255" i="4" a="1"/>
  <c r="I1255" i="4" s="1"/>
  <c r="N1256" i="4" a="1"/>
  <c r="N1256" i="4" s="1"/>
  <c r="S1257" i="4" a="1"/>
  <c r="S1257" i="4" s="1"/>
  <c r="I1259" i="4" a="1"/>
  <c r="I1259" i="4" s="1"/>
  <c r="N1260" i="4" a="1"/>
  <c r="N1260" i="4" s="1"/>
  <c r="S1261" i="4" a="1"/>
  <c r="S1261" i="4" s="1"/>
  <c r="I1263" i="4" a="1"/>
  <c r="I1263" i="4" s="1"/>
  <c r="S1265" i="4" a="1"/>
  <c r="S1265" i="4" s="1"/>
  <c r="I1267" i="4" a="1"/>
  <c r="I1267" i="4" s="1"/>
  <c r="N1268" i="4" a="1"/>
  <c r="N1268" i="4" s="1"/>
  <c r="S1269" i="4" a="1"/>
  <c r="S1269" i="4" s="1"/>
  <c r="I1271" i="4" a="1"/>
  <c r="I1271" i="4" s="1"/>
  <c r="N1272" i="4" a="1"/>
  <c r="N1272" i="4" s="1"/>
  <c r="S1273" i="4" a="1"/>
  <c r="S1273" i="4" s="1"/>
  <c r="I1275" i="4" a="1"/>
  <c r="I1275" i="4" s="1"/>
  <c r="N1276" i="4" a="1"/>
  <c r="N1276" i="4" s="1"/>
  <c r="S1277" i="4" a="1"/>
  <c r="S1277" i="4" s="1"/>
  <c r="I1279" i="4" a="1"/>
  <c r="I1279" i="4" s="1"/>
  <c r="N1280" i="4" a="1"/>
  <c r="N1280" i="4" s="1"/>
  <c r="S1281" i="4" a="1"/>
  <c r="S1281" i="4" s="1"/>
  <c r="I1283" i="4" a="1"/>
  <c r="I1283" i="4" s="1"/>
  <c r="N1284" i="4" a="1"/>
  <c r="N1284" i="4" s="1"/>
  <c r="I1287" i="4" a="1"/>
  <c r="I1287" i="4" s="1"/>
  <c r="N1288" i="4" a="1"/>
  <c r="N1288" i="4" s="1"/>
  <c r="S1289" i="4" a="1"/>
  <c r="S1289" i="4" s="1"/>
  <c r="I1291" i="4" a="1"/>
  <c r="I1291" i="4" s="1"/>
  <c r="N1292" i="4" a="1"/>
  <c r="N1292" i="4" s="1"/>
  <c r="S1293" i="4" a="1"/>
  <c r="S1293" i="4" s="1"/>
  <c r="I1295" i="4" a="1"/>
  <c r="I1295" i="4" s="1"/>
  <c r="S1297" i="4" a="1"/>
  <c r="S1297" i="4" s="1"/>
  <c r="I1299" i="4" a="1"/>
  <c r="I1299" i="4" s="1"/>
  <c r="N1300" i="4" a="1"/>
  <c r="N1300" i="4" s="1"/>
  <c r="S1301" i="4" a="1"/>
  <c r="S1301" i="4" s="1"/>
  <c r="I1303" i="4" a="1"/>
  <c r="I1303" i="4" s="1"/>
  <c r="N1304" i="4" a="1"/>
  <c r="N1304" i="4" s="1"/>
  <c r="S1305" i="4" a="1"/>
  <c r="S1305" i="4" s="1"/>
  <c r="N1308" i="4" a="1"/>
  <c r="N1308" i="4" s="1"/>
  <c r="S1309" i="4" a="1"/>
  <c r="S1309" i="4" s="1"/>
  <c r="I1311" i="4" a="1"/>
  <c r="I1311" i="4" s="1"/>
  <c r="N1312" i="4" a="1"/>
  <c r="N1312" i="4" s="1"/>
  <c r="S1313" i="4" a="1"/>
  <c r="S1313" i="4" s="1"/>
  <c r="I1315" i="4" a="1"/>
  <c r="I1315" i="4" s="1"/>
  <c r="N1316" i="4" a="1"/>
  <c r="N1316" i="4" s="1"/>
  <c r="S1317" i="4" a="1"/>
  <c r="S1317" i="4" s="1"/>
  <c r="I1319" i="4" a="1"/>
  <c r="I1319" i="4" s="1"/>
  <c r="N1320" i="4" a="1"/>
  <c r="N1320" i="4" s="1"/>
  <c r="S1321" i="4" a="1"/>
  <c r="S1321" i="4" s="1"/>
  <c r="I1323" i="4" a="1"/>
  <c r="I1323" i="4" s="1"/>
  <c r="N1324" i="4" a="1"/>
  <c r="N1324" i="4" s="1"/>
  <c r="S1325" i="4" a="1"/>
  <c r="S1325" i="4" s="1"/>
  <c r="I1327" i="4" a="1"/>
  <c r="I1327" i="4" s="1"/>
  <c r="S1329" i="4" a="1"/>
  <c r="S1329" i="4" s="1"/>
  <c r="I1331" i="4" a="1"/>
  <c r="I1331" i="4" s="1"/>
  <c r="N1332" i="4" a="1"/>
  <c r="N1332" i="4" s="1"/>
  <c r="S1333" i="4" a="1"/>
  <c r="S1333" i="4" s="1"/>
  <c r="I1335" i="4" a="1"/>
  <c r="I1335" i="4" s="1"/>
  <c r="N1336" i="4" a="1"/>
  <c r="N1336" i="4" s="1"/>
  <c r="S1337" i="4" a="1"/>
  <c r="S1337" i="4" s="1"/>
  <c r="N1340" i="4" a="1"/>
  <c r="N1340" i="4" s="1"/>
  <c r="S1341" i="4" a="1"/>
  <c r="S1341" i="4" s="1"/>
  <c r="I1343" i="4" a="1"/>
  <c r="I1343" i="4" s="1"/>
  <c r="N1344" i="4" a="1"/>
  <c r="N1344" i="4" s="1"/>
  <c r="S1345" i="4" a="1"/>
  <c r="S1345" i="4" s="1"/>
  <c r="I1347" i="4" a="1"/>
  <c r="I1347" i="4" s="1"/>
  <c r="N1348" i="4" a="1"/>
  <c r="N1348" i="4" s="1"/>
  <c r="I1351" i="4" a="1"/>
  <c r="I1351" i="4" s="1"/>
  <c r="N1352" i="4" a="1"/>
  <c r="N1352" i="4" s="1"/>
  <c r="S1353" i="4" a="1"/>
  <c r="S1353" i="4" s="1"/>
  <c r="I1355" i="4" a="1"/>
  <c r="I1355" i="4" s="1"/>
  <c r="N1356" i="4" a="1"/>
  <c r="N1356" i="4" s="1"/>
  <c r="S1357" i="4" a="1"/>
  <c r="S1357" i="4" s="1"/>
  <c r="I1359" i="4" a="1"/>
  <c r="I1359" i="4" s="1"/>
  <c r="S1361" i="4" a="1"/>
  <c r="S1361" i="4" s="1"/>
  <c r="I1363" i="4" a="1"/>
  <c r="I1363" i="4" s="1"/>
  <c r="N1364" i="4" a="1"/>
  <c r="N1364" i="4" s="1"/>
  <c r="S1365" i="4" a="1"/>
  <c r="S1365" i="4" s="1"/>
  <c r="I1367" i="4" a="1"/>
  <c r="I1367" i="4" s="1"/>
  <c r="N1368" i="4" a="1"/>
  <c r="N1368" i="4" s="1"/>
  <c r="S1369" i="4" a="1"/>
  <c r="S1369" i="4" s="1"/>
  <c r="N1372" i="4" a="1"/>
  <c r="N1372" i="4" s="1"/>
  <c r="S1373" i="4" a="1"/>
  <c r="S1373" i="4" s="1"/>
  <c r="I1375" i="4" a="1"/>
  <c r="I1375" i="4" s="1"/>
  <c r="N1376" i="4" a="1"/>
  <c r="N1376" i="4" s="1"/>
  <c r="S1377" i="4" a="1"/>
  <c r="S1377" i="4" s="1"/>
  <c r="I1379" i="4" a="1"/>
  <c r="I1379" i="4" s="1"/>
  <c r="N1380" i="4" a="1"/>
  <c r="N1380" i="4" s="1"/>
  <c r="I1383" i="4" a="1"/>
  <c r="I1383" i="4" s="1"/>
  <c r="N1384" i="4" a="1"/>
  <c r="N1384" i="4" s="1"/>
  <c r="S1385" i="4" a="1"/>
  <c r="S1385" i="4" s="1"/>
  <c r="I1387" i="4" a="1"/>
  <c r="I1387" i="4" s="1"/>
  <c r="N1388" i="4" a="1"/>
  <c r="N1388" i="4" s="1"/>
  <c r="S1389" i="4" a="1"/>
  <c r="S1389" i="4" s="1"/>
  <c r="I1391" i="4" a="1"/>
  <c r="I1391" i="4" s="1"/>
  <c r="N1392" i="4" a="1"/>
  <c r="N1392" i="4" s="1"/>
  <c r="S1393" i="4" a="1"/>
  <c r="S1393" i="4" s="1"/>
  <c r="I1395" i="4" a="1"/>
  <c r="I1395" i="4" s="1"/>
  <c r="N1396" i="4" a="1"/>
  <c r="N1396" i="4" s="1"/>
  <c r="S1397" i="4" a="1"/>
  <c r="S1397" i="4" s="1"/>
  <c r="I1399" i="4" a="1"/>
  <c r="I1399" i="4" s="1"/>
  <c r="N1400" i="4" a="1"/>
  <c r="N1400" i="4" s="1"/>
  <c r="S1401" i="4" a="1"/>
  <c r="S1401" i="4" s="1"/>
  <c r="I1403" i="4" a="1"/>
  <c r="I1403" i="4" s="1"/>
  <c r="N1404" i="4" a="1"/>
  <c r="N1404" i="4" s="1"/>
  <c r="I1407" i="4" a="1"/>
  <c r="I1407" i="4" s="1"/>
  <c r="N1408" i="4" a="1"/>
  <c r="N1408" i="4" s="1"/>
  <c r="S1409" i="4" a="1"/>
  <c r="S1409" i="4" s="1"/>
  <c r="I1411" i="4" a="1"/>
  <c r="I1411" i="4" s="1"/>
  <c r="N1412" i="4" a="1"/>
  <c r="N1412" i="4" s="1"/>
  <c r="S1413" i="4" a="1"/>
  <c r="S1413" i="4" s="1"/>
  <c r="I1415" i="4" a="1"/>
  <c r="I1415" i="4" s="1"/>
  <c r="N1416" i="4" a="1"/>
  <c r="N1416" i="4" s="1"/>
  <c r="S1417" i="4" a="1"/>
  <c r="S1417" i="4" s="1"/>
  <c r="I1419" i="4" a="1"/>
  <c r="I1419" i="4" s="1"/>
  <c r="N1420" i="4" a="1"/>
  <c r="N1420" i="4" s="1"/>
  <c r="S1421" i="4" a="1"/>
  <c r="S1421" i="4" s="1"/>
  <c r="I1423" i="4" a="1"/>
  <c r="I1423" i="4" s="1"/>
  <c r="N1424" i="4" a="1"/>
  <c r="N1424" i="4" s="1"/>
  <c r="S1425" i="4" a="1"/>
  <c r="S1425" i="4" s="1"/>
  <c r="I1427" i="4" a="1"/>
  <c r="I1427" i="4" s="1"/>
  <c r="N1428" i="4" a="1"/>
  <c r="N1428" i="4" s="1"/>
  <c r="S1429" i="4" a="1"/>
  <c r="S1429" i="4" s="1"/>
  <c r="I1431" i="4" a="1"/>
  <c r="I1431" i="4" s="1"/>
  <c r="N1432" i="4" a="1"/>
  <c r="N1432" i="4" s="1"/>
  <c r="S1433" i="4" a="1"/>
  <c r="S1433" i="4" s="1"/>
  <c r="I1435" i="4" a="1"/>
  <c r="I1435" i="4" s="1"/>
  <c r="N1436" i="4" a="1"/>
  <c r="N1436" i="4" s="1"/>
  <c r="S1437" i="4" a="1"/>
  <c r="S1437" i="4" s="1"/>
  <c r="I1439" i="4" a="1"/>
  <c r="I1439" i="4" s="1"/>
  <c r="N1440" i="4" a="1"/>
  <c r="N1440" i="4" s="1"/>
  <c r="S1441" i="4" a="1"/>
  <c r="S1441" i="4" s="1"/>
  <c r="I1443" i="4" a="1"/>
  <c r="I1443" i="4" s="1"/>
  <c r="N1444" i="4" a="1"/>
  <c r="N1444" i="4" s="1"/>
  <c r="S1445" i="4" a="1"/>
  <c r="S1445" i="4" s="1"/>
  <c r="I1447" i="4" a="1"/>
  <c r="I1447" i="4" s="1"/>
  <c r="N1448" i="4" a="1"/>
  <c r="N1448" i="4" s="1"/>
  <c r="S1449" i="4" a="1"/>
  <c r="S1449" i="4" s="1"/>
  <c r="I1451" i="4" a="1"/>
  <c r="I1451" i="4" s="1"/>
  <c r="N1452" i="4" a="1"/>
  <c r="N1452" i="4" s="1"/>
  <c r="S1453" i="4" a="1"/>
  <c r="S1453" i="4" s="1"/>
  <c r="I1455" i="4" a="1"/>
  <c r="I1455" i="4" s="1"/>
  <c r="N1456" i="4" a="1"/>
  <c r="N1456" i="4" s="1"/>
  <c r="S1457" i="4" a="1"/>
  <c r="S1457" i="4" s="1"/>
  <c r="I1459" i="4" a="1"/>
  <c r="I1459" i="4" s="1"/>
  <c r="N1460" i="4" a="1"/>
  <c r="N1460" i="4" s="1"/>
  <c r="S1461" i="4" a="1"/>
  <c r="S1461" i="4" s="1"/>
  <c r="I1463" i="4" a="1"/>
  <c r="I1463" i="4" s="1"/>
  <c r="N1464" i="4" a="1"/>
  <c r="N1464" i="4" s="1"/>
  <c r="S1465" i="4" a="1"/>
  <c r="S1465" i="4" s="1"/>
  <c r="I1467" i="4" a="1"/>
  <c r="I1467" i="4" s="1"/>
  <c r="N1468" i="4" a="1"/>
  <c r="N1468" i="4" s="1"/>
  <c r="S1469" i="4" a="1"/>
  <c r="S1469" i="4" s="1"/>
  <c r="I1471" i="4" a="1"/>
  <c r="I1471" i="4" s="1"/>
  <c r="N1472" i="4" a="1"/>
  <c r="N1472" i="4" s="1"/>
  <c r="S1473" i="4" a="1"/>
  <c r="S1473" i="4" s="1"/>
  <c r="I1475" i="4" a="1"/>
  <c r="I1475" i="4" s="1"/>
  <c r="N1476" i="4" a="1"/>
  <c r="N1476" i="4" s="1"/>
  <c r="S1477" i="4" a="1"/>
  <c r="S1477" i="4" s="1"/>
  <c r="I1479" i="4" a="1"/>
  <c r="I1479" i="4" s="1"/>
  <c r="S1481" i="4" a="1"/>
  <c r="S1481" i="4" s="1"/>
  <c r="I1483" i="4" a="1"/>
  <c r="I1483" i="4" s="1"/>
  <c r="N1484" i="4" a="1"/>
  <c r="N1484" i="4" s="1"/>
  <c r="S1485" i="4" a="1"/>
  <c r="S1485" i="4" s="1"/>
  <c r="I1487" i="4" a="1"/>
  <c r="I1487" i="4" s="1"/>
  <c r="N1488" i="4" a="1"/>
  <c r="N1488" i="4" s="1"/>
  <c r="S1489" i="4" a="1"/>
  <c r="S1489" i="4" s="1"/>
  <c r="N1492" i="4" a="1"/>
  <c r="N1492" i="4" s="1"/>
  <c r="S1493" i="4" a="1"/>
  <c r="S1493" i="4" s="1"/>
  <c r="I1495" i="4" a="1"/>
  <c r="I1495" i="4" s="1"/>
  <c r="N1496" i="4" a="1"/>
  <c r="N1496" i="4" s="1"/>
  <c r="S1497" i="4" a="1"/>
  <c r="S1497" i="4" s="1"/>
  <c r="I1499" i="4" a="1"/>
  <c r="I1499" i="4" s="1"/>
  <c r="N1500" i="4" a="1"/>
  <c r="N1500" i="4" s="1"/>
  <c r="S1501" i="4" a="1"/>
  <c r="S1501" i="4" s="1"/>
  <c r="I1503" i="4" a="1"/>
  <c r="I1503" i="4" s="1"/>
  <c r="N1504" i="4" a="1"/>
  <c r="N1504" i="4" s="1"/>
  <c r="S1505" i="4" a="1"/>
  <c r="S1505" i="4" s="1"/>
  <c r="I1507" i="4" a="1"/>
  <c r="I1507" i="4" s="1"/>
  <c r="N1508" i="4" a="1"/>
  <c r="N1508" i="4" s="1"/>
  <c r="S1509" i="4" a="1"/>
  <c r="S1509" i="4" s="1"/>
  <c r="I1511" i="4" a="1"/>
  <c r="I1511" i="4" s="1"/>
  <c r="N1512" i="4" a="1"/>
  <c r="N1512" i="4" s="1"/>
  <c r="S1513" i="4" a="1"/>
  <c r="S1513" i="4" s="1"/>
  <c r="I1515" i="4" a="1"/>
  <c r="I1515" i="4" s="1"/>
  <c r="N1516" i="4" a="1"/>
  <c r="N1516" i="4" s="1"/>
  <c r="S1517" i="4" a="1"/>
  <c r="S1517" i="4" s="1"/>
  <c r="I1519" i="4" a="1"/>
  <c r="I1519" i="4" s="1"/>
  <c r="N1520" i="4" a="1"/>
  <c r="N1520" i="4" s="1"/>
  <c r="S1521" i="4" a="1"/>
  <c r="S1521" i="4" s="1"/>
  <c r="I1523" i="4" a="1"/>
  <c r="I1523" i="4" s="1"/>
  <c r="N1524" i="4" a="1"/>
  <c r="N1524" i="4" s="1"/>
  <c r="S1525" i="4" a="1"/>
  <c r="S1525" i="4" s="1"/>
  <c r="I1527" i="4" a="1"/>
  <c r="I1527" i="4" s="1"/>
  <c r="N1528" i="4" a="1"/>
  <c r="N1528" i="4" s="1"/>
  <c r="S1529" i="4" a="1"/>
  <c r="S1529" i="4" s="1"/>
  <c r="I1531" i="4" a="1"/>
  <c r="I1531" i="4" s="1"/>
  <c r="N1532" i="4" a="1"/>
  <c r="N1532" i="4" s="1"/>
  <c r="I1535" i="4" a="1"/>
  <c r="I1535" i="4" s="1"/>
  <c r="N1536" i="4" a="1"/>
  <c r="N1536" i="4" s="1"/>
  <c r="S1537" i="4" a="1"/>
  <c r="S1537" i="4" s="1"/>
  <c r="I1539" i="4" a="1"/>
  <c r="I1539" i="4" s="1"/>
  <c r="N1540" i="4" a="1"/>
  <c r="N1540" i="4" s="1"/>
  <c r="S1541" i="4" a="1"/>
  <c r="S1541" i="4" s="1"/>
  <c r="I1543" i="4" a="1"/>
  <c r="I1543" i="4" s="1"/>
  <c r="N1544" i="4" a="1"/>
  <c r="N1544" i="4" s="1"/>
  <c r="S1545" i="4" a="1"/>
  <c r="S1545" i="4" s="1"/>
  <c r="I1547" i="4" a="1"/>
  <c r="I1547" i="4" s="1"/>
  <c r="N1548" i="4" a="1"/>
  <c r="N1548" i="4" s="1"/>
  <c r="S1549" i="4" a="1"/>
  <c r="S1549" i="4" s="1"/>
  <c r="I1551" i="4" a="1"/>
  <c r="I1551" i="4" s="1"/>
  <c r="N1552" i="4" a="1"/>
  <c r="N1552" i="4" s="1"/>
  <c r="S1553" i="4" a="1"/>
  <c r="S1553" i="4" s="1"/>
  <c r="I1555" i="4" a="1"/>
  <c r="I1555" i="4" s="1"/>
  <c r="N1556" i="4" a="1"/>
  <c r="N1556" i="4" s="1"/>
  <c r="S1557" i="4" a="1"/>
  <c r="S1557" i="4" s="1"/>
  <c r="I1559" i="4" a="1"/>
  <c r="I1559" i="4" s="1"/>
  <c r="N1560" i="4" a="1"/>
  <c r="N1560" i="4" s="1"/>
  <c r="S1561" i="4" a="1"/>
  <c r="S1561" i="4" s="1"/>
  <c r="I1563" i="4" a="1"/>
  <c r="I1563" i="4" s="1"/>
  <c r="N1564" i="4" a="1"/>
  <c r="N1564" i="4" s="1"/>
  <c r="S1565" i="4" a="1"/>
  <c r="S1565" i="4" s="1"/>
  <c r="I1567" i="4" a="1"/>
  <c r="I1567" i="4" s="1"/>
  <c r="N1568" i="4" a="1"/>
  <c r="N1568" i="4" s="1"/>
  <c r="S1569" i="4" a="1"/>
  <c r="S1569" i="4" s="1"/>
  <c r="I1571" i="4" a="1"/>
  <c r="I1571" i="4" s="1"/>
  <c r="N1572" i="4" a="1"/>
  <c r="N1572" i="4" s="1"/>
  <c r="S1573" i="4" a="1"/>
  <c r="S1573" i="4" s="1"/>
  <c r="I1575" i="4" a="1"/>
  <c r="I1575" i="4" s="1"/>
  <c r="S1577" i="4" a="1"/>
  <c r="S1577" i="4" s="1"/>
  <c r="I1579" i="4" a="1"/>
  <c r="I1579" i="4" s="1"/>
  <c r="N1580" i="4" a="1"/>
  <c r="N1580" i="4" s="1"/>
  <c r="S1581" i="4" a="1"/>
  <c r="S1581" i="4" s="1"/>
  <c r="I1583" i="4" a="1"/>
  <c r="I1583" i="4" s="1"/>
  <c r="N1584" i="4" a="1"/>
  <c r="N1584" i="4" s="1"/>
  <c r="S1585" i="4" a="1"/>
  <c r="S1585" i="4" s="1"/>
  <c r="I1587" i="4" a="1"/>
  <c r="I1587" i="4" s="1"/>
  <c r="N1588" i="4" a="1"/>
  <c r="N1588" i="4" s="1"/>
  <c r="S1589" i="4" a="1"/>
  <c r="S1589" i="4" s="1"/>
  <c r="I1591" i="4" a="1"/>
  <c r="I1591" i="4" s="1"/>
  <c r="N1592" i="4" a="1"/>
  <c r="N1592" i="4" s="1"/>
  <c r="S1593" i="4" a="1"/>
  <c r="S1593" i="4" s="1"/>
  <c r="I1595" i="4" a="1"/>
  <c r="I1595" i="4" s="1"/>
  <c r="N1596" i="4" a="1"/>
  <c r="N1596" i="4" s="1"/>
  <c r="S864" i="4" a="1"/>
  <c r="S864" i="4" s="1"/>
  <c r="I866" i="4" a="1"/>
  <c r="I866" i="4" s="1"/>
  <c r="N867" i="4" a="1"/>
  <c r="N867" i="4" s="1"/>
  <c r="S868" i="4" a="1"/>
  <c r="S868" i="4" s="1"/>
  <c r="I870" i="4" a="1"/>
  <c r="I870" i="4" s="1"/>
  <c r="N871" i="4" a="1"/>
  <c r="N871" i="4" s="1"/>
  <c r="S872" i="4" a="1"/>
  <c r="S872" i="4" s="1"/>
  <c r="I874" i="4" a="1"/>
  <c r="I874" i="4" s="1"/>
  <c r="S876" i="4" a="1"/>
  <c r="S876" i="4" s="1"/>
  <c r="I878" i="4" a="1"/>
  <c r="I878" i="4" s="1"/>
  <c r="N879" i="4" a="1"/>
  <c r="N879" i="4" s="1"/>
  <c r="S880" i="4" a="1"/>
  <c r="S880" i="4" s="1"/>
  <c r="I882" i="4" a="1"/>
  <c r="I882" i="4" s="1"/>
  <c r="N887" i="4" a="1"/>
  <c r="N887" i="4" s="1"/>
  <c r="S888" i="4" a="1"/>
  <c r="S888" i="4" s="1"/>
  <c r="I890" i="4" a="1"/>
  <c r="I890" i="4" s="1"/>
  <c r="N891" i="4" a="1"/>
  <c r="N891" i="4" s="1"/>
  <c r="S892" i="4" a="1"/>
  <c r="S892" i="4" s="1"/>
  <c r="I894" i="4" a="1"/>
  <c r="I894" i="4" s="1"/>
  <c r="N895" i="4" a="1"/>
  <c r="N895" i="4" s="1"/>
  <c r="S896" i="4" a="1"/>
  <c r="S896" i="4" s="1"/>
  <c r="N899" i="4" a="1"/>
  <c r="N899" i="4" s="1"/>
  <c r="S900" i="4" a="1"/>
  <c r="S900" i="4" s="1"/>
  <c r="I902" i="4" a="1"/>
  <c r="I902" i="4" s="1"/>
  <c r="N903" i="4" a="1"/>
  <c r="N903" i="4" s="1"/>
  <c r="I906" i="4" a="1"/>
  <c r="I906" i="4" s="1"/>
  <c r="S908" i="4" a="1"/>
  <c r="S908" i="4" s="1"/>
  <c r="I910" i="4" a="1"/>
  <c r="I910" i="4" s="1"/>
  <c r="N911" i="4" a="1"/>
  <c r="N911" i="4" s="1"/>
  <c r="S912" i="4" a="1"/>
  <c r="S912" i="4" s="1"/>
  <c r="N915" i="4" a="1"/>
  <c r="N915" i="4" s="1"/>
  <c r="S916" i="4" a="1"/>
  <c r="S916" i="4" s="1"/>
  <c r="S920" i="4" a="1"/>
  <c r="S920" i="4" s="1"/>
  <c r="I922" i="4" a="1"/>
  <c r="I922" i="4" s="1"/>
  <c r="N923" i="4" a="1"/>
  <c r="N923" i="4" s="1"/>
  <c r="S924" i="4" a="1"/>
  <c r="S924" i="4" s="1"/>
  <c r="I926" i="4" a="1"/>
  <c r="I926" i="4" s="1"/>
  <c r="N927" i="4" a="1"/>
  <c r="N927" i="4" s="1"/>
  <c r="S928" i="4" a="1"/>
  <c r="S928" i="4" s="1"/>
  <c r="I930" i="4" a="1"/>
  <c r="I930" i="4" s="1"/>
  <c r="N931" i="4" a="1"/>
  <c r="N931" i="4" s="1"/>
  <c r="S932" i="4" a="1"/>
  <c r="S932" i="4" s="1"/>
  <c r="I934" i="4" a="1"/>
  <c r="I934" i="4" s="1"/>
  <c r="N935" i="4" a="1"/>
  <c r="N935" i="4" s="1"/>
  <c r="S936" i="4" a="1"/>
  <c r="S936" i="4" s="1"/>
  <c r="I938" i="4" a="1"/>
  <c r="I938" i="4" s="1"/>
  <c r="N939" i="4" a="1"/>
  <c r="N939" i="4" s="1"/>
  <c r="S940" i="4" a="1"/>
  <c r="S940" i="4" s="1"/>
  <c r="I942" i="4" a="1"/>
  <c r="I942" i="4" s="1"/>
  <c r="N943" i="4" a="1"/>
  <c r="N943" i="4" s="1"/>
  <c r="S944" i="4" a="1"/>
  <c r="S944" i="4" s="1"/>
  <c r="I946" i="4" a="1"/>
  <c r="I946" i="4" s="1"/>
  <c r="S948" i="4" a="1"/>
  <c r="S948" i="4" s="1"/>
  <c r="I950" i="4" a="1"/>
  <c r="I950" i="4" s="1"/>
  <c r="N951" i="4" a="1"/>
  <c r="N951" i="4" s="1"/>
  <c r="S952" i="4" a="1"/>
  <c r="S952" i="4" s="1"/>
  <c r="I954" i="4" a="1"/>
  <c r="I954" i="4" s="1"/>
  <c r="N955" i="4" a="1"/>
  <c r="N955" i="4" s="1"/>
  <c r="I958" i="4" a="1"/>
  <c r="I958" i="4" s="1"/>
  <c r="N959" i="4" a="1"/>
  <c r="N959" i="4" s="1"/>
  <c r="I962" i="4" a="1"/>
  <c r="I962" i="4" s="1"/>
  <c r="N963" i="4" a="1"/>
  <c r="N963" i="4" s="1"/>
  <c r="I966" i="4" a="1"/>
  <c r="I966" i="4" s="1"/>
  <c r="N967" i="4" a="1"/>
  <c r="N967" i="4" s="1"/>
  <c r="S968" i="4" a="1"/>
  <c r="S968" i="4" s="1"/>
  <c r="I970" i="4" a="1"/>
  <c r="I970" i="4" s="1"/>
  <c r="N971" i="4" a="1"/>
  <c r="N971" i="4" s="1"/>
  <c r="S972" i="4" a="1"/>
  <c r="S972" i="4" s="1"/>
  <c r="I974" i="4" a="1"/>
  <c r="I974" i="4" s="1"/>
  <c r="N975" i="4" a="1"/>
  <c r="N975" i="4" s="1"/>
  <c r="S976" i="4" a="1"/>
  <c r="S976" i="4" s="1"/>
  <c r="N979" i="4" a="1"/>
  <c r="N979" i="4" s="1"/>
  <c r="S980" i="4" a="1"/>
  <c r="S980" i="4" s="1"/>
  <c r="N983" i="4" a="1"/>
  <c r="N983" i="4" s="1"/>
  <c r="S984" i="4" a="1"/>
  <c r="S984" i="4" s="1"/>
  <c r="I986" i="4" a="1"/>
  <c r="I986" i="4" s="1"/>
  <c r="N987" i="4" a="1"/>
  <c r="N987" i="4" s="1"/>
  <c r="I990" i="4" a="1"/>
  <c r="I990" i="4" s="1"/>
  <c r="N991" i="4" a="1"/>
  <c r="N991" i="4" s="1"/>
  <c r="S992" i="4" a="1"/>
  <c r="S992" i="4" s="1"/>
  <c r="I994" i="4" a="1"/>
  <c r="I994" i="4" s="1"/>
  <c r="N995" i="4" a="1"/>
  <c r="N995" i="4" s="1"/>
  <c r="S996" i="4" a="1"/>
  <c r="S996" i="4" s="1"/>
  <c r="N999" i="4" a="1"/>
  <c r="N999" i="4" s="1"/>
  <c r="S1000" i="4" a="1"/>
  <c r="S1000" i="4" s="1"/>
  <c r="I1002" i="4" a="1"/>
  <c r="I1002" i="4" s="1"/>
  <c r="N1003" i="4" a="1"/>
  <c r="N1003" i="4" s="1"/>
  <c r="S1004" i="4" a="1"/>
  <c r="S1004" i="4" s="1"/>
  <c r="I1006" i="4" a="1"/>
  <c r="I1006" i="4" s="1"/>
  <c r="N1007" i="4" a="1"/>
  <c r="N1007" i="4" s="1"/>
  <c r="I1010" i="4" a="1"/>
  <c r="I1010" i="4" s="1"/>
  <c r="N1011" i="4" a="1"/>
  <c r="N1011" i="4" s="1"/>
  <c r="N1015" i="4" a="1"/>
  <c r="N1015" i="4" s="1"/>
  <c r="S1016" i="4" a="1"/>
  <c r="S1016" i="4" s="1"/>
  <c r="I1018" i="4" a="1"/>
  <c r="I1018" i="4" s="1"/>
  <c r="S1020" i="4" a="1"/>
  <c r="S1020" i="4" s="1"/>
  <c r="I1022" i="4" a="1"/>
  <c r="I1022" i="4" s="1"/>
  <c r="S1024" i="4" a="1"/>
  <c r="S1024" i="4" s="1"/>
  <c r="I1026" i="4" a="1"/>
  <c r="I1026" i="4" s="1"/>
  <c r="N1027" i="4" a="1"/>
  <c r="N1027" i="4" s="1"/>
  <c r="S1028" i="4" a="1"/>
  <c r="S1028" i="4" s="1"/>
  <c r="N1031" i="4" a="1"/>
  <c r="N1031" i="4" s="1"/>
  <c r="I1034" i="4" a="1"/>
  <c r="I1034" i="4" s="1"/>
  <c r="N1035" i="4" a="1"/>
  <c r="N1035" i="4" s="1"/>
  <c r="S1036" i="4" a="1"/>
  <c r="S1036" i="4" s="1"/>
  <c r="N1039" i="4" a="1"/>
  <c r="N1039" i="4" s="1"/>
  <c r="I1042" i="4" a="1"/>
  <c r="I1042" i="4" s="1"/>
  <c r="N1043" i="4" a="1"/>
  <c r="N1043" i="4" s="1"/>
  <c r="S1044" i="4" a="1"/>
  <c r="S1044" i="4" s="1"/>
  <c r="I1046" i="4" a="1"/>
  <c r="I1046" i="4" s="1"/>
  <c r="N1047" i="4" a="1"/>
  <c r="N1047" i="4" s="1"/>
  <c r="S1048" i="4" a="1"/>
  <c r="S1048" i="4" s="1"/>
  <c r="I1050" i="4" a="1"/>
  <c r="I1050" i="4" s="1"/>
  <c r="S1052" i="4" a="1"/>
  <c r="S1052" i="4" s="1"/>
  <c r="I1054" i="4" a="1"/>
  <c r="I1054" i="4" s="1"/>
  <c r="N1055" i="4" a="1"/>
  <c r="N1055" i="4" s="1"/>
  <c r="I1058" i="4" a="1"/>
  <c r="I1058" i="4" s="1"/>
  <c r="N1059" i="4" a="1"/>
  <c r="N1059" i="4" s="1"/>
  <c r="S1060" i="4" a="1"/>
  <c r="S1060" i="4" s="1"/>
  <c r="N1063" i="4" a="1"/>
  <c r="N1063" i="4" s="1"/>
  <c r="S1064" i="4" a="1"/>
  <c r="S1064" i="4" s="1"/>
  <c r="I1066" i="4" a="1"/>
  <c r="I1066" i="4" s="1"/>
  <c r="N1067" i="4" a="1"/>
  <c r="N1067" i="4" s="1"/>
  <c r="S1068" i="4" a="1"/>
  <c r="S1068" i="4" s="1"/>
  <c r="I1070" i="4" a="1"/>
  <c r="I1070" i="4" s="1"/>
  <c r="N1075" i="4" a="1"/>
  <c r="N1075" i="4" s="1"/>
  <c r="I1078" i="4" a="1"/>
  <c r="I1078" i="4" s="1"/>
  <c r="S1080" i="4" a="1"/>
  <c r="S1080" i="4" s="1"/>
  <c r="I1082" i="4" a="1"/>
  <c r="I1082" i="4" s="1"/>
  <c r="S1084" i="4" a="1"/>
  <c r="S1084" i="4" s="1"/>
  <c r="I1086" i="4" a="1"/>
  <c r="I1086" i="4" s="1"/>
  <c r="N1087" i="4" a="1"/>
  <c r="N1087" i="4" s="1"/>
  <c r="S1088" i="4" a="1"/>
  <c r="S1088" i="4" s="1"/>
  <c r="I1090" i="4" a="1"/>
  <c r="I1090" i="4" s="1"/>
  <c r="S1092" i="4" a="1"/>
  <c r="S1092" i="4" s="1"/>
  <c r="N1095" i="4" a="1"/>
  <c r="N1095" i="4" s="1"/>
  <c r="I1098" i="4" a="1"/>
  <c r="I1098" i="4" s="1"/>
  <c r="S1100" i="4" a="1"/>
  <c r="S1100" i="4" s="1"/>
  <c r="N1103" i="4" a="1"/>
  <c r="N1103" i="4" s="1"/>
  <c r="I1106" i="4" a="1"/>
  <c r="I1106" i="4" s="1"/>
  <c r="S1108" i="4" a="1"/>
  <c r="S1108" i="4" s="1"/>
  <c r="I1110" i="4" a="1"/>
  <c r="I1110" i="4" s="1"/>
  <c r="I1114" i="4" a="1"/>
  <c r="I1114" i="4" s="1"/>
  <c r="S1116" i="4" a="1"/>
  <c r="S1116" i="4" s="1"/>
  <c r="I1118" i="4" a="1"/>
  <c r="I1118" i="4" s="1"/>
  <c r="N1119" i="4" a="1"/>
  <c r="N1119" i="4" s="1"/>
  <c r="S1120" i="4" a="1"/>
  <c r="S1120" i="4" s="1"/>
  <c r="I1122" i="4" a="1"/>
  <c r="I1122" i="4" s="1"/>
  <c r="N1123" i="4" a="1"/>
  <c r="N1123" i="4" s="1"/>
  <c r="N1127" i="4" a="1"/>
  <c r="N1127" i="4" s="1"/>
  <c r="S1128" i="4" a="1"/>
  <c r="S1128" i="4" s="1"/>
  <c r="I1130" i="4" a="1"/>
  <c r="I1130" i="4" s="1"/>
  <c r="I1134" i="4" a="1"/>
  <c r="I1134" i="4" s="1"/>
  <c r="I1138" i="4" a="1"/>
  <c r="I1138" i="4" s="1"/>
  <c r="N1139" i="4" a="1"/>
  <c r="N1139" i="4" s="1"/>
  <c r="S1140" i="4" a="1"/>
  <c r="S1140" i="4" s="1"/>
  <c r="I1142" i="4" a="1"/>
  <c r="I1142" i="4" s="1"/>
  <c r="N1143" i="4" a="1"/>
  <c r="N1143" i="4" s="1"/>
  <c r="I1146" i="4" a="1"/>
  <c r="I1146" i="4" s="1"/>
  <c r="S1148" i="4" a="1"/>
  <c r="S1148" i="4" s="1"/>
  <c r="S1160" i="4" a="1"/>
  <c r="S1160" i="4" s="1"/>
  <c r="I1162" i="4" a="1"/>
  <c r="I1162" i="4" s="1"/>
  <c r="N1163" i="4" a="1"/>
  <c r="N1163" i="4" s="1"/>
  <c r="I1166" i="4" a="1"/>
  <c r="I1166" i="4" s="1"/>
  <c r="I1170" i="4" a="1"/>
  <c r="I1170" i="4" s="1"/>
  <c r="N1175" i="4" a="1"/>
  <c r="N1175" i="4" s="1"/>
  <c r="S1192" i="4" a="1"/>
  <c r="S1192" i="4" s="1"/>
  <c r="I1194" i="4" a="1"/>
  <c r="I1194" i="4" s="1"/>
  <c r="N1195" i="4" a="1"/>
  <c r="N1195" i="4" s="1"/>
  <c r="I1202" i="4" a="1"/>
  <c r="I1202" i="4" s="1"/>
  <c r="N1203" i="4" a="1"/>
  <c r="N1203" i="4" s="1"/>
  <c r="S1204" i="4" a="1"/>
  <c r="S1204" i="4" s="1"/>
  <c r="I1206" i="4" a="1"/>
  <c r="I1206" i="4" s="1"/>
  <c r="N1207" i="4" a="1"/>
  <c r="N1207" i="4" s="1"/>
  <c r="S1212" i="4" a="1"/>
  <c r="S1212" i="4" s="1"/>
  <c r="S1224" i="4" a="1"/>
  <c r="S1224" i="4" s="1"/>
  <c r="I1226" i="4" a="1"/>
  <c r="I1226" i="4" s="1"/>
  <c r="S1228" i="4" a="1"/>
  <c r="S1228" i="4" s="1"/>
  <c r="S1240" i="4" a="1"/>
  <c r="S1240" i="4" s="1"/>
  <c r="I1242" i="4" a="1"/>
  <c r="I1242" i="4" s="1"/>
  <c r="S1252" i="4" a="1"/>
  <c r="S1252" i="4" s="1"/>
  <c r="S1256" i="4" a="1"/>
  <c r="S1256" i="4" s="1"/>
  <c r="I1258" i="4" a="1"/>
  <c r="I1258" i="4" s="1"/>
  <c r="S1260" i="4" a="1"/>
  <c r="S1260" i="4" s="1"/>
  <c r="S1272" i="4" a="1"/>
  <c r="S1272" i="4" s="1"/>
  <c r="I1278" i="4" a="1"/>
  <c r="I1278" i="4" s="1"/>
  <c r="I1282" i="4" a="1"/>
  <c r="I1282" i="4" s="1"/>
  <c r="N1287" i="4" a="1"/>
  <c r="N1287" i="4" s="1"/>
  <c r="S1288" i="4" a="1"/>
  <c r="S1288" i="4" s="1"/>
  <c r="I1290" i="4" a="1"/>
  <c r="I1290" i="4" s="1"/>
  <c r="S1292" i="4" a="1"/>
  <c r="S1292" i="4" s="1"/>
  <c r="I1298" i="4" a="1"/>
  <c r="I1298" i="4" s="1"/>
  <c r="S1308" i="4" a="1"/>
  <c r="S1308" i="4" s="1"/>
  <c r="I1310" i="4" a="1"/>
  <c r="I1310" i="4" s="1"/>
  <c r="S1312" i="4" a="1"/>
  <c r="S1312" i="4" s="1"/>
  <c r="I1314" i="4" a="1"/>
  <c r="I1314" i="4" s="1"/>
  <c r="N1315" i="4" a="1"/>
  <c r="N1315" i="4" s="1"/>
  <c r="S1316" i="4" a="1"/>
  <c r="S1316" i="4" s="1"/>
  <c r="N1319" i="4" a="1"/>
  <c r="N1319" i="4" s="1"/>
  <c r="I1326" i="4" a="1"/>
  <c r="I1326" i="4" s="1"/>
  <c r="N1327" i="4" a="1"/>
  <c r="N1327" i="4" s="1"/>
  <c r="N1331" i="4" a="1"/>
  <c r="N1331" i="4" s="1"/>
  <c r="S1332" i="4" a="1"/>
  <c r="S1332" i="4" s="1"/>
  <c r="N1335" i="4" a="1"/>
  <c r="N1335" i="4" s="1"/>
  <c r="S1340" i="4" a="1"/>
  <c r="S1340" i="4" s="1"/>
  <c r="I1342" i="4" a="1"/>
  <c r="I1342" i="4" s="1"/>
  <c r="N1343" i="4" a="1"/>
  <c r="N1343" i="4" s="1"/>
  <c r="S1368" i="4" a="1"/>
  <c r="S1368" i="4" s="1"/>
  <c r="S1376" i="4" a="1"/>
  <c r="S1376" i="4" s="1"/>
  <c r="I1378" i="4" a="1"/>
  <c r="I1378" i="4" s="1"/>
  <c r="N1383" i="4" a="1"/>
  <c r="N1383" i="4" s="1"/>
  <c r="I1386" i="4" a="1"/>
  <c r="I1386" i="4" s="1"/>
  <c r="N1395" i="4" a="1"/>
  <c r="N1395" i="4" s="1"/>
  <c r="I1398" i="4" a="1"/>
  <c r="I1398" i="4" s="1"/>
  <c r="N1399" i="4" a="1"/>
  <c r="N1399" i="4" s="1"/>
  <c r="I1406" i="4" a="1"/>
  <c r="I1406" i="4" s="1"/>
  <c r="N1407" i="4" a="1"/>
  <c r="N1407" i="4" s="1"/>
  <c r="S1408" i="4" a="1"/>
  <c r="S1408" i="4" s="1"/>
  <c r="I1410" i="4" a="1"/>
  <c r="I1410" i="4" s="1"/>
  <c r="N1415" i="4" a="1"/>
  <c r="N1415" i="4" s="1"/>
  <c r="S1416" i="4" a="1"/>
  <c r="S1416" i="4" s="1"/>
  <c r="I1418" i="4" a="1"/>
  <c r="I1418" i="4" s="1"/>
  <c r="I1422" i="4" a="1"/>
  <c r="I1422" i="4" s="1"/>
  <c r="N1423" i="4" a="1"/>
  <c r="N1423" i="4" s="1"/>
  <c r="S1424" i="4" a="1"/>
  <c r="S1424" i="4" s="1"/>
  <c r="N1427" i="4" a="1"/>
  <c r="N1427" i="4" s="1"/>
  <c r="I1430" i="4" a="1"/>
  <c r="I1430" i="4" s="1"/>
  <c r="I1434" i="4" a="1"/>
  <c r="I1434" i="4" s="1"/>
  <c r="S1436" i="4" a="1"/>
  <c r="S1436" i="4" s="1"/>
  <c r="N1439" i="4" a="1"/>
  <c r="N1439" i="4" s="1"/>
  <c r="S1440" i="4" a="1"/>
  <c r="S1440" i="4" s="1"/>
  <c r="N1455" i="4" a="1"/>
  <c r="N1455" i="4" s="1"/>
  <c r="I1458" i="4" a="1"/>
  <c r="I1458" i="4" s="1"/>
  <c r="N1459" i="4" a="1"/>
  <c r="N1459" i="4" s="1"/>
  <c r="I1498" i="4" a="1"/>
  <c r="I1498" i="4" s="1"/>
  <c r="S1500" i="4" a="1"/>
  <c r="S1500" i="4" s="1"/>
  <c r="N1503" i="4" a="1"/>
  <c r="N1503" i="4" s="1"/>
  <c r="N1507" i="4" a="1"/>
  <c r="N1507" i="4" s="1"/>
  <c r="S1508" i="4" a="1"/>
  <c r="S1508" i="4" s="1"/>
  <c r="I1510" i="4" a="1"/>
  <c r="I1510" i="4" s="1"/>
  <c r="I1558" i="4" a="1"/>
  <c r="I1558" i="4" s="1"/>
  <c r="S1572" i="4" a="1"/>
  <c r="S1572" i="4" s="1"/>
  <c r="I1578" i="4" a="1"/>
  <c r="I1578" i="4" s="1"/>
  <c r="N1583" i="4" a="1"/>
  <c r="N1583" i="4" s="1"/>
  <c r="N1587" i="4" a="1"/>
  <c r="N1587" i="4" s="1"/>
  <c r="I1590" i="4" a="1"/>
  <c r="I1590" i="4" s="1"/>
  <c r="S1596" i="4" a="1"/>
  <c r="S1596" i="4" s="1"/>
  <c r="N40" i="12"/>
  <c r="D34" i="48"/>
  <c r="G52" i="48"/>
  <c r="D53" i="48"/>
  <c r="N22" i="12"/>
  <c r="N34" i="12"/>
  <c r="N86" i="12"/>
  <c r="N88" i="12"/>
  <c r="N100" i="12"/>
  <c r="Q40" i="38"/>
  <c r="D13" i="52"/>
  <c r="F44" i="46"/>
  <c r="I565" i="4" a="1"/>
  <c r="I565" i="4" s="1"/>
  <c r="S591" i="4" a="1"/>
  <c r="S591" i="4" s="1"/>
  <c r="S599" i="4" a="1"/>
  <c r="S599" i="4" s="1"/>
  <c r="I613" i="4" a="1"/>
  <c r="I613" i="4" s="1"/>
  <c r="S643" i="4" a="1"/>
  <c r="S643" i="4" s="1"/>
  <c r="N650" i="4" a="1"/>
  <c r="N650" i="4" s="1"/>
  <c r="N694" i="4" a="1"/>
  <c r="N694" i="4" s="1"/>
  <c r="S719" i="4" a="1"/>
  <c r="S719" i="4" s="1"/>
  <c r="S723" i="4" a="1"/>
  <c r="S723" i="4" s="1"/>
  <c r="N742" i="4" a="1"/>
  <c r="N742" i="4" s="1"/>
  <c r="I761" i="4" a="1"/>
  <c r="I761" i="4" s="1"/>
  <c r="S779" i="4" a="1"/>
  <c r="S779" i="4" s="1"/>
  <c r="I793" i="4" a="1"/>
  <c r="I793" i="4" s="1"/>
  <c r="S807" i="4" a="1"/>
  <c r="S807" i="4" s="1"/>
  <c r="I817" i="4" a="1"/>
  <c r="I817" i="4" s="1"/>
  <c r="I821" i="4" a="1"/>
  <c r="I821" i="4" s="1"/>
  <c r="N834" i="4" a="1"/>
  <c r="N834" i="4" s="1"/>
  <c r="I849" i="4" a="1"/>
  <c r="I849" i="4" s="1"/>
  <c r="N854" i="4" a="1"/>
  <c r="N854" i="4" s="1"/>
  <c r="N858" i="4" a="1"/>
  <c r="N858" i="4" s="1"/>
  <c r="S875" i="4" a="1"/>
  <c r="S875" i="4" s="1"/>
  <c r="N886" i="4" a="1"/>
  <c r="N886" i="4" s="1"/>
  <c r="S887" i="4" a="1"/>
  <c r="S887" i="4" s="1"/>
  <c r="S895" i="4" a="1"/>
  <c r="S895" i="4" s="1"/>
  <c r="I909" i="4" a="1"/>
  <c r="I909" i="4" s="1"/>
  <c r="S939" i="4" a="1"/>
  <c r="S939" i="4" s="1"/>
  <c r="N942" i="4" a="1"/>
  <c r="N942" i="4" s="1"/>
  <c r="S951" i="4" a="1"/>
  <c r="S951" i="4" s="1"/>
  <c r="S963" i="4" a="1"/>
  <c r="S963" i="4" s="1"/>
  <c r="N974" i="4" a="1"/>
  <c r="N974" i="4" s="1"/>
  <c r="I997" i="4" a="1"/>
  <c r="I997" i="4" s="1"/>
  <c r="I1021" i="4" a="1"/>
  <c r="I1021" i="4" s="1"/>
  <c r="S1027" i="4" a="1"/>
  <c r="S1027" i="4" s="1"/>
  <c r="S1035" i="4" a="1"/>
  <c r="S1035" i="4" s="1"/>
  <c r="S1047" i="4" a="1"/>
  <c r="S1047" i="4" s="1"/>
  <c r="I1061" i="4" a="1"/>
  <c r="I1061" i="4" s="1"/>
  <c r="S1067" i="4" a="1"/>
  <c r="S1067" i="4" s="1"/>
  <c r="S1091" i="4" a="1"/>
  <c r="S1091" i="4" s="1"/>
  <c r="I1113" i="4" a="1"/>
  <c r="I1113" i="4" s="1"/>
  <c r="I1121" i="4" a="1"/>
  <c r="I1121" i="4" s="1"/>
  <c r="N1126" i="4" a="1"/>
  <c r="N1126" i="4" s="1"/>
  <c r="S1127" i="4" a="1"/>
  <c r="S1127" i="4" s="1"/>
  <c r="S1139" i="4" a="1"/>
  <c r="S1139" i="4" s="1"/>
  <c r="S1143" i="4" a="1"/>
  <c r="S1143" i="4" s="1"/>
  <c r="N1146" i="4" a="1"/>
  <c r="N1146" i="4" s="1"/>
  <c r="S1147" i="4" a="1"/>
  <c r="S1147" i="4" s="1"/>
  <c r="I1149" i="4" a="1"/>
  <c r="I1149" i="4" s="1"/>
  <c r="N1150" i="4" a="1"/>
  <c r="N1150" i="4" s="1"/>
  <c r="I1153" i="4" a="1"/>
  <c r="I1153" i="4" s="1"/>
  <c r="S1159" i="4" a="1"/>
  <c r="S1159" i="4" s="1"/>
  <c r="N1162" i="4" a="1"/>
  <c r="N1162" i="4" s="1"/>
  <c r="S1163" i="4" a="1"/>
  <c r="S1163" i="4" s="1"/>
  <c r="I1165" i="4" a="1"/>
  <c r="I1165" i="4" s="1"/>
  <c r="N1166" i="4" a="1"/>
  <c r="N1166" i="4" s="1"/>
  <c r="S1167" i="4" a="1"/>
  <c r="S1167" i="4" s="1"/>
  <c r="I1169" i="4" a="1"/>
  <c r="I1169" i="4" s="1"/>
  <c r="N1170" i="4" a="1"/>
  <c r="N1170" i="4" s="1"/>
  <c r="I1173" i="4" a="1"/>
  <c r="I1173" i="4" s="1"/>
  <c r="N1174" i="4" a="1"/>
  <c r="N1174" i="4" s="1"/>
  <c r="S1175" i="4" a="1"/>
  <c r="S1175" i="4" s="1"/>
  <c r="I1177" i="4" a="1"/>
  <c r="I1177" i="4" s="1"/>
  <c r="S1179" i="4" a="1"/>
  <c r="S1179" i="4" s="1"/>
  <c r="I1181" i="4" a="1"/>
  <c r="I1181" i="4" s="1"/>
  <c r="S1183" i="4" a="1"/>
  <c r="S1183" i="4" s="1"/>
  <c r="I1185" i="4" a="1"/>
  <c r="I1185" i="4" s="1"/>
  <c r="N1186" i="4" a="1"/>
  <c r="N1186" i="4" s="1"/>
  <c r="I1189" i="4" a="1"/>
  <c r="I1189" i="4" s="1"/>
  <c r="S1191" i="4" a="1"/>
  <c r="S1191" i="4" s="1"/>
  <c r="I1193" i="4" a="1"/>
  <c r="I1193" i="4" s="1"/>
  <c r="I1197" i="4" a="1"/>
  <c r="I1197" i="4" s="1"/>
  <c r="I1201" i="4" a="1"/>
  <c r="I1201" i="4" s="1"/>
  <c r="I1205" i="4" a="1"/>
  <c r="I1205" i="4" s="1"/>
  <c r="N1206" i="4" a="1"/>
  <c r="N1206" i="4" s="1"/>
  <c r="S1207" i="4" a="1"/>
  <c r="S1207" i="4" s="1"/>
  <c r="I1209" i="4" a="1"/>
  <c r="I1209" i="4" s="1"/>
  <c r="N1210" i="4" a="1"/>
  <c r="N1210" i="4" s="1"/>
  <c r="S1211" i="4" a="1"/>
  <c r="S1211" i="4" s="1"/>
  <c r="N1214" i="4" a="1"/>
  <c r="N1214" i="4" s="1"/>
  <c r="S1215" i="4" a="1"/>
  <c r="S1215" i="4" s="1"/>
  <c r="I1221" i="4" a="1"/>
  <c r="I1221" i="4" s="1"/>
  <c r="N1222" i="4" a="1"/>
  <c r="N1222" i="4" s="1"/>
  <c r="I1229" i="4" a="1"/>
  <c r="I1229" i="4" s="1"/>
  <c r="N1230" i="4" a="1"/>
  <c r="N1230" i="4" s="1"/>
  <c r="I1233" i="4" a="1"/>
  <c r="I1233" i="4" s="1"/>
  <c r="N1234" i="4" a="1"/>
  <c r="N1234" i="4" s="1"/>
  <c r="S1235" i="4" a="1"/>
  <c r="S1235" i="4" s="1"/>
  <c r="N1238" i="4" a="1"/>
  <c r="N1238" i="4" s="1"/>
  <c r="S1239" i="4" a="1"/>
  <c r="S1239" i="4" s="1"/>
  <c r="N1242" i="4" a="1"/>
  <c r="N1242" i="4" s="1"/>
  <c r="S1243" i="4" a="1"/>
  <c r="S1243" i="4" s="1"/>
  <c r="N1246" i="4" a="1"/>
  <c r="N1246" i="4" s="1"/>
  <c r="I1249" i="4" a="1"/>
  <c r="I1249" i="4" s="1"/>
  <c r="N1250" i="4" a="1"/>
  <c r="N1250" i="4" s="1"/>
  <c r="I1253" i="4" a="1"/>
  <c r="I1253" i="4" s="1"/>
  <c r="N1254" i="4" a="1"/>
  <c r="N1254" i="4" s="1"/>
  <c r="I1257" i="4" a="1"/>
  <c r="I1257" i="4" s="1"/>
  <c r="N1258" i="4" a="1"/>
  <c r="N1258" i="4" s="1"/>
  <c r="I1261" i="4" a="1"/>
  <c r="I1261" i="4" s="1"/>
  <c r="S1263" i="4" a="1"/>
  <c r="S1263" i="4" s="1"/>
  <c r="S1267" i="4" a="1"/>
  <c r="S1267" i="4" s="1"/>
  <c r="S1271" i="4" a="1"/>
  <c r="S1271" i="4" s="1"/>
  <c r="S1275" i="4" a="1"/>
  <c r="S1275" i="4" s="1"/>
  <c r="I1277" i="4" a="1"/>
  <c r="I1277" i="4" s="1"/>
  <c r="N1278" i="4" a="1"/>
  <c r="N1278" i="4" s="1"/>
  <c r="S1279" i="4" a="1"/>
  <c r="S1279" i="4" s="1"/>
  <c r="I1281" i="4" a="1"/>
  <c r="I1281" i="4" s="1"/>
  <c r="N1282" i="4" a="1"/>
  <c r="N1282" i="4" s="1"/>
  <c r="S1283" i="4" a="1"/>
  <c r="S1283" i="4" s="1"/>
  <c r="I1285" i="4" a="1"/>
  <c r="I1285" i="4" s="1"/>
  <c r="N1286" i="4" a="1"/>
  <c r="N1286" i="4" s="1"/>
  <c r="S1287" i="4" a="1"/>
  <c r="S1287" i="4" s="1"/>
  <c r="S1291" i="4" a="1"/>
  <c r="S1291" i="4" s="1"/>
  <c r="I1293" i="4" a="1"/>
  <c r="I1293" i="4" s="1"/>
  <c r="S1295" i="4" a="1"/>
  <c r="S1295" i="4" s="1"/>
  <c r="I1297" i="4" a="1"/>
  <c r="I1297" i="4" s="1"/>
  <c r="S1303" i="4" a="1"/>
  <c r="S1303" i="4" s="1"/>
  <c r="S1307" i="4" a="1"/>
  <c r="S1307" i="4" s="1"/>
  <c r="I1309" i="4" a="1"/>
  <c r="I1309" i="4" s="1"/>
  <c r="N1310" i="4" a="1"/>
  <c r="N1310" i="4" s="1"/>
  <c r="I1313" i="4" a="1"/>
  <c r="I1313" i="4" s="1"/>
  <c r="N1314" i="4" a="1"/>
  <c r="N1314" i="4" s="1"/>
  <c r="S1315" i="4" a="1"/>
  <c r="S1315" i="4" s="1"/>
  <c r="I1317" i="4" a="1"/>
  <c r="I1317" i="4" s="1"/>
  <c r="N1318" i="4" a="1"/>
  <c r="N1318" i="4" s="1"/>
  <c r="S1319" i="4" a="1"/>
  <c r="S1319" i="4" s="1"/>
  <c r="I1321" i="4" a="1"/>
  <c r="I1321" i="4" s="1"/>
  <c r="S1323" i="4" a="1"/>
  <c r="S1323" i="4" s="1"/>
  <c r="I1325" i="4" a="1"/>
  <c r="I1325" i="4" s="1"/>
  <c r="S1327" i="4" a="1"/>
  <c r="S1327" i="4" s="1"/>
  <c r="I1329" i="4" a="1"/>
  <c r="I1329" i="4" s="1"/>
  <c r="N1330" i="4" a="1"/>
  <c r="N1330" i="4" s="1"/>
  <c r="S1331" i="4" a="1"/>
  <c r="S1331" i="4" s="1"/>
  <c r="I1333" i="4" a="1"/>
  <c r="I1333" i="4" s="1"/>
  <c r="N1334" i="4" a="1"/>
  <c r="N1334" i="4" s="1"/>
  <c r="S1335" i="4" a="1"/>
  <c r="S1335" i="4" s="1"/>
  <c r="N1338" i="4" a="1"/>
  <c r="N1338" i="4" s="1"/>
  <c r="S1339" i="4" a="1"/>
  <c r="S1339" i="4" s="1"/>
  <c r="I1341" i="4" a="1"/>
  <c r="I1341" i="4" s="1"/>
  <c r="N1342" i="4" a="1"/>
  <c r="N1342" i="4" s="1"/>
  <c r="S1343" i="4" a="1"/>
  <c r="S1343" i="4" s="1"/>
  <c r="I1345" i="4" a="1"/>
  <c r="I1345" i="4" s="1"/>
  <c r="S1347" i="4" a="1"/>
  <c r="S1347" i="4" s="1"/>
  <c r="I1349" i="4" a="1"/>
  <c r="I1349" i="4" s="1"/>
  <c r="I1353" i="4" a="1"/>
  <c r="I1353" i="4" s="1"/>
  <c r="S1355" i="4" a="1"/>
  <c r="S1355" i="4" s="1"/>
  <c r="I1357" i="4" a="1"/>
  <c r="I1357" i="4" s="1"/>
  <c r="N1358" i="4" a="1"/>
  <c r="N1358" i="4" s="1"/>
  <c r="S1359" i="4" a="1"/>
  <c r="S1359" i="4" s="1"/>
  <c r="I1361" i="4" a="1"/>
  <c r="I1361" i="4" s="1"/>
  <c r="N1362" i="4" a="1"/>
  <c r="N1362" i="4" s="1"/>
  <c r="S1363" i="4" a="1"/>
  <c r="S1363" i="4" s="1"/>
  <c r="N1366" i="4" a="1"/>
  <c r="N1366" i="4" s="1"/>
  <c r="S1367" i="4" a="1"/>
  <c r="S1367" i="4" s="1"/>
  <c r="S1371" i="4" a="1"/>
  <c r="S1371" i="4" s="1"/>
  <c r="I1373" i="4" a="1"/>
  <c r="I1373" i="4" s="1"/>
  <c r="S1375" i="4" a="1"/>
  <c r="S1375" i="4" s="1"/>
  <c r="I1377" i="4" a="1"/>
  <c r="I1377" i="4" s="1"/>
  <c r="N1378" i="4" a="1"/>
  <c r="N1378" i="4" s="1"/>
  <c r="S1379" i="4" a="1"/>
  <c r="S1379" i="4" s="1"/>
  <c r="N1382" i="4" a="1"/>
  <c r="N1382" i="4" s="1"/>
  <c r="S1383" i="4" a="1"/>
  <c r="S1383" i="4" s="1"/>
  <c r="I1385" i="4" a="1"/>
  <c r="I1385" i="4" s="1"/>
  <c r="N1386" i="4" a="1"/>
  <c r="N1386" i="4" s="1"/>
  <c r="S1387" i="4" a="1"/>
  <c r="S1387" i="4" s="1"/>
  <c r="I1389" i="4" a="1"/>
  <c r="I1389" i="4" s="1"/>
  <c r="I1393" i="4" a="1"/>
  <c r="I1393" i="4" s="1"/>
  <c r="N1394" i="4" a="1"/>
  <c r="N1394" i="4" s="1"/>
  <c r="S1395" i="4" a="1"/>
  <c r="S1395" i="4" s="1"/>
  <c r="I1397" i="4" a="1"/>
  <c r="I1397" i="4" s="1"/>
  <c r="N1398" i="4" a="1"/>
  <c r="N1398" i="4" s="1"/>
  <c r="S1399" i="4" a="1"/>
  <c r="S1399" i="4" s="1"/>
  <c r="I1401" i="4" a="1"/>
  <c r="I1401" i="4" s="1"/>
  <c r="N1402" i="4" a="1"/>
  <c r="N1402" i="4" s="1"/>
  <c r="I1405" i="4" a="1"/>
  <c r="I1405" i="4" s="1"/>
  <c r="N1406" i="4" a="1"/>
  <c r="N1406" i="4" s="1"/>
  <c r="I1409" i="4" a="1"/>
  <c r="I1409" i="4" s="1"/>
  <c r="N1410" i="4" a="1"/>
  <c r="N1410" i="4" s="1"/>
  <c r="I1413" i="4" a="1"/>
  <c r="I1413" i="4" s="1"/>
  <c r="S1415" i="4" a="1"/>
  <c r="S1415" i="4" s="1"/>
  <c r="I1417" i="4" a="1"/>
  <c r="I1417" i="4" s="1"/>
  <c r="N1418" i="4" a="1"/>
  <c r="N1418" i="4" s="1"/>
  <c r="S1419" i="4" a="1"/>
  <c r="S1419" i="4" s="1"/>
  <c r="I1421" i="4" a="1"/>
  <c r="I1421" i="4" s="1"/>
  <c r="N1422" i="4" a="1"/>
  <c r="N1422" i="4" s="1"/>
  <c r="S1423" i="4" a="1"/>
  <c r="S1423" i="4" s="1"/>
  <c r="I1425" i="4" a="1"/>
  <c r="I1425" i="4" s="1"/>
  <c r="N1426" i="4" a="1"/>
  <c r="N1426" i="4" s="1"/>
  <c r="S1427" i="4" a="1"/>
  <c r="S1427" i="4" s="1"/>
  <c r="I1429" i="4" a="1"/>
  <c r="I1429" i="4" s="1"/>
  <c r="N1430" i="4" a="1"/>
  <c r="N1430" i="4" s="1"/>
  <c r="S1431" i="4" a="1"/>
  <c r="S1431" i="4" s="1"/>
  <c r="N1434" i="4" a="1"/>
  <c r="N1434" i="4" s="1"/>
  <c r="S1435" i="4" a="1"/>
  <c r="S1435" i="4" s="1"/>
  <c r="N1438" i="4" a="1"/>
  <c r="N1438" i="4" s="1"/>
  <c r="S1439" i="4" a="1"/>
  <c r="S1439" i="4" s="1"/>
  <c r="N1442" i="4" a="1"/>
  <c r="N1442" i="4" s="1"/>
  <c r="S1443" i="4" a="1"/>
  <c r="S1443" i="4" s="1"/>
  <c r="N1446" i="4" a="1"/>
  <c r="N1446" i="4" s="1"/>
  <c r="I1449" i="4" a="1"/>
  <c r="I1449" i="4" s="1"/>
  <c r="N1450" i="4" a="1"/>
  <c r="N1450" i="4" s="1"/>
  <c r="S1451" i="4" a="1"/>
  <c r="S1451" i="4" s="1"/>
  <c r="I1453" i="4" a="1"/>
  <c r="I1453" i="4" s="1"/>
  <c r="N1454" i="4" a="1"/>
  <c r="N1454" i="4" s="1"/>
  <c r="S1455" i="4" a="1"/>
  <c r="S1455" i="4" s="1"/>
  <c r="I1457" i="4" a="1"/>
  <c r="I1457" i="4" s="1"/>
  <c r="N1458" i="4" a="1"/>
  <c r="N1458" i="4" s="1"/>
  <c r="S1459" i="4" a="1"/>
  <c r="S1459" i="4" s="1"/>
  <c r="I1461" i="4" a="1"/>
  <c r="I1461" i="4" s="1"/>
  <c r="N1462" i="4" a="1"/>
  <c r="N1462" i="4" s="1"/>
  <c r="S1463" i="4" a="1"/>
  <c r="S1463" i="4" s="1"/>
  <c r="I1465" i="4" a="1"/>
  <c r="I1465" i="4" s="1"/>
  <c r="N1466" i="4" a="1"/>
  <c r="N1466" i="4" s="1"/>
  <c r="S1467" i="4" a="1"/>
  <c r="S1467" i="4" s="1"/>
  <c r="I1469" i="4" a="1"/>
  <c r="I1469" i="4" s="1"/>
  <c r="N1470" i="4" a="1"/>
  <c r="N1470" i="4" s="1"/>
  <c r="S1471" i="4" a="1"/>
  <c r="S1471" i="4" s="1"/>
  <c r="I1473" i="4" a="1"/>
  <c r="I1473" i="4" s="1"/>
  <c r="N1474" i="4" a="1"/>
  <c r="N1474" i="4" s="1"/>
  <c r="S1475" i="4" a="1"/>
  <c r="S1475" i="4" s="1"/>
  <c r="I1477" i="4" a="1"/>
  <c r="I1477" i="4" s="1"/>
  <c r="N1478" i="4" a="1"/>
  <c r="N1478" i="4" s="1"/>
  <c r="S1479" i="4" a="1"/>
  <c r="S1479" i="4" s="1"/>
  <c r="I1481" i="4" a="1"/>
  <c r="I1481" i="4" s="1"/>
  <c r="N1482" i="4" a="1"/>
  <c r="N1482" i="4" s="1"/>
  <c r="S1483" i="4" a="1"/>
  <c r="S1483" i="4" s="1"/>
  <c r="I1485" i="4" a="1"/>
  <c r="I1485" i="4" s="1"/>
  <c r="N1486" i="4" a="1"/>
  <c r="N1486" i="4" s="1"/>
  <c r="S1487" i="4" a="1"/>
  <c r="S1487" i="4" s="1"/>
  <c r="I1489" i="4" a="1"/>
  <c r="I1489" i="4" s="1"/>
  <c r="N1490" i="4" a="1"/>
  <c r="N1490" i="4" s="1"/>
  <c r="S1491" i="4" a="1"/>
  <c r="S1491" i="4" s="1"/>
  <c r="I1493" i="4" a="1"/>
  <c r="I1493" i="4" s="1"/>
  <c r="N1494" i="4" a="1"/>
  <c r="N1494" i="4" s="1"/>
  <c r="S1495" i="4" a="1"/>
  <c r="S1495" i="4" s="1"/>
  <c r="I1497" i="4" a="1"/>
  <c r="I1497" i="4" s="1"/>
  <c r="S1499" i="4" a="1"/>
  <c r="S1499" i="4" s="1"/>
  <c r="I1501" i="4" a="1"/>
  <c r="I1501" i="4" s="1"/>
  <c r="N1502" i="4" a="1"/>
  <c r="N1502" i="4" s="1"/>
  <c r="S1503" i="4" a="1"/>
  <c r="S1503" i="4" s="1"/>
  <c r="I1505" i="4" a="1"/>
  <c r="I1505" i="4" s="1"/>
  <c r="N1506" i="4" a="1"/>
  <c r="N1506" i="4" s="1"/>
  <c r="S1507" i="4" a="1"/>
  <c r="S1507" i="4" s="1"/>
  <c r="I1509" i="4" a="1"/>
  <c r="I1509" i="4" s="1"/>
  <c r="N1510" i="4" a="1"/>
  <c r="N1510" i="4" s="1"/>
  <c r="S1511" i="4" a="1"/>
  <c r="S1511" i="4" s="1"/>
  <c r="I1513" i="4" a="1"/>
  <c r="I1513" i="4" s="1"/>
  <c r="S1515" i="4" a="1"/>
  <c r="S1515" i="4" s="1"/>
  <c r="I1517" i="4" a="1"/>
  <c r="I1517" i="4" s="1"/>
  <c r="N1518" i="4" a="1"/>
  <c r="N1518" i="4" s="1"/>
  <c r="S1519" i="4" a="1"/>
  <c r="S1519" i="4" s="1"/>
  <c r="I1521" i="4" a="1"/>
  <c r="I1521" i="4" s="1"/>
  <c r="N1522" i="4" a="1"/>
  <c r="N1522" i="4" s="1"/>
  <c r="S1523" i="4" a="1"/>
  <c r="S1523" i="4" s="1"/>
  <c r="I1525" i="4" a="1"/>
  <c r="I1525" i="4" s="1"/>
  <c r="N1526" i="4" a="1"/>
  <c r="N1526" i="4" s="1"/>
  <c r="S1527" i="4" a="1"/>
  <c r="S1527" i="4" s="1"/>
  <c r="I1529" i="4" a="1"/>
  <c r="I1529" i="4" s="1"/>
  <c r="N1530" i="4" a="1"/>
  <c r="N1530" i="4" s="1"/>
  <c r="S1531" i="4" a="1"/>
  <c r="S1531" i="4" s="1"/>
  <c r="I1533" i="4" a="1"/>
  <c r="I1533" i="4" s="1"/>
  <c r="N1534" i="4" a="1"/>
  <c r="N1534" i="4" s="1"/>
  <c r="S1535" i="4" a="1"/>
  <c r="S1535" i="4" s="1"/>
  <c r="I1537" i="4" a="1"/>
  <c r="I1537" i="4" s="1"/>
  <c r="N1538" i="4" a="1"/>
  <c r="N1538" i="4" s="1"/>
  <c r="S1539" i="4" a="1"/>
  <c r="S1539" i="4" s="1"/>
  <c r="I1541" i="4" a="1"/>
  <c r="I1541" i="4" s="1"/>
  <c r="N1542" i="4" a="1"/>
  <c r="N1542" i="4" s="1"/>
  <c r="S1543" i="4" a="1"/>
  <c r="S1543" i="4" s="1"/>
  <c r="I1545" i="4" a="1"/>
  <c r="I1545" i="4" s="1"/>
  <c r="N1546" i="4" a="1"/>
  <c r="N1546" i="4" s="1"/>
  <c r="S1547" i="4" a="1"/>
  <c r="S1547" i="4" s="1"/>
  <c r="I1549" i="4" a="1"/>
  <c r="I1549" i="4" s="1"/>
  <c r="N1550" i="4" a="1"/>
  <c r="N1550" i="4" s="1"/>
  <c r="I1667" i="4" a="1"/>
  <c r="I1667" i="4" s="1"/>
  <c r="N1668" i="4" a="1"/>
  <c r="N1668" i="4" s="1"/>
  <c r="S1669" i="4" a="1"/>
  <c r="S1669" i="4" s="1"/>
  <c r="I1671" i="4" a="1"/>
  <c r="I1671" i="4" s="1"/>
  <c r="S1673" i="4" a="1"/>
  <c r="S1673" i="4" s="1"/>
  <c r="I1675" i="4" a="1"/>
  <c r="I1675" i="4" s="1"/>
  <c r="N1676" i="4" a="1"/>
  <c r="N1676" i="4" s="1"/>
  <c r="S1551" i="4" a="1"/>
  <c r="S1551" i="4" s="1"/>
  <c r="I1553" i="4" a="1"/>
  <c r="I1553" i="4" s="1"/>
  <c r="N1554" i="4" a="1"/>
  <c r="N1554" i="4" s="1"/>
  <c r="S1555" i="4" a="1"/>
  <c r="S1555" i="4" s="1"/>
  <c r="I1557" i="4" a="1"/>
  <c r="I1557" i="4" s="1"/>
  <c r="N1558" i="4" a="1"/>
  <c r="N1558" i="4" s="1"/>
  <c r="S1559" i="4" a="1"/>
  <c r="S1559" i="4" s="1"/>
  <c r="I1561" i="4" a="1"/>
  <c r="I1561" i="4" s="1"/>
  <c r="N1566" i="4" a="1"/>
  <c r="N1566" i="4" s="1"/>
  <c r="S1567" i="4" a="1"/>
  <c r="S1567" i="4" s="1"/>
  <c r="I1569" i="4" a="1"/>
  <c r="I1569" i="4" s="1"/>
  <c r="N1570" i="4" a="1"/>
  <c r="N1570" i="4" s="1"/>
  <c r="S1571" i="4" a="1"/>
  <c r="S1571" i="4" s="1"/>
  <c r="I1573" i="4" a="1"/>
  <c r="I1573" i="4" s="1"/>
  <c r="N1574" i="4" a="1"/>
  <c r="N1574" i="4" s="1"/>
  <c r="S1575" i="4" a="1"/>
  <c r="S1575" i="4" s="1"/>
  <c r="I1577" i="4" a="1"/>
  <c r="I1577" i="4" s="1"/>
  <c r="N1578" i="4" a="1"/>
  <c r="N1578" i="4" s="1"/>
  <c r="S1579" i="4" a="1"/>
  <c r="S1579" i="4" s="1"/>
  <c r="I1581" i="4" a="1"/>
  <c r="I1581" i="4" s="1"/>
  <c r="N1582" i="4" a="1"/>
  <c r="N1582" i="4" s="1"/>
  <c r="S1583" i="4" a="1"/>
  <c r="S1583" i="4" s="1"/>
  <c r="I1585" i="4" a="1"/>
  <c r="I1585" i="4" s="1"/>
  <c r="N1586" i="4" a="1"/>
  <c r="N1586" i="4" s="1"/>
  <c r="S1587" i="4" a="1"/>
  <c r="S1587" i="4" s="1"/>
  <c r="N1590" i="4" a="1"/>
  <c r="N1590" i="4" s="1"/>
  <c r="S1591" i="4" a="1"/>
  <c r="S1591" i="4" s="1"/>
  <c r="I1593" i="4" a="1"/>
  <c r="I1593" i="4" s="1"/>
  <c r="N1594" i="4" a="1"/>
  <c r="N1594" i="4" s="1"/>
  <c r="S1595" i="4" a="1"/>
  <c r="S1595" i="4" s="1"/>
  <c r="I1597" i="4" a="1"/>
  <c r="I1597" i="4" s="1"/>
  <c r="N1598" i="4" a="1"/>
  <c r="N1598" i="4" s="1"/>
  <c r="S1599" i="4" a="1"/>
  <c r="S1599" i="4" s="1"/>
  <c r="I1601" i="4" a="1"/>
  <c r="I1601" i="4" s="1"/>
  <c r="N1602" i="4" a="1"/>
  <c r="N1602" i="4" s="1"/>
  <c r="S1603" i="4" a="1"/>
  <c r="S1603" i="4" s="1"/>
  <c r="I1605" i="4" a="1"/>
  <c r="I1605" i="4" s="1"/>
  <c r="N1606" i="4" a="1"/>
  <c r="N1606" i="4" s="1"/>
  <c r="S1607" i="4" a="1"/>
  <c r="S1607" i="4" s="1"/>
  <c r="I1609" i="4" a="1"/>
  <c r="I1609" i="4" s="1"/>
  <c r="N1610" i="4" a="1"/>
  <c r="N1610" i="4" s="1"/>
  <c r="S1611" i="4" a="1"/>
  <c r="S1611" i="4" s="1"/>
  <c r="I1613" i="4" a="1"/>
  <c r="I1613" i="4" s="1"/>
  <c r="N1614" i="4" a="1"/>
  <c r="N1614" i="4" s="1"/>
  <c r="I1617" i="4" a="1"/>
  <c r="I1617" i="4" s="1"/>
  <c r="I1621" i="4" a="1"/>
  <c r="I1621" i="4" s="1"/>
  <c r="N1622" i="4" a="1"/>
  <c r="N1622" i="4" s="1"/>
  <c r="S1623" i="4" a="1"/>
  <c r="S1623" i="4" s="1"/>
  <c r="I1625" i="4" a="1"/>
  <c r="I1625" i="4" s="1"/>
  <c r="N1626" i="4" a="1"/>
  <c r="N1626" i="4" s="1"/>
  <c r="S1627" i="4" a="1"/>
  <c r="S1627" i="4" s="1"/>
  <c r="I1629" i="4" a="1"/>
  <c r="I1629" i="4" s="1"/>
  <c r="N1630" i="4" a="1"/>
  <c r="N1630" i="4" s="1"/>
  <c r="I1633" i="4" a="1"/>
  <c r="I1633" i="4" s="1"/>
  <c r="N1634" i="4" a="1"/>
  <c r="N1634" i="4" s="1"/>
  <c r="S1635" i="4" a="1"/>
  <c r="S1635" i="4" s="1"/>
  <c r="I1637" i="4" a="1"/>
  <c r="I1637" i="4" s="1"/>
  <c r="N1638" i="4" a="1"/>
  <c r="N1638" i="4" s="1"/>
  <c r="S1639" i="4" a="1"/>
  <c r="S1639" i="4" s="1"/>
  <c r="I1641" i="4" a="1"/>
  <c r="I1641" i="4" s="1"/>
  <c r="N1642" i="4" a="1"/>
  <c r="N1642" i="4" s="1"/>
  <c r="S1643" i="4" a="1"/>
  <c r="S1643" i="4" s="1"/>
  <c r="I1645" i="4" a="1"/>
  <c r="I1645" i="4" s="1"/>
  <c r="N1646" i="4" a="1"/>
  <c r="N1646" i="4" s="1"/>
  <c r="S1647" i="4" a="1"/>
  <c r="S1647" i="4" s="1"/>
  <c r="I1649" i="4" a="1"/>
  <c r="I1649" i="4" s="1"/>
  <c r="N1650" i="4" a="1"/>
  <c r="N1650" i="4" s="1"/>
  <c r="S1651" i="4" a="1"/>
  <c r="S1651" i="4" s="1"/>
  <c r="N1654" i="4" a="1"/>
  <c r="N1654" i="4" s="1"/>
  <c r="S1655" i="4" a="1"/>
  <c r="S1655" i="4" s="1"/>
  <c r="I1657" i="4" a="1"/>
  <c r="I1657" i="4" s="1"/>
  <c r="N1658" i="4" a="1"/>
  <c r="N1658" i="4" s="1"/>
  <c r="S1659" i="4" a="1"/>
  <c r="S1659" i="4" s="1"/>
  <c r="I1661" i="4" a="1"/>
  <c r="I1661" i="4" s="1"/>
  <c r="N1662" i="4" a="1"/>
  <c r="N1662" i="4" s="1"/>
  <c r="S1663" i="4" a="1"/>
  <c r="S1663" i="4" s="1"/>
  <c r="I1665" i="4" a="1"/>
  <c r="I1665" i="4" s="1"/>
  <c r="N1666" i="4" a="1"/>
  <c r="N1666" i="4" s="1"/>
  <c r="S1667" i="4" a="1"/>
  <c r="S1667" i="4" s="1"/>
  <c r="I1669" i="4" a="1"/>
  <c r="I1669" i="4" s="1"/>
  <c r="N1670" i="4" a="1"/>
  <c r="N1670" i="4" s="1"/>
  <c r="S1671" i="4" a="1"/>
  <c r="S1671" i="4" s="1"/>
  <c r="I1673" i="4" a="1"/>
  <c r="I1673" i="4" s="1"/>
  <c r="N1674" i="4" a="1"/>
  <c r="N1674" i="4" s="1"/>
  <c r="I1677" i="4" a="1"/>
  <c r="I1677" i="4" s="1"/>
  <c r="D20" i="52"/>
  <c r="E56" i="49"/>
  <c r="E61" i="48"/>
  <c r="E63" i="48" s="1"/>
  <c r="E26" i="49"/>
  <c r="E28" i="49"/>
  <c r="E32" i="49"/>
  <c r="E33" i="49"/>
  <c r="E27" i="49"/>
  <c r="W1988" i="2"/>
  <c r="W1088" i="2"/>
  <c r="AB988" i="2"/>
  <c r="W1076" i="2"/>
  <c r="AB1077" i="2"/>
  <c r="AB748" i="2"/>
  <c r="AB845" i="2"/>
  <c r="W450" i="2"/>
  <c r="AB707" i="2"/>
  <c r="W554" i="2"/>
  <c r="AB736" i="2"/>
  <c r="AB574" i="2"/>
  <c r="W179" i="2"/>
  <c r="AB420" i="2"/>
  <c r="AB239" i="2"/>
  <c r="W457" i="2"/>
  <c r="AB370" i="2"/>
  <c r="AB321" i="2"/>
  <c r="W266" i="2"/>
  <c r="AB220" i="2"/>
  <c r="AB169" i="2"/>
  <c r="W111" i="2"/>
  <c r="W453" i="2"/>
  <c r="W402" i="2"/>
  <c r="W343" i="2"/>
  <c r="W296" i="2"/>
  <c r="AB251" i="2"/>
  <c r="AB194" i="2"/>
  <c r="AB161" i="2"/>
  <c r="AB133" i="2"/>
  <c r="W93" i="2"/>
  <c r="W63" i="2"/>
  <c r="AB27" i="2"/>
  <c r="AB56" i="2"/>
  <c r="AB33" i="2"/>
  <c r="AB61" i="2"/>
  <c r="AB76" i="2"/>
  <c r="W44" i="2"/>
  <c r="W22" i="2"/>
  <c r="W1263" i="2"/>
  <c r="W999" i="2"/>
  <c r="AB956" i="2"/>
  <c r="W956" i="2"/>
  <c r="AB1005" i="2"/>
  <c r="AB679" i="2"/>
  <c r="W721" i="2"/>
  <c r="AB860" i="2"/>
  <c r="AB671" i="2"/>
  <c r="W862" i="2"/>
  <c r="AB701" i="2"/>
  <c r="W549" i="2"/>
  <c r="AB322" i="2"/>
  <c r="W142" i="2"/>
  <c r="W379" i="2"/>
  <c r="W166" i="2"/>
  <c r="AB433" i="2"/>
  <c r="W359" i="2"/>
  <c r="W303" i="2"/>
  <c r="W257" i="2"/>
  <c r="AB206" i="2"/>
  <c r="W150" i="2"/>
  <c r="AB100" i="2"/>
  <c r="AB440" i="2"/>
  <c r="AB382" i="2"/>
  <c r="W332" i="2"/>
  <c r="W287" i="2"/>
  <c r="W232" i="2"/>
  <c r="W188" i="2"/>
  <c r="W156" i="2"/>
  <c r="W118" i="2"/>
  <c r="AB81" i="2"/>
  <c r="W59" i="2"/>
  <c r="AB46" i="2"/>
  <c r="W49" i="2"/>
  <c r="AB29" i="2"/>
  <c r="AB44" i="2"/>
  <c r="AB63" i="2"/>
  <c r="AB39" i="2"/>
  <c r="W20" i="2"/>
  <c r="F23" i="49"/>
  <c r="F20" i="49"/>
  <c r="F9" i="49"/>
  <c r="F14" i="49"/>
  <c r="F21" i="49"/>
  <c r="F11" i="49"/>
  <c r="E29" i="41"/>
  <c r="G29" i="41" s="1"/>
  <c r="F32" i="49"/>
  <c r="F35" i="49"/>
  <c r="F28" i="49"/>
  <c r="F33" i="49"/>
  <c r="F38" i="49"/>
  <c r="W248" i="10"/>
  <c r="W1948" i="10"/>
  <c r="W1852" i="10"/>
  <c r="AB150" i="10"/>
  <c r="W1496" i="10"/>
  <c r="W877" i="10"/>
  <c r="W1030" i="10"/>
  <c r="AB422" i="10"/>
  <c r="W621" i="10"/>
  <c r="F36" i="49"/>
  <c r="I9" i="53"/>
  <c r="E16" i="49"/>
  <c r="E43" i="48"/>
  <c r="S1677" i="4" a="1"/>
  <c r="S1677" i="4" s="1"/>
  <c r="I5" i="4" a="1"/>
  <c r="I5" i="4" s="1"/>
  <c r="I421" i="4" a="1"/>
  <c r="I421" i="4" s="1"/>
  <c r="N434" i="4" a="1"/>
  <c r="N434" i="4" s="1"/>
  <c r="I445" i="4" a="1"/>
  <c r="I445" i="4" s="1"/>
  <c r="N1678" i="4" a="1"/>
  <c r="N1678" i="4" s="1"/>
  <c r="S1604" i="4" a="1"/>
  <c r="S1604" i="4" s="1"/>
  <c r="N1607" i="4" a="1"/>
  <c r="N1607" i="4" s="1"/>
  <c r="N19" i="12"/>
  <c r="N31" i="12"/>
  <c r="N97" i="12"/>
  <c r="D11" i="48"/>
  <c r="N43" i="12"/>
  <c r="N106" i="12"/>
  <c r="D46" i="48"/>
  <c r="D53" i="49" s="1"/>
  <c r="K24" i="61"/>
  <c r="K33" i="61"/>
  <c r="K34" i="61" s="1"/>
  <c r="F37" i="60"/>
  <c r="D24" i="60"/>
  <c r="D33" i="60"/>
  <c r="D30" i="60"/>
  <c r="D22" i="60"/>
  <c r="D21" i="60"/>
  <c r="D27" i="60"/>
  <c r="D34" i="60"/>
  <c r="D35" i="60"/>
  <c r="D20" i="60"/>
  <c r="D23" i="60"/>
  <c r="D32" i="60"/>
  <c r="D31" i="60"/>
  <c r="D18" i="60"/>
  <c r="D19" i="60"/>
  <c r="D26" i="60"/>
  <c r="D25" i="60"/>
  <c r="N91" i="12"/>
  <c r="R47" i="38"/>
  <c r="J37" i="60"/>
  <c r="J39" i="60" s="1"/>
  <c r="N17" i="12"/>
  <c r="N94" i="12"/>
  <c r="I33" i="38"/>
  <c r="I45" i="60"/>
  <c r="E49" i="60"/>
  <c r="D4" i="50"/>
  <c r="D49" i="48"/>
  <c r="D19" i="48"/>
  <c r="D7" i="49"/>
  <c r="D4" i="52"/>
  <c r="D4" i="51"/>
  <c r="N1611" i="4" a="1"/>
  <c r="N1611" i="4" s="1"/>
  <c r="N106" i="4" a="1"/>
  <c r="N106" i="4" s="1"/>
  <c r="S223" i="4" a="1"/>
  <c r="S223" i="4" s="1"/>
  <c r="N314" i="4" a="1"/>
  <c r="N314" i="4" s="1"/>
  <c r="N365" i="4" a="1"/>
  <c r="N365" i="4" s="1"/>
  <c r="E367" i="11" s="1"/>
  <c r="S375" i="4" a="1"/>
  <c r="S375" i="4" s="1"/>
  <c r="N381" i="4" a="1"/>
  <c r="N381" i="4" s="1"/>
  <c r="I385" i="4" a="1"/>
  <c r="I385" i="4" s="1"/>
  <c r="I392" i="4" a="1"/>
  <c r="I392" i="4" s="1"/>
  <c r="N397" i="4" a="1"/>
  <c r="N397" i="4" s="1"/>
  <c r="S418" i="4" a="1"/>
  <c r="S418" i="4" s="1"/>
  <c r="I424" i="4" a="1"/>
  <c r="I424" i="4" s="1"/>
  <c r="I440" i="4" a="1"/>
  <c r="I440" i="4" s="1"/>
  <c r="S450" i="4" a="1"/>
  <c r="S450" i="4" s="1"/>
  <c r="N461" i="4" a="1"/>
  <c r="N461" i="4" s="1"/>
  <c r="N485" i="4" a="1"/>
  <c r="N485" i="4" s="1"/>
  <c r="S506" i="4" a="1"/>
  <c r="S506" i="4" s="1"/>
  <c r="N517" i="4" a="1"/>
  <c r="N517" i="4" s="1"/>
  <c r="N549" i="4" a="1"/>
  <c r="N549" i="4" s="1"/>
  <c r="I560" i="4" a="1"/>
  <c r="I560" i="4" s="1"/>
  <c r="N613" i="4" a="1"/>
  <c r="N613" i="4" s="1"/>
  <c r="I624" i="4" a="1"/>
  <c r="I624" i="4" s="1"/>
  <c r="I656" i="4" a="1"/>
  <c r="I656" i="4" s="1"/>
  <c r="S666" i="4" a="1"/>
  <c r="S666" i="4" s="1"/>
  <c r="I696" i="4" a="1"/>
  <c r="I696" i="4" s="1"/>
  <c r="S698" i="4" a="1"/>
  <c r="S698" i="4" s="1"/>
  <c r="I736" i="4" a="1"/>
  <c r="I736" i="4" s="1"/>
  <c r="N805" i="4" a="1"/>
  <c r="N805" i="4" s="1"/>
  <c r="I1356" i="4" a="1"/>
  <c r="I1356" i="4" s="1"/>
  <c r="S1394" i="4" a="1"/>
  <c r="S1394" i="4" s="1"/>
  <c r="S1434" i="4" a="1"/>
  <c r="S1434" i="4" s="1"/>
  <c r="I1456" i="4" a="1"/>
  <c r="I1456" i="4" s="1"/>
  <c r="S1538" i="4" a="1"/>
  <c r="S1538" i="4" s="1"/>
  <c r="N1545" i="4" a="1"/>
  <c r="N1545" i="4" s="1"/>
  <c r="I1548" i="4" a="1"/>
  <c r="I1548" i="4" s="1"/>
  <c r="S1566" i="4" a="1"/>
  <c r="S1566" i="4" s="1"/>
  <c r="N1581" i="4" a="1"/>
  <c r="N1581" i="4" s="1"/>
  <c r="S1606" i="4" a="1"/>
  <c r="S1606" i="4" s="1"/>
  <c r="S1630" i="4" a="1"/>
  <c r="S1630" i="4" s="1"/>
  <c r="S1642" i="4" a="1"/>
  <c r="S1642" i="4" s="1"/>
  <c r="I1652" i="4" a="1"/>
  <c r="I1652" i="4" s="1"/>
  <c r="N791" i="4" a="1"/>
  <c r="N791" i="4" s="1"/>
  <c r="S792" i="4" a="1"/>
  <c r="S792" i="4" s="1"/>
  <c r="I794" i="4" a="1"/>
  <c r="I794" i="4" s="1"/>
  <c r="N795" i="4" a="1"/>
  <c r="N795" i="4" s="1"/>
  <c r="S796" i="4" a="1"/>
  <c r="S796" i="4" s="1"/>
  <c r="I798" i="4" a="1"/>
  <c r="I798" i="4" s="1"/>
  <c r="I802" i="4" a="1"/>
  <c r="I802" i="4" s="1"/>
  <c r="N803" i="4" a="1"/>
  <c r="N803" i="4" s="1"/>
  <c r="S804" i="4" a="1"/>
  <c r="S804" i="4" s="1"/>
  <c r="I806" i="4" a="1"/>
  <c r="I806" i="4" s="1"/>
  <c r="N807" i="4" a="1"/>
  <c r="N807" i="4" s="1"/>
  <c r="I810" i="4" a="1"/>
  <c r="I810" i="4" s="1"/>
  <c r="N811" i="4" a="1"/>
  <c r="N811" i="4" s="1"/>
  <c r="S812" i="4" a="1"/>
  <c r="S812" i="4" s="1"/>
  <c r="I814" i="4" a="1"/>
  <c r="I814" i="4" s="1"/>
  <c r="N815" i="4" a="1"/>
  <c r="N815" i="4" s="1"/>
  <c r="S816" i="4" a="1"/>
  <c r="S816" i="4" s="1"/>
  <c r="I818" i="4" a="1"/>
  <c r="I818" i="4" s="1"/>
  <c r="N819" i="4" a="1"/>
  <c r="N819" i="4" s="1"/>
  <c r="S820" i="4" a="1"/>
  <c r="S820" i="4" s="1"/>
  <c r="N823" i="4" a="1"/>
  <c r="N823" i="4" s="1"/>
  <c r="S824" i="4" a="1"/>
  <c r="S824" i="4" s="1"/>
  <c r="I826" i="4" a="1"/>
  <c r="I826" i="4" s="1"/>
  <c r="S828" i="4" a="1"/>
  <c r="S828" i="4" s="1"/>
  <c r="I830" i="4" a="1"/>
  <c r="I830" i="4" s="1"/>
  <c r="N831" i="4" a="1"/>
  <c r="N831" i="4" s="1"/>
  <c r="N835" i="4" a="1"/>
  <c r="N835" i="4" s="1"/>
  <c r="S836" i="4" a="1"/>
  <c r="S836" i="4" s="1"/>
  <c r="I838" i="4" a="1"/>
  <c r="I838" i="4" s="1"/>
  <c r="N839" i="4" a="1"/>
  <c r="N839" i="4" s="1"/>
  <c r="S840" i="4" a="1"/>
  <c r="S840" i="4" s="1"/>
  <c r="I842" i="4" a="1"/>
  <c r="I842" i="4" s="1"/>
  <c r="N843" i="4" a="1"/>
  <c r="N843" i="4" s="1"/>
  <c r="S844" i="4" a="1"/>
  <c r="S844" i="4" s="1"/>
  <c r="I846" i="4" a="1"/>
  <c r="I846" i="4" s="1"/>
  <c r="N847" i="4" a="1"/>
  <c r="N847" i="4" s="1"/>
  <c r="S848" i="4" a="1"/>
  <c r="S848" i="4" s="1"/>
  <c r="I850" i="4" a="1"/>
  <c r="I850" i="4" s="1"/>
  <c r="N851" i="4" a="1"/>
  <c r="N851" i="4" s="1"/>
  <c r="S852" i="4" a="1"/>
  <c r="S852" i="4" s="1"/>
  <c r="I854" i="4" a="1"/>
  <c r="I854" i="4" s="1"/>
  <c r="N855" i="4" a="1"/>
  <c r="N855" i="4" s="1"/>
  <c r="S856" i="4" a="1"/>
  <c r="S856" i="4" s="1"/>
  <c r="I858" i="4" a="1"/>
  <c r="I858" i="4" s="1"/>
  <c r="N859" i="4" a="1"/>
  <c r="N859" i="4" s="1"/>
  <c r="S860" i="4" a="1"/>
  <c r="S860" i="4" s="1"/>
  <c r="I862" i="4" a="1"/>
  <c r="I862" i="4" s="1"/>
  <c r="N863" i="4" a="1"/>
  <c r="N863" i="4" s="1"/>
  <c r="S1460" i="4" a="1"/>
  <c r="S1460" i="4" s="1"/>
  <c r="I1462" i="4" a="1"/>
  <c r="I1462" i="4" s="1"/>
  <c r="I1466" i="4" a="1"/>
  <c r="I1466" i="4" s="1"/>
  <c r="S1468" i="4" a="1"/>
  <c r="S1468" i="4" s="1"/>
  <c r="I1470" i="4" a="1"/>
  <c r="I1470" i="4" s="1"/>
  <c r="N1471" i="4" a="1"/>
  <c r="N1471" i="4" s="1"/>
  <c r="S1476" i="4" a="1"/>
  <c r="S1476" i="4" s="1"/>
  <c r="N1479" i="4" a="1"/>
  <c r="N1479" i="4" s="1"/>
  <c r="I1482" i="4" a="1"/>
  <c r="I1482" i="4" s="1"/>
  <c r="N1495" i="4" a="1"/>
  <c r="N1495" i="4" s="1"/>
  <c r="N1511" i="4" a="1"/>
  <c r="N1511" i="4" s="1"/>
  <c r="S1512" i="4" a="1"/>
  <c r="S1512" i="4" s="1"/>
  <c r="N1515" i="4" a="1"/>
  <c r="N1515" i="4" s="1"/>
  <c r="I1522" i="4" a="1"/>
  <c r="I1522" i="4" s="1"/>
  <c r="I1526" i="4" a="1"/>
  <c r="I1526" i="4" s="1"/>
  <c r="I1538" i="4" a="1"/>
  <c r="I1538" i="4" s="1"/>
  <c r="N1539" i="4" a="1"/>
  <c r="N1539" i="4" s="1"/>
  <c r="S1540" i="4" a="1"/>
  <c r="S1540" i="4" s="1"/>
  <c r="I1542" i="4" a="1"/>
  <c r="I1542" i="4" s="1"/>
  <c r="S1544" i="4" a="1"/>
  <c r="S1544" i="4" s="1"/>
  <c r="N1547" i="4" a="1"/>
  <c r="N1547" i="4" s="1"/>
  <c r="I1554" i="4" a="1"/>
  <c r="I1554" i="4" s="1"/>
  <c r="I1638" i="4" a="1"/>
  <c r="I1638" i="4" s="1"/>
  <c r="D57" i="49"/>
  <c r="D44" i="49"/>
  <c r="D45" i="49"/>
  <c r="I40" i="4" a="1"/>
  <c r="I40" i="4" s="1"/>
  <c r="S50" i="4" a="1"/>
  <c r="S50" i="4" s="1"/>
  <c r="I56" i="4" a="1"/>
  <c r="I56" i="4" s="1"/>
  <c r="N61" i="4" a="1"/>
  <c r="N61" i="4" s="1"/>
  <c r="I72" i="4" a="1"/>
  <c r="I72" i="4" s="1"/>
  <c r="N77" i="4" a="1"/>
  <c r="N77" i="4" s="1"/>
  <c r="S82" i="4" a="1"/>
  <c r="S82" i="4" s="1"/>
  <c r="N93" i="4" a="1"/>
  <c r="N93" i="4" s="1"/>
  <c r="S98" i="4" a="1"/>
  <c r="S98" i="4" s="1"/>
  <c r="I104" i="4" a="1"/>
  <c r="I104" i="4" s="1"/>
  <c r="N109" i="4" a="1"/>
  <c r="N109" i="4" s="1"/>
  <c r="S114" i="4" a="1"/>
  <c r="S114" i="4" s="1"/>
  <c r="I120" i="4" a="1"/>
  <c r="I120" i="4" s="1"/>
  <c r="S130" i="4" a="1"/>
  <c r="S130" i="4" s="1"/>
  <c r="I136" i="4" a="1"/>
  <c r="I136" i="4" s="1"/>
  <c r="S146" i="4" a="1"/>
  <c r="S146" i="4" s="1"/>
  <c r="I152" i="4" a="1"/>
  <c r="I152" i="4" s="1"/>
  <c r="N157" i="4" a="1"/>
  <c r="N157" i="4" s="1"/>
  <c r="I168" i="4" a="1"/>
  <c r="I168" i="4" s="1"/>
  <c r="N173" i="4" a="1"/>
  <c r="N173" i="4" s="1"/>
  <c r="S178" i="4" a="1"/>
  <c r="S178" i="4" s="1"/>
  <c r="N189" i="4" a="1"/>
  <c r="N189" i="4" s="1"/>
  <c r="S194" i="4" a="1"/>
  <c r="S194" i="4" s="1"/>
  <c r="N205" i="4" a="1"/>
  <c r="N205" i="4" s="1"/>
  <c r="S210" i="4" a="1"/>
  <c r="S210" i="4" s="1"/>
  <c r="I216" i="4" a="1"/>
  <c r="I216" i="4" s="1"/>
  <c r="N221" i="4" a="1"/>
  <c r="N221" i="4" s="1"/>
  <c r="S226" i="4" a="1"/>
  <c r="S226" i="4" s="1"/>
  <c r="I232" i="4" a="1"/>
  <c r="I232" i="4" s="1"/>
  <c r="I248" i="4" a="1"/>
  <c r="I248" i="4" s="1"/>
  <c r="N253" i="4" a="1"/>
  <c r="N253" i="4" s="1"/>
  <c r="S258" i="4" a="1"/>
  <c r="S258" i="4" s="1"/>
  <c r="N269" i="4" a="1"/>
  <c r="N269" i="4" s="1"/>
  <c r="S274" i="4" a="1"/>
  <c r="S274" i="4" s="1"/>
  <c r="I280" i="4" a="1"/>
  <c r="I280" i="4" s="1"/>
  <c r="N285" i="4" a="1"/>
  <c r="N285" i="4" s="1"/>
  <c r="S290" i="4" a="1"/>
  <c r="S290" i="4" s="1"/>
  <c r="I296" i="4" a="1"/>
  <c r="I296" i="4" s="1"/>
  <c r="I312" i="4" a="1"/>
  <c r="I312" i="4" s="1"/>
  <c r="N317" i="4" a="1"/>
  <c r="N317" i="4" s="1"/>
  <c r="I328" i="4" a="1"/>
  <c r="I328" i="4" s="1"/>
  <c r="N333" i="4" a="1"/>
  <c r="N333" i="4" s="1"/>
  <c r="S338" i="4" a="1"/>
  <c r="S338" i="4" s="1"/>
  <c r="I344" i="4" a="1"/>
  <c r="I344" i="4" s="1"/>
  <c r="S354" i="4" a="1"/>
  <c r="S354" i="4" s="1"/>
  <c r="B4" i="63"/>
  <c r="E5" i="61"/>
  <c r="E5" i="60"/>
  <c r="G34" i="61"/>
  <c r="H17" i="60"/>
  <c r="H17" i="61"/>
  <c r="E31" i="61"/>
  <c r="I27" i="61"/>
  <c r="G36" i="60"/>
  <c r="G37" i="60" s="1"/>
  <c r="G39" i="60" s="1"/>
  <c r="H36" i="60"/>
  <c r="S34" i="4" a="1"/>
  <c r="S34" i="4" s="1"/>
  <c r="AB1038" i="10"/>
  <c r="E59" i="10"/>
  <c r="C4" i="51"/>
  <c r="G7" i="53"/>
  <c r="C4" i="50"/>
  <c r="S37" i="4" a="1"/>
  <c r="S37" i="4" s="1"/>
  <c r="W132" i="10"/>
  <c r="W1003" i="10"/>
  <c r="AB175" i="10"/>
  <c r="W544" i="10"/>
  <c r="W384" i="10"/>
  <c r="AB470" i="10"/>
  <c r="AB680" i="10"/>
  <c r="W307" i="10"/>
  <c r="W842" i="10"/>
  <c r="W137" i="10"/>
  <c r="W310" i="10"/>
  <c r="W719" i="10"/>
  <c r="W446" i="10"/>
  <c r="W653" i="10"/>
  <c r="AB850" i="10"/>
  <c r="M3" i="4"/>
  <c r="W1669" i="10"/>
  <c r="S29" i="4" a="1"/>
  <c r="S29" i="4" s="1"/>
  <c r="L3" i="4"/>
  <c r="S6" i="4" a="1"/>
  <c r="S6" i="4" s="1"/>
  <c r="Q3" i="4"/>
  <c r="N13" i="4" a="1"/>
  <c r="N13" i="4" s="1"/>
  <c r="S18" i="4" a="1"/>
  <c r="S18" i="4" s="1"/>
  <c r="I24" i="4" a="1"/>
  <c r="I24" i="4" s="1"/>
  <c r="N29" i="4" a="1"/>
  <c r="N29" i="4" s="1"/>
  <c r="W32" i="10"/>
  <c r="AB185" i="10"/>
  <c r="W502" i="10"/>
  <c r="W949" i="10"/>
  <c r="AB238" i="10"/>
  <c r="AB643" i="10"/>
  <c r="W24" i="10"/>
  <c r="W183" i="10"/>
  <c r="W551" i="10"/>
  <c r="W1207" i="10"/>
  <c r="AB206" i="10"/>
  <c r="W828" i="10"/>
  <c r="AB79" i="10"/>
  <c r="AB208" i="10"/>
  <c r="AB430" i="10"/>
  <c r="AB624" i="10"/>
  <c r="AB846" i="10"/>
  <c r="W1357" i="10"/>
  <c r="AB864" i="10"/>
  <c r="W1229" i="10"/>
  <c r="W111" i="10"/>
  <c r="W288" i="10"/>
  <c r="W527" i="10"/>
  <c r="W882" i="10"/>
  <c r="AB279" i="10"/>
  <c r="AB523" i="10"/>
  <c r="W784" i="10"/>
  <c r="AB1128" i="10"/>
  <c r="AB373" i="10"/>
  <c r="W709" i="10"/>
  <c r="W1112" i="10"/>
  <c r="W1152" i="10"/>
  <c r="AB129" i="10"/>
  <c r="W656" i="10"/>
  <c r="W773" i="10"/>
  <c r="AB61" i="10"/>
  <c r="AB254" i="10"/>
  <c r="W567" i="10"/>
  <c r="W1164" i="10"/>
  <c r="W697" i="10"/>
  <c r="W59" i="10"/>
  <c r="W269" i="10"/>
  <c r="W1812" i="10"/>
  <c r="W346" i="10"/>
  <c r="W1093" i="10"/>
  <c r="AB103" i="10"/>
  <c r="W278" i="10"/>
  <c r="W473" i="10"/>
  <c r="W657" i="10"/>
  <c r="W939" i="10"/>
  <c r="W1795" i="10"/>
  <c r="AB914" i="10"/>
  <c r="W1659" i="10"/>
  <c r="AB135" i="10"/>
  <c r="W320" i="10"/>
  <c r="W651" i="10"/>
  <c r="W1013" i="10"/>
  <c r="AB311" i="10"/>
  <c r="W588" i="10"/>
  <c r="W820" i="10"/>
  <c r="W1497" i="10"/>
  <c r="AB500" i="10"/>
  <c r="W746" i="10"/>
  <c r="W1334" i="10"/>
  <c r="W1535" i="10"/>
  <c r="AB322" i="10"/>
  <c r="AB738" i="10"/>
  <c r="W1522" i="10"/>
  <c r="W1555" i="10"/>
  <c r="AB835" i="10"/>
  <c r="AB516" i="10"/>
  <c r="W196" i="10"/>
  <c r="W1940" i="10"/>
  <c r="W1261" i="10"/>
  <c r="W983" i="10"/>
  <c r="W1021" i="10"/>
  <c r="W794" i="10"/>
  <c r="W620" i="10"/>
  <c r="AB460" i="10"/>
  <c r="W292" i="10"/>
  <c r="W1279" i="10"/>
  <c r="W927" i="10"/>
  <c r="W747" i="10"/>
  <c r="W618" i="10"/>
  <c r="W496" i="10"/>
  <c r="W342" i="10"/>
  <c r="W1794" i="10"/>
  <c r="AB924" i="10"/>
  <c r="W726" i="10"/>
  <c r="W564" i="10"/>
  <c r="W403" i="10"/>
  <c r="W250" i="10"/>
  <c r="AB154" i="10"/>
  <c r="W62" i="10"/>
  <c r="AB889" i="10"/>
  <c r="W937" i="10"/>
  <c r="AB447" i="10"/>
  <c r="W75" i="10"/>
  <c r="W1403" i="10"/>
  <c r="W1637" i="10"/>
  <c r="W898" i="10"/>
  <c r="AB668" i="10"/>
  <c r="W418" i="10"/>
  <c r="W1787" i="10"/>
  <c r="AB976" i="10"/>
  <c r="W715" i="10"/>
  <c r="W553" i="10"/>
  <c r="AB371" i="10"/>
  <c r="W1441" i="10"/>
  <c r="W824" i="10"/>
  <c r="W608" i="10"/>
  <c r="AB364" i="10"/>
  <c r="AB191" i="10"/>
  <c r="W84" i="10"/>
  <c r="W1457" i="10"/>
  <c r="W957" i="10"/>
  <c r="W751" i="10"/>
  <c r="W1155" i="10"/>
  <c r="W890" i="10"/>
  <c r="AB705" i="10"/>
  <c r="AB543" i="10"/>
  <c r="W393" i="10"/>
  <c r="AB237" i="10"/>
  <c r="W147" i="10"/>
  <c r="W43" i="10"/>
  <c r="AB670" i="10"/>
  <c r="W270" i="10"/>
  <c r="AB98" i="10"/>
  <c r="W764" i="10"/>
  <c r="W486" i="10"/>
  <c r="AB226" i="10"/>
  <c r="W86" i="10"/>
  <c r="AB986" i="10"/>
  <c r="AB589" i="10"/>
  <c r="W297" i="10"/>
  <c r="W1894" i="10"/>
  <c r="W675" i="10"/>
  <c r="AB448" i="10"/>
  <c r="AB218" i="10"/>
  <c r="AB88" i="10"/>
  <c r="H3" i="4"/>
  <c r="I8" i="4" a="1"/>
  <c r="I8" i="4" s="1"/>
  <c r="N45" i="4" a="1"/>
  <c r="N45" i="4" s="1"/>
  <c r="I88" i="4" a="1"/>
  <c r="I88" i="4" s="1"/>
  <c r="N125" i="4" a="1"/>
  <c r="N125" i="4" s="1"/>
  <c r="N141" i="4" a="1"/>
  <c r="N141" i="4" s="1"/>
  <c r="I184" i="4" a="1"/>
  <c r="I184" i="4" s="1"/>
  <c r="I200" i="4" a="1"/>
  <c r="I200" i="4" s="1"/>
  <c r="S242" i="4" a="1"/>
  <c r="S242" i="4" s="1"/>
  <c r="I264" i="4" a="1"/>
  <c r="I264" i="4" s="1"/>
  <c r="N301" i="4" a="1"/>
  <c r="N301" i="4" s="1"/>
  <c r="S306" i="4" a="1"/>
  <c r="S306" i="4" s="1"/>
  <c r="N349" i="4" a="1"/>
  <c r="N349" i="4" s="1"/>
  <c r="I360" i="4" a="1"/>
  <c r="I360" i="4" s="1"/>
  <c r="N361" i="4" a="1"/>
  <c r="N361" i="4" s="1"/>
  <c r="I364" i="4" a="1"/>
  <c r="I364" i="4" s="1"/>
  <c r="S366" i="4" a="1"/>
  <c r="S366" i="4" s="1"/>
  <c r="I368" i="4" a="1"/>
  <c r="I368" i="4" s="1"/>
  <c r="N369" i="4" a="1"/>
  <c r="N369" i="4" s="1"/>
  <c r="I372" i="4" a="1"/>
  <c r="I372" i="4" s="1"/>
  <c r="N373" i="4" a="1"/>
  <c r="N373" i="4" s="1"/>
  <c r="S374" i="4" a="1"/>
  <c r="S374" i="4" s="1"/>
  <c r="I376" i="4" a="1"/>
  <c r="I376" i="4" s="1"/>
  <c r="N377" i="4" a="1"/>
  <c r="N377" i="4" s="1"/>
  <c r="F379" i="11" s="1"/>
  <c r="S378" i="4" a="1"/>
  <c r="S378" i="4" s="1"/>
  <c r="I380" i="4" a="1"/>
  <c r="I380" i="4" s="1"/>
  <c r="S382" i="4" a="1"/>
  <c r="S382" i="4" s="1"/>
  <c r="I384" i="4" a="1"/>
  <c r="I384" i="4" s="1"/>
  <c r="S386" i="4" a="1"/>
  <c r="S386" i="4" s="1"/>
  <c r="I388" i="4" a="1"/>
  <c r="I388" i="4" s="1"/>
  <c r="N389" i="4" a="1"/>
  <c r="N389" i="4" s="1"/>
  <c r="S390" i="4" a="1"/>
  <c r="S390" i="4" s="1"/>
  <c r="N393" i="4" a="1"/>
  <c r="N393" i="4" s="1"/>
  <c r="S394" i="4" a="1"/>
  <c r="S394" i="4" s="1"/>
  <c r="S398" i="4" a="1"/>
  <c r="S398" i="4" s="1"/>
  <c r="I400" i="4" a="1"/>
  <c r="I400" i="4" s="1"/>
  <c r="N401" i="4" a="1"/>
  <c r="N401" i="4" s="1"/>
  <c r="N405" i="4" a="1"/>
  <c r="N405" i="4" s="1"/>
  <c r="S406" i="4" a="1"/>
  <c r="S406" i="4" s="1"/>
  <c r="I408" i="4" a="1"/>
  <c r="I408" i="4" s="1"/>
  <c r="N409" i="4" a="1"/>
  <c r="N409" i="4" s="1"/>
  <c r="S410" i="4" a="1"/>
  <c r="S410" i="4" s="1"/>
  <c r="I412" i="4" a="1"/>
  <c r="I412" i="4" s="1"/>
  <c r="N413" i="4" a="1"/>
  <c r="N413" i="4" s="1"/>
  <c r="I416" i="4" a="1"/>
  <c r="I416" i="4" s="1"/>
  <c r="N417" i="4" a="1"/>
  <c r="N417" i="4" s="1"/>
  <c r="N421" i="4" a="1"/>
  <c r="N421" i="4" s="1"/>
  <c r="S422" i="4" a="1"/>
  <c r="S422" i="4" s="1"/>
  <c r="N425" i="4" a="1"/>
  <c r="N425" i="4" s="1"/>
  <c r="S426" i="4" a="1"/>
  <c r="S426" i="4" s="1"/>
  <c r="N429" i="4" a="1"/>
  <c r="N429" i="4" s="1"/>
  <c r="S430" i="4" a="1"/>
  <c r="S430" i="4" s="1"/>
  <c r="I432" i="4" a="1"/>
  <c r="I432" i="4" s="1"/>
  <c r="N433" i="4" a="1"/>
  <c r="N433" i="4" s="1"/>
  <c r="S434" i="4" a="1"/>
  <c r="S434" i="4" s="1"/>
  <c r="I436" i="4" a="1"/>
  <c r="I436" i="4" s="1"/>
  <c r="S438" i="4" a="1"/>
  <c r="S438" i="4" s="1"/>
  <c r="N441" i="4" a="1"/>
  <c r="N441" i="4" s="1"/>
  <c r="S442" i="4" a="1"/>
  <c r="S442" i="4" s="1"/>
  <c r="I444" i="4" a="1"/>
  <c r="I444" i="4" s="1"/>
  <c r="N445" i="4" a="1"/>
  <c r="N445" i="4" s="1"/>
  <c r="S446" i="4" a="1"/>
  <c r="S446" i="4" s="1"/>
  <c r="I448" i="4" a="1"/>
  <c r="I448" i="4" s="1"/>
  <c r="I452" i="4" a="1"/>
  <c r="I452" i="4" s="1"/>
  <c r="N453" i="4" a="1"/>
  <c r="N453" i="4" s="1"/>
  <c r="S454" i="4" a="1"/>
  <c r="S454" i="4" s="1"/>
  <c r="I456" i="4" a="1"/>
  <c r="I456" i="4" s="1"/>
  <c r="N457" i="4" a="1"/>
  <c r="N457" i="4" s="1"/>
  <c r="S458" i="4" a="1"/>
  <c r="S458" i="4" s="1"/>
  <c r="S462" i="4" a="1"/>
  <c r="S462" i="4" s="1"/>
  <c r="N465" i="4" a="1"/>
  <c r="N465" i="4" s="1"/>
  <c r="S466" i="4" a="1"/>
  <c r="S466" i="4" s="1"/>
  <c r="I468" i="4" a="1"/>
  <c r="I468" i="4" s="1"/>
  <c r="S470" i="4" a="1"/>
  <c r="S470" i="4" s="1"/>
  <c r="I472" i="4" a="1"/>
  <c r="I472" i="4" s="1"/>
  <c r="I476" i="4" a="1"/>
  <c r="I476" i="4" s="1"/>
  <c r="N477" i="4" a="1"/>
  <c r="N477" i="4" s="1"/>
  <c r="S478" i="4" a="1"/>
  <c r="S478" i="4" s="1"/>
  <c r="N481" i="4" a="1"/>
  <c r="N481" i="4" s="1"/>
  <c r="S482" i="4" a="1"/>
  <c r="S482" i="4" s="1"/>
  <c r="S486" i="4" a="1"/>
  <c r="S486" i="4" s="1"/>
  <c r="I488" i="4" a="1"/>
  <c r="I488" i="4" s="1"/>
  <c r="N489" i="4" a="1"/>
  <c r="N489" i="4" s="1"/>
  <c r="I492" i="4" a="1"/>
  <c r="I492" i="4" s="1"/>
  <c r="N493" i="4" a="1"/>
  <c r="N493" i="4" s="1"/>
  <c r="I496" i="4" a="1"/>
  <c r="I496" i="4" s="1"/>
  <c r="N497" i="4" a="1"/>
  <c r="N497" i="4" s="1"/>
  <c r="S498" i="4" a="1"/>
  <c r="S498" i="4" s="1"/>
  <c r="I500" i="4" a="1"/>
  <c r="I500" i="4" s="1"/>
  <c r="S502" i="4" a="1"/>
  <c r="S502" i="4" s="1"/>
  <c r="I504" i="4" a="1"/>
  <c r="I504" i="4" s="1"/>
  <c r="I508" i="4" a="1"/>
  <c r="I508" i="4" s="1"/>
  <c r="N509" i="4" a="1"/>
  <c r="N509" i="4" s="1"/>
  <c r="S510" i="4" a="1"/>
  <c r="S510" i="4" s="1"/>
  <c r="N513" i="4" a="1"/>
  <c r="N513" i="4" s="1"/>
  <c r="S514" i="4" a="1"/>
  <c r="S514" i="4" s="1"/>
  <c r="S518" i="4" a="1"/>
  <c r="S518" i="4" s="1"/>
  <c r="I520" i="4" a="1"/>
  <c r="I520" i="4" s="1"/>
  <c r="N521" i="4" a="1"/>
  <c r="N521" i="4" s="1"/>
  <c r="I524" i="4" a="1"/>
  <c r="I524" i="4" s="1"/>
  <c r="N525" i="4" a="1"/>
  <c r="N525" i="4" s="1"/>
  <c r="N529" i="4" a="1"/>
  <c r="N529" i="4" s="1"/>
  <c r="S530" i="4" a="1"/>
  <c r="S530" i="4" s="1"/>
  <c r="I532" i="4" a="1"/>
  <c r="I532" i="4" s="1"/>
  <c r="S534" i="4" a="1"/>
  <c r="S534" i="4" s="1"/>
  <c r="I536" i="4" a="1"/>
  <c r="I536" i="4" s="1"/>
  <c r="S538" i="4" a="1"/>
  <c r="S538" i="4" s="1"/>
  <c r="I540" i="4" a="1"/>
  <c r="I540" i="4" s="1"/>
  <c r="N541" i="4" a="1"/>
  <c r="N541" i="4" s="1"/>
  <c r="S542" i="4" a="1"/>
  <c r="S542" i="4" s="1"/>
  <c r="N545" i="4" a="1"/>
  <c r="N545" i="4" s="1"/>
  <c r="S546" i="4" a="1"/>
  <c r="S546" i="4" s="1"/>
  <c r="I548" i="4" a="1"/>
  <c r="I548" i="4" s="1"/>
  <c r="I552" i="4" a="1"/>
  <c r="I552" i="4" s="1"/>
  <c r="N553" i="4" a="1"/>
  <c r="N553" i="4" s="1"/>
  <c r="S554" i="4" a="1"/>
  <c r="S554" i="4" s="1"/>
  <c r="I556" i="4" a="1"/>
  <c r="I556" i="4" s="1"/>
  <c r="N557" i="4" a="1"/>
  <c r="N557" i="4" s="1"/>
  <c r="N561" i="4" a="1"/>
  <c r="N561" i="4" s="1"/>
  <c r="S562" i="4" a="1"/>
  <c r="S562" i="4" s="1"/>
  <c r="I564" i="4" a="1"/>
  <c r="I564" i="4" s="1"/>
  <c r="S566" i="4" a="1"/>
  <c r="S566" i="4" s="1"/>
  <c r="I568" i="4" a="1"/>
  <c r="I568" i="4" s="1"/>
  <c r="N569" i="4" a="1"/>
  <c r="N569" i="4" s="1"/>
  <c r="S570" i="4" a="1"/>
  <c r="S570" i="4" s="1"/>
  <c r="I572" i="4" a="1"/>
  <c r="I572" i="4" s="1"/>
  <c r="N573" i="4" a="1"/>
  <c r="N573" i="4" s="1"/>
  <c r="S574" i="4" a="1"/>
  <c r="S574" i="4" s="1"/>
  <c r="I576" i="4" a="1"/>
  <c r="I576" i="4" s="1"/>
  <c r="N577" i="4" a="1"/>
  <c r="N577" i="4" s="1"/>
  <c r="S578" i="4" a="1"/>
  <c r="S578" i="4" s="1"/>
  <c r="N581" i="4" a="1"/>
  <c r="N581" i="4" s="1"/>
  <c r="S582" i="4" a="1"/>
  <c r="S582" i="4" s="1"/>
  <c r="I584" i="4" a="1"/>
  <c r="I584" i="4" s="1"/>
  <c r="N585" i="4" a="1"/>
  <c r="N585" i="4" s="1"/>
  <c r="I588" i="4" a="1"/>
  <c r="I588" i="4" s="1"/>
  <c r="N589" i="4" a="1"/>
  <c r="N589" i="4" s="1"/>
  <c r="S590" i="4" a="1"/>
  <c r="S590" i="4" s="1"/>
  <c r="N593" i="4" a="1"/>
  <c r="N593" i="4" s="1"/>
  <c r="S594" i="4" a="1"/>
  <c r="S594" i="4" s="1"/>
  <c r="I596" i="4" a="1"/>
  <c r="I596" i="4" s="1"/>
  <c r="N597" i="4" a="1"/>
  <c r="N597" i="4" s="1"/>
  <c r="S598" i="4" a="1"/>
  <c r="S598" i="4" s="1"/>
  <c r="I600" i="4" a="1"/>
  <c r="I600" i="4" s="1"/>
  <c r="S602" i="4" a="1"/>
  <c r="S602" i="4" s="1"/>
  <c r="I604" i="4" a="1"/>
  <c r="I604" i="4" s="1"/>
  <c r="N605" i="4" a="1"/>
  <c r="N605" i="4" s="1"/>
  <c r="S606" i="4" a="1"/>
  <c r="S606" i="4" s="1"/>
  <c r="N609" i="4" a="1"/>
  <c r="N609" i="4" s="1"/>
  <c r="S610" i="4" a="1"/>
  <c r="S610" i="4" s="1"/>
  <c r="I612" i="4" a="1"/>
  <c r="I612" i="4" s="1"/>
  <c r="S614" i="4" a="1"/>
  <c r="S614" i="4" s="1"/>
  <c r="I616" i="4" a="1"/>
  <c r="I616" i="4" s="1"/>
  <c r="N617" i="4" a="1"/>
  <c r="N617" i="4" s="1"/>
  <c r="S618" i="4" a="1"/>
  <c r="S618" i="4" s="1"/>
  <c r="I620" i="4" a="1"/>
  <c r="I620" i="4" s="1"/>
  <c r="N621" i="4" a="1"/>
  <c r="N621" i="4" s="1"/>
  <c r="S622" i="4" a="1"/>
  <c r="S622" i="4" s="1"/>
  <c r="S626" i="4" a="1"/>
  <c r="S626" i="4" s="1"/>
  <c r="I628" i="4" a="1"/>
  <c r="I628" i="4" s="1"/>
  <c r="N629" i="4" a="1"/>
  <c r="N629" i="4" s="1"/>
  <c r="S630" i="4" a="1"/>
  <c r="S630" i="4" s="1"/>
  <c r="I632" i="4" a="1"/>
  <c r="I632" i="4" s="1"/>
  <c r="S634" i="4" a="1"/>
  <c r="S634" i="4" s="1"/>
  <c r="I636" i="4" a="1"/>
  <c r="I636" i="4" s="1"/>
  <c r="N637" i="4" a="1"/>
  <c r="N637" i="4" s="1"/>
  <c r="S638" i="4" a="1"/>
  <c r="S638" i="4" s="1"/>
  <c r="I640" i="4" a="1"/>
  <c r="I640" i="4" s="1"/>
  <c r="N641" i="4" a="1"/>
  <c r="N641" i="4" s="1"/>
  <c r="S642" i="4" a="1"/>
  <c r="S642" i="4" s="1"/>
  <c r="I644" i="4" a="1"/>
  <c r="I644" i="4" s="1"/>
  <c r="N645" i="4" a="1"/>
  <c r="N645" i="4" s="1"/>
  <c r="S646" i="4" a="1"/>
  <c r="S646" i="4" s="1"/>
  <c r="I648" i="4" a="1"/>
  <c r="I648" i="4" s="1"/>
  <c r="N649" i="4" a="1"/>
  <c r="N649" i="4" s="1"/>
  <c r="S650" i="4" a="1"/>
  <c r="S650" i="4" s="1"/>
  <c r="N653" i="4" a="1"/>
  <c r="N653" i="4" s="1"/>
  <c r="S654" i="4" a="1"/>
  <c r="S654" i="4" s="1"/>
  <c r="N657" i="4" a="1"/>
  <c r="N657" i="4" s="1"/>
  <c r="S658" i="4" a="1"/>
  <c r="S658" i="4" s="1"/>
  <c r="I660" i="4" a="1"/>
  <c r="I660" i="4" s="1"/>
  <c r="N661" i="4" a="1"/>
  <c r="N661" i="4" s="1"/>
  <c r="S662" i="4" a="1"/>
  <c r="S662" i="4" s="1"/>
  <c r="I664" i="4" a="1"/>
  <c r="I664" i="4" s="1"/>
  <c r="N665" i="4" a="1"/>
  <c r="N665" i="4" s="1"/>
  <c r="I668" i="4" a="1"/>
  <c r="I668" i="4" s="1"/>
  <c r="N669" i="4" a="1"/>
  <c r="N669" i="4" s="1"/>
  <c r="I672" i="4" a="1"/>
  <c r="I672" i="4" s="1"/>
  <c r="S674" i="4" a="1"/>
  <c r="S674" i="4" s="1"/>
  <c r="I688" i="4" a="1"/>
  <c r="I688" i="4" s="1"/>
  <c r="N725" i="4" a="1"/>
  <c r="N725" i="4" s="1"/>
  <c r="N1049" i="4" a="1"/>
  <c r="N1049" i="4" s="1"/>
  <c r="AB28" i="10"/>
  <c r="W36" i="10"/>
  <c r="W159" i="10"/>
  <c r="AB806" i="10"/>
  <c r="W193" i="10"/>
  <c r="W525" i="10"/>
  <c r="W1285" i="10"/>
  <c r="W151" i="10"/>
  <c r="AB432" i="10"/>
  <c r="W963" i="10"/>
  <c r="W169" i="10"/>
  <c r="AB519" i="10"/>
  <c r="W60" i="10"/>
  <c r="AB189" i="10"/>
  <c r="W354" i="10"/>
  <c r="AB586" i="10"/>
  <c r="AB789" i="10"/>
  <c r="W1078" i="10"/>
  <c r="AB1104" i="10"/>
  <c r="AB37" i="10"/>
  <c r="AB219" i="10"/>
  <c r="W494" i="10"/>
  <c r="W246" i="10"/>
  <c r="W429" i="10"/>
  <c r="W685" i="10"/>
  <c r="AB1048" i="10"/>
  <c r="W330" i="10"/>
  <c r="AB584" i="10"/>
  <c r="W951" i="10"/>
  <c r="W1090" i="10"/>
  <c r="AB34" i="10"/>
  <c r="AB578" i="10"/>
  <c r="W1161" i="10"/>
  <c r="W1914" i="10"/>
  <c r="I676" i="4" a="1"/>
  <c r="I676" i="4" s="1"/>
  <c r="N677" i="4" a="1"/>
  <c r="N677" i="4" s="1"/>
  <c r="S678" i="4" a="1"/>
  <c r="S678" i="4" s="1"/>
  <c r="I680" i="4" a="1"/>
  <c r="I680" i="4" s="1"/>
  <c r="N681" i="4" a="1"/>
  <c r="N681" i="4" s="1"/>
  <c r="S682" i="4" a="1"/>
  <c r="S682" i="4" s="1"/>
  <c r="I684" i="4" a="1"/>
  <c r="I684" i="4" s="1"/>
  <c r="N685" i="4" a="1"/>
  <c r="N685" i="4" s="1"/>
  <c r="S686" i="4" a="1"/>
  <c r="S686" i="4" s="1"/>
  <c r="S690" i="4" a="1"/>
  <c r="S690" i="4" s="1"/>
  <c r="I692" i="4" a="1"/>
  <c r="I692" i="4" s="1"/>
  <c r="N693" i="4" a="1"/>
  <c r="N693" i="4" s="1"/>
  <c r="S694" i="4" a="1"/>
  <c r="S694" i="4" s="1"/>
  <c r="N697" i="4" a="1"/>
  <c r="N697" i="4" s="1"/>
  <c r="I700" i="4" a="1"/>
  <c r="I700" i="4" s="1"/>
  <c r="N701" i="4" a="1"/>
  <c r="N701" i="4" s="1"/>
  <c r="S702" i="4" a="1"/>
  <c r="S702" i="4" s="1"/>
  <c r="I704" i="4" a="1"/>
  <c r="I704" i="4" s="1"/>
  <c r="N705" i="4" a="1"/>
  <c r="N705" i="4" s="1"/>
  <c r="S706" i="4" a="1"/>
  <c r="S706" i="4" s="1"/>
  <c r="N709" i="4" a="1"/>
  <c r="N709" i="4" s="1"/>
  <c r="S710" i="4" a="1"/>
  <c r="S710" i="4" s="1"/>
  <c r="I712" i="4" a="1"/>
  <c r="I712" i="4" s="1"/>
  <c r="N713" i="4" a="1"/>
  <c r="N713" i="4" s="1"/>
  <c r="I716" i="4" a="1"/>
  <c r="I716" i="4" s="1"/>
  <c r="N717" i="4" a="1"/>
  <c r="N717" i="4" s="1"/>
  <c r="S718" i="4" a="1"/>
  <c r="S718" i="4" s="1"/>
  <c r="I720" i="4" a="1"/>
  <c r="I720" i="4" s="1"/>
  <c r="N721" i="4" a="1"/>
  <c r="N721" i="4" s="1"/>
  <c r="S722" i="4" a="1"/>
  <c r="S722" i="4" s="1"/>
  <c r="I724" i="4" a="1"/>
  <c r="I724" i="4" s="1"/>
  <c r="S726" i="4" a="1"/>
  <c r="S726" i="4" s="1"/>
  <c r="I728" i="4" a="1"/>
  <c r="I728" i="4" s="1"/>
  <c r="N729" i="4" a="1"/>
  <c r="N729" i="4" s="1"/>
  <c r="S730" i="4" a="1"/>
  <c r="S730" i="4" s="1"/>
  <c r="I732" i="4" a="1"/>
  <c r="I732" i="4" s="1"/>
  <c r="N733" i="4" a="1"/>
  <c r="N733" i="4" s="1"/>
  <c r="S734" i="4" a="1"/>
  <c r="S734" i="4" s="1"/>
  <c r="N737" i="4" a="1"/>
  <c r="N737" i="4" s="1"/>
  <c r="S738" i="4" a="1"/>
  <c r="S738" i="4" s="1"/>
  <c r="I740" i="4" a="1"/>
  <c r="I740" i="4" s="1"/>
  <c r="N741" i="4" a="1"/>
  <c r="N741" i="4" s="1"/>
  <c r="S742" i="4" a="1"/>
  <c r="S742" i="4" s="1"/>
  <c r="I744" i="4" a="1"/>
  <c r="I744" i="4" s="1"/>
  <c r="N745" i="4" a="1"/>
  <c r="N745" i="4" s="1"/>
  <c r="S750" i="4" a="1"/>
  <c r="S750" i="4" s="1"/>
  <c r="I752" i="4" a="1"/>
  <c r="I752" i="4" s="1"/>
  <c r="N753" i="4" a="1"/>
  <c r="N753" i="4" s="1"/>
  <c r="S754" i="4" a="1"/>
  <c r="S754" i="4" s="1"/>
  <c r="I756" i="4" a="1"/>
  <c r="I756" i="4" s="1"/>
  <c r="N757" i="4" a="1"/>
  <c r="N757" i="4" s="1"/>
  <c r="S758" i="4" a="1"/>
  <c r="S758" i="4" s="1"/>
  <c r="I760" i="4" a="1"/>
  <c r="I760" i="4" s="1"/>
  <c r="N761" i="4" a="1"/>
  <c r="N761" i="4" s="1"/>
  <c r="I764" i="4" a="1"/>
  <c r="I764" i="4" s="1"/>
  <c r="N765" i="4" a="1"/>
  <c r="N765" i="4" s="1"/>
  <c r="S766" i="4" a="1"/>
  <c r="S766" i="4" s="1"/>
  <c r="I768" i="4" a="1"/>
  <c r="I768" i="4" s="1"/>
  <c r="N769" i="4" a="1"/>
  <c r="N769" i="4" s="1"/>
  <c r="S770" i="4" a="1"/>
  <c r="S770" i="4" s="1"/>
  <c r="I772" i="4" a="1"/>
  <c r="I772" i="4" s="1"/>
  <c r="N773" i="4" a="1"/>
  <c r="N773" i="4" s="1"/>
  <c r="S774" i="4" a="1"/>
  <c r="S774" i="4" s="1"/>
  <c r="I776" i="4" a="1"/>
  <c r="I776" i="4" s="1"/>
  <c r="N777" i="4" a="1"/>
  <c r="N777" i="4" s="1"/>
  <c r="S778" i="4" a="1"/>
  <c r="S778" i="4" s="1"/>
  <c r="I780" i="4" a="1"/>
  <c r="I780" i="4" s="1"/>
  <c r="N781" i="4" a="1"/>
  <c r="N781" i="4" s="1"/>
  <c r="S782" i="4" a="1"/>
  <c r="S782" i="4" s="1"/>
  <c r="N785" i="4" a="1"/>
  <c r="N785" i="4" s="1"/>
  <c r="S786" i="4" a="1"/>
  <c r="S786" i="4" s="1"/>
  <c r="I788" i="4" a="1"/>
  <c r="I788" i="4" s="1"/>
  <c r="N789" i="4" a="1"/>
  <c r="N789" i="4" s="1"/>
  <c r="S790" i="4" a="1"/>
  <c r="S790" i="4" s="1"/>
  <c r="I792" i="4" a="1"/>
  <c r="I792" i="4" s="1"/>
  <c r="N793" i="4" a="1"/>
  <c r="N793" i="4" s="1"/>
  <c r="I800" i="4" a="1"/>
  <c r="I800" i="4" s="1"/>
  <c r="S810" i="4" a="1"/>
  <c r="S810" i="4" s="1"/>
  <c r="I812" i="4" a="1"/>
  <c r="I812" i="4" s="1"/>
  <c r="N813" i="4" a="1"/>
  <c r="N813" i="4" s="1"/>
  <c r="S814" i="4" a="1"/>
  <c r="S814" i="4" s="1"/>
  <c r="I816" i="4" a="1"/>
  <c r="I816" i="4" s="1"/>
  <c r="N817" i="4" a="1"/>
  <c r="N817" i="4" s="1"/>
  <c r="S818" i="4" a="1"/>
  <c r="S818" i="4" s="1"/>
  <c r="I820" i="4" a="1"/>
  <c r="I820" i="4" s="1"/>
  <c r="N821" i="4" a="1"/>
  <c r="N821" i="4" s="1"/>
  <c r="S822" i="4" a="1"/>
  <c r="S822" i="4" s="1"/>
  <c r="I824" i="4" a="1"/>
  <c r="I824" i="4" s="1"/>
  <c r="N825" i="4" a="1"/>
  <c r="N825" i="4" s="1"/>
  <c r="S826" i="4" a="1"/>
  <c r="S826" i="4" s="1"/>
  <c r="I828" i="4" a="1"/>
  <c r="I828" i="4" s="1"/>
  <c r="N829" i="4" a="1"/>
  <c r="N829" i="4" s="1"/>
  <c r="S830" i="4" a="1"/>
  <c r="S830" i="4" s="1"/>
  <c r="I832" i="4" a="1"/>
  <c r="I832" i="4" s="1"/>
  <c r="N833" i="4" a="1"/>
  <c r="N833" i="4" s="1"/>
  <c r="S834" i="4" a="1"/>
  <c r="S834" i="4" s="1"/>
  <c r="I836" i="4" a="1"/>
  <c r="I836" i="4" s="1"/>
  <c r="N837" i="4" a="1"/>
  <c r="N837" i="4" s="1"/>
  <c r="S838" i="4" a="1"/>
  <c r="S838" i="4" s="1"/>
  <c r="I840" i="4" a="1"/>
  <c r="I840" i="4" s="1"/>
  <c r="N841" i="4" a="1"/>
  <c r="N841" i="4" s="1"/>
  <c r="S842" i="4" a="1"/>
  <c r="S842" i="4" s="1"/>
  <c r="I844" i="4" a="1"/>
  <c r="I844" i="4" s="1"/>
  <c r="N845" i="4" a="1"/>
  <c r="N845" i="4" s="1"/>
  <c r="S846" i="4" a="1"/>
  <c r="S846" i="4" s="1"/>
  <c r="I848" i="4" a="1"/>
  <c r="I848" i="4" s="1"/>
  <c r="N849" i="4" a="1"/>
  <c r="N849" i="4" s="1"/>
  <c r="S850" i="4" a="1"/>
  <c r="S850" i="4" s="1"/>
  <c r="I852" i="4" a="1"/>
  <c r="I852" i="4" s="1"/>
  <c r="N853" i="4" a="1"/>
  <c r="N853" i="4" s="1"/>
  <c r="S854" i="4" a="1"/>
  <c r="S854" i="4" s="1"/>
  <c r="I856" i="4" a="1"/>
  <c r="I856" i="4" s="1"/>
  <c r="N857" i="4" a="1"/>
  <c r="N857" i="4" s="1"/>
  <c r="S858" i="4" a="1"/>
  <c r="S858" i="4" s="1"/>
  <c r="I860" i="4" a="1"/>
  <c r="I860" i="4" s="1"/>
  <c r="N861" i="4" a="1"/>
  <c r="N861" i="4" s="1"/>
  <c r="S862" i="4" a="1"/>
  <c r="S862" i="4" s="1"/>
  <c r="I864" i="4" a="1"/>
  <c r="I864" i="4" s="1"/>
  <c r="N865" i="4" a="1"/>
  <c r="N865" i="4" s="1"/>
  <c r="S866" i="4" a="1"/>
  <c r="S866" i="4" s="1"/>
  <c r="I868" i="4" a="1"/>
  <c r="I868" i="4" s="1"/>
  <c r="N869" i="4" a="1"/>
  <c r="N869" i="4" s="1"/>
  <c r="S870" i="4" a="1"/>
  <c r="S870" i="4" s="1"/>
  <c r="I872" i="4" a="1"/>
  <c r="I872" i="4" s="1"/>
  <c r="N873" i="4" a="1"/>
  <c r="N873" i="4" s="1"/>
  <c r="S874" i="4" a="1"/>
  <c r="S874" i="4" s="1"/>
  <c r="I876" i="4" a="1"/>
  <c r="I876" i="4" s="1"/>
  <c r="N877" i="4" a="1"/>
  <c r="N877" i="4" s="1"/>
  <c r="S878" i="4" a="1"/>
  <c r="S878" i="4" s="1"/>
  <c r="I880" i="4" a="1"/>
  <c r="I880" i="4" s="1"/>
  <c r="N881" i="4" a="1"/>
  <c r="N881" i="4" s="1"/>
  <c r="S882" i="4" a="1"/>
  <c r="S882" i="4" s="1"/>
  <c r="I884" i="4" a="1"/>
  <c r="I884" i="4" s="1"/>
  <c r="N885" i="4" a="1"/>
  <c r="N885" i="4" s="1"/>
  <c r="S886" i="4" a="1"/>
  <c r="S886" i="4" s="1"/>
  <c r="I888" i="4" a="1"/>
  <c r="I888" i="4" s="1"/>
  <c r="N889" i="4" a="1"/>
  <c r="N889" i="4" s="1"/>
  <c r="S890" i="4" a="1"/>
  <c r="S890" i="4" s="1"/>
  <c r="I892" i="4" a="1"/>
  <c r="I892" i="4" s="1"/>
  <c r="N893" i="4" a="1"/>
  <c r="N893" i="4" s="1"/>
  <c r="S894" i="4" a="1"/>
  <c r="S894" i="4" s="1"/>
  <c r="I896" i="4" a="1"/>
  <c r="I896" i="4" s="1"/>
  <c r="N897" i="4" a="1"/>
  <c r="N897" i="4" s="1"/>
  <c r="S898" i="4" a="1"/>
  <c r="S898" i="4" s="1"/>
  <c r="I900" i="4" a="1"/>
  <c r="I900" i="4" s="1"/>
  <c r="N901" i="4" a="1"/>
  <c r="N901" i="4" s="1"/>
  <c r="S902" i="4" a="1"/>
  <c r="S902" i="4" s="1"/>
  <c r="I904" i="4" a="1"/>
  <c r="I904" i="4" s="1"/>
  <c r="N905" i="4" a="1"/>
  <c r="N905" i="4" s="1"/>
  <c r="S906" i="4" a="1"/>
  <c r="S906" i="4" s="1"/>
  <c r="I908" i="4" a="1"/>
  <c r="I908" i="4" s="1"/>
  <c r="N909" i="4" a="1"/>
  <c r="N909" i="4" s="1"/>
  <c r="S910" i="4" a="1"/>
  <c r="S910" i="4" s="1"/>
  <c r="I912" i="4" a="1"/>
  <c r="I912" i="4" s="1"/>
  <c r="N913" i="4" a="1"/>
  <c r="N913" i="4" s="1"/>
  <c r="S914" i="4" a="1"/>
  <c r="S914" i="4" s="1"/>
  <c r="I916" i="4" a="1"/>
  <c r="I916" i="4" s="1"/>
  <c r="N917" i="4" a="1"/>
  <c r="N917" i="4" s="1"/>
  <c r="S918" i="4" a="1"/>
  <c r="S918" i="4" s="1"/>
  <c r="I920" i="4" a="1"/>
  <c r="I920" i="4" s="1"/>
  <c r="N921" i="4" a="1"/>
  <c r="N921" i="4" s="1"/>
  <c r="S922" i="4" a="1"/>
  <c r="S922" i="4" s="1"/>
  <c r="I924" i="4" a="1"/>
  <c r="I924" i="4" s="1"/>
  <c r="N925" i="4" a="1"/>
  <c r="N925" i="4" s="1"/>
  <c r="S926" i="4" a="1"/>
  <c r="S926" i="4" s="1"/>
  <c r="I928" i="4" a="1"/>
  <c r="I928" i="4" s="1"/>
  <c r="N929" i="4" a="1"/>
  <c r="N929" i="4" s="1"/>
  <c r="S930" i="4" a="1"/>
  <c r="S930" i="4" s="1"/>
  <c r="I932" i="4" a="1"/>
  <c r="I932" i="4" s="1"/>
  <c r="N933" i="4" a="1"/>
  <c r="N933" i="4" s="1"/>
  <c r="S934" i="4" a="1"/>
  <c r="S934" i="4" s="1"/>
  <c r="I936" i="4" a="1"/>
  <c r="I936" i="4" s="1"/>
  <c r="N937" i="4" a="1"/>
  <c r="N937" i="4" s="1"/>
  <c r="S938" i="4" a="1"/>
  <c r="S938" i="4" s="1"/>
  <c r="I940" i="4" a="1"/>
  <c r="I940" i="4" s="1"/>
  <c r="N941" i="4" a="1"/>
  <c r="N941" i="4" s="1"/>
  <c r="S942" i="4" a="1"/>
  <c r="S942" i="4" s="1"/>
  <c r="I944" i="4" a="1"/>
  <c r="I944" i="4" s="1"/>
  <c r="N945" i="4" a="1"/>
  <c r="N945" i="4" s="1"/>
  <c r="S946" i="4" a="1"/>
  <c r="S946" i="4" s="1"/>
  <c r="I948" i="4" a="1"/>
  <c r="I948" i="4" s="1"/>
  <c r="N949" i="4" a="1"/>
  <c r="N949" i="4" s="1"/>
  <c r="S950" i="4" a="1"/>
  <c r="S950" i="4" s="1"/>
  <c r="I952" i="4" a="1"/>
  <c r="I952" i="4" s="1"/>
  <c r="N953" i="4" a="1"/>
  <c r="N953" i="4" s="1"/>
  <c r="S954" i="4" a="1"/>
  <c r="S954" i="4" s="1"/>
  <c r="I956" i="4" a="1"/>
  <c r="I956" i="4" s="1"/>
  <c r="N957" i="4" a="1"/>
  <c r="N957" i="4" s="1"/>
  <c r="S958" i="4" a="1"/>
  <c r="S958" i="4" s="1"/>
  <c r="I960" i="4" a="1"/>
  <c r="I960" i="4" s="1"/>
  <c r="N961" i="4" a="1"/>
  <c r="N961" i="4" s="1"/>
  <c r="S962" i="4" a="1"/>
  <c r="S962" i="4" s="1"/>
  <c r="I964" i="4" a="1"/>
  <c r="I964" i="4" s="1"/>
  <c r="N965" i="4" a="1"/>
  <c r="N965" i="4" s="1"/>
  <c r="S966" i="4" a="1"/>
  <c r="S966" i="4" s="1"/>
  <c r="I968" i="4" a="1"/>
  <c r="I968" i="4" s="1"/>
  <c r="N969" i="4" a="1"/>
  <c r="N969" i="4" s="1"/>
  <c r="S970" i="4" a="1"/>
  <c r="S970" i="4" s="1"/>
  <c r="I972" i="4" a="1"/>
  <c r="I972" i="4" s="1"/>
  <c r="N973" i="4" a="1"/>
  <c r="N973" i="4" s="1"/>
  <c r="S974" i="4" a="1"/>
  <c r="S974" i="4" s="1"/>
  <c r="I976" i="4" a="1"/>
  <c r="I976" i="4" s="1"/>
  <c r="N977" i="4" a="1"/>
  <c r="N977" i="4" s="1"/>
  <c r="S978" i="4" a="1"/>
  <c r="S978" i="4" s="1"/>
  <c r="I980" i="4" a="1"/>
  <c r="I980" i="4" s="1"/>
  <c r="N981" i="4" a="1"/>
  <c r="N981" i="4" s="1"/>
  <c r="S982" i="4" a="1"/>
  <c r="S982" i="4" s="1"/>
  <c r="I984" i="4" a="1"/>
  <c r="I984" i="4" s="1"/>
  <c r="N985" i="4" a="1"/>
  <c r="N985" i="4" s="1"/>
  <c r="S986" i="4" a="1"/>
  <c r="S986" i="4" s="1"/>
  <c r="I988" i="4" a="1"/>
  <c r="I988" i="4" s="1"/>
  <c r="N989" i="4" a="1"/>
  <c r="N989" i="4" s="1"/>
  <c r="S990" i="4" a="1"/>
  <c r="S990" i="4" s="1"/>
  <c r="I992" i="4" a="1"/>
  <c r="I992" i="4" s="1"/>
  <c r="N993" i="4" a="1"/>
  <c r="N993" i="4" s="1"/>
  <c r="S994" i="4" a="1"/>
  <c r="S994" i="4" s="1"/>
  <c r="I996" i="4" a="1"/>
  <c r="I996" i="4" s="1"/>
  <c r="N997" i="4" a="1"/>
  <c r="N997" i="4" s="1"/>
  <c r="S998" i="4" a="1"/>
  <c r="S998" i="4" s="1"/>
  <c r="I1000" i="4" a="1"/>
  <c r="I1000" i="4" s="1"/>
  <c r="N1001" i="4" a="1"/>
  <c r="N1001" i="4" s="1"/>
  <c r="S1002" i="4" a="1"/>
  <c r="S1002" i="4" s="1"/>
  <c r="I1004" i="4" a="1"/>
  <c r="I1004" i="4" s="1"/>
  <c r="N1005" i="4" a="1"/>
  <c r="N1005" i="4" s="1"/>
  <c r="S1006" i="4" a="1"/>
  <c r="S1006" i="4" s="1"/>
  <c r="I1008" i="4" a="1"/>
  <c r="I1008" i="4" s="1"/>
  <c r="N1009" i="4" a="1"/>
  <c r="N1009" i="4" s="1"/>
  <c r="S1010" i="4" a="1"/>
  <c r="S1010" i="4" s="1"/>
  <c r="I1012" i="4" a="1"/>
  <c r="I1012" i="4" s="1"/>
  <c r="N1013" i="4" a="1"/>
  <c r="N1013" i="4" s="1"/>
  <c r="S1014" i="4" a="1"/>
  <c r="S1014" i="4" s="1"/>
  <c r="I1016" i="4" a="1"/>
  <c r="I1016" i="4" s="1"/>
  <c r="N1017" i="4" a="1"/>
  <c r="N1017" i="4" s="1"/>
  <c r="S1018" i="4" a="1"/>
  <c r="S1018" i="4" s="1"/>
  <c r="I1020" i="4" a="1"/>
  <c r="I1020" i="4" s="1"/>
  <c r="N1021" i="4" a="1"/>
  <c r="N1021" i="4" s="1"/>
  <c r="S1022" i="4" a="1"/>
  <c r="S1022" i="4" s="1"/>
  <c r="I1024" i="4" a="1"/>
  <c r="I1024" i="4" s="1"/>
  <c r="N1025" i="4" a="1"/>
  <c r="N1025" i="4" s="1"/>
  <c r="S1026" i="4" a="1"/>
  <c r="S1026" i="4" s="1"/>
  <c r="I1028" i="4" a="1"/>
  <c r="I1028" i="4" s="1"/>
  <c r="N1029" i="4" a="1"/>
  <c r="N1029" i="4" s="1"/>
  <c r="I1032" i="4" a="1"/>
  <c r="I1032" i="4" s="1"/>
  <c r="I1036" i="4" a="1"/>
  <c r="I1036" i="4" s="1"/>
  <c r="S1038" i="4" a="1"/>
  <c r="S1038" i="4" s="1"/>
  <c r="I1040" i="4" a="1"/>
  <c r="I1040" i="4" s="1"/>
  <c r="N1041" i="4" a="1"/>
  <c r="N1041" i="4" s="1"/>
  <c r="S1042" i="4" a="1"/>
  <c r="S1042" i="4" s="1"/>
  <c r="I1044" i="4" a="1"/>
  <c r="I1044" i="4" s="1"/>
  <c r="N1045" i="4" a="1"/>
  <c r="N1045" i="4" s="1"/>
  <c r="S1046" i="4" a="1"/>
  <c r="S1046" i="4" s="1"/>
  <c r="I1048" i="4" a="1"/>
  <c r="I1048" i="4" s="1"/>
  <c r="S1050" i="4" a="1"/>
  <c r="S1050" i="4" s="1"/>
  <c r="I1052" i="4" a="1"/>
  <c r="I1052" i="4" s="1"/>
  <c r="N1053" i="4" a="1"/>
  <c r="N1053" i="4" s="1"/>
  <c r="S1054" i="4" a="1"/>
  <c r="S1054" i="4" s="1"/>
  <c r="I1056" i="4" a="1"/>
  <c r="I1056" i="4" s="1"/>
  <c r="N1057" i="4" a="1"/>
  <c r="N1057" i="4" s="1"/>
  <c r="S1058" i="4" a="1"/>
  <c r="S1058" i="4" s="1"/>
  <c r="I1060" i="4" a="1"/>
  <c r="I1060" i="4" s="1"/>
  <c r="N1061" i="4" a="1"/>
  <c r="N1061" i="4" s="1"/>
  <c r="S1062" i="4" a="1"/>
  <c r="S1062" i="4" s="1"/>
  <c r="I1064" i="4" a="1"/>
  <c r="I1064" i="4" s="1"/>
  <c r="N1065" i="4" a="1"/>
  <c r="N1065" i="4" s="1"/>
  <c r="S1066" i="4" a="1"/>
  <c r="S1066" i="4" s="1"/>
  <c r="I1068" i="4" a="1"/>
  <c r="I1068" i="4" s="1"/>
  <c r="N1069" i="4" a="1"/>
  <c r="N1069" i="4" s="1"/>
  <c r="S1070" i="4" a="1"/>
  <c r="S1070" i="4" s="1"/>
  <c r="I1072" i="4" a="1"/>
  <c r="I1072" i="4" s="1"/>
  <c r="S1074" i="4" a="1"/>
  <c r="S1074" i="4" s="1"/>
  <c r="S1082" i="4" a="1"/>
  <c r="S1082" i="4" s="1"/>
  <c r="I1084" i="4" a="1"/>
  <c r="I1084" i="4" s="1"/>
  <c r="N1085" i="4" a="1"/>
  <c r="N1085" i="4" s="1"/>
  <c r="S1086" i="4" a="1"/>
  <c r="S1086" i="4" s="1"/>
  <c r="I1088" i="4" a="1"/>
  <c r="I1088" i="4" s="1"/>
  <c r="N1089" i="4" a="1"/>
  <c r="N1089" i="4" s="1"/>
  <c r="S1090" i="4" a="1"/>
  <c r="S1090" i="4" s="1"/>
  <c r="I1092" i="4" a="1"/>
  <c r="I1092" i="4" s="1"/>
  <c r="N1093" i="4" a="1"/>
  <c r="N1093" i="4" s="1"/>
  <c r="S1094" i="4" a="1"/>
  <c r="S1094" i="4" s="1"/>
  <c r="I1096" i="4" a="1"/>
  <c r="I1096" i="4" s="1"/>
  <c r="N1097" i="4" a="1"/>
  <c r="N1097" i="4" s="1"/>
  <c r="S1098" i="4" a="1"/>
  <c r="S1098" i="4" s="1"/>
  <c r="I1100" i="4" a="1"/>
  <c r="I1100" i="4" s="1"/>
  <c r="N1101" i="4" a="1"/>
  <c r="N1101" i="4" s="1"/>
  <c r="S1102" i="4" a="1"/>
  <c r="S1102" i="4" s="1"/>
  <c r="I1104" i="4" a="1"/>
  <c r="I1104" i="4" s="1"/>
  <c r="N1105" i="4" a="1"/>
  <c r="N1105" i="4" s="1"/>
  <c r="S1106" i="4" a="1"/>
  <c r="S1106" i="4" s="1"/>
  <c r="N1109" i="4" a="1"/>
  <c r="N1109" i="4" s="1"/>
  <c r="S1110" i="4" a="1"/>
  <c r="S1110" i="4" s="1"/>
  <c r="I1112" i="4" a="1"/>
  <c r="I1112" i="4" s="1"/>
  <c r="N1117" i="4" a="1"/>
  <c r="N1117" i="4" s="1"/>
  <c r="S1118" i="4" a="1"/>
  <c r="S1118" i="4" s="1"/>
  <c r="N1121" i="4" a="1"/>
  <c r="N1121" i="4" s="1"/>
  <c r="I1124" i="4" a="1"/>
  <c r="I1124" i="4" s="1"/>
  <c r="N1125" i="4" a="1"/>
  <c r="N1125" i="4" s="1"/>
  <c r="S1126" i="4" a="1"/>
  <c r="S1126" i="4" s="1"/>
  <c r="I1128" i="4" a="1"/>
  <c r="I1128" i="4" s="1"/>
  <c r="S1130" i="4" a="1"/>
  <c r="S1130" i="4" s="1"/>
  <c r="I1132" i="4" a="1"/>
  <c r="I1132" i="4" s="1"/>
  <c r="N1133" i="4" a="1"/>
  <c r="N1133" i="4" s="1"/>
  <c r="S1134" i="4" a="1"/>
  <c r="S1134" i="4" s="1"/>
  <c r="I1136" i="4" a="1"/>
  <c r="I1136" i="4" s="1"/>
  <c r="N1137" i="4" a="1"/>
  <c r="N1137" i="4" s="1"/>
  <c r="S1138" i="4" a="1"/>
  <c r="S1138" i="4" s="1"/>
  <c r="I1140" i="4" a="1"/>
  <c r="I1140" i="4" s="1"/>
  <c r="N1141" i="4" a="1"/>
  <c r="N1141" i="4" s="1"/>
  <c r="S1142" i="4" a="1"/>
  <c r="S1142" i="4" s="1"/>
  <c r="I1144" i="4" a="1"/>
  <c r="I1144" i="4" s="1"/>
  <c r="N1145" i="4" a="1"/>
  <c r="N1145" i="4" s="1"/>
  <c r="S1146" i="4" a="1"/>
  <c r="S1146" i="4" s="1"/>
  <c r="I1148" i="4" a="1"/>
  <c r="I1148" i="4" s="1"/>
  <c r="N1149" i="4" a="1"/>
  <c r="N1149" i="4" s="1"/>
  <c r="S1150" i="4" a="1"/>
  <c r="S1150" i="4" s="1"/>
  <c r="I1152" i="4" a="1"/>
  <c r="I1152" i="4" s="1"/>
  <c r="N1161" i="4" a="1"/>
  <c r="N1161" i="4" s="1"/>
  <c r="S1162" i="4" a="1"/>
  <c r="S1162" i="4" s="1"/>
  <c r="I1164" i="4" a="1"/>
  <c r="I1164" i="4" s="1"/>
  <c r="N1165" i="4" a="1"/>
  <c r="N1165" i="4" s="1"/>
  <c r="S1166" i="4" a="1"/>
  <c r="S1166" i="4" s="1"/>
  <c r="I1168" i="4" a="1"/>
  <c r="I1168" i="4" s="1"/>
  <c r="N1169" i="4" a="1"/>
  <c r="N1169" i="4" s="1"/>
  <c r="S1170" i="4" a="1"/>
  <c r="S1170" i="4" s="1"/>
  <c r="I1172" i="4" a="1"/>
  <c r="I1172" i="4" s="1"/>
  <c r="N1173" i="4" a="1"/>
  <c r="N1173" i="4" s="1"/>
  <c r="S1174" i="4" a="1"/>
  <c r="S1174" i="4" s="1"/>
  <c r="I1176" i="4" a="1"/>
  <c r="I1176" i="4" s="1"/>
  <c r="S1178" i="4" a="1"/>
  <c r="S1178" i="4" s="1"/>
  <c r="I1180" i="4" a="1"/>
  <c r="I1180" i="4" s="1"/>
  <c r="N1181" i="4" a="1"/>
  <c r="N1181" i="4" s="1"/>
  <c r="S1182" i="4" a="1"/>
  <c r="S1182" i="4" s="1"/>
  <c r="I1184" i="4" a="1"/>
  <c r="I1184" i="4" s="1"/>
  <c r="N1185" i="4" a="1"/>
  <c r="N1185" i="4" s="1"/>
  <c r="S1186" i="4" a="1"/>
  <c r="S1186" i="4" s="1"/>
  <c r="I1188" i="4" a="1"/>
  <c r="I1188" i="4" s="1"/>
  <c r="N1189" i="4" a="1"/>
  <c r="N1189" i="4" s="1"/>
  <c r="S1190" i="4" a="1"/>
  <c r="S1190" i="4" s="1"/>
  <c r="I1192" i="4" a="1"/>
  <c r="I1192" i="4" s="1"/>
  <c r="N1325" i="4" a="1"/>
  <c r="N1325" i="4" s="1"/>
  <c r="N1365" i="4" a="1"/>
  <c r="N1365" i="4" s="1"/>
  <c r="N1193" i="4" a="1"/>
  <c r="N1193" i="4" s="1"/>
  <c r="S1194" i="4" a="1"/>
  <c r="S1194" i="4" s="1"/>
  <c r="I1196" i="4" a="1"/>
  <c r="I1196" i="4" s="1"/>
  <c r="N1197" i="4" a="1"/>
  <c r="N1197" i="4" s="1"/>
  <c r="S1198" i="4" a="1"/>
  <c r="S1198" i="4" s="1"/>
  <c r="I1200" i="4" a="1"/>
  <c r="I1200" i="4" s="1"/>
  <c r="N1201" i="4" a="1"/>
  <c r="N1201" i="4" s="1"/>
  <c r="S1202" i="4" a="1"/>
  <c r="S1202" i="4" s="1"/>
  <c r="I1204" i="4" a="1"/>
  <c r="I1204" i="4" s="1"/>
  <c r="N1205" i="4" a="1"/>
  <c r="N1205" i="4" s="1"/>
  <c r="S1206" i="4" a="1"/>
  <c r="S1206" i="4" s="1"/>
  <c r="I1208" i="4" a="1"/>
  <c r="I1208" i="4" s="1"/>
  <c r="N1209" i="4" a="1"/>
  <c r="N1209" i="4" s="1"/>
  <c r="S1210" i="4" a="1"/>
  <c r="S1210" i="4" s="1"/>
  <c r="I1212" i="4" a="1"/>
  <c r="I1212" i="4" s="1"/>
  <c r="N1213" i="4" a="1"/>
  <c r="N1213" i="4" s="1"/>
  <c r="S1214" i="4" a="1"/>
  <c r="S1214" i="4" s="1"/>
  <c r="I1216" i="4" a="1"/>
  <c r="I1216" i="4" s="1"/>
  <c r="N1217" i="4" a="1"/>
  <c r="N1217" i="4" s="1"/>
  <c r="S1218" i="4" a="1"/>
  <c r="S1218" i="4" s="1"/>
  <c r="I1220" i="4" a="1"/>
  <c r="I1220" i="4" s="1"/>
  <c r="N1221" i="4" a="1"/>
  <c r="N1221" i="4" s="1"/>
  <c r="S1222" i="4" a="1"/>
  <c r="S1222" i="4" s="1"/>
  <c r="I1224" i="4" a="1"/>
  <c r="I1224" i="4" s="1"/>
  <c r="N1225" i="4" a="1"/>
  <c r="N1225" i="4" s="1"/>
  <c r="S1226" i="4" a="1"/>
  <c r="S1226" i="4" s="1"/>
  <c r="I1228" i="4" a="1"/>
  <c r="I1228" i="4" s="1"/>
  <c r="N1229" i="4" a="1"/>
  <c r="N1229" i="4" s="1"/>
  <c r="S1230" i="4" a="1"/>
  <c r="S1230" i="4" s="1"/>
  <c r="I1232" i="4" a="1"/>
  <c r="I1232" i="4" s="1"/>
  <c r="N1233" i="4" a="1"/>
  <c r="N1233" i="4" s="1"/>
  <c r="S1234" i="4" a="1"/>
  <c r="S1234" i="4" s="1"/>
  <c r="I1236" i="4" a="1"/>
  <c r="I1236" i="4" s="1"/>
  <c r="N1237" i="4" a="1"/>
  <c r="N1237" i="4" s="1"/>
  <c r="S1238" i="4" a="1"/>
  <c r="S1238" i="4" s="1"/>
  <c r="N1241" i="4" a="1"/>
  <c r="N1241" i="4" s="1"/>
  <c r="S1242" i="4" a="1"/>
  <c r="S1242" i="4" s="1"/>
  <c r="I1244" i="4" a="1"/>
  <c r="I1244" i="4" s="1"/>
  <c r="N1245" i="4" a="1"/>
  <c r="N1245" i="4" s="1"/>
  <c r="S1246" i="4" a="1"/>
  <c r="S1246" i="4" s="1"/>
  <c r="I1248" i="4" a="1"/>
  <c r="I1248" i="4" s="1"/>
  <c r="N1249" i="4" a="1"/>
  <c r="N1249" i="4" s="1"/>
  <c r="S1250" i="4" a="1"/>
  <c r="S1250" i="4" s="1"/>
  <c r="I1252" i="4" a="1"/>
  <c r="I1252" i="4" s="1"/>
  <c r="N1253" i="4" a="1"/>
  <c r="N1253" i="4" s="1"/>
  <c r="S1254" i="4" a="1"/>
  <c r="S1254" i="4" s="1"/>
  <c r="I1256" i="4" a="1"/>
  <c r="I1256" i="4" s="1"/>
  <c r="N1257" i="4" a="1"/>
  <c r="N1257" i="4" s="1"/>
  <c r="S1258" i="4" a="1"/>
  <c r="S1258" i="4" s="1"/>
  <c r="I1260" i="4" a="1"/>
  <c r="I1260" i="4" s="1"/>
  <c r="S1262" i="4" a="1"/>
  <c r="S1262" i="4" s="1"/>
  <c r="I1264" i="4" a="1"/>
  <c r="I1264" i="4" s="1"/>
  <c r="N1265" i="4" a="1"/>
  <c r="N1265" i="4" s="1"/>
  <c r="S1266" i="4" a="1"/>
  <c r="S1266" i="4" s="1"/>
  <c r="N1269" i="4" a="1"/>
  <c r="N1269" i="4" s="1"/>
  <c r="S1270" i="4" a="1"/>
  <c r="S1270" i="4" s="1"/>
  <c r="I1272" i="4" a="1"/>
  <c r="I1272" i="4" s="1"/>
  <c r="N1273" i="4" a="1"/>
  <c r="N1273" i="4" s="1"/>
  <c r="S1274" i="4" a="1"/>
  <c r="S1274" i="4" s="1"/>
  <c r="I1276" i="4" a="1"/>
  <c r="I1276" i="4" s="1"/>
  <c r="N1277" i="4" a="1"/>
  <c r="N1277" i="4" s="1"/>
  <c r="S1278" i="4" a="1"/>
  <c r="S1278" i="4" s="1"/>
  <c r="I1280" i="4" a="1"/>
  <c r="I1280" i="4" s="1"/>
  <c r="N1281" i="4" a="1"/>
  <c r="N1281" i="4" s="1"/>
  <c r="S1282" i="4" a="1"/>
  <c r="S1282" i="4" s="1"/>
  <c r="I1284" i="4" a="1"/>
  <c r="I1284" i="4" s="1"/>
  <c r="N1285" i="4" a="1"/>
  <c r="N1285" i="4" s="1"/>
  <c r="S1286" i="4" a="1"/>
  <c r="S1286" i="4" s="1"/>
  <c r="I1288" i="4" a="1"/>
  <c r="I1288" i="4" s="1"/>
  <c r="N1289" i="4" a="1"/>
  <c r="N1289" i="4" s="1"/>
  <c r="S1290" i="4" a="1"/>
  <c r="S1290" i="4" s="1"/>
  <c r="I1292" i="4" a="1"/>
  <c r="I1292" i="4" s="1"/>
  <c r="N1293" i="4" a="1"/>
  <c r="N1293" i="4" s="1"/>
  <c r="S1294" i="4" a="1"/>
  <c r="S1294" i="4" s="1"/>
  <c r="I1296" i="4" a="1"/>
  <c r="I1296" i="4" s="1"/>
  <c r="N1297" i="4" a="1"/>
  <c r="N1297" i="4" s="1"/>
  <c r="S1298" i="4" a="1"/>
  <c r="S1298" i="4" s="1"/>
  <c r="I1300" i="4" a="1"/>
  <c r="I1300" i="4" s="1"/>
  <c r="N1301" i="4" a="1"/>
  <c r="N1301" i="4" s="1"/>
  <c r="S1302" i="4" a="1"/>
  <c r="S1302" i="4" s="1"/>
  <c r="I1304" i="4" a="1"/>
  <c r="I1304" i="4" s="1"/>
  <c r="N1305" i="4" a="1"/>
  <c r="N1305" i="4" s="1"/>
  <c r="S1306" i="4" a="1"/>
  <c r="S1306" i="4" s="1"/>
  <c r="I1308" i="4" a="1"/>
  <c r="I1308" i="4" s="1"/>
  <c r="N1309" i="4" a="1"/>
  <c r="N1309" i="4" s="1"/>
  <c r="S1310" i="4" a="1"/>
  <c r="S1310" i="4" s="1"/>
  <c r="I1312" i="4" a="1"/>
  <c r="I1312" i="4" s="1"/>
  <c r="N1313" i="4" a="1"/>
  <c r="N1313" i="4" s="1"/>
  <c r="S1314" i="4" a="1"/>
  <c r="S1314" i="4" s="1"/>
  <c r="I1316" i="4" a="1"/>
  <c r="I1316" i="4" s="1"/>
  <c r="N1317" i="4" a="1"/>
  <c r="N1317" i="4" s="1"/>
  <c r="S1318" i="4" a="1"/>
  <c r="S1318" i="4" s="1"/>
  <c r="I1320" i="4" a="1"/>
  <c r="I1320" i="4" s="1"/>
  <c r="N1321" i="4" a="1"/>
  <c r="N1321" i="4" s="1"/>
  <c r="S1322" i="4" a="1"/>
  <c r="S1322" i="4" s="1"/>
  <c r="I1324" i="4" a="1"/>
  <c r="I1324" i="4" s="1"/>
  <c r="S1326" i="4" a="1"/>
  <c r="S1326" i="4" s="1"/>
  <c r="I1328" i="4" a="1"/>
  <c r="I1328" i="4" s="1"/>
  <c r="N1329" i="4" a="1"/>
  <c r="N1329" i="4" s="1"/>
  <c r="S1330" i="4" a="1"/>
  <c r="S1330" i="4" s="1"/>
  <c r="I1332" i="4" a="1"/>
  <c r="I1332" i="4" s="1"/>
  <c r="N1333" i="4" a="1"/>
  <c r="N1333" i="4" s="1"/>
  <c r="S1334" i="4" a="1"/>
  <c r="S1334" i="4" s="1"/>
  <c r="I1336" i="4" a="1"/>
  <c r="I1336" i="4" s="1"/>
  <c r="N1337" i="4" a="1"/>
  <c r="N1337" i="4" s="1"/>
  <c r="S1338" i="4" a="1"/>
  <c r="S1338" i="4" s="1"/>
  <c r="I1340" i="4" a="1"/>
  <c r="I1340" i="4" s="1"/>
  <c r="N1341" i="4" a="1"/>
  <c r="N1341" i="4" s="1"/>
  <c r="S1342" i="4" a="1"/>
  <c r="S1342" i="4" s="1"/>
  <c r="I1344" i="4" a="1"/>
  <c r="I1344" i="4" s="1"/>
  <c r="N1345" i="4" a="1"/>
  <c r="N1345" i="4" s="1"/>
  <c r="N1349" i="4" a="1"/>
  <c r="N1349" i="4" s="1"/>
  <c r="S1350" i="4" a="1"/>
  <c r="S1350" i="4" s="1"/>
  <c r="I1352" i="4" a="1"/>
  <c r="I1352" i="4" s="1"/>
  <c r="N1353" i="4" a="1"/>
  <c r="N1353" i="4" s="1"/>
  <c r="S1354" i="4" a="1"/>
  <c r="S1354" i="4" s="1"/>
  <c r="N1357" i="4" a="1"/>
  <c r="N1357" i="4" s="1"/>
  <c r="S1358" i="4" a="1"/>
  <c r="S1358" i="4" s="1"/>
  <c r="I1360" i="4" a="1"/>
  <c r="I1360" i="4" s="1"/>
  <c r="N1361" i="4" a="1"/>
  <c r="N1361" i="4" s="1"/>
  <c r="S1362" i="4" a="1"/>
  <c r="S1362" i="4" s="1"/>
  <c r="I1364" i="4" a="1"/>
  <c r="I1364" i="4" s="1"/>
  <c r="S1366" i="4" a="1"/>
  <c r="S1366" i="4" s="1"/>
  <c r="I1368" i="4" a="1"/>
  <c r="I1368" i="4" s="1"/>
  <c r="N1369" i="4" a="1"/>
  <c r="N1369" i="4" s="1"/>
  <c r="S1370" i="4" a="1"/>
  <c r="S1370" i="4" s="1"/>
  <c r="I1372" i="4" a="1"/>
  <c r="I1372" i="4" s="1"/>
  <c r="N1373" i="4" a="1"/>
  <c r="N1373" i="4" s="1"/>
  <c r="S1374" i="4" a="1"/>
  <c r="S1374" i="4" s="1"/>
  <c r="I1376" i="4" a="1"/>
  <c r="I1376" i="4" s="1"/>
  <c r="N1377" i="4" a="1"/>
  <c r="N1377" i="4" s="1"/>
  <c r="S1378" i="4" a="1"/>
  <c r="S1378" i="4" s="1"/>
  <c r="N1381" i="4" a="1"/>
  <c r="N1381" i="4" s="1"/>
  <c r="S1382" i="4" a="1"/>
  <c r="S1382" i="4" s="1"/>
  <c r="I1384" i="4" a="1"/>
  <c r="I1384" i="4" s="1"/>
  <c r="N1385" i="4" a="1"/>
  <c r="N1385" i="4" s="1"/>
  <c r="S1386" i="4" a="1"/>
  <c r="S1386" i="4" s="1"/>
  <c r="I1388" i="4" a="1"/>
  <c r="I1388" i="4" s="1"/>
  <c r="N1389" i="4" a="1"/>
  <c r="N1389" i="4" s="1"/>
  <c r="S1390" i="4" a="1"/>
  <c r="S1390" i="4" s="1"/>
  <c r="I1392" i="4" a="1"/>
  <c r="I1392" i="4" s="1"/>
  <c r="N1393" i="4" a="1"/>
  <c r="N1393" i="4" s="1"/>
  <c r="I1396" i="4" a="1"/>
  <c r="I1396" i="4" s="1"/>
  <c r="N1397" i="4" a="1"/>
  <c r="N1397" i="4" s="1"/>
  <c r="S1398" i="4" a="1"/>
  <c r="S1398" i="4" s="1"/>
  <c r="I1400" i="4" a="1"/>
  <c r="I1400" i="4" s="1"/>
  <c r="N1401" i="4" a="1"/>
  <c r="N1401" i="4" s="1"/>
  <c r="S1402" i="4" a="1"/>
  <c r="S1402" i="4" s="1"/>
  <c r="I1404" i="4" a="1"/>
  <c r="I1404" i="4" s="1"/>
  <c r="N1405" i="4" a="1"/>
  <c r="N1405" i="4" s="1"/>
  <c r="S1406" i="4" a="1"/>
  <c r="S1406" i="4" s="1"/>
  <c r="I1408" i="4" a="1"/>
  <c r="I1408" i="4" s="1"/>
  <c r="N1409" i="4" a="1"/>
  <c r="N1409" i="4" s="1"/>
  <c r="S1410" i="4" a="1"/>
  <c r="S1410" i="4" s="1"/>
  <c r="I1412" i="4" a="1"/>
  <c r="I1412" i="4" s="1"/>
  <c r="N1413" i="4" a="1"/>
  <c r="N1413" i="4" s="1"/>
  <c r="S1414" i="4" a="1"/>
  <c r="S1414" i="4" s="1"/>
  <c r="I1416" i="4" a="1"/>
  <c r="I1416" i="4" s="1"/>
  <c r="N1417" i="4" a="1"/>
  <c r="N1417" i="4" s="1"/>
  <c r="S1418" i="4" a="1"/>
  <c r="S1418" i="4" s="1"/>
  <c r="I1420" i="4" a="1"/>
  <c r="I1420" i="4" s="1"/>
  <c r="N1421" i="4" a="1"/>
  <c r="N1421" i="4" s="1"/>
  <c r="S1422" i="4" a="1"/>
  <c r="S1422" i="4" s="1"/>
  <c r="I1424" i="4" a="1"/>
  <c r="I1424" i="4" s="1"/>
  <c r="N1425" i="4" a="1"/>
  <c r="N1425" i="4" s="1"/>
  <c r="S1426" i="4" a="1"/>
  <c r="S1426" i="4" s="1"/>
  <c r="I1428" i="4" a="1"/>
  <c r="I1428" i="4" s="1"/>
  <c r="N1429" i="4" a="1"/>
  <c r="N1429" i="4" s="1"/>
  <c r="S1430" i="4" a="1"/>
  <c r="S1430" i="4" s="1"/>
  <c r="S1498" i="4" a="1"/>
  <c r="S1498" i="4" s="1"/>
  <c r="I1432" i="4" a="1"/>
  <c r="I1432" i="4" s="1"/>
  <c r="N1433" i="4" a="1"/>
  <c r="N1433" i="4" s="1"/>
  <c r="I1436" i="4" a="1"/>
  <c r="I1436" i="4" s="1"/>
  <c r="N1437" i="4" a="1"/>
  <c r="N1437" i="4" s="1"/>
  <c r="S1438" i="4" a="1"/>
  <c r="S1438" i="4" s="1"/>
  <c r="I1440" i="4" a="1"/>
  <c r="I1440" i="4" s="1"/>
  <c r="N1441" i="4" a="1"/>
  <c r="N1441" i="4" s="1"/>
  <c r="S1442" i="4" a="1"/>
  <c r="S1442" i="4" s="1"/>
  <c r="I1444" i="4" a="1"/>
  <c r="I1444" i="4" s="1"/>
  <c r="N1445" i="4" a="1"/>
  <c r="N1445" i="4" s="1"/>
  <c r="S1446" i="4" a="1"/>
  <c r="S1446" i="4" s="1"/>
  <c r="I1448" i="4" a="1"/>
  <c r="I1448" i="4" s="1"/>
  <c r="N1449" i="4" a="1"/>
  <c r="N1449" i="4" s="1"/>
  <c r="S1450" i="4" a="1"/>
  <c r="S1450" i="4" s="1"/>
  <c r="I1452" i="4" a="1"/>
  <c r="I1452" i="4" s="1"/>
  <c r="N1453" i="4" a="1"/>
  <c r="N1453" i="4" s="1"/>
  <c r="S1454" i="4" a="1"/>
  <c r="S1454" i="4" s="1"/>
  <c r="N1457" i="4" a="1"/>
  <c r="N1457" i="4" s="1"/>
  <c r="S1458" i="4" a="1"/>
  <c r="S1458" i="4" s="1"/>
  <c r="I1460" i="4" a="1"/>
  <c r="I1460" i="4" s="1"/>
  <c r="N1461" i="4" a="1"/>
  <c r="N1461" i="4" s="1"/>
  <c r="S1462" i="4" a="1"/>
  <c r="S1462" i="4" s="1"/>
  <c r="I1464" i="4" a="1"/>
  <c r="I1464" i="4" s="1"/>
  <c r="N1465" i="4" a="1"/>
  <c r="N1465" i="4" s="1"/>
  <c r="S1466" i="4" a="1"/>
  <c r="S1466" i="4" s="1"/>
  <c r="I1468" i="4" a="1"/>
  <c r="I1468" i="4" s="1"/>
  <c r="N1469" i="4" a="1"/>
  <c r="N1469" i="4" s="1"/>
  <c r="S1470" i="4" a="1"/>
  <c r="S1470" i="4" s="1"/>
  <c r="I1472" i="4" a="1"/>
  <c r="I1472" i="4" s="1"/>
  <c r="N1473" i="4" a="1"/>
  <c r="N1473" i="4" s="1"/>
  <c r="S1474" i="4" a="1"/>
  <c r="S1474" i="4" s="1"/>
  <c r="I1476" i="4" a="1"/>
  <c r="I1476" i="4" s="1"/>
  <c r="N1477" i="4" a="1"/>
  <c r="N1477" i="4" s="1"/>
  <c r="S1478" i="4" a="1"/>
  <c r="S1478" i="4" s="1"/>
  <c r="I1480" i="4" a="1"/>
  <c r="I1480" i="4" s="1"/>
  <c r="N1481" i="4" a="1"/>
  <c r="N1481" i="4" s="1"/>
  <c r="S1482" i="4" a="1"/>
  <c r="S1482" i="4" s="1"/>
  <c r="I1484" i="4" a="1"/>
  <c r="I1484" i="4" s="1"/>
  <c r="N1485" i="4" a="1"/>
  <c r="N1485" i="4" s="1"/>
  <c r="S1486" i="4" a="1"/>
  <c r="S1486" i="4" s="1"/>
  <c r="I1488" i="4" a="1"/>
  <c r="I1488" i="4" s="1"/>
  <c r="N1489" i="4" a="1"/>
  <c r="N1489" i="4" s="1"/>
  <c r="S1490" i="4" a="1"/>
  <c r="S1490" i="4" s="1"/>
  <c r="I1492" i="4" a="1"/>
  <c r="I1492" i="4" s="1"/>
  <c r="N1493" i="4" a="1"/>
  <c r="N1493" i="4" s="1"/>
  <c r="S1494" i="4" a="1"/>
  <c r="S1494" i="4" s="1"/>
  <c r="I1496" i="4" a="1"/>
  <c r="I1496" i="4" s="1"/>
  <c r="N1497" i="4" a="1"/>
  <c r="N1497" i="4" s="1"/>
  <c r="I1500" i="4" a="1"/>
  <c r="I1500" i="4" s="1"/>
  <c r="N1501" i="4" a="1"/>
  <c r="N1501" i="4" s="1"/>
  <c r="S1502" i="4" a="1"/>
  <c r="S1502" i="4" s="1"/>
  <c r="I1504" i="4" a="1"/>
  <c r="I1504" i="4" s="1"/>
  <c r="N1505" i="4" a="1"/>
  <c r="N1505" i="4" s="1"/>
  <c r="S1506" i="4" a="1"/>
  <c r="S1506" i="4" s="1"/>
  <c r="I1508" i="4" a="1"/>
  <c r="I1508" i="4" s="1"/>
  <c r="N1509" i="4" a="1"/>
  <c r="N1509" i="4" s="1"/>
  <c r="S1510" i="4" a="1"/>
  <c r="S1510" i="4" s="1"/>
  <c r="I1512" i="4" a="1"/>
  <c r="I1512" i="4" s="1"/>
  <c r="N1513" i="4" a="1"/>
  <c r="N1513" i="4" s="1"/>
  <c r="S1514" i="4" a="1"/>
  <c r="S1514" i="4" s="1"/>
  <c r="I1516" i="4" a="1"/>
  <c r="I1516" i="4" s="1"/>
  <c r="N1517" i="4" a="1"/>
  <c r="N1517" i="4" s="1"/>
  <c r="S1518" i="4" a="1"/>
  <c r="S1518" i="4" s="1"/>
  <c r="I1520" i="4" a="1"/>
  <c r="I1520" i="4" s="1"/>
  <c r="N1521" i="4" a="1"/>
  <c r="N1521" i="4" s="1"/>
  <c r="S1522" i="4" a="1"/>
  <c r="S1522" i="4" s="1"/>
  <c r="I1524" i="4" a="1"/>
  <c r="I1524" i="4" s="1"/>
  <c r="N1525" i="4" a="1"/>
  <c r="N1525" i="4" s="1"/>
  <c r="S1526" i="4" a="1"/>
  <c r="S1526" i="4" s="1"/>
  <c r="I1528" i="4" a="1"/>
  <c r="I1528" i="4" s="1"/>
  <c r="N1529" i="4" a="1"/>
  <c r="N1529" i="4" s="1"/>
  <c r="S1530" i="4" a="1"/>
  <c r="S1530" i="4" s="1"/>
  <c r="I1532" i="4" a="1"/>
  <c r="I1532" i="4" s="1"/>
  <c r="N1533" i="4" a="1"/>
  <c r="N1533" i="4" s="1"/>
  <c r="S1546" i="4" a="1"/>
  <c r="S1546" i="4" s="1"/>
  <c r="I1572" i="4" a="1"/>
  <c r="I1572" i="4" s="1"/>
  <c r="N1585" i="4" a="1"/>
  <c r="N1585" i="4" s="1"/>
  <c r="I1596" i="4" a="1"/>
  <c r="I1596" i="4" s="1"/>
  <c r="I1600" i="4" a="1"/>
  <c r="I1600" i="4" s="1"/>
  <c r="N1609" i="4" a="1"/>
  <c r="N1609" i="4" s="1"/>
  <c r="N1625" i="4" a="1"/>
  <c r="N1625" i="4" s="1"/>
  <c r="N1633" i="4" a="1"/>
  <c r="N1633" i="4" s="1"/>
  <c r="N1641" i="4" a="1"/>
  <c r="N1641" i="4" s="1"/>
  <c r="S1650" i="4" a="1"/>
  <c r="S1650" i="4" s="1"/>
  <c r="N1657" i="4" a="1"/>
  <c r="N1657" i="4" s="1"/>
  <c r="N362" i="4" a="1"/>
  <c r="N362" i="4" s="1"/>
  <c r="S363" i="4" a="1"/>
  <c r="S363" i="4" s="1"/>
  <c r="I365" i="4" a="1"/>
  <c r="I365" i="4" s="1"/>
  <c r="N366" i="4" a="1"/>
  <c r="N366" i="4" s="1"/>
  <c r="S367" i="4" a="1"/>
  <c r="S367" i="4" s="1"/>
  <c r="I369" i="4" a="1"/>
  <c r="I369" i="4" s="1"/>
  <c r="N370" i="4" a="1"/>
  <c r="N370" i="4" s="1"/>
  <c r="S371" i="4" a="1"/>
  <c r="S371" i="4" s="1"/>
  <c r="N374" i="4" a="1"/>
  <c r="N374" i="4" s="1"/>
  <c r="I377" i="4" a="1"/>
  <c r="I377" i="4" s="1"/>
  <c r="N378" i="4" a="1"/>
  <c r="N378" i="4" s="1"/>
  <c r="S379" i="4" a="1"/>
  <c r="S379" i="4" s="1"/>
  <c r="I381" i="4" a="1"/>
  <c r="I381" i="4" s="1"/>
  <c r="N382" i="4" a="1"/>
  <c r="N382" i="4" s="1"/>
  <c r="N386" i="4" a="1"/>
  <c r="N386" i="4" s="1"/>
  <c r="S387" i="4" a="1"/>
  <c r="S387" i="4" s="1"/>
  <c r="I389" i="4" a="1"/>
  <c r="I389" i="4" s="1"/>
  <c r="S391" i="4" a="1"/>
  <c r="S391" i="4" s="1"/>
  <c r="I393" i="4" a="1"/>
  <c r="I393" i="4" s="1"/>
  <c r="N394" i="4" a="1"/>
  <c r="N394" i="4" s="1"/>
  <c r="S395" i="4" a="1"/>
  <c r="S395" i="4" s="1"/>
  <c r="I397" i="4" a="1"/>
  <c r="I397" i="4" s="1"/>
  <c r="N398" i="4" a="1"/>
  <c r="N398" i="4" s="1"/>
  <c r="I401" i="4" a="1"/>
  <c r="I401" i="4" s="1"/>
  <c r="N402" i="4" a="1"/>
  <c r="N402" i="4" s="1"/>
  <c r="S403" i="4" a="1"/>
  <c r="S403" i="4" s="1"/>
  <c r="I405" i="4" a="1"/>
  <c r="I405" i="4" s="1"/>
  <c r="N406" i="4" a="1"/>
  <c r="N406" i="4" s="1"/>
  <c r="S407" i="4" a="1"/>
  <c r="S407" i="4" s="1"/>
  <c r="I409" i="4" a="1"/>
  <c r="I409" i="4" s="1"/>
  <c r="S411" i="4" a="1"/>
  <c r="S411" i="4" s="1"/>
  <c r="I413" i="4" a="1"/>
  <c r="I413" i="4" s="1"/>
  <c r="N414" i="4" a="1"/>
  <c r="N414" i="4" s="1"/>
  <c r="S415" i="4" a="1"/>
  <c r="S415" i="4" s="1"/>
  <c r="I417" i="4" a="1"/>
  <c r="I417" i="4" s="1"/>
  <c r="N418" i="4" a="1"/>
  <c r="N418" i="4" s="1"/>
  <c r="S419" i="4" a="1"/>
  <c r="S419" i="4" s="1"/>
  <c r="N422" i="4" a="1"/>
  <c r="N422" i="4" s="1"/>
  <c r="S423" i="4" a="1"/>
  <c r="S423" i="4" s="1"/>
  <c r="N426" i="4" a="1"/>
  <c r="N426" i="4" s="1"/>
  <c r="S427" i="4" a="1"/>
  <c r="S427" i="4" s="1"/>
  <c r="I429" i="4" a="1"/>
  <c r="I429" i="4" s="1"/>
  <c r="N430" i="4" a="1"/>
  <c r="N430" i="4" s="1"/>
  <c r="S431" i="4" a="1"/>
  <c r="S431" i="4" s="1"/>
  <c r="S435" i="4" a="1"/>
  <c r="S435" i="4" s="1"/>
  <c r="I437" i="4" a="1"/>
  <c r="I437" i="4" s="1"/>
  <c r="N438" i="4" a="1"/>
  <c r="N438" i="4" s="1"/>
  <c r="S439" i="4" a="1"/>
  <c r="S439" i="4" s="1"/>
  <c r="I441" i="4" a="1"/>
  <c r="I441" i="4" s="1"/>
  <c r="N442" i="4" a="1"/>
  <c r="N442" i="4" s="1"/>
  <c r="S443" i="4" a="1"/>
  <c r="S443" i="4" s="1"/>
  <c r="N446" i="4" a="1"/>
  <c r="N446" i="4" s="1"/>
  <c r="S447" i="4" a="1"/>
  <c r="S447" i="4" s="1"/>
  <c r="I449" i="4" a="1"/>
  <c r="I449" i="4" s="1"/>
  <c r="N450" i="4" a="1"/>
  <c r="N450" i="4" s="1"/>
  <c r="S451" i="4" a="1"/>
  <c r="S451" i="4" s="1"/>
  <c r="I453" i="4" a="1"/>
  <c r="I453" i="4" s="1"/>
  <c r="N454" i="4" a="1"/>
  <c r="N454" i="4" s="1"/>
  <c r="S455" i="4" a="1"/>
  <c r="S455" i="4" s="1"/>
  <c r="I457" i="4" a="1"/>
  <c r="I457" i="4" s="1"/>
  <c r="N458" i="4" a="1"/>
  <c r="N458" i="4" s="1"/>
  <c r="S459" i="4" a="1"/>
  <c r="S459" i="4" s="1"/>
  <c r="I461" i="4" a="1"/>
  <c r="I461" i="4" s="1"/>
  <c r="N462" i="4" a="1"/>
  <c r="N462" i="4" s="1"/>
  <c r="S463" i="4" a="1"/>
  <c r="S463" i="4" s="1"/>
  <c r="I465" i="4" a="1"/>
  <c r="I465" i="4" s="1"/>
  <c r="N466" i="4" a="1"/>
  <c r="N466" i="4" s="1"/>
  <c r="I469" i="4" a="1"/>
  <c r="I469" i="4" s="1"/>
  <c r="N470" i="4" a="1"/>
  <c r="N470" i="4" s="1"/>
  <c r="S471" i="4" a="1"/>
  <c r="S471" i="4" s="1"/>
  <c r="I473" i="4" a="1"/>
  <c r="I473" i="4" s="1"/>
  <c r="S475" i="4" a="1"/>
  <c r="S475" i="4" s="1"/>
  <c r="I477" i="4" a="1"/>
  <c r="I477" i="4" s="1"/>
  <c r="N478" i="4" a="1"/>
  <c r="N478" i="4" s="1"/>
  <c r="S479" i="4" a="1"/>
  <c r="S479" i="4" s="1"/>
  <c r="I481" i="4" a="1"/>
  <c r="I481" i="4" s="1"/>
  <c r="N482" i="4" a="1"/>
  <c r="N482" i="4" s="1"/>
  <c r="S483" i="4" a="1"/>
  <c r="S483" i="4" s="1"/>
  <c r="N486" i="4" a="1"/>
  <c r="N486" i="4" s="1"/>
  <c r="I489" i="4" a="1"/>
  <c r="I489" i="4" s="1"/>
  <c r="N490" i="4" a="1"/>
  <c r="N490" i="4" s="1"/>
  <c r="S491" i="4" a="1"/>
  <c r="S491" i="4" s="1"/>
  <c r="I493" i="4" a="1"/>
  <c r="I493" i="4" s="1"/>
  <c r="N494" i="4" a="1"/>
  <c r="N494" i="4" s="1"/>
  <c r="S495" i="4" a="1"/>
  <c r="S495" i="4" s="1"/>
  <c r="I497" i="4" a="1"/>
  <c r="I497" i="4" s="1"/>
  <c r="I501" i="4" a="1"/>
  <c r="I501" i="4" s="1"/>
  <c r="N502" i="4" a="1"/>
  <c r="N502" i="4" s="1"/>
  <c r="S503" i="4" a="1"/>
  <c r="S503" i="4" s="1"/>
  <c r="I505" i="4" a="1"/>
  <c r="I505" i="4" s="1"/>
  <c r="N506" i="4" a="1"/>
  <c r="N506" i="4" s="1"/>
  <c r="S507" i="4" a="1"/>
  <c r="S507" i="4" s="1"/>
  <c r="I509" i="4" a="1"/>
  <c r="I509" i="4" s="1"/>
  <c r="S511" i="4" a="1"/>
  <c r="S511" i="4" s="1"/>
  <c r="I513" i="4" a="1"/>
  <c r="I513" i="4" s="1"/>
  <c r="N514" i="4" a="1"/>
  <c r="N514" i="4" s="1"/>
  <c r="S515" i="4" a="1"/>
  <c r="S515" i="4" s="1"/>
  <c r="N518" i="4" a="1"/>
  <c r="N518" i="4" s="1"/>
  <c r="S519" i="4" a="1"/>
  <c r="S519" i="4" s="1"/>
  <c r="I521" i="4" a="1"/>
  <c r="I521" i="4" s="1"/>
  <c r="N522" i="4" a="1"/>
  <c r="N522" i="4" s="1"/>
  <c r="S523" i="4" a="1"/>
  <c r="S523" i="4" s="1"/>
  <c r="I525" i="4" a="1"/>
  <c r="I525" i="4" s="1"/>
  <c r="N526" i="4" a="1"/>
  <c r="N526" i="4" s="1"/>
  <c r="I529" i="4" a="1"/>
  <c r="I529" i="4" s="1"/>
  <c r="S531" i="4" a="1"/>
  <c r="S531" i="4" s="1"/>
  <c r="I533" i="4" a="1"/>
  <c r="I533" i="4" s="1"/>
  <c r="N534" i="4" a="1"/>
  <c r="N534" i="4" s="1"/>
  <c r="S535" i="4" a="1"/>
  <c r="S535" i="4" s="1"/>
  <c r="I537" i="4" a="1"/>
  <c r="I537" i="4" s="1"/>
  <c r="N538" i="4" a="1"/>
  <c r="N538" i="4" s="1"/>
  <c r="S539" i="4" a="1"/>
  <c r="S539" i="4" s="1"/>
  <c r="S543" i="4" a="1"/>
  <c r="S543" i="4" s="1"/>
  <c r="I545" i="4" a="1"/>
  <c r="I545" i="4" s="1"/>
  <c r="N546" i="4" a="1"/>
  <c r="N546" i="4" s="1"/>
  <c r="S547" i="4" a="1"/>
  <c r="S547" i="4" s="1"/>
  <c r="I549" i="4" a="1"/>
  <c r="I549" i="4" s="1"/>
  <c r="N550" i="4" a="1"/>
  <c r="N550" i="4" s="1"/>
  <c r="S551" i="4" a="1"/>
  <c r="S551" i="4" s="1"/>
  <c r="N554" i="4" a="1"/>
  <c r="N554" i="4" s="1"/>
  <c r="S555" i="4" a="1"/>
  <c r="S555" i="4" s="1"/>
  <c r="I557" i="4" a="1"/>
  <c r="I557" i="4" s="1"/>
  <c r="N558" i="4" a="1"/>
  <c r="N558" i="4" s="1"/>
  <c r="I561" i="4" a="1"/>
  <c r="I561" i="4" s="1"/>
  <c r="N562" i="4" a="1"/>
  <c r="N562" i="4" s="1"/>
  <c r="S563" i="4" a="1"/>
  <c r="S563" i="4" s="1"/>
  <c r="N566" i="4" a="1"/>
  <c r="N566" i="4" s="1"/>
  <c r="S567" i="4" a="1"/>
  <c r="S567" i="4" s="1"/>
  <c r="I569" i="4" a="1"/>
  <c r="I569" i="4" s="1"/>
  <c r="N570" i="4" a="1"/>
  <c r="N570" i="4" s="1"/>
  <c r="I573" i="4" a="1"/>
  <c r="I573" i="4" s="1"/>
  <c r="N574" i="4" a="1"/>
  <c r="N574" i="4" s="1"/>
  <c r="S575" i="4" a="1"/>
  <c r="S575" i="4" s="1"/>
  <c r="I577" i="4" a="1"/>
  <c r="I577" i="4" s="1"/>
  <c r="N578" i="4" a="1"/>
  <c r="N578" i="4" s="1"/>
  <c r="S579" i="4" a="1"/>
  <c r="S579" i="4" s="1"/>
  <c r="N582" i="4" a="1"/>
  <c r="N582" i="4" s="1"/>
  <c r="S583" i="4" a="1"/>
  <c r="S583" i="4" s="1"/>
  <c r="I585" i="4" a="1"/>
  <c r="I585" i="4" s="1"/>
  <c r="N586" i="4" a="1"/>
  <c r="N586" i="4" s="1"/>
  <c r="S587" i="4" a="1"/>
  <c r="S587" i="4" s="1"/>
  <c r="I589" i="4" a="1"/>
  <c r="I589" i="4" s="1"/>
  <c r="N590" i="4" a="1"/>
  <c r="N590" i="4" s="1"/>
  <c r="N594" i="4" a="1"/>
  <c r="N594" i="4" s="1"/>
  <c r="S595" i="4" a="1"/>
  <c r="S595" i="4" s="1"/>
  <c r="I597" i="4" a="1"/>
  <c r="I597" i="4" s="1"/>
  <c r="N598" i="4" a="1"/>
  <c r="N598" i="4" s="1"/>
  <c r="I601" i="4" a="1"/>
  <c r="I601" i="4" s="1"/>
  <c r="S603" i="4" a="1"/>
  <c r="S603" i="4" s="1"/>
  <c r="I605" i="4" a="1"/>
  <c r="I605" i="4" s="1"/>
  <c r="N606" i="4" a="1"/>
  <c r="N606" i="4" s="1"/>
  <c r="S607" i="4" a="1"/>
  <c r="S607" i="4" s="1"/>
  <c r="I609" i="4" a="1"/>
  <c r="I609" i="4" s="1"/>
  <c r="N610" i="4" a="1"/>
  <c r="N610" i="4" s="1"/>
  <c r="S611" i="4" a="1"/>
  <c r="S611" i="4" s="1"/>
  <c r="N614" i="4" a="1"/>
  <c r="N614" i="4" s="1"/>
  <c r="S615" i="4" a="1"/>
  <c r="S615" i="4" s="1"/>
  <c r="I617" i="4" a="1"/>
  <c r="I617" i="4" s="1"/>
  <c r="N618" i="4" a="1"/>
  <c r="N618" i="4" s="1"/>
  <c r="S619" i="4" a="1"/>
  <c r="S619" i="4" s="1"/>
  <c r="N622" i="4" a="1"/>
  <c r="N622" i="4" s="1"/>
  <c r="S623" i="4" a="1"/>
  <c r="S623" i="4" s="1"/>
  <c r="I625" i="4" a="1"/>
  <c r="I625" i="4" s="1"/>
  <c r="S627" i="4" a="1"/>
  <c r="S627" i="4" s="1"/>
  <c r="I629" i="4" a="1"/>
  <c r="I629" i="4" s="1"/>
  <c r="N630" i="4" a="1"/>
  <c r="N630" i="4" s="1"/>
  <c r="S631" i="4" a="1"/>
  <c r="S631" i="4" s="1"/>
  <c r="I633" i="4" a="1"/>
  <c r="I633" i="4" s="1"/>
  <c r="N634" i="4" a="1"/>
  <c r="N634" i="4" s="1"/>
  <c r="S635" i="4" a="1"/>
  <c r="S635" i="4" s="1"/>
  <c r="I637" i="4" a="1"/>
  <c r="I637" i="4" s="1"/>
  <c r="N638" i="4" a="1"/>
  <c r="N638" i="4" s="1"/>
  <c r="I641" i="4" a="1"/>
  <c r="I641" i="4" s="1"/>
  <c r="N642" i="4" a="1"/>
  <c r="N642" i="4" s="1"/>
  <c r="I645" i="4" a="1"/>
  <c r="I645" i="4" s="1"/>
  <c r="N646" i="4" a="1"/>
  <c r="N646" i="4" s="1"/>
  <c r="S651" i="4" a="1"/>
  <c r="S651" i="4" s="1"/>
  <c r="I653" i="4" a="1"/>
  <c r="I653" i="4" s="1"/>
  <c r="N654" i="4" a="1"/>
  <c r="N654" i="4" s="1"/>
  <c r="S655" i="4" a="1"/>
  <c r="S655" i="4" s="1"/>
  <c r="I657" i="4" a="1"/>
  <c r="I657" i="4" s="1"/>
  <c r="N658" i="4" a="1"/>
  <c r="N658" i="4" s="1"/>
  <c r="S659" i="4" a="1"/>
  <c r="S659" i="4" s="1"/>
  <c r="I661" i="4" a="1"/>
  <c r="I661" i="4" s="1"/>
  <c r="S663" i="4" a="1"/>
  <c r="S663" i="4" s="1"/>
  <c r="I665" i="4" a="1"/>
  <c r="I665" i="4" s="1"/>
  <c r="N666" i="4" a="1"/>
  <c r="N666" i="4" s="1"/>
  <c r="S667" i="4" a="1"/>
  <c r="S667" i="4" s="1"/>
  <c r="I669" i="4" a="1"/>
  <c r="I669" i="4" s="1"/>
  <c r="S671" i="4" a="1"/>
  <c r="S671" i="4" s="1"/>
  <c r="I673" i="4" a="1"/>
  <c r="I673" i="4" s="1"/>
  <c r="N674" i="4" a="1"/>
  <c r="N674" i="4" s="1"/>
  <c r="S675" i="4" a="1"/>
  <c r="S675" i="4" s="1"/>
  <c r="I677" i="4" a="1"/>
  <c r="I677" i="4" s="1"/>
  <c r="N678" i="4" a="1"/>
  <c r="N678" i="4" s="1"/>
  <c r="S679" i="4" a="1"/>
  <c r="S679" i="4" s="1"/>
  <c r="I681" i="4" a="1"/>
  <c r="I681" i="4" s="1"/>
  <c r="N682" i="4" a="1"/>
  <c r="N682" i="4" s="1"/>
  <c r="S683" i="4" a="1"/>
  <c r="S683" i="4" s="1"/>
  <c r="I685" i="4" a="1"/>
  <c r="I685" i="4" s="1"/>
  <c r="N686" i="4" a="1"/>
  <c r="N686" i="4" s="1"/>
  <c r="S687" i="4" a="1"/>
  <c r="S687" i="4" s="1"/>
  <c r="I689" i="4" a="1"/>
  <c r="I689" i="4" s="1"/>
  <c r="S691" i="4" a="1"/>
  <c r="S691" i="4" s="1"/>
  <c r="I693" i="4" a="1"/>
  <c r="I693" i="4" s="1"/>
  <c r="S695" i="4" a="1"/>
  <c r="S695" i="4" s="1"/>
  <c r="I697" i="4" a="1"/>
  <c r="I697" i="4" s="1"/>
  <c r="S699" i="4" a="1"/>
  <c r="S699" i="4" s="1"/>
  <c r="I701" i="4" a="1"/>
  <c r="I701" i="4" s="1"/>
  <c r="N702" i="4" a="1"/>
  <c r="N702" i="4" s="1"/>
  <c r="S703" i="4" a="1"/>
  <c r="S703" i="4" s="1"/>
  <c r="I705" i="4" a="1"/>
  <c r="I705" i="4" s="1"/>
  <c r="N706" i="4" a="1"/>
  <c r="N706" i="4" s="1"/>
  <c r="S707" i="4" a="1"/>
  <c r="S707" i="4" s="1"/>
  <c r="I709" i="4" a="1"/>
  <c r="I709" i="4" s="1"/>
  <c r="N710" i="4" a="1"/>
  <c r="N710" i="4" s="1"/>
  <c r="S711" i="4" a="1"/>
  <c r="S711" i="4" s="1"/>
  <c r="I713" i="4" a="1"/>
  <c r="I713" i="4" s="1"/>
  <c r="S715" i="4" a="1"/>
  <c r="S715" i="4" s="1"/>
  <c r="I717" i="4" a="1"/>
  <c r="I717" i="4" s="1"/>
  <c r="I721" i="4" a="1"/>
  <c r="I721" i="4" s="1"/>
  <c r="N722" i="4" a="1"/>
  <c r="N722" i="4" s="1"/>
  <c r="I725" i="4" a="1"/>
  <c r="I725" i="4" s="1"/>
  <c r="N726" i="4" a="1"/>
  <c r="N726" i="4" s="1"/>
  <c r="S727" i="4" a="1"/>
  <c r="S727" i="4" s="1"/>
  <c r="I729" i="4" a="1"/>
  <c r="I729" i="4" s="1"/>
  <c r="N730" i="4" a="1"/>
  <c r="N730" i="4" s="1"/>
  <c r="S731" i="4" a="1"/>
  <c r="S731" i="4" s="1"/>
  <c r="I733" i="4" a="1"/>
  <c r="I733" i="4" s="1"/>
  <c r="N734" i="4" a="1"/>
  <c r="N734" i="4" s="1"/>
  <c r="I737" i="4" a="1"/>
  <c r="I737" i="4" s="1"/>
  <c r="N738" i="4" a="1"/>
  <c r="N738" i="4" s="1"/>
  <c r="I741" i="4" a="1"/>
  <c r="I741" i="4" s="1"/>
  <c r="S743" i="4" a="1"/>
  <c r="S743" i="4" s="1"/>
  <c r="I745" i="4" a="1"/>
  <c r="I745" i="4" s="1"/>
  <c r="N746" i="4" a="1"/>
  <c r="N746" i="4" s="1"/>
  <c r="S747" i="4" a="1"/>
  <c r="S747" i="4" s="1"/>
  <c r="I749" i="4" a="1"/>
  <c r="I749" i="4" s="1"/>
  <c r="N750" i="4" a="1"/>
  <c r="N750" i="4" s="1"/>
  <c r="S751" i="4" a="1"/>
  <c r="S751" i="4" s="1"/>
  <c r="I753" i="4" a="1"/>
  <c r="I753" i="4" s="1"/>
  <c r="S755" i="4" a="1"/>
  <c r="S755" i="4" s="1"/>
  <c r="I757" i="4" a="1"/>
  <c r="I757" i="4" s="1"/>
  <c r="N758" i="4" a="1"/>
  <c r="N758" i="4" s="1"/>
  <c r="S759" i="4" a="1"/>
  <c r="S759" i="4" s="1"/>
  <c r="S763" i="4" a="1"/>
  <c r="S763" i="4" s="1"/>
  <c r="I765" i="4" a="1"/>
  <c r="I765" i="4" s="1"/>
  <c r="N766" i="4" a="1"/>
  <c r="N766" i="4" s="1"/>
  <c r="S767" i="4" a="1"/>
  <c r="S767" i="4" s="1"/>
  <c r="I769" i="4" a="1"/>
  <c r="I769" i="4" s="1"/>
  <c r="N770" i="4" a="1"/>
  <c r="N770" i="4" s="1"/>
  <c r="S771" i="4" a="1"/>
  <c r="S771" i="4" s="1"/>
  <c r="N774" i="4" a="1"/>
  <c r="N774" i="4" s="1"/>
  <c r="S775" i="4" a="1"/>
  <c r="S775" i="4" s="1"/>
  <c r="N778" i="4" a="1"/>
  <c r="N778" i="4" s="1"/>
  <c r="I781" i="4" a="1"/>
  <c r="I781" i="4" s="1"/>
  <c r="N782" i="4" a="1"/>
  <c r="N782" i="4" s="1"/>
  <c r="S783" i="4" a="1"/>
  <c r="S783" i="4" s="1"/>
  <c r="I785" i="4" a="1"/>
  <c r="I785" i="4" s="1"/>
  <c r="N786" i="4" a="1"/>
  <c r="N786" i="4" s="1"/>
  <c r="I789" i="4" a="1"/>
  <c r="I789" i="4" s="1"/>
  <c r="N790" i="4" a="1"/>
  <c r="N790" i="4" s="1"/>
  <c r="S791" i="4" a="1"/>
  <c r="S791" i="4" s="1"/>
  <c r="N794" i="4" a="1"/>
  <c r="N794" i="4" s="1"/>
  <c r="S795" i="4" a="1"/>
  <c r="S795" i="4" s="1"/>
  <c r="I797" i="4" a="1"/>
  <c r="I797" i="4" s="1"/>
  <c r="N798" i="4" a="1"/>
  <c r="N798" i="4" s="1"/>
  <c r="S799" i="4" a="1"/>
  <c r="S799" i="4" s="1"/>
  <c r="N802" i="4" a="1"/>
  <c r="N802" i="4" s="1"/>
  <c r="S803" i="4" a="1"/>
  <c r="S803" i="4" s="1"/>
  <c r="I805" i="4" a="1"/>
  <c r="I805" i="4" s="1"/>
  <c r="N806" i="4" a="1"/>
  <c r="N806" i="4" s="1"/>
  <c r="I809" i="4" a="1"/>
  <c r="I809" i="4" s="1"/>
  <c r="N810" i="4" a="1"/>
  <c r="N810" i="4" s="1"/>
  <c r="S811" i="4" a="1"/>
  <c r="S811" i="4" s="1"/>
  <c r="I813" i="4" a="1"/>
  <c r="I813" i="4" s="1"/>
  <c r="N814" i="4" a="1"/>
  <c r="N814" i="4" s="1"/>
  <c r="S815" i="4" a="1"/>
  <c r="S815" i="4" s="1"/>
  <c r="N818" i="4" a="1"/>
  <c r="N818" i="4" s="1"/>
  <c r="S819" i="4" a="1"/>
  <c r="S819" i="4" s="1"/>
  <c r="N822" i="4" a="1"/>
  <c r="N822" i="4" s="1"/>
  <c r="S823" i="4" a="1"/>
  <c r="S823" i="4" s="1"/>
  <c r="I825" i="4" a="1"/>
  <c r="I825" i="4" s="1"/>
  <c r="N826" i="4" a="1"/>
  <c r="N826" i="4" s="1"/>
  <c r="S827" i="4" a="1"/>
  <c r="S827" i="4" s="1"/>
  <c r="I829" i="4" a="1"/>
  <c r="I829" i="4" s="1"/>
  <c r="N830" i="4" a="1"/>
  <c r="N830" i="4" s="1"/>
  <c r="S831" i="4" a="1"/>
  <c r="S831" i="4" s="1"/>
  <c r="I833" i="4" a="1"/>
  <c r="I833" i="4" s="1"/>
  <c r="S835" i="4" a="1"/>
  <c r="S835" i="4" s="1"/>
  <c r="N838" i="4" a="1"/>
  <c r="N838" i="4" s="1"/>
  <c r="S839" i="4" a="1"/>
  <c r="S839" i="4" s="1"/>
  <c r="I841" i="4" a="1"/>
  <c r="I841" i="4" s="1"/>
  <c r="N842" i="4" a="1"/>
  <c r="N842" i="4" s="1"/>
  <c r="S843" i="4" a="1"/>
  <c r="S843" i="4" s="1"/>
  <c r="I845" i="4" a="1"/>
  <c r="I845" i="4" s="1"/>
  <c r="N846" i="4" a="1"/>
  <c r="N846" i="4" s="1"/>
  <c r="S847" i="4" a="1"/>
  <c r="S847" i="4" s="1"/>
  <c r="N850" i="4" a="1"/>
  <c r="N850" i="4" s="1"/>
  <c r="S851" i="4" a="1"/>
  <c r="S851" i="4" s="1"/>
  <c r="I853" i="4" a="1"/>
  <c r="I853" i="4" s="1"/>
  <c r="S855" i="4" a="1"/>
  <c r="S855" i="4" s="1"/>
  <c r="S859" i="4" a="1"/>
  <c r="S859" i="4" s="1"/>
  <c r="I861" i="4" a="1"/>
  <c r="I861" i="4" s="1"/>
  <c r="N862" i="4" a="1"/>
  <c r="N862" i="4" s="1"/>
  <c r="I865" i="4" a="1"/>
  <c r="I865" i="4" s="1"/>
  <c r="N866" i="4" a="1"/>
  <c r="N866" i="4" s="1"/>
  <c r="S867" i="4" a="1"/>
  <c r="S867" i="4" s="1"/>
  <c r="I869" i="4" a="1"/>
  <c r="I869" i="4" s="1"/>
  <c r="N870" i="4" a="1"/>
  <c r="N870" i="4" s="1"/>
  <c r="S871" i="4" a="1"/>
  <c r="S871" i="4" s="1"/>
  <c r="I873" i="4" a="1"/>
  <c r="I873" i="4" s="1"/>
  <c r="I877" i="4" a="1"/>
  <c r="I877" i="4" s="1"/>
  <c r="N878" i="4" a="1"/>
  <c r="N878" i="4" s="1"/>
  <c r="S879" i="4" a="1"/>
  <c r="S879" i="4" s="1"/>
  <c r="I881" i="4" a="1"/>
  <c r="I881" i="4" s="1"/>
  <c r="N882" i="4" a="1"/>
  <c r="N882" i="4" s="1"/>
  <c r="S883" i="4" a="1"/>
  <c r="S883" i="4" s="1"/>
  <c r="I885" i="4" a="1"/>
  <c r="I885" i="4" s="1"/>
  <c r="I889" i="4" a="1"/>
  <c r="I889" i="4" s="1"/>
  <c r="N890" i="4" a="1"/>
  <c r="N890" i="4" s="1"/>
  <c r="S891" i="4" a="1"/>
  <c r="S891" i="4" s="1"/>
  <c r="I893" i="4" a="1"/>
  <c r="I893" i="4" s="1"/>
  <c r="N894" i="4" a="1"/>
  <c r="N894" i="4" s="1"/>
  <c r="I897" i="4" a="1"/>
  <c r="I897" i="4" s="1"/>
  <c r="N898" i="4" a="1"/>
  <c r="N898" i="4" s="1"/>
  <c r="S899" i="4" a="1"/>
  <c r="S899" i="4" s="1"/>
  <c r="I901" i="4" a="1"/>
  <c r="I901" i="4" s="1"/>
  <c r="N902" i="4" a="1"/>
  <c r="N902" i="4" s="1"/>
  <c r="S903" i="4" a="1"/>
  <c r="S903" i="4" s="1"/>
  <c r="N906" i="4" a="1"/>
  <c r="N906" i="4" s="1"/>
  <c r="S907" i="4" a="1"/>
  <c r="S907" i="4" s="1"/>
  <c r="N910" i="4" a="1"/>
  <c r="N910" i="4" s="1"/>
  <c r="S911" i="4" a="1"/>
  <c r="S911" i="4" s="1"/>
  <c r="I913" i="4" a="1"/>
  <c r="I913" i="4" s="1"/>
  <c r="S915" i="4" a="1"/>
  <c r="S915" i="4" s="1"/>
  <c r="I917" i="4" a="1"/>
  <c r="I917" i="4" s="1"/>
  <c r="N918" i="4" a="1"/>
  <c r="N918" i="4" s="1"/>
  <c r="S919" i="4" a="1"/>
  <c r="S919" i="4" s="1"/>
  <c r="I921" i="4" a="1"/>
  <c r="I921" i="4" s="1"/>
  <c r="N922" i="4" a="1"/>
  <c r="N922" i="4" s="1"/>
  <c r="S923" i="4" a="1"/>
  <c r="S923" i="4" s="1"/>
  <c r="I925" i="4" a="1"/>
  <c r="I925" i="4" s="1"/>
  <c r="N926" i="4" a="1"/>
  <c r="N926" i="4" s="1"/>
  <c r="S927" i="4" a="1"/>
  <c r="S927" i="4" s="1"/>
  <c r="I929" i="4" a="1"/>
  <c r="I929" i="4" s="1"/>
  <c r="N930" i="4" a="1"/>
  <c r="N930" i="4" s="1"/>
  <c r="I933" i="4" a="1"/>
  <c r="I933" i="4" s="1"/>
  <c r="N934" i="4" a="1"/>
  <c r="N934" i="4" s="1"/>
  <c r="S935" i="4" a="1"/>
  <c r="S935" i="4" s="1"/>
  <c r="I937" i="4" a="1"/>
  <c r="I937" i="4" s="1"/>
  <c r="N938" i="4" a="1"/>
  <c r="N938" i="4" s="1"/>
  <c r="I941" i="4" a="1"/>
  <c r="I941" i="4" s="1"/>
  <c r="S943" i="4" a="1"/>
  <c r="S943" i="4" s="1"/>
  <c r="I945" i="4" a="1"/>
  <c r="I945" i="4" s="1"/>
  <c r="N946" i="4" a="1"/>
  <c r="N946" i="4" s="1"/>
  <c r="S947" i="4" a="1"/>
  <c r="S947" i="4" s="1"/>
  <c r="I949" i="4" a="1"/>
  <c r="I949" i="4" s="1"/>
  <c r="N950" i="4" a="1"/>
  <c r="N950" i="4" s="1"/>
  <c r="I953" i="4" a="1"/>
  <c r="I953" i="4" s="1"/>
  <c r="N954" i="4" a="1"/>
  <c r="N954" i="4" s="1"/>
  <c r="S955" i="4" a="1"/>
  <c r="S955" i="4" s="1"/>
  <c r="I957" i="4" a="1"/>
  <c r="I957" i="4" s="1"/>
  <c r="N958" i="4" a="1"/>
  <c r="N958" i="4" s="1"/>
  <c r="S959" i="4" a="1"/>
  <c r="S959" i="4" s="1"/>
  <c r="I961" i="4" a="1"/>
  <c r="I961" i="4" s="1"/>
  <c r="N962" i="4" a="1"/>
  <c r="N962" i="4" s="1"/>
  <c r="I965" i="4" a="1"/>
  <c r="I965" i="4" s="1"/>
  <c r="N966" i="4" a="1"/>
  <c r="N966" i="4" s="1"/>
  <c r="I969" i="4" a="1"/>
  <c r="I969" i="4" s="1"/>
  <c r="N970" i="4" a="1"/>
  <c r="N970" i="4" s="1"/>
  <c r="S971" i="4" a="1"/>
  <c r="S971" i="4" s="1"/>
  <c r="I973" i="4" a="1"/>
  <c r="I973" i="4" s="1"/>
  <c r="S975" i="4" a="1"/>
  <c r="S975" i="4" s="1"/>
  <c r="N978" i="4" a="1"/>
  <c r="N978" i="4" s="1"/>
  <c r="S979" i="4" a="1"/>
  <c r="S979" i="4" s="1"/>
  <c r="I981" i="4" a="1"/>
  <c r="I981" i="4" s="1"/>
  <c r="N982" i="4" a="1"/>
  <c r="N982" i="4" s="1"/>
  <c r="S983" i="4" a="1"/>
  <c r="S983" i="4" s="1"/>
  <c r="I985" i="4" a="1"/>
  <c r="I985" i="4" s="1"/>
  <c r="S987" i="4" a="1"/>
  <c r="S987" i="4" s="1"/>
  <c r="I989" i="4" a="1"/>
  <c r="I989" i="4" s="1"/>
  <c r="N990" i="4" a="1"/>
  <c r="N990" i="4" s="1"/>
  <c r="S991" i="4" a="1"/>
  <c r="S991" i="4" s="1"/>
  <c r="I993" i="4" a="1"/>
  <c r="I993" i="4" s="1"/>
  <c r="N994" i="4" a="1"/>
  <c r="N994" i="4" s="1"/>
  <c r="S995" i="4" a="1"/>
  <c r="S995" i="4" s="1"/>
  <c r="N998" i="4" a="1"/>
  <c r="N998" i="4" s="1"/>
  <c r="S999" i="4" a="1"/>
  <c r="S999" i="4" s="1"/>
  <c r="I1001" i="4" a="1"/>
  <c r="I1001" i="4" s="1"/>
  <c r="N1002" i="4" a="1"/>
  <c r="N1002" i="4" s="1"/>
  <c r="S1003" i="4" a="1"/>
  <c r="S1003" i="4" s="1"/>
  <c r="I1005" i="4" a="1"/>
  <c r="I1005" i="4" s="1"/>
  <c r="N1006" i="4" a="1"/>
  <c r="N1006" i="4" s="1"/>
  <c r="S1007" i="4" a="1"/>
  <c r="S1007" i="4" s="1"/>
  <c r="I1009" i="4" a="1"/>
  <c r="I1009" i="4" s="1"/>
  <c r="S1011" i="4" a="1"/>
  <c r="S1011" i="4" s="1"/>
  <c r="I1013" i="4" a="1"/>
  <c r="I1013" i="4" s="1"/>
  <c r="N1014" i="4" a="1"/>
  <c r="N1014" i="4" s="1"/>
  <c r="S1015" i="4" a="1"/>
  <c r="S1015" i="4" s="1"/>
  <c r="I1017" i="4" a="1"/>
  <c r="I1017" i="4" s="1"/>
  <c r="S1019" i="4" a="1"/>
  <c r="S1019" i="4" s="1"/>
  <c r="N1022" i="4" a="1"/>
  <c r="N1022" i="4" s="1"/>
  <c r="S1023" i="4" a="1"/>
  <c r="S1023" i="4" s="1"/>
  <c r="I1025" i="4" a="1"/>
  <c r="I1025" i="4" s="1"/>
  <c r="N1026" i="4" a="1"/>
  <c r="N1026" i="4" s="1"/>
  <c r="I1029" i="4" a="1"/>
  <c r="I1029" i="4" s="1"/>
  <c r="N1030" i="4" a="1"/>
  <c r="N1030" i="4" s="1"/>
  <c r="S1031" i="4" a="1"/>
  <c r="S1031" i="4" s="1"/>
  <c r="I1033" i="4" a="1"/>
  <c r="I1033" i="4" s="1"/>
  <c r="N1034" i="4" a="1"/>
  <c r="N1034" i="4" s="1"/>
  <c r="I1037" i="4" a="1"/>
  <c r="I1037" i="4" s="1"/>
  <c r="N1038" i="4" a="1"/>
  <c r="N1038" i="4" s="1"/>
  <c r="S1039" i="4" a="1"/>
  <c r="S1039" i="4" s="1"/>
  <c r="I1041" i="4" a="1"/>
  <c r="I1041" i="4" s="1"/>
  <c r="N1042" i="4" a="1"/>
  <c r="N1042" i="4" s="1"/>
  <c r="S1043" i="4" a="1"/>
  <c r="S1043" i="4" s="1"/>
  <c r="I1045" i="4" a="1"/>
  <c r="I1045" i="4" s="1"/>
  <c r="N1046" i="4" a="1"/>
  <c r="N1046" i="4" s="1"/>
  <c r="I1049" i="4" a="1"/>
  <c r="I1049" i="4" s="1"/>
  <c r="N1050" i="4" a="1"/>
  <c r="N1050" i="4" s="1"/>
  <c r="S1051" i="4" a="1"/>
  <c r="S1051" i="4" s="1"/>
  <c r="I1053" i="4" a="1"/>
  <c r="I1053" i="4" s="1"/>
  <c r="S1055" i="4" a="1"/>
  <c r="S1055" i="4" s="1"/>
  <c r="I1057" i="4" a="1"/>
  <c r="I1057" i="4" s="1"/>
  <c r="N1058" i="4" a="1"/>
  <c r="N1058" i="4" s="1"/>
  <c r="S1059" i="4" a="1"/>
  <c r="S1059" i="4" s="1"/>
  <c r="N1062" i="4" a="1"/>
  <c r="N1062" i="4" s="1"/>
  <c r="S1063" i="4" a="1"/>
  <c r="S1063" i="4" s="1"/>
  <c r="I1065" i="4" a="1"/>
  <c r="I1065" i="4" s="1"/>
  <c r="N1066" i="4" a="1"/>
  <c r="N1066" i="4" s="1"/>
  <c r="I1069" i="4" a="1"/>
  <c r="I1069" i="4" s="1"/>
  <c r="N1070" i="4" a="1"/>
  <c r="N1070" i="4" s="1"/>
  <c r="S1071" i="4" a="1"/>
  <c r="S1071" i="4" s="1"/>
  <c r="I1073" i="4" a="1"/>
  <c r="I1073" i="4" s="1"/>
  <c r="N1074" i="4" a="1"/>
  <c r="N1074" i="4" s="1"/>
  <c r="S1075" i="4" a="1"/>
  <c r="S1075" i="4" s="1"/>
  <c r="I1077" i="4" a="1"/>
  <c r="I1077" i="4" s="1"/>
  <c r="N1078" i="4" a="1"/>
  <c r="N1078" i="4" s="1"/>
  <c r="S1079" i="4" a="1"/>
  <c r="S1079" i="4" s="1"/>
  <c r="I1081" i="4" a="1"/>
  <c r="I1081" i="4" s="1"/>
  <c r="N1082" i="4" a="1"/>
  <c r="N1082" i="4" s="1"/>
  <c r="S1083" i="4" a="1"/>
  <c r="S1083" i="4" s="1"/>
  <c r="I1085" i="4" a="1"/>
  <c r="I1085" i="4" s="1"/>
  <c r="N1086" i="4" a="1"/>
  <c r="N1086" i="4" s="1"/>
  <c r="S1087" i="4" a="1"/>
  <c r="S1087" i="4" s="1"/>
  <c r="I1089" i="4" a="1"/>
  <c r="I1089" i="4" s="1"/>
  <c r="N1090" i="4" a="1"/>
  <c r="N1090" i="4" s="1"/>
  <c r="I1093" i="4" a="1"/>
  <c r="I1093" i="4" s="1"/>
  <c r="S1095" i="4" a="1"/>
  <c r="S1095" i="4" s="1"/>
  <c r="I1097" i="4" a="1"/>
  <c r="I1097" i="4" s="1"/>
  <c r="N1098" i="4" a="1"/>
  <c r="N1098" i="4" s="1"/>
  <c r="S1099" i="4" a="1"/>
  <c r="S1099" i="4" s="1"/>
  <c r="I1101" i="4" a="1"/>
  <c r="I1101" i="4" s="1"/>
  <c r="N1102" i="4" a="1"/>
  <c r="N1102" i="4" s="1"/>
  <c r="I1105" i="4" a="1"/>
  <c r="I1105" i="4" s="1"/>
  <c r="N1106" i="4" a="1"/>
  <c r="N1106" i="4" s="1"/>
  <c r="S1107" i="4" a="1"/>
  <c r="S1107" i="4" s="1"/>
  <c r="I1109" i="4" a="1"/>
  <c r="I1109" i="4" s="1"/>
  <c r="N1110" i="4" a="1"/>
  <c r="N1110" i="4" s="1"/>
  <c r="S1111" i="4" a="1"/>
  <c r="S1111" i="4" s="1"/>
  <c r="N1114" i="4" a="1"/>
  <c r="N1114" i="4" s="1"/>
  <c r="S1115" i="4" a="1"/>
  <c r="S1115" i="4" s="1"/>
  <c r="I1117" i="4" a="1"/>
  <c r="I1117" i="4" s="1"/>
  <c r="N1118" i="4" a="1"/>
  <c r="N1118" i="4" s="1"/>
  <c r="S1119" i="4" a="1"/>
  <c r="S1119" i="4" s="1"/>
  <c r="N1122" i="4" a="1"/>
  <c r="N1122" i="4" s="1"/>
  <c r="S1123" i="4" a="1"/>
  <c r="S1123" i="4" s="1"/>
  <c r="I1125" i="4" a="1"/>
  <c r="I1125" i="4" s="1"/>
  <c r="I1129" i="4" a="1"/>
  <c r="I1129" i="4" s="1"/>
  <c r="N1130" i="4" a="1"/>
  <c r="N1130" i="4" s="1"/>
  <c r="S1131" i="4" a="1"/>
  <c r="S1131" i="4" s="1"/>
  <c r="I1133" i="4" a="1"/>
  <c r="I1133" i="4" s="1"/>
  <c r="N1134" i="4" a="1"/>
  <c r="N1134" i="4" s="1"/>
  <c r="S1135" i="4" a="1"/>
  <c r="S1135" i="4" s="1"/>
  <c r="I1137" i="4" a="1"/>
  <c r="I1137" i="4" s="1"/>
  <c r="N1138" i="4" a="1"/>
  <c r="N1138" i="4" s="1"/>
  <c r="I1141" i="4" a="1"/>
  <c r="I1141" i="4" s="1"/>
  <c r="N1142" i="4" a="1"/>
  <c r="N1142" i="4" s="1"/>
  <c r="I1145" i="4" a="1"/>
  <c r="I1145" i="4" s="1"/>
  <c r="S1151" i="4" a="1"/>
  <c r="S1151" i="4" s="1"/>
  <c r="N1154" i="4" a="1"/>
  <c r="N1154" i="4" s="1"/>
  <c r="S1155" i="4" a="1"/>
  <c r="S1155" i="4" s="1"/>
  <c r="I1157" i="4" a="1"/>
  <c r="I1157" i="4" s="1"/>
  <c r="N1158" i="4" a="1"/>
  <c r="N1158" i="4" s="1"/>
  <c r="I1161" i="4" a="1"/>
  <c r="I1161" i="4" s="1"/>
  <c r="S1171" i="4" a="1"/>
  <c r="S1171" i="4" s="1"/>
  <c r="N1178" i="4" a="1"/>
  <c r="N1178" i="4" s="1"/>
  <c r="N1182" i="4" a="1"/>
  <c r="N1182" i="4" s="1"/>
  <c r="S1187" i="4" a="1"/>
  <c r="S1187" i="4" s="1"/>
  <c r="N1194" i="4" a="1"/>
  <c r="N1194" i="4" s="1"/>
  <c r="S1195" i="4" a="1"/>
  <c r="S1195" i="4" s="1"/>
  <c r="N1198" i="4" a="1"/>
  <c r="N1198" i="4" s="1"/>
  <c r="S1199" i="4" a="1"/>
  <c r="S1199" i="4" s="1"/>
  <c r="N1202" i="4" a="1"/>
  <c r="N1202" i="4" s="1"/>
  <c r="S1203" i="4" a="1"/>
  <c r="S1203" i="4" s="1"/>
  <c r="I1213" i="4" a="1"/>
  <c r="I1213" i="4" s="1"/>
  <c r="I1217" i="4" a="1"/>
  <c r="I1217" i="4" s="1"/>
  <c r="N1218" i="4" a="1"/>
  <c r="N1218" i="4" s="1"/>
  <c r="S1219" i="4" a="1"/>
  <c r="S1219" i="4" s="1"/>
  <c r="I1225" i="4" a="1"/>
  <c r="I1225" i="4" s="1"/>
  <c r="N1226" i="4" a="1"/>
  <c r="N1226" i="4" s="1"/>
  <c r="S1227" i="4" a="1"/>
  <c r="S1227" i="4" s="1"/>
  <c r="S1231" i="4" a="1"/>
  <c r="S1231" i="4" s="1"/>
  <c r="I1237" i="4" a="1"/>
  <c r="I1237" i="4" s="1"/>
  <c r="I1241" i="4" a="1"/>
  <c r="I1241" i="4" s="1"/>
  <c r="I1245" i="4" a="1"/>
  <c r="I1245" i="4" s="1"/>
  <c r="S1247" i="4" a="1"/>
  <c r="S1247" i="4" s="1"/>
  <c r="S1251" i="4" a="1"/>
  <c r="S1251" i="4" s="1"/>
  <c r="N1262" i="4" a="1"/>
  <c r="N1262" i="4" s="1"/>
  <c r="I1265" i="4" a="1"/>
  <c r="I1265" i="4" s="1"/>
  <c r="N1266" i="4" a="1"/>
  <c r="N1266" i="4" s="1"/>
  <c r="I1269" i="4" a="1"/>
  <c r="I1269" i="4" s="1"/>
  <c r="I1273" i="4" a="1"/>
  <c r="I1273" i="4" s="1"/>
  <c r="N1274" i="4" a="1"/>
  <c r="N1274" i="4" s="1"/>
  <c r="I1289" i="4" a="1"/>
  <c r="I1289" i="4" s="1"/>
  <c r="N1290" i="4" a="1"/>
  <c r="N1290" i="4" s="1"/>
  <c r="N1294" i="4" a="1"/>
  <c r="N1294" i="4" s="1"/>
  <c r="N1298" i="4" a="1"/>
  <c r="N1298" i="4" s="1"/>
  <c r="S1299" i="4" a="1"/>
  <c r="S1299" i="4" s="1"/>
  <c r="N1302" i="4" a="1"/>
  <c r="N1302" i="4" s="1"/>
  <c r="I1305" i="4" a="1"/>
  <c r="I1305" i="4" s="1"/>
  <c r="N1306" i="4" a="1"/>
  <c r="N1306" i="4" s="1"/>
  <c r="S1311" i="4" a="1"/>
  <c r="S1311" i="4" s="1"/>
  <c r="N1322" i="4" a="1"/>
  <c r="N1322" i="4" s="1"/>
  <c r="I1337" i="4" a="1"/>
  <c r="I1337" i="4" s="1"/>
  <c r="N1346" i="4" a="1"/>
  <c r="N1346" i="4" s="1"/>
  <c r="N1350" i="4" a="1"/>
  <c r="N1350" i="4" s="1"/>
  <c r="S1351" i="4" a="1"/>
  <c r="S1351" i="4" s="1"/>
  <c r="N1354" i="4" a="1"/>
  <c r="N1354" i="4" s="1"/>
  <c r="I1369" i="4" a="1"/>
  <c r="I1369" i="4" s="1"/>
  <c r="N1370" i="4" a="1"/>
  <c r="N1370" i="4" s="1"/>
  <c r="N1374" i="4" a="1"/>
  <c r="N1374" i="4" s="1"/>
  <c r="I1381" i="4" a="1"/>
  <c r="I1381" i="4" s="1"/>
  <c r="N1390" i="4" a="1"/>
  <c r="N1390" i="4" s="1"/>
  <c r="S1391" i="4" a="1"/>
  <c r="S1391" i="4" s="1"/>
  <c r="S1403" i="4" a="1"/>
  <c r="S1403" i="4" s="1"/>
  <c r="N1414" i="4" a="1"/>
  <c r="N1414" i="4" s="1"/>
  <c r="I1433" i="4" a="1"/>
  <c r="I1433" i="4" s="1"/>
  <c r="I1437" i="4" a="1"/>
  <c r="I1437" i="4" s="1"/>
  <c r="I1445" i="4" a="1"/>
  <c r="I1445" i="4" s="1"/>
  <c r="S1447" i="4" a="1"/>
  <c r="S1447" i="4" s="1"/>
  <c r="N1498" i="4" a="1"/>
  <c r="N1498" i="4" s="1"/>
  <c r="N1562" i="4" a="1"/>
  <c r="N1562" i="4" s="1"/>
  <c r="I1565" i="4" a="1"/>
  <c r="I1565" i="4" s="1"/>
  <c r="S1615" i="4" a="1"/>
  <c r="S1615" i="4" s="1"/>
  <c r="N1618" i="4" a="1"/>
  <c r="N1618" i="4" s="1"/>
  <c r="S1675" i="4" a="1"/>
  <c r="S1675" i="4" s="1"/>
  <c r="S88" i="4" a="1"/>
  <c r="S88" i="4" s="1"/>
  <c r="N299" i="4" a="1"/>
  <c r="N299" i="4" s="1"/>
  <c r="W2000" i="2"/>
  <c r="W1675" i="2"/>
  <c r="W1435" i="2"/>
  <c r="W1235" i="2"/>
  <c r="W951" i="2"/>
  <c r="W1111" i="2"/>
  <c r="AB972" i="2"/>
  <c r="W1542" i="2"/>
  <c r="AB1093" i="2"/>
  <c r="W988" i="2"/>
  <c r="W1556" i="2"/>
  <c r="W1095" i="2"/>
  <c r="AB973" i="2"/>
  <c r="W856" i="2"/>
  <c r="W715" i="2"/>
  <c r="AB587" i="2"/>
  <c r="W894" i="2"/>
  <c r="AB737" i="2"/>
  <c r="AB628" i="2"/>
  <c r="W506" i="2"/>
  <c r="W816" i="2"/>
  <c r="W750" i="2"/>
  <c r="W623" i="2"/>
  <c r="W562" i="2"/>
  <c r="W890" i="2"/>
  <c r="AB810" i="2"/>
  <c r="AB753" i="2"/>
  <c r="W693" i="2"/>
  <c r="W618" i="2"/>
  <c r="AB557" i="2"/>
  <c r="W505" i="2"/>
  <c r="AB332" i="2"/>
  <c r="W267" i="2"/>
  <c r="AB188" i="2"/>
  <c r="W132" i="2"/>
  <c r="W482" i="2"/>
  <c r="W389" i="2"/>
  <c r="W321" i="2"/>
  <c r="AB265" i="2"/>
  <c r="W185" i="2"/>
  <c r="W119" i="2"/>
  <c r="AB477" i="2"/>
  <c r="AB419" i="2"/>
  <c r="AB389" i="2"/>
  <c r="AB364" i="2"/>
  <c r="AB346" i="2"/>
  <c r="W325" i="2"/>
  <c r="AB308" i="2"/>
  <c r="AB290" i="2"/>
  <c r="W272" i="2"/>
  <c r="W253" i="2"/>
  <c r="AB235" i="2"/>
  <c r="AB210" i="2"/>
  <c r="W192" i="2"/>
  <c r="W173" i="2"/>
  <c r="AB155" i="2"/>
  <c r="AB137" i="2"/>
  <c r="W116" i="2"/>
  <c r="AB96" i="2"/>
  <c r="W474" i="2"/>
  <c r="W447" i="2"/>
  <c r="AB426" i="2"/>
  <c r="AB407" i="2"/>
  <c r="AB386" i="2"/>
  <c r="AB348" i="2"/>
  <c r="AB327" i="2"/>
  <c r="W309" i="2"/>
  <c r="W291" i="2"/>
  <c r="W274" i="2"/>
  <c r="AB255" i="2"/>
  <c r="W236" i="2"/>
  <c r="AB216" i="2"/>
  <c r="O535" i="6"/>
  <c r="W1655" i="2"/>
  <c r="W1198" i="2"/>
  <c r="W1890" i="2"/>
  <c r="W1015" i="2"/>
  <c r="W1547" i="2"/>
  <c r="W1039" i="2"/>
  <c r="W905" i="2"/>
  <c r="W1192" i="2"/>
  <c r="W1059" i="2"/>
  <c r="AB922" i="2"/>
  <c r="W1196" i="2"/>
  <c r="W1040" i="2"/>
  <c r="W906" i="2"/>
  <c r="AB787" i="2"/>
  <c r="W661" i="2"/>
  <c r="AB518" i="2"/>
  <c r="AB811" i="2"/>
  <c r="AB703" i="2"/>
  <c r="AB558" i="2"/>
  <c r="AB883" i="2"/>
  <c r="AB788" i="2"/>
  <c r="W716" i="2"/>
  <c r="W663" i="2"/>
  <c r="AB596" i="2"/>
  <c r="W528" i="2"/>
  <c r="W844" i="2"/>
  <c r="W792" i="2"/>
  <c r="W720" i="2"/>
  <c r="W657" i="2"/>
  <c r="W592" i="2"/>
  <c r="AB523" i="2"/>
  <c r="W443" i="2"/>
  <c r="AB296" i="2"/>
  <c r="AB232" i="2"/>
  <c r="AB170" i="2"/>
  <c r="W92" i="2"/>
  <c r="AB429" i="2"/>
  <c r="AB360" i="2"/>
  <c r="W286" i="2"/>
  <c r="W229" i="2"/>
  <c r="AB158" i="2"/>
  <c r="W75" i="2"/>
  <c r="AB438" i="2"/>
  <c r="AB408" i="2"/>
  <c r="AB355" i="2"/>
  <c r="W335" i="2"/>
  <c r="W316" i="2"/>
  <c r="W299" i="2"/>
  <c r="AB281" i="2"/>
  <c r="W262" i="2"/>
  <c r="W244" i="2"/>
  <c r="W224" i="2"/>
  <c r="AB202" i="2"/>
  <c r="AB183" i="2"/>
  <c r="AB164" i="2"/>
  <c r="W145" i="2"/>
  <c r="W125" i="2"/>
  <c r="AB107" i="2"/>
  <c r="W494" i="2"/>
  <c r="W459" i="2"/>
  <c r="W435" i="2"/>
  <c r="AB416" i="2"/>
  <c r="AB398" i="2"/>
  <c r="AB376" i="2"/>
  <c r="W356" i="2"/>
  <c r="AB338" i="2"/>
  <c r="AB318" i="2"/>
  <c r="AB301" i="2"/>
  <c r="W282" i="2"/>
  <c r="AB264" i="2"/>
  <c r="AB246" i="2"/>
  <c r="AB228" i="2"/>
  <c r="W203" i="2"/>
  <c r="W184" i="2"/>
  <c r="W165" i="2"/>
  <c r="AB148" i="2"/>
  <c r="AB127" i="2"/>
  <c r="AB109" i="2"/>
  <c r="AB85" i="2"/>
  <c r="W68" i="2"/>
  <c r="W55" i="2"/>
  <c r="W32" i="2"/>
  <c r="W33" i="2"/>
  <c r="W35" i="2"/>
  <c r="AB55" i="2"/>
  <c r="AB24" i="2"/>
  <c r="W56" i="2"/>
  <c r="W25" i="2"/>
  <c r="AB41" i="2"/>
  <c r="W60" i="2"/>
  <c r="AB23" i="2"/>
  <c r="AB47" i="2"/>
  <c r="W72" i="2"/>
  <c r="W97" i="2"/>
  <c r="W122" i="2"/>
  <c r="W152" i="2"/>
  <c r="AB175" i="2"/>
  <c r="AB198" i="2"/>
  <c r="AB242" i="2"/>
  <c r="W278" i="2"/>
  <c r="W313" i="2"/>
  <c r="AB352" i="2"/>
  <c r="W390" i="2"/>
  <c r="AB430" i="2"/>
  <c r="W484" i="2"/>
  <c r="AB121" i="2"/>
  <c r="W159" i="2"/>
  <c r="W196" i="2"/>
  <c r="W240" i="2"/>
  <c r="AB277" i="2"/>
  <c r="AB312" i="2"/>
  <c r="W350" i="2"/>
  <c r="AB396" i="2"/>
  <c r="W65" i="2"/>
  <c r="W204" i="2"/>
  <c r="AB342" i="2"/>
  <c r="AB71" i="2"/>
  <c r="AB221" i="2"/>
  <c r="AB343" i="2"/>
  <c r="W515" i="2"/>
  <c r="W648" i="2"/>
  <c r="W762" i="2"/>
  <c r="AB519" i="2"/>
  <c r="W644" i="2"/>
  <c r="AB766" i="2"/>
  <c r="AB524" i="2"/>
  <c r="W793" i="2"/>
  <c r="W605" i="2"/>
  <c r="AB876" i="2"/>
  <c r="W1161" i="2"/>
  <c r="W1004" i="2"/>
  <c r="W889" i="2"/>
  <c r="W1240" i="2"/>
  <c r="W1394" i="2"/>
  <c r="W1506" i="2"/>
  <c r="N6" i="4" a="1"/>
  <c r="N6" i="4" s="1"/>
  <c r="F6" i="11" s="1"/>
  <c r="R3" i="4"/>
  <c r="G3" i="4"/>
  <c r="N5" i="4" a="1"/>
  <c r="N5" i="4" s="1"/>
  <c r="F5" i="11" s="1"/>
  <c r="N9" i="4" a="1"/>
  <c r="N9" i="4" s="1"/>
  <c r="E9" i="11" s="1"/>
  <c r="S10" i="4" a="1"/>
  <c r="S10" i="4" s="1"/>
  <c r="I12" i="4" a="1"/>
  <c r="I12" i="4" s="1"/>
  <c r="N17" i="4" a="1"/>
  <c r="N17" i="4" s="1"/>
  <c r="S22" i="4" a="1"/>
  <c r="S22" i="4" s="1"/>
  <c r="I28" i="4" a="1"/>
  <c r="I28" i="4" s="1"/>
  <c r="S30" i="4" a="1"/>
  <c r="S30" i="4" s="1"/>
  <c r="I32" i="4" a="1"/>
  <c r="I32" i="4" s="1"/>
  <c r="I36" i="4" a="1"/>
  <c r="I36" i="4" s="1"/>
  <c r="S38" i="4" a="1"/>
  <c r="S38" i="4" s="1"/>
  <c r="I44" i="4" a="1"/>
  <c r="I44" i="4" s="1"/>
  <c r="AB483" i="10" s="1"/>
  <c r="S46" i="4" a="1"/>
  <c r="S46" i="4" s="1"/>
  <c r="N49" i="4" a="1"/>
  <c r="N49" i="4" s="1"/>
  <c r="I52" i="4" a="1"/>
  <c r="I52" i="4" s="1"/>
  <c r="W201" i="10" s="1"/>
  <c r="N53" i="4" a="1"/>
  <c r="N53" i="4" s="1"/>
  <c r="I60" i="4" a="1"/>
  <c r="I60" i="4" s="1"/>
  <c r="S62" i="4" a="1"/>
  <c r="S62" i="4" s="1"/>
  <c r="N65" i="4" a="1"/>
  <c r="N65" i="4" s="1"/>
  <c r="N69" i="4" a="1"/>
  <c r="N69" i="4" s="1"/>
  <c r="S70" i="4" a="1"/>
  <c r="S70" i="4" s="1"/>
  <c r="N73" i="4" a="1"/>
  <c r="N73" i="4" s="1"/>
  <c r="S74" i="4" a="1"/>
  <c r="S74" i="4" s="1"/>
  <c r="N81" i="4" a="1"/>
  <c r="N81" i="4" s="1"/>
  <c r="S86" i="4" a="1"/>
  <c r="S86" i="4" s="1"/>
  <c r="N89" i="4" a="1"/>
  <c r="N89" i="4" s="1"/>
  <c r="I92" i="4" a="1"/>
  <c r="I92" i="4" s="1"/>
  <c r="W317" i="10" s="1"/>
  <c r="S94" i="4" a="1"/>
  <c r="S94" i="4" s="1"/>
  <c r="I96" i="4" a="1"/>
  <c r="I96" i="4" s="1"/>
  <c r="W417" i="10" s="1"/>
  <c r="N97" i="4" a="1"/>
  <c r="N97" i="4" s="1"/>
  <c r="S102" i="4" a="1"/>
  <c r="S102" i="4" s="1"/>
  <c r="N105" i="4" a="1"/>
  <c r="N105" i="4" s="1"/>
  <c r="I108" i="4" a="1"/>
  <c r="I108" i="4" s="1"/>
  <c r="I112" i="4" a="1"/>
  <c r="I112" i="4" s="1"/>
  <c r="W101" i="10" s="1"/>
  <c r="N113" i="4" a="1"/>
  <c r="N113" i="4" s="1"/>
  <c r="I116" i="4" a="1"/>
  <c r="I116" i="4" s="1"/>
  <c r="N117" i="4" a="1"/>
  <c r="N117" i="4" s="1"/>
  <c r="I124" i="4" a="1"/>
  <c r="I124" i="4" s="1"/>
  <c r="N129" i="4" a="1"/>
  <c r="N129" i="4" s="1"/>
  <c r="I132" i="4" a="1"/>
  <c r="I132" i="4" s="1"/>
  <c r="F132" i="11" s="1"/>
  <c r="N133" i="4" a="1"/>
  <c r="N133" i="4" s="1"/>
  <c r="S134" i="4" a="1"/>
  <c r="S134" i="4" s="1"/>
  <c r="N137" i="4" a="1"/>
  <c r="N137" i="4" s="1"/>
  <c r="S138" i="4" a="1"/>
  <c r="S138" i="4" s="1"/>
  <c r="I140" i="4" a="1"/>
  <c r="I140" i="4" s="1"/>
  <c r="W1725" i="10" s="1"/>
  <c r="N145" i="4" a="1"/>
  <c r="N145" i="4" s="1"/>
  <c r="S150" i="4" a="1"/>
  <c r="S150" i="4" s="1"/>
  <c r="N153" i="4" a="1"/>
  <c r="N153" i="4" s="1"/>
  <c r="S154" i="4" a="1"/>
  <c r="S154" i="4" s="1"/>
  <c r="I156" i="4" a="1"/>
  <c r="I156" i="4" s="1"/>
  <c r="W1737" i="10" s="1"/>
  <c r="S158" i="4" a="1"/>
  <c r="S158" i="4" s="1"/>
  <c r="I160" i="4" a="1"/>
  <c r="I160" i="4" s="1"/>
  <c r="N161" i="4" a="1"/>
  <c r="N161" i="4" s="1"/>
  <c r="S166" i="4" a="1"/>
  <c r="S166" i="4" s="1"/>
  <c r="I172" i="4" a="1"/>
  <c r="I172" i="4" s="1"/>
  <c r="N341" i="4" a="1"/>
  <c r="N341" i="4" s="1"/>
  <c r="S174" i="4" a="1"/>
  <c r="S174" i="4" s="1"/>
  <c r="I176" i="4" a="1"/>
  <c r="I176" i="4" s="1"/>
  <c r="N177" i="4" a="1"/>
  <c r="N177" i="4" s="1"/>
  <c r="I180" i="4" a="1"/>
  <c r="I180" i="4" s="1"/>
  <c r="N181" i="4" a="1"/>
  <c r="N181" i="4" s="1"/>
  <c r="S182" i="4" a="1"/>
  <c r="S182" i="4" s="1"/>
  <c r="I188" i="4" a="1"/>
  <c r="I188" i="4" s="1"/>
  <c r="S190" i="4" a="1"/>
  <c r="S190" i="4" s="1"/>
  <c r="N193" i="4" a="1"/>
  <c r="N193" i="4" s="1"/>
  <c r="I196" i="4" a="1"/>
  <c r="I196" i="4" s="1"/>
  <c r="N197" i="4" a="1"/>
  <c r="N197" i="4" s="1"/>
  <c r="S198" i="4" a="1"/>
  <c r="S198" i="4" s="1"/>
  <c r="N201" i="4" a="1"/>
  <c r="N201" i="4" s="1"/>
  <c r="S202" i="4" a="1"/>
  <c r="S202" i="4" s="1"/>
  <c r="I204" i="4" a="1"/>
  <c r="I204" i="4" s="1"/>
  <c r="N209" i="4" a="1"/>
  <c r="N209" i="4" s="1"/>
  <c r="S214" i="4" a="1"/>
  <c r="S214" i="4" s="1"/>
  <c r="N217" i="4" a="1"/>
  <c r="N217" i="4" s="1"/>
  <c r="S218" i="4" a="1"/>
  <c r="S218" i="4" s="1"/>
  <c r="I220" i="4" a="1"/>
  <c r="I220" i="4" s="1"/>
  <c r="S222" i="4" a="1"/>
  <c r="S222" i="4" s="1"/>
  <c r="I224" i="4" a="1"/>
  <c r="I224" i="4" s="1"/>
  <c r="N225" i="4" a="1"/>
  <c r="N225" i="4" s="1"/>
  <c r="I228" i="4" a="1"/>
  <c r="I228" i="4" s="1"/>
  <c r="N229" i="4" a="1"/>
  <c r="N229" i="4" s="1"/>
  <c r="S230" i="4" a="1"/>
  <c r="S230" i="4" s="1"/>
  <c r="I236" i="4" a="1"/>
  <c r="I236" i="4" s="1"/>
  <c r="S238" i="4" a="1"/>
  <c r="S238" i="4" s="1"/>
  <c r="N241" i="4" a="1"/>
  <c r="N241" i="4" s="1"/>
  <c r="I244" i="4" a="1"/>
  <c r="I244" i="4" s="1"/>
  <c r="N245" i="4" a="1"/>
  <c r="N245" i="4" s="1"/>
  <c r="S246" i="4" a="1"/>
  <c r="S246" i="4" s="1"/>
  <c r="N249" i="4" a="1"/>
  <c r="N249" i="4" s="1"/>
  <c r="S250" i="4" a="1"/>
  <c r="S250" i="4" s="1"/>
  <c r="N257" i="4" a="1"/>
  <c r="N257" i="4" s="1"/>
  <c r="I260" i="4" a="1"/>
  <c r="I260" i="4" s="1"/>
  <c r="W1754" i="10" s="1"/>
  <c r="N261" i="4" a="1"/>
  <c r="N261" i="4" s="1"/>
  <c r="S262" i="4" a="1"/>
  <c r="S262" i="4" s="1"/>
  <c r="N265" i="4" a="1"/>
  <c r="N265" i="4" s="1"/>
  <c r="S266" i="4" a="1"/>
  <c r="S266" i="4" s="1"/>
  <c r="I268" i="4" a="1"/>
  <c r="I268" i="4" s="1"/>
  <c r="S270" i="4" a="1"/>
  <c r="S270" i="4" s="1"/>
  <c r="I272" i="4" a="1"/>
  <c r="I272" i="4" s="1"/>
  <c r="N273" i="4" a="1"/>
  <c r="N273" i="4" s="1"/>
  <c r="I276" i="4" a="1"/>
  <c r="I276" i="4" s="1"/>
  <c r="N277" i="4" a="1"/>
  <c r="N277" i="4" s="1"/>
  <c r="S278" i="4" a="1"/>
  <c r="S278" i="4" s="1"/>
  <c r="N281" i="4" a="1"/>
  <c r="N281" i="4" s="1"/>
  <c r="S282" i="4" a="1"/>
  <c r="S282" i="4" s="1"/>
  <c r="I284" i="4" a="1"/>
  <c r="I284" i="4" s="1"/>
  <c r="S286" i="4" a="1"/>
  <c r="S286" i="4" s="1"/>
  <c r="I288" i="4" a="1"/>
  <c r="I288" i="4" s="1"/>
  <c r="N289" i="4" a="1"/>
  <c r="N289" i="4" s="1"/>
  <c r="I292" i="4" a="1"/>
  <c r="I292" i="4" s="1"/>
  <c r="N293" i="4" a="1"/>
  <c r="N293" i="4" s="1"/>
  <c r="S298" i="4" a="1"/>
  <c r="S298" i="4" s="1"/>
  <c r="I300" i="4" a="1"/>
  <c r="I300" i="4" s="1"/>
  <c r="S302" i="4" a="1"/>
  <c r="S302" i="4" s="1"/>
  <c r="I304" i="4" a="1"/>
  <c r="I304" i="4" s="1"/>
  <c r="N305" i="4" a="1"/>
  <c r="N305" i="4" s="1"/>
  <c r="I308" i="4" a="1"/>
  <c r="I308" i="4" s="1"/>
  <c r="N309" i="4" a="1"/>
  <c r="N309" i="4" s="1"/>
  <c r="S310" i="4" a="1"/>
  <c r="S310" i="4" s="1"/>
  <c r="N313" i="4" a="1"/>
  <c r="N313" i="4" s="1"/>
  <c r="S314" i="4" a="1"/>
  <c r="S314" i="4" s="1"/>
  <c r="I316" i="4" a="1"/>
  <c r="I316" i="4" s="1"/>
  <c r="S318" i="4" a="1"/>
  <c r="S318" i="4" s="1"/>
  <c r="N321" i="4" a="1"/>
  <c r="N321" i="4" s="1"/>
  <c r="N325" i="4" a="1"/>
  <c r="N325" i="4" s="1"/>
  <c r="S326" i="4" a="1"/>
  <c r="S326" i="4" s="1"/>
  <c r="N329" i="4" a="1"/>
  <c r="N329" i="4" s="1"/>
  <c r="S330" i="4" a="1"/>
  <c r="S330" i="4" s="1"/>
  <c r="I332" i="4" a="1"/>
  <c r="I332" i="4" s="1"/>
  <c r="S334" i="4" a="1"/>
  <c r="S334" i="4" s="1"/>
  <c r="I336" i="4" a="1"/>
  <c r="I336" i="4" s="1"/>
  <c r="I340" i="4" a="1"/>
  <c r="I340" i="4" s="1"/>
  <c r="S342" i="4" a="1"/>
  <c r="S342" i="4" s="1"/>
  <c r="N345" i="4" a="1"/>
  <c r="N345" i="4" s="1"/>
  <c r="I348" i="4" a="1"/>
  <c r="I348" i="4" s="1"/>
  <c r="S350" i="4" a="1"/>
  <c r="S350" i="4" s="1"/>
  <c r="I352" i="4" a="1"/>
  <c r="I352" i="4" s="1"/>
  <c r="N353" i="4" a="1"/>
  <c r="N353" i="4" s="1"/>
  <c r="E384" i="11" s="1"/>
  <c r="I356" i="4" a="1"/>
  <c r="I356" i="4" s="1"/>
  <c r="N357" i="4" a="1"/>
  <c r="N357" i="4" s="1"/>
  <c r="S358" i="4" a="1"/>
  <c r="S358" i="4" s="1"/>
  <c r="N7" i="4" a="1"/>
  <c r="N7" i="4" s="1"/>
  <c r="S7" i="4" a="1"/>
  <c r="S7" i="4" s="1"/>
  <c r="I9" i="4" a="1"/>
  <c r="I9" i="4" s="1"/>
  <c r="AB122" i="10" s="1"/>
  <c r="I10" i="4" a="1"/>
  <c r="I10" i="4" s="1"/>
  <c r="AB90" i="10" s="1"/>
  <c r="S12" i="4" a="1"/>
  <c r="S12" i="4" s="1"/>
  <c r="I14" i="4" a="1"/>
  <c r="I14" i="4" s="1"/>
  <c r="N15" i="4" a="1"/>
  <c r="N15" i="4" s="1"/>
  <c r="S15" i="4" a="1"/>
  <c r="S15" i="4" s="1"/>
  <c r="S16" i="4" a="1"/>
  <c r="S16" i="4" s="1"/>
  <c r="I17" i="4" a="1"/>
  <c r="I17" i="4" s="1"/>
  <c r="N19" i="4" a="1"/>
  <c r="N19" i="4" s="1"/>
  <c r="S20" i="4" a="1"/>
  <c r="S20" i="4" s="1"/>
  <c r="I21" i="4" a="1"/>
  <c r="I21" i="4" s="1"/>
  <c r="I22" i="4" a="1"/>
  <c r="I22" i="4" s="1"/>
  <c r="N22" i="4" a="1"/>
  <c r="N22" i="4" s="1"/>
  <c r="F24" i="11" s="1"/>
  <c r="S24" i="4" a="1"/>
  <c r="S24" i="4" s="1"/>
  <c r="I25" i="4" a="1"/>
  <c r="I25" i="4" s="1"/>
  <c r="I26" i="4" a="1"/>
  <c r="I26" i="4" s="1"/>
  <c r="N26" i="4" a="1"/>
  <c r="N26" i="4" s="1"/>
  <c r="N27" i="4" a="1"/>
  <c r="N27" i="4" s="1"/>
  <c r="S28" i="4" a="1"/>
  <c r="S28" i="4" s="1"/>
  <c r="I30" i="4" a="1"/>
  <c r="I30" i="4" s="1"/>
  <c r="AB225" i="10" s="1"/>
  <c r="N31" i="4" a="1"/>
  <c r="N31" i="4" s="1"/>
  <c r="S32" i="4" a="1"/>
  <c r="S32" i="4" s="1"/>
  <c r="I33" i="4" a="1"/>
  <c r="I33" i="4" s="1"/>
  <c r="N35" i="4" a="1"/>
  <c r="N35" i="4" s="1"/>
  <c r="S36" i="4" a="1"/>
  <c r="S36" i="4" s="1"/>
  <c r="I37" i="4" a="1"/>
  <c r="I37" i="4" s="1"/>
  <c r="AB323" i="10" s="1"/>
  <c r="I38" i="4" a="1"/>
  <c r="I38" i="4" s="1"/>
  <c r="N39" i="4" a="1"/>
  <c r="N39" i="4" s="1"/>
  <c r="S40" i="4" a="1"/>
  <c r="S40" i="4" s="1"/>
  <c r="I42" i="4" a="1"/>
  <c r="I42" i="4" s="1"/>
  <c r="N42" i="4" a="1"/>
  <c r="N42" i="4" s="1"/>
  <c r="N43" i="4" a="1"/>
  <c r="N43" i="4" s="1"/>
  <c r="S44" i="4" a="1"/>
  <c r="S44" i="4" s="1"/>
  <c r="I46" i="4" a="1"/>
  <c r="I46" i="4" s="1"/>
  <c r="E46" i="11" s="1"/>
  <c r="N47" i="4" a="1"/>
  <c r="N47" i="4" s="1"/>
  <c r="S47" i="4" a="1"/>
  <c r="S47" i="4" s="1"/>
  <c r="S48" i="4" a="1"/>
  <c r="S48" i="4" s="1"/>
  <c r="I50" i="4" a="1"/>
  <c r="I50" i="4" s="1"/>
  <c r="S51" i="4" a="1"/>
  <c r="S51" i="4" s="1"/>
  <c r="N54" i="4" a="1"/>
  <c r="N54" i="4" s="1"/>
  <c r="N55" i="4" a="1"/>
  <c r="N55" i="4" s="1"/>
  <c r="S55" i="4" a="1"/>
  <c r="S55" i="4" s="1"/>
  <c r="I58" i="4" a="1"/>
  <c r="I58" i="4" s="1"/>
  <c r="N58" i="4" a="1"/>
  <c r="N58" i="4" s="1"/>
  <c r="I62" i="4" a="1"/>
  <c r="I62" i="4" s="1"/>
  <c r="AB673" i="10" s="1"/>
  <c r="N63" i="4" a="1"/>
  <c r="N63" i="4" s="1"/>
  <c r="S63" i="4" a="1"/>
  <c r="S63" i="4" s="1"/>
  <c r="S64" i="4" a="1"/>
  <c r="S64" i="4" s="1"/>
  <c r="N66" i="4" a="1"/>
  <c r="N66" i="4" s="1"/>
  <c r="N67" i="4" a="1"/>
  <c r="N67" i="4" s="1"/>
  <c r="S68" i="4" a="1"/>
  <c r="S68" i="4" s="1"/>
  <c r="I69" i="4" a="1"/>
  <c r="I69" i="4" s="1"/>
  <c r="I70" i="4" a="1"/>
  <c r="I70" i="4" s="1"/>
  <c r="N71" i="4" a="1"/>
  <c r="N71" i="4" s="1"/>
  <c r="S75" i="4" a="1"/>
  <c r="S75" i="4" s="1"/>
  <c r="N79" i="4" a="1"/>
  <c r="N79" i="4" s="1"/>
  <c r="S79" i="4" a="1"/>
  <c r="S79" i="4" s="1"/>
  <c r="S80" i="4" a="1"/>
  <c r="S80" i="4" s="1"/>
  <c r="I81" i="4" a="1"/>
  <c r="I81" i="4" s="1"/>
  <c r="I82" i="4" a="1"/>
  <c r="I82" i="4" s="1"/>
  <c r="N83" i="4" a="1"/>
  <c r="N83" i="4" s="1"/>
  <c r="S83" i="4" a="1"/>
  <c r="S83" i="4" s="1"/>
  <c r="S84" i="4" a="1"/>
  <c r="S84" i="4" s="1"/>
  <c r="I85" i="4" a="1"/>
  <c r="I85" i="4" s="1"/>
  <c r="I86" i="4" a="1"/>
  <c r="I86" i="4" s="1"/>
  <c r="N87" i="4" a="1"/>
  <c r="N87" i="4" s="1"/>
  <c r="I90" i="4" a="1"/>
  <c r="I90" i="4" s="1"/>
  <c r="N90" i="4" a="1"/>
  <c r="N90" i="4" s="1"/>
  <c r="E96" i="11" s="1"/>
  <c r="N91" i="4" a="1"/>
  <c r="N91" i="4" s="1"/>
  <c r="S92" i="4" a="1"/>
  <c r="S92" i="4" s="1"/>
  <c r="S96" i="4" a="1"/>
  <c r="S96" i="4" s="1"/>
  <c r="I97" i="4" a="1"/>
  <c r="I97" i="4" s="1"/>
  <c r="E97" i="11" s="1"/>
  <c r="N99" i="4" a="1"/>
  <c r="N99" i="4" s="1"/>
  <c r="S100" i="4" a="1"/>
  <c r="S100" i="4" s="1"/>
  <c r="I101" i="4" a="1"/>
  <c r="I101" i="4" s="1"/>
  <c r="I102" i="4" a="1"/>
  <c r="I102" i="4" s="1"/>
  <c r="N103" i="4" a="1"/>
  <c r="N103" i="4" s="1"/>
  <c r="S104" i="4" a="1"/>
  <c r="S104" i="4" s="1"/>
  <c r="I105" i="4" a="1"/>
  <c r="I105" i="4" s="1"/>
  <c r="W981" i="10" s="1"/>
  <c r="I106" i="4" a="1"/>
  <c r="I106" i="4" s="1"/>
  <c r="N107" i="4" a="1"/>
  <c r="N107" i="4" s="1"/>
  <c r="S107" i="4" a="1"/>
  <c r="S107" i="4" s="1"/>
  <c r="S108" i="4" a="1"/>
  <c r="S108" i="4" s="1"/>
  <c r="I110" i="4" a="1"/>
  <c r="I110" i="4" s="1"/>
  <c r="N111" i="4" a="1"/>
  <c r="N111" i="4" s="1"/>
  <c r="S111" i="4" a="1"/>
  <c r="S111" i="4" s="1"/>
  <c r="S112" i="4" a="1"/>
  <c r="S112" i="4" s="1"/>
  <c r="I114" i="4" a="1"/>
  <c r="I114" i="4" s="1"/>
  <c r="I118" i="4" a="1"/>
  <c r="I118" i="4" s="1"/>
  <c r="N118" i="4" a="1"/>
  <c r="N118" i="4" s="1"/>
  <c r="S119" i="4" a="1"/>
  <c r="S119" i="4" s="1"/>
  <c r="I122" i="4" a="1"/>
  <c r="I122" i="4" s="1"/>
  <c r="N122" i="4" a="1"/>
  <c r="N122" i="4" s="1"/>
  <c r="N123" i="4" a="1"/>
  <c r="N123" i="4" s="1"/>
  <c r="I126" i="4" a="1"/>
  <c r="I126" i="4" s="1"/>
  <c r="N127" i="4" a="1"/>
  <c r="N127" i="4" s="1"/>
  <c r="S127" i="4" a="1"/>
  <c r="S127" i="4" s="1"/>
  <c r="S128" i="4" a="1"/>
  <c r="S128" i="4" s="1"/>
  <c r="I129" i="4" a="1"/>
  <c r="I129" i="4" s="1"/>
  <c r="AB1069" i="10" s="1"/>
  <c r="I130" i="4" a="1"/>
  <c r="I130" i="4" s="1"/>
  <c r="S132" i="4" a="1"/>
  <c r="S132" i="4" s="1"/>
  <c r="I133" i="4" a="1"/>
  <c r="I133" i="4" s="1"/>
  <c r="W372" i="10" s="1"/>
  <c r="I134" i="4" a="1"/>
  <c r="I134" i="4" s="1"/>
  <c r="E135" i="11" s="1"/>
  <c r="N135" i="4" a="1"/>
  <c r="N135" i="4" s="1"/>
  <c r="S135" i="4" a="1"/>
  <c r="S135" i="4" s="1"/>
  <c r="N139" i="4" a="1"/>
  <c r="N139" i="4" s="1"/>
  <c r="S139" i="4" a="1"/>
  <c r="S139" i="4" s="1"/>
  <c r="I141" i="4" a="1"/>
  <c r="I141" i="4" s="1"/>
  <c r="I142" i="4" a="1"/>
  <c r="I142" i="4" s="1"/>
  <c r="N143" i="4" a="1"/>
  <c r="N143" i="4" s="1"/>
  <c r="S143" i="4" a="1"/>
  <c r="S143" i="4" s="1"/>
  <c r="I145" i="4" a="1"/>
  <c r="I145" i="4" s="1"/>
  <c r="N147" i="4" a="1"/>
  <c r="N147" i="4" s="1"/>
  <c r="S147" i="4" a="1"/>
  <c r="S147" i="4" s="1"/>
  <c r="S148" i="4" a="1"/>
  <c r="S148" i="4" s="1"/>
  <c r="I149" i="4" a="1"/>
  <c r="I149" i="4" s="1"/>
  <c r="I150" i="4" a="1"/>
  <c r="I150" i="4" s="1"/>
  <c r="N150" i="4" a="1"/>
  <c r="N150" i="4" s="1"/>
  <c r="N151" i="4" a="1"/>
  <c r="N151" i="4" s="1"/>
  <c r="I154" i="4" a="1"/>
  <c r="I154" i="4" s="1"/>
  <c r="N154" i="4" a="1"/>
  <c r="N154" i="4" s="1"/>
  <c r="N155" i="4" a="1"/>
  <c r="N155" i="4" s="1"/>
  <c r="S155" i="4" a="1"/>
  <c r="S155" i="4" s="1"/>
  <c r="N159" i="4" a="1"/>
  <c r="N159" i="4" s="1"/>
  <c r="I161" i="4" a="1"/>
  <c r="I161" i="4" s="1"/>
  <c r="N162" i="4" a="1"/>
  <c r="N162" i="4" s="1"/>
  <c r="N163" i="4" a="1"/>
  <c r="N163" i="4" s="1"/>
  <c r="S164" i="4" a="1"/>
  <c r="S164" i="4" s="1"/>
  <c r="I165" i="4" a="1"/>
  <c r="I165" i="4" s="1"/>
  <c r="I166" i="4" a="1"/>
  <c r="I166" i="4" s="1"/>
  <c r="N166" i="4" a="1"/>
  <c r="N166" i="4" s="1"/>
  <c r="N167" i="4" a="1"/>
  <c r="N167" i="4" s="1"/>
  <c r="S168" i="4" a="1"/>
  <c r="S168" i="4" s="1"/>
  <c r="I169" i="4" a="1"/>
  <c r="I169" i="4" s="1"/>
  <c r="N170" i="4" a="1"/>
  <c r="N170" i="4" s="1"/>
  <c r="N171" i="4" a="1"/>
  <c r="N171" i="4" s="1"/>
  <c r="S171" i="4" a="1"/>
  <c r="S171" i="4" s="1"/>
  <c r="S172" i="4" a="1"/>
  <c r="S172" i="4" s="1"/>
  <c r="S175" i="4" a="1"/>
  <c r="S175" i="4" s="1"/>
  <c r="S176" i="4" a="1"/>
  <c r="S176" i="4" s="1"/>
  <c r="I178" i="4" a="1"/>
  <c r="I178" i="4" s="1"/>
  <c r="W1712" i="10" s="1"/>
  <c r="S180" i="4" a="1"/>
  <c r="S180" i="4" s="1"/>
  <c r="N182" i="4" a="1"/>
  <c r="N182" i="4" s="1"/>
  <c r="N183" i="4" a="1"/>
  <c r="N183" i="4" s="1"/>
  <c r="S183" i="4" a="1"/>
  <c r="S183" i="4" s="1"/>
  <c r="S184" i="4" a="1"/>
  <c r="S184" i="4" s="1"/>
  <c r="I186" i="4" a="1"/>
  <c r="I186" i="4" s="1"/>
  <c r="N186" i="4" a="1"/>
  <c r="N186" i="4" s="1"/>
  <c r="N187" i="4" a="1"/>
  <c r="N187" i="4" s="1"/>
  <c r="S187" i="4" a="1"/>
  <c r="S187" i="4" s="1"/>
  <c r="I189" i="4" a="1"/>
  <c r="I189" i="4" s="1"/>
  <c r="AB1067" i="10" s="1"/>
  <c r="I190" i="4" a="1"/>
  <c r="I190" i="4" s="1"/>
  <c r="N190" i="4" a="1"/>
  <c r="N190" i="4" s="1"/>
  <c r="N191" i="4" a="1"/>
  <c r="N191" i="4" s="1"/>
  <c r="S191" i="4" a="1"/>
  <c r="S191" i="4" s="1"/>
  <c r="S192" i="4" a="1"/>
  <c r="S192" i="4" s="1"/>
  <c r="I193" i="4" a="1"/>
  <c r="I193" i="4" s="1"/>
  <c r="I194" i="4" a="1"/>
  <c r="I194" i="4" s="1"/>
  <c r="N195" i="4" a="1"/>
  <c r="N195" i="4" s="1"/>
  <c r="S196" i="4" a="1"/>
  <c r="S196" i="4" s="1"/>
  <c r="I197" i="4" a="1"/>
  <c r="I197" i="4" s="1"/>
  <c r="I198" i="4" a="1"/>
  <c r="I198" i="4" s="1"/>
  <c r="I202" i="4" a="1"/>
  <c r="I202" i="4" s="1"/>
  <c r="AB717" i="10" s="1"/>
  <c r="N203" i="4" a="1"/>
  <c r="N203" i="4" s="1"/>
  <c r="S203" i="4" a="1"/>
  <c r="S203" i="4" s="1"/>
  <c r="S204" i="4" a="1"/>
  <c r="S204" i="4" s="1"/>
  <c r="I205" i="4" a="1"/>
  <c r="I205" i="4" s="1"/>
  <c r="I206" i="4" a="1"/>
  <c r="I206" i="4" s="1"/>
  <c r="N206" i="4" a="1"/>
  <c r="N206" i="4" s="1"/>
  <c r="N207" i="4" a="1"/>
  <c r="N207" i="4" s="1"/>
  <c r="S207" i="4" a="1"/>
  <c r="S207" i="4" s="1"/>
  <c r="S208" i="4" a="1"/>
  <c r="S208" i="4" s="1"/>
  <c r="I209" i="4" a="1"/>
  <c r="I209" i="4" s="1"/>
  <c r="E211" i="11" s="1"/>
  <c r="N211" i="4" a="1"/>
  <c r="N211" i="4" s="1"/>
  <c r="S211" i="4" a="1"/>
  <c r="S211" i="4" s="1"/>
  <c r="S212" i="4" a="1"/>
  <c r="S212" i="4" s="1"/>
  <c r="I213" i="4" a="1"/>
  <c r="I213" i="4" s="1"/>
  <c r="F215" i="11" s="1"/>
  <c r="I214" i="4" a="1"/>
  <c r="I214" i="4" s="1"/>
  <c r="N214" i="4" a="1"/>
  <c r="N214" i="4" s="1"/>
  <c r="N215" i="4" a="1"/>
  <c r="N215" i="4" s="1"/>
  <c r="S216" i="4" a="1"/>
  <c r="S216" i="4" s="1"/>
  <c r="I218" i="4" a="1"/>
  <c r="I218" i="4" s="1"/>
  <c r="N218" i="4" a="1"/>
  <c r="N218" i="4" s="1"/>
  <c r="N219" i="4" a="1"/>
  <c r="N219" i="4" s="1"/>
  <c r="S220" i="4" a="1"/>
  <c r="S220" i="4" s="1"/>
  <c r="I221" i="4" a="1"/>
  <c r="I221" i="4" s="1"/>
  <c r="W1903" i="10" s="1"/>
  <c r="N223" i="4" a="1"/>
  <c r="N223" i="4" s="1"/>
  <c r="S224" i="4" a="1"/>
  <c r="S224" i="4" s="1"/>
  <c r="N226" i="4" a="1"/>
  <c r="N226" i="4" s="1"/>
  <c r="N227" i="4" a="1"/>
  <c r="N227" i="4" s="1"/>
  <c r="N230" i="4" a="1"/>
  <c r="N230" i="4" s="1"/>
  <c r="N231" i="4" a="1"/>
  <c r="N231" i="4" s="1"/>
  <c r="S231" i="4" a="1"/>
  <c r="S231" i="4" s="1"/>
  <c r="I234" i="4" a="1"/>
  <c r="I234" i="4" s="1"/>
  <c r="N234" i="4" a="1"/>
  <c r="N234" i="4" s="1"/>
  <c r="N235" i="4" a="1"/>
  <c r="N235" i="4" s="1"/>
  <c r="S235" i="4" a="1"/>
  <c r="S235" i="4" s="1"/>
  <c r="I238" i="4" a="1"/>
  <c r="I238" i="4" s="1"/>
  <c r="N238" i="4" a="1"/>
  <c r="N238" i="4" s="1"/>
  <c r="N239" i="4" a="1"/>
  <c r="N239" i="4" s="1"/>
  <c r="S239" i="4" a="1"/>
  <c r="S239" i="4" s="1"/>
  <c r="I241" i="4" a="1"/>
  <c r="I241" i="4" s="1"/>
  <c r="I242" i="4" a="1"/>
  <c r="I242" i="4" s="1"/>
  <c r="N242" i="4" a="1"/>
  <c r="N242" i="4" s="1"/>
  <c r="N243" i="4" a="1"/>
  <c r="N243" i="4" s="1"/>
  <c r="F367" i="11" s="1"/>
  <c r="S244" i="4" a="1"/>
  <c r="S244" i="4" s="1"/>
  <c r="I245" i="4" a="1"/>
  <c r="I245" i="4" s="1"/>
  <c r="I246" i="4" a="1"/>
  <c r="I246" i="4" s="1"/>
  <c r="N247" i="4" a="1"/>
  <c r="N247" i="4" s="1"/>
  <c r="S247" i="4" a="1"/>
  <c r="S247" i="4" s="1"/>
  <c r="S248" i="4" a="1"/>
  <c r="S248" i="4" s="1"/>
  <c r="I250" i="4" a="1"/>
  <c r="I250" i="4" s="1"/>
  <c r="N250" i="4" a="1"/>
  <c r="N250" i="4" s="1"/>
  <c r="N251" i="4" a="1"/>
  <c r="N251" i="4" s="1"/>
  <c r="F382" i="11" s="1"/>
  <c r="S251" i="4" a="1"/>
  <c r="S251" i="4" s="1"/>
  <c r="I253" i="4" a="1"/>
  <c r="I253" i="4" s="1"/>
  <c r="I254" i="4" a="1"/>
  <c r="I254" i="4" s="1"/>
  <c r="N254" i="4" a="1"/>
  <c r="N254" i="4" s="1"/>
  <c r="N255" i="4" a="1"/>
  <c r="N255" i="4" s="1"/>
  <c r="S255" i="4" a="1"/>
  <c r="S255" i="4" s="1"/>
  <c r="S256" i="4" a="1"/>
  <c r="S256" i="4" s="1"/>
  <c r="I257" i="4" a="1"/>
  <c r="I257" i="4" s="1"/>
  <c r="I258" i="4" a="1"/>
  <c r="I258" i="4" s="1"/>
  <c r="N259" i="4" a="1"/>
  <c r="N259" i="4" s="1"/>
  <c r="S259" i="4" a="1"/>
  <c r="S259" i="4" s="1"/>
  <c r="S260" i="4" a="1"/>
  <c r="S260" i="4" s="1"/>
  <c r="I261" i="4" a="1"/>
  <c r="I261" i="4" s="1"/>
  <c r="W1765" i="10" s="1"/>
  <c r="I262" i="4" a="1"/>
  <c r="I262" i="4" s="1"/>
  <c r="W1766" i="10" s="1"/>
  <c r="N263" i="4" a="1"/>
  <c r="N263" i="4" s="1"/>
  <c r="S263" i="4" a="1"/>
  <c r="S263" i="4" s="1"/>
  <c r="I266" i="4" a="1"/>
  <c r="I266" i="4" s="1"/>
  <c r="N266" i="4" a="1"/>
  <c r="N266" i="4" s="1"/>
  <c r="N267" i="4" a="1"/>
  <c r="N267" i="4" s="1"/>
  <c r="I269" i="4" a="1"/>
  <c r="I269" i="4" s="1"/>
  <c r="I270" i="4" a="1"/>
  <c r="I270" i="4" s="1"/>
  <c r="N271" i="4" a="1"/>
  <c r="N271" i="4" s="1"/>
  <c r="I273" i="4" a="1"/>
  <c r="I273" i="4" s="1"/>
  <c r="N274" i="4" a="1"/>
  <c r="N274" i="4" s="1"/>
  <c r="N275" i="4" a="1"/>
  <c r="N275" i="4" s="1"/>
  <c r="S275" i="4" a="1"/>
  <c r="S275" i="4" s="1"/>
  <c r="S276" i="4" a="1"/>
  <c r="S276" i="4" s="1"/>
  <c r="I277" i="4" a="1"/>
  <c r="I277" i="4" s="1"/>
  <c r="I278" i="4" a="1"/>
  <c r="I278" i="4" s="1"/>
  <c r="N279" i="4" a="1"/>
  <c r="N279" i="4" s="1"/>
  <c r="S279" i="4" a="1"/>
  <c r="S279" i="4" s="1"/>
  <c r="S280" i="4" a="1"/>
  <c r="S280" i="4" s="1"/>
  <c r="I282" i="4" a="1"/>
  <c r="I282" i="4" s="1"/>
  <c r="N282" i="4" a="1"/>
  <c r="N282" i="4" s="1"/>
  <c r="N283" i="4" a="1"/>
  <c r="N283" i="4" s="1"/>
  <c r="S283" i="4" a="1"/>
  <c r="S283" i="4" s="1"/>
  <c r="S284" i="4" a="1"/>
  <c r="S284" i="4" s="1"/>
  <c r="I285" i="4" a="1"/>
  <c r="I285" i="4" s="1"/>
  <c r="N287" i="4" a="1"/>
  <c r="N287" i="4" s="1"/>
  <c r="S287" i="4" a="1"/>
  <c r="S287" i="4" s="1"/>
  <c r="S288" i="4" a="1"/>
  <c r="S288" i="4" s="1"/>
  <c r="I290" i="4" a="1"/>
  <c r="I290" i="4" s="1"/>
  <c r="N290" i="4" a="1"/>
  <c r="N290" i="4" s="1"/>
  <c r="N291" i="4" a="1"/>
  <c r="N291" i="4" s="1"/>
  <c r="S292" i="4" a="1"/>
  <c r="S292" i="4" s="1"/>
  <c r="I293" i="4" a="1"/>
  <c r="I293" i="4" s="1"/>
  <c r="I294" i="4" a="1"/>
  <c r="I294" i="4" s="1"/>
  <c r="N294" i="4" a="1"/>
  <c r="N294" i="4" s="1"/>
  <c r="S295" i="4" a="1"/>
  <c r="S295" i="4" s="1"/>
  <c r="S296" i="4" a="1"/>
  <c r="S296" i="4" s="1"/>
  <c r="I297" i="4" a="1"/>
  <c r="I297" i="4" s="1"/>
  <c r="I298" i="4" a="1"/>
  <c r="I298" i="4" s="1"/>
  <c r="N298" i="4" a="1"/>
  <c r="N298" i="4" s="1"/>
  <c r="S299" i="4" a="1"/>
  <c r="S299" i="4" s="1"/>
  <c r="S300" i="4" a="1"/>
  <c r="S300" i="4" s="1"/>
  <c r="I302" i="4" a="1"/>
  <c r="I302" i="4" s="1"/>
  <c r="N303" i="4" a="1"/>
  <c r="N303" i="4" s="1"/>
  <c r="S303" i="4" a="1"/>
  <c r="S303" i="4" s="1"/>
  <c r="S304" i="4" a="1"/>
  <c r="S304" i="4" s="1"/>
  <c r="I305" i="4" a="1"/>
  <c r="I305" i="4" s="1"/>
  <c r="N306" i="4" a="1"/>
  <c r="N306" i="4" s="1"/>
  <c r="N307" i="4" a="1"/>
  <c r="N307" i="4" s="1"/>
  <c r="S307" i="4" a="1"/>
  <c r="S307" i="4" s="1"/>
  <c r="S308" i="4" a="1"/>
  <c r="S308" i="4" s="1"/>
  <c r="I309" i="4" a="1"/>
  <c r="I309" i="4" s="1"/>
  <c r="I310" i="4" a="1"/>
  <c r="I310" i="4" s="1"/>
  <c r="N310" i="4" a="1"/>
  <c r="N310" i="4" s="1"/>
  <c r="S311" i="4" a="1"/>
  <c r="S311" i="4" s="1"/>
  <c r="S312" i="4" a="1"/>
  <c r="S312" i="4" s="1"/>
  <c r="I314" i="4" a="1"/>
  <c r="I314" i="4" s="1"/>
  <c r="N315" i="4" a="1"/>
  <c r="N315" i="4" s="1"/>
  <c r="F346" i="11" s="1"/>
  <c r="S315" i="4" a="1"/>
  <c r="S315" i="4" s="1"/>
  <c r="S316" i="4" a="1"/>
  <c r="S316" i="4" s="1"/>
  <c r="I318" i="4" a="1"/>
  <c r="I318" i="4" s="1"/>
  <c r="N318" i="4" a="1"/>
  <c r="N318" i="4" s="1"/>
  <c r="F320" i="11" s="1"/>
  <c r="N319" i="4" a="1"/>
  <c r="N319" i="4" s="1"/>
  <c r="S319" i="4" a="1"/>
  <c r="S319" i="4" s="1"/>
  <c r="S320" i="4" a="1"/>
  <c r="S320" i="4" s="1"/>
  <c r="I321" i="4" a="1"/>
  <c r="I321" i="4" s="1"/>
  <c r="I322" i="4" a="1"/>
  <c r="I322" i="4" s="1"/>
  <c r="N322" i="4" a="1"/>
  <c r="N322" i="4" s="1"/>
  <c r="N323" i="4" a="1"/>
  <c r="N323" i="4" s="1"/>
  <c r="S323" i="4" a="1"/>
  <c r="S323" i="4" s="1"/>
  <c r="S324" i="4" a="1"/>
  <c r="S324" i="4" s="1"/>
  <c r="I325" i="4" a="1"/>
  <c r="I325" i="4" s="1"/>
  <c r="N326" i="4" a="1"/>
  <c r="N326" i="4" s="1"/>
  <c r="S327" i="4" a="1"/>
  <c r="S327" i="4" s="1"/>
  <c r="I330" i="4" a="1"/>
  <c r="I330" i="4" s="1"/>
  <c r="N330" i="4" a="1"/>
  <c r="N330" i="4" s="1"/>
  <c r="S331" i="4" a="1"/>
  <c r="S331" i="4" s="1"/>
  <c r="I333" i="4" a="1"/>
  <c r="I333" i="4" s="1"/>
  <c r="I334" i="4" a="1"/>
  <c r="I334" i="4" s="1"/>
  <c r="N334" i="4" a="1"/>
  <c r="N334" i="4" s="1"/>
  <c r="N335" i="4" a="1"/>
  <c r="N335" i="4" s="1"/>
  <c r="F366" i="11" s="1"/>
  <c r="J366" i="11" s="1"/>
  <c r="I337" i="4" a="1"/>
  <c r="I337" i="4" s="1"/>
  <c r="N339" i="4" a="1"/>
  <c r="N339" i="4" s="1"/>
  <c r="S339" i="4" a="1"/>
  <c r="S339" i="4" s="1"/>
  <c r="S340" i="4" a="1"/>
  <c r="S340" i="4" s="1"/>
  <c r="I341" i="4" a="1"/>
  <c r="I341" i="4" s="1"/>
  <c r="I342" i="4" a="1"/>
  <c r="I342" i="4" s="1"/>
  <c r="N343" i="4" a="1"/>
  <c r="N343" i="4" s="1"/>
  <c r="S344" i="4" a="1"/>
  <c r="S344" i="4" s="1"/>
  <c r="I346" i="4" a="1"/>
  <c r="I346" i="4" s="1"/>
  <c r="N346" i="4" a="1"/>
  <c r="N346" i="4" s="1"/>
  <c r="N347" i="4" a="1"/>
  <c r="N347" i="4" s="1"/>
  <c r="S347" i="4" a="1"/>
  <c r="S347" i="4" s="1"/>
  <c r="S348" i="4" a="1"/>
  <c r="S348" i="4" s="1"/>
  <c r="I349" i="4" a="1"/>
  <c r="I349" i="4" s="1"/>
  <c r="I350" i="4" a="1"/>
  <c r="I350" i="4" s="1"/>
  <c r="N350" i="4" a="1"/>
  <c r="N350" i="4" s="1"/>
  <c r="E381" i="11" s="1"/>
  <c r="N351" i="4" a="1"/>
  <c r="N351" i="4" s="1"/>
  <c r="S351" i="4" a="1"/>
  <c r="S351" i="4" s="1"/>
  <c r="S352" i="4" a="1"/>
  <c r="S352" i="4" s="1"/>
  <c r="I353" i="4" a="1"/>
  <c r="I353" i="4" s="1"/>
  <c r="N354" i="4" a="1"/>
  <c r="N354" i="4" s="1"/>
  <c r="N355" i="4" a="1"/>
  <c r="N355" i="4" s="1"/>
  <c r="S356" i="4" a="1"/>
  <c r="S356" i="4" s="1"/>
  <c r="I357" i="4" a="1"/>
  <c r="I357" i="4" s="1"/>
  <c r="N358" i="4" a="1"/>
  <c r="N358" i="4" s="1"/>
  <c r="N359" i="4" a="1"/>
  <c r="N359" i="4" s="1"/>
  <c r="S359" i="4" a="1"/>
  <c r="S359" i="4" s="1"/>
  <c r="AB32" i="10"/>
  <c r="AB23" i="10"/>
  <c r="W96" i="10"/>
  <c r="W80" i="10"/>
  <c r="W34" i="10"/>
  <c r="AB67" i="10"/>
  <c r="AB99" i="10"/>
  <c r="AB137" i="10"/>
  <c r="AB164" i="10"/>
  <c r="AB196" i="10"/>
  <c r="W224" i="10"/>
  <c r="AB265" i="10"/>
  <c r="AB328" i="10"/>
  <c r="W406" i="10"/>
  <c r="W459" i="10"/>
  <c r="W524" i="10"/>
  <c r="AB577" i="10"/>
  <c r="W632" i="10"/>
  <c r="AB696" i="10"/>
  <c r="AB834" i="10"/>
  <c r="W978" i="10"/>
  <c r="W1370" i="10"/>
  <c r="W123" i="10"/>
  <c r="W161" i="10"/>
  <c r="W209" i="10"/>
  <c r="AB247" i="10"/>
  <c r="AB307" i="10"/>
  <c r="W373" i="10"/>
  <c r="W428" i="10"/>
  <c r="W481" i="10"/>
  <c r="W546" i="10"/>
  <c r="AB600" i="10"/>
  <c r="AB654" i="10"/>
  <c r="W734" i="10"/>
  <c r="W871" i="10"/>
  <c r="W1029" i="10"/>
  <c r="W1515" i="10"/>
  <c r="AB29" i="10"/>
  <c r="AB96" i="10"/>
  <c r="W124" i="10"/>
  <c r="AB156" i="10"/>
  <c r="AB193" i="10"/>
  <c r="W232" i="10"/>
  <c r="W280" i="10"/>
  <c r="W356" i="10"/>
  <c r="W443" i="10"/>
  <c r="W507" i="10"/>
  <c r="W572" i="10"/>
  <c r="AB637" i="10"/>
  <c r="W691" i="10"/>
  <c r="AB820" i="10"/>
  <c r="W997" i="10"/>
  <c r="W1313" i="10"/>
  <c r="W39" i="10"/>
  <c r="W72" i="10"/>
  <c r="AB104" i="10"/>
  <c r="AB142" i="10"/>
  <c r="AB179" i="10"/>
  <c r="AB228" i="10"/>
  <c r="W281" i="10"/>
  <c r="AB356" i="10"/>
  <c r="AB454" i="10"/>
  <c r="W541" i="10"/>
  <c r="W606" i="10"/>
  <c r="AB691" i="10"/>
  <c r="W885" i="10"/>
  <c r="W1228" i="10"/>
  <c r="AB22" i="10"/>
  <c r="AB45" i="10"/>
  <c r="W63" i="10"/>
  <c r="W109" i="10"/>
  <c r="W125" i="10"/>
  <c r="AB152" i="10"/>
  <c r="AB173" i="10"/>
  <c r="W195" i="10"/>
  <c r="W220" i="10"/>
  <c r="AB241" i="10"/>
  <c r="AB283" i="10"/>
  <c r="W326" i="10"/>
  <c r="AB398" i="10"/>
  <c r="W441" i="10"/>
  <c r="AB478" i="10"/>
  <c r="W517" i="10"/>
  <c r="AB559" i="10"/>
  <c r="W592" i="10"/>
  <c r="W630" i="10"/>
  <c r="W673" i="10"/>
  <c r="W716" i="10"/>
  <c r="W748" i="10"/>
  <c r="W804" i="10"/>
  <c r="AB853" i="10"/>
  <c r="W904" i="10"/>
  <c r="AB960" i="10"/>
  <c r="W1014" i="10"/>
  <c r="AB1088" i="10"/>
  <c r="W1219" i="10"/>
  <c r="W1414" i="10"/>
  <c r="W1589" i="10"/>
  <c r="W1874" i="10"/>
  <c r="W724" i="10"/>
  <c r="AB764" i="10"/>
  <c r="AB821" i="10"/>
  <c r="W872" i="10"/>
  <c r="W922" i="10"/>
  <c r="AB978" i="10"/>
  <c r="W1051" i="10"/>
  <c r="W1115" i="10"/>
  <c r="W1286" i="10"/>
  <c r="W1518" i="10"/>
  <c r="W1736" i="10"/>
  <c r="W22" i="10"/>
  <c r="AB42" i="10"/>
  <c r="W68" i="10"/>
  <c r="W92" i="10"/>
  <c r="AB116" i="10"/>
  <c r="AB138" i="10"/>
  <c r="AB159" i="10"/>
  <c r="AB178" i="10"/>
  <c r="W197" i="10"/>
  <c r="W230" i="10"/>
  <c r="AB255" i="10"/>
  <c r="W337" i="10"/>
  <c r="W375" i="10"/>
  <c r="AB408" i="10"/>
  <c r="AB456" i="10"/>
  <c r="W499" i="10"/>
  <c r="AB537" i="10"/>
  <c r="W580" i="10"/>
  <c r="W613" i="10"/>
  <c r="AB656" i="10"/>
  <c r="AB699" i="10"/>
  <c r="W737" i="10"/>
  <c r="AB774" i="10"/>
  <c r="AB838" i="10"/>
  <c r="AB888" i="10"/>
  <c r="W946" i="10"/>
  <c r="W1024" i="10"/>
  <c r="W1196" i="10"/>
  <c r="W1469" i="10"/>
  <c r="W1832" i="10"/>
  <c r="AB251" i="10"/>
  <c r="W282" i="10"/>
  <c r="W314" i="10"/>
  <c r="W347" i="10"/>
  <c r="AB374" i="10"/>
  <c r="W405" i="10"/>
  <c r="AB434" i="10"/>
  <c r="W464" i="10"/>
  <c r="AB498" i="10"/>
  <c r="W529" i="10"/>
  <c r="AB555" i="10"/>
  <c r="AB590" i="10"/>
  <c r="W623" i="10"/>
  <c r="AB655" i="10"/>
  <c r="AB687" i="10"/>
  <c r="W723" i="10"/>
  <c r="AB749" i="10"/>
  <c r="W788" i="10"/>
  <c r="AB830" i="10"/>
  <c r="AB880" i="10"/>
  <c r="W934" i="10"/>
  <c r="AB984" i="10"/>
  <c r="W1059" i="10"/>
  <c r="W1139" i="10"/>
  <c r="W1322" i="10"/>
  <c r="W1510" i="10"/>
  <c r="W1806" i="10"/>
  <c r="W256" i="10"/>
  <c r="W295" i="10"/>
  <c r="W336" i="10"/>
  <c r="W423" i="10"/>
  <c r="W463" i="10"/>
  <c r="W512" i="10"/>
  <c r="W547" i="10"/>
  <c r="AB587" i="10"/>
  <c r="AB630" i="10"/>
  <c r="W671" i="10"/>
  <c r="W714" i="10"/>
  <c r="AB751" i="10"/>
  <c r="AB801" i="10"/>
  <c r="W855" i="10"/>
  <c r="AB908" i="10"/>
  <c r="AB954" i="10"/>
  <c r="AB1026" i="10"/>
  <c r="W1137" i="10"/>
  <c r="W1362" i="10"/>
  <c r="W1667" i="10"/>
  <c r="W994" i="10"/>
  <c r="AB1044" i="10"/>
  <c r="W1098" i="10"/>
  <c r="W1168" i="10"/>
  <c r="W1275" i="10"/>
  <c r="W1410" i="10"/>
  <c r="W1563" i="10"/>
  <c r="W1702" i="10"/>
  <c r="W1953" i="10"/>
  <c r="W42" i="10"/>
  <c r="W81" i="10"/>
  <c r="W142" i="10"/>
  <c r="W208" i="10"/>
  <c r="W268" i="10"/>
  <c r="W333" i="10"/>
  <c r="AB395" i="10"/>
  <c r="AB457" i="10"/>
  <c r="AB528" i="10"/>
  <c r="W591" i="10"/>
  <c r="W672" i="10"/>
  <c r="AB752" i="10"/>
  <c r="W854" i="10"/>
  <c r="W953" i="10"/>
  <c r="W1060" i="10"/>
  <c r="W1225" i="10"/>
  <c r="W1647" i="10"/>
  <c r="W799" i="10"/>
  <c r="AB921" i="10"/>
  <c r="AB1117" i="10"/>
  <c r="W1704" i="10"/>
  <c r="W1616" i="10"/>
  <c r="W1943" i="10"/>
  <c r="AB69" i="10"/>
  <c r="W118" i="10"/>
  <c r="AB39" i="10"/>
  <c r="W143" i="10"/>
  <c r="W175" i="10"/>
  <c r="AB229" i="10"/>
  <c r="AB285" i="10"/>
  <c r="AB416" i="10"/>
  <c r="AB480" i="10"/>
  <c r="AB588" i="10"/>
  <c r="W729" i="10"/>
  <c r="W611" i="10"/>
  <c r="AB85" i="10"/>
  <c r="AB21" i="10"/>
  <c r="W56" i="10"/>
  <c r="AB83" i="10"/>
  <c r="W121" i="10"/>
  <c r="AB153" i="10"/>
  <c r="AB180" i="10"/>
  <c r="W207" i="10"/>
  <c r="W244" i="10"/>
  <c r="W296" i="10"/>
  <c r="W361" i="10"/>
  <c r="W491" i="10"/>
  <c r="AB545" i="10"/>
  <c r="AB610" i="10"/>
  <c r="AB664" i="10"/>
  <c r="W750" i="10"/>
  <c r="AB920" i="10"/>
  <c r="W1104" i="10"/>
  <c r="W1601" i="10"/>
  <c r="W145" i="10"/>
  <c r="AB182" i="10"/>
  <c r="AB220" i="10"/>
  <c r="W286" i="10"/>
  <c r="AB340" i="10"/>
  <c r="W396" i="10"/>
  <c r="W460" i="10"/>
  <c r="W514" i="10"/>
  <c r="AB567" i="10"/>
  <c r="AB632" i="10"/>
  <c r="AB686" i="10"/>
  <c r="AB785" i="10"/>
  <c r="AB956" i="10"/>
  <c r="W1185" i="10"/>
  <c r="W1772" i="10"/>
  <c r="AB48" i="10"/>
  <c r="AB80" i="10"/>
  <c r="W108" i="10"/>
  <c r="AB172" i="10"/>
  <c r="AB204" i="10"/>
  <c r="W260" i="10"/>
  <c r="W312" i="10"/>
  <c r="W411" i="10"/>
  <c r="W475" i="10"/>
  <c r="W540" i="10"/>
  <c r="AB669" i="10"/>
  <c r="AB739" i="10"/>
  <c r="W878" i="10"/>
  <c r="W1125" i="10"/>
  <c r="W1658" i="10"/>
  <c r="AB55" i="10"/>
  <c r="AB93" i="10"/>
  <c r="AB120" i="10"/>
  <c r="AB163" i="10"/>
  <c r="W242" i="10"/>
  <c r="W412" i="10"/>
  <c r="W497" i="10"/>
  <c r="W584" i="10"/>
  <c r="W649" i="10"/>
  <c r="W745" i="10"/>
  <c r="W1008" i="10"/>
  <c r="W1695" i="10"/>
  <c r="W31" i="10"/>
  <c r="W55" i="10"/>
  <c r="AB76" i="10"/>
  <c r="W98" i="10"/>
  <c r="W120" i="10"/>
  <c r="W139" i="10"/>
  <c r="AB160" i="10"/>
  <c r="W187" i="10"/>
  <c r="AB205" i="10"/>
  <c r="W228" i="10"/>
  <c r="AB262" i="10"/>
  <c r="W305" i="10"/>
  <c r="W343" i="10"/>
  <c r="AB386" i="10"/>
  <c r="W420" i="10"/>
  <c r="W457" i="10"/>
  <c r="W500" i="10"/>
  <c r="W538" i="10"/>
  <c r="W570" i="10"/>
  <c r="W614" i="10"/>
  <c r="AB651" i="10"/>
  <c r="W689" i="10"/>
  <c r="AB775" i="10"/>
  <c r="AB825" i="10"/>
  <c r="AB882" i="10"/>
  <c r="AB932" i="10"/>
  <c r="W975" i="10"/>
  <c r="W1133" i="10"/>
  <c r="W1301" i="10"/>
  <c r="W1531" i="10"/>
  <c r="W1716" i="10"/>
  <c r="W2025" i="10"/>
  <c r="AB745" i="10"/>
  <c r="AB793" i="10"/>
  <c r="W836" i="10"/>
  <c r="AB900" i="10"/>
  <c r="W950" i="10"/>
  <c r="AB1008" i="10"/>
  <c r="W1094" i="10"/>
  <c r="W1187" i="10"/>
  <c r="W1371" i="10"/>
  <c r="W1631" i="10"/>
  <c r="W1896" i="10"/>
  <c r="AB27" i="10"/>
  <c r="W57" i="10"/>
  <c r="AB81" i="10"/>
  <c r="AB102" i="10"/>
  <c r="W133" i="10"/>
  <c r="W149" i="10"/>
  <c r="AB167" i="10"/>
  <c r="W189" i="10"/>
  <c r="AB216" i="10"/>
  <c r="AB277" i="10"/>
  <c r="W315" i="10"/>
  <c r="W353" i="10"/>
  <c r="W398" i="10"/>
  <c r="W435" i="10"/>
  <c r="AB472" i="10"/>
  <c r="AB521" i="10"/>
  <c r="W559" i="10"/>
  <c r="AB591" i="10"/>
  <c r="AB634" i="10"/>
  <c r="AB677" i="10"/>
  <c r="AB715" i="10"/>
  <c r="W760" i="10"/>
  <c r="AB802" i="10"/>
  <c r="AB860" i="10"/>
  <c r="W917" i="10"/>
  <c r="W974" i="10"/>
  <c r="W1088" i="10"/>
  <c r="W1327" i="10"/>
  <c r="W1643" i="10"/>
  <c r="AB232" i="10"/>
  <c r="AB264" i="10"/>
  <c r="W298" i="10"/>
  <c r="AB330" i="10"/>
  <c r="AB360" i="10"/>
  <c r="W392" i="10"/>
  <c r="AB418" i="10"/>
  <c r="AB450" i="10"/>
  <c r="W485" i="10"/>
  <c r="W513" i="10"/>
  <c r="W542" i="10"/>
  <c r="W574" i="10"/>
  <c r="W607" i="10"/>
  <c r="AB642" i="10"/>
  <c r="AB674" i="10"/>
  <c r="W704" i="10"/>
  <c r="W736" i="10"/>
  <c r="W770" i="10"/>
  <c r="AB805" i="10"/>
  <c r="W852" i="10"/>
  <c r="W909" i="10"/>
  <c r="W955" i="10"/>
  <c r="W1022" i="10"/>
  <c r="W1102" i="10"/>
  <c r="W1213" i="10"/>
  <c r="W1421" i="10"/>
  <c r="W1638" i="10"/>
  <c r="W1960" i="10"/>
  <c r="AB273" i="10"/>
  <c r="W316" i="10"/>
  <c r="AB404" i="10"/>
  <c r="AB444" i="10"/>
  <c r="W487" i="10"/>
  <c r="W531" i="10"/>
  <c r="W568" i="10"/>
  <c r="AB606" i="10"/>
  <c r="W647" i="10"/>
  <c r="AB692" i="10"/>
  <c r="W730" i="10"/>
  <c r="W776" i="10"/>
  <c r="AB833" i="10"/>
  <c r="W880" i="10"/>
  <c r="W933" i="10"/>
  <c r="W984" i="10"/>
  <c r="W1080" i="10"/>
  <c r="W1249" i="10"/>
  <c r="W1523" i="10"/>
  <c r="W1881" i="10"/>
  <c r="W1015" i="10"/>
  <c r="W1074" i="10"/>
  <c r="W1119" i="10"/>
  <c r="W1216" i="10"/>
  <c r="W1354" i="10"/>
  <c r="W1627" i="10"/>
  <c r="W1848" i="10"/>
  <c r="W23" i="10"/>
  <c r="AB58" i="10"/>
  <c r="AB107" i="10"/>
  <c r="W172" i="10"/>
  <c r="W241" i="10"/>
  <c r="AB304" i="10"/>
  <c r="AB427" i="10"/>
  <c r="AB493" i="10"/>
  <c r="AB558" i="10"/>
  <c r="AB627" i="10"/>
  <c r="AB712" i="10"/>
  <c r="W798" i="10"/>
  <c r="W908" i="10"/>
  <c r="AB1006" i="10"/>
  <c r="W1113" i="10"/>
  <c r="W1430" i="10"/>
  <c r="AB857" i="10"/>
  <c r="AB1007" i="10"/>
  <c r="W1331" i="10"/>
  <c r="W1336" i="10"/>
  <c r="W2028" i="10"/>
  <c r="W1963" i="10"/>
  <c r="W1911" i="10"/>
  <c r="W2027" i="10"/>
  <c r="W1973" i="10"/>
  <c r="W1930" i="10"/>
  <c r="W1869" i="10"/>
  <c r="W1770" i="10"/>
  <c r="W1729" i="10"/>
  <c r="W1685" i="10"/>
  <c r="W2021" i="10"/>
  <c r="W1970" i="10"/>
  <c r="W1906" i="10"/>
  <c r="W1856" i="10"/>
  <c r="W1819" i="10"/>
  <c r="W1773" i="10"/>
  <c r="W1735" i="10"/>
  <c r="W1692" i="10"/>
  <c r="W1652" i="10"/>
  <c r="W1620" i="10"/>
  <c r="W1596" i="10"/>
  <c r="W1564" i="10"/>
  <c r="W1532" i="10"/>
  <c r="W1464" i="10"/>
  <c r="W1440" i="10"/>
  <c r="W1412" i="10"/>
  <c r="W1380" i="10"/>
  <c r="W1352" i="10"/>
  <c r="W1328" i="10"/>
  <c r="W1296" i="10"/>
  <c r="W1268" i="10"/>
  <c r="W1240" i="10"/>
  <c r="W1994" i="10"/>
  <c r="W1926" i="10"/>
  <c r="W1858" i="10"/>
  <c r="W1800" i="10"/>
  <c r="W1748" i="10"/>
  <c r="W1690" i="10"/>
  <c r="W1639" i="10"/>
  <c r="W1607" i="10"/>
  <c r="W1570" i="10"/>
  <c r="W1527" i="10"/>
  <c r="W1490" i="10"/>
  <c r="W1454" i="10"/>
  <c r="W1411" i="10"/>
  <c r="W1374" i="10"/>
  <c r="W1347" i="10"/>
  <c r="W1315" i="10"/>
  <c r="W1289" i="10"/>
  <c r="W1262" i="10"/>
  <c r="W1230" i="10"/>
  <c r="W1210" i="10"/>
  <c r="W1190" i="10"/>
  <c r="W1166" i="10"/>
  <c r="W1146" i="10"/>
  <c r="AB1125" i="10"/>
  <c r="AB1113" i="10"/>
  <c r="AB1101" i="10"/>
  <c r="AB1089" i="10"/>
  <c r="AB1079" i="10"/>
  <c r="AB1041" i="10"/>
  <c r="AB1031" i="10"/>
  <c r="AB1019" i="10"/>
  <c r="AB1009" i="10"/>
  <c r="AB999" i="10"/>
  <c r="W2040" i="10"/>
  <c r="W1984" i="10"/>
  <c r="W2001" i="10"/>
  <c r="W1936" i="10"/>
  <c r="W1853" i="10"/>
  <c r="W1805" i="10"/>
  <c r="W1677" i="10"/>
  <c r="W1986" i="10"/>
  <c r="W1921" i="10"/>
  <c r="W1846" i="10"/>
  <c r="W1798" i="10"/>
  <c r="W1682" i="10"/>
  <c r="W1636" i="10"/>
  <c r="W1600" i="10"/>
  <c r="W1552" i="10"/>
  <c r="W1516" i="10"/>
  <c r="W1478" i="10"/>
  <c r="W1432" i="10"/>
  <c r="W1396" i="10"/>
  <c r="W1360" i="10"/>
  <c r="W1316" i="10"/>
  <c r="W1284" i="10"/>
  <c r="W1248" i="10"/>
  <c r="W1983" i="10"/>
  <c r="W1889" i="10"/>
  <c r="W1822" i="10"/>
  <c r="W1739" i="10"/>
  <c r="W1662" i="10"/>
  <c r="W1613" i="10"/>
  <c r="W1554" i="10"/>
  <c r="W1511" i="10"/>
  <c r="W1459" i="10"/>
  <c r="W1401" i="10"/>
  <c r="W1358" i="10"/>
  <c r="W1326" i="10"/>
  <c r="W1283" i="10"/>
  <c r="W1246" i="10"/>
  <c r="W1214" i="10"/>
  <c r="W1182" i="10"/>
  <c r="W1158" i="10"/>
  <c r="AB1127" i="10"/>
  <c r="AB1111" i="10"/>
  <c r="AB1095" i="10"/>
  <c r="AB1081" i="10"/>
  <c r="AB1063" i="10"/>
  <c r="AB1047" i="10"/>
  <c r="AB1033" i="10"/>
  <c r="AB1017" i="10"/>
  <c r="AB1003" i="10"/>
  <c r="AB991" i="10"/>
  <c r="AB979" i="10"/>
  <c r="AB969" i="10"/>
  <c r="AB959" i="10"/>
  <c r="AB947" i="10"/>
  <c r="AB937" i="10"/>
  <c r="AB925" i="10"/>
  <c r="AB913" i="10"/>
  <c r="AB903" i="10"/>
  <c r="AB893" i="10"/>
  <c r="AB883" i="10"/>
  <c r="AB875" i="10"/>
  <c r="AB867" i="10"/>
  <c r="AB859" i="10"/>
  <c r="W849" i="10"/>
  <c r="W841" i="10"/>
  <c r="W833" i="10"/>
  <c r="W825" i="10"/>
  <c r="W817" i="10"/>
  <c r="W809" i="10"/>
  <c r="W801" i="10"/>
  <c r="W793" i="10"/>
  <c r="W785" i="10"/>
  <c r="W777" i="10"/>
  <c r="W769" i="10"/>
  <c r="W761" i="10"/>
  <c r="W753" i="10"/>
  <c r="W2002" i="10"/>
  <c r="W1950" i="10"/>
  <c r="W1886" i="10"/>
  <c r="W1847" i="10"/>
  <c r="W1749" i="10"/>
  <c r="W1700" i="10"/>
  <c r="W1663" i="10"/>
  <c r="W1633" i="10"/>
  <c r="W1605" i="10"/>
  <c r="W1569" i="10"/>
  <c r="W1541" i="10"/>
  <c r="W1513" i="10"/>
  <c r="W1481" i="10"/>
  <c r="W1445" i="10"/>
  <c r="W1415" i="10"/>
  <c r="W1387" i="10"/>
  <c r="W1359" i="10"/>
  <c r="W1330" i="10"/>
  <c r="W1302" i="10"/>
  <c r="W1274" i="10"/>
  <c r="W1245" i="10"/>
  <c r="W1220" i="10"/>
  <c r="W1199" i="10"/>
  <c r="W1177" i="10"/>
  <c r="W1156" i="10"/>
  <c r="W1135" i="10"/>
  <c r="W1121" i="10"/>
  <c r="AB1110" i="10"/>
  <c r="W1100" i="10"/>
  <c r="W1089" i="10"/>
  <c r="W1076" i="10"/>
  <c r="W1065" i="10"/>
  <c r="W1052" i="10"/>
  <c r="W1041" i="10"/>
  <c r="AB1030" i="10"/>
  <c r="W1020" i="10"/>
  <c r="W1009" i="10"/>
  <c r="AB998" i="10"/>
  <c r="W988" i="10"/>
  <c r="W977" i="10"/>
  <c r="AB966" i="10"/>
  <c r="W956" i="10"/>
  <c r="W945" i="10"/>
  <c r="AB934" i="10"/>
  <c r="W924" i="10"/>
  <c r="W913" i="10"/>
  <c r="AB902" i="10"/>
  <c r="W892" i="10"/>
  <c r="W881" i="10"/>
  <c r="AB870" i="10"/>
  <c r="W860" i="10"/>
  <c r="AB848" i="10"/>
  <c r="W838" i="10"/>
  <c r="AB827" i="10"/>
  <c r="AB816" i="10"/>
  <c r="W806" i="10"/>
  <c r="W782" i="10"/>
  <c r="AB771" i="10"/>
  <c r="AB760" i="10"/>
  <c r="AB750" i="10"/>
  <c r="AB742" i="10"/>
  <c r="AB734" i="10"/>
  <c r="AB726" i="10"/>
  <c r="AB718" i="10"/>
  <c r="AB710" i="10"/>
  <c r="AB702" i="10"/>
  <c r="W694" i="10"/>
  <c r="W686" i="10"/>
  <c r="W676" i="10"/>
  <c r="W660" i="10"/>
  <c r="W652" i="10"/>
  <c r="W642" i="10"/>
  <c r="AB629" i="10"/>
  <c r="AB619" i="10"/>
  <c r="AB611" i="10"/>
  <c r="AB603" i="10"/>
  <c r="W2008" i="10"/>
  <c r="W1919" i="10"/>
  <c r="W1995" i="10"/>
  <c r="W1893" i="10"/>
  <c r="W1813" i="10"/>
  <c r="W1713" i="10"/>
  <c r="W2042" i="10"/>
  <c r="W1942" i="10"/>
  <c r="W1835" i="10"/>
  <c r="W1768" i="10"/>
  <c r="W1703" i="10"/>
  <c r="W1628" i="10"/>
  <c r="W1580" i="10"/>
  <c r="W1528" i="10"/>
  <c r="W1460" i="10"/>
  <c r="W1416" i="10"/>
  <c r="W1368" i="10"/>
  <c r="W1312" i="10"/>
  <c r="W1264" i="10"/>
  <c r="W2023" i="10"/>
  <c r="W1871" i="10"/>
  <c r="W1778" i="10"/>
  <c r="W1675" i="10"/>
  <c r="W1597" i="10"/>
  <c r="W1543" i="10"/>
  <c r="W1465" i="10"/>
  <c r="W1395" i="10"/>
  <c r="W1337" i="10"/>
  <c r="W1294" i="10"/>
  <c r="W1241" i="10"/>
  <c r="W1198" i="10"/>
  <c r="W1162" i="10"/>
  <c r="AB1121" i="10"/>
  <c r="AB1103" i="10"/>
  <c r="AB1085" i="10"/>
  <c r="AB1061" i="10"/>
  <c r="AB1023" i="10"/>
  <c r="AB1001" i="10"/>
  <c r="AB985" i="10"/>
  <c r="AB971" i="10"/>
  <c r="AB955" i="10"/>
  <c r="AB943" i="10"/>
  <c r="AB929" i="10"/>
  <c r="AB911" i="10"/>
  <c r="AB897" i="10"/>
  <c r="AB885" i="10"/>
  <c r="AB873" i="10"/>
  <c r="AB863" i="10"/>
  <c r="W851" i="10"/>
  <c r="W839" i="10"/>
  <c r="W829" i="10"/>
  <c r="W819" i="10"/>
  <c r="W807" i="10"/>
  <c r="W797" i="10"/>
  <c r="W787" i="10"/>
  <c r="W775" i="10"/>
  <c r="W765" i="10"/>
  <c r="W755" i="10"/>
  <c r="W1989" i="10"/>
  <c r="W1924" i="10"/>
  <c r="W1855" i="10"/>
  <c r="W1789" i="10"/>
  <c r="W1728" i="10"/>
  <c r="W1672" i="10"/>
  <c r="W1626" i="10"/>
  <c r="W1590" i="10"/>
  <c r="W1547" i="10"/>
  <c r="W1505" i="10"/>
  <c r="W1458" i="10"/>
  <c r="W1423" i="10"/>
  <c r="W1381" i="10"/>
  <c r="W1345" i="10"/>
  <c r="W1309" i="10"/>
  <c r="W1266" i="10"/>
  <c r="W1231" i="10"/>
  <c r="W1204" i="10"/>
  <c r="W1172" i="10"/>
  <c r="W1145" i="10"/>
  <c r="W1124" i="10"/>
  <c r="W1108" i="10"/>
  <c r="AB1094" i="10"/>
  <c r="W1081" i="10"/>
  <c r="AB1062" i="10"/>
  <c r="AB1046" i="10"/>
  <c r="W1033" i="10"/>
  <c r="W1017" i="10"/>
  <c r="W1004" i="10"/>
  <c r="AB990" i="10"/>
  <c r="AB974" i="10"/>
  <c r="W961" i="10"/>
  <c r="W948" i="10"/>
  <c r="W932" i="10"/>
  <c r="AB918" i="10"/>
  <c r="W905" i="10"/>
  <c r="W889" i="10"/>
  <c r="W876" i="10"/>
  <c r="AB862" i="10"/>
  <c r="W846" i="10"/>
  <c r="AB832" i="10"/>
  <c r="AB819" i="10"/>
  <c r="AB800" i="10"/>
  <c r="AB787" i="10"/>
  <c r="W774" i="10"/>
  <c r="W758" i="10"/>
  <c r="AB746" i="10"/>
  <c r="AB736" i="10"/>
  <c r="AB724" i="10"/>
  <c r="AB714" i="10"/>
  <c r="AB704" i="10"/>
  <c r="W692" i="10"/>
  <c r="W682" i="10"/>
  <c r="W670" i="10"/>
  <c r="W646" i="10"/>
  <c r="AB631" i="10"/>
  <c r="AB617" i="10"/>
  <c r="AB607" i="10"/>
  <c r="AB597" i="10"/>
  <c r="W589" i="10"/>
  <c r="AB580" i="10"/>
  <c r="AB572" i="10"/>
  <c r="AB564" i="10"/>
  <c r="AB554" i="10"/>
  <c r="AB546" i="10"/>
  <c r="AB536" i="10"/>
  <c r="AB526" i="10"/>
  <c r="AB518" i="10"/>
  <c r="W508" i="10"/>
  <c r="AB499" i="10"/>
  <c r="AB489" i="10"/>
  <c r="AB479" i="10"/>
  <c r="AB469" i="10"/>
  <c r="AB459" i="10"/>
  <c r="AB451" i="10"/>
  <c r="AB441" i="10"/>
  <c r="AB431" i="10"/>
  <c r="AB423" i="10"/>
  <c r="AB415" i="10"/>
  <c r="AB405" i="10"/>
  <c r="AB397" i="10"/>
  <c r="AB388" i="10"/>
  <c r="W370" i="10"/>
  <c r="AB361" i="10"/>
  <c r="AB353" i="10"/>
  <c r="AB343" i="10"/>
  <c r="AB326" i="10"/>
  <c r="AB318" i="10"/>
  <c r="AB310" i="10"/>
  <c r="AB302" i="10"/>
  <c r="AB294" i="10"/>
  <c r="AB284" i="10"/>
  <c r="AB274" i="10"/>
  <c r="W263" i="10"/>
  <c r="W255" i="10"/>
  <c r="W239" i="10"/>
  <c r="W229" i="10"/>
  <c r="W221" i="10"/>
  <c r="W204" i="10"/>
  <c r="W194" i="10"/>
  <c r="W184" i="10"/>
  <c r="W174" i="10"/>
  <c r="W164" i="10"/>
  <c r="W154" i="10"/>
  <c r="W146" i="10"/>
  <c r="W136" i="10"/>
  <c r="AB127" i="10"/>
  <c r="AB119" i="10"/>
  <c r="AB109" i="10"/>
  <c r="W99" i="10"/>
  <c r="W91" i="10"/>
  <c r="W79" i="10"/>
  <c r="W69" i="10"/>
  <c r="AB60" i="10"/>
  <c r="W44" i="10"/>
  <c r="AB36" i="10"/>
  <c r="W29" i="10"/>
  <c r="W21" i="10"/>
  <c r="W2018" i="10"/>
  <c r="W1966" i="10"/>
  <c r="W1916" i="10"/>
  <c r="W1868" i="10"/>
  <c r="W1831" i="10"/>
  <c r="W1664" i="10"/>
  <c r="W1635" i="10"/>
  <c r="W1606" i="10"/>
  <c r="W1578" i="10"/>
  <c r="W1550" i="10"/>
  <c r="W1514" i="10"/>
  <c r="W1484" i="10"/>
  <c r="W1453" i="10"/>
  <c r="W1425" i="10"/>
  <c r="W1397" i="10"/>
  <c r="W1367" i="10"/>
  <c r="W1339" i="10"/>
  <c r="W1311" i="10"/>
  <c r="W1282" i="10"/>
  <c r="W1254" i="10"/>
  <c r="W1227" i="10"/>
  <c r="W1205" i="10"/>
  <c r="W1184" i="10"/>
  <c r="W1163" i="10"/>
  <c r="W1141" i="10"/>
  <c r="AB1124" i="10"/>
  <c r="W1114" i="10"/>
  <c r="W1103" i="10"/>
  <c r="AB1092" i="10"/>
  <c r="W1082" i="10"/>
  <c r="W1071" i="10"/>
  <c r="AB1060" i="10"/>
  <c r="W1050" i="10"/>
  <c r="W1039" i="10"/>
  <c r="W1023" i="10"/>
  <c r="AB1012" i="10"/>
  <c r="W1002" i="10"/>
  <c r="W991" i="10"/>
  <c r="W2034" i="10"/>
  <c r="W1932" i="10"/>
  <c r="W1842" i="10"/>
  <c r="W1764" i="10"/>
  <c r="W1651" i="10"/>
  <c r="W1594" i="10"/>
  <c r="W1537" i="10"/>
  <c r="W1462" i="10"/>
  <c r="W1405" i="10"/>
  <c r="W1349" i="10"/>
  <c r="W1291" i="10"/>
  <c r="W1234" i="10"/>
  <c r="W1191" i="10"/>
  <c r="W1148" i="10"/>
  <c r="W1117" i="10"/>
  <c r="W1096" i="10"/>
  <c r="AB1074" i="10"/>
  <c r="W1053" i="10"/>
  <c r="AB1010" i="10"/>
  <c r="W989" i="10"/>
  <c r="AB972" i="10"/>
  <c r="W958" i="10"/>
  <c r="W944" i="10"/>
  <c r="W930" i="10"/>
  <c r="W915" i="10"/>
  <c r="W901" i="10"/>
  <c r="W887" i="10"/>
  <c r="AB872" i="10"/>
  <c r="W844" i="10"/>
  <c r="AB829" i="10"/>
  <c r="AB815" i="10"/>
  <c r="AB797" i="10"/>
  <c r="AB783" i="10"/>
  <c r="AB769" i="10"/>
  <c r="AB754" i="10"/>
  <c r="AB743" i="10"/>
  <c r="W733" i="10"/>
  <c r="W722" i="10"/>
  <c r="AB711" i="10"/>
  <c r="W701" i="10"/>
  <c r="W687" i="10"/>
  <c r="AB676" i="10"/>
  <c r="AB665" i="10"/>
  <c r="AB649" i="10"/>
  <c r="W639" i="10"/>
  <c r="AB614" i="10"/>
  <c r="W604" i="10"/>
  <c r="AB592" i="10"/>
  <c r="W582" i="10"/>
  <c r="W571" i="10"/>
  <c r="W560" i="10"/>
  <c r="AB549" i="10"/>
  <c r="W539" i="10"/>
  <c r="W528" i="10"/>
  <c r="AB517" i="10"/>
  <c r="W503" i="10"/>
  <c r="AB492" i="10"/>
  <c r="W479" i="10"/>
  <c r="W466" i="10"/>
  <c r="W455" i="10"/>
  <c r="W442" i="10"/>
  <c r="W431" i="10"/>
  <c r="AB420" i="10"/>
  <c r="W410" i="10"/>
  <c r="W399" i="10"/>
  <c r="AB381" i="10"/>
  <c r="W371" i="10"/>
  <c r="AB354" i="10"/>
  <c r="W344" i="10"/>
  <c r="AB332" i="10"/>
  <c r="AB321" i="10"/>
  <c r="W311" i="10"/>
  <c r="W300" i="10"/>
  <c r="AB289" i="10"/>
  <c r="W276" i="10"/>
  <c r="W264" i="10"/>
  <c r="AB253" i="10"/>
  <c r="AB242" i="10"/>
  <c r="W1844" i="10"/>
  <c r="W1653" i="10"/>
  <c r="W1595" i="10"/>
  <c r="W1525" i="10"/>
  <c r="W1463" i="10"/>
  <c r="W1407" i="10"/>
  <c r="W1350" i="10"/>
  <c r="W1293" i="10"/>
  <c r="W1237" i="10"/>
  <c r="W1192" i="10"/>
  <c r="W1149" i="10"/>
  <c r="W1118" i="10"/>
  <c r="AB1096" i="10"/>
  <c r="W1075" i="10"/>
  <c r="W1054" i="10"/>
  <c r="AB1032" i="10"/>
  <c r="W1011" i="10"/>
  <c r="W990" i="10"/>
  <c r="W973" i="10"/>
  <c r="W959" i="10"/>
  <c r="AB944" i="10"/>
  <c r="AB916" i="10"/>
  <c r="W902" i="10"/>
  <c r="W888" i="10"/>
  <c r="W874" i="10"/>
  <c r="W856" i="10"/>
  <c r="AB826" i="10"/>
  <c r="W1939" i="10"/>
  <c r="W1962" i="10"/>
  <c r="W1849" i="10"/>
  <c r="W2014" i="10"/>
  <c r="W1885" i="10"/>
  <c r="W1791" i="10"/>
  <c r="W1671" i="10"/>
  <c r="W1604" i="10"/>
  <c r="W1536" i="10"/>
  <c r="W1456" i="10"/>
  <c r="W1392" i="10"/>
  <c r="W1332" i="10"/>
  <c r="W1252" i="10"/>
  <c r="W1937" i="10"/>
  <c r="W1793" i="10"/>
  <c r="W1655" i="10"/>
  <c r="W1575" i="10"/>
  <c r="W1483" i="10"/>
  <c r="W1379" i="10"/>
  <c r="W1310" i="10"/>
  <c r="W1251" i="10"/>
  <c r="W1194" i="10"/>
  <c r="W1138" i="10"/>
  <c r="AB1105" i="10"/>
  <c r="AB1075" i="10"/>
  <c r="AB1025" i="10"/>
  <c r="AB995" i="10"/>
  <c r="AB977" i="10"/>
  <c r="AB961" i="10"/>
  <c r="AB939" i="10"/>
  <c r="AB919" i="10"/>
  <c r="AB901" i="10"/>
  <c r="AB881" i="10"/>
  <c r="AB869" i="10"/>
  <c r="W853" i="10"/>
  <c r="W837" i="10"/>
  <c r="W823" i="10"/>
  <c r="W795" i="10"/>
  <c r="W781" i="10"/>
  <c r="W767" i="10"/>
  <c r="W2039" i="10"/>
  <c r="W1961" i="10"/>
  <c r="W1866" i="10"/>
  <c r="W1779" i="10"/>
  <c r="W1691" i="10"/>
  <c r="W1641" i="10"/>
  <c r="W1577" i="10"/>
  <c r="W1526" i="10"/>
  <c r="W1466" i="10"/>
  <c r="W1409" i="10"/>
  <c r="W1366" i="10"/>
  <c r="W1317" i="10"/>
  <c r="W1259" i="10"/>
  <c r="W1215" i="10"/>
  <c r="W1183" i="10"/>
  <c r="W1140" i="10"/>
  <c r="W1116" i="10"/>
  <c r="W1097" i="10"/>
  <c r="W1073" i="10"/>
  <c r="W1057" i="10"/>
  <c r="W1036" i="10"/>
  <c r="AB1014" i="10"/>
  <c r="W996" i="10"/>
  <c r="W980" i="10"/>
  <c r="AB958" i="10"/>
  <c r="W940" i="10"/>
  <c r="W921" i="10"/>
  <c r="W900" i="10"/>
  <c r="W884" i="10"/>
  <c r="W865" i="10"/>
  <c r="AB843" i="10"/>
  <c r="AB824" i="10"/>
  <c r="AB808" i="10"/>
  <c r="AB784" i="10"/>
  <c r="W766" i="10"/>
  <c r="AB748" i="10"/>
  <c r="AB732" i="10"/>
  <c r="AB720" i="10"/>
  <c r="AB706" i="10"/>
  <c r="W690" i="10"/>
  <c r="W674" i="10"/>
  <c r="W662" i="10"/>
  <c r="W644" i="10"/>
  <c r="AB609" i="10"/>
  <c r="AB595" i="10"/>
  <c r="W585" i="10"/>
  <c r="AB574" i="10"/>
  <c r="AB562" i="10"/>
  <c r="AB538" i="10"/>
  <c r="AB524" i="10"/>
  <c r="AB514" i="10"/>
  <c r="AB501" i="10"/>
  <c r="AB487" i="10"/>
  <c r="AB475" i="10"/>
  <c r="AB461" i="10"/>
  <c r="AB449" i="10"/>
  <c r="AB437" i="10"/>
  <c r="AB425" i="10"/>
  <c r="AB411" i="10"/>
  <c r="AB401" i="10"/>
  <c r="AB391" i="10"/>
  <c r="W376" i="10"/>
  <c r="AB355" i="10"/>
  <c r="AB341" i="10"/>
  <c r="W331" i="10"/>
  <c r="AB320" i="10"/>
  <c r="AB308" i="10"/>
  <c r="AB298" i="10"/>
  <c r="AB286" i="10"/>
  <c r="AB272" i="10"/>
  <c r="W259" i="10"/>
  <c r="W249" i="10"/>
  <c r="W235" i="10"/>
  <c r="W225" i="10"/>
  <c r="W202" i="10"/>
  <c r="W188" i="10"/>
  <c r="W176" i="10"/>
  <c r="W162" i="10"/>
  <c r="W138" i="10"/>
  <c r="AB125" i="10"/>
  <c r="AB115" i="10"/>
  <c r="W103" i="10"/>
  <c r="W85" i="10"/>
  <c r="W73" i="10"/>
  <c r="AB62" i="10"/>
  <c r="W49" i="10"/>
  <c r="AB40" i="10"/>
  <c r="AB31" i="10"/>
  <c r="W19" i="10"/>
  <c r="W1991" i="10"/>
  <c r="W1929" i="10"/>
  <c r="W1859" i="10"/>
  <c r="W1802" i="10"/>
  <c r="W1731" i="10"/>
  <c r="W1657" i="10"/>
  <c r="W1621" i="10"/>
  <c r="W1585" i="10"/>
  <c r="W1542" i="10"/>
  <c r="W1461" i="10"/>
  <c r="W1418" i="10"/>
  <c r="W1382" i="10"/>
  <c r="W1346" i="10"/>
  <c r="W1303" i="10"/>
  <c r="W1269" i="10"/>
  <c r="W1233" i="10"/>
  <c r="W1200" i="10"/>
  <c r="W1173" i="10"/>
  <c r="W1147" i="10"/>
  <c r="W1122" i="10"/>
  <c r="AB1108" i="10"/>
  <c r="W1095" i="10"/>
  <c r="W1079" i="10"/>
  <c r="W1066" i="10"/>
  <c r="AB1036" i="10"/>
  <c r="W1018" i="10"/>
  <c r="AB1004" i="10"/>
  <c r="AB988" i="10"/>
  <c r="W1982" i="10"/>
  <c r="W1860" i="10"/>
  <c r="W1622" i="10"/>
  <c r="W1551" i="10"/>
  <c r="W1447" i="10"/>
  <c r="W1377" i="10"/>
  <c r="W1306" i="10"/>
  <c r="W1223" i="10"/>
  <c r="W1169" i="10"/>
  <c r="AB1122" i="10"/>
  <c r="AB1090" i="10"/>
  <c r="W1064" i="10"/>
  <c r="W1037" i="10"/>
  <c r="W1005" i="10"/>
  <c r="W979" i="10"/>
  <c r="W962" i="10"/>
  <c r="AB940" i="10"/>
  <c r="AB922" i="10"/>
  <c r="AB904" i="10"/>
  <c r="W883" i="10"/>
  <c r="W866" i="10"/>
  <c r="AB847" i="10"/>
  <c r="W826" i="10"/>
  <c r="W808" i="10"/>
  <c r="AB786" i="10"/>
  <c r="AB765" i="10"/>
  <c r="W749" i="10"/>
  <c r="AB735" i="10"/>
  <c r="AB719" i="10"/>
  <c r="W706" i="10"/>
  <c r="AB689" i="10"/>
  <c r="W655" i="10"/>
  <c r="AB641" i="10"/>
  <c r="AB622" i="10"/>
  <c r="W609" i="10"/>
  <c r="W596" i="10"/>
  <c r="W579" i="10"/>
  <c r="AB565" i="10"/>
  <c r="W552" i="10"/>
  <c r="W536" i="10"/>
  <c r="W523" i="10"/>
  <c r="W506" i="10"/>
  <c r="W490" i="10"/>
  <c r="W474" i="10"/>
  <c r="W458" i="10"/>
  <c r="W439" i="10"/>
  <c r="W426" i="10"/>
  <c r="AB412" i="10"/>
  <c r="AB396" i="10"/>
  <c r="AB376" i="10"/>
  <c r="W357" i="10"/>
  <c r="AB327" i="10"/>
  <c r="AB297" i="10"/>
  <c r="W284" i="10"/>
  <c r="W267" i="10"/>
  <c r="AB250" i="10"/>
  <c r="W1987" i="10"/>
  <c r="W1863" i="10"/>
  <c r="W1727" i="10"/>
  <c r="W1625" i="10"/>
  <c r="W1553" i="10"/>
  <c r="W1450" i="10"/>
  <c r="W1378" i="10"/>
  <c r="W1307" i="10"/>
  <c r="W1224" i="10"/>
  <c r="W1171" i="10"/>
  <c r="W1123" i="10"/>
  <c r="W1091" i="10"/>
  <c r="AB1064" i="10"/>
  <c r="W1038" i="10"/>
  <c r="W1006" i="10"/>
  <c r="AB980" i="10"/>
  <c r="AB962" i="10"/>
  <c r="W941" i="10"/>
  <c r="W923" i="10"/>
  <c r="W906" i="10"/>
  <c r="AB884" i="10"/>
  <c r="W863" i="10"/>
  <c r="AB844" i="10"/>
  <c r="AB823" i="10"/>
  <c r="AB809" i="10"/>
  <c r="AB794" i="10"/>
  <c r="AB780" i="10"/>
  <c r="AB766" i="10"/>
  <c r="W752" i="10"/>
  <c r="AB741" i="10"/>
  <c r="W731" i="10"/>
  <c r="W707" i="10"/>
  <c r="W693" i="10"/>
  <c r="AB682" i="10"/>
  <c r="AB671" i="10"/>
  <c r="AB658" i="10"/>
  <c r="W634" i="10"/>
  <c r="AB620" i="10"/>
  <c r="W610" i="10"/>
  <c r="W599" i="10"/>
  <c r="AB585" i="10"/>
  <c r="W569" i="10"/>
  <c r="W558" i="10"/>
  <c r="AB547" i="10"/>
  <c r="W537" i="10"/>
  <c r="W526" i="10"/>
  <c r="AB515" i="10"/>
  <c r="W504" i="10"/>
  <c r="AB482" i="10"/>
  <c r="AB466" i="10"/>
  <c r="W456" i="10"/>
  <c r="AB442" i="10"/>
  <c r="W432" i="10"/>
  <c r="W421" i="10"/>
  <c r="AB410" i="10"/>
  <c r="W400" i="10"/>
  <c r="AB387" i="10"/>
  <c r="W377" i="10"/>
  <c r="AB366" i="10"/>
  <c r="W355" i="10"/>
  <c r="AB344" i="10"/>
  <c r="W334" i="10"/>
  <c r="AB319" i="10"/>
  <c r="W309" i="10"/>
  <c r="AB295" i="10"/>
  <c r="W285" i="10"/>
  <c r="W274" i="10"/>
  <c r="AB259" i="10"/>
  <c r="AB248" i="10"/>
  <c r="W238" i="10"/>
  <c r="W1918" i="10"/>
  <c r="W1615" i="10"/>
  <c r="W1502" i="10"/>
  <c r="W1383" i="10"/>
  <c r="W1270" i="10"/>
  <c r="W1175" i="10"/>
  <c r="W1109" i="10"/>
  <c r="W1045" i="10"/>
  <c r="AB1002" i="10"/>
  <c r="W967" i="10"/>
  <c r="W931" i="10"/>
  <c r="W903" i="10"/>
  <c r="AB874" i="10"/>
  <c r="AB845" i="10"/>
  <c r="AB817" i="10"/>
  <c r="AB781" i="10"/>
  <c r="AB753" i="10"/>
  <c r="AB731" i="10"/>
  <c r="W710" i="10"/>
  <c r="AB688" i="10"/>
  <c r="W667" i="10"/>
  <c r="AB640" i="10"/>
  <c r="AB618" i="10"/>
  <c r="W597" i="10"/>
  <c r="W575" i="10"/>
  <c r="AB553" i="10"/>
  <c r="W532" i="10"/>
  <c r="W511" i="10"/>
  <c r="AB488" i="10"/>
  <c r="W462" i="10"/>
  <c r="AB440" i="10"/>
  <c r="W419" i="10"/>
  <c r="AB392" i="10"/>
  <c r="AB369" i="10"/>
  <c r="W348" i="10"/>
  <c r="AB325" i="10"/>
  <c r="W304" i="10"/>
  <c r="W283" i="10"/>
  <c r="AB260" i="10"/>
  <c r="W240" i="10"/>
  <c r="AB227" i="10"/>
  <c r="AB207" i="10"/>
  <c r="AB194" i="10"/>
  <c r="AB183" i="10"/>
  <c r="AB162" i="10"/>
  <c r="AB151" i="10"/>
  <c r="W141" i="10"/>
  <c r="AB124" i="10"/>
  <c r="W114" i="10"/>
  <c r="AB97" i="10"/>
  <c r="AB86" i="10"/>
  <c r="AB73" i="10"/>
  <c r="AB59" i="10"/>
  <c r="W45" i="10"/>
  <c r="W33" i="10"/>
  <c r="W2047" i="10"/>
  <c r="W1854" i="10"/>
  <c r="W1699" i="10"/>
  <c r="W1574" i="10"/>
  <c r="W1429" i="10"/>
  <c r="W1314" i="10"/>
  <c r="W1208" i="10"/>
  <c r="W1126" i="10"/>
  <c r="W1083" i="10"/>
  <c r="AB1040" i="10"/>
  <c r="W998" i="10"/>
  <c r="AB964" i="10"/>
  <c r="W936" i="10"/>
  <c r="W907" i="10"/>
  <c r="W879" i="10"/>
  <c r="W850" i="10"/>
  <c r="AB814" i="10"/>
  <c r="W786" i="10"/>
  <c r="W735" i="10"/>
  <c r="AB713" i="10"/>
  <c r="W1922" i="10"/>
  <c r="W1756" i="10"/>
  <c r="W1617" i="10"/>
  <c r="W1503" i="10"/>
  <c r="W1386" i="10"/>
  <c r="W1271" i="10"/>
  <c r="W1176" i="10"/>
  <c r="W1110" i="10"/>
  <c r="W1067" i="10"/>
  <c r="AB1024" i="10"/>
  <c r="W982" i="10"/>
  <c r="W954" i="10"/>
  <c r="W925" i="10"/>
  <c r="AB896" i="10"/>
  <c r="AB868" i="10"/>
  <c r="AB839" i="10"/>
  <c r="AB810" i="10"/>
  <c r="W754" i="10"/>
  <c r="W732" i="10"/>
  <c r="W711" i="10"/>
  <c r="AB683" i="10"/>
  <c r="AB662" i="10"/>
  <c r="W641" i="10"/>
  <c r="W619" i="10"/>
  <c r="W598" i="10"/>
  <c r="AB575" i="10"/>
  <c r="W554" i="10"/>
  <c r="W533" i="10"/>
  <c r="AB511" i="10"/>
  <c r="W489" i="10"/>
  <c r="W468" i="10"/>
  <c r="AB446" i="10"/>
  <c r="W425" i="10"/>
  <c r="W381" i="10"/>
  <c r="W359" i="10"/>
  <c r="W338" i="10"/>
  <c r="AB315" i="10"/>
  <c r="W294" i="10"/>
  <c r="W273" i="10"/>
  <c r="AB246" i="10"/>
  <c r="AB230" i="10"/>
  <c r="AB217" i="10"/>
  <c r="W203" i="10"/>
  <c r="AB192" i="10"/>
  <c r="AB181" i="10"/>
  <c r="AB168" i="10"/>
  <c r="W155" i="10"/>
  <c r="AB141" i="10"/>
  <c r="W128" i="10"/>
  <c r="W117" i="10"/>
  <c r="AB106" i="10"/>
  <c r="AB95" i="10"/>
  <c r="W82" i="10"/>
  <c r="AB71" i="10"/>
  <c r="AB57" i="10"/>
  <c r="AB47" i="10"/>
  <c r="AB35" i="10"/>
  <c r="W20" i="10"/>
  <c r="W1573" i="10"/>
  <c r="W942" i="10"/>
  <c r="AB799" i="10"/>
  <c r="W703" i="10"/>
  <c r="AB659" i="10"/>
  <c r="AB616" i="10"/>
  <c r="W573" i="10"/>
  <c r="W530" i="10"/>
  <c r="W476" i="10"/>
  <c r="W433" i="10"/>
  <c r="AB378" i="10"/>
  <c r="W335" i="10"/>
  <c r="AB291" i="10"/>
  <c r="AB252" i="10"/>
  <c r="AB223" i="10"/>
  <c r="AB222" i="10" s="1"/>
  <c r="AB195" i="10"/>
  <c r="AB174" i="10"/>
  <c r="W153" i="10"/>
  <c r="W131" i="10"/>
  <c r="W110" i="10"/>
  <c r="W88" i="10"/>
  <c r="W61" i="10"/>
  <c r="W26" i="10"/>
  <c r="W1426" i="10"/>
  <c r="AB1082" i="10"/>
  <c r="W935" i="10"/>
  <c r="W792" i="10"/>
  <c r="W702" i="10"/>
  <c r="W659" i="10"/>
  <c r="W616" i="10"/>
  <c r="AB561" i="10"/>
  <c r="W519" i="10"/>
  <c r="AB464" i="10"/>
  <c r="W422" i="10"/>
  <c r="W345" i="10"/>
  <c r="W291" i="10"/>
  <c r="AB249" i="10"/>
  <c r="AB221" i="10"/>
  <c r="AB161" i="10"/>
  <c r="AB140" i="10"/>
  <c r="W113" i="10"/>
  <c r="AB91" i="10"/>
  <c r="W70" i="10"/>
  <c r="AB46" i="10"/>
  <c r="W1398" i="10"/>
  <c r="W1072" i="10"/>
  <c r="W928" i="10"/>
  <c r="W713" i="10"/>
  <c r="W665" i="10"/>
  <c r="W622" i="10"/>
  <c r="W578" i="10"/>
  <c r="AB535" i="10"/>
  <c r="W492" i="10"/>
  <c r="W449" i="10"/>
  <c r="AB406" i="10"/>
  <c r="AB362" i="10"/>
  <c r="W318" i="10"/>
  <c r="AB275" i="10"/>
  <c r="AB231" i="10"/>
  <c r="AB203" i="10"/>
  <c r="AB171" i="10"/>
  <c r="AB139" i="10"/>
  <c r="W1255" i="10"/>
  <c r="AB892" i="10"/>
  <c r="W778" i="10"/>
  <c r="AB685" i="10"/>
  <c r="W643" i="10"/>
  <c r="W600" i="10"/>
  <c r="W556" i="10"/>
  <c r="AB513" i="10"/>
  <c r="W470" i="10"/>
  <c r="W427" i="10"/>
  <c r="AB372" i="10"/>
  <c r="AB317" i="10"/>
  <c r="W275" i="10"/>
  <c r="W236" i="10"/>
  <c r="W191" i="10"/>
  <c r="AB169" i="10"/>
  <c r="AB148" i="10"/>
  <c r="AB126" i="10"/>
  <c r="W94" i="10"/>
  <c r="AB72" i="10"/>
  <c r="AB43" i="10"/>
  <c r="AB26" i="10"/>
  <c r="W58" i="10"/>
  <c r="AB74" i="10"/>
  <c r="AB44" i="10"/>
  <c r="AB63" i="10"/>
  <c r="W2032" i="10"/>
  <c r="W1879" i="10"/>
  <c r="W1957" i="10"/>
  <c r="W1845" i="10"/>
  <c r="W1705" i="10"/>
  <c r="W1978" i="10"/>
  <c r="W1862" i="10"/>
  <c r="W1757" i="10"/>
  <c r="W1666" i="10"/>
  <c r="W1512" i="10"/>
  <c r="W1444" i="10"/>
  <c r="W1376" i="10"/>
  <c r="W1304" i="10"/>
  <c r="W1232" i="10"/>
  <c r="W1908" i="10"/>
  <c r="W1634" i="10"/>
  <c r="W1438" i="10"/>
  <c r="W1369" i="10"/>
  <c r="W1305" i="10"/>
  <c r="W1226" i="10"/>
  <c r="W1178" i="10"/>
  <c r="W1130" i="10"/>
  <c r="AB1097" i="10"/>
  <c r="AB1071" i="10"/>
  <c r="AB1043" i="10"/>
  <c r="AB1015" i="10"/>
  <c r="AB993" i="10"/>
  <c r="AB975" i="10"/>
  <c r="AB953" i="10"/>
  <c r="AB935" i="10"/>
  <c r="AB895" i="10"/>
  <c r="AB879" i="10"/>
  <c r="W847" i="10"/>
  <c r="W835" i="10"/>
  <c r="W821" i="10"/>
  <c r="W805" i="10"/>
  <c r="W791" i="10"/>
  <c r="W779" i="10"/>
  <c r="W763" i="10"/>
  <c r="W2026" i="10"/>
  <c r="W1938" i="10"/>
  <c r="W1838" i="10"/>
  <c r="W1759" i="10"/>
  <c r="W1680" i="10"/>
  <c r="W1619" i="10"/>
  <c r="W1562" i="10"/>
  <c r="W1451" i="10"/>
  <c r="W1402" i="10"/>
  <c r="W1351" i="10"/>
  <c r="W1295" i="10"/>
  <c r="W1253" i="10"/>
  <c r="W1209" i="10"/>
  <c r="W1167" i="10"/>
  <c r="W2017" i="10"/>
  <c r="W1758" i="10"/>
  <c r="W1892" i="10"/>
  <c r="W1714" i="10"/>
  <c r="W1548" i="10"/>
  <c r="W1400" i="10"/>
  <c r="W1272" i="10"/>
  <c r="W1828" i="10"/>
  <c r="W1586" i="10"/>
  <c r="W1422" i="10"/>
  <c r="W1267" i="10"/>
  <c r="W1150" i="10"/>
  <c r="AB1087" i="10"/>
  <c r="AB1027" i="10"/>
  <c r="AB983" i="10"/>
  <c r="AB945" i="10"/>
  <c r="AB905" i="10"/>
  <c r="AB871" i="10"/>
  <c r="W843" i="10"/>
  <c r="W813" i="10"/>
  <c r="W783" i="10"/>
  <c r="W757" i="10"/>
  <c r="W1875" i="10"/>
  <c r="W1720" i="10"/>
  <c r="W1598" i="10"/>
  <c r="W1491" i="10"/>
  <c r="W1373" i="10"/>
  <c r="W1281" i="10"/>
  <c r="W1188" i="10"/>
  <c r="AB1126" i="10"/>
  <c r="AB1102" i="10"/>
  <c r="AB1070" i="10"/>
  <c r="W1044" i="10"/>
  <c r="AB1022" i="10"/>
  <c r="W993" i="10"/>
  <c r="W969" i="10"/>
  <c r="AB942" i="10"/>
  <c r="W916" i="10"/>
  <c r="AB894" i="10"/>
  <c r="W868" i="10"/>
  <c r="W814" i="10"/>
  <c r="W790" i="10"/>
  <c r="AB763" i="10"/>
  <c r="AB740" i="10"/>
  <c r="AB722" i="10"/>
  <c r="AB700" i="10"/>
  <c r="W684" i="10"/>
  <c r="W664" i="10"/>
  <c r="W640" i="10"/>
  <c r="AB615" i="10"/>
  <c r="AB599" i="10"/>
  <c r="W583" i="10"/>
  <c r="AB568" i="10"/>
  <c r="AB552" i="10"/>
  <c r="AB534" i="10"/>
  <c r="AB520" i="10"/>
  <c r="AB503" i="10"/>
  <c r="AB467" i="10"/>
  <c r="AB453" i="10"/>
  <c r="AB435" i="10"/>
  <c r="AB419" i="10"/>
  <c r="W386" i="10"/>
  <c r="AB357" i="10"/>
  <c r="AB339" i="10"/>
  <c r="AB324" i="10"/>
  <c r="AB312" i="10"/>
  <c r="AB296" i="10"/>
  <c r="AB278" i="10"/>
  <c r="W261" i="10"/>
  <c r="W245" i="10"/>
  <c r="W231" i="10"/>
  <c r="W198" i="10"/>
  <c r="W182" i="10"/>
  <c r="W166" i="10"/>
  <c r="W148" i="10"/>
  <c r="AB131" i="10"/>
  <c r="AB117" i="10"/>
  <c r="W2043" i="10"/>
  <c r="W1780" i="10"/>
  <c r="W1949" i="10"/>
  <c r="W1730" i="10"/>
  <c r="W1572" i="10"/>
  <c r="W1424" i="10"/>
  <c r="W1288" i="10"/>
  <c r="W1836" i="10"/>
  <c r="W1629" i="10"/>
  <c r="W1433" i="10"/>
  <c r="W1273" i="10"/>
  <c r="W1174" i="10"/>
  <c r="AB1093" i="10"/>
  <c r="AB1035" i="10"/>
  <c r="AB987" i="10"/>
  <c r="AB951" i="10"/>
  <c r="AB909" i="10"/>
  <c r="AB877" i="10"/>
  <c r="W845" i="10"/>
  <c r="W815" i="10"/>
  <c r="W789" i="10"/>
  <c r="W759" i="10"/>
  <c r="W1912" i="10"/>
  <c r="W1738" i="10"/>
  <c r="W1611" i="10"/>
  <c r="W1394" i="10"/>
  <c r="W1287" i="10"/>
  <c r="W1193" i="10"/>
  <c r="W1129" i="10"/>
  <c r="W1105" i="10"/>
  <c r="W1084" i="10"/>
  <c r="W1049" i="10"/>
  <c r="W1025" i="10"/>
  <c r="W1001" i="10"/>
  <c r="W972" i="10"/>
  <c r="AB950" i="10"/>
  <c r="AB926" i="10"/>
  <c r="W897" i="10"/>
  <c r="W873" i="10"/>
  <c r="AB851" i="10"/>
  <c r="W822" i="10"/>
  <c r="AB795" i="10"/>
  <c r="AB744" i="10"/>
  <c r="AB728" i="10"/>
  <c r="AB708" i="10"/>
  <c r="W688" i="10"/>
  <c r="W666" i="10"/>
  <c r="W650" i="10"/>
  <c r="AB621" i="10"/>
  <c r="AB601" i="10"/>
  <c r="W587" i="10"/>
  <c r="AB570" i="10"/>
  <c r="AB556" i="10"/>
  <c r="AB542" i="10"/>
  <c r="AB522" i="10"/>
  <c r="AB505" i="10"/>
  <c r="AB491" i="10"/>
  <c r="AB471" i="10"/>
  <c r="AB455" i="10"/>
  <c r="AB439" i="10"/>
  <c r="AB421" i="10"/>
  <c r="AB407" i="10"/>
  <c r="AB393" i="10"/>
  <c r="W374" i="10"/>
  <c r="AB359" i="10"/>
  <c r="AB347" i="10"/>
  <c r="AB314" i="10"/>
  <c r="AB300" i="10"/>
  <c r="AB280" i="10"/>
  <c r="W265" i="10"/>
  <c r="W251" i="10"/>
  <c r="W233" i="10"/>
  <c r="W219" i="10"/>
  <c r="W206" i="10"/>
  <c r="W186" i="10"/>
  <c r="W168" i="10"/>
  <c r="W152" i="10"/>
  <c r="W134" i="10"/>
  <c r="AB121" i="10"/>
  <c r="AB105" i="10"/>
  <c r="W83" i="10"/>
  <c r="AB38" i="10"/>
  <c r="W25" i="10"/>
  <c r="W2005" i="10"/>
  <c r="W1902" i="10"/>
  <c r="W1839" i="10"/>
  <c r="W1751" i="10"/>
  <c r="W1649" i="10"/>
  <c r="W1599" i="10"/>
  <c r="W1557" i="10"/>
  <c r="W1439" i="10"/>
  <c r="W1389" i="10"/>
  <c r="W1333" i="10"/>
  <c r="W1290" i="10"/>
  <c r="W1239" i="10"/>
  <c r="W1195" i="10"/>
  <c r="W1157" i="10"/>
  <c r="W1127" i="10"/>
  <c r="W1106" i="10"/>
  <c r="W1087" i="10"/>
  <c r="AB1068" i="10"/>
  <c r="W1047" i="10"/>
  <c r="W1026" i="10"/>
  <c r="W1007" i="10"/>
  <c r="W986" i="10"/>
  <c r="W1905" i="10"/>
  <c r="W1609" i="10"/>
  <c r="W1494" i="10"/>
  <c r="W1391" i="10"/>
  <c r="W1277" i="10"/>
  <c r="W1201" i="10"/>
  <c r="W1128" i="10"/>
  <c r="W1085" i="10"/>
  <c r="W1048" i="10"/>
  <c r="W1016" i="10"/>
  <c r="W1996" i="10"/>
  <c r="W1701" i="10"/>
  <c r="W1648" i="10"/>
  <c r="W1348" i="10"/>
  <c r="W1718" i="10"/>
  <c r="W1353" i="10"/>
  <c r="AB1011" i="10"/>
  <c r="AB931" i="10"/>
  <c r="AB861" i="10"/>
  <c r="W803" i="10"/>
  <c r="W2015" i="10"/>
  <c r="W1654" i="10"/>
  <c r="W1437" i="10"/>
  <c r="W1238" i="10"/>
  <c r="AB1118" i="10"/>
  <c r="W1068" i="10"/>
  <c r="W1012" i="10"/>
  <c r="W964" i="10"/>
  <c r="AB910" i="10"/>
  <c r="W857" i="10"/>
  <c r="AB811" i="10"/>
  <c r="AB755" i="10"/>
  <c r="AB716" i="10"/>
  <c r="W680" i="10"/>
  <c r="AB593" i="10"/>
  <c r="AB566" i="10"/>
  <c r="AB532" i="10"/>
  <c r="AB495" i="10"/>
  <c r="AB465" i="10"/>
  <c r="AB429" i="10"/>
  <c r="AB399" i="10"/>
  <c r="W368" i="10"/>
  <c r="AB337" i="10"/>
  <c r="AB306" i="10"/>
  <c r="AB276" i="10"/>
  <c r="W243" i="10"/>
  <c r="W178" i="10"/>
  <c r="W144" i="10"/>
  <c r="AB113" i="10"/>
  <c r="W93" i="10"/>
  <c r="W65" i="10"/>
  <c r="W46" i="10"/>
  <c r="W27" i="10"/>
  <c r="W1981" i="10"/>
  <c r="W1876" i="10"/>
  <c r="W1771" i="10"/>
  <c r="W1642" i="10"/>
  <c r="W1507" i="10"/>
  <c r="W1431" i="10"/>
  <c r="W1361" i="10"/>
  <c r="W1297" i="10"/>
  <c r="W1221" i="10"/>
  <c r="W1179" i="10"/>
  <c r="W1131" i="10"/>
  <c r="AB1100" i="10"/>
  <c r="AB1076" i="10"/>
  <c r="W1055" i="10"/>
  <c r="AB1020" i="10"/>
  <c r="AB996" i="10"/>
  <c r="W1958" i="10"/>
  <c r="W1706" i="10"/>
  <c r="W1566" i="10"/>
  <c r="W1419" i="10"/>
  <c r="W1263" i="10"/>
  <c r="W1159" i="10"/>
  <c r="W1101" i="10"/>
  <c r="AB1042" i="10"/>
  <c r="AB994" i="10"/>
  <c r="W965" i="10"/>
  <c r="AB936" i="10"/>
  <c r="W912" i="10"/>
  <c r="AB890" i="10"/>
  <c r="W862" i="10"/>
  <c r="AB836" i="10"/>
  <c r="W812" i="10"/>
  <c r="W780" i="10"/>
  <c r="AB758" i="10"/>
  <c r="W738" i="10"/>
  <c r="W717" i="10"/>
  <c r="W695" i="10"/>
  <c r="W679" i="10"/>
  <c r="AB652" i="10"/>
  <c r="W633" i="10"/>
  <c r="W612" i="10"/>
  <c r="W590" i="10"/>
  <c r="AB573" i="10"/>
  <c r="W555" i="10"/>
  <c r="AB533" i="10"/>
  <c r="W515" i="10"/>
  <c r="W495" i="10"/>
  <c r="AB468" i="10"/>
  <c r="W447" i="10"/>
  <c r="AB428" i="10"/>
  <c r="W407" i="10"/>
  <c r="AB384" i="10"/>
  <c r="W360" i="10"/>
  <c r="AB338" i="10"/>
  <c r="W319" i="10"/>
  <c r="W303" i="10"/>
  <c r="W279" i="10"/>
  <c r="AB258" i="10"/>
  <c r="W2010" i="10"/>
  <c r="W1826" i="10"/>
  <c r="W1670" i="10"/>
  <c r="W1567" i="10"/>
  <c r="W1435" i="10"/>
  <c r="W1335" i="10"/>
  <c r="W1250" i="10"/>
  <c r="W1160" i="10"/>
  <c r="W1107" i="10"/>
  <c r="W1070" i="10"/>
  <c r="W1027" i="10"/>
  <c r="W995" i="10"/>
  <c r="W966" i="10"/>
  <c r="W938" i="10"/>
  <c r="AB912" i="10"/>
  <c r="W891" i="10"/>
  <c r="W859" i="10"/>
  <c r="W834" i="10"/>
  <c r="AB812" i="10"/>
  <c r="AB791" i="10"/>
  <c r="AB773" i="10"/>
  <c r="W756" i="10"/>
  <c r="W739" i="10"/>
  <c r="AB725" i="10"/>
  <c r="AB709" i="10"/>
  <c r="AB690" i="10"/>
  <c r="W677" i="10"/>
  <c r="W661" i="10"/>
  <c r="W645" i="10"/>
  <c r="AB628" i="10"/>
  <c r="AB612" i="10"/>
  <c r="AB596" i="10"/>
  <c r="W577" i="10"/>
  <c r="W561" i="10"/>
  <c r="W545" i="10"/>
  <c r="AB531" i="10"/>
  <c r="W518" i="10"/>
  <c r="W501" i="10"/>
  <c r="W488" i="10"/>
  <c r="W469" i="10"/>
  <c r="W453" i="10"/>
  <c r="W424" i="10"/>
  <c r="W408" i="10"/>
  <c r="AB394" i="10"/>
  <c r="AB363" i="10"/>
  <c r="W350" i="10"/>
  <c r="AB336" i="10"/>
  <c r="W301" i="10"/>
  <c r="AB287" i="10"/>
  <c r="AB271" i="10"/>
  <c r="W254" i="10"/>
  <c r="AB240" i="10"/>
  <c r="W1870" i="10"/>
  <c r="W1678" i="10"/>
  <c r="W1530" i="10"/>
  <c r="W1355" i="10"/>
  <c r="W1217" i="10"/>
  <c r="W1120" i="10"/>
  <c r="AB1034" i="10"/>
  <c r="W1882" i="10"/>
  <c r="W1803" i="10"/>
  <c r="W1482" i="10"/>
  <c r="W1974" i="10"/>
  <c r="W1206" i="10"/>
  <c r="AB963" i="10"/>
  <c r="AB887" i="10"/>
  <c r="W827" i="10"/>
  <c r="W771" i="10"/>
  <c r="W1818" i="10"/>
  <c r="W1534" i="10"/>
  <c r="W1323" i="10"/>
  <c r="W1151" i="10"/>
  <c r="AB1086" i="10"/>
  <c r="W1028" i="10"/>
  <c r="AB982" i="10"/>
  <c r="W929" i="10"/>
  <c r="AB878" i="10"/>
  <c r="W830" i="10"/>
  <c r="AB776" i="10"/>
  <c r="AB730" i="10"/>
  <c r="W696" i="10"/>
  <c r="W654" i="10"/>
  <c r="AB605" i="10"/>
  <c r="AB576" i="10"/>
  <c r="AB544" i="10"/>
  <c r="AB512" i="10"/>
  <c r="AB477" i="10"/>
  <c r="AB445" i="10"/>
  <c r="AB409" i="10"/>
  <c r="W382" i="10"/>
  <c r="AB349" i="10"/>
  <c r="AB316" i="10"/>
  <c r="AB288" i="10"/>
  <c r="W253" i="10"/>
  <c r="W223" i="10"/>
  <c r="W192" i="10"/>
  <c r="W156" i="10"/>
  <c r="AB123" i="10"/>
  <c r="W95" i="10"/>
  <c r="W71" i="10"/>
  <c r="W47" i="10"/>
  <c r="AB33" i="10"/>
  <c r="W2030" i="10"/>
  <c r="W1890" i="10"/>
  <c r="W1790" i="10"/>
  <c r="W1684" i="10"/>
  <c r="W1593" i="10"/>
  <c r="W1521" i="10"/>
  <c r="W1446" i="10"/>
  <c r="W1375" i="10"/>
  <c r="W1318" i="10"/>
  <c r="W1247" i="10"/>
  <c r="W1189" i="10"/>
  <c r="W1136" i="10"/>
  <c r="W1111" i="10"/>
  <c r="AB1084" i="10"/>
  <c r="W1058" i="10"/>
  <c r="W1034" i="10"/>
  <c r="W999" i="10"/>
  <c r="W2009" i="10"/>
  <c r="W1804" i="10"/>
  <c r="W1579" i="10"/>
  <c r="W1434" i="10"/>
  <c r="W1319" i="10"/>
  <c r="W1180" i="10"/>
  <c r="AB1106" i="10"/>
  <c r="W1000" i="10"/>
  <c r="AB968" i="10"/>
  <c r="W947" i="10"/>
  <c r="W919" i="10"/>
  <c r="W894" i="10"/>
  <c r="W869" i="10"/>
  <c r="W840" i="10"/>
  <c r="AB818" i="10"/>
  <c r="AB790" i="10"/>
  <c r="W762" i="10"/>
  <c r="W741" i="10"/>
  <c r="W725" i="10"/>
  <c r="AB703" i="10"/>
  <c r="AB681" i="10"/>
  <c r="W663" i="10"/>
  <c r="AB636" i="10"/>
  <c r="W617" i="10"/>
  <c r="AB598" i="10"/>
  <c r="W576" i="10"/>
  <c r="AB557" i="10"/>
  <c r="AB541" i="10"/>
  <c r="W520" i="10"/>
  <c r="W498" i="10"/>
  <c r="AB476" i="10"/>
  <c r="AB452" i="10"/>
  <c r="W434" i="10"/>
  <c r="W387" i="10"/>
  <c r="AB368" i="10"/>
  <c r="AB346" i="10"/>
  <c r="W324" i="10"/>
  <c r="AB305" i="10"/>
  <c r="W287" i="10"/>
  <c r="AB261" i="10"/>
  <c r="AB245" i="10"/>
  <c r="W1884" i="10"/>
  <c r="W1688" i="10"/>
  <c r="W1582" i="10"/>
  <c r="W1480" i="10"/>
  <c r="W1365" i="10"/>
  <c r="W1265" i="10"/>
  <c r="W1181" i="10"/>
  <c r="AB1112" i="10"/>
  <c r="AB1080" i="10"/>
  <c r="W1043" i="10"/>
  <c r="AB1000" i="10"/>
  <c r="W970" i="10"/>
  <c r="AB948" i="10"/>
  <c r="W920" i="10"/>
  <c r="W895" i="10"/>
  <c r="W870" i="10"/>
  <c r="AB837" i="10"/>
  <c r="W816" i="10"/>
  <c r="AB798" i="10"/>
  <c r="AB777" i="10"/>
  <c r="AB759" i="10"/>
  <c r="W744" i="10"/>
  <c r="W728" i="10"/>
  <c r="W712" i="10"/>
  <c r="AB679" i="10"/>
  <c r="AB666" i="10"/>
  <c r="AB650" i="10"/>
  <c r="W615" i="10"/>
  <c r="W602" i="10"/>
  <c r="AB579" i="10"/>
  <c r="AB563" i="10"/>
  <c r="W550" i="10"/>
  <c r="W534" i="10"/>
  <c r="W521" i="10"/>
  <c r="AB506" i="10"/>
  <c r="AB490" i="10"/>
  <c r="W477" i="10"/>
  <c r="AB458" i="10"/>
  <c r="W440" i="10"/>
  <c r="AB426" i="10"/>
  <c r="W413" i="10"/>
  <c r="W397" i="10"/>
  <c r="AB382" i="10"/>
  <c r="W369" i="10"/>
  <c r="AB352" i="10"/>
  <c r="W322" i="10"/>
  <c r="W306" i="10"/>
  <c r="W290" i="10"/>
  <c r="W277" i="10"/>
  <c r="AB256" i="10"/>
  <c r="AB243" i="10"/>
  <c r="W1969" i="10"/>
  <c r="W1715" i="10"/>
  <c r="W1558" i="10"/>
  <c r="W1413" i="10"/>
  <c r="W1242" i="10"/>
  <c r="W1056" i="10"/>
  <c r="W992" i="10"/>
  <c r="AB952" i="10"/>
  <c r="W910" i="10"/>
  <c r="W867" i="10"/>
  <c r="AB831" i="10"/>
  <c r="AB788" i="10"/>
  <c r="AB747" i="10"/>
  <c r="W721" i="10"/>
  <c r="AB693" i="10"/>
  <c r="AB661" i="10"/>
  <c r="W629" i="10"/>
  <c r="AB602" i="10"/>
  <c r="AB569" i="10"/>
  <c r="W516" i="10"/>
  <c r="W478" i="10"/>
  <c r="W451" i="10"/>
  <c r="AB424" i="10"/>
  <c r="AB385" i="10"/>
  <c r="AB358" i="10"/>
  <c r="AB331" i="10"/>
  <c r="W299" i="10"/>
  <c r="W272" i="10"/>
  <c r="AB244" i="10"/>
  <c r="W222" i="10"/>
  <c r="AB202" i="10"/>
  <c r="AB186" i="10"/>
  <c r="AB170" i="10"/>
  <c r="W157" i="10"/>
  <c r="AB143" i="10"/>
  <c r="W122" i="10"/>
  <c r="AB108" i="10"/>
  <c r="AB89" i="10"/>
  <c r="AB70" i="10"/>
  <c r="W52" i="10"/>
  <c r="W35" i="10"/>
  <c r="W1998" i="10"/>
  <c r="W1777" i="10"/>
  <c r="W1603" i="10"/>
  <c r="W1399" i="10"/>
  <c r="W1258" i="10"/>
  <c r="W1144" i="10"/>
  <c r="AB1072" i="10"/>
  <c r="W1019" i="10"/>
  <c r="W893" i="10"/>
  <c r="W858" i="10"/>
  <c r="AB807" i="10"/>
  <c r="W772" i="10"/>
  <c r="W740" i="10"/>
  <c r="W708" i="10"/>
  <c r="W1834" i="10"/>
  <c r="W1646" i="10"/>
  <c r="W1471" i="10"/>
  <c r="W1329" i="10"/>
  <c r="W1197" i="10"/>
  <c r="W1099" i="10"/>
  <c r="W1046" i="10"/>
  <c r="AB992" i="10"/>
  <c r="AB946" i="10"/>
  <c r="W875" i="10"/>
  <c r="W832" i="10"/>
  <c r="AB796" i="10"/>
  <c r="AB761" i="10"/>
  <c r="W727" i="10"/>
  <c r="AB694" i="10"/>
  <c r="AB667" i="10"/>
  <c r="W635" i="10"/>
  <c r="AB608" i="10"/>
  <c r="W581" i="10"/>
  <c r="W549" i="10"/>
  <c r="W522" i="10"/>
  <c r="AB494" i="10"/>
  <c r="AB462" i="10"/>
  <c r="W436" i="10"/>
  <c r="W409" i="10"/>
  <c r="AB375" i="10"/>
  <c r="AB348" i="10"/>
  <c r="W321" i="10"/>
  <c r="W289" i="10"/>
  <c r="AB257" i="10"/>
  <c r="W234" i="10"/>
  <c r="AB197" i="10"/>
  <c r="AB184" i="10"/>
  <c r="W163" i="10"/>
  <c r="AB149" i="10"/>
  <c r="AB130" i="10"/>
  <c r="AB114" i="10"/>
  <c r="AB100" i="10"/>
  <c r="AB84" i="10"/>
  <c r="AB68" i="10"/>
  <c r="W2046" i="10"/>
  <c r="W1341" i="10"/>
  <c r="AB970" i="10"/>
  <c r="W681" i="10"/>
  <c r="W562" i="10"/>
  <c r="W509" i="10"/>
  <c r="W444" i="10"/>
  <c r="W313" i="10"/>
  <c r="AB263" i="10"/>
  <c r="W218" i="10"/>
  <c r="W185" i="10"/>
  <c r="AB158" i="10"/>
  <c r="W48" i="10"/>
  <c r="AB110" i="10"/>
  <c r="AB201" i="10"/>
  <c r="AB350" i="10"/>
  <c r="W535" i="10"/>
  <c r="AB653" i="10"/>
  <c r="W864" i="10"/>
  <c r="W1061" i="10"/>
  <c r="W1485" i="10"/>
  <c r="AB128" i="10"/>
  <c r="W177" i="10"/>
  <c r="AB215" i="10"/>
  <c r="W258" i="10"/>
  <c r="AB329" i="10"/>
  <c r="AB383" i="10"/>
  <c r="AB438" i="10"/>
  <c r="AB502" i="10"/>
  <c r="W557" i="10"/>
  <c r="AB675" i="10"/>
  <c r="AB756" i="10"/>
  <c r="W899" i="10"/>
  <c r="AB1114" i="10"/>
  <c r="W1630" i="10"/>
  <c r="W37" i="10"/>
  <c r="AB75" i="10"/>
  <c r="W135" i="10"/>
  <c r="W167" i="10"/>
  <c r="W199" i="10"/>
  <c r="AB239" i="10"/>
  <c r="AB301" i="10"/>
  <c r="W367" i="10"/>
  <c r="W454" i="10"/>
  <c r="AB529" i="10"/>
  <c r="AB594" i="10"/>
  <c r="AB648" i="10"/>
  <c r="W718" i="10"/>
  <c r="AB849" i="10"/>
  <c r="W1040" i="10"/>
  <c r="W1545" i="10"/>
  <c r="AB41" i="10"/>
  <c r="AB82" i="10"/>
  <c r="W115" i="10"/>
  <c r="AB147" i="10"/>
  <c r="AB190" i="10"/>
  <c r="AB234" i="10"/>
  <c r="W302" i="10"/>
  <c r="W401" i="10"/>
  <c r="W465" i="10"/>
  <c r="AB551" i="10"/>
  <c r="AB638" i="10"/>
  <c r="AB723" i="10"/>
  <c r="W914" i="10"/>
  <c r="W1455" i="10"/>
  <c r="AB25" i="10"/>
  <c r="W50" i="10"/>
  <c r="W74" i="10"/>
  <c r="AB92" i="10"/>
  <c r="W112" i="10"/>
  <c r="AB136" i="10"/>
  <c r="AB157" i="10"/>
  <c r="W179" i="10"/>
  <c r="AB200" i="10"/>
  <c r="W252" i="10"/>
  <c r="AB299" i="10"/>
  <c r="W332" i="10"/>
  <c r="AB370" i="10"/>
  <c r="AB414" i="10"/>
  <c r="W452" i="10"/>
  <c r="W484" i="10"/>
  <c r="AB527" i="10"/>
  <c r="W565" i="10"/>
  <c r="W603" i="10"/>
  <c r="AB646" i="10"/>
  <c r="AB678" i="10"/>
  <c r="AB721" i="10"/>
  <c r="W768" i="10"/>
  <c r="W818" i="10"/>
  <c r="W861" i="10"/>
  <c r="W918" i="10"/>
  <c r="W968" i="10"/>
  <c r="W1035" i="10"/>
  <c r="AB1120" i="10"/>
  <c r="W1243" i="10"/>
  <c r="W1442" i="10"/>
  <c r="W1679" i="10"/>
  <c r="W1972" i="10"/>
  <c r="AB729" i="10"/>
  <c r="AB778" i="10"/>
  <c r="AB828" i="10"/>
  <c r="W886" i="10"/>
  <c r="W943" i="10"/>
  <c r="W987" i="10"/>
  <c r="W1062" i="10"/>
  <c r="W1165" i="10"/>
  <c r="W1546" i="10"/>
  <c r="W1816" i="10"/>
  <c r="AB24" i="10"/>
  <c r="AB49" i="10"/>
  <c r="W76" i="10"/>
  <c r="AB94" i="10"/>
  <c r="W119" i="10"/>
  <c r="AB146" i="10"/>
  <c r="W165" i="10"/>
  <c r="W181" i="10"/>
  <c r="W205" i="10"/>
  <c r="AB233" i="10"/>
  <c r="W266" i="10"/>
  <c r="AB309" i="10"/>
  <c r="AB342" i="10"/>
  <c r="AB380" i="10"/>
  <c r="W430" i="10"/>
  <c r="W467" i="10"/>
  <c r="AB504" i="10"/>
  <c r="W548" i="10"/>
  <c r="W586" i="10"/>
  <c r="W624" i="10"/>
  <c r="AB672" i="10"/>
  <c r="W705" i="10"/>
  <c r="W742" i="10"/>
  <c r="W796" i="10"/>
  <c r="AB852" i="10"/>
  <c r="W896" i="10"/>
  <c r="W960" i="10"/>
  <c r="W1077" i="10"/>
  <c r="W1298" i="10"/>
  <c r="W1587" i="10"/>
  <c r="W2019" i="10"/>
  <c r="W262" i="10"/>
  <c r="W293" i="10"/>
  <c r="W325" i="10"/>
  <c r="W358" i="10"/>
  <c r="W385" i="10"/>
  <c r="W416" i="10"/>
  <c r="W445" i="10"/>
  <c r="W480" i="10"/>
  <c r="W510" i="10"/>
  <c r="AB539" i="10"/>
  <c r="W566" i="10"/>
  <c r="AB604" i="10"/>
  <c r="AB639" i="10"/>
  <c r="W669" i="10"/>
  <c r="AB701" i="10"/>
  <c r="AB733" i="10"/>
  <c r="AB762" i="10"/>
  <c r="W802" i="10"/>
  <c r="W848" i="10"/>
  <c r="AB898" i="10"/>
  <c r="W952" i="10"/>
  <c r="AB1016" i="10"/>
  <c r="W1086" i="10"/>
  <c r="W1203" i="10"/>
  <c r="W1393" i="10"/>
  <c r="W1610" i="10"/>
  <c r="W1910" i="10"/>
  <c r="W271" i="10"/>
  <c r="W308" i="10"/>
  <c r="W349" i="10"/>
  <c r="W402" i="10"/>
  <c r="AB436" i="10"/>
  <c r="AB525" i="10"/>
  <c r="W563" i="10"/>
  <c r="W601" i="10"/>
  <c r="AB644" i="10"/>
  <c r="AB684" i="10"/>
  <c r="AB727" i="10"/>
  <c r="AB772" i="10"/>
  <c r="AB822" i="10"/>
  <c r="W926" i="10"/>
  <c r="W976" i="10"/>
  <c r="W1069" i="10"/>
  <c r="W1212" i="10"/>
  <c r="W1479" i="10"/>
  <c r="W1823" i="10"/>
  <c r="W1010" i="10"/>
  <c r="W1063" i="10"/>
  <c r="AB1116" i="10"/>
  <c r="W1211" i="10"/>
  <c r="W1325" i="10"/>
  <c r="W1467" i="10"/>
  <c r="W1614" i="10"/>
  <c r="W1811" i="10"/>
  <c r="W2045" i="10"/>
  <c r="AB56" i="10"/>
  <c r="W97" i="10"/>
  <c r="W158" i="10"/>
  <c r="W227" i="10"/>
  <c r="AB290" i="10"/>
  <c r="AB351" i="10"/>
  <c r="AB417" i="10"/>
  <c r="AB481" i="10"/>
  <c r="AB548" i="10"/>
  <c r="AB613" i="10"/>
  <c r="AB698" i="10"/>
  <c r="AB779" i="10"/>
  <c r="AB886" i="10"/>
  <c r="W985" i="10"/>
  <c r="W1092" i="10"/>
  <c r="W1338" i="10"/>
  <c r="W1827" i="10"/>
  <c r="W831" i="10"/>
  <c r="AB967" i="10"/>
  <c r="W1222" i="10"/>
  <c r="W2031" i="10"/>
  <c r="W1824" i="10"/>
  <c r="AB463" i="10"/>
  <c r="F43" i="44"/>
  <c r="F49" i="44" s="1"/>
  <c r="F32" i="45" s="1"/>
  <c r="S1534" i="4" a="1"/>
  <c r="S1534" i="4" s="1"/>
  <c r="I1536" i="4" a="1"/>
  <c r="I1536" i="4" s="1"/>
  <c r="N1537" i="4" a="1"/>
  <c r="N1537" i="4" s="1"/>
  <c r="I1540" i="4" a="1"/>
  <c r="I1540" i="4" s="1"/>
  <c r="N1541" i="4" a="1"/>
  <c r="N1541" i="4" s="1"/>
  <c r="S1542" i="4" a="1"/>
  <c r="S1542" i="4" s="1"/>
  <c r="I1544" i="4" a="1"/>
  <c r="I1544" i="4" s="1"/>
  <c r="N1549" i="4" a="1"/>
  <c r="N1549" i="4" s="1"/>
  <c r="S1550" i="4" a="1"/>
  <c r="S1550" i="4" s="1"/>
  <c r="I1552" i="4" a="1"/>
  <c r="I1552" i="4" s="1"/>
  <c r="N1553" i="4" a="1"/>
  <c r="N1553" i="4" s="1"/>
  <c r="S1554" i="4" a="1"/>
  <c r="S1554" i="4" s="1"/>
  <c r="I1556" i="4" a="1"/>
  <c r="I1556" i="4" s="1"/>
  <c r="N1557" i="4" a="1"/>
  <c r="N1557" i="4" s="1"/>
  <c r="S1558" i="4" a="1"/>
  <c r="S1558" i="4" s="1"/>
  <c r="I1560" i="4" a="1"/>
  <c r="I1560" i="4" s="1"/>
  <c r="N1561" i="4" a="1"/>
  <c r="N1561" i="4" s="1"/>
  <c r="S1562" i="4" a="1"/>
  <c r="S1562" i="4" s="1"/>
  <c r="I1564" i="4" a="1"/>
  <c r="I1564" i="4" s="1"/>
  <c r="N1565" i="4" a="1"/>
  <c r="N1565" i="4" s="1"/>
  <c r="I1568" i="4" a="1"/>
  <c r="I1568" i="4" s="1"/>
  <c r="N1569" i="4" a="1"/>
  <c r="N1569" i="4" s="1"/>
  <c r="S1570" i="4" a="1"/>
  <c r="S1570" i="4" s="1"/>
  <c r="N1573" i="4" a="1"/>
  <c r="N1573" i="4" s="1"/>
  <c r="S1574" i="4" a="1"/>
  <c r="S1574" i="4" s="1"/>
  <c r="I1576" i="4" a="1"/>
  <c r="I1576" i="4" s="1"/>
  <c r="N1577" i="4" a="1"/>
  <c r="N1577" i="4" s="1"/>
  <c r="S1578" i="4" a="1"/>
  <c r="S1578" i="4" s="1"/>
  <c r="I1580" i="4" a="1"/>
  <c r="I1580" i="4" s="1"/>
  <c r="S1582" i="4" a="1"/>
  <c r="S1582" i="4" s="1"/>
  <c r="I1584" i="4" a="1"/>
  <c r="I1584" i="4" s="1"/>
  <c r="S1586" i="4" a="1"/>
  <c r="S1586" i="4" s="1"/>
  <c r="I1588" i="4" a="1"/>
  <c r="I1588" i="4" s="1"/>
  <c r="N1589" i="4" a="1"/>
  <c r="N1589" i="4" s="1"/>
  <c r="S1590" i="4" a="1"/>
  <c r="S1590" i="4" s="1"/>
  <c r="N1593" i="4" a="1"/>
  <c r="N1593" i="4" s="1"/>
  <c r="S1594" i="4" a="1"/>
  <c r="S1594" i="4" s="1"/>
  <c r="N1597" i="4" a="1"/>
  <c r="N1597" i="4" s="1"/>
  <c r="S1598" i="4" a="1"/>
  <c r="S1598" i="4" s="1"/>
  <c r="N1601" i="4" a="1"/>
  <c r="N1601" i="4" s="1"/>
  <c r="S1602" i="4" a="1"/>
  <c r="S1602" i="4" s="1"/>
  <c r="I1604" i="4" a="1"/>
  <c r="I1604" i="4" s="1"/>
  <c r="N1605" i="4" a="1"/>
  <c r="N1605" i="4" s="1"/>
  <c r="I1608" i="4" a="1"/>
  <c r="I1608" i="4" s="1"/>
  <c r="S1610" i="4" a="1"/>
  <c r="S1610" i="4" s="1"/>
  <c r="I1612" i="4" a="1"/>
  <c r="I1612" i="4" s="1"/>
  <c r="N1613" i="4" a="1"/>
  <c r="N1613" i="4" s="1"/>
  <c r="S1614" i="4" a="1"/>
  <c r="S1614" i="4" s="1"/>
  <c r="I1616" i="4" a="1"/>
  <c r="I1616" i="4" s="1"/>
  <c r="N1617" i="4" a="1"/>
  <c r="N1617" i="4" s="1"/>
  <c r="S1618" i="4" a="1"/>
  <c r="S1618" i="4" s="1"/>
  <c r="S1622" i="4" a="1"/>
  <c r="S1622" i="4" s="1"/>
  <c r="I1624" i="4" a="1"/>
  <c r="I1624" i="4" s="1"/>
  <c r="S1626" i="4" a="1"/>
  <c r="S1626" i="4" s="1"/>
  <c r="I1628" i="4" a="1"/>
  <c r="I1628" i="4" s="1"/>
  <c r="I1632" i="4" a="1"/>
  <c r="I1632" i="4" s="1"/>
  <c r="S1634" i="4" a="1"/>
  <c r="S1634" i="4" s="1"/>
  <c r="I1636" i="4" a="1"/>
  <c r="I1636" i="4" s="1"/>
  <c r="N1637" i="4" a="1"/>
  <c r="N1637" i="4" s="1"/>
  <c r="S1638" i="4" a="1"/>
  <c r="S1638" i="4" s="1"/>
  <c r="I1640" i="4" a="1"/>
  <c r="I1640" i="4" s="1"/>
  <c r="I1644" i="4" a="1"/>
  <c r="I1644" i="4" s="1"/>
  <c r="N1645" i="4" a="1"/>
  <c r="N1645" i="4" s="1"/>
  <c r="S1646" i="4" a="1"/>
  <c r="S1646" i="4" s="1"/>
  <c r="I1648" i="4" a="1"/>
  <c r="I1648" i="4" s="1"/>
  <c r="N1649" i="4" a="1"/>
  <c r="N1649" i="4" s="1"/>
  <c r="N1653" i="4" a="1"/>
  <c r="N1653" i="4" s="1"/>
  <c r="S1654" i="4" a="1"/>
  <c r="S1654" i="4" s="1"/>
  <c r="I1656" i="4" a="1"/>
  <c r="I1656" i="4" s="1"/>
  <c r="S1658" i="4" a="1"/>
  <c r="S1658" i="4" s="1"/>
  <c r="I1660" i="4" a="1"/>
  <c r="I1660" i="4" s="1"/>
  <c r="N1661" i="4" a="1"/>
  <c r="N1661" i="4" s="1"/>
  <c r="S1662" i="4" a="1"/>
  <c r="S1662" i="4" s="1"/>
  <c r="I1664" i="4" a="1"/>
  <c r="I1664" i="4" s="1"/>
  <c r="N1665" i="4" a="1"/>
  <c r="N1665" i="4" s="1"/>
  <c r="S1666" i="4" a="1"/>
  <c r="S1666" i="4" s="1"/>
  <c r="I1668" i="4" a="1"/>
  <c r="I1668" i="4" s="1"/>
  <c r="N1669" i="4" a="1"/>
  <c r="N1669" i="4" s="1"/>
  <c r="S1670" i="4" a="1"/>
  <c r="S1670" i="4" s="1"/>
  <c r="I1672" i="4" a="1"/>
  <c r="I1672" i="4" s="1"/>
  <c r="N1673" i="4" a="1"/>
  <c r="N1673" i="4" s="1"/>
  <c r="S1674" i="4" a="1"/>
  <c r="S1674" i="4" s="1"/>
  <c r="I1676" i="4" a="1"/>
  <c r="I1676" i="4" s="1"/>
  <c r="N1677" i="4" a="1"/>
  <c r="N1677" i="4" s="1"/>
  <c r="S1678" i="4" a="1"/>
  <c r="S1678" i="4" s="1"/>
  <c r="O515" i="6"/>
  <c r="W1982" i="2"/>
  <c r="O86" i="6"/>
  <c r="W1807" i="2"/>
  <c r="W1830" i="2"/>
  <c r="W1327" i="2"/>
  <c r="W1809" i="2"/>
  <c r="W1508" i="2"/>
  <c r="W1241" i="2"/>
  <c r="W1656" i="2"/>
  <c r="AB1109" i="2"/>
  <c r="AB1032" i="2"/>
  <c r="W967" i="2"/>
  <c r="AB899" i="2"/>
  <c r="W1305" i="2"/>
  <c r="W1128" i="2"/>
  <c r="AB1059" i="2"/>
  <c r="O858" i="6"/>
  <c r="O169" i="6"/>
  <c r="O264" i="6"/>
  <c r="O37" i="6"/>
  <c r="W1369" i="2"/>
  <c r="W1404" i="2"/>
  <c r="W1892" i="2"/>
  <c r="W1580" i="2"/>
  <c r="W1306" i="2"/>
  <c r="W1731" i="2"/>
  <c r="W1156" i="2"/>
  <c r="W1050" i="2"/>
  <c r="W983" i="2"/>
  <c r="W917" i="2"/>
  <c r="W1406" i="2"/>
  <c r="W1159" i="2"/>
  <c r="AB1076" i="2"/>
  <c r="AB1004" i="2"/>
  <c r="W940" i="2"/>
  <c r="W872" i="2"/>
  <c r="W1239" i="2"/>
  <c r="AB1110" i="2"/>
  <c r="AB1038" i="2"/>
  <c r="W972" i="2"/>
  <c r="AB904" i="2"/>
  <c r="W1309" i="2"/>
  <c r="W1129" i="2"/>
  <c r="AB1060" i="2"/>
  <c r="AB989" i="2"/>
  <c r="W924" i="2"/>
  <c r="W839" i="2"/>
  <c r="AB765" i="2"/>
  <c r="AB696" i="2"/>
  <c r="W622" i="2"/>
  <c r="W553" i="2"/>
  <c r="W481" i="2"/>
  <c r="AB828" i="2"/>
  <c r="AB754" i="2"/>
  <c r="W686" i="2"/>
  <c r="W611" i="2"/>
  <c r="W541" i="2"/>
  <c r="AB468" i="2"/>
  <c r="W797" i="2"/>
  <c r="W758" i="2"/>
  <c r="AB724" i="2"/>
  <c r="AB689" i="2"/>
  <c r="AB653" i="2"/>
  <c r="AB614" i="2"/>
  <c r="W579" i="2"/>
  <c r="W545" i="2"/>
  <c r="W510" i="2"/>
  <c r="AB852" i="2"/>
  <c r="AB819" i="2"/>
  <c r="AB783" i="2"/>
  <c r="W745" i="2"/>
  <c r="AB711" i="2"/>
  <c r="W676" i="2"/>
  <c r="W638" i="2"/>
  <c r="AB601" i="2"/>
  <c r="W566" i="2"/>
  <c r="AB531" i="2"/>
  <c r="AB489" i="2"/>
  <c r="AB432" i="2"/>
  <c r="AB395" i="2"/>
  <c r="W351" i="2"/>
  <c r="AB313" i="2"/>
  <c r="AB278" i="2"/>
  <c r="W241" i="2"/>
  <c r="W197" i="2"/>
  <c r="W160" i="2"/>
  <c r="AB122" i="2"/>
  <c r="W82" i="2"/>
  <c r="W451" i="2"/>
  <c r="W410" i="2"/>
  <c r="AB371" i="2"/>
  <c r="W331" i="2"/>
  <c r="W295" i="2"/>
  <c r="AB256" i="2"/>
  <c r="AB218" i="2"/>
  <c r="AB176" i="2"/>
  <c r="W139" i="2"/>
  <c r="W98" i="2"/>
  <c r="AB491" i="2"/>
  <c r="AB447" i="2"/>
  <c r="W378" i="2"/>
  <c r="W400" i="2"/>
  <c r="W427" i="2"/>
  <c r="AB462" i="2"/>
  <c r="AB86" i="2"/>
  <c r="AB149" i="2"/>
  <c r="AB195" i="2"/>
  <c r="AB247" i="2"/>
  <c r="AB304" i="2"/>
  <c r="AB351" i="2"/>
  <c r="AB401" i="2"/>
  <c r="W463" i="2"/>
  <c r="AB101" i="2"/>
  <c r="AB152" i="2"/>
  <c r="AB207" i="2"/>
  <c r="W259" i="2"/>
  <c r="W304" i="2"/>
  <c r="W360" i="2"/>
  <c r="AB413" i="2"/>
  <c r="AB469" i="2"/>
  <c r="W540" i="2"/>
  <c r="AB582" i="2"/>
  <c r="W627" i="2"/>
  <c r="AB684" i="2"/>
  <c r="W728" i="2"/>
  <c r="W770" i="2"/>
  <c r="AB827" i="2"/>
  <c r="AB871" i="2"/>
  <c r="AB536" i="2"/>
  <c r="AB588" i="2"/>
  <c r="AB633" i="2"/>
  <c r="AB680" i="2"/>
  <c r="W733" i="2"/>
  <c r="W778" i="2"/>
  <c r="W826" i="2"/>
  <c r="W488" i="2"/>
  <c r="AB575" i="2"/>
  <c r="W668" i="2"/>
  <c r="AB771" i="2"/>
  <c r="W863" i="2"/>
  <c r="AB535" i="2"/>
  <c r="W643" i="2"/>
  <c r="W732" i="2"/>
  <c r="W823" i="2"/>
  <c r="AB941" i="2"/>
  <c r="W1022" i="2"/>
  <c r="AB1112" i="2"/>
  <c r="W1414" i="2"/>
  <c r="AB939" i="2"/>
  <c r="W1020" i="2"/>
  <c r="AB1127" i="2"/>
  <c r="W1402" i="2"/>
  <c r="W923" i="2"/>
  <c r="W1021" i="2"/>
  <c r="W1193" i="2"/>
  <c r="AB934" i="2"/>
  <c r="W1071" i="2"/>
  <c r="W1808" i="2"/>
  <c r="W1657" i="2"/>
  <c r="W1527" i="2"/>
  <c r="O182" i="6"/>
  <c r="O465" i="6"/>
  <c r="D70" i="46"/>
  <c r="W2012" i="10"/>
  <c r="W1971" i="10"/>
  <c r="W1935" i="10"/>
  <c r="W1891" i="10"/>
  <c r="W2022" i="10"/>
  <c r="W1985" i="10"/>
  <c r="W1941" i="10"/>
  <c r="W1909" i="10"/>
  <c r="W1865" i="10"/>
  <c r="W1829" i="10"/>
  <c r="W1801" i="10"/>
  <c r="W1689" i="10"/>
  <c r="W1661" i="10"/>
  <c r="W1956" i="10"/>
  <c r="W1878" i="10"/>
  <c r="W1840" i="10"/>
  <c r="W1814" i="10"/>
  <c r="W1781" i="10"/>
  <c r="W1752" i="10"/>
  <c r="W1660" i="10"/>
  <c r="W1632" i="10"/>
  <c r="W1612" i="10"/>
  <c r="W1588" i="10"/>
  <c r="W1568" i="10"/>
  <c r="W1544" i="10"/>
  <c r="W1520" i="10"/>
  <c r="W1472" i="10"/>
  <c r="W1448" i="10"/>
  <c r="W1428" i="10"/>
  <c r="W1408" i="10"/>
  <c r="W1384" i="10"/>
  <c r="W1364" i="10"/>
  <c r="W1344" i="10"/>
  <c r="W1320" i="10"/>
  <c r="W1300" i="10"/>
  <c r="W1280" i="10"/>
  <c r="W1256" i="10"/>
  <c r="W1236" i="10"/>
  <c r="W2013" i="10"/>
  <c r="W1945" i="10"/>
  <c r="W1897" i="10"/>
  <c r="W1850" i="10"/>
  <c r="W1807" i="10"/>
  <c r="W1769" i="10"/>
  <c r="W1683" i="10"/>
  <c r="W1650" i="10"/>
  <c r="W1618" i="10"/>
  <c r="W1591" i="10"/>
  <c r="W1565" i="10"/>
  <c r="W1533" i="10"/>
  <c r="W1506" i="10"/>
  <c r="W1477" i="10"/>
  <c r="W1443" i="10"/>
  <c r="W1417" i="10"/>
  <c r="W1390" i="10"/>
  <c r="AB635" i="10"/>
  <c r="W2036" i="10"/>
  <c r="W2020" i="10"/>
  <c r="W2004" i="10"/>
  <c r="W1988" i="10"/>
  <c r="W1967" i="10"/>
  <c r="W1947" i="10"/>
  <c r="W1931" i="10"/>
  <c r="W1915" i="10"/>
  <c r="W1883" i="10"/>
  <c r="W2044" i="10"/>
  <c r="W2024" i="10"/>
  <c r="W2000" i="10"/>
  <c r="W1980" i="10"/>
  <c r="W1951" i="10"/>
  <c r="W1927" i="10"/>
  <c r="W1907" i="10"/>
  <c r="W1887" i="10"/>
  <c r="W2033" i="10"/>
  <c r="W2011" i="10"/>
  <c r="W1990" i="10"/>
  <c r="W1968" i="10"/>
  <c r="W1946" i="10"/>
  <c r="W1925" i="10"/>
  <c r="W1904" i="10"/>
  <c r="W1873" i="10"/>
  <c r="W1857" i="10"/>
  <c r="W1841" i="10"/>
  <c r="W1825" i="10"/>
  <c r="W1809" i="10"/>
  <c r="W1788" i="10"/>
  <c r="W1750" i="10"/>
  <c r="W1733" i="10"/>
  <c r="W1717" i="10"/>
  <c r="W1681" i="10"/>
  <c r="W1665" i="10"/>
  <c r="W2029" i="10"/>
  <c r="W1999" i="10"/>
  <c r="W2016" i="10"/>
  <c r="W1992" i="10"/>
  <c r="W1959" i="10"/>
  <c r="W1895" i="10"/>
  <c r="W2038" i="10"/>
  <c r="W2006" i="10"/>
  <c r="W1979" i="10"/>
  <c r="W1952" i="10"/>
  <c r="W1920" i="10"/>
  <c r="W1888" i="10"/>
  <c r="W1861" i="10"/>
  <c r="W1837" i="10"/>
  <c r="W1817" i="10"/>
  <c r="W1792" i="10"/>
  <c r="W1762" i="10"/>
  <c r="W1741" i="10"/>
  <c r="W1721" i="10"/>
  <c r="W1693" i="10"/>
  <c r="W1673" i="10"/>
  <c r="W2035" i="10"/>
  <c r="W1993" i="10"/>
  <c r="W1964" i="10"/>
  <c r="W1928" i="10"/>
  <c r="W1900" i="10"/>
  <c r="W1872" i="10"/>
  <c r="W1851" i="10"/>
  <c r="W1830" i="10"/>
  <c r="W1786" i="10"/>
  <c r="W1763" i="10"/>
  <c r="W1740" i="10"/>
  <c r="W1719" i="10"/>
  <c r="W1698" i="10"/>
  <c r="W1676" i="10"/>
  <c r="W1656" i="10"/>
  <c r="W1640" i="10"/>
  <c r="W1624" i="10"/>
  <c r="W1608" i="10"/>
  <c r="W1592" i="10"/>
  <c r="W1576" i="10"/>
  <c r="W1556" i="10"/>
  <c r="W1540" i="10"/>
  <c r="W1524" i="10"/>
  <c r="W1508" i="10"/>
  <c r="W1492" i="10"/>
  <c r="W1468" i="10"/>
  <c r="W1452" i="10"/>
  <c r="W1436" i="10"/>
  <c r="W1420" i="10"/>
  <c r="W1404" i="10"/>
  <c r="W1388" i="10"/>
  <c r="W1372" i="10"/>
  <c r="W1356" i="10"/>
  <c r="W1340" i="10"/>
  <c r="W1324" i="10"/>
  <c r="W1308" i="10"/>
  <c r="W1292" i="10"/>
  <c r="W1276" i="10"/>
  <c r="W1260" i="10"/>
  <c r="W1244" i="10"/>
  <c r="W2041" i="10"/>
  <c r="W2003" i="10"/>
  <c r="W1917" i="10"/>
  <c r="W1880" i="10"/>
  <c r="W1815" i="10"/>
  <c r="W1785" i="10"/>
  <c r="W1755" i="10"/>
  <c r="W1726" i="10"/>
  <c r="W1696" i="10"/>
  <c r="W1668" i="10"/>
  <c r="W1645" i="10"/>
  <c r="W1623" i="10"/>
  <c r="W1602" i="10"/>
  <c r="W1581" i="10"/>
  <c r="W1559" i="10"/>
  <c r="W1538" i="10"/>
  <c r="W1517" i="10"/>
  <c r="W1495" i="10"/>
  <c r="W1470" i="10"/>
  <c r="W1449" i="10"/>
  <c r="W1427" i="10"/>
  <c r="W1406" i="10"/>
  <c r="W1385" i="10"/>
  <c r="W1363" i="10"/>
  <c r="W1342" i="10"/>
  <c r="W1321" i="10"/>
  <c r="W1299" i="10"/>
  <c r="W1278" i="10"/>
  <c r="W1257" i="10"/>
  <c r="W1235" i="10"/>
  <c r="W1218" i="10"/>
  <c r="W1202" i="10"/>
  <c r="W1186" i="10"/>
  <c r="W1170" i="10"/>
  <c r="W1154" i="10"/>
  <c r="W1134" i="10"/>
  <c r="AB1123" i="10"/>
  <c r="AB1115" i="10"/>
  <c r="AB1107" i="10"/>
  <c r="AB1091" i="10"/>
  <c r="AB1083" i="10"/>
  <c r="AB1073" i="10"/>
  <c r="AB1065" i="10"/>
  <c r="AB1045" i="10"/>
  <c r="AB1037" i="10"/>
  <c r="AB1021" i="10"/>
  <c r="AB1013" i="10"/>
  <c r="AB1005" i="10"/>
  <c r="AB997" i="10"/>
  <c r="AB989" i="10"/>
  <c r="AB981" i="10"/>
  <c r="AB973" i="10"/>
  <c r="AB965" i="10"/>
  <c r="AB957" i="10"/>
  <c r="AB949" i="10"/>
  <c r="AB941" i="10"/>
  <c r="AB933" i="10"/>
  <c r="AB923" i="10"/>
  <c r="AB915" i="10"/>
  <c r="AB899" i="10"/>
  <c r="AB891" i="10"/>
  <c r="E44" i="46"/>
  <c r="E72" i="12"/>
  <c r="H92" i="12"/>
  <c r="N92" i="12" s="1"/>
  <c r="P92" i="12" s="1"/>
  <c r="E5" i="38"/>
  <c r="D5" i="21"/>
  <c r="E5" i="6"/>
  <c r="E5" i="2"/>
  <c r="M5" i="2" s="1"/>
  <c r="E5" i="45"/>
  <c r="D5" i="44"/>
  <c r="D5" i="18"/>
  <c r="D5" i="28"/>
  <c r="E5" i="42"/>
  <c r="E5" i="34"/>
  <c r="E5" i="41"/>
  <c r="D5" i="12"/>
  <c r="E5" i="10"/>
  <c r="B4" i="48"/>
  <c r="C2" i="50" s="1"/>
  <c r="D5" i="25"/>
  <c r="D5" i="29"/>
  <c r="E5" i="46"/>
  <c r="D5" i="31"/>
  <c r="E5" i="57"/>
  <c r="N10" i="4" a="1"/>
  <c r="N10" i="4" s="1"/>
  <c r="E10" i="11" s="1"/>
  <c r="S11" i="4" a="1"/>
  <c r="S11" i="4" s="1"/>
  <c r="I13" i="4" a="1"/>
  <c r="I13" i="4" s="1"/>
  <c r="N14" i="4" a="1"/>
  <c r="N14" i="4" s="1"/>
  <c r="S14" i="4" a="1"/>
  <c r="S14" i="4" s="1"/>
  <c r="I16" i="4" a="1"/>
  <c r="I16" i="4" s="1"/>
  <c r="N18" i="4" a="1"/>
  <c r="N18" i="4" s="1"/>
  <c r="S19" i="4" a="1"/>
  <c r="S19" i="4" s="1"/>
  <c r="I20" i="4" a="1"/>
  <c r="I20" i="4" s="1"/>
  <c r="AB236" i="10" s="1"/>
  <c r="N21" i="4" a="1"/>
  <c r="N21" i="4" s="1"/>
  <c r="S23" i="4" a="1"/>
  <c r="S23" i="4" s="1"/>
  <c r="N25" i="4" a="1"/>
  <c r="N25" i="4" s="1"/>
  <c r="S26" i="4" a="1"/>
  <c r="S26" i="4" s="1"/>
  <c r="S27" i="4" a="1"/>
  <c r="S27" i="4" s="1"/>
  <c r="I29" i="4" a="1"/>
  <c r="I29" i="4" s="1"/>
  <c r="AB213" i="10" s="1"/>
  <c r="N30" i="4" a="1"/>
  <c r="N30" i="4" s="1"/>
  <c r="S31" i="4" a="1"/>
  <c r="S31" i="4" s="1"/>
  <c r="N33" i="4" a="1"/>
  <c r="N33" i="4" s="1"/>
  <c r="F35" i="11" s="1"/>
  <c r="N34" i="4" a="1"/>
  <c r="N34" i="4" s="1"/>
  <c r="S35" i="4" a="1"/>
  <c r="S35" i="4" s="1"/>
  <c r="N37" i="4" a="1"/>
  <c r="N37" i="4" s="1"/>
  <c r="E39" i="11" s="1"/>
  <c r="N38" i="4" a="1"/>
  <c r="N38" i="4" s="1"/>
  <c r="S39" i="4" a="1"/>
  <c r="S39" i="4" s="1"/>
  <c r="I41" i="4" a="1"/>
  <c r="I41" i="4" s="1"/>
  <c r="AB917" i="10" s="1"/>
  <c r="N41" i="4" a="1"/>
  <c r="N41" i="4" s="1"/>
  <c r="S42" i="4" a="1"/>
  <c r="S42" i="4" s="1"/>
  <c r="S43" i="4" a="1"/>
  <c r="S43" i="4" s="1"/>
  <c r="I45" i="4" a="1"/>
  <c r="I45" i="4" s="1"/>
  <c r="N46" i="4" a="1"/>
  <c r="N46" i="4" s="1"/>
  <c r="I48" i="4" a="1"/>
  <c r="I48" i="4" s="1"/>
  <c r="AB433" i="10" s="1"/>
  <c r="I49" i="4" a="1"/>
  <c r="I49" i="4" s="1"/>
  <c r="N50" i="4" a="1"/>
  <c r="N50" i="4" s="1"/>
  <c r="F54" i="11" s="1"/>
  <c r="I53" i="4" a="1"/>
  <c r="I53" i="4" s="1"/>
  <c r="S54" i="4" a="1"/>
  <c r="S54" i="4" s="1"/>
  <c r="I57" i="4" a="1"/>
  <c r="I57" i="4" s="1"/>
  <c r="N57" i="4" a="1"/>
  <c r="N57" i="4" s="1"/>
  <c r="F61" i="11" s="1"/>
  <c r="S58" i="4" a="1"/>
  <c r="S58" i="4" s="1"/>
  <c r="S59" i="4" a="1"/>
  <c r="S59" i="4" s="1"/>
  <c r="I61" i="4" a="1"/>
  <c r="I61" i="4" s="1"/>
  <c r="N62" i="4" a="1"/>
  <c r="N62" i="4" s="1"/>
  <c r="F66" i="11" s="1"/>
  <c r="I64" i="4" a="1"/>
  <c r="I64" i="4" s="1"/>
  <c r="I65" i="4" a="1"/>
  <c r="I65" i="4" s="1"/>
  <c r="S67" i="4" a="1"/>
  <c r="S67" i="4" s="1"/>
  <c r="I68" i="4" a="1"/>
  <c r="I68" i="4" s="1"/>
  <c r="W90" i="10" s="1"/>
  <c r="N70" i="4" a="1"/>
  <c r="N70" i="4" s="1"/>
  <c r="S71" i="4" a="1"/>
  <c r="S71" i="4" s="1"/>
  <c r="I73" i="4" a="1"/>
  <c r="I73" i="4" s="1"/>
  <c r="N74" i="4" a="1"/>
  <c r="N74" i="4" s="1"/>
  <c r="I76" i="4" a="1"/>
  <c r="I76" i="4" s="1"/>
  <c r="I77" i="4" a="1"/>
  <c r="I77" i="4" s="1"/>
  <c r="N78" i="4" a="1"/>
  <c r="N78" i="4" s="1"/>
  <c r="S78" i="4" a="1"/>
  <c r="S78" i="4" s="1"/>
  <c r="I80" i="4" a="1"/>
  <c r="I80" i="4" s="1"/>
  <c r="N82" i="4" a="1"/>
  <c r="N82" i="4" s="1"/>
  <c r="I84" i="4" a="1"/>
  <c r="I84" i="4" s="1"/>
  <c r="W237" i="10" s="1"/>
  <c r="N85" i="4" a="1"/>
  <c r="N85" i="4" s="1"/>
  <c r="F89" i="11" s="1"/>
  <c r="N86" i="4" a="1"/>
  <c r="N86" i="4" s="1"/>
  <c r="S87" i="4" a="1"/>
  <c r="S87" i="4" s="1"/>
  <c r="I89" i="4" a="1"/>
  <c r="I89" i="4" s="1"/>
  <c r="W247" i="10" s="1"/>
  <c r="S90" i="4" a="1"/>
  <c r="S90" i="4" s="1"/>
  <c r="S91" i="4" a="1"/>
  <c r="S91" i="4" s="1"/>
  <c r="I93" i="4" a="1"/>
  <c r="I93" i="4" s="1"/>
  <c r="N94" i="4" a="1"/>
  <c r="N94" i="4" s="1"/>
  <c r="S95" i="4" a="1"/>
  <c r="S95" i="4" s="1"/>
  <c r="N98" i="4" a="1"/>
  <c r="N98" i="4" s="1"/>
  <c r="S99" i="4" a="1"/>
  <c r="S99" i="4" s="1"/>
  <c r="I100" i="4" a="1"/>
  <c r="I100" i="4" s="1"/>
  <c r="W483" i="10" s="1"/>
  <c r="N101" i="4" a="1"/>
  <c r="N101" i="4" s="1"/>
  <c r="F109" i="11" s="1"/>
  <c r="N102" i="4" a="1"/>
  <c r="N102" i="4" s="1"/>
  <c r="S103" i="4" a="1"/>
  <c r="S103" i="4" s="1"/>
  <c r="S106" i="4" a="1"/>
  <c r="S106" i="4" s="1"/>
  <c r="I109" i="4" a="1"/>
  <c r="I109" i="4" s="1"/>
  <c r="AB858" i="10" s="1"/>
  <c r="N110" i="4" a="1"/>
  <c r="N110" i="4" s="1"/>
  <c r="S110" i="4" a="1"/>
  <c r="S110" i="4" s="1"/>
  <c r="I113" i="4" a="1"/>
  <c r="I113" i="4" s="1"/>
  <c r="N114" i="4" a="1"/>
  <c r="N114" i="4" s="1"/>
  <c r="S115" i="4" a="1"/>
  <c r="S115" i="4" s="1"/>
  <c r="I117" i="4" a="1"/>
  <c r="I117" i="4" s="1"/>
  <c r="W102" i="10" s="1"/>
  <c r="S118" i="4" a="1"/>
  <c r="S118" i="4" s="1"/>
  <c r="I121" i="4" a="1"/>
  <c r="I121" i="4" s="1"/>
  <c r="W1493" i="10" s="1"/>
  <c r="N121" i="4" a="1"/>
  <c r="N121" i="4" s="1"/>
  <c r="S122" i="4" a="1"/>
  <c r="S122" i="4" s="1"/>
  <c r="S123" i="4" a="1"/>
  <c r="S123" i="4" s="1"/>
  <c r="I125" i="4" a="1"/>
  <c r="I125" i="4" s="1"/>
  <c r="W1501" i="10" s="1"/>
  <c r="N126" i="4" a="1"/>
  <c r="N126" i="4" s="1"/>
  <c r="F139" i="11" s="1"/>
  <c r="S126" i="4" a="1"/>
  <c r="S126" i="4" s="1"/>
  <c r="I128" i="4" a="1"/>
  <c r="I128" i="4" s="1"/>
  <c r="W351" i="10" s="1"/>
  <c r="N130" i="4" a="1"/>
  <c r="N130" i="4" s="1"/>
  <c r="S131" i="4" a="1"/>
  <c r="S131" i="4" s="1"/>
  <c r="N134" i="4" a="1"/>
  <c r="N134" i="4" s="1"/>
  <c r="I137" i="4" a="1"/>
  <c r="I137" i="4" s="1"/>
  <c r="W437" i="10" s="1"/>
  <c r="N138" i="4" a="1"/>
  <c r="N138" i="4" s="1"/>
  <c r="N142" i="4" a="1"/>
  <c r="N142" i="4" s="1"/>
  <c r="S142" i="4" a="1"/>
  <c r="S142" i="4" s="1"/>
  <c r="I144" i="4" a="1"/>
  <c r="I144" i="4" s="1"/>
  <c r="W1143" i="10" s="1"/>
  <c r="N146" i="4" a="1"/>
  <c r="N146" i="4" s="1"/>
  <c r="I148" i="4" a="1"/>
  <c r="I148" i="4" s="1"/>
  <c r="W1509" i="10" s="1"/>
  <c r="N149" i="4" a="1"/>
  <c r="N149" i="4" s="1"/>
  <c r="S151" i="4" a="1"/>
  <c r="S151" i="4" s="1"/>
  <c r="I153" i="4" a="1"/>
  <c r="I153" i="4" s="1"/>
  <c r="AB876" i="10" s="1"/>
  <c r="I157" i="4" a="1"/>
  <c r="I157" i="4" s="1"/>
  <c r="W1644" i="10" s="1"/>
  <c r="N158" i="4" a="1"/>
  <c r="N158" i="4" s="1"/>
  <c r="S159" i="4" a="1"/>
  <c r="S159" i="4" s="1"/>
  <c r="S163" i="4" a="1"/>
  <c r="S163" i="4" s="1"/>
  <c r="I164" i="4" a="1"/>
  <c r="I164" i="4" s="1"/>
  <c r="N165" i="4" a="1"/>
  <c r="N165" i="4" s="1"/>
  <c r="S167" i="4" a="1"/>
  <c r="S167" i="4" s="1"/>
  <c r="N169" i="4" a="1"/>
  <c r="N169" i="4" s="1"/>
  <c r="S170" i="4" a="1"/>
  <c r="S170" i="4" s="1"/>
  <c r="I173" i="4" a="1"/>
  <c r="I173" i="4" s="1"/>
  <c r="N174" i="4" a="1"/>
  <c r="N174" i="4" s="1"/>
  <c r="I177" i="4" a="1"/>
  <c r="I177" i="4" s="1"/>
  <c r="AB1059" i="10" s="1"/>
  <c r="N178" i="4" a="1"/>
  <c r="N178" i="4" s="1"/>
  <c r="S179" i="4" a="1"/>
  <c r="S179" i="4" s="1"/>
  <c r="I181" i="4" a="1"/>
  <c r="I181" i="4" s="1"/>
  <c r="I185" i="4" a="1"/>
  <c r="I185" i="4" s="1"/>
  <c r="N185" i="4" a="1"/>
  <c r="N185" i="4" s="1"/>
  <c r="S186" i="4" a="1"/>
  <c r="S186" i="4" s="1"/>
  <c r="I192" i="4" a="1"/>
  <c r="I192" i="4" s="1"/>
  <c r="N194" i="4" a="1"/>
  <c r="N194" i="4" s="1"/>
  <c r="S195" i="4" a="1"/>
  <c r="S195" i="4" s="1"/>
  <c r="N198" i="4" a="1"/>
  <c r="N198" i="4" s="1"/>
  <c r="S199" i="4" a="1"/>
  <c r="S199" i="4" s="1"/>
  <c r="I201" i="4" a="1"/>
  <c r="I201" i="4" s="1"/>
  <c r="W1843" i="10" s="1"/>
  <c r="N202" i="4" a="1"/>
  <c r="N202" i="4" s="1"/>
  <c r="S206" i="4" a="1"/>
  <c r="S206" i="4" s="1"/>
  <c r="I208" i="4" a="1"/>
  <c r="I208" i="4" s="1"/>
  <c r="N210" i="4" a="1"/>
  <c r="N210" i="4" s="1"/>
  <c r="I212" i="4" a="1"/>
  <c r="I212" i="4" s="1"/>
  <c r="N213" i="4" a="1"/>
  <c r="N213" i="4" s="1"/>
  <c r="F237" i="11" s="1"/>
  <c r="S215" i="4" a="1"/>
  <c r="S215" i="4" s="1"/>
  <c r="I217" i="4" a="1"/>
  <c r="I217" i="4" s="1"/>
  <c r="S219" i="4" a="1"/>
  <c r="S219" i="4" s="1"/>
  <c r="N222" i="4" a="1"/>
  <c r="N222" i="4" s="1"/>
  <c r="E222" i="11" s="1"/>
  <c r="I225" i="4" a="1"/>
  <c r="I225" i="4" s="1"/>
  <c r="AB757" i="10" s="1"/>
  <c r="S227" i="4" a="1"/>
  <c r="S227" i="4" s="1"/>
  <c r="I229" i="4" a="1"/>
  <c r="I229" i="4" s="1"/>
  <c r="W678" i="10" s="1"/>
  <c r="I233" i="4" a="1"/>
  <c r="I233" i="4" s="1"/>
  <c r="AB540" i="10" s="1"/>
  <c r="N233" i="4" a="1"/>
  <c r="N233" i="4" s="1"/>
  <c r="E325" i="11" s="1"/>
  <c r="S234" i="4" a="1"/>
  <c r="S234" i="4" s="1"/>
  <c r="I237" i="4" a="1"/>
  <c r="I237" i="4" s="1"/>
  <c r="I240" i="4" a="1"/>
  <c r="I240" i="4" s="1"/>
  <c r="W1965" i="10" s="1"/>
  <c r="S243" i="4" a="1"/>
  <c r="S243" i="4" s="1"/>
  <c r="N246" i="4" a="1"/>
  <c r="N246" i="4" s="1"/>
  <c r="F274" i="11" s="1"/>
  <c r="I249" i="4" a="1"/>
  <c r="I249" i="4" s="1"/>
  <c r="W658" i="10" s="1"/>
  <c r="I252" i="4" a="1"/>
  <c r="I252" i="4" s="1"/>
  <c r="W668" i="10" s="1"/>
  <c r="S254" i="4" a="1"/>
  <c r="S254" i="4" s="1"/>
  <c r="I256" i="4" a="1"/>
  <c r="I256" i="4" s="1"/>
  <c r="AB550" i="10" s="1"/>
  <c r="I6" i="4" a="1"/>
  <c r="I6" i="4" s="1"/>
  <c r="AB51" i="10" s="1"/>
  <c r="N8" i="4" a="1"/>
  <c r="N8" i="4" s="1"/>
  <c r="E8" i="11" s="1"/>
  <c r="S8" i="4" a="1"/>
  <c r="S8" i="4" s="1"/>
  <c r="I11" i="4" a="1"/>
  <c r="I11" i="4" s="1"/>
  <c r="AB199" i="10" s="1"/>
  <c r="N11" i="4" a="1"/>
  <c r="N11" i="4" s="1"/>
  <c r="F11" i="11" s="1"/>
  <c r="S17" i="4" a="1"/>
  <c r="S17" i="4" s="1"/>
  <c r="I18" i="4" a="1"/>
  <c r="I18" i="4" s="1"/>
  <c r="N20" i="4" a="1"/>
  <c r="N20" i="4" s="1"/>
  <c r="N23" i="4" a="1"/>
  <c r="N23" i="4" s="1"/>
  <c r="I31" i="4" a="1"/>
  <c r="I31" i="4" s="1"/>
  <c r="AB303" i="10" s="1"/>
  <c r="I34" i="4" a="1"/>
  <c r="I34" i="4" s="1"/>
  <c r="AB282" i="10" s="1"/>
  <c r="N36" i="4" a="1"/>
  <c r="N36" i="4" s="1"/>
  <c r="I39" i="4" a="1"/>
  <c r="I39" i="4" s="1"/>
  <c r="N40" i="4" a="1"/>
  <c r="N40" i="4" s="1"/>
  <c r="S45" i="4" a="1"/>
  <c r="S45" i="4" s="1"/>
  <c r="I51" i="4" a="1"/>
  <c r="I51" i="4" s="1"/>
  <c r="AB345" i="10" s="1"/>
  <c r="N51" i="4" a="1"/>
  <c r="N51" i="4" s="1"/>
  <c r="N52" i="4" a="1"/>
  <c r="N52" i="4" s="1"/>
  <c r="F52" i="11" s="1"/>
  <c r="S52" i="4" a="1"/>
  <c r="S52" i="4" s="1"/>
  <c r="I54" i="4" a="1"/>
  <c r="I54" i="4" s="1"/>
  <c r="N56" i="4" a="1"/>
  <c r="N56" i="4" s="1"/>
  <c r="S56" i="4" a="1"/>
  <c r="S56" i="4" s="1"/>
  <c r="S57" i="4" a="1"/>
  <c r="S57" i="4" s="1"/>
  <c r="I66" i="4" a="1"/>
  <c r="I66" i="4" s="1"/>
  <c r="N68" i="4" a="1"/>
  <c r="N68" i="4" s="1"/>
  <c r="F72" i="11" s="1"/>
  <c r="I71" i="4" a="1"/>
  <c r="I71" i="4" s="1"/>
  <c r="W67" i="10" s="1"/>
  <c r="S72" i="4" a="1"/>
  <c r="S72" i="4" s="1"/>
  <c r="S73" i="4" a="1"/>
  <c r="S73" i="4" s="1"/>
  <c r="I74" i="4" a="1"/>
  <c r="I74" i="4" s="1"/>
  <c r="N75" i="4" a="1"/>
  <c r="N75" i="4" s="1"/>
  <c r="S76" i="4" a="1"/>
  <c r="S76" i="4" s="1"/>
  <c r="S77" i="4" a="1"/>
  <c r="S77" i="4" s="1"/>
  <c r="I78" i="4" a="1"/>
  <c r="I78" i="4" s="1"/>
  <c r="I79" i="4" a="1"/>
  <c r="I79" i="4" s="1"/>
  <c r="N88" i="4" a="1"/>
  <c r="N88" i="4" s="1"/>
  <c r="F92" i="11" s="1"/>
  <c r="S93" i="4" a="1"/>
  <c r="S93" i="4" s="1"/>
  <c r="I94" i="4" a="1"/>
  <c r="I94" i="4" s="1"/>
  <c r="N95" i="4" a="1"/>
  <c r="N95" i="4" s="1"/>
  <c r="I98" i="4" a="1"/>
  <c r="I98" i="4" s="1"/>
  <c r="W472" i="10" s="1"/>
  <c r="I99" i="4" a="1"/>
  <c r="I99" i="4" s="1"/>
  <c r="W415" i="10" s="1"/>
  <c r="N108" i="4" a="1"/>
  <c r="N108" i="4" s="1"/>
  <c r="I111" i="4" a="1"/>
  <c r="I111" i="4" s="1"/>
  <c r="I115" i="4" a="1"/>
  <c r="I115" i="4" s="1"/>
  <c r="AB930" i="10" s="1"/>
  <c r="N115" i="4" a="1"/>
  <c r="N115" i="4" s="1"/>
  <c r="N116" i="4" a="1"/>
  <c r="N116" i="4" s="1"/>
  <c r="S116" i="4" a="1"/>
  <c r="S116" i="4" s="1"/>
  <c r="N119" i="4" a="1"/>
  <c r="N119" i="4" s="1"/>
  <c r="N120" i="4" a="1"/>
  <c r="N120" i="4" s="1"/>
  <c r="F129" i="11" s="1"/>
  <c r="S120" i="4" a="1"/>
  <c r="S120" i="4" s="1"/>
  <c r="S121" i="4" a="1"/>
  <c r="S121" i="4" s="1"/>
  <c r="S124" i="4" a="1"/>
  <c r="S124" i="4" s="1"/>
  <c r="S129" i="4" a="1"/>
  <c r="S129" i="4" s="1"/>
  <c r="N131" i="4" a="1"/>
  <c r="N131" i="4" s="1"/>
  <c r="N136" i="4" a="1"/>
  <c r="N136" i="4" s="1"/>
  <c r="S136" i="4" a="1"/>
  <c r="S136" i="4" s="1"/>
  <c r="I138" i="4" a="1"/>
  <c r="I138" i="4" s="1"/>
  <c r="AB907" i="10" s="1"/>
  <c r="S140" i="4" a="1"/>
  <c r="S140" i="4" s="1"/>
  <c r="S141" i="4" a="1"/>
  <c r="S141" i="4" s="1"/>
  <c r="I146" i="4" a="1"/>
  <c r="I146" i="4" s="1"/>
  <c r="N258" i="4" a="1"/>
  <c r="N258" i="4" s="1"/>
  <c r="N262" i="4" a="1"/>
  <c r="N262" i="4" s="1"/>
  <c r="I265" i="4" a="1"/>
  <c r="I265" i="4" s="1"/>
  <c r="S267" i="4" a="1"/>
  <c r="S267" i="4" s="1"/>
  <c r="N270" i="4" a="1"/>
  <c r="N270" i="4" s="1"/>
  <c r="S271" i="4" a="1"/>
  <c r="S271" i="4" s="1"/>
  <c r="N278" i="4" a="1"/>
  <c r="N278" i="4" s="1"/>
  <c r="I281" i="4" a="1"/>
  <c r="I281" i="4" s="1"/>
  <c r="N286" i="4" a="1"/>
  <c r="N286" i="4" s="1"/>
  <c r="I289" i="4" a="1"/>
  <c r="I289" i="4" s="1"/>
  <c r="S291" i="4" a="1"/>
  <c r="S291" i="4" s="1"/>
  <c r="S294" i="4" a="1"/>
  <c r="S294" i="4" s="1"/>
  <c r="N297" i="4" a="1"/>
  <c r="N297" i="4" s="1"/>
  <c r="I301" i="4" a="1"/>
  <c r="I301" i="4" s="1"/>
  <c r="N302" i="4" a="1"/>
  <c r="N302" i="4" s="1"/>
  <c r="I313" i="4" a="1"/>
  <c r="I313" i="4" s="1"/>
  <c r="I317" i="4" a="1"/>
  <c r="I317" i="4" s="1"/>
  <c r="I320" i="4" a="1"/>
  <c r="I320" i="4" s="1"/>
  <c r="I324" i="4" a="1"/>
  <c r="I324" i="4" s="1"/>
  <c r="I329" i="4" a="1"/>
  <c r="I329" i="4" s="1"/>
  <c r="S335" i="4" a="1"/>
  <c r="S335" i="4" s="1"/>
  <c r="N337" i="4" a="1"/>
  <c r="N337" i="4" s="1"/>
  <c r="N338" i="4" a="1"/>
  <c r="N338" i="4" s="1"/>
  <c r="N342" i="4" a="1"/>
  <c r="N342" i="4" s="1"/>
  <c r="S343" i="4" a="1"/>
  <c r="S343" i="4" s="1"/>
  <c r="I345" i="4" a="1"/>
  <c r="I345" i="4" s="1"/>
  <c r="S346" i="4" a="1"/>
  <c r="S346" i="4" s="1"/>
  <c r="S355" i="4" a="1"/>
  <c r="S355" i="4" s="1"/>
  <c r="I361" i="4" a="1"/>
  <c r="I361" i="4" s="1"/>
  <c r="S362" i="4" a="1"/>
  <c r="S362" i="4" s="1"/>
  <c r="I373" i="4" a="1"/>
  <c r="I373" i="4" s="1"/>
  <c r="S383" i="4" a="1"/>
  <c r="S383" i="4" s="1"/>
  <c r="N385" i="4" a="1"/>
  <c r="N385" i="4" s="1"/>
  <c r="N390" i="4" a="1"/>
  <c r="N390" i="4" s="1"/>
  <c r="I396" i="4" a="1"/>
  <c r="I396" i="4" s="1"/>
  <c r="S399" i="4" a="1"/>
  <c r="S399" i="4" s="1"/>
  <c r="I404" i="4" a="1"/>
  <c r="I404" i="4" s="1"/>
  <c r="N410" i="4" a="1"/>
  <c r="N410" i="4" s="1"/>
  <c r="S414" i="4" a="1"/>
  <c r="S414" i="4" s="1"/>
  <c r="I420" i="4" a="1"/>
  <c r="I420" i="4" s="1"/>
  <c r="I425" i="4" a="1"/>
  <c r="I425" i="4" s="1"/>
  <c r="I428" i="4" a="1"/>
  <c r="I428" i="4" s="1"/>
  <c r="I433" i="4" a="1"/>
  <c r="I433" i="4" s="1"/>
  <c r="N437" i="4" a="1"/>
  <c r="N437" i="4" s="1"/>
  <c r="N449" i="4" a="1"/>
  <c r="N449" i="4" s="1"/>
  <c r="I460" i="4" a="1"/>
  <c r="I460" i="4" s="1"/>
  <c r="I464" i="4" a="1"/>
  <c r="I464" i="4" s="1"/>
  <c r="S467" i="4" a="1"/>
  <c r="S467" i="4" s="1"/>
  <c r="N469" i="4" a="1"/>
  <c r="N469" i="4" s="1"/>
  <c r="N473" i="4" a="1"/>
  <c r="N473" i="4" s="1"/>
  <c r="N474" i="4" a="1"/>
  <c r="N474" i="4" s="1"/>
  <c r="I480" i="4" a="1"/>
  <c r="I480" i="4" s="1"/>
  <c r="I484" i="4" a="1"/>
  <c r="I484" i="4" s="1"/>
  <c r="I485" i="4" a="1"/>
  <c r="I485" i="4" s="1"/>
  <c r="S487" i="4" a="1"/>
  <c r="S487" i="4" s="1"/>
  <c r="S490" i="4" a="1"/>
  <c r="S490" i="4" s="1"/>
  <c r="S494" i="4" a="1"/>
  <c r="S494" i="4" s="1"/>
  <c r="N498" i="4" a="1"/>
  <c r="N498" i="4" s="1"/>
  <c r="S499" i="4" a="1"/>
  <c r="S499" i="4" s="1"/>
  <c r="N501" i="4" a="1"/>
  <c r="N501" i="4" s="1"/>
  <c r="N505" i="4" a="1"/>
  <c r="N505" i="4" s="1"/>
  <c r="N510" i="4" a="1"/>
  <c r="N510" i="4" s="1"/>
  <c r="I512" i="4" a="1"/>
  <c r="I512" i="4" s="1"/>
  <c r="I516" i="4" a="1"/>
  <c r="I516" i="4" s="1"/>
  <c r="I517" i="4" a="1"/>
  <c r="I517" i="4" s="1"/>
  <c r="S522" i="4" a="1"/>
  <c r="S522" i="4" s="1"/>
  <c r="S526" i="4" a="1"/>
  <c r="S526" i="4" s="1"/>
  <c r="S527" i="4" a="1"/>
  <c r="S527" i="4" s="1"/>
  <c r="N530" i="4" a="1"/>
  <c r="N530" i="4" s="1"/>
  <c r="N533" i="4" a="1"/>
  <c r="N533" i="4" s="1"/>
  <c r="N537" i="4" a="1"/>
  <c r="N537" i="4" s="1"/>
  <c r="I541" i="4" a="1"/>
  <c r="I541" i="4" s="1"/>
  <c r="N542" i="4" a="1"/>
  <c r="N542" i="4" s="1"/>
  <c r="I544" i="4" a="1"/>
  <c r="I544" i="4" s="1"/>
  <c r="S550" i="4" a="1"/>
  <c r="S550" i="4" s="1"/>
  <c r="I553" i="4" a="1"/>
  <c r="I553" i="4" s="1"/>
  <c r="S558" i="4" a="1"/>
  <c r="S558" i="4" s="1"/>
  <c r="S559" i="4" a="1"/>
  <c r="S559" i="4" s="1"/>
  <c r="N565" i="4" a="1"/>
  <c r="N565" i="4" s="1"/>
  <c r="S571" i="4" a="1"/>
  <c r="S571" i="4" s="1"/>
  <c r="I580" i="4" a="1"/>
  <c r="I580" i="4" s="1"/>
  <c r="I581" i="4" a="1"/>
  <c r="I581" i="4" s="1"/>
  <c r="S586" i="4" a="1"/>
  <c r="S586" i="4" s="1"/>
  <c r="I593" i="4" a="1"/>
  <c r="I593" i="4" s="1"/>
  <c r="N601" i="4" a="1"/>
  <c r="N601" i="4" s="1"/>
  <c r="S152" i="4" a="1"/>
  <c r="S152" i="4" s="1"/>
  <c r="S153" i="4" a="1"/>
  <c r="S153" i="4" s="1"/>
  <c r="S156" i="4" a="1"/>
  <c r="S156" i="4" s="1"/>
  <c r="S157" i="4" a="1"/>
  <c r="S157" i="4" s="1"/>
  <c r="I158" i="4" a="1"/>
  <c r="I158" i="4" s="1"/>
  <c r="W1674" i="10" s="1"/>
  <c r="N160" i="4" a="1"/>
  <c r="N160" i="4" s="1"/>
  <c r="S160" i="4" a="1"/>
  <c r="S160" i="4" s="1"/>
  <c r="I162" i="4" a="1"/>
  <c r="I162" i="4" s="1"/>
  <c r="F175" i="11" s="1"/>
  <c r="I163" i="4" a="1"/>
  <c r="I163" i="4" s="1"/>
  <c r="W1571" i="10" s="1"/>
  <c r="N164" i="4" a="1"/>
  <c r="N164" i="4" s="1"/>
  <c r="I174" i="4" a="1"/>
  <c r="I174" i="4" s="1"/>
  <c r="AB1039" i="10" s="1"/>
  <c r="I179" i="4" a="1"/>
  <c r="I179" i="4" s="1"/>
  <c r="N179" i="4" a="1"/>
  <c r="N179" i="4" s="1"/>
  <c r="I182" i="4" a="1"/>
  <c r="I182" i="4" s="1"/>
  <c r="AB804" i="10" s="1"/>
  <c r="N184" i="4" a="1"/>
  <c r="N184" i="4" s="1"/>
  <c r="S188" i="4" a="1"/>
  <c r="S188" i="4" s="1"/>
  <c r="I195" i="4" a="1"/>
  <c r="I195" i="4" s="1"/>
  <c r="N196" i="4" a="1"/>
  <c r="N196" i="4" s="1"/>
  <c r="E218" i="11" s="1"/>
  <c r="N199" i="4" a="1"/>
  <c r="N199" i="4" s="1"/>
  <c r="S200" i="4" a="1"/>
  <c r="S200" i="4" s="1"/>
  <c r="I203" i="4" a="1"/>
  <c r="I203" i="4" s="1"/>
  <c r="S205" i="4" a="1"/>
  <c r="S205" i="4" s="1"/>
  <c r="I210" i="4" a="1"/>
  <c r="I210" i="4" s="1"/>
  <c r="S217" i="4" a="1"/>
  <c r="S217" i="4" s="1"/>
  <c r="I222" i="4" a="1"/>
  <c r="I222" i="4" s="1"/>
  <c r="W1877" i="10" s="1"/>
  <c r="I226" i="4" a="1"/>
  <c r="I226" i="4" s="1"/>
  <c r="N228" i="4" a="1"/>
  <c r="N228" i="4" s="1"/>
  <c r="S228" i="4" a="1"/>
  <c r="S228" i="4" s="1"/>
  <c r="I230" i="4" a="1"/>
  <c r="I230" i="4" s="1"/>
  <c r="AB510" i="10" s="1"/>
  <c r="S232" i="4" a="1"/>
  <c r="S232" i="4" s="1"/>
  <c r="S236" i="4" a="1"/>
  <c r="S236" i="4" s="1"/>
  <c r="I247" i="4" a="1"/>
  <c r="I247" i="4" s="1"/>
  <c r="N248" i="4" a="1"/>
  <c r="N248" i="4" s="1"/>
  <c r="S249" i="4" a="1"/>
  <c r="S249" i="4" s="1"/>
  <c r="S252" i="4" a="1"/>
  <c r="S252" i="4" s="1"/>
  <c r="S253" i="4" a="1"/>
  <c r="S253" i="4" s="1"/>
  <c r="S264" i="4" a="1"/>
  <c r="S264" i="4" s="1"/>
  <c r="S268" i="4" a="1"/>
  <c r="S268" i="4" s="1"/>
  <c r="S269" i="4" a="1"/>
  <c r="S269" i="4" s="1"/>
  <c r="S272" i="4" a="1"/>
  <c r="S272" i="4" s="1"/>
  <c r="I274" i="4" a="1"/>
  <c r="I274" i="4" s="1"/>
  <c r="I275" i="4" a="1"/>
  <c r="I275" i="4" s="1"/>
  <c r="N276" i="4" a="1"/>
  <c r="N276" i="4" s="1"/>
  <c r="F304" i="11" s="1"/>
  <c r="I279" i="4" a="1"/>
  <c r="I279" i="4" s="1"/>
  <c r="S281" i="4" a="1"/>
  <c r="S281" i="4" s="1"/>
  <c r="S285" i="4" a="1"/>
  <c r="S285" i="4" s="1"/>
  <c r="I286" i="4" a="1"/>
  <c r="I286" i="4" s="1"/>
  <c r="S289" i="4" a="1"/>
  <c r="S289" i="4" s="1"/>
  <c r="I291" i="4" a="1"/>
  <c r="I291" i="4" s="1"/>
  <c r="N295" i="4" a="1"/>
  <c r="N295" i="4" s="1"/>
  <c r="N296" i="4" a="1"/>
  <c r="N296" i="4" s="1"/>
  <c r="I306" i="4" a="1"/>
  <c r="I306" i="4" s="1"/>
  <c r="F337" i="11" s="1"/>
  <c r="N311" i="4" a="1"/>
  <c r="N311" i="4" s="1"/>
  <c r="N312" i="4" a="1"/>
  <c r="N312" i="4" s="1"/>
  <c r="S313" i="4" a="1"/>
  <c r="S313" i="4" s="1"/>
  <c r="I319" i="4" a="1"/>
  <c r="I319" i="4" s="1"/>
  <c r="S321" i="4" a="1"/>
  <c r="S321" i="4" s="1"/>
  <c r="N327" i="4" a="1"/>
  <c r="N327" i="4" s="1"/>
  <c r="N328" i="4" a="1"/>
  <c r="N328" i="4" s="1"/>
  <c r="E359" i="11" s="1"/>
  <c r="S328" i="4" a="1"/>
  <c r="S328" i="4" s="1"/>
  <c r="N331" i="4" a="1"/>
  <c r="N331" i="4" s="1"/>
  <c r="S332" i="4" a="1"/>
  <c r="S332" i="4" s="1"/>
  <c r="S333" i="4" a="1"/>
  <c r="S333" i="4" s="1"/>
  <c r="S336" i="4" a="1"/>
  <c r="S336" i="4" s="1"/>
  <c r="I338" i="4" a="1"/>
  <c r="I338" i="4" s="1"/>
  <c r="I339" i="4" a="1"/>
  <c r="I339" i="4" s="1"/>
  <c r="N340" i="4" a="1"/>
  <c r="N340" i="4" s="1"/>
  <c r="F371" i="11" s="1"/>
  <c r="S345" i="4" a="1"/>
  <c r="S345" i="4" s="1"/>
  <c r="S349" i="4" a="1"/>
  <c r="S349" i="4" s="1"/>
  <c r="I354" i="4" a="1"/>
  <c r="I354" i="4" s="1"/>
  <c r="S357" i="4" a="1"/>
  <c r="S357" i="4" s="1"/>
  <c r="I358" i="4" a="1"/>
  <c r="I358" i="4" s="1"/>
  <c r="N602" i="4" a="1"/>
  <c r="N602" i="4" s="1"/>
  <c r="I608" i="4" a="1"/>
  <c r="I608" i="4" s="1"/>
  <c r="I621" i="4" a="1"/>
  <c r="I621" i="4" s="1"/>
  <c r="N625" i="4" a="1"/>
  <c r="N625" i="4" s="1"/>
  <c r="N626" i="4" a="1"/>
  <c r="N626" i="4" s="1"/>
  <c r="N633" i="4" a="1"/>
  <c r="N633" i="4" s="1"/>
  <c r="S639" i="4" a="1"/>
  <c r="S639" i="4" s="1"/>
  <c r="S647" i="4" a="1"/>
  <c r="S647" i="4" s="1"/>
  <c r="I649" i="4" a="1"/>
  <c r="I649" i="4" s="1"/>
  <c r="W1500" i="10" s="1"/>
  <c r="I652" i="4" a="1"/>
  <c r="I652" i="4" s="1"/>
  <c r="N662" i="4" a="1"/>
  <c r="N662" i="4" s="1"/>
  <c r="N670" i="4" a="1"/>
  <c r="N670" i="4" s="1"/>
  <c r="S670" i="4" a="1"/>
  <c r="S670" i="4" s="1"/>
  <c r="N673" i="4" a="1"/>
  <c r="N673" i="4" s="1"/>
  <c r="N689" i="4" a="1"/>
  <c r="N689" i="4" s="1"/>
  <c r="N690" i="4" a="1"/>
  <c r="N690" i="4" s="1"/>
  <c r="N698" i="4" a="1"/>
  <c r="N698" i="4" s="1"/>
  <c r="I708" i="4" a="1"/>
  <c r="I708" i="4" s="1"/>
  <c r="N714" i="4" a="1"/>
  <c r="N714" i="4" s="1"/>
  <c r="N718" i="4" a="1"/>
  <c r="N718" i="4" s="1"/>
  <c r="S735" i="4" a="1"/>
  <c r="S735" i="4" s="1"/>
  <c r="S739" i="4" a="1"/>
  <c r="S739" i="4" s="1"/>
  <c r="S746" i="4" a="1"/>
  <c r="S746" i="4" s="1"/>
  <c r="I748" i="4" a="1"/>
  <c r="I748" i="4" s="1"/>
  <c r="N749" i="4" a="1"/>
  <c r="N749" i="4" s="1"/>
  <c r="N754" i="4" a="1"/>
  <c r="N754" i="4" s="1"/>
  <c r="N762" i="4" a="1"/>
  <c r="N762" i="4" s="1"/>
  <c r="S762" i="4" a="1"/>
  <c r="S762" i="4" s="1"/>
  <c r="I773" i="4" a="1"/>
  <c r="I773" i="4" s="1"/>
  <c r="I777" i="4" a="1"/>
  <c r="I777" i="4" s="1"/>
  <c r="AB633" i="10" s="1"/>
  <c r="I784" i="4" a="1"/>
  <c r="I784" i="4" s="1"/>
  <c r="S787" i="4" a="1"/>
  <c r="S787" i="4" s="1"/>
  <c r="S794" i="4" a="1"/>
  <c r="S794" i="4" s="1"/>
  <c r="I796" i="4" a="1"/>
  <c r="I796" i="4" s="1"/>
  <c r="N797" i="4" a="1"/>
  <c r="N797" i="4" s="1"/>
  <c r="S798" i="4" a="1"/>
  <c r="S798" i="4" s="1"/>
  <c r="I801" i="4" a="1"/>
  <c r="I801" i="4" s="1"/>
  <c r="N801" i="4" a="1"/>
  <c r="N801" i="4" s="1"/>
  <c r="S802" i="4" a="1"/>
  <c r="S802" i="4" s="1"/>
  <c r="I804" i="4" a="1"/>
  <c r="I804" i="4" s="1"/>
  <c r="S806" i="4" a="1"/>
  <c r="S806" i="4" s="1"/>
  <c r="I808" i="4" a="1"/>
  <c r="I808" i="4" s="1"/>
  <c r="N809" i="4" a="1"/>
  <c r="N809" i="4" s="1"/>
  <c r="S863" i="4" a="1"/>
  <c r="S863" i="4" s="1"/>
  <c r="N874" i="4" a="1"/>
  <c r="N874" i="4" s="1"/>
  <c r="I905" i="4" a="1"/>
  <c r="I905" i="4" s="1"/>
  <c r="N914" i="4" a="1"/>
  <c r="N914" i="4" s="1"/>
  <c r="S967" i="4" a="1"/>
  <c r="S967" i="4" s="1"/>
  <c r="I977" i="4" a="1"/>
  <c r="I977" i="4" s="1"/>
  <c r="N1010" i="4" a="1"/>
  <c r="N1010" i="4" s="1"/>
  <c r="S1030" i="4" a="1"/>
  <c r="S1030" i="4" s="1"/>
  <c r="N1033" i="4" a="1"/>
  <c r="N1033" i="4" s="1"/>
  <c r="S1034" i="4" a="1"/>
  <c r="S1034" i="4" s="1"/>
  <c r="N1037" i="4" a="1"/>
  <c r="N1037" i="4" s="1"/>
  <c r="N1054" i="4" a="1"/>
  <c r="N1054" i="4" s="1"/>
  <c r="N1073" i="4" a="1"/>
  <c r="N1073" i="4" s="1"/>
  <c r="I1076" i="4" a="1"/>
  <c r="I1076" i="4" s="1"/>
  <c r="N1077" i="4" a="1"/>
  <c r="N1077" i="4" s="1"/>
  <c r="S1078" i="4" a="1"/>
  <c r="S1078" i="4" s="1"/>
  <c r="I1080" i="4" a="1"/>
  <c r="I1080" i="4" s="1"/>
  <c r="N1081" i="4" a="1"/>
  <c r="N1081" i="4" s="1"/>
  <c r="N1094" i="4" a="1"/>
  <c r="N1094" i="4" s="1"/>
  <c r="I1108" i="4" a="1"/>
  <c r="I1108" i="4" s="1"/>
  <c r="N1113" i="4" a="1"/>
  <c r="N1113" i="4" s="1"/>
  <c r="S1114" i="4" a="1"/>
  <c r="S1114" i="4" s="1"/>
  <c r="I1116" i="4" a="1"/>
  <c r="I1116" i="4" s="1"/>
  <c r="I1120" i="4" a="1"/>
  <c r="I1120" i="4" s="1"/>
  <c r="N1129" i="4" a="1"/>
  <c r="N1129" i="4" s="1"/>
  <c r="N1153" i="4" a="1"/>
  <c r="N1153" i="4" s="1"/>
  <c r="S1154" i="4" a="1"/>
  <c r="S1154" i="4" s="1"/>
  <c r="I1156" i="4" a="1"/>
  <c r="I1156" i="4" s="1"/>
  <c r="N1157" i="4" a="1"/>
  <c r="N1157" i="4" s="1"/>
  <c r="S1158" i="4" a="1"/>
  <c r="S1158" i="4" s="1"/>
  <c r="I1160" i="4" a="1"/>
  <c r="I1160" i="4" s="1"/>
  <c r="N1177" i="4" a="1"/>
  <c r="N1177" i="4" s="1"/>
  <c r="N1261" i="4" a="1"/>
  <c r="N1261" i="4" s="1"/>
  <c r="I1268" i="4" a="1"/>
  <c r="I1268" i="4" s="1"/>
  <c r="S1346" i="4" a="1"/>
  <c r="S1346" i="4" s="1"/>
  <c r="I1348" i="4" a="1"/>
  <c r="I1348" i="4" s="1"/>
  <c r="I1380" i="4" a="1"/>
  <c r="I1380" i="4" s="1"/>
  <c r="I1620" i="4" a="1"/>
  <c r="I1620" i="4" s="1"/>
  <c r="N1621" i="4" a="1"/>
  <c r="N1621" i="4" s="1"/>
  <c r="N1629" i="4" a="1"/>
  <c r="N1629" i="4" s="1"/>
  <c r="AB781" i="2"/>
  <c r="W1620" i="2"/>
  <c r="W1626" i="2"/>
  <c r="AB780" i="2"/>
  <c r="AB779" i="2"/>
  <c r="O1352" i="6"/>
  <c r="O1322" i="6"/>
  <c r="O1295" i="6"/>
  <c r="O1273" i="6"/>
  <c r="O1250" i="6"/>
  <c r="O1223" i="6"/>
  <c r="O1197" i="6"/>
  <c r="O1173" i="6"/>
  <c r="O1140" i="6"/>
  <c r="O1115" i="6"/>
  <c r="O1087" i="6"/>
  <c r="O1026" i="6"/>
  <c r="O1004" i="6"/>
  <c r="O980" i="6"/>
  <c r="O1364" i="6"/>
  <c r="O1334" i="6"/>
  <c r="O1312" i="6"/>
  <c r="O1285" i="6"/>
  <c r="O1262" i="6"/>
  <c r="O1240" i="6"/>
  <c r="O1213" i="6"/>
  <c r="O1185" i="6"/>
  <c r="O1161" i="6"/>
  <c r="O1130" i="6"/>
  <c r="O1099" i="6"/>
  <c r="O1071" i="6"/>
  <c r="O1016" i="6"/>
  <c r="O994" i="6"/>
  <c r="O970" i="6"/>
  <c r="O944" i="6"/>
  <c r="O1363" i="6"/>
  <c r="O1333" i="6"/>
  <c r="O1306" i="6"/>
  <c r="O1284" i="6"/>
  <c r="O1261" i="6"/>
  <c r="O1234" i="6"/>
  <c r="O1212" i="6"/>
  <c r="O1184" i="6"/>
  <c r="O1152" i="6"/>
  <c r="O1129" i="6"/>
  <c r="O1098" i="6"/>
  <c r="O1037" i="6"/>
  <c r="O1015" i="6"/>
  <c r="O993" i="6"/>
  <c r="O965" i="6"/>
  <c r="O1358" i="6"/>
  <c r="O1327" i="6"/>
  <c r="O1301" i="6"/>
  <c r="O1278" i="6"/>
  <c r="O1255" i="6"/>
  <c r="O1229" i="6"/>
  <c r="O1206" i="6"/>
  <c r="O1179" i="6"/>
  <c r="O1147" i="6"/>
  <c r="O1121" i="6"/>
  <c r="O1092" i="6"/>
  <c r="O1031" i="6"/>
  <c r="O1009" i="6"/>
  <c r="O987" i="6"/>
  <c r="O959" i="6"/>
  <c r="O943" i="6"/>
  <c r="O913" i="6"/>
  <c r="O887" i="6"/>
  <c r="O867" i="6"/>
  <c r="O847" i="6"/>
  <c r="O822" i="6"/>
  <c r="O801" i="6"/>
  <c r="O778" i="6"/>
  <c r="O752" i="6"/>
  <c r="O727" i="6"/>
  <c r="O704" i="6"/>
  <c r="O676" i="6"/>
  <c r="O654" i="6"/>
  <c r="O632" i="6"/>
  <c r="O605" i="6"/>
  <c r="O949" i="6"/>
  <c r="O917" i="6"/>
  <c r="O890" i="6"/>
  <c r="O870" i="6"/>
  <c r="AB775" i="2"/>
  <c r="AB774" i="2"/>
  <c r="O1356" i="6"/>
  <c r="O1313" i="6"/>
  <c r="O1286" i="6"/>
  <c r="O1254" i="6"/>
  <c r="O1219" i="6"/>
  <c r="O1182" i="6"/>
  <c r="O1150" i="6"/>
  <c r="O1107" i="6"/>
  <c r="O1039" i="6"/>
  <c r="O1008" i="6"/>
  <c r="O972" i="6"/>
  <c r="O1355" i="6"/>
  <c r="O1316" i="6"/>
  <c r="O1281" i="6"/>
  <c r="O1249" i="6"/>
  <c r="O1222" i="6"/>
  <c r="O1181" i="6"/>
  <c r="O1145" i="6"/>
  <c r="O1103" i="6"/>
  <c r="O1034" i="6"/>
  <c r="O1007" i="6"/>
  <c r="O975" i="6"/>
  <c r="O939" i="6"/>
  <c r="O1350" i="6"/>
  <c r="O1315" i="6"/>
  <c r="O1280" i="6"/>
  <c r="O1247" i="6"/>
  <c r="O1216" i="6"/>
  <c r="O1175" i="6"/>
  <c r="O1142" i="6"/>
  <c r="O1102" i="6"/>
  <c r="O1033" i="6"/>
  <c r="O1001" i="6"/>
  <c r="O974" i="6"/>
  <c r="O1353" i="6"/>
  <c r="O1314" i="6"/>
  <c r="O1283" i="6"/>
  <c r="O1246" i="6"/>
  <c r="O1220" i="6"/>
  <c r="O1183" i="6"/>
  <c r="O1141" i="6"/>
  <c r="O1101" i="6"/>
  <c r="O1040" i="6"/>
  <c r="O1005" i="6"/>
  <c r="O973" i="6"/>
  <c r="O952" i="6"/>
  <c r="O905" i="6"/>
  <c r="O879" i="6"/>
  <c r="O851" i="6"/>
  <c r="O818" i="6"/>
  <c r="O788" i="6"/>
  <c r="O761" i="6"/>
  <c r="O723" i="6"/>
  <c r="O690" i="6"/>
  <c r="O659" i="6"/>
  <c r="O623" i="6"/>
  <c r="W1627" i="2"/>
  <c r="AB778" i="2"/>
  <c r="O1348" i="6"/>
  <c r="O1308" i="6"/>
  <c r="O1277" i="6"/>
  <c r="O1241" i="6"/>
  <c r="O1214" i="6"/>
  <c r="O1178" i="6"/>
  <c r="O1136" i="6"/>
  <c r="O1096" i="6"/>
  <c r="O1035" i="6"/>
  <c r="O999" i="6"/>
  <c r="O967" i="6"/>
  <c r="O1338" i="6"/>
  <c r="O1303" i="6"/>
  <c r="O1276" i="6"/>
  <c r="O1244" i="6"/>
  <c r="O1209" i="6"/>
  <c r="O1172" i="6"/>
  <c r="O1139" i="6"/>
  <c r="O1095" i="6"/>
  <c r="O1029" i="6"/>
  <c r="O998" i="6"/>
  <c r="O962" i="6"/>
  <c r="O935" i="6"/>
  <c r="O1337" i="6"/>
  <c r="O1302" i="6"/>
  <c r="O1271" i="6"/>
  <c r="O1243" i="6"/>
  <c r="O1207" i="6"/>
  <c r="O1171" i="6"/>
  <c r="O1134" i="6"/>
  <c r="O1089" i="6"/>
  <c r="O1028" i="6"/>
  <c r="O997" i="6"/>
  <c r="O960" i="6"/>
  <c r="O1336" i="6"/>
  <c r="O1310" i="6"/>
  <c r="O1274" i="6"/>
  <c r="O1242" i="6"/>
  <c r="O1211" i="6"/>
  <c r="O1170" i="6"/>
  <c r="O1137" i="6"/>
  <c r="O1097" i="6"/>
  <c r="O1027" i="6"/>
  <c r="O996" i="6"/>
  <c r="O968" i="6"/>
  <c r="O937" i="6"/>
  <c r="O899" i="6"/>
  <c r="O871" i="6"/>
  <c r="O839" i="6"/>
  <c r="O814" i="6"/>
  <c r="O784" i="6"/>
  <c r="O747" i="6"/>
  <c r="O714" i="6"/>
  <c r="O685" i="6"/>
  <c r="O650" i="6"/>
  <c r="O619" i="6"/>
  <c r="O585" i="6"/>
  <c r="O908" i="6"/>
  <c r="O882" i="6"/>
  <c r="O854" i="6"/>
  <c r="O834" i="6"/>
  <c r="O808" i="6"/>
  <c r="O787" i="6"/>
  <c r="O764" i="6"/>
  <c r="O736" i="6"/>
  <c r="O713" i="6"/>
  <c r="O689" i="6"/>
  <c r="O662" i="6"/>
  <c r="O640" i="6"/>
  <c r="O617" i="6"/>
  <c r="O588" i="6"/>
  <c r="O565" i="6"/>
  <c r="O541" i="6"/>
  <c r="O934" i="6"/>
  <c r="O907" i="6"/>
  <c r="O885" i="6"/>
  <c r="O861" i="6"/>
  <c r="O841" i="6"/>
  <c r="O820" i="6"/>
  <c r="O790" i="6"/>
  <c r="O767" i="6"/>
  <c r="O745" i="6"/>
  <c r="O716" i="6"/>
  <c r="O692" i="6"/>
  <c r="O670" i="6"/>
  <c r="O643" i="6"/>
  <c r="O621" i="6"/>
  <c r="O938" i="6"/>
  <c r="O906" i="6"/>
  <c r="O884" i="6"/>
  <c r="O864" i="6"/>
  <c r="O840" i="6"/>
  <c r="O819" i="6"/>
  <c r="O794" i="6"/>
  <c r="O766" i="6"/>
  <c r="O744" i="6"/>
  <c r="O720" i="6"/>
  <c r="O691" i="6"/>
  <c r="O669" i="6"/>
  <c r="O615" i="6"/>
  <c r="O564" i="6"/>
  <c r="O533" i="6"/>
  <c r="O505" i="6"/>
  <c r="O480" i="6"/>
  <c r="O460" i="6"/>
  <c r="O438" i="6"/>
  <c r="O411" i="6"/>
  <c r="O386" i="6"/>
  <c r="O364" i="6"/>
  <c r="O337" i="6"/>
  <c r="O310" i="6"/>
  <c r="O290" i="6"/>
  <c r="O266" i="6"/>
  <c r="O246" i="6"/>
  <c r="O226" i="6"/>
  <c r="O629" i="6"/>
  <c r="O575" i="6"/>
  <c r="O543" i="6"/>
  <c r="O510" i="6"/>
  <c r="O487" i="6"/>
  <c r="O467" i="6"/>
  <c r="O441" i="6"/>
  <c r="O419" i="6"/>
  <c r="O395" i="6"/>
  <c r="O372" i="6"/>
  <c r="O355" i="6"/>
  <c r="O336" i="6"/>
  <c r="O313" i="6"/>
  <c r="O297" i="6"/>
  <c r="O281" i="6"/>
  <c r="O265" i="6"/>
  <c r="O249" i="6"/>
  <c r="O233" i="6"/>
  <c r="O217" i="6"/>
  <c r="O599" i="6"/>
  <c r="O567" i="6"/>
  <c r="O542" i="6"/>
  <c r="O517" i="6"/>
  <c r="O499" i="6"/>
  <c r="O482" i="6"/>
  <c r="O466" i="6"/>
  <c r="O449" i="6"/>
  <c r="O431" i="6"/>
  <c r="O413" i="6"/>
  <c r="O394" i="6"/>
  <c r="O375" i="6"/>
  <c r="O358" i="6"/>
  <c r="O339" i="6"/>
  <c r="O319" i="6"/>
  <c r="O300" i="6"/>
  <c r="O284" i="6"/>
  <c r="O620" i="6"/>
  <c r="O577" i="6"/>
  <c r="O554" i="6"/>
  <c r="O526" i="6"/>
  <c r="O506" i="6"/>
  <c r="O489" i="6"/>
  <c r="O473" i="6"/>
  <c r="O456" i="6"/>
  <c r="O439" i="6"/>
  <c r="O421" i="6"/>
  <c r="O402" i="6"/>
  <c r="O383" i="6"/>
  <c r="O365" i="6"/>
  <c r="O348" i="6"/>
  <c r="W1624" i="2"/>
  <c r="W1623" i="2"/>
  <c r="O1304" i="6"/>
  <c r="O1236" i="6"/>
  <c r="O1163" i="6"/>
  <c r="O1091" i="6"/>
  <c r="O990" i="6"/>
  <c r="O1330" i="6"/>
  <c r="O1266" i="6"/>
  <c r="O1204" i="6"/>
  <c r="O1126" i="6"/>
  <c r="O1025" i="6"/>
  <c r="O957" i="6"/>
  <c r="O1324" i="6"/>
  <c r="O1265" i="6"/>
  <c r="O1195" i="6"/>
  <c r="O1122" i="6"/>
  <c r="O1019" i="6"/>
  <c r="O956" i="6"/>
  <c r="O1296" i="6"/>
  <c r="O1237" i="6"/>
  <c r="O1164" i="6"/>
  <c r="O1083" i="6"/>
  <c r="O991" i="6"/>
  <c r="O925" i="6"/>
  <c r="O863" i="6"/>
  <c r="O805" i="6"/>
  <c r="O743" i="6"/>
  <c r="O672" i="6"/>
  <c r="O614" i="6"/>
  <c r="O929" i="6"/>
  <c r="O886" i="6"/>
  <c r="O850" i="6"/>
  <c r="O821" i="6"/>
  <c r="O791" i="6"/>
  <c r="O755" i="6"/>
  <c r="O726" i="6"/>
  <c r="O693" i="6"/>
  <c r="O657" i="6"/>
  <c r="O626" i="6"/>
  <c r="O600" i="6"/>
  <c r="O560" i="6"/>
  <c r="O525" i="6"/>
  <c r="O911" i="6"/>
  <c r="O877" i="6"/>
  <c r="O853" i="6"/>
  <c r="O825" i="6"/>
  <c r="O786" i="6"/>
  <c r="O754" i="6"/>
  <c r="O725" i="6"/>
  <c r="O687" i="6"/>
  <c r="O656" i="6"/>
  <c r="O625" i="6"/>
  <c r="O927" i="6"/>
  <c r="O896" i="6"/>
  <c r="O868" i="6"/>
  <c r="O836" i="6"/>
  <c r="O806" i="6"/>
  <c r="O775" i="6"/>
  <c r="O738" i="6"/>
  <c r="O705" i="6"/>
  <c r="O673" i="6"/>
  <c r="O591" i="6"/>
  <c r="O553" i="6"/>
  <c r="O511" i="6"/>
  <c r="O476" i="6"/>
  <c r="O446" i="6"/>
  <c r="O420" i="6"/>
  <c r="O382" i="6"/>
  <c r="O352" i="6"/>
  <c r="O314" i="6"/>
  <c r="O282" i="6"/>
  <c r="O258" i="6"/>
  <c r="O230" i="6"/>
  <c r="O611" i="6"/>
  <c r="O557" i="6"/>
  <c r="O519" i="6"/>
  <c r="O483" i="6"/>
  <c r="O454" i="6"/>
  <c r="O423" i="6"/>
  <c r="O385" i="6"/>
  <c r="O363" i="6"/>
  <c r="O342" i="6"/>
  <c r="O309" i="6"/>
  <c r="AB776" i="2"/>
  <c r="O1331" i="6"/>
  <c r="O1267" i="6"/>
  <c r="O1205" i="6"/>
  <c r="O1131" i="6"/>
  <c r="O1021" i="6"/>
  <c r="O963" i="6"/>
  <c r="O1298" i="6"/>
  <c r="O1231" i="6"/>
  <c r="O1168" i="6"/>
  <c r="O1086" i="6"/>
  <c r="O989" i="6"/>
  <c r="O926" i="6"/>
  <c r="O1297" i="6"/>
  <c r="O1230" i="6"/>
  <c r="O1167" i="6"/>
  <c r="O1085" i="6"/>
  <c r="O984" i="6"/>
  <c r="O1332" i="6"/>
  <c r="O1264" i="6"/>
  <c r="O1202" i="6"/>
  <c r="O1128" i="6"/>
  <c r="O1023" i="6"/>
  <c r="O955" i="6"/>
  <c r="O895" i="6"/>
  <c r="O835" i="6"/>
  <c r="O769" i="6"/>
  <c r="O708" i="6"/>
  <c r="O641" i="6"/>
  <c r="O593" i="6"/>
  <c r="O902" i="6"/>
  <c r="O866" i="6"/>
  <c r="O838" i="6"/>
  <c r="O804" i="6"/>
  <c r="O773" i="6"/>
  <c r="O746" i="6"/>
  <c r="O707" i="6"/>
  <c r="O675" i="6"/>
  <c r="O644" i="6"/>
  <c r="O609" i="6"/>
  <c r="O578" i="6"/>
  <c r="O545" i="6"/>
  <c r="O928" i="6"/>
  <c r="O893" i="6"/>
  <c r="O869" i="6"/>
  <c r="O837" i="6"/>
  <c r="O807" i="6"/>
  <c r="O772" i="6"/>
  <c r="O735" i="6"/>
  <c r="O706" i="6"/>
  <c r="O674" i="6"/>
  <c r="O639" i="6"/>
  <c r="O954" i="6"/>
  <c r="O915" i="6"/>
  <c r="O880" i="6"/>
  <c r="O852" i="6"/>
  <c r="O824" i="6"/>
  <c r="O785" i="6"/>
  <c r="O757" i="6"/>
  <c r="O724" i="6"/>
  <c r="O686" i="6"/>
  <c r="O651" i="6"/>
  <c r="O576" i="6"/>
  <c r="O524" i="6"/>
  <c r="O492" i="6"/>
  <c r="O464" i="6"/>
  <c r="O429" i="6"/>
  <c r="O401" i="6"/>
  <c r="O369" i="6"/>
  <c r="O333" i="6"/>
  <c r="O298" i="6"/>
  <c r="O274" i="6"/>
  <c r="O242" i="6"/>
  <c r="O211" i="6"/>
  <c r="O580" i="6"/>
  <c r="O531" i="6"/>
  <c r="O500" i="6"/>
  <c r="O471" i="6"/>
  <c r="O436" i="6"/>
  <c r="O404" i="6"/>
  <c r="O376" i="6"/>
  <c r="O350" i="6"/>
  <c r="O324" i="6"/>
  <c r="O301" i="6"/>
  <c r="AB773" i="2"/>
  <c r="O1291" i="6"/>
  <c r="O1157" i="6"/>
  <c r="O986" i="6"/>
  <c r="O1257" i="6"/>
  <c r="O1119" i="6"/>
  <c r="O953" i="6"/>
  <c r="O1252" i="6"/>
  <c r="O1109" i="6"/>
  <c r="O1362" i="6"/>
  <c r="O1224" i="6"/>
  <c r="O1074" i="6"/>
  <c r="O918" i="6"/>
  <c r="O797" i="6"/>
  <c r="O667" i="6"/>
  <c r="O924" i="6"/>
  <c r="O842" i="6"/>
  <c r="O783" i="6"/>
  <c r="O717" i="6"/>
  <c r="O653" i="6"/>
  <c r="O584" i="6"/>
  <c r="O947" i="6"/>
  <c r="O873" i="6"/>
  <c r="O811" i="6"/>
  <c r="O749" i="6"/>
  <c r="O679" i="6"/>
  <c r="O616" i="6"/>
  <c r="O888" i="6"/>
  <c r="O832" i="6"/>
  <c r="O762" i="6"/>
  <c r="O701" i="6"/>
  <c r="O581" i="6"/>
  <c r="O496" i="6"/>
  <c r="O442" i="6"/>
  <c r="O373" i="6"/>
  <c r="O306" i="6"/>
  <c r="O250" i="6"/>
  <c r="O602" i="6"/>
  <c r="O504" i="6"/>
  <c r="O450" i="6"/>
  <c r="O381" i="6"/>
  <c r="O332" i="6"/>
  <c r="O289" i="6"/>
  <c r="O269" i="6"/>
  <c r="O245" i="6"/>
  <c r="O225" i="6"/>
  <c r="O607" i="6"/>
  <c r="O561" i="6"/>
  <c r="O527" i="6"/>
  <c r="O503" i="6"/>
  <c r="O478" i="6"/>
  <c r="O458" i="6"/>
  <c r="O435" i="6"/>
  <c r="O409" i="6"/>
  <c r="O384" i="6"/>
  <c r="O362" i="6"/>
  <c r="O335" i="6"/>
  <c r="O308" i="6"/>
  <c r="O288" i="6"/>
  <c r="O606" i="6"/>
  <c r="O566" i="6"/>
  <c r="O534" i="6"/>
  <c r="O502" i="6"/>
  <c r="O481" i="6"/>
  <c r="O461" i="6"/>
  <c r="O434" i="6"/>
  <c r="O412" i="6"/>
  <c r="O389" i="6"/>
  <c r="O361" i="6"/>
  <c r="O338" i="6"/>
  <c r="O318" i="6"/>
  <c r="O299" i="6"/>
  <c r="O283" i="6"/>
  <c r="O267" i="6"/>
  <c r="O251" i="6"/>
  <c r="O235" i="6"/>
  <c r="O219" i="6"/>
  <c r="O224" i="6"/>
  <c r="O197" i="6"/>
  <c r="O181" i="6"/>
  <c r="O165" i="6"/>
  <c r="O149" i="6"/>
  <c r="O131" i="6"/>
  <c r="O114" i="6"/>
  <c r="O93" i="6"/>
  <c r="O72" i="6"/>
  <c r="O54" i="6"/>
  <c r="O32" i="6"/>
  <c r="W2057" i="2"/>
  <c r="W2040" i="2"/>
  <c r="W2023" i="2"/>
  <c r="W2005" i="2"/>
  <c r="W1986" i="2"/>
  <c r="W1967" i="2"/>
  <c r="W1950" i="2"/>
  <c r="O252" i="6"/>
  <c r="O204" i="6"/>
  <c r="O188" i="6"/>
  <c r="O172" i="6"/>
  <c r="O156" i="6"/>
  <c r="O1365" i="6"/>
  <c r="O1232" i="6"/>
  <c r="O1073" i="6"/>
  <c r="O1321" i="6"/>
  <c r="O1192" i="6"/>
  <c r="O1011" i="6"/>
  <c r="O1320" i="6"/>
  <c r="O1010" i="6"/>
  <c r="O1292" i="6"/>
  <c r="O1158" i="6"/>
  <c r="O977" i="6"/>
  <c r="O855" i="6"/>
  <c r="O733" i="6"/>
  <c r="O601" i="6"/>
  <c r="O874" i="6"/>
  <c r="O817" i="6"/>
  <c r="O751" i="6"/>
  <c r="O680" i="6"/>
  <c r="O622" i="6"/>
  <c r="O549" i="6"/>
  <c r="O901" i="6"/>
  <c r="O845" i="6"/>
  <c r="O780" i="6"/>
  <c r="O712" i="6"/>
  <c r="O652" i="6"/>
  <c r="O922" i="6"/>
  <c r="O856" i="6"/>
  <c r="O798" i="6"/>
  <c r="O728" i="6"/>
  <c r="O664" i="6"/>
  <c r="O538" i="6"/>
  <c r="O472" i="6"/>
  <c r="O407" i="6"/>
  <c r="O347" i="6"/>
  <c r="O278" i="6"/>
  <c r="O218" i="6"/>
  <c r="O548" i="6"/>
  <c r="O475" i="6"/>
  <c r="O414" i="6"/>
  <c r="O359" i="6"/>
  <c r="O305" i="6"/>
  <c r="O277" i="6"/>
  <c r="O257" i="6"/>
  <c r="O237" i="6"/>
  <c r="O642" i="6"/>
  <c r="O579" i="6"/>
  <c r="O547" i="6"/>
  <c r="O513" i="6"/>
  <c r="O490" i="6"/>
  <c r="O470" i="6"/>
  <c r="O444" i="6"/>
  <c r="O422" i="6"/>
  <c r="O399" i="6"/>
  <c r="O371" i="6"/>
  <c r="O349" i="6"/>
  <c r="O323" i="6"/>
  <c r="O296" i="6"/>
  <c r="O655" i="6"/>
  <c r="O586" i="6"/>
  <c r="O546" i="6"/>
  <c r="O516" i="6"/>
  <c r="O493" i="6"/>
  <c r="O469" i="6"/>
  <c r="O448" i="6"/>
  <c r="O425" i="6"/>
  <c r="O397" i="6"/>
  <c r="O374" i="6"/>
  <c r="O353" i="6"/>
  <c r="O326" i="6"/>
  <c r="O307" i="6"/>
  <c r="O291" i="6"/>
  <c r="O275" i="6"/>
  <c r="O259" i="6"/>
  <c r="O243" i="6"/>
  <c r="O227" i="6"/>
  <c r="O256" i="6"/>
  <c r="O205" i="6"/>
  <c r="O189" i="6"/>
  <c r="O173" i="6"/>
  <c r="O157" i="6"/>
  <c r="O140" i="6"/>
  <c r="O122" i="6"/>
  <c r="O103" i="6"/>
  <c r="O84" i="6"/>
  <c r="W1625" i="2"/>
  <c r="O1120" i="6"/>
  <c r="O1226" i="6"/>
  <c r="O1359" i="6"/>
  <c r="O1078" i="6"/>
  <c r="O883" i="6"/>
  <c r="O636" i="6"/>
  <c r="O826" i="6"/>
  <c r="O697" i="6"/>
  <c r="O569" i="6"/>
  <c r="O857" i="6"/>
  <c r="O729" i="6"/>
  <c r="O945" i="6"/>
  <c r="O815" i="6"/>
  <c r="O682" i="6"/>
  <c r="O488" i="6"/>
  <c r="O356" i="6"/>
  <c r="O234" i="6"/>
  <c r="O491" i="6"/>
  <c r="O368" i="6"/>
  <c r="O285" i="6"/>
  <c r="O241" i="6"/>
  <c r="O587" i="6"/>
  <c r="O522" i="6"/>
  <c r="O474" i="6"/>
  <c r="O426" i="6"/>
  <c r="O380" i="6"/>
  <c r="O331" i="6"/>
  <c r="O280" i="6"/>
  <c r="O559" i="6"/>
  <c r="O498" i="6"/>
  <c r="O452" i="6"/>
  <c r="O408" i="6"/>
  <c r="O357" i="6"/>
  <c r="O311" i="6"/>
  <c r="O279" i="6"/>
  <c r="O247" i="6"/>
  <c r="O272" i="6"/>
  <c r="O193" i="6"/>
  <c r="O161" i="6"/>
  <c r="O127" i="6"/>
  <c r="O88" i="6"/>
  <c r="O58" i="6"/>
  <c r="O24" i="6"/>
  <c r="W2048" i="2"/>
  <c r="W2027" i="2"/>
  <c r="W2001" i="2"/>
  <c r="W1977" i="2"/>
  <c r="W1954" i="2"/>
  <c r="O236" i="6"/>
  <c r="O196" i="6"/>
  <c r="O176" i="6"/>
  <c r="O152" i="6"/>
  <c r="O135" i="6"/>
  <c r="O117" i="6"/>
  <c r="O96" i="6"/>
  <c r="O78" i="6"/>
  <c r="O62" i="6"/>
  <c r="O39" i="6"/>
  <c r="O19" i="6"/>
  <c r="W2047" i="2"/>
  <c r="W2030" i="2"/>
  <c r="W2013" i="2"/>
  <c r="W1996" i="2"/>
  <c r="W1976" i="2"/>
  <c r="W1957" i="2"/>
  <c r="W1940" i="2"/>
  <c r="W1922" i="2"/>
  <c r="W1902" i="2"/>
  <c r="W1885" i="2"/>
  <c r="O248" i="6"/>
  <c r="O203" i="6"/>
  <c r="O187" i="6"/>
  <c r="O171" i="6"/>
  <c r="O155" i="6"/>
  <c r="O138" i="6"/>
  <c r="O120" i="6"/>
  <c r="O99" i="6"/>
  <c r="O82" i="6"/>
  <c r="O65" i="6"/>
  <c r="O47" i="6"/>
  <c r="O29" i="6"/>
  <c r="W2055" i="2"/>
  <c r="W2038" i="2"/>
  <c r="W2020" i="2"/>
  <c r="W2003" i="2"/>
  <c r="W1984" i="2"/>
  <c r="W1965" i="2"/>
  <c r="W1930" i="2"/>
  <c r="W1909" i="2"/>
  <c r="O276" i="6"/>
  <c r="O212" i="6"/>
  <c r="O194" i="6"/>
  <c r="O178" i="6"/>
  <c r="O162" i="6"/>
  <c r="O146" i="6"/>
  <c r="O128" i="6"/>
  <c r="O108" i="6"/>
  <c r="O89" i="6"/>
  <c r="O73" i="6"/>
  <c r="O55" i="6"/>
  <c r="O33" i="6"/>
  <c r="W2033" i="2"/>
  <c r="W1960" i="2"/>
  <c r="W1911" i="2"/>
  <c r="W1883" i="2"/>
  <c r="W1860" i="2"/>
  <c r="W1841" i="2"/>
  <c r="W1822" i="2"/>
  <c r="W1803" i="2"/>
  <c r="W1782" i="2"/>
  <c r="W1764" i="2"/>
  <c r="W1743" i="2"/>
  <c r="W1720" i="2"/>
  <c r="W1703" i="2"/>
  <c r="W1684" i="2"/>
  <c r="W1668" i="2"/>
  <c r="W1651" i="2"/>
  <c r="W1635" i="2"/>
  <c r="W1609" i="2"/>
  <c r="W1592" i="2"/>
  <c r="W1573" i="2"/>
  <c r="W1555" i="2"/>
  <c r="W1537" i="2"/>
  <c r="W1519" i="2"/>
  <c r="W1501" i="2"/>
  <c r="W1481" i="2"/>
  <c r="W1461" i="2"/>
  <c r="W1445" i="2"/>
  <c r="W1429" i="2"/>
  <c r="W1413" i="2"/>
  <c r="W1397" i="2"/>
  <c r="W1381" i="2"/>
  <c r="W1365" i="2"/>
  <c r="W1349" i="2"/>
  <c r="W2045" i="2"/>
  <c r="W1974" i="2"/>
  <c r="W1920" i="2"/>
  <c r="W1887" i="2"/>
  <c r="W1864" i="2"/>
  <c r="W1844" i="2"/>
  <c r="W1826" i="2"/>
  <c r="W1806" i="2"/>
  <c r="W1785" i="2"/>
  <c r="W1747" i="2"/>
  <c r="W1729" i="2"/>
  <c r="W1706" i="2"/>
  <c r="W1687" i="2"/>
  <c r="W1671" i="2"/>
  <c r="W1654" i="2"/>
  <c r="W1638" i="2"/>
  <c r="W1612" i="2"/>
  <c r="W1595" i="2"/>
  <c r="W1577" i="2"/>
  <c r="W1558" i="2"/>
  <c r="W1540" i="2"/>
  <c r="W1522" i="2"/>
  <c r="W1505" i="2"/>
  <c r="W1484" i="2"/>
  <c r="W1464" i="2"/>
  <c r="W1448" i="2"/>
  <c r="W1432" i="2"/>
  <c r="W1416" i="2"/>
  <c r="W1400" i="2"/>
  <c r="W1384" i="2"/>
  <c r="W1368" i="2"/>
  <c r="O1326" i="6"/>
  <c r="O1017" i="6"/>
  <c r="O1149" i="6"/>
  <c r="O1288" i="6"/>
  <c r="O978" i="6"/>
  <c r="O1116" i="6"/>
  <c r="O831" i="6"/>
  <c r="O942" i="6"/>
  <c r="O800" i="6"/>
  <c r="O671" i="6"/>
  <c r="O532" i="6"/>
  <c r="O829" i="6"/>
  <c r="O696" i="6"/>
  <c r="O900" i="6"/>
  <c r="O779" i="6"/>
  <c r="O633" i="6"/>
  <c r="O455" i="6"/>
  <c r="O325" i="6"/>
  <c r="O207" i="6"/>
  <c r="O459" i="6"/>
  <c r="O346" i="6"/>
  <c r="O273" i="6"/>
  <c r="O229" i="6"/>
  <c r="O573" i="6"/>
  <c r="O509" i="6"/>
  <c r="O462" i="6"/>
  <c r="O418" i="6"/>
  <c r="O366" i="6"/>
  <c r="O312" i="6"/>
  <c r="O637" i="6"/>
  <c r="O539" i="6"/>
  <c r="O485" i="6"/>
  <c r="O443" i="6"/>
  <c r="O393" i="6"/>
  <c r="O344" i="6"/>
  <c r="O303" i="6"/>
  <c r="O271" i="6"/>
  <c r="O239" i="6"/>
  <c r="O240" i="6"/>
  <c r="O185" i="6"/>
  <c r="O153" i="6"/>
  <c r="O118" i="6"/>
  <c r="O79" i="6"/>
  <c r="O49" i="6"/>
  <c r="O20" i="6"/>
  <c r="W2044" i="2"/>
  <c r="W2018" i="2"/>
  <c r="W1997" i="2"/>
  <c r="W1973" i="2"/>
  <c r="W1945" i="2"/>
  <c r="O220" i="6"/>
  <c r="O192" i="6"/>
  <c r="O168" i="6"/>
  <c r="O148" i="6"/>
  <c r="O130" i="6"/>
  <c r="O110" i="6"/>
  <c r="O92" i="6"/>
  <c r="O75" i="6"/>
  <c r="O57" i="6"/>
  <c r="O35" i="6"/>
  <c r="W2060" i="2"/>
  <c r="W2043" i="2"/>
  <c r="W2026" i="2"/>
  <c r="W2008" i="2"/>
  <c r="W1992" i="2"/>
  <c r="W1972" i="2"/>
  <c r="W1953" i="2"/>
  <c r="W1935" i="2"/>
  <c r="W1918" i="2"/>
  <c r="W1898" i="2"/>
  <c r="W1880" i="2"/>
  <c r="W1863" i="2"/>
  <c r="O232" i="6"/>
  <c r="O199" i="6"/>
  <c r="O183" i="6"/>
  <c r="O167" i="6"/>
  <c r="O151" i="6"/>
  <c r="O134" i="6"/>
  <c r="O116" i="6"/>
  <c r="O95" i="6"/>
  <c r="O77" i="6"/>
  <c r="O61" i="6"/>
  <c r="O43" i="6"/>
  <c r="O22" i="6"/>
  <c r="W2050" i="2"/>
  <c r="W2034" i="2"/>
  <c r="W2016" i="2"/>
  <c r="W1999" i="2"/>
  <c r="W1980" i="2"/>
  <c r="W1961" i="2"/>
  <c r="W1943" i="2"/>
  <c r="W1925" i="2"/>
  <c r="W1905" i="2"/>
  <c r="O260" i="6"/>
  <c r="O206" i="6"/>
  <c r="O190" i="6"/>
  <c r="O174" i="6"/>
  <c r="O158" i="6"/>
  <c r="O141" i="6"/>
  <c r="O124" i="6"/>
  <c r="O104" i="6"/>
  <c r="O85" i="6"/>
  <c r="O68" i="6"/>
  <c r="O51" i="6"/>
  <c r="O28" i="6"/>
  <c r="W2015" i="2"/>
  <c r="W1942" i="2"/>
  <c r="W1903" i="2"/>
  <c r="W1876" i="2"/>
  <c r="W1854" i="2"/>
  <c r="W1818" i="2"/>
  <c r="W1799" i="2"/>
  <c r="W1777" i="2"/>
  <c r="W1739" i="2"/>
  <c r="W1716" i="2"/>
  <c r="W1697" i="2"/>
  <c r="W1680" i="2"/>
  <c r="W1664" i="2"/>
  <c r="W1647" i="2"/>
  <c r="W1631" i="2"/>
  <c r="W1605" i="2"/>
  <c r="W1586" i="2"/>
  <c r="W1569" i="2"/>
  <c r="W1550" i="2"/>
  <c r="W1532" i="2"/>
  <c r="W1515" i="2"/>
  <c r="W1497" i="2"/>
  <c r="W1473" i="2"/>
  <c r="W1457" i="2"/>
  <c r="W1441" i="2"/>
  <c r="W1425" i="2"/>
  <c r="W1409" i="2"/>
  <c r="W1393" i="2"/>
  <c r="W1377" i="2"/>
  <c r="W1361" i="2"/>
  <c r="W1344" i="2"/>
  <c r="W2028" i="2"/>
  <c r="W1955" i="2"/>
  <c r="W1908" i="2"/>
  <c r="W1882" i="2"/>
  <c r="W1858" i="2"/>
  <c r="W1840" i="2"/>
  <c r="W1821" i="2"/>
  <c r="W1802" i="2"/>
  <c r="W1763" i="2"/>
  <c r="W1742" i="2"/>
  <c r="W1719" i="2"/>
  <c r="W1702" i="2"/>
  <c r="W1683" i="2"/>
  <c r="W1667" i="2"/>
  <c r="W1650" i="2"/>
  <c r="W1634" i="2"/>
  <c r="W1608" i="2"/>
  <c r="W1591" i="2"/>
  <c r="W1572" i="2"/>
  <c r="W1554" i="2"/>
  <c r="W1536" i="2"/>
  <c r="W1518" i="2"/>
  <c r="W1500" i="2"/>
  <c r="W1476" i="2"/>
  <c r="W1460" i="2"/>
  <c r="W1444" i="2"/>
  <c r="O1259" i="6"/>
  <c r="O1080" i="6"/>
  <c r="O1318" i="6"/>
  <c r="O765" i="6"/>
  <c r="O768" i="6"/>
  <c r="O923" i="6"/>
  <c r="O661" i="6"/>
  <c r="O748" i="6"/>
  <c r="O424" i="6"/>
  <c r="O568" i="6"/>
  <c r="O320" i="6"/>
  <c r="O221" i="6"/>
  <c r="O494" i="6"/>
  <c r="O403" i="6"/>
  <c r="O304" i="6"/>
  <c r="O521" i="6"/>
  <c r="O430" i="6"/>
  <c r="O334" i="6"/>
  <c r="O263" i="6"/>
  <c r="O210" i="6"/>
  <c r="O145" i="6"/>
  <c r="O67" i="6"/>
  <c r="W2061" i="2"/>
  <c r="W2014" i="2"/>
  <c r="W1963" i="2"/>
  <c r="O209" i="6"/>
  <c r="O164" i="6"/>
  <c r="O126" i="6"/>
  <c r="O87" i="6"/>
  <c r="O53" i="6"/>
  <c r="W2056" i="2"/>
  <c r="W2022" i="2"/>
  <c r="W1985" i="2"/>
  <c r="W1949" i="2"/>
  <c r="W1910" i="2"/>
  <c r="W1875" i="2"/>
  <c r="O216" i="6"/>
  <c r="O179" i="6"/>
  <c r="O147" i="6"/>
  <c r="O109" i="6"/>
  <c r="O74" i="6"/>
  <c r="O38" i="6"/>
  <c r="W2046" i="2"/>
  <c r="W2012" i="2"/>
  <c r="W1975" i="2"/>
  <c r="W1939" i="2"/>
  <c r="W1901" i="2"/>
  <c r="O202" i="6"/>
  <c r="O170" i="6"/>
  <c r="O137" i="6"/>
  <c r="O98" i="6"/>
  <c r="O64" i="6"/>
  <c r="O21" i="6"/>
  <c r="W1932" i="2"/>
  <c r="W1870" i="2"/>
  <c r="W1831" i="2"/>
  <c r="W1794" i="2"/>
  <c r="W1752" i="2"/>
  <c r="W1712" i="2"/>
  <c r="W1676" i="2"/>
  <c r="W1643" i="2"/>
  <c r="W1601" i="2"/>
  <c r="W1563" i="2"/>
  <c r="W1528" i="2"/>
  <c r="W1489" i="2"/>
  <c r="W1453" i="2"/>
  <c r="W1421" i="2"/>
  <c r="W1389" i="2"/>
  <c r="W1357" i="2"/>
  <c r="W2010" i="2"/>
  <c r="W1900" i="2"/>
  <c r="W1853" i="2"/>
  <c r="W1817" i="2"/>
  <c r="W1738" i="2"/>
  <c r="W1696" i="2"/>
  <c r="W1663" i="2"/>
  <c r="W1630" i="2"/>
  <c r="W1585" i="2"/>
  <c r="W1549" i="2"/>
  <c r="W1514" i="2"/>
  <c r="W1472" i="2"/>
  <c r="W1440" i="2"/>
  <c r="W1420" i="2"/>
  <c r="W1396" i="2"/>
  <c r="W1376" i="2"/>
  <c r="W1356" i="2"/>
  <c r="W1339" i="2"/>
  <c r="W1323" i="2"/>
  <c r="W1307" i="2"/>
  <c r="W1291" i="2"/>
  <c r="W1275" i="2"/>
  <c r="W1259" i="2"/>
  <c r="W1242" i="2"/>
  <c r="W1226" i="2"/>
  <c r="W1210" i="2"/>
  <c r="W1194" i="2"/>
  <c r="W2041" i="2"/>
  <c r="W1970" i="2"/>
  <c r="W1919" i="2"/>
  <c r="W1886" i="2"/>
  <c r="W1862" i="2"/>
  <c r="W1843" i="2"/>
  <c r="W1825" i="2"/>
  <c r="W1805" i="2"/>
  <c r="W1784" i="2"/>
  <c r="W1766" i="2"/>
  <c r="W1745" i="2"/>
  <c r="W1728" i="2"/>
  <c r="W1705" i="2"/>
  <c r="W1686" i="2"/>
  <c r="W1670" i="2"/>
  <c r="W1653" i="2"/>
  <c r="W1637" i="2"/>
  <c r="W1611" i="2"/>
  <c r="W1594" i="2"/>
  <c r="W1576" i="2"/>
  <c r="W1557" i="2"/>
  <c r="W1539" i="2"/>
  <c r="W1521" i="2"/>
  <c r="W1504" i="2"/>
  <c r="W1483" i="2"/>
  <c r="W1463" i="2"/>
  <c r="W1447" i="2"/>
  <c r="W1431" i="2"/>
  <c r="W1415" i="2"/>
  <c r="W1399" i="2"/>
  <c r="W1383" i="2"/>
  <c r="W1367" i="2"/>
  <c r="W1351" i="2"/>
  <c r="W1334" i="2"/>
  <c r="W1318" i="2"/>
  <c r="W1302" i="2"/>
  <c r="W1286" i="2"/>
  <c r="W1270" i="2"/>
  <c r="W1254" i="2"/>
  <c r="W1237" i="2"/>
  <c r="W2037" i="2"/>
  <c r="W1964" i="2"/>
  <c r="W1914" i="2"/>
  <c r="W1884" i="2"/>
  <c r="W1861" i="2"/>
  <c r="W1842" i="2"/>
  <c r="W1823" i="2"/>
  <c r="W1804" i="2"/>
  <c r="W1783" i="2"/>
  <c r="W1765" i="2"/>
  <c r="W1744" i="2"/>
  <c r="W1727" i="2"/>
  <c r="W1704" i="2"/>
  <c r="W1685" i="2"/>
  <c r="W1669" i="2"/>
  <c r="W1652" i="2"/>
  <c r="W1589" i="2"/>
  <c r="W1516" i="2"/>
  <c r="W1442" i="2"/>
  <c r="W1378" i="2"/>
  <c r="W1324" i="2"/>
  <c r="W1292" i="2"/>
  <c r="W1260" i="2"/>
  <c r="W1227" i="2"/>
  <c r="W1205" i="2"/>
  <c r="W1184" i="2"/>
  <c r="W1168" i="2"/>
  <c r="W1152" i="2"/>
  <c r="W1134" i="2"/>
  <c r="AB1124" i="2"/>
  <c r="W1116" i="2"/>
  <c r="O1360" i="6"/>
  <c r="O1225" i="6"/>
  <c r="O1014" i="6"/>
  <c r="O898" i="6"/>
  <c r="O635" i="6"/>
  <c r="O799" i="6"/>
  <c r="O872" i="6"/>
  <c r="O558" i="6"/>
  <c r="O294" i="6"/>
  <c r="O432" i="6"/>
  <c r="O261" i="6"/>
  <c r="O555" i="6"/>
  <c r="O453" i="6"/>
  <c r="O354" i="6"/>
  <c r="O595" i="6"/>
  <c r="O477" i="6"/>
  <c r="O379" i="6"/>
  <c r="O295" i="6"/>
  <c r="O231" i="6"/>
  <c r="O177" i="6"/>
  <c r="O107" i="6"/>
  <c r="O41" i="6"/>
  <c r="W2036" i="2"/>
  <c r="W1993" i="2"/>
  <c r="W1941" i="2"/>
  <c r="O184" i="6"/>
  <c r="O144" i="6"/>
  <c r="O106" i="6"/>
  <c r="O71" i="6"/>
  <c r="O31" i="6"/>
  <c r="W2039" i="2"/>
  <c r="W2004" i="2"/>
  <c r="W1966" i="2"/>
  <c r="W1931" i="2"/>
  <c r="W1894" i="2"/>
  <c r="W1859" i="2"/>
  <c r="O195" i="6"/>
  <c r="O163" i="6"/>
  <c r="O129" i="6"/>
  <c r="O91" i="6"/>
  <c r="O56" i="6"/>
  <c r="O18" i="6"/>
  <c r="W2029" i="2"/>
  <c r="W1995" i="2"/>
  <c r="W1956" i="2"/>
  <c r="W1921" i="2"/>
  <c r="O244" i="6"/>
  <c r="O186" i="6"/>
  <c r="O154" i="6"/>
  <c r="O119" i="6"/>
  <c r="O81" i="6"/>
  <c r="O42" i="6"/>
  <c r="W1998" i="2"/>
  <c r="W1895" i="2"/>
  <c r="W1850" i="2"/>
  <c r="W1814" i="2"/>
  <c r="W1772" i="2"/>
  <c r="W1734" i="2"/>
  <c r="W1693" i="2"/>
  <c r="W1660" i="2"/>
  <c r="W1617" i="2"/>
  <c r="W1582" i="2"/>
  <c r="W1546" i="2"/>
  <c r="W1510" i="2"/>
  <c r="W1469" i="2"/>
  <c r="W1437" i="2"/>
  <c r="W1405" i="2"/>
  <c r="W1373" i="2"/>
  <c r="W1340" i="2"/>
  <c r="W1938" i="2"/>
  <c r="W1874" i="2"/>
  <c r="W1755" i="2"/>
  <c r="W1715" i="2"/>
  <c r="W1679" i="2"/>
  <c r="W1646" i="2"/>
  <c r="W1604" i="2"/>
  <c r="W1568" i="2"/>
  <c r="W1531" i="2"/>
  <c r="W1496" i="2"/>
  <c r="W1456" i="2"/>
  <c r="W1428" i="2"/>
  <c r="W1408" i="2"/>
  <c r="W1388" i="2"/>
  <c r="W1364" i="2"/>
  <c r="W1348" i="2"/>
  <c r="W1331" i="2"/>
  <c r="W1315" i="2"/>
  <c r="W1299" i="2"/>
  <c r="W1283" i="2"/>
  <c r="W1267" i="2"/>
  <c r="W1251" i="2"/>
  <c r="W1234" i="2"/>
  <c r="W1218" i="2"/>
  <c r="W1202" i="2"/>
  <c r="W1186" i="2"/>
  <c r="W2006" i="2"/>
  <c r="W1936" i="2"/>
  <c r="W1899" i="2"/>
  <c r="W1873" i="2"/>
  <c r="W1852" i="2"/>
  <c r="W1833" i="2"/>
  <c r="W1816" i="2"/>
  <c r="W1754" i="2"/>
  <c r="W1737" i="2"/>
  <c r="W1714" i="2"/>
  <c r="W1695" i="2"/>
  <c r="W1678" i="2"/>
  <c r="W1662" i="2"/>
  <c r="W1645" i="2"/>
  <c r="W1629" i="2"/>
  <c r="W1603" i="2"/>
  <c r="W1584" i="2"/>
  <c r="W1567" i="2"/>
  <c r="W1548" i="2"/>
  <c r="W1530" i="2"/>
  <c r="W1512" i="2"/>
  <c r="W1495" i="2"/>
  <c r="W1471" i="2"/>
  <c r="W1455" i="2"/>
  <c r="W1439" i="2"/>
  <c r="W1423" i="2"/>
  <c r="W1407" i="2"/>
  <c r="W1391" i="2"/>
  <c r="W1375" i="2"/>
  <c r="W1359" i="2"/>
  <c r="W1342" i="2"/>
  <c r="W1326" i="2"/>
  <c r="W1310" i="2"/>
  <c r="W1294" i="2"/>
  <c r="W1278" i="2"/>
  <c r="W1262" i="2"/>
  <c r="W1245" i="2"/>
  <c r="W1229" i="2"/>
  <c r="W2002" i="2"/>
  <c r="W1933" i="2"/>
  <c r="W1896" i="2"/>
  <c r="W1872" i="2"/>
  <c r="W1851" i="2"/>
  <c r="W1832" i="2"/>
  <c r="W1815" i="2"/>
  <c r="W1795" i="2"/>
  <c r="W1773" i="2"/>
  <c r="W1753" i="2"/>
  <c r="W1735" i="2"/>
  <c r="W1713" i="2"/>
  <c r="W1694" i="2"/>
  <c r="W1677" i="2"/>
  <c r="W1661" i="2"/>
  <c r="W1632" i="2"/>
  <c r="W1551" i="2"/>
  <c r="W1474" i="2"/>
  <c r="W1410" i="2"/>
  <c r="W1345" i="2"/>
  <c r="W1308" i="2"/>
  <c r="W1276" i="2"/>
  <c r="W1243" i="2"/>
  <c r="W1216" i="2"/>
  <c r="W1195" i="2"/>
  <c r="W1176" i="2"/>
  <c r="W1160" i="2"/>
  <c r="W1142" i="2"/>
  <c r="AB1128" i="2"/>
  <c r="W1120" i="2"/>
  <c r="W1112" i="2"/>
  <c r="AB1103" i="2"/>
  <c r="AB1094" i="2"/>
  <c r="O1193" i="6"/>
  <c r="O1260" i="6"/>
  <c r="O732" i="6"/>
  <c r="O634" i="6"/>
  <c r="O392" i="6"/>
  <c r="O293" i="6"/>
  <c r="O486" i="6"/>
  <c r="O292" i="6"/>
  <c r="O416" i="6"/>
  <c r="O255" i="6"/>
  <c r="O136" i="6"/>
  <c r="W2053" i="2"/>
  <c r="W1959" i="2"/>
  <c r="O160" i="6"/>
  <c r="O83" i="6"/>
  <c r="W2052" i="2"/>
  <c r="W1981" i="2"/>
  <c r="W1906" i="2"/>
  <c r="O208" i="6"/>
  <c r="O142" i="6"/>
  <c r="O69" i="6"/>
  <c r="W2042" i="2"/>
  <c r="W1971" i="2"/>
  <c r="W1897" i="2"/>
  <c r="O166" i="6"/>
  <c r="O94" i="6"/>
  <c r="W2049" i="2"/>
  <c r="W1865" i="2"/>
  <c r="W1786" i="2"/>
  <c r="W1707" i="2"/>
  <c r="W1639" i="2"/>
  <c r="W1559" i="2"/>
  <c r="W1485" i="2"/>
  <c r="W1417" i="2"/>
  <c r="W1353" i="2"/>
  <c r="W1893" i="2"/>
  <c r="W1733" i="2"/>
  <c r="W1659" i="2"/>
  <c r="W1581" i="2"/>
  <c r="W1509" i="2"/>
  <c r="W1436" i="2"/>
  <c r="W1392" i="2"/>
  <c r="W1352" i="2"/>
  <c r="W1319" i="2"/>
  <c r="W1287" i="2"/>
  <c r="W1255" i="2"/>
  <c r="W1222" i="2"/>
  <c r="W1190" i="2"/>
  <c r="W1951" i="2"/>
  <c r="W1879" i="2"/>
  <c r="W1839" i="2"/>
  <c r="W1801" i="2"/>
  <c r="W1762" i="2"/>
  <c r="W1718" i="2"/>
  <c r="W1682" i="2"/>
  <c r="W1649" i="2"/>
  <c r="W1607" i="2"/>
  <c r="W1571" i="2"/>
  <c r="W1535" i="2"/>
  <c r="W1499" i="2"/>
  <c r="W1459" i="2"/>
  <c r="W1427" i="2"/>
  <c r="W1395" i="2"/>
  <c r="W1363" i="2"/>
  <c r="W1330" i="2"/>
  <c r="W1298" i="2"/>
  <c r="W1266" i="2"/>
  <c r="W1233" i="2"/>
  <c r="W1946" i="2"/>
  <c r="W1877" i="2"/>
  <c r="W1838" i="2"/>
  <c r="W1800" i="2"/>
  <c r="W1717" i="2"/>
  <c r="W1681" i="2"/>
  <c r="W1648" i="2"/>
  <c r="W1498" i="2"/>
  <c r="W1362" i="2"/>
  <c r="W1284" i="2"/>
  <c r="W1221" i="2"/>
  <c r="W1180" i="2"/>
  <c r="W1148" i="2"/>
  <c r="AB1122" i="2"/>
  <c r="AB1107" i="2"/>
  <c r="AB1096" i="2"/>
  <c r="W1086" i="2"/>
  <c r="W1077" i="2"/>
  <c r="W1068" i="2"/>
  <c r="W1060" i="2"/>
  <c r="W1048" i="2"/>
  <c r="AB1039" i="2"/>
  <c r="AB1029" i="2"/>
  <c r="AB1021" i="2"/>
  <c r="W1013" i="2"/>
  <c r="W1005" i="2"/>
  <c r="W997" i="2"/>
  <c r="W989" i="2"/>
  <c r="W981" i="2"/>
  <c r="W973" i="2"/>
  <c r="W965" i="2"/>
  <c r="W957" i="2"/>
  <c r="W949" i="2"/>
  <c r="W941" i="2"/>
  <c r="AB932" i="2"/>
  <c r="AB923" i="2"/>
  <c r="AB914" i="2"/>
  <c r="AB905" i="2"/>
  <c r="AB897" i="2"/>
  <c r="AB889" i="2"/>
  <c r="W881" i="2"/>
  <c r="W1602" i="2"/>
  <c r="W1529" i="2"/>
  <c r="W1454" i="2"/>
  <c r="W1390" i="2"/>
  <c r="W1329" i="2"/>
  <c r="W1297" i="2"/>
  <c r="W1265" i="2"/>
  <c r="W1232" i="2"/>
  <c r="W1209" i="2"/>
  <c r="W1188" i="2"/>
  <c r="W1171" i="2"/>
  <c r="W1155" i="2"/>
  <c r="W1137" i="2"/>
  <c r="W1126" i="2"/>
  <c r="AB1117" i="2"/>
  <c r="W1109" i="2"/>
  <c r="W1100" i="2"/>
  <c r="W1092" i="2"/>
  <c r="AB1083" i="2"/>
  <c r="AB1074" i="2"/>
  <c r="AB1065" i="2"/>
  <c r="W1056" i="2"/>
  <c r="AB1045" i="2"/>
  <c r="W1037" i="2"/>
  <c r="W1027" i="2"/>
  <c r="AB1018" i="2"/>
  <c r="AB1010" i="2"/>
  <c r="AB1002" i="2"/>
  <c r="AB994" i="2"/>
  <c r="AB986" i="2"/>
  <c r="AB978" i="2"/>
  <c r="AB970" i="2"/>
  <c r="AB962" i="2"/>
  <c r="AB954" i="2"/>
  <c r="AB946" i="2"/>
  <c r="W938" i="2"/>
  <c r="W929" i="2"/>
  <c r="W921" i="2"/>
  <c r="W912" i="2"/>
  <c r="W903" i="2"/>
  <c r="W895" i="2"/>
  <c r="AB886" i="2"/>
  <c r="W878" i="2"/>
  <c r="W870" i="2"/>
  <c r="W1597" i="2"/>
  <c r="W1525" i="2"/>
  <c r="W1450" i="2"/>
  <c r="W1386" i="2"/>
  <c r="W1328" i="2"/>
  <c r="W1296" i="2"/>
  <c r="W1264" i="2"/>
  <c r="W1231" i="2"/>
  <c r="W1208" i="2"/>
  <c r="W1187" i="2"/>
  <c r="W1170" i="2"/>
  <c r="W1154" i="2"/>
  <c r="W1136" i="2"/>
  <c r="AB1125" i="2"/>
  <c r="W1117" i="2"/>
  <c r="AB1108" i="2"/>
  <c r="AB1099" i="2"/>
  <c r="AB1091" i="2"/>
  <c r="W1083" i="2"/>
  <c r="W1074" i="2"/>
  <c r="W1065" i="2"/>
  <c r="W1055" i="2"/>
  <c r="W1045" i="2"/>
  <c r="AB1036" i="2"/>
  <c r="AB1026" i="2"/>
  <c r="W1018" i="2"/>
  <c r="W1010" i="2"/>
  <c r="W1002" i="2"/>
  <c r="W994" i="2"/>
  <c r="W986" i="2"/>
  <c r="W978" i="2"/>
  <c r="W970" i="2"/>
  <c r="W962" i="2"/>
  <c r="W954" i="2"/>
  <c r="W946" i="2"/>
  <c r="AB937" i="2"/>
  <c r="AB928" i="2"/>
  <c r="AB920" i="2"/>
  <c r="AB911" i="2"/>
  <c r="AB902" i="2"/>
  <c r="AB894" i="2"/>
  <c r="W886" i="2"/>
  <c r="W1610" i="2"/>
  <c r="W1538" i="2"/>
  <c r="W1462" i="2"/>
  <c r="W1398" i="2"/>
  <c r="W1333" i="2"/>
  <c r="W1301" i="2"/>
  <c r="W1269" i="2"/>
  <c r="W1236" i="2"/>
  <c r="W1212" i="2"/>
  <c r="W1191" i="2"/>
  <c r="W1173" i="2"/>
  <c r="W1157" i="2"/>
  <c r="W1139" i="2"/>
  <c r="W1127" i="2"/>
  <c r="AB1118" i="2"/>
  <c r="W1110" i="2"/>
  <c r="W1102" i="2"/>
  <c r="W1093" i="2"/>
  <c r="AB1084" i="2"/>
  <c r="AB1075" i="2"/>
  <c r="AB1066" i="2"/>
  <c r="W1058" i="2"/>
  <c r="AB1046" i="2"/>
  <c r="W1038" i="2"/>
  <c r="W1028" i="2"/>
  <c r="AB1019" i="2"/>
  <c r="AB1011" i="2"/>
  <c r="AB1003" i="2"/>
  <c r="AB995" i="2"/>
  <c r="AB987" i="2"/>
  <c r="AB979" i="2"/>
  <c r="AB971" i="2"/>
  <c r="AB963" i="2"/>
  <c r="AB955" i="2"/>
  <c r="AB947" i="2"/>
  <c r="W939" i="2"/>
  <c r="W931" i="2"/>
  <c r="W922" i="2"/>
  <c r="W913" i="2"/>
  <c r="W904" i="2"/>
  <c r="W896" i="2"/>
  <c r="AB873" i="2"/>
  <c r="AB863" i="2"/>
  <c r="W854" i="2"/>
  <c r="W846" i="2"/>
  <c r="W837" i="2"/>
  <c r="W829" i="2"/>
  <c r="W821" i="2"/>
  <c r="W812" i="2"/>
  <c r="W802" i="2"/>
  <c r="AB793" i="2"/>
  <c r="AB785" i="2"/>
  <c r="W772" i="2"/>
  <c r="AB763" i="2"/>
  <c r="W755" i="2"/>
  <c r="AB746" i="2"/>
  <c r="W738" i="2"/>
  <c r="W730" i="2"/>
  <c r="AB721" i="2"/>
  <c r="W713" i="2"/>
  <c r="AB704" i="2"/>
  <c r="AB694" i="2"/>
  <c r="AB686" i="2"/>
  <c r="AB677" i="2"/>
  <c r="AB668" i="2"/>
  <c r="AB658" i="2"/>
  <c r="W650" i="2"/>
  <c r="AB639" i="2"/>
  <c r="AB629" i="2"/>
  <c r="W620" i="2"/>
  <c r="AB611" i="2"/>
  <c r="W603" i="2"/>
  <c r="AB593" i="2"/>
  <c r="W585" i="2"/>
  <c r="W576" i="2"/>
  <c r="AB567" i="2"/>
  <c r="W559" i="2"/>
  <c r="AB550" i="2"/>
  <c r="AB541" i="2"/>
  <c r="AB533" i="2"/>
  <c r="W525" i="2"/>
  <c r="AB516" i="2"/>
  <c r="AB506" i="2"/>
  <c r="AB497" i="2"/>
  <c r="W489" i="2"/>
  <c r="W479" i="2"/>
  <c r="W469" i="2"/>
  <c r="AB885" i="2"/>
  <c r="AB870" i="2"/>
  <c r="W861" i="2"/>
  <c r="AB851" i="2"/>
  <c r="W843" i="2"/>
  <c r="AB834" i="2"/>
  <c r="AB826" i="2"/>
  <c r="AB818" i="2"/>
  <c r="AB809" i="2"/>
  <c r="AB799" i="2"/>
  <c r="W791" i="2"/>
  <c r="AB782" i="2"/>
  <c r="W769" i="2"/>
  <c r="W761" i="2"/>
  <c r="AB752" i="2"/>
  <c r="W744" i="2"/>
  <c r="AB735" i="2"/>
  <c r="W727" i="2"/>
  <c r="AB718" i="2"/>
  <c r="AB710" i="2"/>
  <c r="AB700" i="2"/>
  <c r="W692" i="2"/>
  <c r="AB683" i="2"/>
  <c r="AB674" i="2"/>
  <c r="W666" i="2"/>
  <c r="W656" i="2"/>
  <c r="AB646" i="2"/>
  <c r="AB636" i="2"/>
  <c r="W626" i="2"/>
  <c r="W617" i="2"/>
  <c r="AB608" i="2"/>
  <c r="AB600" i="2"/>
  <c r="W591" i="2"/>
  <c r="AB581" i="2"/>
  <c r="W573" i="2"/>
  <c r="W565" i="2"/>
  <c r="AB556" i="2"/>
  <c r="W548" i="2"/>
  <c r="W539" i="2"/>
  <c r="AB530" i="2"/>
  <c r="W522" i="2"/>
  <c r="W514" i="2"/>
  <c r="W504" i="2"/>
  <c r="AB494" i="2"/>
  <c r="AB484" i="2"/>
  <c r="AB474" i="2"/>
  <c r="AB466" i="2"/>
  <c r="AB457" i="2"/>
  <c r="W448" i="2"/>
  <c r="W439" i="2"/>
  <c r="AB877" i="2"/>
  <c r="AB866" i="2"/>
  <c r="W858" i="2"/>
  <c r="W849" i="2"/>
  <c r="AB840" i="2"/>
  <c r="W832" i="2"/>
  <c r="O979" i="6"/>
  <c r="O694" i="6"/>
  <c r="O889" i="6"/>
  <c r="O709" i="6"/>
  <c r="O523" i="6"/>
  <c r="O624" i="6"/>
  <c r="O390" i="6"/>
  <c r="O512" i="6"/>
  <c r="O322" i="6"/>
  <c r="O201" i="6"/>
  <c r="O63" i="6"/>
  <c r="W2009" i="2"/>
  <c r="O200" i="6"/>
  <c r="O121" i="6"/>
  <c r="O48" i="6"/>
  <c r="W2017" i="2"/>
  <c r="W1944" i="2"/>
  <c r="W1871" i="2"/>
  <c r="O175" i="6"/>
  <c r="O105" i="6"/>
  <c r="O34" i="6"/>
  <c r="W2007" i="2"/>
  <c r="W1934" i="2"/>
  <c r="O198" i="6"/>
  <c r="O132" i="6"/>
  <c r="O59" i="6"/>
  <c r="W1923" i="2"/>
  <c r="W1827" i="2"/>
  <c r="W1748" i="2"/>
  <c r="W1672" i="2"/>
  <c r="W1596" i="2"/>
  <c r="W1524" i="2"/>
  <c r="W1449" i="2"/>
  <c r="W1385" i="2"/>
  <c r="W1994" i="2"/>
  <c r="W1849" i="2"/>
  <c r="W1771" i="2"/>
  <c r="W1692" i="2"/>
  <c r="W1616" i="2"/>
  <c r="W1545" i="2"/>
  <c r="W1468" i="2"/>
  <c r="W1412" i="2"/>
  <c r="W1372" i="2"/>
  <c r="W1335" i="2"/>
  <c r="W1303" i="2"/>
  <c r="W1271" i="2"/>
  <c r="W1238" i="2"/>
  <c r="W1206" i="2"/>
  <c r="W2024" i="2"/>
  <c r="W1907" i="2"/>
  <c r="W1856" i="2"/>
  <c r="W1820" i="2"/>
  <c r="W1741" i="2"/>
  <c r="W1699" i="2"/>
  <c r="W1666" i="2"/>
  <c r="W1633" i="2"/>
  <c r="W1590" i="2"/>
  <c r="W1552" i="2"/>
  <c r="W1517" i="2"/>
  <c r="W1475" i="2"/>
  <c r="W1443" i="2"/>
  <c r="W1411" i="2"/>
  <c r="W1379" i="2"/>
  <c r="W1346" i="2"/>
  <c r="W1314" i="2"/>
  <c r="W1282" i="2"/>
  <c r="W1250" i="2"/>
  <c r="W2019" i="2"/>
  <c r="W1904" i="2"/>
  <c r="W1855" i="2"/>
  <c r="W1819" i="2"/>
  <c r="W1778" i="2"/>
  <c r="W1740" i="2"/>
  <c r="W1698" i="2"/>
  <c r="W1665" i="2"/>
  <c r="W1570" i="2"/>
  <c r="W1426" i="2"/>
  <c r="W1316" i="2"/>
  <c r="W1252" i="2"/>
  <c r="W1200" i="2"/>
  <c r="W1164" i="2"/>
  <c r="AB1130" i="2"/>
  <c r="W1114" i="2"/>
  <c r="W1101" i="2"/>
  <c r="W1090" i="2"/>
  <c r="W1082" i="2"/>
  <c r="W1073" i="2"/>
  <c r="W1064" i="2"/>
  <c r="W1053" i="2"/>
  <c r="W1044" i="2"/>
  <c r="AB1034" i="2"/>
  <c r="AB1025" i="2"/>
  <c r="W1017" i="2"/>
  <c r="W1009" i="2"/>
  <c r="W1001" i="2"/>
  <c r="W993" i="2"/>
  <c r="W985" i="2"/>
  <c r="W977" i="2"/>
  <c r="W969" i="2"/>
  <c r="W961" i="2"/>
  <c r="W953" i="2"/>
  <c r="W945" i="2"/>
  <c r="AB936" i="2"/>
  <c r="AB927" i="2"/>
  <c r="W919" i="2"/>
  <c r="AB910" i="2"/>
  <c r="AB901" i="2"/>
  <c r="AB893" i="2"/>
  <c r="W885" i="2"/>
  <c r="W1644" i="2"/>
  <c r="W1566" i="2"/>
  <c r="W1494" i="2"/>
  <c r="W1422" i="2"/>
  <c r="W1358" i="2"/>
  <c r="W1313" i="2"/>
  <c r="W1281" i="2"/>
  <c r="W1249" i="2"/>
  <c r="W1220" i="2"/>
  <c r="W1199" i="2"/>
  <c r="W1179" i="2"/>
  <c r="W1163" i="2"/>
  <c r="W1145" i="2"/>
  <c r="W1130" i="2"/>
  <c r="W1122" i="2"/>
  <c r="AB1113" i="2"/>
  <c r="W1105" i="2"/>
  <c r="W1096" i="2"/>
  <c r="AB1087" i="2"/>
  <c r="AB1078" i="2"/>
  <c r="AB1070" i="2"/>
  <c r="AB1061" i="2"/>
  <c r="AB1049" i="2"/>
  <c r="W1041" i="2"/>
  <c r="W1032" i="2"/>
  <c r="W1023" i="2"/>
  <c r="AB1014" i="2"/>
  <c r="AB1006" i="2"/>
  <c r="AB998" i="2"/>
  <c r="AB990" i="2"/>
  <c r="AB982" i="2"/>
  <c r="AB974" i="2"/>
  <c r="AB966" i="2"/>
  <c r="AB958" i="2"/>
  <c r="AB950" i="2"/>
  <c r="AB942" i="2"/>
  <c r="W934" i="2"/>
  <c r="W925" i="2"/>
  <c r="AB916" i="2"/>
  <c r="W907" i="2"/>
  <c r="W899" i="2"/>
  <c r="W891" i="2"/>
  <c r="AB882" i="2"/>
  <c r="W874" i="2"/>
  <c r="W1640" i="2"/>
  <c r="W1560" i="2"/>
  <c r="W1486" i="2"/>
  <c r="W1418" i="2"/>
  <c r="W1354" i="2"/>
  <c r="W1312" i="2"/>
  <c r="W1280" i="2"/>
  <c r="W1248" i="2"/>
  <c r="W1219" i="2"/>
  <c r="W1197" i="2"/>
  <c r="W1178" i="2"/>
  <c r="W1162" i="2"/>
  <c r="W1144" i="2"/>
  <c r="AB1129" i="2"/>
  <c r="W1121" i="2"/>
  <c r="W1113" i="2"/>
  <c r="AB1104" i="2"/>
  <c r="AB1095" i="2"/>
  <c r="W1087" i="2"/>
  <c r="W1078" i="2"/>
  <c r="W1070" i="2"/>
  <c r="W1061" i="2"/>
  <c r="W1049" i="2"/>
  <c r="AB1040" i="2"/>
  <c r="W1031" i="2"/>
  <c r="AB1022" i="2"/>
  <c r="W1014" i="2"/>
  <c r="W1006" i="2"/>
  <c r="W998" i="2"/>
  <c r="W990" i="2"/>
  <c r="W982" i="2"/>
  <c r="W974" i="2"/>
  <c r="W966" i="2"/>
  <c r="W958" i="2"/>
  <c r="W950" i="2"/>
  <c r="W942" i="2"/>
  <c r="AB933" i="2"/>
  <c r="AB924" i="2"/>
  <c r="W916" i="2"/>
  <c r="AB906" i="2"/>
  <c r="AB898" i="2"/>
  <c r="AB890" i="2"/>
  <c r="W882" i="2"/>
  <c r="W1574" i="2"/>
  <c r="W1502" i="2"/>
  <c r="W1430" i="2"/>
  <c r="W1366" i="2"/>
  <c r="W1317" i="2"/>
  <c r="W1285" i="2"/>
  <c r="W1253" i="2"/>
  <c r="W1223" i="2"/>
  <c r="W1201" i="2"/>
  <c r="W1181" i="2"/>
  <c r="W1165" i="2"/>
  <c r="W1149" i="2"/>
  <c r="W1131" i="2"/>
  <c r="W1123" i="2"/>
  <c r="AB1114" i="2"/>
  <c r="W1106" i="2"/>
  <c r="W1097" i="2"/>
  <c r="AB1088" i="2"/>
  <c r="W1080" i="2"/>
  <c r="AB1071" i="2"/>
  <c r="AB1062" i="2"/>
  <c r="AB1050" i="2"/>
  <c r="AB1042" i="2"/>
  <c r="W1033" i="2"/>
  <c r="W1024" i="2"/>
  <c r="AB1015" i="2"/>
  <c r="AB1007" i="2"/>
  <c r="AB999" i="2"/>
  <c r="AB991" i="2"/>
  <c r="AB983" i="2"/>
  <c r="AB975" i="2"/>
  <c r="AB967" i="2"/>
  <c r="AB959" i="2"/>
  <c r="AB951" i="2"/>
  <c r="AB943" i="2"/>
  <c r="W935" i="2"/>
  <c r="W926" i="2"/>
  <c r="AB917" i="2"/>
  <c r="W908" i="2"/>
  <c r="W900" i="2"/>
  <c r="W880" i="2"/>
  <c r="W868" i="2"/>
  <c r="AB859" i="2"/>
  <c r="W850" i="2"/>
  <c r="AB841" i="2"/>
  <c r="W833" i="2"/>
  <c r="W825" i="2"/>
  <c r="W817" i="2"/>
  <c r="W808" i="2"/>
  <c r="W798" i="2"/>
  <c r="AB789" i="2"/>
  <c r="W780" i="2"/>
  <c r="AB767" i="2"/>
  <c r="W759" i="2"/>
  <c r="W751" i="2"/>
  <c r="AB742" i="2"/>
  <c r="W734" i="2"/>
  <c r="AB725" i="2"/>
  <c r="W717" i="2"/>
  <c r="AB708" i="2"/>
  <c r="AB690" i="2"/>
  <c r="AB681" i="2"/>
  <c r="W673" i="2"/>
  <c r="W664" i="2"/>
  <c r="AB654" i="2"/>
  <c r="W645" i="2"/>
  <c r="AB634" i="2"/>
  <c r="W624" i="2"/>
  <c r="AB615" i="2"/>
  <c r="W607" i="2"/>
  <c r="AB598" i="2"/>
  <c r="AB589" i="2"/>
  <c r="W580" i="2"/>
  <c r="AB571" i="2"/>
  <c r="AB563" i="2"/>
  <c r="W555" i="2"/>
  <c r="W546" i="2"/>
  <c r="AB537" i="2"/>
  <c r="W529" i="2"/>
  <c r="AB520" i="2"/>
  <c r="W512" i="2"/>
  <c r="AB502" i="2"/>
  <c r="W493" i="2"/>
  <c r="W483" i="2"/>
  <c r="W473" i="2"/>
  <c r="W464" i="2"/>
  <c r="AB875" i="2"/>
  <c r="W865" i="2"/>
  <c r="AB855" i="2"/>
  <c r="AB847" i="2"/>
  <c r="AB838" i="2"/>
  <c r="AB830" i="2"/>
  <c r="AB822" i="2"/>
  <c r="AB813" i="2"/>
  <c r="AB803" i="2"/>
  <c r="AB795" i="2"/>
  <c r="W787" i="2"/>
  <c r="W775" i="2"/>
  <c r="W765" i="2"/>
  <c r="AB756" i="2"/>
  <c r="W748" i="2"/>
  <c r="W740" i="2"/>
  <c r="AB731" i="2"/>
  <c r="W723" i="2"/>
  <c r="AB714" i="2"/>
  <c r="W706" i="2"/>
  <c r="W696" i="2"/>
  <c r="W688" i="2"/>
  <c r="W679" i="2"/>
  <c r="W670" i="2"/>
  <c r="AB660" i="2"/>
  <c r="AB651" i="2"/>
  <c r="AB642" i="2"/>
  <c r="AB631" i="2"/>
  <c r="AB621" i="2"/>
  <c r="W613" i="2"/>
  <c r="AB604" i="2"/>
  <c r="W595" i="2"/>
  <c r="W587" i="2"/>
  <c r="AB577" i="2"/>
  <c r="W569" i="2"/>
  <c r="AB560" i="2"/>
  <c r="W552" i="2"/>
  <c r="AB543" i="2"/>
  <c r="W535" i="2"/>
  <c r="AB526" i="2"/>
  <c r="W518" i="2"/>
  <c r="W508" i="2"/>
  <c r="W500" i="2"/>
  <c r="AB490" i="2"/>
  <c r="AB480" i="2"/>
  <c r="AB470" i="2"/>
  <c r="AB461" i="2"/>
  <c r="AB452" i="2"/>
  <c r="AB443" i="2"/>
  <c r="W892" i="2"/>
  <c r="AB872" i="2"/>
  <c r="AB862" i="2"/>
  <c r="W853" i="2"/>
  <c r="W845" i="2"/>
  <c r="W836" i="2"/>
  <c r="W828" i="2"/>
  <c r="W820" i="2"/>
  <c r="O1294" i="6"/>
  <c r="O604" i="6"/>
  <c r="O262" i="6"/>
  <c r="O440" i="6"/>
  <c r="O370" i="6"/>
  <c r="O97" i="6"/>
  <c r="O268" i="6"/>
  <c r="O66" i="6"/>
  <c r="W1962" i="2"/>
  <c r="O191" i="6"/>
  <c r="O52" i="6"/>
  <c r="W1952" i="2"/>
  <c r="O150" i="6"/>
  <c r="W1978" i="2"/>
  <c r="W1613" i="2"/>
  <c r="W1465" i="2"/>
  <c r="W1336" i="2"/>
  <c r="W1792" i="2"/>
  <c r="W1642" i="2"/>
  <c r="W1488" i="2"/>
  <c r="W1380" i="2"/>
  <c r="W1311" i="2"/>
  <c r="W1246" i="2"/>
  <c r="W2058" i="2"/>
  <c r="W1868" i="2"/>
  <c r="W1791" i="2"/>
  <c r="W1709" i="2"/>
  <c r="W1641" i="2"/>
  <c r="W1561" i="2"/>
  <c r="W1487" i="2"/>
  <c r="W1419" i="2"/>
  <c r="W1355" i="2"/>
  <c r="W1290" i="2"/>
  <c r="W2054" i="2"/>
  <c r="W1866" i="2"/>
  <c r="W1787" i="2"/>
  <c r="W1708" i="2"/>
  <c r="W1606" i="2"/>
  <c r="W1332" i="2"/>
  <c r="W1211" i="2"/>
  <c r="W1138" i="2"/>
  <c r="AB1105" i="2"/>
  <c r="W1084" i="2"/>
  <c r="W1066" i="2"/>
  <c r="W1046" i="2"/>
  <c r="AB1027" i="2"/>
  <c r="W1011" i="2"/>
  <c r="W995" i="2"/>
  <c r="W979" i="2"/>
  <c r="W963" i="2"/>
  <c r="W947" i="2"/>
  <c r="W930" i="2"/>
  <c r="AB912" i="2"/>
  <c r="AB895" i="2"/>
  <c r="W879" i="2"/>
  <c r="W1511" i="2"/>
  <c r="W1374" i="2"/>
  <c r="W1289" i="2"/>
  <c r="W1225" i="2"/>
  <c r="W1183" i="2"/>
  <c r="W1151" i="2"/>
  <c r="W1124" i="2"/>
  <c r="W1107" i="2"/>
  <c r="AB1089" i="2"/>
  <c r="AB1072" i="2"/>
  <c r="W1052" i="2"/>
  <c r="W1034" i="2"/>
  <c r="AB1016" i="2"/>
  <c r="AB1000" i="2"/>
  <c r="AB984" i="2"/>
  <c r="AB968" i="2"/>
  <c r="AB952" i="2"/>
  <c r="W936" i="2"/>
  <c r="AB918" i="2"/>
  <c r="W901" i="2"/>
  <c r="AB884" i="2"/>
  <c r="AB867" i="2"/>
  <c r="W1507" i="2"/>
  <c r="W1370" i="2"/>
  <c r="W1288" i="2"/>
  <c r="W1224" i="2"/>
  <c r="W1182" i="2"/>
  <c r="W1150" i="2"/>
  <c r="AB1123" i="2"/>
  <c r="AB1106" i="2"/>
  <c r="W1089" i="2"/>
  <c r="W1072" i="2"/>
  <c r="W1051" i="2"/>
  <c r="AB1033" i="2"/>
  <c r="W1016" i="2"/>
  <c r="W1000" i="2"/>
  <c r="W984" i="2"/>
  <c r="W968" i="2"/>
  <c r="W952" i="2"/>
  <c r="AB935" i="2"/>
  <c r="W918" i="2"/>
  <c r="AB900" i="2"/>
  <c r="W884" i="2"/>
  <c r="W1520" i="2"/>
  <c r="W1382" i="2"/>
  <c r="W1293" i="2"/>
  <c r="W1228" i="2"/>
  <c r="W1185" i="2"/>
  <c r="W1153" i="2"/>
  <c r="W1125" i="2"/>
  <c r="W1108" i="2"/>
  <c r="W1091" i="2"/>
  <c r="AB1073" i="2"/>
  <c r="W1054" i="2"/>
  <c r="AB1035" i="2"/>
  <c r="AB1017" i="2"/>
  <c r="AB1001" i="2"/>
  <c r="AB985" i="2"/>
  <c r="AB969" i="2"/>
  <c r="AB953" i="2"/>
  <c r="W937" i="2"/>
  <c r="W920" i="2"/>
  <c r="W902" i="2"/>
  <c r="W871" i="2"/>
  <c r="W852" i="2"/>
  <c r="W835" i="2"/>
  <c r="W819" i="2"/>
  <c r="W800" i="2"/>
  <c r="W783" i="2"/>
  <c r="AB761" i="2"/>
  <c r="AB744" i="2"/>
  <c r="AB727" i="2"/>
  <c r="W711" i="2"/>
  <c r="AB692" i="2"/>
  <c r="W675" i="2"/>
  <c r="AB656" i="2"/>
  <c r="W637" i="2"/>
  <c r="AB617" i="2"/>
  <c r="W601" i="2"/>
  <c r="W582" i="2"/>
  <c r="AB565" i="2"/>
  <c r="AB548" i="2"/>
  <c r="W531" i="2"/>
  <c r="AB514" i="2"/>
  <c r="W495" i="2"/>
  <c r="W477" i="2"/>
  <c r="AB879" i="2"/>
  <c r="W859" i="2"/>
  <c r="W841" i="2"/>
  <c r="AB824" i="2"/>
  <c r="AB807" i="2"/>
  <c r="W789" i="2"/>
  <c r="W767" i="2"/>
  <c r="AB750" i="2"/>
  <c r="AB733" i="2"/>
  <c r="AB716" i="2"/>
  <c r="W698" i="2"/>
  <c r="W681" i="2"/>
  <c r="AB663" i="2"/>
  <c r="AB644" i="2"/>
  <c r="AB623" i="2"/>
  <c r="AB606" i="2"/>
  <c r="W589" i="2"/>
  <c r="W571" i="2"/>
  <c r="AB554" i="2"/>
  <c r="W537" i="2"/>
  <c r="W520" i="2"/>
  <c r="W502" i="2"/>
  <c r="AB482" i="2"/>
  <c r="AB463" i="2"/>
  <c r="W446" i="2"/>
  <c r="W875" i="2"/>
  <c r="W855" i="2"/>
  <c r="W838" i="2"/>
  <c r="W824" i="2"/>
  <c r="W813" i="2"/>
  <c r="W803" i="2"/>
  <c r="W795" i="2"/>
  <c r="AB786" i="2"/>
  <c r="W774" i="2"/>
  <c r="AB764" i="2"/>
  <c r="W756" i="2"/>
  <c r="AB747" i="2"/>
  <c r="W739" i="2"/>
  <c r="W731" i="2"/>
  <c r="AB722" i="2"/>
  <c r="W714" i="2"/>
  <c r="AB705" i="2"/>
  <c r="AB695" i="2"/>
  <c r="AB687" i="2"/>
  <c r="AB678" i="2"/>
  <c r="AB669" i="2"/>
  <c r="W660" i="2"/>
  <c r="W651" i="2"/>
  <c r="AB641" i="2"/>
  <c r="W631" i="2"/>
  <c r="W621" i="2"/>
  <c r="AB612" i="2"/>
  <c r="W604" i="2"/>
  <c r="AB594" i="2"/>
  <c r="AB586" i="2"/>
  <c r="W577" i="2"/>
  <c r="AB568" i="2"/>
  <c r="W560" i="2"/>
  <c r="AB551" i="2"/>
  <c r="W543" i="2"/>
  <c r="AB534" i="2"/>
  <c r="W526" i="2"/>
  <c r="AB517" i="2"/>
  <c r="AB507" i="2"/>
  <c r="AB881" i="2"/>
  <c r="W869" i="2"/>
  <c r="W860" i="2"/>
  <c r="AB850" i="2"/>
  <c r="W842" i="2"/>
  <c r="AB833" i="2"/>
  <c r="AB825" i="2"/>
  <c r="AB817" i="2"/>
  <c r="AB808" i="2"/>
  <c r="AB798" i="2"/>
  <c r="W790" i="2"/>
  <c r="W781" i="2"/>
  <c r="W768" i="2"/>
  <c r="W760" i="2"/>
  <c r="AB751" i="2"/>
  <c r="W743" i="2"/>
  <c r="AB734" i="2"/>
  <c r="W726" i="2"/>
  <c r="AB717" i="2"/>
  <c r="W709" i="2"/>
  <c r="W699" i="2"/>
  <c r="W691" i="2"/>
  <c r="AB682" i="2"/>
  <c r="AB673" i="2"/>
  <c r="AB664" i="2"/>
  <c r="W655" i="2"/>
  <c r="AB645" i="2"/>
  <c r="AB635" i="2"/>
  <c r="AB624" i="2"/>
  <c r="W616" i="2"/>
  <c r="AB607" i="2"/>
  <c r="AB599" i="2"/>
  <c r="W590" i="2"/>
  <c r="AB580" i="2"/>
  <c r="W572" i="2"/>
  <c r="W564" i="2"/>
  <c r="AB555" i="2"/>
  <c r="AB546" i="2"/>
  <c r="W538" i="2"/>
  <c r="AB529" i="2"/>
  <c r="W521" i="2"/>
  <c r="W513" i="2"/>
  <c r="W503" i="2"/>
  <c r="AB483" i="2"/>
  <c r="AB464" i="2"/>
  <c r="AB451" i="2"/>
  <c r="W440" i="2"/>
  <c r="W430" i="2"/>
  <c r="AB421" i="2"/>
  <c r="AB411" i="2"/>
  <c r="W401" i="2"/>
  <c r="AB390" i="2"/>
  <c r="AB380" i="2"/>
  <c r="W371" i="2"/>
  <c r="W358" i="2"/>
  <c r="W349" i="2"/>
  <c r="W339" i="2"/>
  <c r="AB329" i="2"/>
  <c r="AB320" i="2"/>
  <c r="AB311" i="2"/>
  <c r="W302" i="2"/>
  <c r="AB293" i="2"/>
  <c r="AB285" i="2"/>
  <c r="AB276" i="2"/>
  <c r="W265" i="2"/>
  <c r="W256" i="2"/>
  <c r="W247" i="2"/>
  <c r="W239" i="2"/>
  <c r="AB230" i="2"/>
  <c r="AB219" i="2"/>
  <c r="AB205" i="2"/>
  <c r="W195" i="2"/>
  <c r="AB186" i="2"/>
  <c r="W176" i="2"/>
  <c r="W167" i="2"/>
  <c r="W158" i="2"/>
  <c r="W149" i="2"/>
  <c r="AB140" i="2"/>
  <c r="W129" i="2"/>
  <c r="AB120" i="2"/>
  <c r="W110" i="2"/>
  <c r="AB99" i="2"/>
  <c r="W89" i="2"/>
  <c r="AB79" i="2"/>
  <c r="AB501" i="2"/>
  <c r="W478" i="2"/>
  <c r="AB460" i="2"/>
  <c r="AB448" i="2"/>
  <c r="AB436" i="2"/>
  <c r="AB427" i="2"/>
  <c r="AB417" i="2"/>
  <c r="W408" i="2"/>
  <c r="AB399" i="2"/>
  <c r="W387" i="2"/>
  <c r="AB377" i="2"/>
  <c r="AB368" i="2"/>
  <c r="AB358" i="2"/>
  <c r="AB349" i="2"/>
  <c r="AB339" i="2"/>
  <c r="AB328" i="2"/>
  <c r="W319" i="2"/>
  <c r="W310" i="2"/>
  <c r="AB302" i="2"/>
  <c r="W292" i="2"/>
  <c r="W284" i="2"/>
  <c r="W275" i="2"/>
  <c r="AB263" i="2"/>
  <c r="AB254" i="2"/>
  <c r="AB245" i="2"/>
  <c r="W235" i="2"/>
  <c r="W225" i="2"/>
  <c r="W210" i="2"/>
  <c r="W202" i="2"/>
  <c r="AB193" i="2"/>
  <c r="W183" i="2"/>
  <c r="AB174" i="2"/>
  <c r="W164" i="2"/>
  <c r="W155" i="2"/>
  <c r="W146" i="2"/>
  <c r="W137" i="2"/>
  <c r="AB126" i="2"/>
  <c r="AB117" i="2"/>
  <c r="AB108" i="2"/>
  <c r="W96" i="2"/>
  <c r="AB84" i="2"/>
  <c r="W73" i="2"/>
  <c r="AB62" i="2"/>
  <c r="AB467" i="2"/>
  <c r="AB453" i="2"/>
  <c r="AB441" i="2"/>
  <c r="AB431" i="2"/>
  <c r="AB422" i="2"/>
  <c r="AB412" i="2"/>
  <c r="AB403" i="2"/>
  <c r="O950" i="6"/>
  <c r="O848" i="6"/>
  <c r="O253" i="6"/>
  <c r="O571" i="6"/>
  <c r="O223" i="6"/>
  <c r="W2032" i="2"/>
  <c r="O139" i="6"/>
  <c r="W2035" i="2"/>
  <c r="W1889" i="2"/>
  <c r="O125" i="6"/>
  <c r="W2025" i="2"/>
  <c r="O228" i="6"/>
  <c r="O76" i="6"/>
  <c r="W1845" i="2"/>
  <c r="W1689" i="2"/>
  <c r="W1541" i="2"/>
  <c r="W1401" i="2"/>
  <c r="W1869" i="2"/>
  <c r="W1710" i="2"/>
  <c r="W1562" i="2"/>
  <c r="W1424" i="2"/>
  <c r="W1343" i="2"/>
  <c r="W1279" i="2"/>
  <c r="W1214" i="2"/>
  <c r="W1928" i="2"/>
  <c r="W1829" i="2"/>
  <c r="W1750" i="2"/>
  <c r="W1674" i="2"/>
  <c r="W1599" i="2"/>
  <c r="W1526" i="2"/>
  <c r="W1451" i="2"/>
  <c r="W1387" i="2"/>
  <c r="W1322" i="2"/>
  <c r="W1258" i="2"/>
  <c r="W1924" i="2"/>
  <c r="W1828" i="2"/>
  <c r="W1749" i="2"/>
  <c r="W1673" i="2"/>
  <c r="W1458" i="2"/>
  <c r="W1268" i="2"/>
  <c r="W1172" i="2"/>
  <c r="W1118" i="2"/>
  <c r="AB1092" i="2"/>
  <c r="W1075" i="2"/>
  <c r="W1057" i="2"/>
  <c r="AB1037" i="2"/>
  <c r="W1019" i="2"/>
  <c r="W1003" i="2"/>
  <c r="W987" i="2"/>
  <c r="W971" i="2"/>
  <c r="W955" i="2"/>
  <c r="AB938" i="2"/>
  <c r="AB921" i="2"/>
  <c r="AB903" i="2"/>
  <c r="W887" i="2"/>
  <c r="W1583" i="2"/>
  <c r="W1438" i="2"/>
  <c r="W1321" i="2"/>
  <c r="W1257" i="2"/>
  <c r="W1204" i="2"/>
  <c r="W1167" i="2"/>
  <c r="W1133" i="2"/>
  <c r="AB1115" i="2"/>
  <c r="W1098" i="2"/>
  <c r="AB1081" i="2"/>
  <c r="AB1063" i="2"/>
  <c r="AB1043" i="2"/>
  <c r="W1025" i="2"/>
  <c r="AB1008" i="2"/>
  <c r="AB992" i="2"/>
  <c r="AB976" i="2"/>
  <c r="AB960" i="2"/>
  <c r="AB944" i="2"/>
  <c r="W927" i="2"/>
  <c r="W910" i="2"/>
  <c r="W893" i="2"/>
  <c r="W876" i="2"/>
  <c r="W1579" i="2"/>
  <c r="W1434" i="2"/>
  <c r="W1320" i="2"/>
  <c r="W1256" i="2"/>
  <c r="W1203" i="2"/>
  <c r="W1166" i="2"/>
  <c r="W1132" i="2"/>
  <c r="W1115" i="2"/>
  <c r="AB1097" i="2"/>
  <c r="W1081" i="2"/>
  <c r="W1063" i="2"/>
  <c r="W1043" i="2"/>
  <c r="AB1024" i="2"/>
  <c r="W1008" i="2"/>
  <c r="W992" i="2"/>
  <c r="W976" i="2"/>
  <c r="W960" i="2"/>
  <c r="W944" i="2"/>
  <c r="AB926" i="2"/>
  <c r="W909" i="2"/>
  <c r="AB892" i="2"/>
  <c r="W1593" i="2"/>
  <c r="W1446" i="2"/>
  <c r="W1325" i="2"/>
  <c r="W1261" i="2"/>
  <c r="W1207" i="2"/>
  <c r="W1169" i="2"/>
  <c r="W1135" i="2"/>
  <c r="AB1116" i="2"/>
  <c r="W1099" i="2"/>
  <c r="AB1082" i="2"/>
  <c r="AB1064" i="2"/>
  <c r="AB1044" i="2"/>
  <c r="W1026" i="2"/>
  <c r="AB1009" i="2"/>
  <c r="AB993" i="2"/>
  <c r="AB977" i="2"/>
  <c r="AB961" i="2"/>
  <c r="AB945" i="2"/>
  <c r="W928" i="2"/>
  <c r="W911" i="2"/>
  <c r="AB887" i="2"/>
  <c r="AB861" i="2"/>
  <c r="W827" i="2"/>
  <c r="W810" i="2"/>
  <c r="AB791" i="2"/>
  <c r="W753" i="2"/>
  <c r="W736" i="2"/>
  <c r="W719" i="2"/>
  <c r="W701" i="2"/>
  <c r="W684" i="2"/>
  <c r="AB666" i="2"/>
  <c r="W647" i="2"/>
  <c r="AB626" i="2"/>
  <c r="AB609" i="2"/>
  <c r="AB591" i="2"/>
  <c r="W574" i="2"/>
  <c r="W557" i="2"/>
  <c r="AB539" i="2"/>
  <c r="W523" i="2"/>
  <c r="AB504" i="2"/>
  <c r="W485" i="2"/>
  <c r="W467" i="2"/>
  <c r="W867" i="2"/>
  <c r="AB849" i="2"/>
  <c r="AB832" i="2"/>
  <c r="AB797" i="2"/>
  <c r="W779" i="2"/>
  <c r="AB758" i="2"/>
  <c r="W742" i="2"/>
  <c r="W725" i="2"/>
  <c r="W708" i="2"/>
  <c r="W690" i="2"/>
  <c r="AB672" i="2"/>
  <c r="W654" i="2"/>
  <c r="W634" i="2"/>
  <c r="W615" i="2"/>
  <c r="AB597" i="2"/>
  <c r="AB579" i="2"/>
  <c r="W563" i="2"/>
  <c r="AB545" i="2"/>
  <c r="AB528" i="2"/>
  <c r="W511" i="2"/>
  <c r="AB492" i="2"/>
  <c r="AB472" i="2"/>
  <c r="W455" i="2"/>
  <c r="W437" i="2"/>
  <c r="AB864" i="2"/>
  <c r="W847" i="2"/>
  <c r="W830" i="2"/>
  <c r="W818" i="2"/>
  <c r="W809" i="2"/>
  <c r="W799" i="2"/>
  <c r="AB790" i="2"/>
  <c r="W782" i="2"/>
  <c r="AB768" i="2"/>
  <c r="AB760" i="2"/>
  <c r="W752" i="2"/>
  <c r="AB743" i="2"/>
  <c r="W735" i="2"/>
  <c r="AB726" i="2"/>
  <c r="W718" i="2"/>
  <c r="W710" i="2"/>
  <c r="W700" i="2"/>
  <c r="AB691" i="2"/>
  <c r="W683" i="2"/>
  <c r="W674" i="2"/>
  <c r="W665" i="2"/>
  <c r="AB655" i="2"/>
  <c r="W646" i="2"/>
  <c r="W636" i="2"/>
  <c r="W625" i="2"/>
  <c r="AB616" i="2"/>
  <c r="W608" i="2"/>
  <c r="W600" i="2"/>
  <c r="AB590" i="2"/>
  <c r="W581" i="2"/>
  <c r="AB572" i="2"/>
  <c r="AB564" i="2"/>
  <c r="W556" i="2"/>
  <c r="AB547" i="2"/>
  <c r="AB538" i="2"/>
  <c r="W530" i="2"/>
  <c r="AB521" i="2"/>
  <c r="AB513" i="2"/>
  <c r="AB503" i="2"/>
  <c r="AB874" i="2"/>
  <c r="W864" i="2"/>
  <c r="AB854" i="2"/>
  <c r="AB846" i="2"/>
  <c r="AB837" i="2"/>
  <c r="AB829" i="2"/>
  <c r="AB821" i="2"/>
  <c r="AB812" i="2"/>
  <c r="AB802" i="2"/>
  <c r="W794" i="2"/>
  <c r="W786" i="2"/>
  <c r="W773" i="2"/>
  <c r="W764" i="2"/>
  <c r="AB755" i="2"/>
  <c r="W747" i="2"/>
  <c r="AB738" i="2"/>
  <c r="AB730" i="2"/>
  <c r="W722" i="2"/>
  <c r="AB713" i="2"/>
  <c r="W705" i="2"/>
  <c r="W695" i="2"/>
  <c r="W687" i="2"/>
  <c r="W678" i="2"/>
  <c r="W669" i="2"/>
  <c r="W659" i="2"/>
  <c r="AB650" i="2"/>
  <c r="AB640" i="2"/>
  <c r="AB630" i="2"/>
  <c r="AB620" i="2"/>
  <c r="W612" i="2"/>
  <c r="AB603" i="2"/>
  <c r="W594" i="2"/>
  <c r="W586" i="2"/>
  <c r="AB576" i="2"/>
  <c r="W568" i="2"/>
  <c r="AB559" i="2"/>
  <c r="W551" i="2"/>
  <c r="W542" i="2"/>
  <c r="W534" i="2"/>
  <c r="AB525" i="2"/>
  <c r="W517" i="2"/>
  <c r="W507" i="2"/>
  <c r="AB493" i="2"/>
  <c r="AB473" i="2"/>
  <c r="AB458" i="2"/>
  <c r="AB446" i="2"/>
  <c r="AB434" i="2"/>
  <c r="W426" i="2"/>
  <c r="W415" i="2"/>
  <c r="W406" i="2"/>
  <c r="AB397" i="2"/>
  <c r="W375" i="2"/>
  <c r="W362" i="2"/>
  <c r="AB354" i="2"/>
  <c r="AB345" i="2"/>
  <c r="AB334" i="2"/>
  <c r="AB324" i="2"/>
  <c r="W315" i="2"/>
  <c r="AB307" i="2"/>
  <c r="AB298" i="2"/>
  <c r="AB289" i="2"/>
  <c r="AB280" i="2"/>
  <c r="W270" i="2"/>
  <c r="W261" i="2"/>
  <c r="W252" i="2"/>
  <c r="W243" i="2"/>
  <c r="AB234" i="2"/>
  <c r="AB223" i="2"/>
  <c r="AB209" i="2"/>
  <c r="W199" i="2"/>
  <c r="AB191" i="2"/>
  <c r="AB182" i="2"/>
  <c r="W172" i="2"/>
  <c r="AB163" i="2"/>
  <c r="AB154" i="2"/>
  <c r="W144" i="2"/>
  <c r="W135" i="2"/>
  <c r="W124" i="2"/>
  <c r="W115" i="2"/>
  <c r="AB105" i="2"/>
  <c r="AB95" i="2"/>
  <c r="W84" i="2"/>
  <c r="AB73" i="2"/>
  <c r="W492" i="2"/>
  <c r="W468" i="2"/>
  <c r="AB454" i="2"/>
  <c r="AB442" i="2"/>
  <c r="W432" i="2"/>
  <c r="W423" i="2"/>
  <c r="W412" i="2"/>
  <c r="W403" i="2"/>
  <c r="AB394" i="2"/>
  <c r="AB383" i="2"/>
  <c r="AB373" i="2"/>
  <c r="AB362" i="2"/>
  <c r="W353" i="2"/>
  <c r="W344" i="2"/>
  <c r="W333" i="2"/>
  <c r="W323" i="2"/>
  <c r="W314" i="2"/>
  <c r="W306" i="2"/>
  <c r="W297" i="2"/>
  <c r="W288" i="2"/>
  <c r="W279" i="2"/>
  <c r="AB267" i="2"/>
  <c r="AB259" i="2"/>
  <c r="AB250" i="2"/>
  <c r="AB241" i="2"/>
  <c r="W231" i="2"/>
  <c r="W220" i="2"/>
  <c r="W206" i="2"/>
  <c r="AB197" i="2"/>
  <c r="W187" i="2"/>
  <c r="W178" i="2"/>
  <c r="W169" i="2"/>
  <c r="AB160" i="2"/>
  <c r="AB151" i="2"/>
  <c r="AB142" i="2"/>
  <c r="AB132" i="2"/>
  <c r="W121" i="2"/>
  <c r="AB112" i="2"/>
  <c r="W100" i="2"/>
  <c r="W80" i="2"/>
  <c r="W69" i="2"/>
  <c r="AB495" i="2"/>
  <c r="AB26" i="2"/>
  <c r="W24" i="2"/>
  <c r="AB32" i="2"/>
  <c r="AB42" i="2"/>
  <c r="W50" i="2"/>
  <c r="W61" i="2"/>
  <c r="W85" i="2"/>
  <c r="AB35" i="2"/>
  <c r="AB48" i="2"/>
  <c r="AB70" i="2"/>
  <c r="W23" i="2"/>
  <c r="AB31" i="2"/>
  <c r="AB38" i="2"/>
  <c r="W47" i="2"/>
  <c r="AB58" i="2"/>
  <c r="AB72" i="2"/>
  <c r="AB21" i="2"/>
  <c r="W30" i="2"/>
  <c r="W42" i="2"/>
  <c r="AB49" i="2"/>
  <c r="AB60" i="2"/>
  <c r="W83" i="2"/>
  <c r="W74" i="2"/>
  <c r="AB83" i="2"/>
  <c r="W95" i="2"/>
  <c r="AB106" i="2"/>
  <c r="AB116" i="2"/>
  <c r="AB125" i="2"/>
  <c r="W136" i="2"/>
  <c r="AB145" i="2"/>
  <c r="W154" i="2"/>
  <c r="W163" i="2"/>
  <c r="AB173" i="2"/>
  <c r="W182" i="2"/>
  <c r="AB192" i="2"/>
  <c r="W200" i="2"/>
  <c r="W209" i="2"/>
  <c r="W223" i="2"/>
  <c r="W234" i="2"/>
  <c r="AB244" i="2"/>
  <c r="AB253" i="2"/>
  <c r="AB262" i="2"/>
  <c r="W271" i="2"/>
  <c r="W280" i="2"/>
  <c r="W289" i="2"/>
  <c r="AB299" i="2"/>
  <c r="W307" i="2"/>
  <c r="AB316" i="2"/>
  <c r="W324" i="2"/>
  <c r="W334" i="2"/>
  <c r="W345" i="2"/>
  <c r="W354" i="2"/>
  <c r="AB363" i="2"/>
  <c r="AB374" i="2"/>
  <c r="AB384" i="2"/>
  <c r="W404" i="2"/>
  <c r="W413" i="2"/>
  <c r="W424" i="2"/>
  <c r="W433" i="2"/>
  <c r="W444" i="2"/>
  <c r="AB456" i="2"/>
  <c r="W470" i="2"/>
  <c r="W490" i="2"/>
  <c r="AB94" i="2"/>
  <c r="AB104" i="2"/>
  <c r="W114" i="2"/>
  <c r="AB123" i="2"/>
  <c r="W133" i="2"/>
  <c r="W143" i="2"/>
  <c r="AB153" i="2"/>
  <c r="AB162" i="2"/>
  <c r="AB171" i="2"/>
  <c r="W180" i="2"/>
  <c r="W189" i="2"/>
  <c r="W198" i="2"/>
  <c r="AB208" i="2"/>
  <c r="AB222" i="2"/>
  <c r="AB233" i="2"/>
  <c r="W242" i="2"/>
  <c r="W251" i="2"/>
  <c r="W260" i="2"/>
  <c r="W269" i="2"/>
  <c r="AB279" i="2"/>
  <c r="AB288" i="2"/>
  <c r="AB297" i="2"/>
  <c r="AB306" i="2"/>
  <c r="AB314" i="2"/>
  <c r="AB323" i="2"/>
  <c r="AB333" i="2"/>
  <c r="AB344" i="2"/>
  <c r="AB353" i="2"/>
  <c r="W361" i="2"/>
  <c r="W372" i="2"/>
  <c r="AB393" i="2"/>
  <c r="W405" i="2"/>
  <c r="W416" i="2"/>
  <c r="W429" i="2"/>
  <c r="AB444" i="2"/>
  <c r="W460" i="2"/>
  <c r="AB481" i="2"/>
  <c r="W71" i="2"/>
  <c r="W94" i="2"/>
  <c r="AB115" i="2"/>
  <c r="W134" i="2"/>
  <c r="W153" i="2"/>
  <c r="AB172" i="2"/>
  <c r="W190" i="2"/>
  <c r="W208" i="2"/>
  <c r="W233" i="2"/>
  <c r="AB252" i="2"/>
  <c r="W273" i="2"/>
  <c r="W290" i="2"/>
  <c r="W308" i="2"/>
  <c r="AB326" i="2"/>
  <c r="W346" i="2"/>
  <c r="AB365" i="2"/>
  <c r="AB385" i="2"/>
  <c r="AB406" i="2"/>
  <c r="W425" i="2"/>
  <c r="W445" i="2"/>
  <c r="W472" i="2"/>
  <c r="AB75" i="2"/>
  <c r="AB97" i="2"/>
  <c r="AB118" i="2"/>
  <c r="AB138" i="2"/>
  <c r="AB156" i="2"/>
  <c r="W174" i="2"/>
  <c r="W193" i="2"/>
  <c r="AB215" i="2"/>
  <c r="AB236" i="2"/>
  <c r="W254" i="2"/>
  <c r="AB274" i="2"/>
  <c r="AB291" i="2"/>
  <c r="AB309" i="2"/>
  <c r="W326" i="2"/>
  <c r="W347" i="2"/>
  <c r="AB366" i="2"/>
  <c r="AB388" i="2"/>
  <c r="AB409" i="2"/>
  <c r="W428" i="2"/>
  <c r="W449" i="2"/>
  <c r="AB479" i="2"/>
  <c r="W509" i="2"/>
  <c r="AB527" i="2"/>
  <c r="AB544" i="2"/>
  <c r="AB561" i="2"/>
  <c r="AB578" i="2"/>
  <c r="W596" i="2"/>
  <c r="W614" i="2"/>
  <c r="W633" i="2"/>
  <c r="W653" i="2"/>
  <c r="W671" i="2"/>
  <c r="W689" i="2"/>
  <c r="W707" i="2"/>
  <c r="W724" i="2"/>
  <c r="W741" i="2"/>
  <c r="AB757" i="2"/>
  <c r="W777" i="2"/>
  <c r="AB796" i="2"/>
  <c r="AB831" i="2"/>
  <c r="AB848" i="2"/>
  <c r="W866" i="2"/>
  <c r="AB505" i="2"/>
  <c r="W524" i="2"/>
  <c r="AB540" i="2"/>
  <c r="W558" i="2"/>
  <c r="W575" i="2"/>
  <c r="AB592" i="2"/>
  <c r="AB610" i="2"/>
  <c r="W628" i="2"/>
  <c r="AB648" i="2"/>
  <c r="AB667" i="2"/>
  <c r="W685" i="2"/>
  <c r="AB702" i="2"/>
  <c r="AB720" i="2"/>
  <c r="W737" i="2"/>
  <c r="W754" i="2"/>
  <c r="W771" i="2"/>
  <c r="AB792" i="2"/>
  <c r="W811" i="2"/>
  <c r="W834" i="2"/>
  <c r="AB869" i="2"/>
  <c r="AB459" i="2"/>
  <c r="AB496" i="2"/>
  <c r="W533" i="2"/>
  <c r="W567" i="2"/>
  <c r="AB602" i="2"/>
  <c r="W639" i="2"/>
  <c r="W677" i="2"/>
  <c r="AB712" i="2"/>
  <c r="W746" i="2"/>
  <c r="W785" i="2"/>
  <c r="AB820" i="2"/>
  <c r="AB853" i="2"/>
  <c r="W471" i="2"/>
  <c r="AB508" i="2"/>
  <c r="W544" i="2"/>
  <c r="W578" i="2"/>
  <c r="AB613" i="2"/>
  <c r="AB652" i="2"/>
  <c r="AB688" i="2"/>
  <c r="AB723" i="2"/>
  <c r="W757" i="2"/>
  <c r="W796" i="2"/>
  <c r="W831" i="2"/>
  <c r="AB865" i="2"/>
  <c r="AB915" i="2"/>
  <c r="AB949" i="2"/>
  <c r="AB981" i="2"/>
  <c r="AB1013" i="2"/>
  <c r="AB1048" i="2"/>
  <c r="AB1086" i="2"/>
  <c r="AB1120" i="2"/>
  <c r="W1177" i="2"/>
  <c r="W1277" i="2"/>
  <c r="W1482" i="2"/>
  <c r="AB896" i="2"/>
  <c r="AB931" i="2"/>
  <c r="W964" i="2"/>
  <c r="W996" i="2"/>
  <c r="AB1028" i="2"/>
  <c r="W1067" i="2"/>
  <c r="AB1102" i="2"/>
  <c r="W1140" i="2"/>
  <c r="W1213" i="2"/>
  <c r="W1337" i="2"/>
  <c r="W1614" i="2"/>
  <c r="W897" i="2"/>
  <c r="W932" i="2"/>
  <c r="AB964" i="2"/>
  <c r="AB996" i="2"/>
  <c r="W1029" i="2"/>
  <c r="AB1067" i="2"/>
  <c r="W1103" i="2"/>
  <c r="W1141" i="2"/>
  <c r="W1215" i="2"/>
  <c r="W1341" i="2"/>
  <c r="W1628" i="2"/>
  <c r="AB907" i="2"/>
  <c r="W943" i="2"/>
  <c r="W975" i="2"/>
  <c r="W1007" i="2"/>
  <c r="W1042" i="2"/>
  <c r="W1079" i="2"/>
  <c r="AB1126" i="2"/>
  <c r="W1300" i="2"/>
  <c r="W1690" i="2"/>
  <c r="W1846" i="2"/>
  <c r="W1274" i="2"/>
  <c r="W1403" i="2"/>
  <c r="W1544" i="2"/>
  <c r="W1691" i="2"/>
  <c r="W1848" i="2"/>
  <c r="W1230" i="2"/>
  <c r="W1360" i="2"/>
  <c r="W1600" i="2"/>
  <c r="W1929" i="2"/>
  <c r="W1578" i="2"/>
  <c r="W1888" i="2"/>
  <c r="W1916" i="2"/>
  <c r="O159" i="6"/>
  <c r="O23" i="6"/>
  <c r="O36" i="6"/>
  <c r="O345" i="6"/>
  <c r="O763" i="6"/>
  <c r="W19" i="2"/>
  <c r="AB28" i="2"/>
  <c r="W37" i="2"/>
  <c r="W46" i="2"/>
  <c r="AB57" i="2"/>
  <c r="AB69" i="2"/>
  <c r="W31" i="2"/>
  <c r="AB40" i="2"/>
  <c r="W58" i="2"/>
  <c r="W87" i="2"/>
  <c r="W27" i="2"/>
  <c r="AB34" i="2"/>
  <c r="W43" i="2"/>
  <c r="W52" i="2"/>
  <c r="W62" i="2"/>
  <c r="W29" i="2"/>
  <c r="AB25" i="2"/>
  <c r="AB36" i="2"/>
  <c r="AB45" i="2"/>
  <c r="W57" i="2"/>
  <c r="AB68" i="2"/>
  <c r="W70" i="2"/>
  <c r="W81" i="2"/>
  <c r="W99" i="2"/>
  <c r="AB111" i="2"/>
  <c r="W120" i="2"/>
  <c r="AB130" i="2"/>
  <c r="W140" i="2"/>
  <c r="AB150" i="2"/>
  <c r="AB159" i="2"/>
  <c r="W168" i="2"/>
  <c r="AB177" i="2"/>
  <c r="W186" i="2"/>
  <c r="AB196" i="2"/>
  <c r="W205" i="2"/>
  <c r="W219" i="2"/>
  <c r="W230" i="2"/>
  <c r="AB240" i="2"/>
  <c r="AB249" i="2"/>
  <c r="AB257" i="2"/>
  <c r="AB266" i="2"/>
  <c r="W276" i="2"/>
  <c r="W285" i="2"/>
  <c r="W293" i="2"/>
  <c r="AB303" i="2"/>
  <c r="W311" i="2"/>
  <c r="W320" i="2"/>
  <c r="AB330" i="2"/>
  <c r="AB340" i="2"/>
  <c r="AB350" i="2"/>
  <c r="AB359" i="2"/>
  <c r="W369" i="2"/>
  <c r="AB378" i="2"/>
  <c r="W388" i="2"/>
  <c r="AB400" i="2"/>
  <c r="W409" i="2"/>
  <c r="AB428" i="2"/>
  <c r="W438" i="2"/>
  <c r="AB449" i="2"/>
  <c r="W462" i="2"/>
  <c r="W480" i="2"/>
  <c r="W499" i="2"/>
  <c r="AB98" i="2"/>
  <c r="W109" i="2"/>
  <c r="AB119" i="2"/>
  <c r="AB128" i="2"/>
  <c r="AB139" i="2"/>
  <c r="W148" i="2"/>
  <c r="W157" i="2"/>
  <c r="AB166" i="2"/>
  <c r="W175" i="2"/>
  <c r="AB185" i="2"/>
  <c r="W194" i="2"/>
  <c r="AB204" i="2"/>
  <c r="AB217" i="2"/>
  <c r="AB229" i="2"/>
  <c r="W237" i="2"/>
  <c r="W246" i="2"/>
  <c r="W255" i="2"/>
  <c r="W264" i="2"/>
  <c r="AB275" i="2"/>
  <c r="W283" i="2"/>
  <c r="AB292" i="2"/>
  <c r="W301" i="2"/>
  <c r="AB310" i="2"/>
  <c r="AB319" i="2"/>
  <c r="W327" i="2"/>
  <c r="W338" i="2"/>
  <c r="W348" i="2"/>
  <c r="W357" i="2"/>
  <c r="W376" i="2"/>
  <c r="AB387" i="2"/>
  <c r="W398" i="2"/>
  <c r="AB410" i="2"/>
  <c r="AB424" i="2"/>
  <c r="W436" i="2"/>
  <c r="AB450" i="2"/>
  <c r="AB471" i="2"/>
  <c r="W501" i="2"/>
  <c r="AB82" i="2"/>
  <c r="W104" i="2"/>
  <c r="W123" i="2"/>
  <c r="AB144" i="2"/>
  <c r="W162" i="2"/>
  <c r="AB181" i="2"/>
  <c r="AB199" i="2"/>
  <c r="W222" i="2"/>
  <c r="AB243" i="2"/>
  <c r="AB261" i="2"/>
  <c r="W281" i="2"/>
  <c r="AB300" i="2"/>
  <c r="AB317" i="2"/>
  <c r="W336" i="2"/>
  <c r="W355" i="2"/>
  <c r="AB375" i="2"/>
  <c r="W396" i="2"/>
  <c r="W414" i="2"/>
  <c r="W434" i="2"/>
  <c r="W458" i="2"/>
  <c r="W496" i="2"/>
  <c r="W86" i="2"/>
  <c r="W108" i="2"/>
  <c r="W126" i="2"/>
  <c r="W147" i="2"/>
  <c r="AB165" i="2"/>
  <c r="AB184" i="2"/>
  <c r="AB203" i="2"/>
  <c r="W226" i="2"/>
  <c r="W245" i="2"/>
  <c r="W263" i="2"/>
  <c r="AB282" i="2"/>
  <c r="W300" i="2"/>
  <c r="W317" i="2"/>
  <c r="W337" i="2"/>
  <c r="AB356" i="2"/>
  <c r="W377" i="2"/>
  <c r="W399" i="2"/>
  <c r="AB418" i="2"/>
  <c r="AB437" i="2"/>
  <c r="W461" i="2"/>
  <c r="W498" i="2"/>
  <c r="W519" i="2"/>
  <c r="W536" i="2"/>
  <c r="AB553" i="2"/>
  <c r="W570" i="2"/>
  <c r="W588" i="2"/>
  <c r="AB605" i="2"/>
  <c r="AB622" i="2"/>
  <c r="AB643" i="2"/>
  <c r="AB661" i="2"/>
  <c r="W680" i="2"/>
  <c r="W697" i="2"/>
  <c r="AB715" i="2"/>
  <c r="AB732" i="2"/>
  <c r="W749" i="2"/>
  <c r="W766" i="2"/>
  <c r="W788" i="2"/>
  <c r="W806" i="2"/>
  <c r="AB823" i="2"/>
  <c r="W840" i="2"/>
  <c r="W857" i="2"/>
  <c r="W877" i="2"/>
  <c r="AB515" i="2"/>
  <c r="W532" i="2"/>
  <c r="AB549" i="2"/>
  <c r="AB566" i="2"/>
  <c r="W583" i="2"/>
  <c r="W602" i="2"/>
  <c r="AB618" i="2"/>
  <c r="AB638" i="2"/>
  <c r="AB657" i="2"/>
  <c r="AB676" i="2"/>
  <c r="AB693" i="2"/>
  <c r="W712" i="2"/>
  <c r="AB728" i="2"/>
  <c r="AB745" i="2"/>
  <c r="AB762" i="2"/>
  <c r="W784" i="2"/>
  <c r="W801" i="2"/>
  <c r="W822" i="2"/>
  <c r="W851" i="2"/>
  <c r="AB478" i="2"/>
  <c r="W516" i="2"/>
  <c r="W550" i="2"/>
  <c r="W584" i="2"/>
  <c r="AB619" i="2"/>
  <c r="W658" i="2"/>
  <c r="W694" i="2"/>
  <c r="W729" i="2"/>
  <c r="W763" i="2"/>
  <c r="AB801" i="2"/>
  <c r="AB836" i="2"/>
  <c r="W873" i="2"/>
  <c r="W491" i="2"/>
  <c r="W527" i="2"/>
  <c r="W561" i="2"/>
  <c r="AB595" i="2"/>
  <c r="AB632" i="2"/>
  <c r="AB670" i="2"/>
  <c r="AB706" i="2"/>
  <c r="AB740" i="2"/>
  <c r="W776" i="2"/>
  <c r="AB814" i="2"/>
  <c r="W848" i="2"/>
  <c r="W898" i="2"/>
  <c r="W933" i="2"/>
  <c r="AB965" i="2"/>
  <c r="AB997" i="2"/>
  <c r="W1030" i="2"/>
  <c r="W1069" i="2"/>
  <c r="W1104" i="2"/>
  <c r="W1143" i="2"/>
  <c r="W1217" i="2"/>
  <c r="W1350" i="2"/>
  <c r="W1636" i="2"/>
  <c r="AB913" i="2"/>
  <c r="W948" i="2"/>
  <c r="W980" i="2"/>
  <c r="W1012" i="2"/>
  <c r="W1047" i="2"/>
  <c r="W1085" i="2"/>
  <c r="W1119" i="2"/>
  <c r="W1174" i="2"/>
  <c r="W1272" i="2"/>
  <c r="W1466" i="2"/>
  <c r="AB880" i="2"/>
  <c r="W914" i="2"/>
  <c r="AB948" i="2"/>
  <c r="AB980" i="2"/>
  <c r="AB1012" i="2"/>
  <c r="AB1047" i="2"/>
  <c r="AB1085" i="2"/>
  <c r="AB1119" i="2"/>
  <c r="W1175" i="2"/>
  <c r="W1273" i="2"/>
  <c r="W1470" i="2"/>
  <c r="AB891" i="2"/>
  <c r="AB925" i="2"/>
  <c r="W959" i="2"/>
  <c r="W991" i="2"/>
  <c r="AB1023" i="2"/>
  <c r="W1062" i="2"/>
  <c r="AB1098" i="2"/>
  <c r="W1189" i="2"/>
  <c r="W1534" i="2"/>
  <c r="W1769" i="2"/>
  <c r="W1983" i="2"/>
  <c r="W1338" i="2"/>
  <c r="W1467" i="2"/>
  <c r="W1615" i="2"/>
  <c r="W1770" i="2"/>
  <c r="W1987" i="2"/>
  <c r="W1295" i="2"/>
  <c r="W1452" i="2"/>
  <c r="W1751" i="2"/>
  <c r="W1433" i="2"/>
  <c r="W1730" i="2"/>
  <c r="O115" i="6"/>
  <c r="W2059" i="2"/>
  <c r="W1926" i="2"/>
  <c r="O180" i="6"/>
  <c r="O287" i="6"/>
  <c r="O400" i="6"/>
  <c r="O1148" i="6"/>
  <c r="E73" i="12"/>
  <c r="E51" i="12"/>
  <c r="E113" i="12"/>
  <c r="E115" i="12" s="1"/>
  <c r="E111" i="12" s="1"/>
  <c r="E119" i="12" s="1"/>
  <c r="N67" i="12"/>
  <c r="S60" i="4" a="1"/>
  <c r="S60" i="4" s="1"/>
  <c r="E5" i="39"/>
  <c r="E5" i="32"/>
  <c r="D5" i="5"/>
  <c r="E5" i="37"/>
  <c r="D5" i="7"/>
  <c r="E5" i="55"/>
  <c r="E5" i="33"/>
  <c r="E5" i="43"/>
  <c r="E5" i="54"/>
  <c r="E5" i="35"/>
  <c r="D5" i="26"/>
  <c r="C2" i="20"/>
  <c r="E5" i="36"/>
  <c r="D5" i="30"/>
  <c r="E5" i="40"/>
  <c r="D5" i="14"/>
  <c r="B4" i="49"/>
  <c r="I18" i="53"/>
  <c r="I21" i="53" s="1"/>
  <c r="I24" i="53" s="1"/>
  <c r="E58" i="49"/>
  <c r="C4" i="52"/>
  <c r="C7" i="49"/>
  <c r="E42" i="41"/>
  <c r="F69" i="41"/>
  <c r="F70" i="41"/>
  <c r="E22" i="49"/>
  <c r="E9" i="49"/>
  <c r="E13" i="49"/>
  <c r="O1063" i="6"/>
  <c r="O1052" i="6"/>
  <c r="O1060" i="6"/>
  <c r="O1050" i="6"/>
  <c r="O45" i="6"/>
  <c r="O1061" i="6"/>
  <c r="O1051" i="6"/>
  <c r="O1058" i="6"/>
  <c r="O44" i="6"/>
  <c r="AB777" i="2"/>
  <c r="W1619" i="2"/>
  <c r="W1621" i="2"/>
  <c r="W1622" i="2"/>
  <c r="O1361" i="6"/>
  <c r="O1335" i="6"/>
  <c r="O1317" i="6"/>
  <c r="O1300" i="6"/>
  <c r="O1282" i="6"/>
  <c r="O1263" i="6"/>
  <c r="O1245" i="6"/>
  <c r="O1227" i="6"/>
  <c r="O1210" i="6"/>
  <c r="O1169" i="6"/>
  <c r="O1146" i="6"/>
  <c r="O1127" i="6"/>
  <c r="O1100" i="6"/>
  <c r="O1082" i="6"/>
  <c r="O1030" i="6"/>
  <c r="O1013" i="6"/>
  <c r="O995" i="6"/>
  <c r="O976" i="6"/>
  <c r="O958" i="6"/>
  <c r="O1351" i="6"/>
  <c r="O1325" i="6"/>
  <c r="O1307" i="6"/>
  <c r="O1290" i="6"/>
  <c r="O1272" i="6"/>
  <c r="O1253" i="6"/>
  <c r="O1235" i="6"/>
  <c r="O1217" i="6"/>
  <c r="O1196" i="6"/>
  <c r="O1177" i="6"/>
  <c r="O1153" i="6"/>
  <c r="O1135" i="6"/>
  <c r="O1113" i="6"/>
  <c r="O1090" i="6"/>
  <c r="O1038" i="6"/>
  <c r="O1020" i="6"/>
  <c r="O1003" i="6"/>
  <c r="O985" i="6"/>
  <c r="O966" i="6"/>
  <c r="O948" i="6"/>
  <c r="O930" i="6"/>
  <c r="O1354" i="6"/>
  <c r="O1328" i="6"/>
  <c r="O1311" i="6"/>
  <c r="O1293" i="6"/>
  <c r="O1275" i="6"/>
  <c r="O1256" i="6"/>
  <c r="O1239" i="6"/>
  <c r="O1221" i="6"/>
  <c r="O1203" i="6"/>
  <c r="O1180" i="6"/>
  <c r="O1160" i="6"/>
  <c r="O1138" i="6"/>
  <c r="O1117" i="6"/>
  <c r="O1093" i="6"/>
  <c r="O1041" i="6"/>
  <c r="O1024" i="6"/>
  <c r="O1006" i="6"/>
  <c r="O988" i="6"/>
  <c r="O969" i="6"/>
  <c r="O1366" i="6"/>
  <c r="O1349" i="6"/>
  <c r="O1323" i="6"/>
  <c r="O1305" i="6"/>
  <c r="O1287" i="6"/>
  <c r="O1270" i="6"/>
  <c r="O1251" i="6"/>
  <c r="O1233" i="6"/>
  <c r="O1215" i="6"/>
  <c r="O1194" i="6"/>
  <c r="O1174" i="6"/>
  <c r="O1151" i="6"/>
  <c r="O1133" i="6"/>
  <c r="O1108" i="6"/>
  <c r="O1088" i="6"/>
  <c r="O1036" i="6"/>
  <c r="O1018" i="6"/>
  <c r="O1000" i="6"/>
  <c r="O983" i="6"/>
  <c r="O964" i="6"/>
  <c r="O946" i="6"/>
  <c r="O932" i="6"/>
  <c r="O909" i="6"/>
  <c r="O891" i="6"/>
  <c r="O875" i="6"/>
  <c r="O859" i="6"/>
  <c r="O843" i="6"/>
  <c r="O827" i="6"/>
  <c r="O809" i="6"/>
  <c r="O793" i="6"/>
  <c r="O774" i="6"/>
  <c r="O756" i="6"/>
  <c r="O737" i="6"/>
  <c r="O718" i="6"/>
  <c r="O700" i="6"/>
  <c r="O681" i="6"/>
  <c r="O663" i="6"/>
  <c r="O645" i="6"/>
  <c r="O627" i="6"/>
  <c r="O610" i="6"/>
  <c r="O589" i="6"/>
  <c r="O936" i="6"/>
  <c r="O912" i="6"/>
  <c r="O894" i="6"/>
  <c r="O878" i="6"/>
  <c r="O862" i="6"/>
  <c r="O846" i="6"/>
  <c r="O830" i="6"/>
  <c r="O812" i="6"/>
  <c r="O796" i="6"/>
  <c r="O777" i="6"/>
  <c r="O759" i="6"/>
  <c r="O742" i="6"/>
  <c r="O722" i="6"/>
  <c r="O703" i="6"/>
  <c r="O684" i="6"/>
  <c r="O666" i="6"/>
  <c r="O649" i="6"/>
  <c r="O631" i="6"/>
  <c r="O613" i="6"/>
  <c r="O592" i="6"/>
  <c r="O574" i="6"/>
  <c r="O556" i="6"/>
  <c r="O536" i="6"/>
  <c r="O940" i="6"/>
  <c r="O916" i="6"/>
  <c r="O897" i="6"/>
  <c r="O881" i="6"/>
  <c r="O865" i="6"/>
  <c r="O849" i="6"/>
  <c r="O833" i="6"/>
  <c r="O816" i="6"/>
  <c r="O795" i="6"/>
  <c r="O776" i="6"/>
  <c r="O758" i="6"/>
  <c r="O741" i="6"/>
  <c r="O721" i="6"/>
  <c r="O702" i="6"/>
  <c r="O683" i="6"/>
  <c r="O665" i="6"/>
  <c r="O647" i="6"/>
  <c r="O630" i="6"/>
  <c r="O612" i="6"/>
  <c r="O933" i="6"/>
  <c r="O910" i="6"/>
  <c r="O892" i="6"/>
  <c r="O876" i="6"/>
  <c r="O860" i="6"/>
  <c r="O844" i="6"/>
  <c r="O828" i="6"/>
  <c r="O810" i="6"/>
  <c r="O789" i="6"/>
  <c r="O771" i="6"/>
  <c r="O753" i="6"/>
  <c r="O734" i="6"/>
  <c r="O715" i="6"/>
  <c r="O695" i="6"/>
  <c r="O677" i="6"/>
  <c r="O660" i="6"/>
  <c r="O603" i="6"/>
  <c r="O570" i="6"/>
  <c r="O544" i="6"/>
  <c r="O520" i="6"/>
  <c r="O501" i="6"/>
  <c r="O484" i="6"/>
  <c r="O468" i="6"/>
  <c r="O451" i="6"/>
  <c r="O433" i="6"/>
  <c r="O415" i="6"/>
  <c r="O396" i="6"/>
  <c r="O378" i="6"/>
  <c r="O360" i="6"/>
  <c r="O343" i="6"/>
  <c r="O321" i="6"/>
  <c r="O302" i="6"/>
  <c r="O286" i="6"/>
  <c r="O270" i="6"/>
  <c r="O254" i="6"/>
  <c r="O238" i="6"/>
  <c r="O222" i="6"/>
  <c r="O646" i="6"/>
  <c r="O590" i="6"/>
  <c r="O563" i="6"/>
  <c r="O537" i="6"/>
  <c r="O514" i="6"/>
  <c r="O495" i="6"/>
  <c r="O479" i="6"/>
  <c r="O463" i="6"/>
  <c r="O445" i="6"/>
  <c r="O428" i="6"/>
  <c r="O410" i="6"/>
  <c r="O391" i="6"/>
  <c r="O46" i="6"/>
  <c r="E35" i="49"/>
  <c r="E34" i="49"/>
  <c r="O1064" i="6"/>
  <c r="O1047" i="6"/>
  <c r="O1059" i="6"/>
  <c r="O1062" i="6"/>
  <c r="O1048" i="6"/>
  <c r="O1049" i="6"/>
  <c r="O1056" i="6"/>
  <c r="O1054" i="6"/>
  <c r="O1053" i="6"/>
  <c r="O1057" i="6"/>
  <c r="O1046" i="6"/>
  <c r="J33" i="38"/>
  <c r="J47" i="38"/>
  <c r="J40" i="38"/>
  <c r="I47" i="38"/>
  <c r="F115" i="12" l="1"/>
  <c r="F111" i="12" s="1"/>
  <c r="F119" i="12" s="1"/>
  <c r="F71" i="41"/>
  <c r="G71" i="41" s="1"/>
  <c r="F52" i="12"/>
  <c r="F48" i="12" s="1"/>
  <c r="F56" i="12" s="1"/>
  <c r="F71" i="40"/>
  <c r="G71" i="40" s="1"/>
  <c r="E369" i="11"/>
  <c r="W171" i="10"/>
  <c r="AB697" i="10"/>
  <c r="W51" i="10"/>
  <c r="F380" i="11"/>
  <c r="AB212" i="10"/>
  <c r="W2007" i="10"/>
  <c r="AB1057" i="10"/>
  <c r="E157" i="11"/>
  <c r="W395" i="10"/>
  <c r="F193" i="11"/>
  <c r="W627" i="10"/>
  <c r="AB214" i="10"/>
  <c r="AB211" i="10" s="1"/>
  <c r="W493" i="10"/>
  <c r="W482" i="10" s="1"/>
  <c r="W1723" i="10"/>
  <c r="AB101" i="10"/>
  <c r="W911" i="10"/>
  <c r="W126" i="10"/>
  <c r="W1734" i="10"/>
  <c r="W352" i="10"/>
  <c r="E241" i="11"/>
  <c r="F370" i="11"/>
  <c r="F28" i="11"/>
  <c r="F221" i="11"/>
  <c r="E387" i="11"/>
  <c r="F32" i="11"/>
  <c r="F307" i="11"/>
  <c r="F290" i="11"/>
  <c r="F60" i="11"/>
  <c r="F27" i="11"/>
  <c r="F43" i="11"/>
  <c r="F377" i="11"/>
  <c r="F386" i="11"/>
  <c r="AB792" i="10"/>
  <c r="F192" i="11"/>
  <c r="E95" i="11"/>
  <c r="I95" i="11" s="1"/>
  <c r="W648" i="10"/>
  <c r="AB1078" i="10"/>
  <c r="F220" i="11"/>
  <c r="W127" i="10"/>
  <c r="F335" i="11"/>
  <c r="F388" i="11"/>
  <c r="F323" i="11"/>
  <c r="W1833" i="10"/>
  <c r="F374" i="11"/>
  <c r="E42" i="11"/>
  <c r="E17" i="11"/>
  <c r="AB134" i="10"/>
  <c r="AB133" i="10" s="1"/>
  <c r="AF73" i="32"/>
  <c r="AF88" i="32" s="1"/>
  <c r="AF33" i="32"/>
  <c r="AF91" i="32"/>
  <c r="AF46" i="32"/>
  <c r="W1687" i="10"/>
  <c r="W379" i="10"/>
  <c r="E389" i="11"/>
  <c r="F326" i="11"/>
  <c r="E336" i="11"/>
  <c r="W450" i="10"/>
  <c r="W1743" i="10"/>
  <c r="W1742" i="10" s="1"/>
  <c r="E106" i="11"/>
  <c r="E90" i="11"/>
  <c r="E242" i="11"/>
  <c r="E301" i="11"/>
  <c r="F203" i="11"/>
  <c r="AB293" i="10"/>
  <c r="E101" i="11"/>
  <c r="AB530" i="10"/>
  <c r="W1899" i="10"/>
  <c r="W1898" i="10" s="1"/>
  <c r="AB497" i="10"/>
  <c r="AB496" i="10" s="1"/>
  <c r="E234" i="11"/>
  <c r="E254" i="11"/>
  <c r="F291" i="11"/>
  <c r="E144" i="11"/>
  <c r="W28" i="10"/>
  <c r="E87" i="11"/>
  <c r="W1697" i="10"/>
  <c r="W1343" i="10"/>
  <c r="W1142" i="10" s="1"/>
  <c r="D48" i="49"/>
  <c r="E238" i="11"/>
  <c r="E198" i="11"/>
  <c r="F147" i="11"/>
  <c r="F358" i="11"/>
  <c r="W54" i="10"/>
  <c r="F64" i="11"/>
  <c r="I64" i="11" s="1"/>
  <c r="F212" i="11"/>
  <c r="F59" i="11"/>
  <c r="F103" i="11"/>
  <c r="F287" i="11"/>
  <c r="F243" i="11"/>
  <c r="E363" i="11"/>
  <c r="W1810" i="10"/>
  <c r="AB474" i="10"/>
  <c r="E130" i="11"/>
  <c r="W1746" i="10"/>
  <c r="E260" i="11"/>
  <c r="E322" i="11"/>
  <c r="E285" i="11"/>
  <c r="F163" i="11"/>
  <c r="F44" i="11"/>
  <c r="AB112" i="10"/>
  <c r="E186" i="11"/>
  <c r="F289" i="11"/>
  <c r="E137" i="11"/>
  <c r="E209" i="11"/>
  <c r="W1934" i="10"/>
  <c r="W1867" i="10"/>
  <c r="W1864" i="10" s="1"/>
  <c r="E25" i="11"/>
  <c r="E333" i="11"/>
  <c r="F207" i="11"/>
  <c r="E29" i="11"/>
  <c r="E334" i="11"/>
  <c r="E134" i="11"/>
  <c r="AB1056" i="10"/>
  <c r="E226" i="11"/>
  <c r="AB707" i="10"/>
  <c r="W1783" i="10"/>
  <c r="W1933" i="10"/>
  <c r="E312" i="11"/>
  <c r="F230" i="11"/>
  <c r="E133" i="11"/>
  <c r="F356" i="11"/>
  <c r="F229" i="11"/>
  <c r="F222" i="11"/>
  <c r="I222" i="11" s="1"/>
  <c r="F255" i="11"/>
  <c r="F226" i="11"/>
  <c r="E261" i="11"/>
  <c r="F178" i="11"/>
  <c r="AB1018" i="10"/>
  <c r="F378" i="11"/>
  <c r="F310" i="11"/>
  <c r="F303" i="11"/>
  <c r="E347" i="11"/>
  <c r="E154" i="11"/>
  <c r="E383" i="11"/>
  <c r="F261" i="11"/>
  <c r="E213" i="11"/>
  <c r="AB841" i="10"/>
  <c r="E390" i="11"/>
  <c r="F302" i="11"/>
  <c r="E251" i="11"/>
  <c r="E196" i="11"/>
  <c r="F223" i="11"/>
  <c r="F174" i="11"/>
  <c r="E351" i="11"/>
  <c r="F170" i="11"/>
  <c r="E136" i="11"/>
  <c r="F38" i="11"/>
  <c r="F315" i="11"/>
  <c r="E132" i="11"/>
  <c r="J132" i="11" s="1"/>
  <c r="F136" i="11"/>
  <c r="W800" i="10"/>
  <c r="E210" i="11"/>
  <c r="AB571" i="10"/>
  <c r="AB560" i="10" s="1"/>
  <c r="E239" i="11"/>
  <c r="F194" i="11"/>
  <c r="F202" i="11"/>
  <c r="E169" i="11"/>
  <c r="F161" i="11"/>
  <c r="W1561" i="10"/>
  <c r="W1560" i="10" s="1"/>
  <c r="E338" i="11"/>
  <c r="F213" i="11"/>
  <c r="E229" i="11"/>
  <c r="F209" i="11"/>
  <c r="O914" i="6"/>
  <c r="E42" i="6" s="1"/>
  <c r="F116" i="11"/>
  <c r="E116" i="11"/>
  <c r="B7" i="72"/>
  <c r="B5" i="70"/>
  <c r="F7" i="11"/>
  <c r="E138" i="11"/>
  <c r="F138" i="11"/>
  <c r="E22" i="11"/>
  <c r="E15" i="11"/>
  <c r="D13" i="50"/>
  <c r="I13" i="50" s="1"/>
  <c r="W720" i="10"/>
  <c r="AB626" i="10"/>
  <c r="AB865" i="10"/>
  <c r="E309" i="11"/>
  <c r="W700" i="10"/>
  <c r="F18" i="11"/>
  <c r="W173" i="10"/>
  <c r="AB938" i="10"/>
  <c r="W215" i="10"/>
  <c r="W394" i="10"/>
  <c r="F150" i="11"/>
  <c r="AB20" i="10"/>
  <c r="AB19" i="10" s="1"/>
  <c r="E48" i="11"/>
  <c r="AB856" i="10"/>
  <c r="F48" i="11"/>
  <c r="E173" i="11"/>
  <c r="E149" i="11"/>
  <c r="E176" i="11"/>
  <c r="AB583" i="10"/>
  <c r="AB582" i="10" s="1"/>
  <c r="AB866" i="10"/>
  <c r="AB663" i="10"/>
  <c r="F36" i="11"/>
  <c r="E67" i="11"/>
  <c r="F58" i="11"/>
  <c r="E269" i="11"/>
  <c r="E19" i="11"/>
  <c r="AB767" i="10"/>
  <c r="F342" i="11"/>
  <c r="F298" i="11"/>
  <c r="E293" i="11"/>
  <c r="E118" i="11"/>
  <c r="F85" i="11"/>
  <c r="AB413" i="10"/>
  <c r="E23" i="11"/>
  <c r="W1923" i="10"/>
  <c r="F328" i="11"/>
  <c r="W1955" i="10"/>
  <c r="W1954" i="10" s="1"/>
  <c r="E105" i="11"/>
  <c r="F53" i="11"/>
  <c r="F79" i="11"/>
  <c r="E146" i="11"/>
  <c r="F306" i="11"/>
  <c r="F122" i="11"/>
  <c r="F268" i="11"/>
  <c r="E141" i="11"/>
  <c r="W1997" i="10"/>
  <c r="F357" i="11"/>
  <c r="W1498" i="10"/>
  <c r="E365" i="11"/>
  <c r="F121" i="11"/>
  <c r="F343" i="11"/>
  <c r="AB1053" i="10"/>
  <c r="E350" i="11"/>
  <c r="AB1077" i="10"/>
  <c r="AB1029" i="10"/>
  <c r="AB1028" i="10" s="1"/>
  <c r="F145" i="11"/>
  <c r="E80" i="11"/>
  <c r="F365" i="11"/>
  <c r="E331" i="11"/>
  <c r="E77" i="11"/>
  <c r="F146" i="11"/>
  <c r="F282" i="11"/>
  <c r="E5" i="11"/>
  <c r="I5" i="11" s="1"/>
  <c r="F80" i="11"/>
  <c r="W211" i="10"/>
  <c r="W213" i="10"/>
  <c r="W160" i="10"/>
  <c r="E324" i="11"/>
  <c r="F354" i="11"/>
  <c r="E267" i="11"/>
  <c r="F199" i="11"/>
  <c r="F123" i="11"/>
  <c r="W140" i="10"/>
  <c r="W543" i="10"/>
  <c r="W190" i="10"/>
  <c r="AB625" i="10"/>
  <c r="F190" i="11"/>
  <c r="F375" i="11"/>
  <c r="F368" i="11"/>
  <c r="W180" i="10"/>
  <c r="F266" i="11"/>
  <c r="W971" i="10"/>
  <c r="F188" i="11"/>
  <c r="D47" i="49"/>
  <c r="E75" i="11"/>
  <c r="F201" i="11"/>
  <c r="F74" i="11"/>
  <c r="E50" i="11"/>
  <c r="AB840" i="10"/>
  <c r="W1519" i="10"/>
  <c r="AB188" i="10"/>
  <c r="AB187" i="10" s="1"/>
  <c r="W438" i="10"/>
  <c r="W414" i="10" s="1"/>
  <c r="W365" i="10"/>
  <c r="F140" i="11"/>
  <c r="E114" i="11"/>
  <c r="F37" i="11"/>
  <c r="F360" i="11"/>
  <c r="F321" i="11"/>
  <c r="E273" i="11"/>
  <c r="F300" i="11"/>
  <c r="F364" i="11"/>
  <c r="F112" i="11"/>
  <c r="E259" i="11"/>
  <c r="E272" i="11"/>
  <c r="F248" i="11"/>
  <c r="F68" i="11"/>
  <c r="E263" i="11"/>
  <c r="F347" i="11"/>
  <c r="E204" i="11"/>
  <c r="F228" i="11"/>
  <c r="F265" i="11"/>
  <c r="E194" i="11"/>
  <c r="F338" i="11"/>
  <c r="F97" i="11"/>
  <c r="J97" i="11" s="1"/>
  <c r="F135" i="11"/>
  <c r="I135" i="11" s="1"/>
  <c r="E256" i="11"/>
  <c r="E161" i="11"/>
  <c r="W1539" i="10"/>
  <c r="F151" i="11"/>
  <c r="AB1099" i="10"/>
  <c r="AB379" i="10"/>
  <c r="AB377" i="10" s="1"/>
  <c r="AB1119" i="10"/>
  <c r="AB403" i="10"/>
  <c r="W404" i="10"/>
  <c r="W1032" i="10"/>
  <c r="W1747" i="10"/>
  <c r="W364" i="10"/>
  <c r="F361" i="11"/>
  <c r="F353" i="11"/>
  <c r="F340" i="11"/>
  <c r="E164" i="11"/>
  <c r="W461" i="10"/>
  <c r="F113" i="11"/>
  <c r="E305" i="11"/>
  <c r="E297" i="11"/>
  <c r="E355" i="11"/>
  <c r="E320" i="11"/>
  <c r="J320" i="11" s="1"/>
  <c r="F260" i="11"/>
  <c r="E68" i="11"/>
  <c r="F383" i="11"/>
  <c r="E228" i="11"/>
  <c r="F312" i="11"/>
  <c r="E98" i="11"/>
  <c r="E230" i="11"/>
  <c r="E153" i="11"/>
  <c r="F134" i="11"/>
  <c r="F196" i="11"/>
  <c r="F88" i="11"/>
  <c r="W100" i="10"/>
  <c r="W89" i="10" s="1"/>
  <c r="W631" i="10"/>
  <c r="W1761" i="10"/>
  <c r="W1760" i="10" s="1"/>
  <c r="W64" i="10"/>
  <c r="F264" i="11"/>
  <c r="F339" i="11"/>
  <c r="F327" i="11"/>
  <c r="E18" i="11"/>
  <c r="E332" i="11"/>
  <c r="F272" i="11"/>
  <c r="E45" i="11"/>
  <c r="F336" i="11"/>
  <c r="I336" i="11" s="1"/>
  <c r="E265" i="11"/>
  <c r="E232" i="11"/>
  <c r="F351" i="11"/>
  <c r="F232" i="11"/>
  <c r="F99" i="11"/>
  <c r="F63" i="11"/>
  <c r="F137" i="11"/>
  <c r="E162" i="11"/>
  <c r="W366" i="10"/>
  <c r="W380" i="10"/>
  <c r="W1821" i="10"/>
  <c r="W1820" i="10" s="1"/>
  <c r="E111" i="11"/>
  <c r="F33" i="11"/>
  <c r="F352" i="11"/>
  <c r="F288" i="11"/>
  <c r="F183" i="11"/>
  <c r="E63" i="11"/>
  <c r="E379" i="11"/>
  <c r="I379" i="11" s="1"/>
  <c r="E30" i="11"/>
  <c r="E356" i="11"/>
  <c r="F214" i="11"/>
  <c r="F45" i="11"/>
  <c r="E93" i="11"/>
  <c r="F363" i="11"/>
  <c r="F244" i="11"/>
  <c r="E52" i="11"/>
  <c r="J52" i="11" s="1"/>
  <c r="F198" i="11"/>
  <c r="AB484" i="10"/>
  <c r="AB768" i="10"/>
  <c r="AB737" i="10"/>
  <c r="W626" i="10"/>
  <c r="E299" i="11"/>
  <c r="F225" i="11"/>
  <c r="F180" i="11"/>
  <c r="F41" i="11"/>
  <c r="F219" i="11"/>
  <c r="F100" i="11"/>
  <c r="E205" i="11"/>
  <c r="E143" i="11"/>
  <c r="E345" i="11"/>
  <c r="E99" i="11"/>
  <c r="F211" i="11"/>
  <c r="I211" i="11" s="1"/>
  <c r="E212" i="11"/>
  <c r="F332" i="11"/>
  <c r="E214" i="11"/>
  <c r="F93" i="11"/>
  <c r="E215" i="11"/>
  <c r="I215" i="11" s="1"/>
  <c r="F34" i="11"/>
  <c r="F153" i="11"/>
  <c r="I153" i="11" s="1"/>
  <c r="E335" i="11"/>
  <c r="F133" i="11"/>
  <c r="F387" i="11"/>
  <c r="I387" i="11" s="1"/>
  <c r="F256" i="11"/>
  <c r="E88" i="11"/>
  <c r="F210" i="11"/>
  <c r="W1722" i="10"/>
  <c r="W38" i="10"/>
  <c r="AB313" i="10"/>
  <c r="AB292" i="10" s="1"/>
  <c r="W1782" i="10"/>
  <c r="W595" i="10"/>
  <c r="E197" i="11"/>
  <c r="F259" i="11"/>
  <c r="E236" i="11"/>
  <c r="F30" i="11"/>
  <c r="F262" i="11"/>
  <c r="E34" i="11"/>
  <c r="F46" i="11"/>
  <c r="I46" i="11" s="1"/>
  <c r="F157" i="11"/>
  <c r="E268" i="11"/>
  <c r="F197" i="11"/>
  <c r="F314" i="11"/>
  <c r="F187" i="11"/>
  <c r="W1489" i="10"/>
  <c r="W638" i="10"/>
  <c r="E102" i="11"/>
  <c r="W130" i="10"/>
  <c r="AB1109" i="10"/>
  <c r="AB390" i="10"/>
  <c r="AB389" i="10" s="1"/>
  <c r="E20" i="11"/>
  <c r="W1913" i="10"/>
  <c r="AB695" i="10"/>
  <c r="AB335" i="10"/>
  <c r="AB334" i="10" s="1"/>
  <c r="W605" i="10"/>
  <c r="W78" i="10"/>
  <c r="E152" i="11"/>
  <c r="E91" i="11"/>
  <c r="F71" i="11"/>
  <c r="F253" i="11"/>
  <c r="F240" i="11"/>
  <c r="F117" i="11"/>
  <c r="F329" i="11"/>
  <c r="F49" i="11"/>
  <c r="AB402" i="10"/>
  <c r="E313" i="11"/>
  <c r="F355" i="11"/>
  <c r="E248" i="11"/>
  <c r="E115" i="11"/>
  <c r="E262" i="11"/>
  <c r="F334" i="11"/>
  <c r="F263" i="11"/>
  <c r="F94" i="11"/>
  <c r="F169" i="11"/>
  <c r="E316" i="11"/>
  <c r="F316" i="11"/>
  <c r="F330" i="11"/>
  <c r="F171" i="11"/>
  <c r="F40" i="11"/>
  <c r="AB166" i="10"/>
  <c r="AB165" i="10" s="1"/>
  <c r="F349" i="11"/>
  <c r="E341" i="11"/>
  <c r="E275" i="11"/>
  <c r="E160" i="11"/>
  <c r="F107" i="11"/>
  <c r="W257" i="10"/>
  <c r="W226" i="10" s="1"/>
  <c r="F70" i="11"/>
  <c r="F372" i="11"/>
  <c r="E166" i="11"/>
  <c r="F236" i="11"/>
  <c r="F115" i="11"/>
  <c r="E94" i="11"/>
  <c r="F204" i="11"/>
  <c r="F98" i="11"/>
  <c r="E244" i="11"/>
  <c r="E32" i="45"/>
  <c r="G31" i="45" s="1"/>
  <c r="M11" i="2"/>
  <c r="F76" i="11"/>
  <c r="W41" i="10"/>
  <c r="W40" i="10" s="1"/>
  <c r="F69" i="11"/>
  <c r="F308" i="11"/>
  <c r="E208" i="11"/>
  <c r="E264" i="11"/>
  <c r="F208" i="11"/>
  <c r="E191" i="11"/>
  <c r="F177" i="11"/>
  <c r="E110" i="11"/>
  <c r="AB770" i="10"/>
  <c r="W1476" i="10"/>
  <c r="W1475" i="10" s="1"/>
  <c r="E51" i="11"/>
  <c r="F158" i="11"/>
  <c r="F181" i="11"/>
  <c r="F189" i="11"/>
  <c r="F108" i="11"/>
  <c r="W217" i="10"/>
  <c r="AB647" i="10"/>
  <c r="AB645" i="10" s="1"/>
  <c r="W1499" i="10"/>
  <c r="F319" i="11"/>
  <c r="E281" i="11"/>
  <c r="E182" i="11"/>
  <c r="F125" i="11"/>
  <c r="E84" i="11"/>
  <c r="F296" i="11"/>
  <c r="E108" i="11"/>
  <c r="W1944" i="10"/>
  <c r="W1732" i="10"/>
  <c r="W1724" i="10"/>
  <c r="AB782" i="10"/>
  <c r="W628" i="10"/>
  <c r="E318" i="11"/>
  <c r="F295" i="11"/>
  <c r="F206" i="11"/>
  <c r="E167" i="11"/>
  <c r="F127" i="11"/>
  <c r="E344" i="11"/>
  <c r="E348" i="11"/>
  <c r="E81" i="11"/>
  <c r="E296" i="11"/>
  <c r="E189" i="11"/>
  <c r="F61" i="48"/>
  <c r="J15" i="53"/>
  <c r="F56" i="49"/>
  <c r="K82" i="55"/>
  <c r="E73" i="45" s="1"/>
  <c r="G73" i="45" s="1"/>
  <c r="G68" i="45" s="1"/>
  <c r="F74" i="12"/>
  <c r="F70" i="12" s="1"/>
  <c r="F78" i="12" s="1"/>
  <c r="G74" i="12"/>
  <c r="G70" i="12" s="1"/>
  <c r="G78" i="12" s="1"/>
  <c r="J50" i="37"/>
  <c r="J63" i="37" s="1"/>
  <c r="J65" i="37" s="1"/>
  <c r="J67" i="37" s="1"/>
  <c r="J68" i="37" s="1"/>
  <c r="J72" i="37" s="1"/>
  <c r="F63" i="37"/>
  <c r="F65" i="37" s="1"/>
  <c r="F67" i="37" s="1"/>
  <c r="F68" i="37" s="1"/>
  <c r="F72" i="37" s="1"/>
  <c r="G115" i="12"/>
  <c r="G111" i="12" s="1"/>
  <c r="G119" i="12" s="1"/>
  <c r="W1799" i="10"/>
  <c r="E26" i="11"/>
  <c r="W1529" i="10"/>
  <c r="E183" i="11"/>
  <c r="F26" i="11"/>
  <c r="AB145" i="10"/>
  <c r="F179" i="11"/>
  <c r="AB66" i="10"/>
  <c r="AB65" i="10" s="1"/>
  <c r="F227" i="11"/>
  <c r="E172" i="11"/>
  <c r="E280" i="11"/>
  <c r="E245" i="11"/>
  <c r="F21" i="11"/>
  <c r="E83" i="11"/>
  <c r="E165" i="11"/>
  <c r="F280" i="11"/>
  <c r="W1549" i="10"/>
  <c r="F165" i="11"/>
  <c r="D52" i="48"/>
  <c r="D49" i="49" s="1"/>
  <c r="D52" i="49"/>
  <c r="D51" i="49"/>
  <c r="D59" i="49"/>
  <c r="D54" i="49"/>
  <c r="D41" i="48"/>
  <c r="D31" i="49" s="1"/>
  <c r="D34" i="50"/>
  <c r="I34" i="50" s="1"/>
  <c r="F142" i="11"/>
  <c r="F47" i="11"/>
  <c r="F39" i="11"/>
  <c r="J39" i="11" s="1"/>
  <c r="E270" i="11"/>
  <c r="E113" i="11"/>
  <c r="E199" i="11"/>
  <c r="E295" i="11"/>
  <c r="E377" i="11"/>
  <c r="E54" i="11"/>
  <c r="I54" i="11" s="1"/>
  <c r="E127" i="11"/>
  <c r="E368" i="11"/>
  <c r="F78" i="11"/>
  <c r="F152" i="11"/>
  <c r="E43" i="11"/>
  <c r="F67" i="11"/>
  <c r="F249" i="11"/>
  <c r="F381" i="11"/>
  <c r="I381" i="11" s="1"/>
  <c r="E92" i="11"/>
  <c r="I92" i="11" s="1"/>
  <c r="E178" i="11"/>
  <c r="E346" i="11"/>
  <c r="I346" i="11" s="1"/>
  <c r="F154" i="11"/>
  <c r="F238" i="11"/>
  <c r="F322" i="11"/>
  <c r="E55" i="11"/>
  <c r="E203" i="11"/>
  <c r="E371" i="11"/>
  <c r="J371" i="11" s="1"/>
  <c r="F105" i="11"/>
  <c r="F191" i="11"/>
  <c r="E103" i="11"/>
  <c r="F309" i="11"/>
  <c r="E180" i="11"/>
  <c r="E276" i="11"/>
  <c r="E360" i="11"/>
  <c r="F384" i="11"/>
  <c r="J384" i="11" s="1"/>
  <c r="F91" i="11"/>
  <c r="E107" i="11"/>
  <c r="E217" i="11"/>
  <c r="E337" i="11"/>
  <c r="I337" i="11" s="1"/>
  <c r="F205" i="11"/>
  <c r="F313" i="11"/>
  <c r="F297" i="11"/>
  <c r="E36" i="11"/>
  <c r="E121" i="11"/>
  <c r="E278" i="11"/>
  <c r="E374" i="11"/>
  <c r="F96" i="11"/>
  <c r="I96" i="11" s="1"/>
  <c r="F242" i="11"/>
  <c r="E79" i="11"/>
  <c r="E227" i="11"/>
  <c r="E109" i="11"/>
  <c r="I109" i="11" s="1"/>
  <c r="E207" i="11"/>
  <c r="E291" i="11"/>
  <c r="F267" i="11"/>
  <c r="E340" i="11"/>
  <c r="F50" i="11"/>
  <c r="F87" i="11"/>
  <c r="F173" i="11"/>
  <c r="F269" i="11"/>
  <c r="E342" i="11"/>
  <c r="F318" i="11"/>
  <c r="F390" i="11"/>
  <c r="F131" i="11"/>
  <c r="E74" i="11"/>
  <c r="E40" i="11"/>
  <c r="E330" i="11"/>
  <c r="E139" i="11"/>
  <c r="I139" i="11" s="1"/>
  <c r="E307" i="11"/>
  <c r="F29" i="11"/>
  <c r="F51" i="11"/>
  <c r="E282" i="11"/>
  <c r="E66" i="11"/>
  <c r="I66" i="11" s="1"/>
  <c r="E140" i="11"/>
  <c r="E224" i="11"/>
  <c r="E308" i="11"/>
  <c r="F90" i="11"/>
  <c r="F164" i="11"/>
  <c r="F285" i="11"/>
  <c r="J285" i="11" s="1"/>
  <c r="E32" i="11"/>
  <c r="E202" i="11"/>
  <c r="E274" i="11"/>
  <c r="I274" i="11" s="1"/>
  <c r="E358" i="11"/>
  <c r="F166" i="11"/>
  <c r="F250" i="11"/>
  <c r="E225" i="11"/>
  <c r="F118" i="11"/>
  <c r="F275" i="11"/>
  <c r="F359" i="11"/>
  <c r="I359" i="11" s="1"/>
  <c r="E58" i="11"/>
  <c r="E192" i="11"/>
  <c r="E288" i="11"/>
  <c r="E372" i="11"/>
  <c r="F324" i="11"/>
  <c r="E287" i="11"/>
  <c r="E349" i="11"/>
  <c r="F217" i="11"/>
  <c r="E201" i="11"/>
  <c r="E33" i="11"/>
  <c r="E206" i="11"/>
  <c r="E290" i="11"/>
  <c r="E386" i="11"/>
  <c r="F182" i="11"/>
  <c r="F254" i="11"/>
  <c r="F350" i="11"/>
  <c r="E37" i="11"/>
  <c r="E122" i="11"/>
  <c r="E219" i="11"/>
  <c r="E303" i="11"/>
  <c r="E352" i="11"/>
  <c r="F62" i="11"/>
  <c r="F160" i="11"/>
  <c r="F293" i="11"/>
  <c r="F389" i="11"/>
  <c r="E257" i="11"/>
  <c r="E354" i="11"/>
  <c r="F162" i="11"/>
  <c r="F234" i="11"/>
  <c r="F362" i="11"/>
  <c r="F294" i="11"/>
  <c r="F279" i="11"/>
  <c r="E126" i="11"/>
  <c r="F82" i="11"/>
  <c r="E283" i="11"/>
  <c r="F185" i="11"/>
  <c r="E86" i="11"/>
  <c r="E38" i="11"/>
  <c r="E112" i="11"/>
  <c r="E41" i="11"/>
  <c r="E151" i="11"/>
  <c r="E223" i="11"/>
  <c r="E319" i="11"/>
  <c r="E78" i="11"/>
  <c r="F102" i="11"/>
  <c r="F176" i="11"/>
  <c r="F344" i="11"/>
  <c r="F333" i="11"/>
  <c r="I333" i="11" s="1"/>
  <c r="E44" i="11"/>
  <c r="E117" i="11"/>
  <c r="E298" i="11"/>
  <c r="E370" i="11"/>
  <c r="F130" i="11"/>
  <c r="E70" i="11"/>
  <c r="F106" i="11"/>
  <c r="F252" i="11"/>
  <c r="F273" i="11"/>
  <c r="E35" i="11"/>
  <c r="J35" i="11" s="1"/>
  <c r="E145" i="11"/>
  <c r="E253" i="11"/>
  <c r="E361" i="11"/>
  <c r="E60" i="11"/>
  <c r="E302" i="11"/>
  <c r="F278" i="11"/>
  <c r="E49" i="11"/>
  <c r="E231" i="11"/>
  <c r="E315" i="11"/>
  <c r="E364" i="11"/>
  <c r="F172" i="11"/>
  <c r="F111" i="11"/>
  <c r="F305" i="11"/>
  <c r="E329" i="11"/>
  <c r="E174" i="11"/>
  <c r="E366" i="11"/>
  <c r="I366" i="11" s="1"/>
  <c r="F258" i="11"/>
  <c r="E148" i="11"/>
  <c r="F376" i="11"/>
  <c r="F168" i="11"/>
  <c r="E235" i="11"/>
  <c r="E385" i="11"/>
  <c r="E150" i="11"/>
  <c r="E53" i="11"/>
  <c r="E163" i="11"/>
  <c r="E247" i="11"/>
  <c r="E343" i="11"/>
  <c r="F247" i="11"/>
  <c r="E221" i="11"/>
  <c r="E100" i="11"/>
  <c r="F42" i="11"/>
  <c r="F114" i="11"/>
  <c r="F200" i="11"/>
  <c r="E249" i="11"/>
  <c r="F345" i="11"/>
  <c r="E56" i="11"/>
  <c r="E129" i="11"/>
  <c r="J129" i="11" s="1"/>
  <c r="E310" i="11"/>
  <c r="F31" i="11"/>
  <c r="E323" i="11"/>
  <c r="F143" i="11"/>
  <c r="F299" i="11"/>
  <c r="E357" i="11"/>
  <c r="F144" i="11"/>
  <c r="F348" i="11"/>
  <c r="E177" i="11"/>
  <c r="E69" i="11"/>
  <c r="E59" i="11"/>
  <c r="E321" i="11"/>
  <c r="E179" i="11"/>
  <c r="E72" i="11"/>
  <c r="I72" i="11" s="1"/>
  <c r="E158" i="11"/>
  <c r="E326" i="11"/>
  <c r="E237" i="11"/>
  <c r="J237" i="11" s="1"/>
  <c r="E61" i="11"/>
  <c r="I61" i="11" s="1"/>
  <c r="E147" i="11"/>
  <c r="E243" i="11"/>
  <c r="E327" i="11"/>
  <c r="F231" i="11"/>
  <c r="E388" i="11"/>
  <c r="E233" i="11"/>
  <c r="E378" i="11"/>
  <c r="F186" i="11"/>
  <c r="F270" i="11"/>
  <c r="F246" i="11"/>
  <c r="F128" i="11"/>
  <c r="F156" i="11"/>
  <c r="E277" i="11"/>
  <c r="F159" i="11"/>
  <c r="E62" i="11"/>
  <c r="E65" i="11"/>
  <c r="E175" i="11"/>
  <c r="I175" i="11" s="1"/>
  <c r="F65" i="11"/>
  <c r="F167" i="11"/>
  <c r="F239" i="11"/>
  <c r="F55" i="11"/>
  <c r="E252" i="11"/>
  <c r="F276" i="11"/>
  <c r="E71" i="11"/>
  <c r="E289" i="11"/>
  <c r="E170" i="11"/>
  <c r="F218" i="11"/>
  <c r="J218" i="11" s="1"/>
  <c r="E123" i="11"/>
  <c r="E73" i="11"/>
  <c r="E171" i="11"/>
  <c r="E255" i="11"/>
  <c r="E339" i="11"/>
  <c r="E304" i="11"/>
  <c r="J304" i="11" s="1"/>
  <c r="F110" i="11"/>
  <c r="F149" i="11"/>
  <c r="F233" i="11"/>
  <c r="F341" i="11"/>
  <c r="E258" i="11"/>
  <c r="F311" i="11"/>
  <c r="F286" i="11"/>
  <c r="F216" i="11"/>
  <c r="E155" i="11"/>
  <c r="E373" i="11"/>
  <c r="F317" i="11"/>
  <c r="E89" i="11"/>
  <c r="I89" i="11" s="1"/>
  <c r="E187" i="11"/>
  <c r="E271" i="11"/>
  <c r="F271" i="11"/>
  <c r="E200" i="11"/>
  <c r="F224" i="11"/>
  <c r="F369" i="11"/>
  <c r="J369" i="11" s="1"/>
  <c r="E250" i="11"/>
  <c r="F56" i="11"/>
  <c r="E220" i="11"/>
  <c r="F251" i="11"/>
  <c r="E31" i="11"/>
  <c r="F73" i="11"/>
  <c r="E353" i="11"/>
  <c r="F257" i="11"/>
  <c r="E306" i="11"/>
  <c r="AB443" i="10"/>
  <c r="W106" i="10"/>
  <c r="W1132" i="10"/>
  <c r="W339" i="10"/>
  <c r="F126" i="11"/>
  <c r="F283" i="11"/>
  <c r="E124" i="11"/>
  <c r="E188" i="11"/>
  <c r="E142" i="11"/>
  <c r="E286" i="11"/>
  <c r="E119" i="11"/>
  <c r="F119" i="11"/>
  <c r="E193" i="11"/>
  <c r="F120" i="11"/>
  <c r="F277" i="11"/>
  <c r="E314" i="11"/>
  <c r="F84" i="11"/>
  <c r="F141" i="11"/>
  <c r="E292" i="11"/>
  <c r="F281" i="11"/>
  <c r="W200" i="10"/>
  <c r="AB486" i="10"/>
  <c r="AB485" i="10" s="1"/>
  <c r="W116" i="10"/>
  <c r="AB367" i="10"/>
  <c r="AB365" i="10" s="1"/>
  <c r="AB928" i="10"/>
  <c r="W341" i="10"/>
  <c r="W811" i="10"/>
  <c r="W1977" i="10"/>
  <c r="F13" i="11"/>
  <c r="E317" i="11"/>
  <c r="E246" i="11"/>
  <c r="E184" i="11"/>
  <c r="F81" i="11"/>
  <c r="F155" i="11"/>
  <c r="E131" i="11"/>
  <c r="E47" i="11"/>
  <c r="E120" i="11"/>
  <c r="E128" i="11"/>
  <c r="F12" i="11"/>
  <c r="E311" i="11"/>
  <c r="E85" i="11"/>
  <c r="E159" i="11"/>
  <c r="E375" i="11"/>
  <c r="E376" i="11"/>
  <c r="F148" i="11"/>
  <c r="F292" i="11"/>
  <c r="F75" i="11"/>
  <c r="E294" i="11"/>
  <c r="W329" i="10"/>
  <c r="F77" i="11"/>
  <c r="I77" i="11" s="1"/>
  <c r="E284" i="11"/>
  <c r="E382" i="11"/>
  <c r="J382" i="11" s="1"/>
  <c r="E216" i="11"/>
  <c r="F301" i="11"/>
  <c r="F373" i="11"/>
  <c r="E266" i="11"/>
  <c r="E12" i="11"/>
  <c r="F86" i="11"/>
  <c r="E185" i="11"/>
  <c r="AB54" i="10"/>
  <c r="AB53" i="10" s="1"/>
  <c r="E125" i="11"/>
  <c r="F284" i="11"/>
  <c r="E82" i="11"/>
  <c r="E156" i="11"/>
  <c r="E300" i="11"/>
  <c r="F83" i="11"/>
  <c r="F241" i="11"/>
  <c r="I241" i="11" s="1"/>
  <c r="F385" i="11"/>
  <c r="E57" i="11"/>
  <c r="E328" i="11"/>
  <c r="F245" i="11"/>
  <c r="W1808" i="10"/>
  <c r="W1584" i="10"/>
  <c r="W1583" i="10" s="1"/>
  <c r="F101" i="11"/>
  <c r="J101" i="11" s="1"/>
  <c r="F331" i="11"/>
  <c r="E380" i="11"/>
  <c r="E190" i="11"/>
  <c r="E168" i="11"/>
  <c r="E240" i="11"/>
  <c r="F325" i="11"/>
  <c r="I325" i="11" s="1"/>
  <c r="E362" i="11"/>
  <c r="E195" i="11"/>
  <c r="F195" i="11"/>
  <c r="F184" i="11"/>
  <c r="AB1052" i="10"/>
  <c r="AB1055" i="10"/>
  <c r="E76" i="11"/>
  <c r="F57" i="11"/>
  <c r="E279" i="11"/>
  <c r="F124" i="11"/>
  <c r="E181" i="11"/>
  <c r="D43" i="49"/>
  <c r="F16" i="11"/>
  <c r="F235" i="11"/>
  <c r="E28" i="11"/>
  <c r="E27" i="11"/>
  <c r="F25" i="11"/>
  <c r="E24" i="11"/>
  <c r="I24" i="11" s="1"/>
  <c r="F23" i="11"/>
  <c r="F22" i="11"/>
  <c r="E21" i="11"/>
  <c r="F20" i="11"/>
  <c r="AB657" i="10"/>
  <c r="F19" i="11"/>
  <c r="F17" i="11"/>
  <c r="E13" i="11"/>
  <c r="E11" i="11"/>
  <c r="I11" i="11" s="1"/>
  <c r="F10" i="11"/>
  <c r="J10" i="11" s="1"/>
  <c r="F9" i="11"/>
  <c r="J9" i="11" s="1"/>
  <c r="F8" i="11"/>
  <c r="I8" i="11" s="1"/>
  <c r="E7" i="11"/>
  <c r="E6" i="11"/>
  <c r="J6" i="11" s="1"/>
  <c r="AB50" i="10"/>
  <c r="E16" i="11"/>
  <c r="F15" i="11"/>
  <c r="W471" i="10"/>
  <c r="W383" i="10"/>
  <c r="AB111" i="10"/>
  <c r="W66" i="10"/>
  <c r="AB235" i="10"/>
  <c r="AB1066" i="10"/>
  <c r="I104" i="11"/>
  <c r="AB224" i="10"/>
  <c r="AB198" i="10"/>
  <c r="E14" i="11"/>
  <c r="AB281" i="10"/>
  <c r="AB270" i="10"/>
  <c r="I367" i="11"/>
  <c r="F14" i="11"/>
  <c r="AB87" i="10"/>
  <c r="AB509" i="10"/>
  <c r="W2037" i="10"/>
  <c r="J367" i="11"/>
  <c r="J104" i="11"/>
  <c r="E45" i="46"/>
  <c r="G56" i="12"/>
  <c r="F66" i="29"/>
  <c r="E79" i="26"/>
  <c r="H78" i="26"/>
  <c r="H79" i="26" s="1"/>
  <c r="AF101" i="32"/>
  <c r="E66" i="29"/>
  <c r="H61" i="29"/>
  <c r="AE64" i="32"/>
  <c r="AE80" i="32"/>
  <c r="AE116" i="32" s="1"/>
  <c r="AE61" i="32"/>
  <c r="E74" i="26"/>
  <c r="F21" i="40"/>
  <c r="F17" i="40"/>
  <c r="F68" i="26"/>
  <c r="F72" i="26" s="1"/>
  <c r="E68" i="26"/>
  <c r="F50" i="36"/>
  <c r="F17" i="41"/>
  <c r="F21" i="41"/>
  <c r="O49" i="38"/>
  <c r="Q49" i="38"/>
  <c r="P49" i="38"/>
  <c r="J49" i="38"/>
  <c r="I49" i="38"/>
  <c r="D26" i="48"/>
  <c r="D9" i="49" s="1"/>
  <c r="D55" i="49"/>
  <c r="D34" i="52"/>
  <c r="D61" i="49"/>
  <c r="D46" i="49"/>
  <c r="D41" i="51"/>
  <c r="D50" i="49"/>
  <c r="D6" i="50"/>
  <c r="I6" i="50" s="1"/>
  <c r="H49" i="38"/>
  <c r="R49" i="38"/>
  <c r="H37" i="60"/>
  <c r="H39" i="60" s="1"/>
  <c r="I37" i="60"/>
  <c r="I39" i="60" s="1"/>
  <c r="H45" i="60"/>
  <c r="E48" i="60"/>
  <c r="D41" i="50"/>
  <c r="I41" i="50" s="1"/>
  <c r="E65" i="48"/>
  <c r="E62" i="49" s="1"/>
  <c r="E60" i="49"/>
  <c r="D59" i="48"/>
  <c r="H12" i="53" s="1"/>
  <c r="D6" i="52"/>
  <c r="E74" i="12"/>
  <c r="E70" i="12" s="1"/>
  <c r="E78" i="12" s="1"/>
  <c r="W170" i="10"/>
  <c r="W150" i="10"/>
  <c r="AB78" i="10"/>
  <c r="G17" i="60"/>
  <c r="E30" i="61"/>
  <c r="G17" i="61"/>
  <c r="H27" i="61"/>
  <c r="W386" i="2"/>
  <c r="E33" i="2" s="1"/>
  <c r="F33" i="2" s="1"/>
  <c r="AB906" i="10"/>
  <c r="W1767" i="10"/>
  <c r="AB813" i="10"/>
  <c r="F45" i="46"/>
  <c r="AB1054" i="10"/>
  <c r="W214" i="10"/>
  <c r="W1784" i="10"/>
  <c r="AB842" i="10"/>
  <c r="W212" i="10"/>
  <c r="W210" i="10"/>
  <c r="AB1050" i="10"/>
  <c r="AB1049" i="10" s="1"/>
  <c r="W216" i="10"/>
  <c r="W1711" i="10"/>
  <c r="W1708" i="10"/>
  <c r="W1707" i="10" s="1"/>
  <c r="AB155" i="10"/>
  <c r="AB177" i="10"/>
  <c r="AB176" i="10" s="1"/>
  <c r="W1710" i="10"/>
  <c r="W87" i="10"/>
  <c r="C3" i="53"/>
  <c r="G2" i="11"/>
  <c r="W1793" i="2"/>
  <c r="W370" i="2"/>
  <c r="O1072" i="6"/>
  <c r="E54" i="6" s="1"/>
  <c r="C2" i="52"/>
  <c r="C2" i="51"/>
  <c r="W2051" i="2"/>
  <c r="E76" i="2" s="1"/>
  <c r="F76" i="2" s="1"/>
  <c r="O398" i="6"/>
  <c r="E24" i="6" s="1"/>
  <c r="O1162" i="6"/>
  <c r="E64" i="6" s="1"/>
  <c r="AB659" i="2"/>
  <c r="M68" i="2" s="1"/>
  <c r="N68" i="2" s="1"/>
  <c r="W1781" i="2"/>
  <c r="E64" i="2" s="1"/>
  <c r="F64" i="2" s="1"/>
  <c r="W365" i="2"/>
  <c r="AB806" i="2"/>
  <c r="AB839" i="2"/>
  <c r="G49" i="38"/>
  <c r="W381" i="2"/>
  <c r="E46" i="12"/>
  <c r="I27" i="11" l="1"/>
  <c r="C29" i="70" s="1"/>
  <c r="J380" i="11"/>
  <c r="D381" i="70" s="1"/>
  <c r="J60" i="11"/>
  <c r="D62" i="70" s="1"/>
  <c r="I221" i="11"/>
  <c r="C222" i="70" s="1"/>
  <c r="J193" i="11"/>
  <c r="D194" i="70" s="1"/>
  <c r="J28" i="11"/>
  <c r="J40" i="46" s="1"/>
  <c r="H40" i="46" s="1"/>
  <c r="I234" i="11"/>
  <c r="C235" i="70" s="1"/>
  <c r="I157" i="11"/>
  <c r="C158" i="70" s="1"/>
  <c r="I251" i="11"/>
  <c r="C252" i="70" s="1"/>
  <c r="J32" i="11"/>
  <c r="D34" i="70" s="1"/>
  <c r="I290" i="11"/>
  <c r="C291" i="70" s="1"/>
  <c r="W53" i="10"/>
  <c r="W637" i="10"/>
  <c r="I134" i="11"/>
  <c r="C135" i="70" s="1"/>
  <c r="J307" i="11"/>
  <c r="D308" i="70" s="1"/>
  <c r="J22" i="11"/>
  <c r="D24" i="70" s="1"/>
  <c r="J42" i="11"/>
  <c r="D44" i="70" s="1"/>
  <c r="J106" i="11"/>
  <c r="D108" i="70" s="1"/>
  <c r="I17" i="11"/>
  <c r="C19" i="70" s="1"/>
  <c r="I370" i="11"/>
  <c r="C371" i="70" s="1"/>
  <c r="W340" i="10"/>
  <c r="J386" i="11"/>
  <c r="D387" i="70" s="1"/>
  <c r="J144" i="11"/>
  <c r="D145" i="70" s="1"/>
  <c r="J377" i="11"/>
  <c r="D378" i="70" s="1"/>
  <c r="I43" i="11"/>
  <c r="C45" i="70" s="1"/>
  <c r="AB473" i="10"/>
  <c r="J95" i="11"/>
  <c r="D97" i="70" s="1"/>
  <c r="J192" i="11"/>
  <c r="D193" i="70" s="1"/>
  <c r="W448" i="10"/>
  <c r="I323" i="11"/>
  <c r="C324" i="70" s="1"/>
  <c r="J220" i="11"/>
  <c r="D221" i="70" s="1"/>
  <c r="J335" i="11"/>
  <c r="D336" i="70" s="1"/>
  <c r="I388" i="11"/>
  <c r="C389" i="70" s="1"/>
  <c r="D29" i="49"/>
  <c r="D27" i="50"/>
  <c r="I27" i="50" s="1"/>
  <c r="J374" i="11"/>
  <c r="D375" i="70" s="1"/>
  <c r="I344" i="11"/>
  <c r="C345" i="70" s="1"/>
  <c r="I301" i="11"/>
  <c r="C302" i="70" s="1"/>
  <c r="J242" i="11"/>
  <c r="D243" i="70" s="1"/>
  <c r="W1686" i="10"/>
  <c r="I29" i="11"/>
  <c r="I41" i="46" s="1"/>
  <c r="G41" i="46" s="1"/>
  <c r="I90" i="11"/>
  <c r="C92" i="70" s="1"/>
  <c r="W378" i="10"/>
  <c r="J56" i="11"/>
  <c r="D58" i="70" s="1"/>
  <c r="J87" i="11"/>
  <c r="D89" i="70" s="1"/>
  <c r="J389" i="11"/>
  <c r="D390" i="70" s="1"/>
  <c r="I347" i="11"/>
  <c r="C348" i="70" s="1"/>
  <c r="I374" i="11"/>
  <c r="C375" i="70" s="1"/>
  <c r="I83" i="11"/>
  <c r="C85" i="70" s="1"/>
  <c r="J254" i="11"/>
  <c r="D255" i="70" s="1"/>
  <c r="J238" i="11"/>
  <c r="D239" i="70" s="1"/>
  <c r="J260" i="11"/>
  <c r="D261" i="70" s="1"/>
  <c r="AF48" i="32"/>
  <c r="AF50" i="32" s="1"/>
  <c r="AF51" i="32" s="1"/>
  <c r="AF55" i="32" s="1"/>
  <c r="I103" i="11"/>
  <c r="C105" i="70" s="1"/>
  <c r="W17" i="10"/>
  <c r="J363" i="11"/>
  <c r="D364" i="70" s="1"/>
  <c r="I243" i="11"/>
  <c r="C244" i="70" s="1"/>
  <c r="I291" i="11"/>
  <c r="C292" i="70" s="1"/>
  <c r="I203" i="11"/>
  <c r="C204" i="70" s="1"/>
  <c r="I326" i="11"/>
  <c r="C327" i="70" s="1"/>
  <c r="J261" i="11"/>
  <c r="D262" i="70" s="1"/>
  <c r="J130" i="11"/>
  <c r="D131" i="70" s="1"/>
  <c r="I110" i="11"/>
  <c r="C112" i="70" s="1"/>
  <c r="J143" i="11"/>
  <c r="D144" i="70" s="1"/>
  <c r="J186" i="11"/>
  <c r="D187" i="70" s="1"/>
  <c r="I261" i="11"/>
  <c r="J103" i="11"/>
  <c r="D105" i="70" s="1"/>
  <c r="J379" i="11"/>
  <c r="D380" i="70" s="1"/>
  <c r="I149" i="11"/>
  <c r="C150" i="70" s="1"/>
  <c r="J137" i="11"/>
  <c r="D138" i="70" s="1"/>
  <c r="I60" i="11"/>
  <c r="I269" i="11"/>
  <c r="C270" i="70" s="1"/>
  <c r="AB144" i="10"/>
  <c r="I335" i="11"/>
  <c r="I322" i="11"/>
  <c r="C323" i="70" s="1"/>
  <c r="I334" i="11"/>
  <c r="C335" i="70" s="1"/>
  <c r="J198" i="11"/>
  <c r="D18" i="72" s="1"/>
  <c r="I147" i="11"/>
  <c r="C148" i="70" s="1"/>
  <c r="J212" i="11"/>
  <c r="D22" i="72" s="1"/>
  <c r="J287" i="11"/>
  <c r="D288" i="70" s="1"/>
  <c r="J64" i="11"/>
  <c r="N64" i="11" s="1"/>
  <c r="AB1101" i="2" s="1"/>
  <c r="I44" i="11"/>
  <c r="C46" i="70" s="1"/>
  <c r="I163" i="11"/>
  <c r="C164" i="70" s="1"/>
  <c r="I358" i="11"/>
  <c r="C359" i="70" s="1"/>
  <c r="J299" i="11"/>
  <c r="D300" i="70" s="1"/>
  <c r="I162" i="11"/>
  <c r="C163" i="70" s="1"/>
  <c r="I312" i="11"/>
  <c r="C313" i="70" s="1"/>
  <c r="W1745" i="10"/>
  <c r="J59" i="11"/>
  <c r="D61" i="70" s="1"/>
  <c r="I173" i="11"/>
  <c r="C174" i="70" s="1"/>
  <c r="J383" i="11"/>
  <c r="D384" i="70" s="1"/>
  <c r="I50" i="11"/>
  <c r="C52" i="70" s="1"/>
  <c r="AB927" i="10"/>
  <c r="J229" i="11"/>
  <c r="D230" i="70" s="1"/>
  <c r="G230" i="70" s="1"/>
  <c r="N230" i="70" s="1"/>
  <c r="J230" i="11"/>
  <c r="D231" i="70" s="1"/>
  <c r="G231" i="70" s="1"/>
  <c r="N231" i="70" s="1"/>
  <c r="D33" i="49"/>
  <c r="J174" i="11"/>
  <c r="D175" i="70" s="1"/>
  <c r="I230" i="11"/>
  <c r="C30" i="72" s="1"/>
  <c r="J178" i="11"/>
  <c r="D179" i="70" s="1"/>
  <c r="D34" i="49"/>
  <c r="D37" i="49"/>
  <c r="J310" i="11"/>
  <c r="D311" i="70" s="1"/>
  <c r="I229" i="11"/>
  <c r="J38" i="11"/>
  <c r="D40" i="70" s="1"/>
  <c r="W391" i="10"/>
  <c r="AB1098" i="10"/>
  <c r="J209" i="11"/>
  <c r="D210" i="70" s="1"/>
  <c r="I23" i="11"/>
  <c r="I35" i="46" s="1"/>
  <c r="G35" i="46" s="1"/>
  <c r="W810" i="10"/>
  <c r="AB623" i="10"/>
  <c r="I52" i="11"/>
  <c r="J133" i="11"/>
  <c r="D134" i="70" s="1"/>
  <c r="I351" i="11"/>
  <c r="I213" i="11"/>
  <c r="J54" i="11"/>
  <c r="I19" i="11"/>
  <c r="I176" i="11"/>
  <c r="J51" i="11"/>
  <c r="D53" i="70" s="1"/>
  <c r="J25" i="11"/>
  <c r="D27" i="70" s="1"/>
  <c r="I338" i="11"/>
  <c r="J213" i="11"/>
  <c r="I136" i="11"/>
  <c r="I287" i="11"/>
  <c r="I210" i="11"/>
  <c r="J226" i="11"/>
  <c r="D227" i="70" s="1"/>
  <c r="G227" i="70" s="1"/>
  <c r="N227" i="70" s="1"/>
  <c r="I161" i="11"/>
  <c r="I170" i="11"/>
  <c r="I378" i="11"/>
  <c r="I356" i="11"/>
  <c r="J136" i="11"/>
  <c r="D137" i="70" s="1"/>
  <c r="J169" i="11"/>
  <c r="D170" i="70" s="1"/>
  <c r="I194" i="11"/>
  <c r="I38" i="11"/>
  <c r="I196" i="11"/>
  <c r="I132" i="11"/>
  <c r="I390" i="11"/>
  <c r="J154" i="11"/>
  <c r="D155" i="70" s="1"/>
  <c r="J239" i="11"/>
  <c r="D240" i="70" s="1"/>
  <c r="J222" i="11"/>
  <c r="J315" i="11"/>
  <c r="D316" i="70" s="1"/>
  <c r="I289" i="11"/>
  <c r="I223" i="11"/>
  <c r="I202" i="11"/>
  <c r="I226" i="11"/>
  <c r="I255" i="11"/>
  <c r="J194" i="11"/>
  <c r="D195" i="70" s="1"/>
  <c r="J303" i="11"/>
  <c r="D304" i="70" s="1"/>
  <c r="J207" i="11"/>
  <c r="D208" i="70" s="1"/>
  <c r="I209" i="11"/>
  <c r="J302" i="11"/>
  <c r="D303" i="70" s="1"/>
  <c r="J202" i="11"/>
  <c r="D203" i="70" s="1"/>
  <c r="W77" i="10"/>
  <c r="W699" i="10"/>
  <c r="AB855" i="10"/>
  <c r="J356" i="11"/>
  <c r="D357" i="70" s="1"/>
  <c r="J255" i="11"/>
  <c r="D256" i="70" s="1"/>
  <c r="J66" i="11"/>
  <c r="I310" i="11"/>
  <c r="J116" i="11"/>
  <c r="I116" i="11"/>
  <c r="I15" i="11"/>
  <c r="C17" i="70" s="1"/>
  <c r="J138" i="11"/>
  <c r="D139" i="70" s="1"/>
  <c r="C380" i="70"/>
  <c r="D54" i="70"/>
  <c r="D106" i="70"/>
  <c r="D368" i="70"/>
  <c r="D133" i="70"/>
  <c r="C368" i="70"/>
  <c r="C106" i="70"/>
  <c r="C97" i="70"/>
  <c r="C223" i="70"/>
  <c r="C10" i="70"/>
  <c r="D11" i="70"/>
  <c r="D12" i="70"/>
  <c r="C13" i="70"/>
  <c r="C326" i="70"/>
  <c r="D103" i="70"/>
  <c r="C242" i="70"/>
  <c r="D383" i="70"/>
  <c r="C79" i="70"/>
  <c r="C66" i="70"/>
  <c r="D370" i="70"/>
  <c r="C91" i="70"/>
  <c r="D305" i="70"/>
  <c r="D219" i="70"/>
  <c r="C176" i="70"/>
  <c r="C63" i="70"/>
  <c r="D238" i="70"/>
  <c r="C74" i="70"/>
  <c r="D130" i="70"/>
  <c r="C367" i="70"/>
  <c r="D37" i="70"/>
  <c r="C334" i="70"/>
  <c r="C360" i="70"/>
  <c r="C275" i="70"/>
  <c r="D286" i="70"/>
  <c r="C68" i="70"/>
  <c r="C140" i="70"/>
  <c r="C111" i="70"/>
  <c r="C98" i="70"/>
  <c r="C338" i="70"/>
  <c r="D385" i="70"/>
  <c r="D372" i="70"/>
  <c r="C347" i="70"/>
  <c r="C94" i="70"/>
  <c r="C382" i="70"/>
  <c r="C56" i="70"/>
  <c r="D41" i="70"/>
  <c r="C48" i="70"/>
  <c r="C11" i="72"/>
  <c r="C388" i="70"/>
  <c r="C154" i="70"/>
  <c r="C216" i="70"/>
  <c r="C25" i="72"/>
  <c r="C212" i="70"/>
  <c r="C21" i="72"/>
  <c r="C337" i="70"/>
  <c r="D321" i="70"/>
  <c r="C136" i="70"/>
  <c r="D99" i="70"/>
  <c r="D12" i="72"/>
  <c r="C7" i="70"/>
  <c r="I7" i="11"/>
  <c r="I138" i="11"/>
  <c r="J18" i="46"/>
  <c r="H18" i="46" s="1"/>
  <c r="D8" i="70"/>
  <c r="I36" i="46"/>
  <c r="G36" i="46" s="1"/>
  <c r="C26" i="70"/>
  <c r="D32" i="49"/>
  <c r="D26" i="49"/>
  <c r="D35" i="49"/>
  <c r="D38" i="49"/>
  <c r="D28" i="49"/>
  <c r="D30" i="49"/>
  <c r="D27" i="49"/>
  <c r="D36" i="49"/>
  <c r="I188" i="11"/>
  <c r="I309" i="11"/>
  <c r="I141" i="11"/>
  <c r="J111" i="11"/>
  <c r="J324" i="11"/>
  <c r="J385" i="11"/>
  <c r="I18" i="11"/>
  <c r="J300" i="11"/>
  <c r="J18" i="11"/>
  <c r="I277" i="11"/>
  <c r="J329" i="11"/>
  <c r="J148" i="11"/>
  <c r="J358" i="11"/>
  <c r="J92" i="11"/>
  <c r="J378" i="11"/>
  <c r="I237" i="11"/>
  <c r="I256" i="11"/>
  <c r="I348" i="11"/>
  <c r="I182" i="11"/>
  <c r="I21" i="11"/>
  <c r="J355" i="11"/>
  <c r="J370" i="11"/>
  <c r="I307" i="11"/>
  <c r="I303" i="11"/>
  <c r="I178" i="11"/>
  <c r="J290" i="11"/>
  <c r="I207" i="11"/>
  <c r="J160" i="11"/>
  <c r="I245" i="11"/>
  <c r="I345" i="11"/>
  <c r="I377" i="11"/>
  <c r="J161" i="11"/>
  <c r="J114" i="11"/>
  <c r="I297" i="11"/>
  <c r="J272" i="11"/>
  <c r="J139" i="11"/>
  <c r="I371" i="11"/>
  <c r="J215" i="11"/>
  <c r="W594" i="10"/>
  <c r="J20" i="11"/>
  <c r="J118" i="11"/>
  <c r="J109" i="11"/>
  <c r="J124" i="11"/>
  <c r="J146" i="11"/>
  <c r="J67" i="11"/>
  <c r="J275" i="11"/>
  <c r="J243" i="11"/>
  <c r="I48" i="11"/>
  <c r="W1031" i="10"/>
  <c r="W1797" i="10"/>
  <c r="I75" i="11"/>
  <c r="J85" i="11"/>
  <c r="J48" i="11"/>
  <c r="I298" i="11"/>
  <c r="I85" i="11"/>
  <c r="J342" i="11"/>
  <c r="I342" i="11"/>
  <c r="J328" i="11"/>
  <c r="I150" i="11"/>
  <c r="J44" i="11"/>
  <c r="W625" i="10"/>
  <c r="J150" i="11"/>
  <c r="J388" i="11"/>
  <c r="I35" i="11"/>
  <c r="J172" i="11"/>
  <c r="I318" i="11"/>
  <c r="J147" i="11"/>
  <c r="I192" i="11"/>
  <c r="I257" i="11"/>
  <c r="J91" i="11"/>
  <c r="J105" i="11"/>
  <c r="J223" i="11"/>
  <c r="J323" i="11"/>
  <c r="W1976" i="10"/>
  <c r="I224" i="11"/>
  <c r="I36" i="11"/>
  <c r="J313" i="11"/>
  <c r="I59" i="11"/>
  <c r="J84" i="11"/>
  <c r="J293" i="11"/>
  <c r="I205" i="11"/>
  <c r="J175" i="11"/>
  <c r="J203" i="11"/>
  <c r="I305" i="11"/>
  <c r="J341" i="11"/>
  <c r="J267" i="11"/>
  <c r="J58" i="11"/>
  <c r="J36" i="11"/>
  <c r="I53" i="11"/>
  <c r="I296" i="11"/>
  <c r="J122" i="11"/>
  <c r="J259" i="11"/>
  <c r="I174" i="11"/>
  <c r="J98" i="11"/>
  <c r="J365" i="11"/>
  <c r="I121" i="11"/>
  <c r="I375" i="11"/>
  <c r="I122" i="11"/>
  <c r="I365" i="11"/>
  <c r="I306" i="11"/>
  <c r="J121" i="11"/>
  <c r="J153" i="11"/>
  <c r="J73" i="11"/>
  <c r="J79" i="11"/>
  <c r="I137" i="11"/>
  <c r="I79" i="11"/>
  <c r="I282" i="11"/>
  <c r="J288" i="11"/>
  <c r="J74" i="11"/>
  <c r="I368" i="11"/>
  <c r="J94" i="11"/>
  <c r="J100" i="11"/>
  <c r="J214" i="11"/>
  <c r="I113" i="11"/>
  <c r="I364" i="11"/>
  <c r="J354" i="11"/>
  <c r="I146" i="11"/>
  <c r="I354" i="11"/>
  <c r="J113" i="11"/>
  <c r="J256" i="11"/>
  <c r="I190" i="11"/>
  <c r="I288" i="11"/>
  <c r="J368" i="11"/>
  <c r="I355" i="11"/>
  <c r="J210" i="11"/>
  <c r="D20" i="72" s="1"/>
  <c r="I74" i="11"/>
  <c r="J357" i="11"/>
  <c r="I94" i="11"/>
  <c r="I214" i="11"/>
  <c r="I100" i="11"/>
  <c r="J71" i="11"/>
  <c r="I151" i="11"/>
  <c r="J314" i="11"/>
  <c r="I199" i="11"/>
  <c r="I125" i="11"/>
  <c r="I33" i="11"/>
  <c r="I268" i="11"/>
  <c r="J268" i="11"/>
  <c r="J166" i="11"/>
  <c r="J33" i="11"/>
  <c r="J274" i="11"/>
  <c r="J81" i="11"/>
  <c r="J276" i="11"/>
  <c r="I350" i="11"/>
  <c r="I349" i="11"/>
  <c r="I55" i="11"/>
  <c r="J152" i="11"/>
  <c r="I58" i="11"/>
  <c r="J151" i="11"/>
  <c r="J204" i="11"/>
  <c r="W363" i="10"/>
  <c r="J61" i="11"/>
  <c r="I126" i="11"/>
  <c r="J364" i="11"/>
  <c r="J145" i="11"/>
  <c r="I145" i="11"/>
  <c r="J43" i="11"/>
  <c r="I129" i="11"/>
  <c r="W105" i="10"/>
  <c r="I193" i="11"/>
  <c r="J89" i="11"/>
  <c r="J53" i="11"/>
  <c r="I304" i="11"/>
  <c r="J316" i="11"/>
  <c r="J183" i="11"/>
  <c r="I80" i="11"/>
  <c r="J266" i="11"/>
  <c r="I183" i="11"/>
  <c r="I30" i="11"/>
  <c r="J68" i="11"/>
  <c r="J80" i="11"/>
  <c r="I363" i="11"/>
  <c r="J123" i="11"/>
  <c r="I71" i="11"/>
  <c r="I315" i="11"/>
  <c r="J343" i="11"/>
  <c r="I191" i="11"/>
  <c r="W1901" i="10"/>
  <c r="J170" i="11"/>
  <c r="J188" i="11"/>
  <c r="AB400" i="10"/>
  <c r="J298" i="11"/>
  <c r="J289" i="11"/>
  <c r="I283" i="11"/>
  <c r="J163" i="11"/>
  <c r="I93" i="11"/>
  <c r="J331" i="11"/>
  <c r="I112" i="11"/>
  <c r="I140" i="11"/>
  <c r="I201" i="11"/>
  <c r="J282" i="11"/>
  <c r="J221" i="11"/>
  <c r="J199" i="11"/>
  <c r="J349" i="11"/>
  <c r="J273" i="11"/>
  <c r="I212" i="11"/>
  <c r="I220" i="11"/>
  <c r="I302" i="11"/>
  <c r="I263" i="11"/>
  <c r="W1776" i="10"/>
  <c r="I32" i="11"/>
  <c r="I314" i="11"/>
  <c r="J235" i="11"/>
  <c r="J326" i="11"/>
  <c r="I102" i="11"/>
  <c r="J164" i="11"/>
  <c r="J337" i="11"/>
  <c r="J30" i="11"/>
  <c r="I281" i="11"/>
  <c r="J140" i="11"/>
  <c r="I99" i="11"/>
  <c r="J201" i="11"/>
  <c r="J112" i="11"/>
  <c r="I352" i="11"/>
  <c r="I259" i="11"/>
  <c r="J217" i="11"/>
  <c r="I382" i="11"/>
  <c r="I34" i="11"/>
  <c r="J265" i="11"/>
  <c r="I343" i="11"/>
  <c r="I123" i="11"/>
  <c r="I332" i="11"/>
  <c r="I262" i="11"/>
  <c r="J330" i="11"/>
  <c r="J240" i="11"/>
  <c r="AB660" i="10"/>
  <c r="W1488" i="10"/>
  <c r="I244" i="11"/>
  <c r="J264" i="11"/>
  <c r="J248" i="11"/>
  <c r="J375" i="11"/>
  <c r="I133" i="11"/>
  <c r="J115" i="11"/>
  <c r="J135" i="11"/>
  <c r="J346" i="11"/>
  <c r="J306" i="11"/>
  <c r="I70" i="11"/>
  <c r="I40" i="11"/>
  <c r="I329" i="11"/>
  <c r="I41" i="11"/>
  <c r="J327" i="11"/>
  <c r="J291" i="11"/>
  <c r="I386" i="11"/>
  <c r="J72" i="11"/>
  <c r="I115" i="11"/>
  <c r="I204" i="11"/>
  <c r="J244" i="11"/>
  <c r="I240" i="11"/>
  <c r="J171" i="11"/>
  <c r="I117" i="11"/>
  <c r="I180" i="11"/>
  <c r="I339" i="11"/>
  <c r="J340" i="11"/>
  <c r="I68" i="11"/>
  <c r="I321" i="11"/>
  <c r="I360" i="11"/>
  <c r="J107" i="11"/>
  <c r="I167" i="11"/>
  <c r="I316" i="11"/>
  <c r="J253" i="11"/>
  <c r="J187" i="11"/>
  <c r="J361" i="11"/>
  <c r="I37" i="11"/>
  <c r="I248" i="11"/>
  <c r="J225" i="11"/>
  <c r="J99" i="11"/>
  <c r="I266" i="11"/>
  <c r="I270" i="11"/>
  <c r="J236" i="11"/>
  <c r="J197" i="11"/>
  <c r="J93" i="11"/>
  <c r="J45" i="11"/>
  <c r="J352" i="11"/>
  <c r="J63" i="11"/>
  <c r="J228" i="11"/>
  <c r="I264" i="11"/>
  <c r="I265" i="11"/>
  <c r="I357" i="11"/>
  <c r="I320" i="11"/>
  <c r="I86" i="11"/>
  <c r="I155" i="11"/>
  <c r="I328" i="11"/>
  <c r="I278" i="11"/>
  <c r="I372" i="11"/>
  <c r="I49" i="11"/>
  <c r="I219" i="11"/>
  <c r="J232" i="11"/>
  <c r="J88" i="11"/>
  <c r="I300" i="11"/>
  <c r="J37" i="11"/>
  <c r="I361" i="11"/>
  <c r="J336" i="11"/>
  <c r="J34" i="11"/>
  <c r="I253" i="11"/>
  <c r="I187" i="11"/>
  <c r="I225" i="11"/>
  <c r="I107" i="11"/>
  <c r="I353" i="11"/>
  <c r="J338" i="11"/>
  <c r="J360" i="11"/>
  <c r="J262" i="11"/>
  <c r="I330" i="11"/>
  <c r="I327" i="11"/>
  <c r="I198" i="11"/>
  <c r="J196" i="11"/>
  <c r="D16" i="72" s="1"/>
  <c r="J351" i="11"/>
  <c r="J46" i="11"/>
  <c r="J334" i="11"/>
  <c r="J321" i="11"/>
  <c r="J339" i="11"/>
  <c r="I63" i="11"/>
  <c r="I272" i="11"/>
  <c r="I169" i="11"/>
  <c r="I197" i="11"/>
  <c r="I45" i="11"/>
  <c r="J312" i="11"/>
  <c r="I236" i="11"/>
  <c r="I76" i="11"/>
  <c r="I228" i="11"/>
  <c r="D12" i="49"/>
  <c r="D14" i="49"/>
  <c r="J134" i="11"/>
  <c r="I260" i="11"/>
  <c r="I97" i="11"/>
  <c r="I340" i="11"/>
  <c r="I232" i="11"/>
  <c r="I383" i="11"/>
  <c r="J347" i="11"/>
  <c r="J263" i="11"/>
  <c r="J157" i="11"/>
  <c r="J49" i="11"/>
  <c r="J219" i="11"/>
  <c r="J332" i="11"/>
  <c r="I88" i="11"/>
  <c r="J372" i="11"/>
  <c r="J387" i="11"/>
  <c r="J41" i="11"/>
  <c r="J40" i="11"/>
  <c r="J70" i="11"/>
  <c r="J117" i="11"/>
  <c r="I98" i="11"/>
  <c r="J180" i="11"/>
  <c r="I171" i="11"/>
  <c r="J211" i="11"/>
  <c r="J158" i="11"/>
  <c r="I127" i="11"/>
  <c r="J319" i="11"/>
  <c r="I231" i="11"/>
  <c r="J308" i="11"/>
  <c r="I206" i="11"/>
  <c r="I69" i="11"/>
  <c r="J295" i="11"/>
  <c r="J296" i="11"/>
  <c r="I165" i="11"/>
  <c r="J108" i="11"/>
  <c r="J177" i="11"/>
  <c r="J76" i="11"/>
  <c r="J189" i="11"/>
  <c r="J181" i="11"/>
  <c r="I208" i="11"/>
  <c r="I158" i="11"/>
  <c r="J69" i="11"/>
  <c r="J206" i="11"/>
  <c r="I295" i="11"/>
  <c r="I319" i="11"/>
  <c r="J208" i="11"/>
  <c r="I108" i="11"/>
  <c r="I308" i="11"/>
  <c r="I181" i="11"/>
  <c r="J127" i="11"/>
  <c r="I177" i="11"/>
  <c r="I189" i="11"/>
  <c r="J125" i="11"/>
  <c r="J292" i="11"/>
  <c r="I280" i="11"/>
  <c r="I284" i="11"/>
  <c r="I380" i="11"/>
  <c r="I28" i="11"/>
  <c r="W328" i="10"/>
  <c r="I246" i="11"/>
  <c r="J131" i="11"/>
  <c r="I47" i="11"/>
  <c r="I179" i="11"/>
  <c r="J21" i="53"/>
  <c r="J24" i="53" s="1"/>
  <c r="I227" i="11"/>
  <c r="J18" i="53"/>
  <c r="F63" i="48"/>
  <c r="F58" i="49"/>
  <c r="AF103" i="32"/>
  <c r="AF105" i="32" s="1"/>
  <c r="AF106" i="32" s="1"/>
  <c r="AF110" i="32" s="1"/>
  <c r="I39" i="11"/>
  <c r="J280" i="11"/>
  <c r="J29" i="11"/>
  <c r="J309" i="11"/>
  <c r="J102" i="11"/>
  <c r="I324" i="11"/>
  <c r="J227" i="11"/>
  <c r="J318" i="11"/>
  <c r="J47" i="11"/>
  <c r="I275" i="11"/>
  <c r="I254" i="11"/>
  <c r="J179" i="11"/>
  <c r="J297" i="11"/>
  <c r="I42" i="11"/>
  <c r="D16" i="49"/>
  <c r="J190" i="11"/>
  <c r="I373" i="11"/>
  <c r="J247" i="11"/>
  <c r="J82" i="11"/>
  <c r="I362" i="11"/>
  <c r="J62" i="11"/>
  <c r="I142" i="11"/>
  <c r="J286" i="11"/>
  <c r="J233" i="11"/>
  <c r="J376" i="11"/>
  <c r="I78" i="11"/>
  <c r="J26" i="11"/>
  <c r="J128" i="11"/>
  <c r="J252" i="11"/>
  <c r="J185" i="11"/>
  <c r="I250" i="11"/>
  <c r="H22" i="57"/>
  <c r="AB1051" i="10"/>
  <c r="J57" i="11"/>
  <c r="I258" i="11"/>
  <c r="I131" i="11"/>
  <c r="I160" i="11"/>
  <c r="J258" i="11"/>
  <c r="J173" i="11"/>
  <c r="I118" i="11"/>
  <c r="I91" i="11"/>
  <c r="I82" i="11"/>
  <c r="I273" i="11"/>
  <c r="J78" i="11"/>
  <c r="I172" i="11"/>
  <c r="I87" i="11"/>
  <c r="I143" i="11"/>
  <c r="J246" i="11"/>
  <c r="J110" i="11"/>
  <c r="I154" i="11"/>
  <c r="I105" i="11"/>
  <c r="J322" i="11"/>
  <c r="I130" i="11"/>
  <c r="I67" i="11"/>
  <c r="J205" i="11"/>
  <c r="I242" i="11"/>
  <c r="J162" i="11"/>
  <c r="J270" i="11"/>
  <c r="J231" i="11"/>
  <c r="J345" i="11"/>
  <c r="I217" i="11"/>
  <c r="I267" i="11"/>
  <c r="I152" i="11"/>
  <c r="J381" i="11"/>
  <c r="J165" i="11"/>
  <c r="I285" i="11"/>
  <c r="J390" i="11"/>
  <c r="I62" i="11"/>
  <c r="J142" i="11"/>
  <c r="I51" i="11"/>
  <c r="I286" i="11"/>
  <c r="J50" i="11"/>
  <c r="I293" i="11"/>
  <c r="I185" i="11"/>
  <c r="J250" i="11"/>
  <c r="J333" i="11"/>
  <c r="J350" i="11"/>
  <c r="I128" i="11"/>
  <c r="J90" i="11"/>
  <c r="I299" i="11"/>
  <c r="J278" i="11"/>
  <c r="D56" i="49"/>
  <c r="J344" i="11"/>
  <c r="J234" i="11"/>
  <c r="J305" i="11"/>
  <c r="D22" i="49"/>
  <c r="I218" i="11"/>
  <c r="I252" i="11"/>
  <c r="J55" i="11"/>
  <c r="I279" i="11"/>
  <c r="I247" i="11"/>
  <c r="J182" i="11"/>
  <c r="I111" i="11"/>
  <c r="J149" i="11"/>
  <c r="I276" i="11"/>
  <c r="J176" i="11"/>
  <c r="I56" i="11"/>
  <c r="J168" i="11"/>
  <c r="J359" i="11"/>
  <c r="I144" i="11"/>
  <c r="J362" i="11"/>
  <c r="J167" i="11"/>
  <c r="J251" i="11"/>
  <c r="I311" i="11"/>
  <c r="I317" i="11"/>
  <c r="I200" i="11"/>
  <c r="I26" i="11"/>
  <c r="J156" i="11"/>
  <c r="I186" i="11"/>
  <c r="I114" i="11"/>
  <c r="I341" i="11"/>
  <c r="I369" i="11"/>
  <c r="I73" i="11"/>
  <c r="I233" i="11"/>
  <c r="I376" i="11"/>
  <c r="I313" i="11"/>
  <c r="J96" i="11"/>
  <c r="I238" i="11"/>
  <c r="I106" i="11"/>
  <c r="I164" i="11"/>
  <c r="I168" i="11"/>
  <c r="J257" i="11"/>
  <c r="J279" i="11"/>
  <c r="J281" i="11"/>
  <c r="J353" i="11"/>
  <c r="I184" i="11"/>
  <c r="I31" i="11"/>
  <c r="J200" i="11"/>
  <c r="I294" i="11"/>
  <c r="I249" i="11"/>
  <c r="J271" i="11"/>
  <c r="I65" i="11"/>
  <c r="I156" i="11"/>
  <c r="J27" i="11"/>
  <c r="I216" i="11"/>
  <c r="J216" i="11"/>
  <c r="I384" i="11"/>
  <c r="J191" i="11"/>
  <c r="I389" i="11"/>
  <c r="J249" i="11"/>
  <c r="J269" i="11"/>
  <c r="J294" i="11"/>
  <c r="J31" i="11"/>
  <c r="I166" i="11"/>
  <c r="J348" i="11"/>
  <c r="J65" i="11"/>
  <c r="I271" i="11"/>
  <c r="J24" i="11"/>
  <c r="J317" i="11"/>
  <c r="I159" i="11"/>
  <c r="D42" i="48"/>
  <c r="I81" i="11"/>
  <c r="J159" i="11"/>
  <c r="J224" i="11"/>
  <c r="I239" i="11"/>
  <c r="J311" i="11"/>
  <c r="J195" i="11"/>
  <c r="I12" i="11"/>
  <c r="J120" i="11"/>
  <c r="J126" i="11"/>
  <c r="I84" i="11"/>
  <c r="I148" i="11"/>
  <c r="I120" i="11"/>
  <c r="J77" i="11"/>
  <c r="J277" i="11"/>
  <c r="J241" i="11"/>
  <c r="J373" i="11"/>
  <c r="J284" i="11"/>
  <c r="J75" i="11"/>
  <c r="I13" i="11"/>
  <c r="I292" i="11"/>
  <c r="J155" i="11"/>
  <c r="J245" i="11"/>
  <c r="I385" i="11"/>
  <c r="I119" i="11"/>
  <c r="J12" i="11"/>
  <c r="J325" i="11"/>
  <c r="J119" i="11"/>
  <c r="J283" i="11"/>
  <c r="J141" i="11"/>
  <c r="I331" i="11"/>
  <c r="J301" i="11"/>
  <c r="J83" i="11"/>
  <c r="I124" i="11"/>
  <c r="I101" i="11"/>
  <c r="I195" i="11"/>
  <c r="J184" i="11"/>
  <c r="J86" i="11"/>
  <c r="I57" i="11"/>
  <c r="J7" i="11"/>
  <c r="J11" i="11"/>
  <c r="J21" i="11"/>
  <c r="I25" i="11"/>
  <c r="I235" i="11"/>
  <c r="I20" i="11"/>
  <c r="J16" i="11"/>
  <c r="D20" i="49"/>
  <c r="D13" i="49"/>
  <c r="D15" i="49"/>
  <c r="D20" i="50"/>
  <c r="I20" i="50" s="1"/>
  <c r="I22" i="11"/>
  <c r="D61" i="48"/>
  <c r="H15" i="53" s="1"/>
  <c r="D43" i="48"/>
  <c r="D23" i="49"/>
  <c r="D21" i="49"/>
  <c r="D10" i="49"/>
  <c r="D17" i="49"/>
  <c r="D18" i="49"/>
  <c r="D19" i="49"/>
  <c r="H9" i="53"/>
  <c r="D11" i="49"/>
  <c r="I10" i="11"/>
  <c r="J23" i="11"/>
  <c r="J8" i="11"/>
  <c r="J17" i="11"/>
  <c r="AB77" i="10"/>
  <c r="J13" i="11"/>
  <c r="J19" i="11"/>
  <c r="I9" i="11"/>
  <c r="J5" i="11"/>
  <c r="I16" i="11"/>
  <c r="I6" i="11"/>
  <c r="N104" i="11"/>
  <c r="W421" i="2" s="1"/>
  <c r="F1710" i="11"/>
  <c r="O112" i="20"/>
  <c r="J14" i="11"/>
  <c r="J15" i="11"/>
  <c r="N367" i="11"/>
  <c r="O1077" i="6" s="1"/>
  <c r="I14" i="11"/>
  <c r="E1710" i="11"/>
  <c r="C364" i="27"/>
  <c r="I17" i="46"/>
  <c r="G17" i="46" s="1"/>
  <c r="O295" i="20"/>
  <c r="AE119" i="32"/>
  <c r="G42" i="35"/>
  <c r="E72" i="26"/>
  <c r="E76" i="26"/>
  <c r="F51" i="36"/>
  <c r="N50" i="36"/>
  <c r="E47" i="60"/>
  <c r="G45" i="60"/>
  <c r="J21" i="46"/>
  <c r="H21" i="46" s="1"/>
  <c r="F17" i="60"/>
  <c r="E29" i="61"/>
  <c r="F17" i="61"/>
  <c r="G27" i="61"/>
  <c r="W1709" i="10"/>
  <c r="AB803" i="10"/>
  <c r="I23" i="46"/>
  <c r="G23" i="46" s="1"/>
  <c r="W129" i="10"/>
  <c r="I20" i="46"/>
  <c r="G20" i="46" s="1"/>
  <c r="C103" i="27"/>
  <c r="N46" i="12"/>
  <c r="E50" i="12"/>
  <c r="E52" i="12" s="1"/>
  <c r="E48" i="12" s="1"/>
  <c r="I39" i="46" l="1"/>
  <c r="G39" i="46" s="1"/>
  <c r="N60" i="11"/>
  <c r="I40" i="57"/>
  <c r="D30" i="70"/>
  <c r="N335" i="11"/>
  <c r="O1190" i="6" s="1"/>
  <c r="I29" i="46"/>
  <c r="G29" i="46" s="1"/>
  <c r="C94" i="27"/>
  <c r="N95" i="11"/>
  <c r="W395" i="2" s="1"/>
  <c r="O331" i="20"/>
  <c r="C31" i="70"/>
  <c r="O302" i="20"/>
  <c r="C371" i="27"/>
  <c r="N374" i="11"/>
  <c r="O1012" i="6" s="1"/>
  <c r="C59" i="27"/>
  <c r="C258" i="27"/>
  <c r="N103" i="11"/>
  <c r="W420" i="2" s="1"/>
  <c r="C376" i="27"/>
  <c r="N379" i="11"/>
  <c r="O1329" i="6" s="1"/>
  <c r="O111" i="20"/>
  <c r="O307" i="20"/>
  <c r="O382" i="20"/>
  <c r="O398" i="20"/>
  <c r="C336" i="70"/>
  <c r="C262" i="70"/>
  <c r="F262" i="70" s="1"/>
  <c r="J262" i="70" s="1"/>
  <c r="N261" i="11"/>
  <c r="W1779" i="2" s="1"/>
  <c r="D199" i="70"/>
  <c r="O75" i="20"/>
  <c r="D213" i="70"/>
  <c r="C62" i="70"/>
  <c r="G62" i="70" s="1"/>
  <c r="N62" i="70" s="1"/>
  <c r="O79" i="20"/>
  <c r="D66" i="70"/>
  <c r="G66" i="70" s="1"/>
  <c r="N66" i="70" s="1"/>
  <c r="C9" i="72"/>
  <c r="D29" i="72"/>
  <c r="D30" i="72"/>
  <c r="O379" i="20"/>
  <c r="C227" i="27"/>
  <c r="C231" i="70"/>
  <c r="F231" i="70" s="1"/>
  <c r="J231" i="70" s="1"/>
  <c r="N230" i="11"/>
  <c r="W1947" i="2" s="1"/>
  <c r="C6" i="27"/>
  <c r="C7" i="27"/>
  <c r="C8" i="27"/>
  <c r="D21" i="72"/>
  <c r="C12" i="72"/>
  <c r="D11" i="72"/>
  <c r="C18" i="72"/>
  <c r="C22" i="72"/>
  <c r="D9" i="72"/>
  <c r="D25" i="72"/>
  <c r="C311" i="70"/>
  <c r="O81" i="20"/>
  <c r="C210" i="70"/>
  <c r="F210" i="70" s="1"/>
  <c r="J210" i="70" s="1"/>
  <c r="C256" i="70"/>
  <c r="G256" i="70" s="1"/>
  <c r="N256" i="70" s="1"/>
  <c r="C227" i="70"/>
  <c r="F227" i="70" s="1"/>
  <c r="J227" i="70" s="1"/>
  <c r="C203" i="70"/>
  <c r="G203" i="70" s="1"/>
  <c r="N203" i="70" s="1"/>
  <c r="C224" i="70"/>
  <c r="C290" i="70"/>
  <c r="D223" i="70"/>
  <c r="F223" i="70" s="1"/>
  <c r="J223" i="70" s="1"/>
  <c r="C391" i="70"/>
  <c r="O351" i="20"/>
  <c r="C197" i="70"/>
  <c r="C40" i="70"/>
  <c r="G40" i="70" s="1"/>
  <c r="N40" i="70" s="1"/>
  <c r="C195" i="70"/>
  <c r="G195" i="70" s="1"/>
  <c r="N195" i="70" s="1"/>
  <c r="C357" i="70"/>
  <c r="C379" i="70"/>
  <c r="C171" i="70"/>
  <c r="C162" i="70"/>
  <c r="C211" i="70"/>
  <c r="C284" i="27"/>
  <c r="C137" i="70"/>
  <c r="F137" i="70" s="1"/>
  <c r="J137" i="70" s="1"/>
  <c r="C339" i="70"/>
  <c r="C177" i="70"/>
  <c r="I31" i="46"/>
  <c r="G31" i="46" s="1"/>
  <c r="D56" i="70"/>
  <c r="G56" i="70" s="1"/>
  <c r="N56" i="70" s="1"/>
  <c r="C23" i="72"/>
  <c r="C352" i="70"/>
  <c r="C54" i="70"/>
  <c r="G54" i="70" s="1"/>
  <c r="N54" i="70" s="1"/>
  <c r="C25" i="70"/>
  <c r="C230" i="70"/>
  <c r="F230" i="70" s="1"/>
  <c r="J230" i="70" s="1"/>
  <c r="C226" i="27"/>
  <c r="N136" i="11"/>
  <c r="W385" i="2" s="1"/>
  <c r="C134" i="27"/>
  <c r="O378" i="20"/>
  <c r="N52" i="11"/>
  <c r="AB435" i="2" s="1"/>
  <c r="N229" i="11"/>
  <c r="AB843" i="2" s="1"/>
  <c r="C29" i="72"/>
  <c r="O69" i="20"/>
  <c r="N54" i="11"/>
  <c r="AB337" i="2" s="1"/>
  <c r="C288" i="70"/>
  <c r="C219" i="27"/>
  <c r="O233" i="20"/>
  <c r="E20" i="44" s="1"/>
  <c r="N287" i="11"/>
  <c r="O1347" i="6" s="1"/>
  <c r="N222" i="11"/>
  <c r="W1891" i="2" s="1"/>
  <c r="O354" i="20"/>
  <c r="C214" i="70"/>
  <c r="C21" i="70"/>
  <c r="C20" i="72"/>
  <c r="D19" i="72"/>
  <c r="O178" i="20"/>
  <c r="C199" i="27"/>
  <c r="N213" i="11"/>
  <c r="W1776" i="2" s="1"/>
  <c r="J37" i="46"/>
  <c r="H37" i="46" s="1"/>
  <c r="O67" i="20"/>
  <c r="C133" i="70"/>
  <c r="F133" i="70" s="1"/>
  <c r="J133" i="70" s="1"/>
  <c r="D23" i="72"/>
  <c r="C210" i="27"/>
  <c r="D214" i="70"/>
  <c r="O374" i="20"/>
  <c r="D26" i="72"/>
  <c r="N38" i="11"/>
  <c r="W599" i="2" s="1"/>
  <c r="O56" i="20"/>
  <c r="C16" i="72"/>
  <c r="N132" i="11"/>
  <c r="W373" i="2" s="1"/>
  <c r="H32" i="57"/>
  <c r="J32" i="57" s="1"/>
  <c r="O165" i="20"/>
  <c r="O182" i="20"/>
  <c r="N202" i="11"/>
  <c r="AB719" i="2" s="1"/>
  <c r="N226" i="11"/>
  <c r="N194" i="11"/>
  <c r="AB585" i="2" s="1"/>
  <c r="AB584" i="2" s="1"/>
  <c r="M65" i="2" s="1"/>
  <c r="N65" i="2" s="1"/>
  <c r="O24" i="20"/>
  <c r="C191" i="27"/>
  <c r="C26" i="72"/>
  <c r="N209" i="11"/>
  <c r="W1760" i="2" s="1"/>
  <c r="O370" i="20"/>
  <c r="C206" i="27"/>
  <c r="C19" i="72"/>
  <c r="D68" i="70"/>
  <c r="G68" i="70" s="1"/>
  <c r="N68" i="70" s="1"/>
  <c r="N356" i="11"/>
  <c r="O215" i="6" s="1"/>
  <c r="O214" i="6" s="1"/>
  <c r="E19" i="6" s="1"/>
  <c r="C353" i="27"/>
  <c r="C252" i="27"/>
  <c r="I27" i="46"/>
  <c r="G27" i="46" s="1"/>
  <c r="N66" i="11"/>
  <c r="AB1121" i="2" s="1"/>
  <c r="C65" i="27"/>
  <c r="O25" i="20"/>
  <c r="N255" i="11"/>
  <c r="AB522" i="2" s="1"/>
  <c r="O208" i="20"/>
  <c r="O395" i="20"/>
  <c r="N310" i="11"/>
  <c r="O1125" i="6" s="1"/>
  <c r="N116" i="11"/>
  <c r="W77" i="2" s="1"/>
  <c r="L101" i="12"/>
  <c r="H101" i="12" s="1"/>
  <c r="N101" i="12" s="1"/>
  <c r="F106" i="70"/>
  <c r="J106" i="70" s="1"/>
  <c r="F97" i="70"/>
  <c r="J97" i="70" s="1"/>
  <c r="F105" i="70"/>
  <c r="J105" i="70" s="1"/>
  <c r="P227" i="70"/>
  <c r="P230" i="70"/>
  <c r="P231" i="70"/>
  <c r="C16" i="70"/>
  <c r="D16" i="70"/>
  <c r="C18" i="70"/>
  <c r="D15" i="70"/>
  <c r="C236" i="70"/>
  <c r="C59" i="70"/>
  <c r="D88" i="70"/>
  <c r="D185" i="70"/>
  <c r="C196" i="70"/>
  <c r="C15" i="72"/>
  <c r="C103" i="70"/>
  <c r="F103" i="70" s="1"/>
  <c r="J103" i="70" s="1"/>
  <c r="C125" i="70"/>
  <c r="C332" i="70"/>
  <c r="D284" i="70"/>
  <c r="D120" i="70"/>
  <c r="C120" i="70"/>
  <c r="C386" i="70"/>
  <c r="D156" i="70"/>
  <c r="C293" i="70"/>
  <c r="D285" i="70"/>
  <c r="D374" i="70"/>
  <c r="C121" i="70"/>
  <c r="C86" i="70"/>
  <c r="D127" i="70"/>
  <c r="D121" i="70"/>
  <c r="D196" i="70"/>
  <c r="D15" i="72"/>
  <c r="D312" i="70"/>
  <c r="D225" i="70"/>
  <c r="D160" i="70"/>
  <c r="C83" i="70"/>
  <c r="C160" i="70"/>
  <c r="D318" i="70"/>
  <c r="C272" i="70"/>
  <c r="D67" i="70"/>
  <c r="C167" i="70"/>
  <c r="D33" i="70"/>
  <c r="D295" i="70"/>
  <c r="D250" i="70"/>
  <c r="D192" i="70"/>
  <c r="D217" i="70"/>
  <c r="C217" i="70"/>
  <c r="C157" i="70"/>
  <c r="C67" i="70"/>
  <c r="D272" i="70"/>
  <c r="C250" i="70"/>
  <c r="C295" i="70"/>
  <c r="D201" i="70"/>
  <c r="C33" i="70"/>
  <c r="C185" i="70"/>
  <c r="D354" i="70"/>
  <c r="D282" i="70"/>
  <c r="D280" i="70"/>
  <c r="D258" i="70"/>
  <c r="C165" i="70"/>
  <c r="C314" i="70"/>
  <c r="C377" i="70"/>
  <c r="C234" i="70"/>
  <c r="F234" i="70" s="1"/>
  <c r="J234" i="70" s="1"/>
  <c r="C75" i="70"/>
  <c r="C342" i="70"/>
  <c r="C116" i="70"/>
  <c r="D157" i="70"/>
  <c r="C201" i="70"/>
  <c r="C318" i="70"/>
  <c r="C312" i="70"/>
  <c r="D168" i="70"/>
  <c r="D363" i="70"/>
  <c r="D169" i="70"/>
  <c r="C277" i="70"/>
  <c r="D183" i="70"/>
  <c r="C248" i="70"/>
  <c r="C280" i="70"/>
  <c r="D57" i="70"/>
  <c r="C253" i="70"/>
  <c r="D279" i="70"/>
  <c r="C129" i="70"/>
  <c r="D351" i="70"/>
  <c r="D251" i="70"/>
  <c r="C186" i="70"/>
  <c r="D143" i="70"/>
  <c r="C64" i="70"/>
  <c r="D166" i="70"/>
  <c r="C153" i="70"/>
  <c r="C268" i="70"/>
  <c r="C218" i="70"/>
  <c r="D346" i="70"/>
  <c r="D232" i="70"/>
  <c r="G232" i="70" s="1"/>
  <c r="N232" i="70" s="1"/>
  <c r="D271" i="70"/>
  <c r="D206" i="70"/>
  <c r="C69" i="70"/>
  <c r="C107" i="70"/>
  <c r="D247" i="70"/>
  <c r="C173" i="70"/>
  <c r="D80" i="70"/>
  <c r="C274" i="70"/>
  <c r="C84" i="70"/>
  <c r="C93" i="70"/>
  <c r="C119" i="70"/>
  <c r="D259" i="70"/>
  <c r="C161" i="70"/>
  <c r="C132" i="70"/>
  <c r="C259" i="70"/>
  <c r="D59" i="70"/>
  <c r="C251" i="70"/>
  <c r="D186" i="70"/>
  <c r="D253" i="70"/>
  <c r="D129" i="70"/>
  <c r="C80" i="70"/>
  <c r="D377" i="70"/>
  <c r="D234" i="70"/>
  <c r="G234" i="70" s="1"/>
  <c r="N234" i="70" s="1"/>
  <c r="D287" i="70"/>
  <c r="C143" i="70"/>
  <c r="D64" i="70"/>
  <c r="C363" i="70"/>
  <c r="D84" i="70"/>
  <c r="D248" i="70"/>
  <c r="C374" i="70"/>
  <c r="D191" i="70"/>
  <c r="D298" i="70"/>
  <c r="D180" i="70"/>
  <c r="C276" i="70"/>
  <c r="D49" i="70"/>
  <c r="D319" i="70"/>
  <c r="D228" i="70"/>
  <c r="G228" i="70" s="1"/>
  <c r="N228" i="70" s="1"/>
  <c r="D27" i="72"/>
  <c r="D104" i="70"/>
  <c r="D281" i="70"/>
  <c r="C228" i="70"/>
  <c r="F228" i="70" s="1"/>
  <c r="J228" i="70" s="1"/>
  <c r="C27" i="72"/>
  <c r="C180" i="70"/>
  <c r="C49" i="70"/>
  <c r="D132" i="70"/>
  <c r="C247" i="70"/>
  <c r="C285" i="70"/>
  <c r="C281" i="70"/>
  <c r="D293" i="70"/>
  <c r="D126" i="70"/>
  <c r="C190" i="70"/>
  <c r="C178" i="70"/>
  <c r="D128" i="70"/>
  <c r="C182" i="70"/>
  <c r="C309" i="70"/>
  <c r="C110" i="70"/>
  <c r="D209" i="70"/>
  <c r="C320" i="70"/>
  <c r="C296" i="70"/>
  <c r="D207" i="70"/>
  <c r="D71" i="70"/>
  <c r="C209" i="70"/>
  <c r="D182" i="70"/>
  <c r="D190" i="70"/>
  <c r="D78" i="70"/>
  <c r="D178" i="70"/>
  <c r="D110" i="70"/>
  <c r="C166" i="70"/>
  <c r="D297" i="70"/>
  <c r="D296" i="70"/>
  <c r="C71" i="70"/>
  <c r="C207" i="70"/>
  <c r="D309" i="70"/>
  <c r="C232" i="70"/>
  <c r="F232" i="70" s="1"/>
  <c r="J232" i="70" s="1"/>
  <c r="D320" i="70"/>
  <c r="C128" i="70"/>
  <c r="D159" i="70"/>
  <c r="C172" i="70"/>
  <c r="D181" i="70"/>
  <c r="C100" i="70"/>
  <c r="C13" i="72"/>
  <c r="D118" i="70"/>
  <c r="D72" i="70"/>
  <c r="D42" i="70"/>
  <c r="D43" i="70"/>
  <c r="D373" i="70"/>
  <c r="C90" i="70"/>
  <c r="D333" i="70"/>
  <c r="D220" i="70"/>
  <c r="D51" i="70"/>
  <c r="D264" i="70"/>
  <c r="C233" i="70"/>
  <c r="F233" i="70" s="1"/>
  <c r="J233" i="70" s="1"/>
  <c r="C229" i="70"/>
  <c r="F229" i="70" s="1"/>
  <c r="J229" i="70" s="1"/>
  <c r="C28" i="72"/>
  <c r="C78" i="70"/>
  <c r="C47" i="70"/>
  <c r="C10" i="72"/>
  <c r="C198" i="70"/>
  <c r="C17" i="72"/>
  <c r="C273" i="70"/>
  <c r="D340" i="70"/>
  <c r="D322" i="70"/>
  <c r="C328" i="70"/>
  <c r="C331" i="70"/>
  <c r="D263" i="70"/>
  <c r="D361" i="70"/>
  <c r="C354" i="70"/>
  <c r="C226" i="70"/>
  <c r="C188" i="70"/>
  <c r="C254" i="70"/>
  <c r="D36" i="70"/>
  <c r="C362" i="70"/>
  <c r="D39" i="70"/>
  <c r="C301" i="70"/>
  <c r="D90" i="70"/>
  <c r="D233" i="70"/>
  <c r="G233" i="70" s="1"/>
  <c r="N233" i="70" s="1"/>
  <c r="C220" i="70"/>
  <c r="C51" i="70"/>
  <c r="C373" i="70"/>
  <c r="C279" i="70"/>
  <c r="C329" i="70"/>
  <c r="C156" i="70"/>
  <c r="C88" i="70"/>
  <c r="C358" i="70"/>
  <c r="C266" i="70"/>
  <c r="C265" i="70"/>
  <c r="D229" i="70"/>
  <c r="G229" i="70" s="1"/>
  <c r="N229" i="70" s="1"/>
  <c r="D28" i="72"/>
  <c r="D65" i="70"/>
  <c r="D353" i="70"/>
  <c r="D47" i="70"/>
  <c r="D10" i="72"/>
  <c r="D95" i="70"/>
  <c r="D198" i="70"/>
  <c r="D17" i="72"/>
  <c r="D237" i="70"/>
  <c r="C271" i="70"/>
  <c r="C267" i="70"/>
  <c r="D101" i="70"/>
  <c r="D14" i="72"/>
  <c r="D226" i="70"/>
  <c r="C249" i="70"/>
  <c r="C39" i="70"/>
  <c r="D362" i="70"/>
  <c r="D188" i="70"/>
  <c r="D254" i="70"/>
  <c r="C317" i="70"/>
  <c r="C168" i="70"/>
  <c r="D109" i="70"/>
  <c r="C361" i="70"/>
  <c r="C322" i="70"/>
  <c r="C70" i="70"/>
  <c r="D341" i="70"/>
  <c r="C340" i="70"/>
  <c r="C181" i="70"/>
  <c r="C118" i="70"/>
  <c r="D172" i="70"/>
  <c r="C241" i="70"/>
  <c r="D245" i="70"/>
  <c r="C117" i="70"/>
  <c r="D328" i="70"/>
  <c r="C43" i="70"/>
  <c r="C42" i="70"/>
  <c r="C72" i="70"/>
  <c r="D307" i="70"/>
  <c r="D117" i="70"/>
  <c r="D376" i="70"/>
  <c r="D249" i="70"/>
  <c r="D265" i="70"/>
  <c r="C245" i="70"/>
  <c r="D241" i="70"/>
  <c r="D331" i="70"/>
  <c r="C263" i="70"/>
  <c r="C333" i="70"/>
  <c r="C344" i="70"/>
  <c r="D266" i="70"/>
  <c r="C36" i="70"/>
  <c r="D218" i="70"/>
  <c r="C260" i="70"/>
  <c r="C353" i="70"/>
  <c r="D114" i="70"/>
  <c r="D202" i="70"/>
  <c r="C101" i="70"/>
  <c r="C14" i="72"/>
  <c r="D141" i="70"/>
  <c r="C282" i="70"/>
  <c r="D165" i="70"/>
  <c r="C104" i="70"/>
  <c r="C315" i="70"/>
  <c r="C264" i="70"/>
  <c r="D274" i="70"/>
  <c r="D350" i="70"/>
  <c r="D200" i="70"/>
  <c r="D283" i="70"/>
  <c r="C202" i="70"/>
  <c r="C141" i="70"/>
  <c r="C114" i="70"/>
  <c r="D332" i="70"/>
  <c r="C95" i="70"/>
  <c r="C284" i="70"/>
  <c r="D299" i="70"/>
  <c r="C192" i="70"/>
  <c r="D344" i="70"/>
  <c r="C73" i="70"/>
  <c r="D124" i="70"/>
  <c r="D82" i="70"/>
  <c r="D70" i="70"/>
  <c r="C184" i="70"/>
  <c r="D267" i="70"/>
  <c r="C82" i="70"/>
  <c r="D184" i="70"/>
  <c r="D317" i="70"/>
  <c r="D55" i="70"/>
  <c r="C146" i="70"/>
  <c r="D146" i="70"/>
  <c r="D365" i="70"/>
  <c r="C127" i="70"/>
  <c r="D205" i="70"/>
  <c r="D152" i="70"/>
  <c r="C60" i="70"/>
  <c r="D153" i="70"/>
  <c r="C57" i="70"/>
  <c r="C350" i="70"/>
  <c r="C351" i="70"/>
  <c r="D277" i="70"/>
  <c r="D83" i="70"/>
  <c r="D35" i="70"/>
  <c r="D167" i="70"/>
  <c r="D269" i="70"/>
  <c r="C269" i="70"/>
  <c r="C35" i="70"/>
  <c r="C126" i="70"/>
  <c r="C200" i="70"/>
  <c r="D315" i="70"/>
  <c r="C152" i="70"/>
  <c r="D73" i="70"/>
  <c r="C102" i="70"/>
  <c r="C215" i="70"/>
  <c r="C24" i="72"/>
  <c r="C96" i="70"/>
  <c r="D358" i="70"/>
  <c r="C76" i="70"/>
  <c r="D369" i="70"/>
  <c r="C289" i="70"/>
  <c r="C191" i="70"/>
  <c r="D115" i="70"/>
  <c r="C355" i="70"/>
  <c r="C147" i="70"/>
  <c r="D355" i="70"/>
  <c r="C365" i="70"/>
  <c r="C115" i="70"/>
  <c r="D215" i="70"/>
  <c r="D24" i="72"/>
  <c r="D102" i="70"/>
  <c r="D96" i="70"/>
  <c r="C369" i="70"/>
  <c r="D76" i="70"/>
  <c r="D289" i="70"/>
  <c r="C283" i="70"/>
  <c r="C81" i="70"/>
  <c r="D81" i="70"/>
  <c r="D75" i="70"/>
  <c r="D122" i="70"/>
  <c r="C307" i="70"/>
  <c r="C366" i="70"/>
  <c r="C123" i="70"/>
  <c r="C376" i="70"/>
  <c r="C122" i="70"/>
  <c r="D366" i="70"/>
  <c r="D100" i="70"/>
  <c r="D13" i="72"/>
  <c r="D260" i="70"/>
  <c r="D123" i="70"/>
  <c r="C297" i="70"/>
  <c r="C55" i="70"/>
  <c r="D38" i="70"/>
  <c r="D60" i="70"/>
  <c r="D268" i="70"/>
  <c r="D342" i="70"/>
  <c r="C306" i="70"/>
  <c r="C206" i="70"/>
  <c r="D294" i="70"/>
  <c r="D86" i="70"/>
  <c r="D314" i="70"/>
  <c r="C38" i="70"/>
  <c r="C225" i="70"/>
  <c r="D107" i="70"/>
  <c r="D93" i="70"/>
  <c r="C258" i="70"/>
  <c r="C319" i="70"/>
  <c r="D173" i="70"/>
  <c r="D151" i="70"/>
  <c r="C151" i="70"/>
  <c r="D329" i="70"/>
  <c r="C343" i="70"/>
  <c r="D343" i="70"/>
  <c r="C87" i="70"/>
  <c r="C299" i="70"/>
  <c r="D50" i="70"/>
  <c r="D87" i="70"/>
  <c r="C77" i="70"/>
  <c r="C50" i="70"/>
  <c r="D276" i="70"/>
  <c r="D69" i="70"/>
  <c r="D147" i="70"/>
  <c r="D125" i="70"/>
  <c r="D119" i="70"/>
  <c r="D273" i="70"/>
  <c r="C298" i="70"/>
  <c r="D116" i="70"/>
  <c r="C346" i="70"/>
  <c r="C246" i="70"/>
  <c r="D161" i="70"/>
  <c r="D356" i="70"/>
  <c r="C183" i="70"/>
  <c r="C349" i="70"/>
  <c r="C257" i="70"/>
  <c r="D149" i="70"/>
  <c r="D330" i="70"/>
  <c r="C278" i="70"/>
  <c r="D301" i="70"/>
  <c r="D386" i="70"/>
  <c r="D325" i="70"/>
  <c r="D113" i="70"/>
  <c r="C142" i="70"/>
  <c r="C310" i="70"/>
  <c r="C189" i="70"/>
  <c r="C139" i="70"/>
  <c r="F139" i="70" s="1"/>
  <c r="J139" i="70" s="1"/>
  <c r="I19" i="46"/>
  <c r="G19" i="46" s="1"/>
  <c r="N138" i="11"/>
  <c r="W417" i="2" s="1"/>
  <c r="G156" i="70"/>
  <c r="N156" i="70" s="1"/>
  <c r="C9" i="70"/>
  <c r="O36" i="20"/>
  <c r="J27" i="46"/>
  <c r="H27" i="46" s="1"/>
  <c r="D17" i="70"/>
  <c r="G17" i="70" s="1"/>
  <c r="N17" i="70" s="1"/>
  <c r="C8" i="70"/>
  <c r="G8" i="70" s="1"/>
  <c r="N8" i="70" s="1"/>
  <c r="I21" i="46"/>
  <c r="G21" i="46" s="1"/>
  <c r="C11" i="70"/>
  <c r="G11" i="70" s="1"/>
  <c r="N11" i="70" s="1"/>
  <c r="J31" i="46"/>
  <c r="H31" i="46" s="1"/>
  <c r="D21" i="70"/>
  <c r="J29" i="46"/>
  <c r="H29" i="46" s="1"/>
  <c r="D19" i="70"/>
  <c r="G19" i="70" s="1"/>
  <c r="N19" i="70" s="1"/>
  <c r="O29" i="20"/>
  <c r="D10" i="70"/>
  <c r="G10" i="70" s="1"/>
  <c r="N10" i="70" s="1"/>
  <c r="J35" i="46"/>
  <c r="H35" i="46" s="1"/>
  <c r="D25" i="70"/>
  <c r="N10" i="11"/>
  <c r="AB54" i="2" s="1"/>
  <c r="AB53" i="2" s="1"/>
  <c r="M22" i="2" s="1"/>
  <c r="X412" i="70" s="1"/>
  <c r="C12" i="70"/>
  <c r="G12" i="70" s="1"/>
  <c r="N12" i="70" s="1"/>
  <c r="N22" i="11"/>
  <c r="C24" i="70"/>
  <c r="J28" i="46"/>
  <c r="H28" i="46" s="1"/>
  <c r="D18" i="70"/>
  <c r="I32" i="46"/>
  <c r="G32" i="46" s="1"/>
  <c r="C22" i="70"/>
  <c r="I37" i="46"/>
  <c r="G37" i="46" s="1"/>
  <c r="C27" i="70"/>
  <c r="G27" i="70" s="1"/>
  <c r="N27" i="70" s="1"/>
  <c r="N21" i="11"/>
  <c r="AB147" i="2" s="1"/>
  <c r="D23" i="70"/>
  <c r="N11" i="11"/>
  <c r="AB201" i="2" s="1"/>
  <c r="AB200" i="2" s="1"/>
  <c r="M33" i="2" s="1"/>
  <c r="D13" i="70"/>
  <c r="G13" i="70" s="1"/>
  <c r="N13" i="70" s="1"/>
  <c r="O28" i="20"/>
  <c r="D9" i="70"/>
  <c r="L40" i="12"/>
  <c r="P40" i="12" s="1"/>
  <c r="D85" i="70"/>
  <c r="F85" i="70" s="1"/>
  <c r="J85" i="70" s="1"/>
  <c r="O243" i="20"/>
  <c r="D302" i="70"/>
  <c r="N141" i="11"/>
  <c r="W704" i="2" s="1"/>
  <c r="D142" i="70"/>
  <c r="C322" i="27"/>
  <c r="D326" i="70"/>
  <c r="J24" i="46"/>
  <c r="H24" i="46" s="1"/>
  <c r="D14" i="70"/>
  <c r="I42" i="57"/>
  <c r="D246" i="70"/>
  <c r="I25" i="46"/>
  <c r="G25" i="46" s="1"/>
  <c r="C15" i="70"/>
  <c r="N75" i="11"/>
  <c r="W107" i="2" s="1"/>
  <c r="D77" i="70"/>
  <c r="N241" i="11"/>
  <c r="W1958" i="2" s="1"/>
  <c r="D242" i="70"/>
  <c r="F242" i="70" s="1"/>
  <c r="J242" i="70" s="1"/>
  <c r="C274" i="27"/>
  <c r="D278" i="70"/>
  <c r="L22" i="12"/>
  <c r="P22" i="12" s="1"/>
  <c r="D79" i="70"/>
  <c r="F79" i="70" s="1"/>
  <c r="J79" i="70" s="1"/>
  <c r="E54" i="57"/>
  <c r="C149" i="70"/>
  <c r="I24" i="46"/>
  <c r="G24" i="46" s="1"/>
  <c r="C14" i="70"/>
  <c r="C236" i="27"/>
  <c r="C240" i="70"/>
  <c r="G240" i="70" s="1"/>
  <c r="N240" i="70" s="1"/>
  <c r="J36" i="46"/>
  <c r="H36" i="46" s="1"/>
  <c r="D26" i="70"/>
  <c r="G26" i="70" s="1"/>
  <c r="N26" i="70" s="1"/>
  <c r="N348" i="11"/>
  <c r="O101" i="6" s="1"/>
  <c r="O100" i="6" s="1"/>
  <c r="E17" i="6" s="1"/>
  <c r="D349" i="70"/>
  <c r="N269" i="11"/>
  <c r="O328" i="6" s="1"/>
  <c r="D270" i="70"/>
  <c r="N389" i="11"/>
  <c r="O1248" i="6" s="1"/>
  <c r="C390" i="70"/>
  <c r="C381" i="27"/>
  <c r="C385" i="70"/>
  <c r="J39" i="46"/>
  <c r="H39" i="46" s="1"/>
  <c r="D29" i="70"/>
  <c r="G29" i="70" s="1"/>
  <c r="N29" i="70" s="1"/>
  <c r="N168" i="11"/>
  <c r="W1588" i="2" s="1"/>
  <c r="C169" i="70"/>
  <c r="N106" i="11"/>
  <c r="W476" i="2" s="1"/>
  <c r="W475" i="2" s="1"/>
  <c r="E40" i="2" s="1"/>
  <c r="F40" i="2" s="1"/>
  <c r="C108" i="70"/>
  <c r="F108" i="70" s="1"/>
  <c r="J108" i="70" s="1"/>
  <c r="N238" i="11"/>
  <c r="AB784" i="2" s="1"/>
  <c r="C239" i="70"/>
  <c r="G239" i="70" s="1"/>
  <c r="N239" i="70" s="1"/>
  <c r="N96" i="11"/>
  <c r="D98" i="70"/>
  <c r="F98" i="70" s="1"/>
  <c r="J98" i="70" s="1"/>
  <c r="N369" i="11"/>
  <c r="O1159" i="6" s="1"/>
  <c r="C370" i="70"/>
  <c r="O364" i="20"/>
  <c r="C187" i="70"/>
  <c r="G187" i="70" s="1"/>
  <c r="N187" i="70" s="1"/>
  <c r="I38" i="46"/>
  <c r="G38" i="46" s="1"/>
  <c r="C28" i="70"/>
  <c r="C248" i="27"/>
  <c r="D252" i="70"/>
  <c r="F252" i="70" s="1"/>
  <c r="J252" i="70" s="1"/>
  <c r="O19" i="20"/>
  <c r="E19" i="43" s="1"/>
  <c r="C145" i="70"/>
  <c r="F145" i="70" s="1"/>
  <c r="J145" i="70" s="1"/>
  <c r="O287" i="20"/>
  <c r="D360" i="70"/>
  <c r="N56" i="11"/>
  <c r="AB357" i="2" s="1"/>
  <c r="C58" i="70"/>
  <c r="G58" i="70" s="1"/>
  <c r="N58" i="70" s="1"/>
  <c r="O357" i="20"/>
  <c r="D177" i="70"/>
  <c r="O127" i="20"/>
  <c r="D150" i="70"/>
  <c r="G150" i="70" s="1"/>
  <c r="N150" i="70" s="1"/>
  <c r="O119" i="20"/>
  <c r="C113" i="70"/>
  <c r="C215" i="27"/>
  <c r="C219" i="70"/>
  <c r="F219" i="70" s="1"/>
  <c r="J219" i="70" s="1"/>
  <c r="C302" i="27"/>
  <c r="D306" i="70"/>
  <c r="O187" i="20"/>
  <c r="D235" i="70"/>
  <c r="G235" i="70" s="1"/>
  <c r="N235" i="70" s="1"/>
  <c r="O273" i="20"/>
  <c r="E19" i="35" s="1"/>
  <c r="D345" i="70"/>
  <c r="D44" i="28"/>
  <c r="H44" i="28" s="1"/>
  <c r="C300" i="70"/>
  <c r="N90" i="11"/>
  <c r="W258" i="2" s="1"/>
  <c r="D92" i="70"/>
  <c r="F92" i="70" s="1"/>
  <c r="J92" i="70" s="1"/>
  <c r="C330" i="27"/>
  <c r="D334" i="70"/>
  <c r="O390" i="20"/>
  <c r="C294" i="70"/>
  <c r="N50" i="11"/>
  <c r="AB425" i="2" s="1"/>
  <c r="D52" i="70"/>
  <c r="G52" i="70" s="1"/>
  <c r="N52" i="70" s="1"/>
  <c r="C283" i="27"/>
  <c r="C287" i="70"/>
  <c r="D16" i="18"/>
  <c r="D18" i="18" s="1"/>
  <c r="C53" i="70"/>
  <c r="G53" i="70" s="1"/>
  <c r="N53" i="70" s="1"/>
  <c r="C387" i="27"/>
  <c r="D391" i="70"/>
  <c r="N285" i="11"/>
  <c r="O1346" i="6" s="1"/>
  <c r="C286" i="70"/>
  <c r="O309" i="20"/>
  <c r="D382" i="70"/>
  <c r="O140" i="20"/>
  <c r="D163" i="70"/>
  <c r="F163" i="70" s="1"/>
  <c r="J163" i="70" s="1"/>
  <c r="C239" i="27"/>
  <c r="C243" i="70"/>
  <c r="F243" i="70" s="1"/>
  <c r="J243" i="70" s="1"/>
  <c r="O122" i="20"/>
  <c r="C131" i="70"/>
  <c r="F131" i="70" s="1"/>
  <c r="J131" i="70" s="1"/>
  <c r="O259" i="20"/>
  <c r="D323" i="70"/>
  <c r="N154" i="11"/>
  <c r="AB888" i="2" s="1"/>
  <c r="C155" i="70"/>
  <c r="G155" i="70" s="1"/>
  <c r="N155" i="70" s="1"/>
  <c r="O118" i="20"/>
  <c r="D112" i="70"/>
  <c r="F112" i="70" s="1"/>
  <c r="J112" i="70" s="1"/>
  <c r="C140" i="27"/>
  <c r="C144" i="70"/>
  <c r="F144" i="70" s="1"/>
  <c r="J144" i="70" s="1"/>
  <c r="O102" i="20"/>
  <c r="C89" i="70"/>
  <c r="F89" i="70" s="1"/>
  <c r="J89" i="70" s="1"/>
  <c r="N173" i="11"/>
  <c r="AB1031" i="2" s="1"/>
  <c r="D174" i="70"/>
  <c r="G174" i="70" s="1"/>
  <c r="N174" i="70" s="1"/>
  <c r="J38" i="46"/>
  <c r="H38" i="46" s="1"/>
  <c r="D28" i="70"/>
  <c r="O60" i="20"/>
  <c r="C44" i="70"/>
  <c r="G44" i="70" s="1"/>
  <c r="N44" i="70" s="1"/>
  <c r="O207" i="20"/>
  <c r="C255" i="70"/>
  <c r="F255" i="70" s="1"/>
  <c r="J255" i="70" s="1"/>
  <c r="O261" i="20"/>
  <c r="C325" i="70"/>
  <c r="C306" i="27"/>
  <c r="D310" i="70"/>
  <c r="J41" i="46"/>
  <c r="H41" i="46" s="1"/>
  <c r="D31" i="70"/>
  <c r="O57" i="20"/>
  <c r="C41" i="70"/>
  <c r="G41" i="70" s="1"/>
  <c r="N41" i="70" s="1"/>
  <c r="I40" i="46"/>
  <c r="G40" i="46" s="1"/>
  <c r="C30" i="70"/>
  <c r="N380" i="11"/>
  <c r="O1055" i="6" s="1"/>
  <c r="C381" i="70"/>
  <c r="C155" i="27"/>
  <c r="C159" i="70"/>
  <c r="N211" i="11"/>
  <c r="W1812" i="2" s="1"/>
  <c r="D212" i="70"/>
  <c r="F212" i="70" s="1"/>
  <c r="J212" i="70" s="1"/>
  <c r="N387" i="11"/>
  <c r="O1228" i="6" s="1"/>
  <c r="D388" i="70"/>
  <c r="O135" i="20"/>
  <c r="D158" i="70"/>
  <c r="G158" i="70" s="1"/>
  <c r="N158" i="70" s="1"/>
  <c r="O276" i="20"/>
  <c r="E22" i="35" s="1"/>
  <c r="F22" i="35" s="1"/>
  <c r="D348" i="70"/>
  <c r="C380" i="27"/>
  <c r="C384" i="70"/>
  <c r="N340" i="11"/>
  <c r="O1201" i="6" s="1"/>
  <c r="C341" i="70"/>
  <c r="N97" i="11"/>
  <c r="W382" i="2" s="1"/>
  <c r="C99" i="70"/>
  <c r="F99" i="70" s="1"/>
  <c r="J99" i="70" s="1"/>
  <c r="O381" i="20"/>
  <c r="C261" i="70"/>
  <c r="F261" i="70" s="1"/>
  <c r="J261" i="70" s="1"/>
  <c r="N134" i="11"/>
  <c r="D135" i="70"/>
  <c r="F135" i="70" s="1"/>
  <c r="J135" i="70" s="1"/>
  <c r="O189" i="20"/>
  <c r="C237" i="70"/>
  <c r="C309" i="27"/>
  <c r="D313" i="70"/>
  <c r="N169" i="11"/>
  <c r="W1598" i="2" s="1"/>
  <c r="C170" i="70"/>
  <c r="F170" i="70" s="1"/>
  <c r="J170" i="70" s="1"/>
  <c r="C65" i="70"/>
  <c r="C331" i="27"/>
  <c r="D335" i="70"/>
  <c r="N46" i="11"/>
  <c r="AB404" i="2" s="1"/>
  <c r="D48" i="70"/>
  <c r="G48" i="70" s="1"/>
  <c r="N48" i="70" s="1"/>
  <c r="N351" i="11"/>
  <c r="O90" i="6" s="1"/>
  <c r="D352" i="70"/>
  <c r="O367" i="20"/>
  <c r="D197" i="70"/>
  <c r="N198" i="11"/>
  <c r="AB698" i="2" s="1"/>
  <c r="C199" i="70"/>
  <c r="O401" i="20"/>
  <c r="D339" i="70"/>
  <c r="N107" i="11"/>
  <c r="C109" i="70"/>
  <c r="O399" i="20"/>
  <c r="D337" i="70"/>
  <c r="C317" i="27"/>
  <c r="C321" i="70"/>
  <c r="C201" i="27"/>
  <c r="C205" i="70"/>
  <c r="O87" i="20"/>
  <c r="D74" i="70"/>
  <c r="F74" i="70" s="1"/>
  <c r="J74" i="70" s="1"/>
  <c r="C383" i="27"/>
  <c r="C387" i="70"/>
  <c r="C288" i="27"/>
  <c r="D292" i="70"/>
  <c r="C326" i="27"/>
  <c r="C330" i="70"/>
  <c r="O275" i="20"/>
  <c r="E21" i="39" s="1"/>
  <c r="F21" i="39" s="1"/>
  <c r="D347" i="70"/>
  <c r="N135" i="11"/>
  <c r="W384" i="2" s="1"/>
  <c r="D136" i="70"/>
  <c r="F136" i="70" s="1"/>
  <c r="J136" i="70" s="1"/>
  <c r="O352" i="20"/>
  <c r="C134" i="70"/>
  <c r="F134" i="70" s="1"/>
  <c r="J134" i="70" s="1"/>
  <c r="L32" i="12"/>
  <c r="H32" i="12" s="1"/>
  <c r="N32" i="12" s="1"/>
  <c r="P32" i="12" s="1"/>
  <c r="C124" i="70"/>
  <c r="O310" i="20"/>
  <c r="C383" i="70"/>
  <c r="J42" i="46"/>
  <c r="H42" i="46" s="1"/>
  <c r="D32" i="70"/>
  <c r="O400" i="20"/>
  <c r="D338" i="70"/>
  <c r="H76" i="12"/>
  <c r="D327" i="70"/>
  <c r="J43" i="46"/>
  <c r="H43" i="46" s="1"/>
  <c r="D236" i="70"/>
  <c r="O50" i="20"/>
  <c r="C34" i="70"/>
  <c r="G34" i="70" s="1"/>
  <c r="N34" i="70" s="1"/>
  <c r="N302" i="11"/>
  <c r="O782" i="6" s="1"/>
  <c r="C303" i="70"/>
  <c r="N220" i="11"/>
  <c r="W1711" i="2" s="1"/>
  <c r="C221" i="70"/>
  <c r="F221" i="70" s="1"/>
  <c r="J221" i="70" s="1"/>
  <c r="O373" i="20"/>
  <c r="C213" i="70"/>
  <c r="C218" i="27"/>
  <c r="D222" i="70"/>
  <c r="F222" i="70" s="1"/>
  <c r="J222" i="70" s="1"/>
  <c r="C160" i="27"/>
  <c r="D164" i="70"/>
  <c r="F164" i="70" s="1"/>
  <c r="J164" i="70" s="1"/>
  <c r="N289" i="11"/>
  <c r="O711" i="6" s="1"/>
  <c r="D290" i="70"/>
  <c r="N188" i="11"/>
  <c r="AB1057" i="2" s="1"/>
  <c r="D189" i="70"/>
  <c r="O148" i="20"/>
  <c r="D171" i="70"/>
  <c r="O252" i="20"/>
  <c r="C316" i="70"/>
  <c r="O291" i="20"/>
  <c r="E28" i="35" s="1"/>
  <c r="F28" i="35" s="1"/>
  <c r="C364" i="70"/>
  <c r="I42" i="46"/>
  <c r="G42" i="46" s="1"/>
  <c r="C32" i="70"/>
  <c r="C301" i="27"/>
  <c r="C305" i="70"/>
  <c r="C88" i="27"/>
  <c r="D91" i="70"/>
  <c r="F91" i="70" s="1"/>
  <c r="J91" i="70" s="1"/>
  <c r="O161" i="20"/>
  <c r="C194" i="70"/>
  <c r="F194" i="70" s="1"/>
  <c r="J194" i="70" s="1"/>
  <c r="N129" i="11"/>
  <c r="C130" i="70"/>
  <c r="F130" i="70" s="1"/>
  <c r="J130" i="70" s="1"/>
  <c r="N43" i="11"/>
  <c r="D45" i="70"/>
  <c r="G45" i="70" s="1"/>
  <c r="N45" i="70" s="1"/>
  <c r="O76" i="20"/>
  <c r="D63" i="70"/>
  <c r="G63" i="70" s="1"/>
  <c r="N63" i="70" s="1"/>
  <c r="N274" i="11"/>
  <c r="O598" i="6" s="1"/>
  <c r="D275" i="70"/>
  <c r="N210" i="11"/>
  <c r="W1761" i="2" s="1"/>
  <c r="D211" i="70"/>
  <c r="C352" i="27"/>
  <c r="C356" i="70"/>
  <c r="O209" i="20"/>
  <c r="D257" i="70"/>
  <c r="N137" i="11"/>
  <c r="W441" i="2" s="1"/>
  <c r="C138" i="70"/>
  <c r="F138" i="70" s="1"/>
  <c r="J138" i="70" s="1"/>
  <c r="N153" i="11"/>
  <c r="AB878" i="2" s="1"/>
  <c r="D154" i="70"/>
  <c r="G154" i="70" s="1"/>
  <c r="N154" i="70" s="1"/>
  <c r="O152" i="20"/>
  <c r="C175" i="70"/>
  <c r="G175" i="70" s="1"/>
  <c r="N175" i="70" s="1"/>
  <c r="F16" i="18"/>
  <c r="F18" i="18" s="1"/>
  <c r="D204" i="70"/>
  <c r="G204" i="70" s="1"/>
  <c r="N204" i="70" s="1"/>
  <c r="N175" i="11"/>
  <c r="W1724" i="2" s="1"/>
  <c r="D176" i="70"/>
  <c r="F176" i="70" s="1"/>
  <c r="J176" i="70" s="1"/>
  <c r="O74" i="20"/>
  <c r="C61" i="70"/>
  <c r="G61" i="70" s="1"/>
  <c r="N61" i="70" s="1"/>
  <c r="O260" i="20"/>
  <c r="D324" i="70"/>
  <c r="N223" i="11"/>
  <c r="W1857" i="2" s="1"/>
  <c r="D224" i="70"/>
  <c r="N192" i="11"/>
  <c r="AB1080" i="2" s="1"/>
  <c r="C193" i="70"/>
  <c r="G193" i="70" s="1"/>
  <c r="N193" i="70" s="1"/>
  <c r="N147" i="11"/>
  <c r="W1347" i="2" s="1"/>
  <c r="D148" i="70"/>
  <c r="F148" i="70" s="1"/>
  <c r="J148" i="70" s="1"/>
  <c r="O294" i="20"/>
  <c r="E36" i="40" s="1"/>
  <c r="D367" i="70"/>
  <c r="N35" i="11"/>
  <c r="AB273" i="2" s="1"/>
  <c r="AB272" i="2" s="1"/>
  <c r="M47" i="2" s="1"/>
  <c r="N47" i="2" s="1"/>
  <c r="C37" i="70"/>
  <c r="G37" i="70" s="1"/>
  <c r="N37" i="70" s="1"/>
  <c r="O316" i="20"/>
  <c r="D389" i="70"/>
  <c r="N44" i="11"/>
  <c r="AB485" i="2" s="1"/>
  <c r="D46" i="70"/>
  <c r="G46" i="70" s="1"/>
  <c r="N46" i="70" s="1"/>
  <c r="O196" i="20"/>
  <c r="D244" i="70"/>
  <c r="G244" i="70" s="1"/>
  <c r="N244" i="70" s="1"/>
  <c r="O117" i="20"/>
  <c r="D111" i="70"/>
  <c r="F111" i="70" s="1"/>
  <c r="J111" i="70" s="1"/>
  <c r="J32" i="46"/>
  <c r="H32" i="46" s="1"/>
  <c r="D22" i="70"/>
  <c r="C212" i="27"/>
  <c r="D216" i="70"/>
  <c r="F216" i="70" s="1"/>
  <c r="J216" i="70" s="1"/>
  <c r="O299" i="20"/>
  <c r="C372" i="70"/>
  <c r="C136" i="27"/>
  <c r="D140" i="70"/>
  <c r="F140" i="70" s="1"/>
  <c r="J140" i="70" s="1"/>
  <c r="C158" i="27"/>
  <c r="D162" i="70"/>
  <c r="C374" i="27"/>
  <c r="C378" i="70"/>
  <c r="O170" i="20"/>
  <c r="C208" i="70"/>
  <c r="G208" i="70" s="1"/>
  <c r="N208" i="70" s="1"/>
  <c r="O234" i="20"/>
  <c r="D291" i="70"/>
  <c r="O153" i="20"/>
  <c r="C179" i="70"/>
  <c r="F179" i="70" s="1"/>
  <c r="J179" i="70" s="1"/>
  <c r="O245" i="20"/>
  <c r="C304" i="70"/>
  <c r="C304" i="27"/>
  <c r="C308" i="70"/>
  <c r="O298" i="20"/>
  <c r="E39" i="40" s="1"/>
  <c r="D371" i="70"/>
  <c r="I33" i="46"/>
  <c r="G33" i="46" s="1"/>
  <c r="C23" i="70"/>
  <c r="N237" i="11"/>
  <c r="W1913" i="2" s="1"/>
  <c r="W1912" i="2" s="1"/>
  <c r="E71" i="2" s="1"/>
  <c r="F71" i="2" s="1"/>
  <c r="C238" i="70"/>
  <c r="F238" i="70" s="1"/>
  <c r="J238" i="70" s="1"/>
  <c r="O306" i="20"/>
  <c r="D379" i="70"/>
  <c r="O107" i="20"/>
  <c r="D94" i="70"/>
  <c r="F94" i="70" s="1"/>
  <c r="J94" i="70" s="1"/>
  <c r="O286" i="20"/>
  <c r="D359" i="70"/>
  <c r="J30" i="46"/>
  <c r="H30" i="46" s="1"/>
  <c r="D20" i="70"/>
  <c r="I30" i="46"/>
  <c r="G30" i="46" s="1"/>
  <c r="C20" i="70"/>
  <c r="J17" i="46"/>
  <c r="H17" i="46" s="1"/>
  <c r="D7" i="70"/>
  <c r="N378" i="11"/>
  <c r="O1043" i="6" s="1"/>
  <c r="O1042" i="6" s="1"/>
  <c r="E46" i="6" s="1"/>
  <c r="O313" i="20"/>
  <c r="N300" i="11"/>
  <c r="O572" i="6" s="1"/>
  <c r="K31" i="60"/>
  <c r="C17" i="27"/>
  <c r="N18" i="11"/>
  <c r="AB168" i="2" s="1"/>
  <c r="AB167" i="2" s="1"/>
  <c r="M30" i="2" s="1"/>
  <c r="C375" i="27"/>
  <c r="N307" i="11"/>
  <c r="O1111" i="6" s="1"/>
  <c r="N358" i="11"/>
  <c r="O904" i="6" s="1"/>
  <c r="O903" i="6" s="1"/>
  <c r="E41" i="6" s="1"/>
  <c r="L88" i="12"/>
  <c r="P88" i="12" s="1"/>
  <c r="N371" i="11"/>
  <c r="O1084" i="6" s="1"/>
  <c r="C355" i="27"/>
  <c r="C368" i="27"/>
  <c r="O139" i="20"/>
  <c r="C91" i="27"/>
  <c r="N370" i="11"/>
  <c r="O1309" i="6" s="1"/>
  <c r="C367" i="27"/>
  <c r="C342" i="27"/>
  <c r="N92" i="11"/>
  <c r="W318" i="2" s="1"/>
  <c r="N290" i="11"/>
  <c r="O719" i="6" s="1"/>
  <c r="C124" i="27"/>
  <c r="C287" i="27"/>
  <c r="N161" i="11"/>
  <c r="W1513" i="2" s="1"/>
  <c r="N303" i="11"/>
  <c r="O792" i="6" s="1"/>
  <c r="C300" i="27"/>
  <c r="O190" i="20"/>
  <c r="N109" i="11"/>
  <c r="W407" i="2" s="1"/>
  <c r="C108" i="27"/>
  <c r="N178" i="11"/>
  <c r="W1726" i="2" s="1"/>
  <c r="N182" i="11"/>
  <c r="W632" i="2" s="1"/>
  <c r="N207" i="11"/>
  <c r="AB749" i="2" s="1"/>
  <c r="C294" i="27"/>
  <c r="O220" i="20"/>
  <c r="O347" i="20"/>
  <c r="C204" i="27"/>
  <c r="O356" i="20"/>
  <c r="O350" i="20"/>
  <c r="O305" i="20"/>
  <c r="N377" i="11"/>
  <c r="O1319" i="6" s="1"/>
  <c r="O392" i="20"/>
  <c r="O341" i="20"/>
  <c r="L95" i="12"/>
  <c r="O125" i="20"/>
  <c r="O138" i="20"/>
  <c r="N139" i="11"/>
  <c r="W465" i="2" s="1"/>
  <c r="N215" i="11"/>
  <c r="W1836" i="2" s="1"/>
  <c r="N298" i="11"/>
  <c r="O583" i="6" s="1"/>
  <c r="O376" i="20"/>
  <c r="O223" i="20"/>
  <c r="F61" i="40" s="1"/>
  <c r="C240" i="27"/>
  <c r="N243" i="11"/>
  <c r="AB1090" i="2" s="1"/>
  <c r="N146" i="11"/>
  <c r="W1036" i="2" s="1"/>
  <c r="W1035" i="2" s="1"/>
  <c r="E49" i="2" s="1"/>
  <c r="O63" i="20"/>
  <c r="D58" i="49"/>
  <c r="D63" i="48"/>
  <c r="D60" i="49" s="1"/>
  <c r="O160" i="20"/>
  <c r="O100" i="20"/>
  <c r="N85" i="11"/>
  <c r="W330" i="2" s="1"/>
  <c r="C84" i="27"/>
  <c r="C189" i="27"/>
  <c r="L64" i="12"/>
  <c r="P64" i="12" s="1"/>
  <c r="N48" i="11"/>
  <c r="AB405" i="2" s="1"/>
  <c r="O219" i="20"/>
  <c r="O238" i="20"/>
  <c r="C363" i="27"/>
  <c r="N366" i="11"/>
  <c r="O1070" i="6" s="1"/>
  <c r="O1069" i="6" s="1"/>
  <c r="E53" i="6" s="1"/>
  <c r="E52" i="6" s="1"/>
  <c r="C172" i="27"/>
  <c r="O345" i="20"/>
  <c r="O375" i="20"/>
  <c r="O22" i="20"/>
  <c r="O326" i="20"/>
  <c r="C144" i="27"/>
  <c r="N122" i="11"/>
  <c r="W213" i="2" s="1"/>
  <c r="N203" i="11"/>
  <c r="AB649" i="2" s="1"/>
  <c r="AB647" i="2" s="1"/>
  <c r="M67" i="2" s="1"/>
  <c r="E95" i="10" s="1"/>
  <c r="F16" i="25"/>
  <c r="F18" i="25" s="1"/>
  <c r="O166" i="20"/>
  <c r="C43" i="27"/>
  <c r="F16" i="21"/>
  <c r="F18" i="21" s="1"/>
  <c r="N342" i="11"/>
  <c r="O1218" i="6" s="1"/>
  <c r="C320" i="27"/>
  <c r="C171" i="27"/>
  <c r="O271" i="20"/>
  <c r="N224" i="11"/>
  <c r="W1927" i="2" s="1"/>
  <c r="C147" i="27"/>
  <c r="O128" i="20"/>
  <c r="N59" i="11"/>
  <c r="AB455" i="2" s="1"/>
  <c r="N388" i="11"/>
  <c r="O1238" i="6" s="1"/>
  <c r="O168" i="20"/>
  <c r="C315" i="27"/>
  <c r="N323" i="11"/>
  <c r="O1045" i="6" s="1"/>
  <c r="N328" i="11"/>
  <c r="O931" i="6" s="1"/>
  <c r="C264" i="27"/>
  <c r="C385" i="27"/>
  <c r="C90" i="27"/>
  <c r="N36" i="11"/>
  <c r="AB284" i="2" s="1"/>
  <c r="AB283" i="2" s="1"/>
  <c r="M48" i="2" s="1"/>
  <c r="N150" i="11"/>
  <c r="AB868" i="2" s="1"/>
  <c r="N58" i="11"/>
  <c r="AB499" i="2" s="1"/>
  <c r="AB498" i="2" s="1"/>
  <c r="M58" i="2" s="1"/>
  <c r="E88" i="10" s="1"/>
  <c r="F88" i="10" s="1"/>
  <c r="L43" i="12"/>
  <c r="P43" i="12" s="1"/>
  <c r="C104" i="27"/>
  <c r="O53" i="20"/>
  <c r="N341" i="11"/>
  <c r="O1208" i="6" s="1"/>
  <c r="C310" i="27"/>
  <c r="N257" i="11"/>
  <c r="AB542" i="2" s="1"/>
  <c r="O179" i="20"/>
  <c r="C220" i="27"/>
  <c r="O54" i="20"/>
  <c r="O150" i="20"/>
  <c r="N53" i="11"/>
  <c r="AB392" i="2" s="1"/>
  <c r="AB391" i="2" s="1"/>
  <c r="M54" i="2" s="1"/>
  <c r="N54" i="2" s="1"/>
  <c r="C97" i="27"/>
  <c r="O344" i="20"/>
  <c r="N174" i="11"/>
  <c r="AB1041" i="2" s="1"/>
  <c r="C119" i="27"/>
  <c r="L26" i="12"/>
  <c r="H26" i="12" s="1"/>
  <c r="N26" i="12" s="1"/>
  <c r="P26" i="12" s="1"/>
  <c r="N121" i="11"/>
  <c r="W212" i="2" s="1"/>
  <c r="N259" i="11"/>
  <c r="W1767" i="2" s="1"/>
  <c r="L106" i="12"/>
  <c r="P106" i="12" s="1"/>
  <c r="O293" i="20"/>
  <c r="E29" i="35" s="1"/>
  <c r="F29" i="35" s="1"/>
  <c r="C173" i="27"/>
  <c r="O131" i="20"/>
  <c r="O94" i="20"/>
  <c r="N375" i="11"/>
  <c r="O1022" i="6" s="1"/>
  <c r="C334" i="27"/>
  <c r="O391" i="20"/>
  <c r="N256" i="11"/>
  <c r="AB532" i="2" s="1"/>
  <c r="N365" i="11"/>
  <c r="O497" i="6" s="1"/>
  <c r="C362" i="27"/>
  <c r="O355" i="20"/>
  <c r="C135" i="27"/>
  <c r="N113" i="11"/>
  <c r="W38" i="2" s="1"/>
  <c r="N79" i="11"/>
  <c r="W151" i="2" s="1"/>
  <c r="C78" i="27"/>
  <c r="O337" i="20"/>
  <c r="C93" i="27"/>
  <c r="O330" i="20"/>
  <c r="N94" i="11"/>
  <c r="W367" i="2" s="1"/>
  <c r="C253" i="27"/>
  <c r="N282" i="11"/>
  <c r="O678" i="6" s="1"/>
  <c r="O89" i="20"/>
  <c r="C365" i="27"/>
  <c r="O121" i="20"/>
  <c r="N304" i="11"/>
  <c r="O1144" i="6" s="1"/>
  <c r="O1143" i="6" s="1"/>
  <c r="E61" i="6" s="1"/>
  <c r="O283" i="20"/>
  <c r="N74" i="11"/>
  <c r="W101" i="2" s="1"/>
  <c r="O335" i="20"/>
  <c r="N364" i="11"/>
  <c r="O457" i="6" s="1"/>
  <c r="C187" i="27"/>
  <c r="N368" i="11"/>
  <c r="O1079" i="6" s="1"/>
  <c r="O1076" i="6" s="1"/>
  <c r="E56" i="6" s="1"/>
  <c r="N288" i="11"/>
  <c r="O710" i="6" s="1"/>
  <c r="N354" i="11"/>
  <c r="O133" i="6" s="1"/>
  <c r="C299" i="27"/>
  <c r="C73" i="27"/>
  <c r="N81" i="11"/>
  <c r="W171" i="2" s="1"/>
  <c r="C351" i="27"/>
  <c r="O95" i="20"/>
  <c r="C196" i="27"/>
  <c r="O246" i="20"/>
  <c r="C167" i="27"/>
  <c r="C142" i="27"/>
  <c r="N273" i="11"/>
  <c r="O377" i="6" s="1"/>
  <c r="N99" i="11"/>
  <c r="W419" i="2" s="1"/>
  <c r="O296" i="20"/>
  <c r="E38" i="40" s="1"/>
  <c r="N170" i="11"/>
  <c r="W1658" i="2" s="1"/>
  <c r="N331" i="11"/>
  <c r="O750" i="6" s="1"/>
  <c r="L31" i="12"/>
  <c r="P31" i="12" s="1"/>
  <c r="N166" i="11"/>
  <c r="W1543" i="2" s="1"/>
  <c r="N338" i="11"/>
  <c r="O1199" i="6" s="1"/>
  <c r="N80" i="11"/>
  <c r="W161" i="2" s="1"/>
  <c r="O188" i="20"/>
  <c r="N346" i="11"/>
  <c r="O50" i="6" s="1"/>
  <c r="O61" i="20"/>
  <c r="L89" i="12"/>
  <c r="O222" i="20"/>
  <c r="F60" i="40" s="1"/>
  <c r="O21" i="20"/>
  <c r="C207" i="27"/>
  <c r="O371" i="20"/>
  <c r="O126" i="20"/>
  <c r="N314" i="11"/>
  <c r="O1269" i="6" s="1"/>
  <c r="C369" i="27"/>
  <c r="O197" i="20"/>
  <c r="O387" i="20"/>
  <c r="O73" i="20"/>
  <c r="N363" i="11"/>
  <c r="O447" i="6" s="1"/>
  <c r="N145" i="11"/>
  <c r="W1247" i="2" s="1"/>
  <c r="N306" i="11"/>
  <c r="O1110" i="6" s="1"/>
  <c r="O156" i="20"/>
  <c r="E24" i="40" s="1"/>
  <c r="G24" i="40" s="1"/>
  <c r="C333" i="27"/>
  <c r="N355" i="11"/>
  <c r="O143" i="6" s="1"/>
  <c r="N72" i="11"/>
  <c r="W91" i="2" s="1"/>
  <c r="O130" i="20"/>
  <c r="L103" i="12"/>
  <c r="P103" i="12" s="1"/>
  <c r="C360" i="27"/>
  <c r="N212" i="11"/>
  <c r="W1775" i="2" s="1"/>
  <c r="N326" i="11"/>
  <c r="O823" i="6" s="1"/>
  <c r="N244" i="11"/>
  <c r="AB804" i="2" s="1"/>
  <c r="O20" i="20"/>
  <c r="E20" i="43" s="1"/>
  <c r="O284" i="20"/>
  <c r="O263" i="20"/>
  <c r="C323" i="27"/>
  <c r="N270" i="11"/>
  <c r="O329" i="6" s="1"/>
  <c r="N372" i="11"/>
  <c r="O1176" i="6" s="1"/>
  <c r="C241" i="27"/>
  <c r="C209" i="27"/>
  <c r="N336" i="11"/>
  <c r="O1191" i="6" s="1"/>
  <c r="C285" i="27"/>
  <c r="O253" i="20"/>
  <c r="O288" i="20"/>
  <c r="C340" i="27"/>
  <c r="N339" i="11"/>
  <c r="O1200" i="6" s="1"/>
  <c r="N253" i="11"/>
  <c r="W682" i="2" s="1"/>
  <c r="N201" i="11"/>
  <c r="AB709" i="2" s="1"/>
  <c r="C70" i="27"/>
  <c r="C262" i="27"/>
  <c r="N264" i="11"/>
  <c r="O317" i="6" s="1"/>
  <c r="N214" i="11"/>
  <c r="W1835" i="2" s="1"/>
  <c r="N315" i="11"/>
  <c r="O1279" i="6" s="1"/>
  <c r="C286" i="27"/>
  <c r="N263" i="11"/>
  <c r="W1867" i="2" s="1"/>
  <c r="C256" i="27"/>
  <c r="C273" i="27"/>
  <c r="N357" i="11"/>
  <c r="O508" i="6" s="1"/>
  <c r="E16" i="18"/>
  <c r="E18" i="18" s="1"/>
  <c r="N39" i="11"/>
  <c r="W609" i="2" s="1"/>
  <c r="O388" i="20"/>
  <c r="L38" i="12"/>
  <c r="H38" i="12" s="1"/>
  <c r="N38" i="12" s="1"/>
  <c r="P38" i="12" s="1"/>
  <c r="O230" i="20"/>
  <c r="F67" i="40" s="1"/>
  <c r="O300" i="20"/>
  <c r="N329" i="11"/>
  <c r="O941" i="6" s="1"/>
  <c r="O303" i="20"/>
  <c r="O266" i="20"/>
  <c r="N337" i="11"/>
  <c r="O1198" i="6" s="1"/>
  <c r="C279" i="27"/>
  <c r="C68" i="27"/>
  <c r="O55" i="20"/>
  <c r="N349" i="11"/>
  <c r="O70" i="6" s="1"/>
  <c r="O329" i="20"/>
  <c r="O216" i="20"/>
  <c r="F57" i="40" s="1"/>
  <c r="C265" i="27"/>
  <c r="O265" i="20"/>
  <c r="C348" i="27"/>
  <c r="O280" i="20"/>
  <c r="E25" i="35" s="1"/>
  <c r="F25" i="35" s="1"/>
  <c r="N151" i="11"/>
  <c r="AB909" i="2" s="1"/>
  <c r="O68" i="20"/>
  <c r="O353" i="20"/>
  <c r="C325" i="27"/>
  <c r="C98" i="27"/>
  <c r="O235" i="20"/>
  <c r="E21" i="44" s="1"/>
  <c r="O334" i="20"/>
  <c r="N291" i="11"/>
  <c r="O1357" i="6" s="1"/>
  <c r="O70" i="20"/>
  <c r="C361" i="27"/>
  <c r="N268" i="11"/>
  <c r="O388" i="6" s="1"/>
  <c r="O387" i="6" s="1"/>
  <c r="E23" i="6" s="1"/>
  <c r="O292" i="20"/>
  <c r="O368" i="20"/>
  <c r="N68" i="11"/>
  <c r="W28" i="2" s="1"/>
  <c r="N100" i="11"/>
  <c r="W368" i="2" s="1"/>
  <c r="N353" i="11"/>
  <c r="O123" i="6" s="1"/>
  <c r="O145" i="20"/>
  <c r="O52" i="20"/>
  <c r="C311" i="27"/>
  <c r="O251" i="20"/>
  <c r="C148" i="27"/>
  <c r="O129" i="20"/>
  <c r="O185" i="20"/>
  <c r="O257" i="20"/>
  <c r="O361" i="20"/>
  <c r="N33" i="11"/>
  <c r="AB305" i="2" s="1"/>
  <c r="N193" i="11"/>
  <c r="W1553" i="2" s="1"/>
  <c r="N343" i="11"/>
  <c r="O17" i="6" s="1"/>
  <c r="C32" i="27"/>
  <c r="O51" i="20"/>
  <c r="O278" i="20"/>
  <c r="E30" i="35" s="1"/>
  <c r="F30" i="35" s="1"/>
  <c r="N183" i="11"/>
  <c r="W635" i="2" s="1"/>
  <c r="N163" i="11"/>
  <c r="W1575" i="2" s="1"/>
  <c r="C346" i="27"/>
  <c r="O141" i="20"/>
  <c r="N32" i="11"/>
  <c r="AB295" i="2" s="1"/>
  <c r="N199" i="11"/>
  <c r="AB627" i="2" s="1"/>
  <c r="O229" i="20"/>
  <c r="F66" i="40" s="1"/>
  <c r="O162" i="20"/>
  <c r="O104" i="20"/>
  <c r="N89" i="11"/>
  <c r="W248" i="2" s="1"/>
  <c r="C188" i="27"/>
  <c r="C357" i="27"/>
  <c r="C131" i="27"/>
  <c r="C190" i="27"/>
  <c r="N112" i="11"/>
  <c r="W102" i="2" s="1"/>
  <c r="N61" i="11"/>
  <c r="AB665" i="2" s="1"/>
  <c r="C29" i="27"/>
  <c r="C60" i="27"/>
  <c r="O48" i="20"/>
  <c r="O214" i="20"/>
  <c r="F55" i="41" s="1"/>
  <c r="O272" i="20"/>
  <c r="E18" i="35" s="1"/>
  <c r="F18" i="35" s="1"/>
  <c r="N221" i="11"/>
  <c r="W1917" i="2" s="1"/>
  <c r="E46" i="57"/>
  <c r="N330" i="11"/>
  <c r="O112" i="6" s="1"/>
  <c r="N133" i="11"/>
  <c r="W374" i="2" s="1"/>
  <c r="O177" i="20"/>
  <c r="N283" i="11"/>
  <c r="O688" i="6" s="1"/>
  <c r="O279" i="20"/>
  <c r="E24" i="35" s="1"/>
  <c r="F24" i="35" s="1"/>
  <c r="O173" i="20"/>
  <c r="N30" i="11"/>
  <c r="AB227" i="2" s="1"/>
  <c r="AB226" i="2" s="1"/>
  <c r="M39" i="2" s="1"/>
  <c r="O99" i="20"/>
  <c r="N140" i="11"/>
  <c r="W442" i="2" s="1"/>
  <c r="O83" i="20"/>
  <c r="C295" i="27"/>
  <c r="O285" i="20"/>
  <c r="O91" i="20"/>
  <c r="O269" i="20"/>
  <c r="C354" i="27"/>
  <c r="O206" i="20"/>
  <c r="C336" i="27"/>
  <c r="C67" i="27"/>
  <c r="O167" i="20"/>
  <c r="L100" i="12"/>
  <c r="P100" i="12" s="1"/>
  <c r="C327" i="27"/>
  <c r="C250" i="27"/>
  <c r="N204" i="11"/>
  <c r="AB729" i="2" s="1"/>
  <c r="O240" i="20"/>
  <c r="O267" i="20"/>
  <c r="N71" i="11"/>
  <c r="W67" i="2" s="1"/>
  <c r="O164" i="20"/>
  <c r="O402" i="20"/>
  <c r="O86" i="20"/>
  <c r="L91" i="12"/>
  <c r="P91" i="12" s="1"/>
  <c r="O244" i="20"/>
  <c r="C198" i="27"/>
  <c r="O175" i="20"/>
  <c r="O142" i="20"/>
  <c r="N232" i="11"/>
  <c r="W1798" i="2" s="1"/>
  <c r="C92" i="27"/>
  <c r="N37" i="11"/>
  <c r="AB325" i="2" s="1"/>
  <c r="O336" i="20"/>
  <c r="C111" i="27"/>
  <c r="O176" i="20"/>
  <c r="C101" i="27"/>
  <c r="C217" i="27"/>
  <c r="N272" i="11"/>
  <c r="O367" i="6" s="1"/>
  <c r="C379" i="27"/>
  <c r="N361" i="11"/>
  <c r="O427" i="6" s="1"/>
  <c r="O58" i="20"/>
  <c r="C194" i="27"/>
  <c r="E16" i="21"/>
  <c r="E18" i="21" s="1"/>
  <c r="N93" i="11"/>
  <c r="W366" i="2" s="1"/>
  <c r="C372" i="27"/>
  <c r="N320" i="11"/>
  <c r="O1002" i="6" s="1"/>
  <c r="C36" i="27"/>
  <c r="O380" i="20"/>
  <c r="C168" i="27"/>
  <c r="N382" i="11"/>
  <c r="O961" i="6" s="1"/>
  <c r="O115" i="20"/>
  <c r="O281" i="20"/>
  <c r="O346" i="20"/>
  <c r="N236" i="11"/>
  <c r="W1757" i="2" s="1"/>
  <c r="W1756" i="2" s="1"/>
  <c r="E60" i="2" s="1"/>
  <c r="E40" i="10" s="1"/>
  <c r="F40" i="10" s="1"/>
  <c r="O213" i="20"/>
  <c r="F54" i="40" s="1"/>
  <c r="O212" i="20"/>
  <c r="F53" i="40" s="1"/>
  <c r="N123" i="11"/>
  <c r="W214" i="2" s="1"/>
  <c r="C261" i="27"/>
  <c r="O256" i="20"/>
  <c r="C233" i="27"/>
  <c r="N76" i="11"/>
  <c r="W117" i="2" s="1"/>
  <c r="N332" i="11"/>
  <c r="O760" i="6" s="1"/>
  <c r="O201" i="20"/>
  <c r="N321" i="11"/>
  <c r="O1289" i="6" s="1"/>
  <c r="O383" i="20"/>
  <c r="C184" i="27"/>
  <c r="N360" i="11"/>
  <c r="O417" i="6" s="1"/>
  <c r="O317" i="20"/>
  <c r="N386" i="11"/>
  <c r="O594" i="6" s="1"/>
  <c r="C45" i="27"/>
  <c r="O328" i="20"/>
  <c r="N266" i="11"/>
  <c r="O351" i="6" s="1"/>
  <c r="N327" i="11"/>
  <c r="O921" i="6" s="1"/>
  <c r="O193" i="20"/>
  <c r="O226" i="20"/>
  <c r="F64" i="40" s="1"/>
  <c r="C44" i="27"/>
  <c r="C358" i="27"/>
  <c r="C335" i="27"/>
  <c r="C225" i="27"/>
  <c r="O289" i="20"/>
  <c r="E26" i="35" s="1"/>
  <c r="F26" i="35" s="1"/>
  <c r="O314" i="20"/>
  <c r="C177" i="27"/>
  <c r="N316" i="11"/>
  <c r="O1166" i="6" s="1"/>
  <c r="C316" i="27"/>
  <c r="L104" i="12"/>
  <c r="H104" i="12" s="1"/>
  <c r="N104" i="12" s="1"/>
  <c r="P104" i="12" s="1"/>
  <c r="C349" i="27"/>
  <c r="O242" i="20"/>
  <c r="O133" i="20"/>
  <c r="O384" i="20"/>
  <c r="N225" i="11"/>
  <c r="W1824" i="2" s="1"/>
  <c r="C237" i="27"/>
  <c r="O149" i="20"/>
  <c r="N352" i="11"/>
  <c r="O113" i="6" s="1"/>
  <c r="C297" i="27"/>
  <c r="C260" i="27"/>
  <c r="O339" i="20"/>
  <c r="N296" i="11"/>
  <c r="O552" i="6" s="1"/>
  <c r="O64" i="20"/>
  <c r="N34" i="11"/>
  <c r="AB315" i="2" s="1"/>
  <c r="C48" i="27"/>
  <c r="O85" i="20"/>
  <c r="N265" i="11"/>
  <c r="O341" i="6" s="1"/>
  <c r="N187" i="11"/>
  <c r="AB1056" i="2" s="1"/>
  <c r="O403" i="20"/>
  <c r="O264" i="20"/>
  <c r="C337" i="27"/>
  <c r="C33" i="27"/>
  <c r="O258" i="20"/>
  <c r="C318" i="27"/>
  <c r="N115" i="11"/>
  <c r="W64" i="2" s="1"/>
  <c r="O365" i="20"/>
  <c r="L98" i="12"/>
  <c r="H98" i="12" s="1"/>
  <c r="N98" i="12" s="1"/>
  <c r="P98" i="12" s="1"/>
  <c r="L97" i="12"/>
  <c r="P97" i="12" s="1"/>
  <c r="N49" i="11"/>
  <c r="AB415" i="2" s="1"/>
  <c r="N98" i="11"/>
  <c r="W383" i="2" s="1"/>
  <c r="O333" i="20"/>
  <c r="L19" i="12"/>
  <c r="P19" i="12" s="1"/>
  <c r="N70" i="11"/>
  <c r="W54" i="2" s="1"/>
  <c r="N262" i="11"/>
  <c r="W1780" i="2" s="1"/>
  <c r="N308" i="11"/>
  <c r="O1123" i="6" s="1"/>
  <c r="O340" i="20"/>
  <c r="O59" i="20"/>
  <c r="N248" i="11"/>
  <c r="W2031" i="2" s="1"/>
  <c r="C344" i="27"/>
  <c r="N347" i="11"/>
  <c r="O60" i="6" s="1"/>
  <c r="O181" i="20"/>
  <c r="O372" i="20"/>
  <c r="N41" i="11"/>
  <c r="AB476" i="2" s="1"/>
  <c r="C245" i="27"/>
  <c r="N240" i="11"/>
  <c r="W1948" i="2" s="1"/>
  <c r="C222" i="27"/>
  <c r="C384" i="27"/>
  <c r="O315" i="20"/>
  <c r="C208" i="27"/>
  <c r="C205" i="27"/>
  <c r="N88" i="11"/>
  <c r="W238" i="2" s="1"/>
  <c r="N86" i="11"/>
  <c r="W342" i="2" s="1"/>
  <c r="O369" i="20"/>
  <c r="D69" i="26"/>
  <c r="H69" i="26" s="1"/>
  <c r="N45" i="11"/>
  <c r="AB486" i="2" s="1"/>
  <c r="C193" i="27"/>
  <c r="C106" i="27"/>
  <c r="C40" i="27"/>
  <c r="O147" i="20"/>
  <c r="N196" i="11"/>
  <c r="AB816" i="2" s="1"/>
  <c r="N171" i="11"/>
  <c r="W1688" i="2" s="1"/>
  <c r="C324" i="27"/>
  <c r="O78" i="20"/>
  <c r="C62" i="27"/>
  <c r="O377" i="20"/>
  <c r="O311" i="20"/>
  <c r="N383" i="11"/>
  <c r="O971" i="6" s="1"/>
  <c r="N228" i="11"/>
  <c r="W1796" i="2" s="1"/>
  <c r="O84" i="20"/>
  <c r="N63" i="11"/>
  <c r="AB685" i="2" s="1"/>
  <c r="N334" i="11"/>
  <c r="O1189" i="6" s="1"/>
  <c r="O169" i="20"/>
  <c r="N260" i="11"/>
  <c r="W1768" i="2" s="1"/>
  <c r="N312" i="11"/>
  <c r="O1112" i="6" s="1"/>
  <c r="N219" i="11"/>
  <c r="W1847" i="2" s="1"/>
  <c r="O327" i="20"/>
  <c r="O397" i="20"/>
  <c r="O396" i="20"/>
  <c r="D43" i="28"/>
  <c r="H43" i="28" s="1"/>
  <c r="N322" i="11"/>
  <c r="O1299" i="6" s="1"/>
  <c r="N69" i="11"/>
  <c r="W41" i="2" s="1"/>
  <c r="N165" i="11"/>
  <c r="W1533" i="2" s="1"/>
  <c r="O124" i="20"/>
  <c r="C154" i="27"/>
  <c r="N197" i="11"/>
  <c r="AB697" i="2" s="1"/>
  <c r="L94" i="12"/>
  <c r="P94" i="12" s="1"/>
  <c r="N40" i="11"/>
  <c r="W619" i="2" s="1"/>
  <c r="N157" i="11"/>
  <c r="AB940" i="2" s="1"/>
  <c r="N239" i="11"/>
  <c r="AB794" i="2" s="1"/>
  <c r="C386" i="27"/>
  <c r="N333" i="11"/>
  <c r="O1188" i="6" s="1"/>
  <c r="N117" i="11"/>
  <c r="W103" i="2" s="1"/>
  <c r="N84" i="11"/>
  <c r="W201" i="2" s="1"/>
  <c r="C292" i="27"/>
  <c r="C216" i="27"/>
  <c r="O332" i="20"/>
  <c r="N231" i="11"/>
  <c r="AB770" i="2" s="1"/>
  <c r="C115" i="27"/>
  <c r="C141" i="27"/>
  <c r="O192" i="20"/>
  <c r="O274" i="20"/>
  <c r="E20" i="35" s="1"/>
  <c r="F20" i="35" s="1"/>
  <c r="O249" i="20"/>
  <c r="C319" i="27"/>
  <c r="C242" i="27"/>
  <c r="C107" i="27"/>
  <c r="O103" i="20"/>
  <c r="N206" i="11"/>
  <c r="AB637" i="2" s="1"/>
  <c r="O155" i="20"/>
  <c r="E20" i="41" s="1"/>
  <c r="G20" i="41" s="1"/>
  <c r="N319" i="11"/>
  <c r="O992" i="6" s="1"/>
  <c r="N180" i="11"/>
  <c r="W1746" i="2" s="1"/>
  <c r="O136" i="20"/>
  <c r="N158" i="11"/>
  <c r="AB1020" i="2" s="1"/>
  <c r="C293" i="27"/>
  <c r="O393" i="20"/>
  <c r="N295" i="11"/>
  <c r="O540" i="6" s="1"/>
  <c r="N177" i="11"/>
  <c r="W1722" i="2" s="1"/>
  <c r="W1721" i="2" s="1"/>
  <c r="E58" i="2" s="1"/>
  <c r="C378" i="27"/>
  <c r="N118" i="11"/>
  <c r="W88" i="2" s="1"/>
  <c r="N381" i="11"/>
  <c r="O951" i="6" s="1"/>
  <c r="N208" i="11"/>
  <c r="AB573" i="2" s="1"/>
  <c r="AB562" i="2" s="1"/>
  <c r="M63" i="2" s="1"/>
  <c r="N63" i="2" s="1"/>
  <c r="E16" i="25"/>
  <c r="E18" i="25" s="1"/>
  <c r="O158" i="20"/>
  <c r="N189" i="11"/>
  <c r="AB1058" i="2" s="1"/>
  <c r="O237" i="20"/>
  <c r="O65" i="20"/>
  <c r="O195" i="20"/>
  <c r="C105" i="27"/>
  <c r="N31" i="11"/>
  <c r="C347" i="27"/>
  <c r="N313" i="11"/>
  <c r="O1114" i="6" s="1"/>
  <c r="N111" i="11"/>
  <c r="W547" i="2" s="1"/>
  <c r="C123" i="27"/>
  <c r="C30" i="27"/>
  <c r="C296" i="27"/>
  <c r="C49" i="27"/>
  <c r="O241" i="20"/>
  <c r="K20" i="60"/>
  <c r="J19" i="46"/>
  <c r="H19" i="46" s="1"/>
  <c r="O250" i="20"/>
  <c r="O123" i="20"/>
  <c r="C289" i="27"/>
  <c r="N185" i="11"/>
  <c r="AB1055" i="2" s="1"/>
  <c r="N299" i="11"/>
  <c r="O550" i="6" s="1"/>
  <c r="C305" i="27"/>
  <c r="C178" i="27"/>
  <c r="N181" i="11"/>
  <c r="W630" i="2" s="1"/>
  <c r="O359" i="20"/>
  <c r="O88" i="20"/>
  <c r="N87" i="11"/>
  <c r="W228" i="2" s="1"/>
  <c r="C28" i="27"/>
  <c r="O132" i="20"/>
  <c r="O218" i="20"/>
  <c r="F59" i="41" s="1"/>
  <c r="O171" i="20"/>
  <c r="C125" i="27"/>
  <c r="N108" i="11"/>
  <c r="W487" i="2" s="1"/>
  <c r="O116" i="20"/>
  <c r="C153" i="27"/>
  <c r="N128" i="11"/>
  <c r="W352" i="2" s="1"/>
  <c r="N279" i="11"/>
  <c r="O648" i="6" s="1"/>
  <c r="N131" i="11"/>
  <c r="W340" i="2" s="1"/>
  <c r="N73" i="11"/>
  <c r="W79" i="2" s="1"/>
  <c r="O82" i="20"/>
  <c r="O308" i="20"/>
  <c r="N167" i="11"/>
  <c r="AB1069" i="2" s="1"/>
  <c r="AB1068" i="2" s="1"/>
  <c r="M78" i="2" s="1"/>
  <c r="O93" i="20"/>
  <c r="L65" i="12"/>
  <c r="H65" i="12" s="1"/>
  <c r="N65" i="12" s="1"/>
  <c r="P65" i="12" s="1"/>
  <c r="O120" i="20"/>
  <c r="O47" i="20"/>
  <c r="C377" i="27"/>
  <c r="O277" i="20"/>
  <c r="E23" i="35" s="1"/>
  <c r="F23" i="35" s="1"/>
  <c r="O312" i="20"/>
  <c r="C95" i="27"/>
  <c r="O146" i="20"/>
  <c r="N67" i="11"/>
  <c r="W18" i="2" s="1"/>
  <c r="N127" i="11"/>
  <c r="W218" i="2" s="1"/>
  <c r="O215" i="20"/>
  <c r="F56" i="41" s="1"/>
  <c r="O66" i="20"/>
  <c r="O32" i="20"/>
  <c r="N384" i="11"/>
  <c r="O213" i="6" s="1"/>
  <c r="O386" i="20"/>
  <c r="E19" i="44" s="1"/>
  <c r="N51" i="11"/>
  <c r="AB381" i="2" s="1"/>
  <c r="AB379" i="2" s="1"/>
  <c r="M53" i="2" s="1"/>
  <c r="E84" i="10" s="1"/>
  <c r="O231" i="20"/>
  <c r="F68" i="40" s="1"/>
  <c r="O363" i="20"/>
  <c r="O108" i="20"/>
  <c r="L44" i="12"/>
  <c r="H44" i="12" s="1"/>
  <c r="N44" i="12" s="1"/>
  <c r="P44" i="12" s="1"/>
  <c r="C14" i="27"/>
  <c r="C270" i="27"/>
  <c r="O358" i="20"/>
  <c r="N78" i="11"/>
  <c r="W141" i="2" s="1"/>
  <c r="O157" i="20"/>
  <c r="E25" i="41" s="1"/>
  <c r="G25" i="41" s="1"/>
  <c r="N345" i="11"/>
  <c r="O40" i="6" s="1"/>
  <c r="D70" i="26"/>
  <c r="H70" i="26" s="1"/>
  <c r="N245" i="11"/>
  <c r="W1991" i="2" s="1"/>
  <c r="O31" i="20"/>
  <c r="N8" i="11"/>
  <c r="AB114" i="2" s="1"/>
  <c r="N325" i="11"/>
  <c r="O813" i="6" s="1"/>
  <c r="N125" i="11"/>
  <c r="W216" i="2" s="1"/>
  <c r="C169" i="27"/>
  <c r="C366" i="27"/>
  <c r="O348" i="20"/>
  <c r="C224" i="27"/>
  <c r="C46" i="27"/>
  <c r="O228" i="20"/>
  <c r="F65" i="40" s="1"/>
  <c r="O46" i="20"/>
  <c r="N26" i="11"/>
  <c r="AB214" i="2" s="1"/>
  <c r="AB213" i="2" s="1"/>
  <c r="M37" i="2" s="1"/>
  <c r="O183" i="20"/>
  <c r="N227" i="11"/>
  <c r="AB759" i="2" s="1"/>
  <c r="O62" i="20"/>
  <c r="O385" i="20"/>
  <c r="E18" i="44" s="1"/>
  <c r="O239" i="20"/>
  <c r="N247" i="11"/>
  <c r="W2021" i="2" s="1"/>
  <c r="C182" i="27"/>
  <c r="C27" i="27"/>
  <c r="N28" i="11"/>
  <c r="N280" i="11"/>
  <c r="O658" i="6" s="1"/>
  <c r="N362" i="11"/>
  <c r="O437" i="6" s="1"/>
  <c r="N47" i="11"/>
  <c r="AB369" i="2" s="1"/>
  <c r="AB367" i="2" s="1"/>
  <c r="M52" i="2" s="1"/>
  <c r="E83" i="10" s="1"/>
  <c r="C35" i="48" s="1"/>
  <c r="I44" i="57"/>
  <c r="L20" i="12"/>
  <c r="H20" i="12" s="1"/>
  <c r="N20" i="12" s="1"/>
  <c r="P20" i="12" s="1"/>
  <c r="N119" i="11"/>
  <c r="W127" i="2" s="1"/>
  <c r="O297" i="20"/>
  <c r="E42" i="40" s="1"/>
  <c r="N324" i="11"/>
  <c r="O803" i="6" s="1"/>
  <c r="N42" i="11"/>
  <c r="N179" i="11"/>
  <c r="W1736" i="2" s="1"/>
  <c r="N164" i="11"/>
  <c r="W1523" i="2" s="1"/>
  <c r="O199" i="20"/>
  <c r="O34" i="20"/>
  <c r="O194" i="20"/>
  <c r="C129" i="27"/>
  <c r="C243" i="27"/>
  <c r="C109" i="27"/>
  <c r="N246" i="11"/>
  <c r="W2011" i="2" s="1"/>
  <c r="O202" i="20"/>
  <c r="C370" i="27"/>
  <c r="F65" i="48"/>
  <c r="F62" i="49" s="1"/>
  <c r="F60" i="49"/>
  <c r="N271" i="11"/>
  <c r="O330" i="6" s="1"/>
  <c r="O98" i="20"/>
  <c r="N254" i="11"/>
  <c r="AB512" i="2" s="1"/>
  <c r="N65" i="11"/>
  <c r="AB1111" i="2" s="1"/>
  <c r="C251" i="27"/>
  <c r="O211" i="20"/>
  <c r="N359" i="11"/>
  <c r="O518" i="6" s="1"/>
  <c r="O18" i="20"/>
  <c r="E18" i="43" s="1"/>
  <c r="N390" i="11"/>
  <c r="O1258" i="6" s="1"/>
  <c r="D16" i="21"/>
  <c r="D18" i="21" s="1"/>
  <c r="N258" i="11"/>
  <c r="AB552" i="2" s="1"/>
  <c r="N82" i="11"/>
  <c r="W181" i="2" s="1"/>
  <c r="C82" i="27"/>
  <c r="O17" i="20"/>
  <c r="C345" i="27"/>
  <c r="C151" i="27"/>
  <c r="N29" i="11"/>
  <c r="O203" i="20"/>
  <c r="C89" i="27"/>
  <c r="C18" i="27"/>
  <c r="O174" i="20"/>
  <c r="C228" i="27"/>
  <c r="C152" i="27"/>
  <c r="K32" i="60"/>
  <c r="K19" i="60"/>
  <c r="O151" i="20"/>
  <c r="C176" i="27"/>
  <c r="O105" i="20"/>
  <c r="N152" i="11"/>
  <c r="AB919" i="2" s="1"/>
  <c r="C221" i="27"/>
  <c r="N155" i="11"/>
  <c r="W1480" i="2" s="1"/>
  <c r="W1479" i="2" s="1"/>
  <c r="E52" i="2" s="1"/>
  <c r="O290" i="20"/>
  <c r="E27" i="35" s="1"/>
  <c r="F27" i="35" s="1"/>
  <c r="N55" i="11"/>
  <c r="AB347" i="2" s="1"/>
  <c r="C23" i="27"/>
  <c r="O106" i="20"/>
  <c r="O77" i="20"/>
  <c r="N162" i="11"/>
  <c r="W1565" i="2" s="1"/>
  <c r="C157" i="27"/>
  <c r="O71" i="20"/>
  <c r="O80" i="20"/>
  <c r="N7" i="11"/>
  <c r="AB52" i="2" s="1"/>
  <c r="O143" i="20"/>
  <c r="N278" i="11"/>
  <c r="O638" i="6" s="1"/>
  <c r="N293" i="11"/>
  <c r="O731" i="6" s="1"/>
  <c r="N130" i="11"/>
  <c r="W128" i="2" s="1"/>
  <c r="N142" i="11"/>
  <c r="W815" i="2" s="1"/>
  <c r="D66" i="29"/>
  <c r="H66" i="29" s="1"/>
  <c r="E32" i="57" s="1"/>
  <c r="L34" i="12"/>
  <c r="P34" i="12" s="1"/>
  <c r="C128" i="27"/>
  <c r="D34" i="30"/>
  <c r="H34" i="30" s="1"/>
  <c r="C278" i="27"/>
  <c r="C146" i="27"/>
  <c r="O342" i="20"/>
  <c r="C382" i="27"/>
  <c r="O26" i="20"/>
  <c r="C80" i="27"/>
  <c r="C230" i="27"/>
  <c r="O200" i="20"/>
  <c r="O97" i="20"/>
  <c r="N77" i="11"/>
  <c r="W131" i="2" s="1"/>
  <c r="K22" i="60"/>
  <c r="N143" i="11"/>
  <c r="W915" i="2" s="1"/>
  <c r="N276" i="11"/>
  <c r="O618" i="6" s="1"/>
  <c r="O33" i="20"/>
  <c r="O154" i="20"/>
  <c r="E19" i="40" s="1"/>
  <c r="G19" i="40" s="1"/>
  <c r="N233" i="11"/>
  <c r="W1618" i="2" s="1"/>
  <c r="O113" i="20"/>
  <c r="O30" i="20"/>
  <c r="O318" i="20"/>
  <c r="N309" i="11"/>
  <c r="O1124" i="6" s="1"/>
  <c r="O180" i="20"/>
  <c r="O16" i="20"/>
  <c r="E16" i="43" s="1"/>
  <c r="O184" i="20"/>
  <c r="O221" i="20"/>
  <c r="C10" i="27"/>
  <c r="C254" i="27"/>
  <c r="N318" i="11"/>
  <c r="O982" i="6" s="1"/>
  <c r="O232" i="20"/>
  <c r="N235" i="11"/>
  <c r="AB190" i="2" s="1"/>
  <c r="AB189" i="2" s="1"/>
  <c r="M32" i="2" s="1"/>
  <c r="O224" i="20"/>
  <c r="F62" i="40" s="1"/>
  <c r="O44" i="20"/>
  <c r="O186" i="20"/>
  <c r="N105" i="11"/>
  <c r="W431" i="2" s="1"/>
  <c r="O37" i="20"/>
  <c r="N9" i="11"/>
  <c r="AB124" i="2" s="1"/>
  <c r="N124" i="11"/>
  <c r="W215" i="2" s="1"/>
  <c r="N191" i="11"/>
  <c r="W1969" i="2" s="1"/>
  <c r="N344" i="11"/>
  <c r="O30" i="6" s="1"/>
  <c r="N195" i="11"/>
  <c r="AB815" i="2" s="1"/>
  <c r="O163" i="20"/>
  <c r="O254" i="20"/>
  <c r="N62" i="11"/>
  <c r="AB675" i="2" s="1"/>
  <c r="N373" i="11"/>
  <c r="O1094" i="6" s="1"/>
  <c r="N91" i="11"/>
  <c r="W298" i="2" s="1"/>
  <c r="N200" i="11"/>
  <c r="AB699" i="2" s="1"/>
  <c r="N172" i="11"/>
  <c r="W1701" i="2" s="1"/>
  <c r="C61" i="27"/>
  <c r="N275" i="11"/>
  <c r="O608" i="6" s="1"/>
  <c r="C314" i="27"/>
  <c r="O96" i="20"/>
  <c r="C321" i="27"/>
  <c r="N301" i="11"/>
  <c r="O740" i="6" s="1"/>
  <c r="N110" i="11"/>
  <c r="W497" i="2" s="1"/>
  <c r="C290" i="27"/>
  <c r="N160" i="11"/>
  <c r="W1503" i="2" s="1"/>
  <c r="J25" i="46"/>
  <c r="H25" i="46" s="1"/>
  <c r="N5" i="11"/>
  <c r="AB20" i="2" s="1"/>
  <c r="AB19" i="2" s="1"/>
  <c r="M20" i="2" s="1"/>
  <c r="C238" i="27"/>
  <c r="O144" i="20"/>
  <c r="N186" i="11"/>
  <c r="AB1052" i="2" s="1"/>
  <c r="AB1051" i="2" s="1"/>
  <c r="M76" i="2" s="1"/>
  <c r="C183" i="27"/>
  <c r="C55" i="27"/>
  <c r="C54" i="27"/>
  <c r="C272" i="27"/>
  <c r="N217" i="11"/>
  <c r="W1881" i="2" s="1"/>
  <c r="N385" i="11"/>
  <c r="O770" i="6" s="1"/>
  <c r="C162" i="27"/>
  <c r="N24" i="11"/>
  <c r="AB248" i="2" s="1"/>
  <c r="N281" i="11"/>
  <c r="O668" i="6" s="1"/>
  <c r="C275" i="27"/>
  <c r="N305" i="11"/>
  <c r="O1106" i="6" s="1"/>
  <c r="O247" i="20"/>
  <c r="O92" i="20"/>
  <c r="N350" i="11"/>
  <c r="O80" i="6" s="1"/>
  <c r="C66" i="27"/>
  <c r="C149" i="27"/>
  <c r="C246" i="27"/>
  <c r="O101" i="20"/>
  <c r="N286" i="11"/>
  <c r="O699" i="6" s="1"/>
  <c r="O255" i="20"/>
  <c r="O210" i="20"/>
  <c r="N218" i="11"/>
  <c r="W1837" i="2" s="1"/>
  <c r="N126" i="11"/>
  <c r="W217" i="2" s="1"/>
  <c r="O191" i="20"/>
  <c r="O394" i="20"/>
  <c r="N12" i="11"/>
  <c r="AB66" i="2" s="1"/>
  <c r="AB65" i="2" s="1"/>
  <c r="M24" i="2" s="1"/>
  <c r="N159" i="11"/>
  <c r="W1493" i="2" s="1"/>
  <c r="O39" i="20"/>
  <c r="O349" i="20"/>
  <c r="N251" i="11"/>
  <c r="W662" i="2" s="1"/>
  <c r="C356" i="27"/>
  <c r="C235" i="27"/>
  <c r="O204" i="20"/>
  <c r="N292" i="11"/>
  <c r="O730" i="6" s="1"/>
  <c r="O282" i="20"/>
  <c r="O389" i="20"/>
  <c r="N267" i="11"/>
  <c r="O327" i="6" s="1"/>
  <c r="C56" i="27"/>
  <c r="N83" i="11"/>
  <c r="W191" i="2" s="1"/>
  <c r="C81" i="27"/>
  <c r="D42" i="28"/>
  <c r="H42" i="28" s="1"/>
  <c r="N250" i="11"/>
  <c r="W652" i="2" s="1"/>
  <c r="N23" i="11"/>
  <c r="AB238" i="2" s="1"/>
  <c r="K26" i="60"/>
  <c r="D74" i="26"/>
  <c r="D76" i="26" s="1"/>
  <c r="N205" i="11"/>
  <c r="AB739" i="2" s="1"/>
  <c r="C25" i="27"/>
  <c r="C170" i="27"/>
  <c r="C202" i="27"/>
  <c r="O41" i="20"/>
  <c r="N284" i="11"/>
  <c r="O1345" i="6" s="1"/>
  <c r="C156" i="27"/>
  <c r="O45" i="20"/>
  <c r="N148" i="11"/>
  <c r="W804" i="2" s="1"/>
  <c r="E48" i="57"/>
  <c r="O225" i="20"/>
  <c r="F63" i="40" s="1"/>
  <c r="N27" i="11"/>
  <c r="AB225" i="2" s="1"/>
  <c r="AB224" i="2" s="1"/>
  <c r="M38" i="2" s="1"/>
  <c r="K18" i="60"/>
  <c r="O23" i="20"/>
  <c r="C181" i="27"/>
  <c r="O343" i="20"/>
  <c r="O366" i="20"/>
  <c r="C373" i="27"/>
  <c r="N249" i="11"/>
  <c r="W642" i="2" s="1"/>
  <c r="O110" i="20"/>
  <c r="N297" i="11"/>
  <c r="O562" i="6" s="1"/>
  <c r="N102" i="11"/>
  <c r="W454" i="2" s="1"/>
  <c r="N190" i="11"/>
  <c r="AB488" i="2" s="1"/>
  <c r="AB487" i="2" s="1"/>
  <c r="M57" i="2" s="1"/>
  <c r="E87" i="10" s="1"/>
  <c r="O362" i="20"/>
  <c r="E21" i="40" s="1"/>
  <c r="G21" i="40" s="1"/>
  <c r="O217" i="20"/>
  <c r="F58" i="40" s="1"/>
  <c r="N120" i="11"/>
  <c r="W211" i="2" s="1"/>
  <c r="N114" i="11"/>
  <c r="W51" i="2" s="1"/>
  <c r="C276" i="27"/>
  <c r="N149" i="11"/>
  <c r="AB858" i="2" s="1"/>
  <c r="K34" i="60"/>
  <c r="D50" i="28"/>
  <c r="D52" i="28" s="1"/>
  <c r="C20" i="27"/>
  <c r="O159" i="20"/>
  <c r="C77" i="27"/>
  <c r="C213" i="27"/>
  <c r="N376" i="11"/>
  <c r="O1032" i="6" s="1"/>
  <c r="N252" i="11"/>
  <c r="W672" i="2" s="1"/>
  <c r="O301" i="20"/>
  <c r="E41" i="40" s="1"/>
  <c r="O205" i="20"/>
  <c r="N234" i="11"/>
  <c r="C231" i="27"/>
  <c r="N242" i="11"/>
  <c r="W1979" i="2" s="1"/>
  <c r="C74" i="27"/>
  <c r="O360" i="20"/>
  <c r="I46" i="57"/>
  <c r="C126" i="27"/>
  <c r="N156" i="11"/>
  <c r="AB930" i="2" s="1"/>
  <c r="O72" i="20"/>
  <c r="N101" i="11"/>
  <c r="W397" i="2" s="1"/>
  <c r="O270" i="20"/>
  <c r="C268" i="27"/>
  <c r="O268" i="20"/>
  <c r="E26" i="41" s="1"/>
  <c r="G26" i="41" s="1"/>
  <c r="O172" i="20"/>
  <c r="L17" i="12"/>
  <c r="P17" i="12" s="1"/>
  <c r="N57" i="11"/>
  <c r="AB445" i="2" s="1"/>
  <c r="O109" i="20"/>
  <c r="O262" i="20"/>
  <c r="O114" i="20"/>
  <c r="O137" i="20"/>
  <c r="O227" i="20"/>
  <c r="C13" i="27"/>
  <c r="N176" i="11"/>
  <c r="W1725" i="2" s="1"/>
  <c r="N216" i="11"/>
  <c r="W1813" i="2" s="1"/>
  <c r="K25" i="60"/>
  <c r="N144" i="11"/>
  <c r="W1147" i="2" s="1"/>
  <c r="O90" i="20"/>
  <c r="O304" i="20"/>
  <c r="O248" i="20"/>
  <c r="C291" i="27"/>
  <c r="E52" i="57"/>
  <c r="N294" i="11"/>
  <c r="O530" i="6" s="1"/>
  <c r="C113" i="27"/>
  <c r="C267" i="27"/>
  <c r="C72" i="27"/>
  <c r="D16" i="25"/>
  <c r="D18" i="25" s="1"/>
  <c r="O338" i="20"/>
  <c r="C64" i="27"/>
  <c r="C232" i="27"/>
  <c r="I43" i="46"/>
  <c r="G43" i="46" s="1"/>
  <c r="E50" i="57"/>
  <c r="O134" i="20"/>
  <c r="O49" i="20"/>
  <c r="N317" i="11"/>
  <c r="O1132" i="6" s="1"/>
  <c r="N311" i="11"/>
  <c r="O1156" i="6" s="1"/>
  <c r="N184" i="11"/>
  <c r="AB1054" i="2" s="1"/>
  <c r="D68" i="26"/>
  <c r="H68" i="26" s="1"/>
  <c r="O42" i="20"/>
  <c r="O236" i="20"/>
  <c r="C138" i="27"/>
  <c r="C308" i="27"/>
  <c r="C281" i="27"/>
  <c r="C100" i="27"/>
  <c r="N277" i="11"/>
  <c r="O628" i="6" s="1"/>
  <c r="C85" i="27"/>
  <c r="N20" i="11"/>
  <c r="AB136" i="2" s="1"/>
  <c r="AB135" i="2" s="1"/>
  <c r="M28" i="2" s="1"/>
  <c r="C145" i="27"/>
  <c r="O43" i="20"/>
  <c r="N25" i="11"/>
  <c r="AB258" i="2" s="1"/>
  <c r="O198" i="20"/>
  <c r="N13" i="11"/>
  <c r="AB78" i="2" s="1"/>
  <c r="O325" i="20"/>
  <c r="C117" i="27"/>
  <c r="O35" i="20"/>
  <c r="J33" i="46"/>
  <c r="H33" i="46" s="1"/>
  <c r="N16" i="11"/>
  <c r="AB90" i="2" s="1"/>
  <c r="K29" i="60"/>
  <c r="K23" i="61" s="1"/>
  <c r="O27" i="20"/>
  <c r="K30" i="60"/>
  <c r="N6" i="11"/>
  <c r="AB51" i="2" s="1"/>
  <c r="O40" i="20"/>
  <c r="N17" i="11"/>
  <c r="AB93" i="2" s="1"/>
  <c r="I1710" i="11"/>
  <c r="O38" i="20"/>
  <c r="I18" i="46"/>
  <c r="G18" i="46" s="1"/>
  <c r="C16" i="27"/>
  <c r="N19" i="11"/>
  <c r="AB103" i="2" s="1"/>
  <c r="I28" i="46"/>
  <c r="G28" i="46" s="1"/>
  <c r="N15" i="11"/>
  <c r="AB89" i="2" s="1"/>
  <c r="K28" i="60"/>
  <c r="O324" i="20"/>
  <c r="E2" i="11"/>
  <c r="N14" i="11"/>
  <c r="AB87" i="2" s="1"/>
  <c r="O323" i="20"/>
  <c r="J1710" i="11"/>
  <c r="E37" i="41"/>
  <c r="F55" i="36"/>
  <c r="N51" i="36"/>
  <c r="N55" i="36" s="1"/>
  <c r="C34" i="27"/>
  <c r="L25" i="12"/>
  <c r="P25" i="12" s="1"/>
  <c r="E46" i="60"/>
  <c r="F45" i="60"/>
  <c r="C269" i="27"/>
  <c r="C255" i="27"/>
  <c r="C280" i="27"/>
  <c r="K33" i="60"/>
  <c r="K24" i="60"/>
  <c r="K21" i="60"/>
  <c r="J26" i="46"/>
  <c r="H26" i="46" s="1"/>
  <c r="K27" i="60"/>
  <c r="J22" i="46"/>
  <c r="H22" i="46" s="1"/>
  <c r="K23" i="60"/>
  <c r="E17" i="60"/>
  <c r="F27" i="61"/>
  <c r="E28" i="61"/>
  <c r="E17" i="61"/>
  <c r="C244" i="27"/>
  <c r="L107" i="12"/>
  <c r="H107" i="12" s="1"/>
  <c r="N107" i="12" s="1"/>
  <c r="P107" i="12" s="1"/>
  <c r="C350" i="27"/>
  <c r="C110" i="27"/>
  <c r="L23" i="12"/>
  <c r="H23" i="12" s="1"/>
  <c r="N23" i="12" s="1"/>
  <c r="P23" i="12" s="1"/>
  <c r="C99" i="27"/>
  <c r="C63" i="27"/>
  <c r="C192" i="27"/>
  <c r="C50" i="27"/>
  <c r="C133" i="27"/>
  <c r="C51" i="27"/>
  <c r="C359" i="27"/>
  <c r="C121" i="27"/>
  <c r="C329" i="27"/>
  <c r="C195" i="27"/>
  <c r="C277" i="27"/>
  <c r="L29" i="12"/>
  <c r="C114" i="27"/>
  <c r="C127" i="27"/>
  <c r="C339" i="27"/>
  <c r="C163" i="27"/>
  <c r="C19" i="27"/>
  <c r="C247" i="27"/>
  <c r="J20" i="46"/>
  <c r="H20" i="46" s="1"/>
  <c r="C9" i="27"/>
  <c r="C137" i="27"/>
  <c r="C186" i="27"/>
  <c r="C214" i="27"/>
  <c r="C229" i="27"/>
  <c r="C343" i="27"/>
  <c r="C332" i="27"/>
  <c r="C42" i="27"/>
  <c r="I26" i="46"/>
  <c r="G26" i="46" s="1"/>
  <c r="C15" i="27"/>
  <c r="C24" i="27"/>
  <c r="C282" i="27"/>
  <c r="C35" i="27"/>
  <c r="C159" i="27"/>
  <c r="C179" i="27"/>
  <c r="C38" i="27"/>
  <c r="C271" i="27"/>
  <c r="C79" i="27"/>
  <c r="L37" i="12"/>
  <c r="P37" i="12" s="1"/>
  <c r="C338" i="27"/>
  <c r="C130" i="27"/>
  <c r="C266" i="27"/>
  <c r="C76" i="27"/>
  <c r="L28" i="12"/>
  <c r="P28" i="12" s="1"/>
  <c r="C200" i="27"/>
  <c r="C328" i="27"/>
  <c r="C174" i="27"/>
  <c r="C249" i="27"/>
  <c r="C122" i="27"/>
  <c r="C139" i="27"/>
  <c r="C58" i="27"/>
  <c r="C120" i="27"/>
  <c r="L68" i="12"/>
  <c r="H54" i="12"/>
  <c r="C298" i="27"/>
  <c r="H117" i="12"/>
  <c r="C313" i="27"/>
  <c r="L41" i="12"/>
  <c r="H41" i="12" s="1"/>
  <c r="N41" i="12" s="1"/>
  <c r="P41" i="12" s="1"/>
  <c r="C118" i="27"/>
  <c r="C180" i="27"/>
  <c r="C143" i="27"/>
  <c r="I22" i="46"/>
  <c r="G22" i="46" s="1"/>
  <c r="C11" i="27"/>
  <c r="C257" i="27"/>
  <c r="C86" i="27"/>
  <c r="L35" i="12"/>
  <c r="H35" i="12" s="1"/>
  <c r="N35" i="12" s="1"/>
  <c r="P35" i="12" s="1"/>
  <c r="C116" i="27"/>
  <c r="C47" i="27"/>
  <c r="C164" i="27"/>
  <c r="C303" i="27"/>
  <c r="C37" i="27"/>
  <c r="C132" i="27"/>
  <c r="L46" i="12"/>
  <c r="P46" i="12" s="1"/>
  <c r="C87" i="27"/>
  <c r="C69" i="27"/>
  <c r="C39" i="27"/>
  <c r="C197" i="27"/>
  <c r="C259" i="27"/>
  <c r="C75" i="27"/>
  <c r="C161" i="27"/>
  <c r="C203" i="27"/>
  <c r="C41" i="27"/>
  <c r="C57" i="27"/>
  <c r="AB465" i="2"/>
  <c r="C22" i="27"/>
  <c r="E44" i="57"/>
  <c r="C166" i="27"/>
  <c r="C341" i="27"/>
  <c r="C234" i="27"/>
  <c r="C185" i="27"/>
  <c r="C307" i="27"/>
  <c r="C263" i="27"/>
  <c r="C96" i="27"/>
  <c r="C112" i="27"/>
  <c r="C52" i="27"/>
  <c r="C31" i="27"/>
  <c r="C175" i="27"/>
  <c r="C312" i="27"/>
  <c r="C165" i="27"/>
  <c r="C150" i="27"/>
  <c r="C102" i="27"/>
  <c r="C83" i="27"/>
  <c r="L67" i="12"/>
  <c r="C21" i="27"/>
  <c r="C53" i="27"/>
  <c r="C223" i="27"/>
  <c r="J23" i="46"/>
  <c r="H23" i="46" s="1"/>
  <c r="C12" i="27"/>
  <c r="L109" i="12"/>
  <c r="C71" i="27"/>
  <c r="C211" i="27"/>
  <c r="C26" i="27"/>
  <c r="D65" i="48"/>
  <c r="E56" i="12"/>
  <c r="E35" i="40" l="1"/>
  <c r="H95" i="12"/>
  <c r="N95" i="12" s="1"/>
  <c r="P95" i="12" s="1"/>
  <c r="G30" i="70"/>
  <c r="N30" i="70" s="1"/>
  <c r="F127" i="70"/>
  <c r="J127" i="70" s="1"/>
  <c r="G31" i="70"/>
  <c r="N31" i="70" s="1"/>
  <c r="K42" i="60"/>
  <c r="K43" i="60" s="1"/>
  <c r="G200" i="70"/>
  <c r="N200" i="70" s="1"/>
  <c r="F114" i="70"/>
  <c r="J114" i="70" s="1"/>
  <c r="F143" i="70"/>
  <c r="J143" i="70" s="1"/>
  <c r="W1797" i="2"/>
  <c r="W1790" i="2" s="1"/>
  <c r="E66" i="2" s="1"/>
  <c r="F213" i="70"/>
  <c r="J213" i="70" s="1"/>
  <c r="AB769" i="2"/>
  <c r="G199" i="70"/>
  <c r="N199" i="70" s="1"/>
  <c r="F177" i="70"/>
  <c r="J177" i="70" s="1"/>
  <c r="L231" i="70"/>
  <c r="F224" i="70"/>
  <c r="J224" i="70" s="1"/>
  <c r="F171" i="70"/>
  <c r="J171" i="70" s="1"/>
  <c r="F162" i="70"/>
  <c r="J162" i="70" s="1"/>
  <c r="F211" i="70"/>
  <c r="J211" i="70" s="1"/>
  <c r="G197" i="70"/>
  <c r="N197" i="70" s="1"/>
  <c r="G25" i="70"/>
  <c r="N25" i="70" s="1"/>
  <c r="L227" i="70"/>
  <c r="L230" i="70"/>
  <c r="G21" i="70"/>
  <c r="N21" i="70" s="1"/>
  <c r="F214" i="70"/>
  <c r="J214" i="70" s="1"/>
  <c r="W1878" i="2"/>
  <c r="E70" i="2" s="1"/>
  <c r="F70" i="2" s="1"/>
  <c r="O507" i="6"/>
  <c r="E30" i="6" s="1"/>
  <c r="AD412" i="70"/>
  <c r="E67" i="10"/>
  <c r="U413" i="70"/>
  <c r="E75" i="10"/>
  <c r="AC412" i="70"/>
  <c r="E73" i="10"/>
  <c r="AB412" i="70"/>
  <c r="E69" i="10"/>
  <c r="G64" i="70"/>
  <c r="N64" i="70" s="1"/>
  <c r="H89" i="12"/>
  <c r="L114" i="12"/>
  <c r="F225" i="70"/>
  <c r="J225" i="70" s="1"/>
  <c r="W66" i="2"/>
  <c r="E20" i="2" s="1"/>
  <c r="L105" i="70"/>
  <c r="G65" i="70"/>
  <c r="N65" i="70" s="1"/>
  <c r="F84" i="70"/>
  <c r="J84" i="70" s="1"/>
  <c r="F263" i="70"/>
  <c r="J263" i="70" s="1"/>
  <c r="G18" i="70"/>
  <c r="N18" i="70" s="1"/>
  <c r="F81" i="70"/>
  <c r="J81" i="70" s="1"/>
  <c r="G67" i="70"/>
  <c r="N67" i="70" s="1"/>
  <c r="F78" i="70"/>
  <c r="J78" i="70" s="1"/>
  <c r="F141" i="70"/>
  <c r="J141" i="70" s="1"/>
  <c r="F104" i="70"/>
  <c r="J104" i="70" s="1"/>
  <c r="F161" i="70"/>
  <c r="J161" i="70" s="1"/>
  <c r="G49" i="70"/>
  <c r="N49" i="70" s="1"/>
  <c r="F109" i="70"/>
  <c r="J109" i="70" s="1"/>
  <c r="G159" i="70"/>
  <c r="N159" i="70" s="1"/>
  <c r="G15" i="70"/>
  <c r="N15" i="70" s="1"/>
  <c r="G201" i="70"/>
  <c r="N201" i="70" s="1"/>
  <c r="F90" i="70"/>
  <c r="J90" i="70" s="1"/>
  <c r="G209" i="70"/>
  <c r="N209" i="70" s="1"/>
  <c r="F73" i="70"/>
  <c r="J73" i="70" s="1"/>
  <c r="F72" i="70"/>
  <c r="J72" i="70" s="1"/>
  <c r="F260" i="70"/>
  <c r="J260" i="70" s="1"/>
  <c r="G207" i="70"/>
  <c r="N207" i="70" s="1"/>
  <c r="G50" i="70"/>
  <c r="N50" i="70" s="1"/>
  <c r="F75" i="70"/>
  <c r="J75" i="70" s="1"/>
  <c r="F264" i="70"/>
  <c r="J264" i="70" s="1"/>
  <c r="G151" i="70"/>
  <c r="N151" i="70" s="1"/>
  <c r="G38" i="70"/>
  <c r="N38" i="70" s="1"/>
  <c r="G60" i="70"/>
  <c r="N60" i="70" s="1"/>
  <c r="G153" i="70"/>
  <c r="N153" i="70" s="1"/>
  <c r="F226" i="70"/>
  <c r="J226" i="70" s="1"/>
  <c r="F118" i="70"/>
  <c r="J118" i="70" s="1"/>
  <c r="F217" i="70"/>
  <c r="J217" i="70" s="1"/>
  <c r="F87" i="70"/>
  <c r="J87" i="70" s="1"/>
  <c r="F128" i="70"/>
  <c r="J128" i="70" s="1"/>
  <c r="G35" i="70"/>
  <c r="N35" i="70" s="1"/>
  <c r="F107" i="70"/>
  <c r="J107" i="70" s="1"/>
  <c r="F142" i="70"/>
  <c r="J142" i="70" s="1"/>
  <c r="G42" i="70"/>
  <c r="N42" i="70" s="1"/>
  <c r="F180" i="70"/>
  <c r="J180" i="70" s="1"/>
  <c r="F166" i="70"/>
  <c r="J166" i="70" s="1"/>
  <c r="F253" i="70"/>
  <c r="J253" i="70" s="1"/>
  <c r="G168" i="70"/>
  <c r="N168" i="70" s="1"/>
  <c r="G185" i="70"/>
  <c r="N185" i="70" s="1"/>
  <c r="F113" i="70"/>
  <c r="J113" i="70" s="1"/>
  <c r="F192" i="70"/>
  <c r="J192" i="70" s="1"/>
  <c r="F178" i="70"/>
  <c r="J178" i="70" s="1"/>
  <c r="G39" i="70"/>
  <c r="N39" i="70" s="1"/>
  <c r="F115" i="70"/>
  <c r="J115" i="70" s="1"/>
  <c r="F220" i="70"/>
  <c r="J220" i="70" s="1"/>
  <c r="F129" i="70"/>
  <c r="J129" i="70" s="1"/>
  <c r="G152" i="70"/>
  <c r="N152" i="70" s="1"/>
  <c r="F119" i="70"/>
  <c r="J119" i="70" s="1"/>
  <c r="F123" i="70"/>
  <c r="J123" i="70" s="1"/>
  <c r="F156" i="70"/>
  <c r="J156" i="70" s="1"/>
  <c r="F69" i="70"/>
  <c r="J69" i="70" s="1"/>
  <c r="F93" i="70"/>
  <c r="J93" i="70" s="1"/>
  <c r="F147" i="70"/>
  <c r="J147" i="70" s="1"/>
  <c r="F184" i="70"/>
  <c r="J184" i="70" s="1"/>
  <c r="F249" i="70"/>
  <c r="G47" i="70"/>
  <c r="N47" i="70" s="1"/>
  <c r="G190" i="70"/>
  <c r="N190" i="70" s="1"/>
  <c r="F110" i="70"/>
  <c r="J110" i="70" s="1"/>
  <c r="F165" i="70"/>
  <c r="J165" i="70" s="1"/>
  <c r="F86" i="70"/>
  <c r="J86" i="70" s="1"/>
  <c r="F120" i="70"/>
  <c r="J120" i="70" s="1"/>
  <c r="F88" i="70"/>
  <c r="J88" i="70" s="1"/>
  <c r="F95" i="70"/>
  <c r="J95" i="70" s="1"/>
  <c r="P68" i="70"/>
  <c r="F122" i="70"/>
  <c r="J122" i="70" s="1"/>
  <c r="F96" i="70"/>
  <c r="J96" i="70" s="1"/>
  <c r="F70" i="70"/>
  <c r="J70" i="70" s="1"/>
  <c r="F101" i="70"/>
  <c r="J101" i="70" s="1"/>
  <c r="F251" i="70"/>
  <c r="J251" i="70" s="1"/>
  <c r="F250" i="70"/>
  <c r="J250" i="70" s="1"/>
  <c r="F160" i="70"/>
  <c r="J160" i="70" s="1"/>
  <c r="F100" i="70"/>
  <c r="J100" i="70" s="1"/>
  <c r="F117" i="70"/>
  <c r="J117" i="70" s="1"/>
  <c r="F246" i="70"/>
  <c r="G55" i="70"/>
  <c r="N55" i="70" s="1"/>
  <c r="G188" i="70"/>
  <c r="N188" i="70" s="1"/>
  <c r="F248" i="70"/>
  <c r="F167" i="70"/>
  <c r="J167" i="70" s="1"/>
  <c r="F237" i="70"/>
  <c r="J237" i="70" s="1"/>
  <c r="F83" i="70"/>
  <c r="J83" i="70" s="1"/>
  <c r="G186" i="70"/>
  <c r="N186" i="70" s="1"/>
  <c r="F124" i="70"/>
  <c r="J124" i="70" s="1"/>
  <c r="F125" i="70"/>
  <c r="J125" i="70" s="1"/>
  <c r="F76" i="70"/>
  <c r="J76" i="70" s="1"/>
  <c r="G43" i="70"/>
  <c r="N43" i="70" s="1"/>
  <c r="G196" i="70"/>
  <c r="N196" i="70" s="1"/>
  <c r="G16" i="70"/>
  <c r="N16" i="70" s="1"/>
  <c r="G257" i="70"/>
  <c r="N257" i="70" s="1"/>
  <c r="F169" i="70"/>
  <c r="J169" i="70" s="1"/>
  <c r="F77" i="70"/>
  <c r="J77" i="70" s="1"/>
  <c r="G36" i="70"/>
  <c r="N36" i="70" s="1"/>
  <c r="F181" i="70"/>
  <c r="J181" i="70" s="1"/>
  <c r="F71" i="70"/>
  <c r="J71" i="70" s="1"/>
  <c r="G191" i="70"/>
  <c r="N191" i="70" s="1"/>
  <c r="G259" i="70"/>
  <c r="N259" i="70" s="1"/>
  <c r="F80" i="70"/>
  <c r="J80" i="70" s="1"/>
  <c r="F183" i="70"/>
  <c r="J183" i="70" s="1"/>
  <c r="G157" i="70"/>
  <c r="N157" i="70" s="1"/>
  <c r="G258" i="70"/>
  <c r="N258" i="70" s="1"/>
  <c r="F121" i="70"/>
  <c r="J121" i="70" s="1"/>
  <c r="G59" i="70"/>
  <c r="N59" i="70" s="1"/>
  <c r="F102" i="70"/>
  <c r="J102" i="70" s="1"/>
  <c r="F146" i="70"/>
  <c r="J146" i="70" s="1"/>
  <c r="G202" i="70"/>
  <c r="N202" i="70" s="1"/>
  <c r="F241" i="70"/>
  <c r="J241" i="70" s="1"/>
  <c r="F172" i="70"/>
  <c r="J172" i="70" s="1"/>
  <c r="F182" i="70"/>
  <c r="J182" i="70" s="1"/>
  <c r="F247" i="70"/>
  <c r="F132" i="70"/>
  <c r="J132" i="70" s="1"/>
  <c r="F173" i="70"/>
  <c r="J173" i="70" s="1"/>
  <c r="F116" i="70"/>
  <c r="J116" i="70" s="1"/>
  <c r="F149" i="70"/>
  <c r="J149" i="70" s="1"/>
  <c r="G189" i="70"/>
  <c r="N189" i="70" s="1"/>
  <c r="G236" i="70"/>
  <c r="N236" i="70" s="1"/>
  <c r="F82" i="70"/>
  <c r="J82" i="70" s="1"/>
  <c r="F218" i="70"/>
  <c r="J218" i="70" s="1"/>
  <c r="G245" i="70"/>
  <c r="N245" i="70" s="1"/>
  <c r="F254" i="70"/>
  <c r="J254" i="70" s="1"/>
  <c r="G198" i="70"/>
  <c r="N198" i="70" s="1"/>
  <c r="G51" i="70"/>
  <c r="N51" i="70" s="1"/>
  <c r="F126" i="70"/>
  <c r="J126" i="70" s="1"/>
  <c r="G206" i="70"/>
  <c r="N206" i="70" s="1"/>
  <c r="G57" i="70"/>
  <c r="N57" i="70" s="1"/>
  <c r="G205" i="70"/>
  <c r="N205" i="70" s="1"/>
  <c r="P66" i="70"/>
  <c r="P62" i="70"/>
  <c r="P228" i="70"/>
  <c r="P56" i="70"/>
  <c r="P54" i="70"/>
  <c r="P233" i="70"/>
  <c r="P234" i="70"/>
  <c r="P40" i="70"/>
  <c r="P232" i="70"/>
  <c r="P256" i="70"/>
  <c r="P229" i="70"/>
  <c r="P203" i="70"/>
  <c r="P195" i="70"/>
  <c r="L210" i="70"/>
  <c r="L232" i="70"/>
  <c r="L223" i="70"/>
  <c r="L103" i="70"/>
  <c r="L233" i="70"/>
  <c r="L262" i="70"/>
  <c r="L139" i="70"/>
  <c r="L229" i="70"/>
  <c r="L106" i="70"/>
  <c r="L137" i="70"/>
  <c r="L97" i="70"/>
  <c r="L228" i="70"/>
  <c r="L234" i="70"/>
  <c r="L133" i="70"/>
  <c r="F215" i="70"/>
  <c r="J215" i="70" s="1"/>
  <c r="G33" i="70"/>
  <c r="N33" i="70" s="1"/>
  <c r="P156" i="70"/>
  <c r="W703" i="2"/>
  <c r="E47" i="2" s="1"/>
  <c r="E21" i="35"/>
  <c r="F21" i="35" s="1"/>
  <c r="E22" i="39"/>
  <c r="F22" i="39" s="1"/>
  <c r="D72" i="46"/>
  <c r="D73" i="46" s="1"/>
  <c r="D74" i="46" s="1"/>
  <c r="G22" i="70"/>
  <c r="N22" i="70" s="1"/>
  <c r="G20" i="70"/>
  <c r="N20" i="70" s="1"/>
  <c r="G28" i="70"/>
  <c r="N28" i="70" s="1"/>
  <c r="E28" i="39"/>
  <c r="F28" i="39" s="1"/>
  <c r="G7" i="70"/>
  <c r="N7" i="70" s="1"/>
  <c r="G32" i="70"/>
  <c r="N32" i="70" s="1"/>
  <c r="G9" i="70"/>
  <c r="N9" i="70" s="1"/>
  <c r="G23" i="70"/>
  <c r="N23" i="70" s="1"/>
  <c r="G14" i="70"/>
  <c r="N14" i="70" s="1"/>
  <c r="W380" i="2"/>
  <c r="E32" i="2" s="1"/>
  <c r="E36" i="41"/>
  <c r="D398" i="70"/>
  <c r="C398" i="70"/>
  <c r="D397" i="70"/>
  <c r="C397" i="70"/>
  <c r="E39" i="41"/>
  <c r="O781" i="6"/>
  <c r="E39" i="6" s="1"/>
  <c r="W394" i="2"/>
  <c r="E37" i="2" s="1"/>
  <c r="F61" i="41"/>
  <c r="AB1079" i="2"/>
  <c r="M79" i="2" s="1"/>
  <c r="E101" i="10" s="1"/>
  <c r="W329" i="2"/>
  <c r="E28" i="2" s="1"/>
  <c r="N58" i="2"/>
  <c r="E29" i="39"/>
  <c r="F29" i="39" s="1"/>
  <c r="AB857" i="2"/>
  <c r="M72" i="2" s="1"/>
  <c r="AB1030" i="2"/>
  <c r="M75" i="2" s="1"/>
  <c r="E24" i="41"/>
  <c r="G24" i="41" s="1"/>
  <c r="W1759" i="2"/>
  <c r="E62" i="2" s="1"/>
  <c r="F62" i="2" s="1"/>
  <c r="AB625" i="2"/>
  <c r="M66" i="2" s="1"/>
  <c r="E94" i="10" s="1"/>
  <c r="C39" i="48" s="1"/>
  <c r="F57" i="41"/>
  <c r="W17" i="2"/>
  <c r="E17" i="2" s="1"/>
  <c r="O1344" i="6"/>
  <c r="E75" i="6" s="1"/>
  <c r="C62" i="48" s="1"/>
  <c r="W629" i="2"/>
  <c r="E42" i="2" s="1"/>
  <c r="E27" i="10" s="1"/>
  <c r="C16" i="48" s="1"/>
  <c r="E25" i="39"/>
  <c r="F25" i="39" s="1"/>
  <c r="W1774" i="2"/>
  <c r="E63" i="2" s="1"/>
  <c r="F63" i="2" s="1"/>
  <c r="O1165" i="6"/>
  <c r="E65" i="6" s="1"/>
  <c r="F55" i="40"/>
  <c r="W1564" i="2"/>
  <c r="E55" i="2" s="1"/>
  <c r="F55" i="2" s="1"/>
  <c r="W53" i="2"/>
  <c r="E19" i="2" s="1"/>
  <c r="AB844" i="2"/>
  <c r="E20" i="40"/>
  <c r="G20" i="40" s="1"/>
  <c r="F66" i="41"/>
  <c r="E30" i="39"/>
  <c r="F30" i="39" s="1"/>
  <c r="W364" i="2"/>
  <c r="E31" i="2" s="1"/>
  <c r="F54" i="41"/>
  <c r="E24" i="39"/>
  <c r="F24" i="39" s="1"/>
  <c r="F53" i="41"/>
  <c r="W1834" i="2"/>
  <c r="E69" i="2" s="1"/>
  <c r="O1268" i="6"/>
  <c r="E68" i="6" s="1"/>
  <c r="F60" i="2"/>
  <c r="O582" i="6"/>
  <c r="E34" i="6" s="1"/>
  <c r="E92" i="10"/>
  <c r="F92" i="10" s="1"/>
  <c r="AB929" i="2"/>
  <c r="M74" i="2" s="1"/>
  <c r="E20" i="39"/>
  <c r="F20" i="39" s="1"/>
  <c r="W1811" i="2"/>
  <c r="E68" i="2" s="1"/>
  <c r="F64" i="41"/>
  <c r="O406" i="6"/>
  <c r="E29" i="6" s="1"/>
  <c r="E23" i="57"/>
  <c r="W40" i="2"/>
  <c r="E18" i="2" s="1"/>
  <c r="O340" i="6"/>
  <c r="E22" i="6" s="1"/>
  <c r="E46" i="41"/>
  <c r="E46" i="40"/>
  <c r="E26" i="39"/>
  <c r="F26" i="39" s="1"/>
  <c r="AB294" i="2"/>
  <c r="M49" i="2" s="1"/>
  <c r="N49" i="2" s="1"/>
  <c r="H72" i="26"/>
  <c r="E27" i="57" s="1"/>
  <c r="O920" i="6"/>
  <c r="E44" i="6" s="1"/>
  <c r="AB842" i="2"/>
  <c r="W78" i="2"/>
  <c r="E21" i="2" s="1"/>
  <c r="O529" i="6"/>
  <c r="E32" i="6" s="1"/>
  <c r="E23" i="39"/>
  <c r="F23" i="39" s="1"/>
  <c r="F59" i="40"/>
  <c r="O111" i="6"/>
  <c r="E18" i="6" s="1"/>
  <c r="C51" i="48" s="1"/>
  <c r="W486" i="2"/>
  <c r="E41" i="2" s="1"/>
  <c r="F56" i="40"/>
  <c r="E25" i="40"/>
  <c r="G25" i="40" s="1"/>
  <c r="AB908" i="2"/>
  <c r="M73" i="2" s="1"/>
  <c r="F62" i="41"/>
  <c r="AB1100" i="2"/>
  <c r="M80" i="2" s="1"/>
  <c r="N80" i="2" s="1"/>
  <c r="AB772" i="2"/>
  <c r="K38" i="60"/>
  <c r="K40" i="60" s="1"/>
  <c r="W1937" i="2"/>
  <c r="W1915" i="2" s="1"/>
  <c r="E72" i="2" s="1"/>
  <c r="W1990" i="2"/>
  <c r="E75" i="2" s="1"/>
  <c r="E74" i="2" s="1"/>
  <c r="E49" i="10" s="1"/>
  <c r="C23" i="48" s="1"/>
  <c r="W106" i="2"/>
  <c r="E24" i="2" s="1"/>
  <c r="AB511" i="2"/>
  <c r="M62" i="2" s="1"/>
  <c r="E91" i="10" s="1"/>
  <c r="F91" i="10" s="1"/>
  <c r="W1492" i="2"/>
  <c r="E54" i="2" s="1"/>
  <c r="W814" i="2"/>
  <c r="E48" i="2" s="1"/>
  <c r="O1105" i="6"/>
  <c r="E59" i="6" s="1"/>
  <c r="AB113" i="2"/>
  <c r="M26" i="2" s="1"/>
  <c r="W1700" i="2"/>
  <c r="E57" i="2" s="1"/>
  <c r="O16" i="6"/>
  <c r="E16" i="6" s="1"/>
  <c r="E15" i="6" s="1"/>
  <c r="AB50" i="2"/>
  <c r="M21" i="2" s="1"/>
  <c r="M19" i="2" s="1"/>
  <c r="W412" i="70" s="1"/>
  <c r="AB1053" i="2"/>
  <c r="M77" i="2" s="1"/>
  <c r="F58" i="41"/>
  <c r="O981" i="6"/>
  <c r="E45" i="6" s="1"/>
  <c r="O1081" i="6"/>
  <c r="E57" i="6" s="1"/>
  <c r="E55" i="6" s="1"/>
  <c r="E51" i="6" s="1"/>
  <c r="E19" i="41"/>
  <c r="G19" i="41" s="1"/>
  <c r="W418" i="2"/>
  <c r="E38" i="2" s="1"/>
  <c r="O739" i="6"/>
  <c r="E38" i="6" s="1"/>
  <c r="O316" i="6"/>
  <c r="E21" i="6" s="1"/>
  <c r="D47" i="28"/>
  <c r="H47" i="28" s="1"/>
  <c r="F63" i="41"/>
  <c r="H74" i="26"/>
  <c r="H76" i="26" s="1"/>
  <c r="F27" i="57" s="1"/>
  <c r="O551" i="6"/>
  <c r="E33" i="6" s="1"/>
  <c r="E26" i="40"/>
  <c r="G26" i="40" s="1"/>
  <c r="W641" i="2"/>
  <c r="E45" i="2" s="1"/>
  <c r="E34" i="10" s="1"/>
  <c r="H50" i="28"/>
  <c r="H52" i="28" s="1"/>
  <c r="W1968" i="2"/>
  <c r="E73" i="2" s="1"/>
  <c r="E47" i="10" s="1"/>
  <c r="D72" i="26"/>
  <c r="O1118" i="6"/>
  <c r="E60" i="6" s="1"/>
  <c r="I2" i="11"/>
  <c r="O1155" i="6"/>
  <c r="E63" i="6" s="1"/>
  <c r="E62" i="6" s="1"/>
  <c r="I48" i="57"/>
  <c r="J43" i="60"/>
  <c r="AB77" i="2"/>
  <c r="M25" i="2" s="1"/>
  <c r="J42" i="45" s="1"/>
  <c r="W1587" i="2"/>
  <c r="E56" i="2" s="1"/>
  <c r="AB237" i="2"/>
  <c r="M41" i="2" s="1"/>
  <c r="AF412" i="70" s="1"/>
  <c r="O1187" i="6"/>
  <c r="E67" i="6" s="1"/>
  <c r="W1146" i="2"/>
  <c r="E50" i="2" s="1"/>
  <c r="W341" i="2"/>
  <c r="E29" i="2" s="1"/>
  <c r="O1044" i="6"/>
  <c r="E47" i="6" s="1"/>
  <c r="G6" i="27"/>
  <c r="F68" i="41"/>
  <c r="E22" i="43"/>
  <c r="E23" i="43"/>
  <c r="E21" i="43"/>
  <c r="F65" i="41"/>
  <c r="E22" i="41"/>
  <c r="G22" i="41" s="1"/>
  <c r="E19" i="39"/>
  <c r="F19" i="39" s="1"/>
  <c r="E21" i="41"/>
  <c r="G21" i="41" s="1"/>
  <c r="F19" i="35"/>
  <c r="E17" i="43"/>
  <c r="E22" i="40"/>
  <c r="G22" i="40" s="1"/>
  <c r="O802" i="6"/>
  <c r="E40" i="6" s="1"/>
  <c r="C58" i="48" s="1"/>
  <c r="E28" i="40"/>
  <c r="E28" i="41"/>
  <c r="F67" i="41"/>
  <c r="D13" i="51"/>
  <c r="D6" i="51"/>
  <c r="D20" i="51"/>
  <c r="D27" i="51"/>
  <c r="D34" i="51"/>
  <c r="H18" i="53"/>
  <c r="H21" i="53" s="1"/>
  <c r="H24" i="53" s="1"/>
  <c r="O597" i="6"/>
  <c r="E36" i="6" s="1"/>
  <c r="E20" i="65" s="1"/>
  <c r="G20" i="65" s="1"/>
  <c r="AB475" i="2"/>
  <c r="M56" i="2" s="1"/>
  <c r="E86" i="10" s="1"/>
  <c r="AB402" i="2"/>
  <c r="M55" i="2" s="1"/>
  <c r="P67" i="12"/>
  <c r="L72" i="12"/>
  <c r="E40" i="41"/>
  <c r="H29" i="12"/>
  <c r="L51" i="12"/>
  <c r="P109" i="12"/>
  <c r="L113" i="12"/>
  <c r="AB336" i="2"/>
  <c r="M51" i="2" s="1"/>
  <c r="AB157" i="2"/>
  <c r="AB146" i="2" s="1"/>
  <c r="M29" i="2" s="1"/>
  <c r="M27" i="2" s="1"/>
  <c r="AB179" i="2"/>
  <c r="AB178" i="2" s="1"/>
  <c r="O698" i="6"/>
  <c r="E37" i="6" s="1"/>
  <c r="E27" i="41"/>
  <c r="E27" i="40"/>
  <c r="M35" i="2"/>
  <c r="AE412" i="70" s="1"/>
  <c r="N2" i="11"/>
  <c r="E76" i="10"/>
  <c r="E18" i="40"/>
  <c r="E18" i="41"/>
  <c r="W598" i="2"/>
  <c r="M59" i="2" s="1"/>
  <c r="N59" i="2" s="1"/>
  <c r="E27" i="39"/>
  <c r="F27" i="39" s="1"/>
  <c r="E47" i="41"/>
  <c r="E47" i="40"/>
  <c r="F60" i="41"/>
  <c r="W1723" i="2"/>
  <c r="E59" i="2" s="1"/>
  <c r="L50" i="12"/>
  <c r="W90" i="2"/>
  <c r="E22" i="2" s="1"/>
  <c r="W227" i="2"/>
  <c r="E26" i="2" s="1"/>
  <c r="E18" i="39"/>
  <c r="H68" i="12"/>
  <c r="L73" i="12"/>
  <c r="E23" i="41"/>
  <c r="E23" i="40"/>
  <c r="W130" i="2"/>
  <c r="E25" i="2" s="1"/>
  <c r="E38" i="41"/>
  <c r="N48" i="2"/>
  <c r="E41" i="41"/>
  <c r="E17" i="41"/>
  <c r="E17" i="40"/>
  <c r="W452" i="2"/>
  <c r="E39" i="2" s="1"/>
  <c r="D67" i="48"/>
  <c r="D62" i="49"/>
  <c r="H114" i="12" l="1"/>
  <c r="H115" i="12" s="1"/>
  <c r="H111" i="12" s="1"/>
  <c r="H119" i="12" s="1"/>
  <c r="K42" i="45"/>
  <c r="M42" i="45" s="1"/>
  <c r="G51" i="60"/>
  <c r="AB662" i="2"/>
  <c r="M69" i="2" s="1"/>
  <c r="M64" i="2" s="1"/>
  <c r="E28" i="6"/>
  <c r="C48" i="48" s="1"/>
  <c r="L214" i="70"/>
  <c r="AA412" i="70"/>
  <c r="E71" i="10"/>
  <c r="Z412" i="70"/>
  <c r="E40" i="57"/>
  <c r="N89" i="12"/>
  <c r="P89" i="12" s="1"/>
  <c r="E27" i="2"/>
  <c r="E21" i="10" s="1"/>
  <c r="L156" i="70"/>
  <c r="P152" i="70"/>
  <c r="P16" i="70"/>
  <c r="P191" i="70"/>
  <c r="P202" i="70"/>
  <c r="P59" i="70"/>
  <c r="P67" i="70"/>
  <c r="P190" i="70"/>
  <c r="P186" i="70"/>
  <c r="P50" i="70"/>
  <c r="P201" i="70"/>
  <c r="P10" i="70"/>
  <c r="P18" i="70"/>
  <c r="P13" i="70"/>
  <c r="P15" i="70"/>
  <c r="P26" i="70"/>
  <c r="P239" i="70"/>
  <c r="P58" i="70"/>
  <c r="P52" i="70"/>
  <c r="P44" i="70"/>
  <c r="P31" i="70"/>
  <c r="P159" i="70"/>
  <c r="P236" i="70"/>
  <c r="P189" i="70"/>
  <c r="P154" i="70"/>
  <c r="P61" i="70"/>
  <c r="P46" i="70"/>
  <c r="P207" i="70"/>
  <c r="P196" i="70"/>
  <c r="P35" i="70"/>
  <c r="P185" i="70"/>
  <c r="P47" i="70"/>
  <c r="P168" i="70"/>
  <c r="P206" i="70"/>
  <c r="P157" i="70"/>
  <c r="P38" i="70"/>
  <c r="P11" i="70"/>
  <c r="P25" i="70"/>
  <c r="P29" i="70"/>
  <c r="P41" i="70"/>
  <c r="P65" i="70"/>
  <c r="P197" i="70"/>
  <c r="P34" i="70"/>
  <c r="P45" i="70"/>
  <c r="P175" i="70"/>
  <c r="P244" i="70"/>
  <c r="P208" i="70"/>
  <c r="P245" i="70"/>
  <c r="P153" i="70"/>
  <c r="P43" i="70"/>
  <c r="P259" i="70"/>
  <c r="P57" i="70"/>
  <c r="P198" i="70"/>
  <c r="P51" i="70"/>
  <c r="P200" i="70"/>
  <c r="P36" i="70"/>
  <c r="P188" i="70"/>
  <c r="P258" i="70"/>
  <c r="P21" i="70"/>
  <c r="P12" i="70"/>
  <c r="P27" i="70"/>
  <c r="P150" i="70"/>
  <c r="P235" i="70"/>
  <c r="P53" i="70"/>
  <c r="P155" i="70"/>
  <c r="P174" i="70"/>
  <c r="P30" i="70"/>
  <c r="P199" i="70"/>
  <c r="P63" i="70"/>
  <c r="P257" i="70"/>
  <c r="P204" i="70"/>
  <c r="P37" i="70"/>
  <c r="P60" i="70"/>
  <c r="P42" i="70"/>
  <c r="P39" i="70"/>
  <c r="P49" i="70"/>
  <c r="P151" i="70"/>
  <c r="P209" i="70"/>
  <c r="P64" i="70"/>
  <c r="P55" i="70"/>
  <c r="P17" i="70"/>
  <c r="P19" i="70"/>
  <c r="P240" i="70"/>
  <c r="P187" i="70"/>
  <c r="P158" i="70"/>
  <c r="P48" i="70"/>
  <c r="P205" i="70"/>
  <c r="P193" i="70"/>
  <c r="P33" i="70"/>
  <c r="L254" i="70"/>
  <c r="L264" i="70"/>
  <c r="L116" i="70"/>
  <c r="L84" i="70"/>
  <c r="L70" i="70"/>
  <c r="L123" i="70"/>
  <c r="L88" i="70"/>
  <c r="L220" i="70"/>
  <c r="L72" i="70"/>
  <c r="L178" i="70"/>
  <c r="L100" i="70"/>
  <c r="L160" i="70"/>
  <c r="L218" i="70"/>
  <c r="L192" i="70"/>
  <c r="L183" i="70"/>
  <c r="L241" i="70"/>
  <c r="L73" i="70"/>
  <c r="L104" i="70"/>
  <c r="L142" i="70"/>
  <c r="L79" i="70"/>
  <c r="L219" i="70"/>
  <c r="L131" i="70"/>
  <c r="L144" i="70"/>
  <c r="L261" i="70"/>
  <c r="L170" i="70"/>
  <c r="L109" i="70"/>
  <c r="L74" i="70"/>
  <c r="L213" i="70"/>
  <c r="L130" i="70"/>
  <c r="L211" i="70"/>
  <c r="L148" i="70"/>
  <c r="L216" i="70"/>
  <c r="L238" i="70"/>
  <c r="L101" i="70"/>
  <c r="L102" i="70"/>
  <c r="L173" i="70"/>
  <c r="L127" i="70"/>
  <c r="L107" i="70"/>
  <c r="L86" i="70"/>
  <c r="L184" i="70"/>
  <c r="L82" i="70"/>
  <c r="L147" i="70"/>
  <c r="L253" i="70"/>
  <c r="L83" i="70"/>
  <c r="L181" i="70"/>
  <c r="L81" i="70"/>
  <c r="L225" i="70"/>
  <c r="L125" i="70"/>
  <c r="L166" i="70"/>
  <c r="L75" i="70"/>
  <c r="L96" i="70"/>
  <c r="L76" i="70"/>
  <c r="L161" i="70"/>
  <c r="L77" i="70"/>
  <c r="L149" i="70"/>
  <c r="L98" i="70"/>
  <c r="L252" i="70"/>
  <c r="L177" i="70"/>
  <c r="L92" i="70"/>
  <c r="L89" i="70"/>
  <c r="L255" i="70"/>
  <c r="L212" i="70"/>
  <c r="L135" i="70"/>
  <c r="L136" i="70"/>
  <c r="L222" i="70"/>
  <c r="L171" i="70"/>
  <c r="L165" i="70"/>
  <c r="L132" i="70"/>
  <c r="L128" i="70"/>
  <c r="L80" i="70"/>
  <c r="L122" i="70"/>
  <c r="L87" i="70"/>
  <c r="L260" i="70"/>
  <c r="L93" i="70"/>
  <c r="L217" i="70"/>
  <c r="L250" i="70"/>
  <c r="L120" i="70"/>
  <c r="L118" i="70"/>
  <c r="L182" i="70"/>
  <c r="L110" i="70"/>
  <c r="L121" i="70"/>
  <c r="L114" i="70"/>
  <c r="L85" i="70"/>
  <c r="L242" i="70"/>
  <c r="L169" i="70"/>
  <c r="L145" i="70"/>
  <c r="L163" i="70"/>
  <c r="L237" i="70"/>
  <c r="L134" i="70"/>
  <c r="L164" i="70"/>
  <c r="L91" i="70"/>
  <c r="L224" i="70"/>
  <c r="L111" i="70"/>
  <c r="L140" i="70"/>
  <c r="L94" i="70"/>
  <c r="L119" i="70"/>
  <c r="L263" i="70"/>
  <c r="L141" i="70"/>
  <c r="L180" i="70"/>
  <c r="L95" i="70"/>
  <c r="L167" i="70"/>
  <c r="L251" i="70"/>
  <c r="L129" i="70"/>
  <c r="L146" i="70"/>
  <c r="L143" i="70"/>
  <c r="L172" i="70"/>
  <c r="L90" i="70"/>
  <c r="L126" i="70"/>
  <c r="L71" i="70"/>
  <c r="L115" i="70"/>
  <c r="L226" i="70"/>
  <c r="L78" i="70"/>
  <c r="L117" i="70"/>
  <c r="L108" i="70"/>
  <c r="L113" i="70"/>
  <c r="L243" i="70"/>
  <c r="L112" i="70"/>
  <c r="L99" i="70"/>
  <c r="L124" i="70"/>
  <c r="L221" i="70"/>
  <c r="L194" i="70"/>
  <c r="L138" i="70"/>
  <c r="L176" i="70"/>
  <c r="L162" i="70"/>
  <c r="L179" i="70"/>
  <c r="F397" i="70"/>
  <c r="F402" i="70" s="1"/>
  <c r="I248" i="70"/>
  <c r="N248" i="70" s="1"/>
  <c r="I249" i="70"/>
  <c r="N249" i="70" s="1"/>
  <c r="I246" i="70"/>
  <c r="N246" i="70" s="1"/>
  <c r="I247" i="70"/>
  <c r="P8" i="70"/>
  <c r="L69" i="70"/>
  <c r="E38" i="35"/>
  <c r="F38" i="35"/>
  <c r="F42" i="35" s="1"/>
  <c r="J21" i="57" s="1"/>
  <c r="E30" i="2"/>
  <c r="E23" i="10" s="1"/>
  <c r="D399" i="70"/>
  <c r="C399" i="70"/>
  <c r="E39" i="10"/>
  <c r="C20" i="48" s="1"/>
  <c r="E67" i="2"/>
  <c r="E45" i="10" s="1"/>
  <c r="C25" i="48" s="1"/>
  <c r="C22" i="48" s="1"/>
  <c r="E45" i="41"/>
  <c r="G45" i="41" s="1"/>
  <c r="AB805" i="2"/>
  <c r="M70" i="2" s="1"/>
  <c r="E97" i="10" s="1"/>
  <c r="E45" i="40"/>
  <c r="G45" i="40" s="1"/>
  <c r="E66" i="6"/>
  <c r="F66" i="6" s="1"/>
  <c r="M45" i="2"/>
  <c r="E81" i="10" s="1"/>
  <c r="F81" i="10" s="1"/>
  <c r="E19" i="65"/>
  <c r="G19" i="65" s="1"/>
  <c r="G21" i="65" s="1"/>
  <c r="E43" i="6"/>
  <c r="C64" i="48" s="1"/>
  <c r="E31" i="6"/>
  <c r="C54" i="48" s="1"/>
  <c r="E58" i="6"/>
  <c r="E46" i="2"/>
  <c r="E36" i="10" s="1"/>
  <c r="C18" i="48" s="1"/>
  <c r="C17" i="48" s="1"/>
  <c r="E99" i="10"/>
  <c r="C38" i="48" s="1"/>
  <c r="F16" i="65"/>
  <c r="G16" i="65" s="1"/>
  <c r="M71" i="2"/>
  <c r="N62" i="2"/>
  <c r="F47" i="6"/>
  <c r="F45" i="6"/>
  <c r="F54" i="6"/>
  <c r="F29" i="6"/>
  <c r="F44" i="6"/>
  <c r="F57" i="6"/>
  <c r="F53" i="6"/>
  <c r="F62" i="6"/>
  <c r="F65" i="6"/>
  <c r="F19" i="6"/>
  <c r="F60" i="6"/>
  <c r="F68" i="6"/>
  <c r="F64" i="6"/>
  <c r="F78" i="6"/>
  <c r="F61" i="6"/>
  <c r="F24" i="6"/>
  <c r="F80" i="6"/>
  <c r="F59" i="6"/>
  <c r="F18" i="6"/>
  <c r="F34" i="6"/>
  <c r="F38" i="6"/>
  <c r="F14" i="6"/>
  <c r="F75" i="6"/>
  <c r="F42" i="6"/>
  <c r="F21" i="6"/>
  <c r="F79" i="6"/>
  <c r="F63" i="6"/>
  <c r="F70" i="6"/>
  <c r="F72" i="6"/>
  <c r="F16" i="6"/>
  <c r="F76" i="6"/>
  <c r="F30" i="6"/>
  <c r="F22" i="6"/>
  <c r="F46" i="6"/>
  <c r="F74" i="6"/>
  <c r="F52" i="6"/>
  <c r="F56" i="6"/>
  <c r="F41" i="6"/>
  <c r="C47" i="48"/>
  <c r="F13" i="6"/>
  <c r="F15" i="6"/>
  <c r="F17" i="6"/>
  <c r="F23" i="6"/>
  <c r="F50" i="6"/>
  <c r="F39" i="6"/>
  <c r="F33" i="6"/>
  <c r="F32" i="6"/>
  <c r="E68" i="10"/>
  <c r="E66" i="10" s="1"/>
  <c r="C30" i="48" s="1"/>
  <c r="F51" i="6"/>
  <c r="E100" i="10"/>
  <c r="E20" i="6"/>
  <c r="C50" i="48" s="1"/>
  <c r="C49" i="48" s="1"/>
  <c r="I51" i="60"/>
  <c r="H51" i="60"/>
  <c r="K51" i="60"/>
  <c r="F51" i="60"/>
  <c r="J51" i="60"/>
  <c r="F40" i="57"/>
  <c r="H81" i="26"/>
  <c r="H74" i="28"/>
  <c r="F40" i="6"/>
  <c r="F67" i="6"/>
  <c r="F55" i="6"/>
  <c r="M23" i="2"/>
  <c r="E78" i="10"/>
  <c r="E61" i="2"/>
  <c r="E43" i="10" s="1"/>
  <c r="E24" i="43"/>
  <c r="E26" i="44"/>
  <c r="F21" i="45" s="1"/>
  <c r="F52" i="40"/>
  <c r="G52" i="40" s="1"/>
  <c r="J25" i="57" s="1"/>
  <c r="F52" i="41"/>
  <c r="G52" i="41" s="1"/>
  <c r="L115" i="12"/>
  <c r="L111" i="12" s="1"/>
  <c r="C55" i="48"/>
  <c r="F36" i="6"/>
  <c r="L52" i="12"/>
  <c r="L48" i="12" s="1"/>
  <c r="E35" i="6"/>
  <c r="C56" i="48" s="1"/>
  <c r="G17" i="41"/>
  <c r="E31" i="41"/>
  <c r="F18" i="39"/>
  <c r="F38" i="39" s="1"/>
  <c r="F42" i="39" s="1"/>
  <c r="E38" i="39"/>
  <c r="E23" i="2"/>
  <c r="E53" i="2"/>
  <c r="E41" i="10"/>
  <c r="E36" i="2"/>
  <c r="E31" i="40"/>
  <c r="G17" i="40"/>
  <c r="G35" i="40"/>
  <c r="N29" i="12"/>
  <c r="P29" i="12" s="1"/>
  <c r="H51" i="12"/>
  <c r="H52" i="12" s="1"/>
  <c r="H48" i="12" s="1"/>
  <c r="E77" i="10"/>
  <c r="E72" i="10"/>
  <c r="E35" i="41"/>
  <c r="G35" i="41" s="1"/>
  <c r="H73" i="12"/>
  <c r="H74" i="12" s="1"/>
  <c r="H70" i="12" s="1"/>
  <c r="N68" i="12"/>
  <c r="P68" i="12" s="1"/>
  <c r="E16" i="2"/>
  <c r="C57" i="48"/>
  <c r="F37" i="6"/>
  <c r="N51" i="2"/>
  <c r="E85" i="10"/>
  <c r="M50" i="2"/>
  <c r="L74" i="12"/>
  <c r="L70" i="12" s="1"/>
  <c r="N111" i="12" l="1"/>
  <c r="P111" i="12" s="1"/>
  <c r="F28" i="6"/>
  <c r="E96" i="10"/>
  <c r="E93" i="10" s="1"/>
  <c r="Y412" i="70"/>
  <c r="E42" i="57"/>
  <c r="L76" i="12"/>
  <c r="L78" i="12" s="1"/>
  <c r="M69" i="70"/>
  <c r="K7" i="70"/>
  <c r="K8" i="70"/>
  <c r="K9" i="70"/>
  <c r="K10" i="70"/>
  <c r="K11" i="70"/>
  <c r="K12" i="70"/>
  <c r="K13" i="70"/>
  <c r="K14" i="70"/>
  <c r="K15" i="70"/>
  <c r="K16" i="70"/>
  <c r="K17" i="70"/>
  <c r="K18" i="70"/>
  <c r="K19" i="70"/>
  <c r="K20" i="70"/>
  <c r="K21" i="70"/>
  <c r="K22" i="70"/>
  <c r="K23" i="70"/>
  <c r="K24" i="70"/>
  <c r="K25" i="70"/>
  <c r="K26" i="70"/>
  <c r="K27" i="70"/>
  <c r="K28" i="70"/>
  <c r="K29" i="70"/>
  <c r="K30" i="70"/>
  <c r="K31" i="70"/>
  <c r="K32" i="70"/>
  <c r="K33" i="70"/>
  <c r="K34" i="70"/>
  <c r="K35" i="70"/>
  <c r="K36" i="70"/>
  <c r="K37" i="70"/>
  <c r="K38" i="70"/>
  <c r="K39" i="70"/>
  <c r="K40" i="70"/>
  <c r="K41" i="70"/>
  <c r="K42" i="70"/>
  <c r="K43" i="70"/>
  <c r="K44" i="70"/>
  <c r="K45" i="70"/>
  <c r="K46" i="70"/>
  <c r="K47" i="70"/>
  <c r="K48" i="70"/>
  <c r="K49" i="70"/>
  <c r="K50" i="70"/>
  <c r="K51" i="70"/>
  <c r="K52" i="70"/>
  <c r="K53" i="70"/>
  <c r="K54" i="70"/>
  <c r="K55" i="70"/>
  <c r="K56" i="70"/>
  <c r="K57" i="70"/>
  <c r="K58" i="70"/>
  <c r="K59" i="70"/>
  <c r="K60" i="70"/>
  <c r="K61" i="70"/>
  <c r="K62" i="70"/>
  <c r="K63" i="70"/>
  <c r="K64" i="70"/>
  <c r="K65" i="70"/>
  <c r="K66" i="70"/>
  <c r="K67" i="70"/>
  <c r="K68" i="70"/>
  <c r="K150" i="70"/>
  <c r="K151" i="70"/>
  <c r="K152" i="70"/>
  <c r="K153" i="70"/>
  <c r="K154" i="70"/>
  <c r="K155" i="70"/>
  <c r="K157" i="70"/>
  <c r="K158" i="70"/>
  <c r="K159" i="70"/>
  <c r="K168" i="70"/>
  <c r="K174" i="70"/>
  <c r="K175" i="70"/>
  <c r="K185" i="70"/>
  <c r="K186" i="70"/>
  <c r="K187" i="70"/>
  <c r="K188" i="70"/>
  <c r="K189" i="70"/>
  <c r="K190" i="70"/>
  <c r="K191" i="70"/>
  <c r="K193" i="70"/>
  <c r="K195" i="70"/>
  <c r="K196" i="70"/>
  <c r="K197" i="70"/>
  <c r="K198" i="70"/>
  <c r="K199" i="70"/>
  <c r="K200" i="70"/>
  <c r="K201" i="70"/>
  <c r="K202" i="70"/>
  <c r="K203" i="70"/>
  <c r="K204" i="70"/>
  <c r="K205" i="70"/>
  <c r="K206" i="70"/>
  <c r="K207" i="70"/>
  <c r="K208" i="70"/>
  <c r="K209" i="70"/>
  <c r="K235" i="70"/>
  <c r="K236" i="70"/>
  <c r="K239" i="70"/>
  <c r="K240" i="70"/>
  <c r="K244" i="70"/>
  <c r="K245" i="70"/>
  <c r="K256" i="70"/>
  <c r="K257" i="70"/>
  <c r="K258" i="70"/>
  <c r="K259" i="70"/>
  <c r="K265" i="70"/>
  <c r="K266" i="70"/>
  <c r="K267" i="70"/>
  <c r="K268" i="70"/>
  <c r="K269" i="70"/>
  <c r="K270" i="70"/>
  <c r="K271" i="70"/>
  <c r="K272" i="70"/>
  <c r="K273" i="70"/>
  <c r="K274" i="70"/>
  <c r="K275" i="70"/>
  <c r="K276" i="70"/>
  <c r="K277" i="70"/>
  <c r="K278" i="70"/>
  <c r="K279" i="70"/>
  <c r="K280" i="70"/>
  <c r="K281" i="70"/>
  <c r="K282" i="70"/>
  <c r="K283" i="70"/>
  <c r="K284" i="70"/>
  <c r="K285" i="70"/>
  <c r="K286" i="70"/>
  <c r="K287" i="70"/>
  <c r="K288" i="70"/>
  <c r="K289" i="70"/>
  <c r="K290" i="70"/>
  <c r="K291" i="70"/>
  <c r="K292" i="70"/>
  <c r="K293" i="70"/>
  <c r="K294" i="70"/>
  <c r="K295" i="70"/>
  <c r="K296" i="70"/>
  <c r="K297" i="70"/>
  <c r="K298" i="70"/>
  <c r="K299" i="70"/>
  <c r="K300" i="70"/>
  <c r="K301" i="70"/>
  <c r="K302" i="70"/>
  <c r="K303" i="70"/>
  <c r="K304" i="70"/>
  <c r="K305" i="70"/>
  <c r="K306" i="70"/>
  <c r="K307" i="70"/>
  <c r="K308" i="70"/>
  <c r="K309" i="70"/>
  <c r="K310" i="70"/>
  <c r="K311" i="70"/>
  <c r="K312" i="70"/>
  <c r="K313" i="70"/>
  <c r="K314" i="70"/>
  <c r="K315" i="70"/>
  <c r="K316" i="70"/>
  <c r="K317" i="70"/>
  <c r="K318" i="70"/>
  <c r="K319" i="70"/>
  <c r="K320" i="70"/>
  <c r="K321" i="70"/>
  <c r="K322" i="70"/>
  <c r="K323" i="70"/>
  <c r="K324" i="70"/>
  <c r="K325" i="70"/>
  <c r="K326" i="70"/>
  <c r="K327" i="70"/>
  <c r="K328" i="70"/>
  <c r="K329" i="70"/>
  <c r="K330" i="70"/>
  <c r="K331" i="70"/>
  <c r="K332" i="70"/>
  <c r="K333" i="70"/>
  <c r="K334" i="70"/>
  <c r="K335" i="70"/>
  <c r="K336" i="70"/>
  <c r="K337" i="70"/>
  <c r="K338" i="70"/>
  <c r="K339" i="70"/>
  <c r="K340" i="70"/>
  <c r="K341" i="70"/>
  <c r="K342" i="70"/>
  <c r="K343" i="70"/>
  <c r="K344" i="70"/>
  <c r="K345" i="70"/>
  <c r="K346" i="70"/>
  <c r="K347" i="70"/>
  <c r="K348" i="70"/>
  <c r="K349" i="70"/>
  <c r="K350" i="70"/>
  <c r="K351" i="70"/>
  <c r="K352" i="70"/>
  <c r="K353" i="70"/>
  <c r="K354" i="70"/>
  <c r="K355" i="70"/>
  <c r="K356" i="70"/>
  <c r="K357" i="70"/>
  <c r="K358" i="70"/>
  <c r="K359" i="70"/>
  <c r="K360" i="70"/>
  <c r="K361" i="70"/>
  <c r="K362" i="70"/>
  <c r="K363" i="70"/>
  <c r="K364" i="70"/>
  <c r="K365" i="70"/>
  <c r="K366" i="70"/>
  <c r="K367" i="70"/>
  <c r="K368" i="70"/>
  <c r="K369" i="70"/>
  <c r="K370" i="70"/>
  <c r="K371" i="70"/>
  <c r="K372" i="70"/>
  <c r="K373" i="70"/>
  <c r="K374" i="70"/>
  <c r="K375" i="70"/>
  <c r="K376" i="70"/>
  <c r="K377" i="70"/>
  <c r="K378" i="70"/>
  <c r="K379" i="70"/>
  <c r="K380" i="70"/>
  <c r="K381" i="70"/>
  <c r="K382" i="70"/>
  <c r="K383" i="70"/>
  <c r="K384" i="70"/>
  <c r="K385" i="70"/>
  <c r="K386" i="70"/>
  <c r="K387" i="70"/>
  <c r="K388" i="70"/>
  <c r="K389" i="70"/>
  <c r="K390" i="70"/>
  <c r="K391" i="70"/>
  <c r="K392" i="70"/>
  <c r="K393" i="70"/>
  <c r="K394" i="70"/>
  <c r="K395" i="70"/>
  <c r="K396" i="70"/>
  <c r="K97" i="70"/>
  <c r="K223" i="70"/>
  <c r="K106" i="70"/>
  <c r="K262" i="70"/>
  <c r="K214" i="70"/>
  <c r="K210" i="70"/>
  <c r="K133" i="70"/>
  <c r="K137" i="70"/>
  <c r="K105" i="70"/>
  <c r="K231" i="70"/>
  <c r="K230" i="70"/>
  <c r="K227" i="70"/>
  <c r="K94" i="70"/>
  <c r="K238" i="70"/>
  <c r="K179" i="70"/>
  <c r="K162" i="70"/>
  <c r="K140" i="70"/>
  <c r="K216" i="70"/>
  <c r="K111" i="70"/>
  <c r="K148" i="70"/>
  <c r="K224" i="70"/>
  <c r="K176" i="70"/>
  <c r="K138" i="70"/>
  <c r="K211" i="70"/>
  <c r="K130" i="70"/>
  <c r="K194" i="70"/>
  <c r="K91" i="70"/>
  <c r="K171" i="70"/>
  <c r="K164" i="70"/>
  <c r="K222" i="70"/>
  <c r="K213" i="70"/>
  <c r="K221" i="70"/>
  <c r="K124" i="70"/>
  <c r="K134" i="70"/>
  <c r="K136" i="70"/>
  <c r="K74" i="70"/>
  <c r="K109" i="70"/>
  <c r="K170" i="70"/>
  <c r="K237" i="70"/>
  <c r="K135" i="70"/>
  <c r="K261" i="70"/>
  <c r="K99" i="70"/>
  <c r="K212" i="70"/>
  <c r="K255" i="70"/>
  <c r="K89" i="70"/>
  <c r="K144" i="70"/>
  <c r="K112" i="70"/>
  <c r="K131" i="70"/>
  <c r="K243" i="70"/>
  <c r="K163" i="70"/>
  <c r="K92" i="70"/>
  <c r="K219" i="70"/>
  <c r="K113" i="70"/>
  <c r="K177" i="70"/>
  <c r="K145" i="70"/>
  <c r="K252" i="70"/>
  <c r="K98" i="70"/>
  <c r="K108" i="70"/>
  <c r="K169" i="70"/>
  <c r="K149" i="70"/>
  <c r="K79" i="70"/>
  <c r="K242" i="70"/>
  <c r="K77" i="70"/>
  <c r="K142" i="70"/>
  <c r="K85" i="70"/>
  <c r="K146" i="70"/>
  <c r="K114" i="70"/>
  <c r="K161" i="70"/>
  <c r="K147" i="70"/>
  <c r="K104" i="70"/>
  <c r="K72" i="70"/>
  <c r="K117" i="70"/>
  <c r="K129" i="70"/>
  <c r="K121" i="70"/>
  <c r="K87" i="70"/>
  <c r="K76" i="70"/>
  <c r="K82" i="70"/>
  <c r="K73" i="70"/>
  <c r="K220" i="70"/>
  <c r="K78" i="70"/>
  <c r="K251" i="70"/>
  <c r="K110" i="70"/>
  <c r="K122" i="70"/>
  <c r="K96" i="70"/>
  <c r="K184" i="70"/>
  <c r="K241" i="70"/>
  <c r="K88" i="70"/>
  <c r="K226" i="70"/>
  <c r="K167" i="70"/>
  <c r="K182" i="70"/>
  <c r="K80" i="70"/>
  <c r="K75" i="70"/>
  <c r="K86" i="70"/>
  <c r="K183" i="70"/>
  <c r="K123" i="70"/>
  <c r="K115" i="70"/>
  <c r="K95" i="70"/>
  <c r="K118" i="70"/>
  <c r="K128" i="70"/>
  <c r="K166" i="70"/>
  <c r="K107" i="70"/>
  <c r="K70" i="70"/>
  <c r="K71" i="70"/>
  <c r="K180" i="70"/>
  <c r="K120" i="70"/>
  <c r="K125" i="70"/>
  <c r="K127" i="70"/>
  <c r="K192" i="70"/>
  <c r="K84" i="70"/>
  <c r="K141" i="70"/>
  <c r="K126" i="70"/>
  <c r="K263" i="70"/>
  <c r="K250" i="70"/>
  <c r="K132" i="70"/>
  <c r="K225" i="70"/>
  <c r="K173" i="70"/>
  <c r="K218" i="70"/>
  <c r="K116" i="70"/>
  <c r="K90" i="70"/>
  <c r="K119" i="70"/>
  <c r="K217" i="70"/>
  <c r="K81" i="70"/>
  <c r="K102" i="70"/>
  <c r="K160" i="70"/>
  <c r="K264" i="70"/>
  <c r="K172" i="70"/>
  <c r="K181" i="70"/>
  <c r="K100" i="70"/>
  <c r="K93" i="70"/>
  <c r="K165" i="70"/>
  <c r="K83" i="70"/>
  <c r="K101" i="70"/>
  <c r="K178" i="70"/>
  <c r="K143" i="70"/>
  <c r="K260" i="70"/>
  <c r="K253" i="70"/>
  <c r="K69" i="70"/>
  <c r="K254" i="70"/>
  <c r="K139" i="70"/>
  <c r="K156" i="70"/>
  <c r="K229" i="70"/>
  <c r="K233" i="70"/>
  <c r="K232" i="70"/>
  <c r="K228" i="70"/>
  <c r="K234" i="70"/>
  <c r="K103" i="70"/>
  <c r="K215" i="70"/>
  <c r="J247" i="70"/>
  <c r="N247" i="70"/>
  <c r="P247" i="70" s="1"/>
  <c r="J246" i="70"/>
  <c r="J249" i="70"/>
  <c r="J248" i="70"/>
  <c r="P32" i="70"/>
  <c r="P9" i="70"/>
  <c r="P23" i="70"/>
  <c r="P22" i="70"/>
  <c r="P14" i="70"/>
  <c r="P20" i="70"/>
  <c r="P28" i="70"/>
  <c r="P246" i="70"/>
  <c r="P249" i="70"/>
  <c r="P248" i="70"/>
  <c r="M8" i="70"/>
  <c r="M9" i="70"/>
  <c r="M10" i="70"/>
  <c r="M11" i="70"/>
  <c r="M12" i="70"/>
  <c r="M13" i="70"/>
  <c r="M14" i="70"/>
  <c r="M15" i="70"/>
  <c r="M16" i="70"/>
  <c r="M17" i="70"/>
  <c r="M18" i="70"/>
  <c r="M19" i="70"/>
  <c r="M20" i="70"/>
  <c r="M21" i="70"/>
  <c r="M22" i="70"/>
  <c r="M23" i="70"/>
  <c r="M24" i="70"/>
  <c r="M25" i="70"/>
  <c r="M26" i="70"/>
  <c r="M27" i="70"/>
  <c r="M28" i="70"/>
  <c r="M29" i="70"/>
  <c r="M30" i="70"/>
  <c r="M31" i="70"/>
  <c r="M32" i="70"/>
  <c r="M33" i="70"/>
  <c r="M34" i="70"/>
  <c r="M35" i="70"/>
  <c r="M36" i="70"/>
  <c r="M37" i="70"/>
  <c r="M38" i="70"/>
  <c r="M39" i="70"/>
  <c r="M40" i="70"/>
  <c r="M41" i="70"/>
  <c r="M42" i="70"/>
  <c r="M43" i="70"/>
  <c r="M44" i="70"/>
  <c r="M45" i="70"/>
  <c r="M46" i="70"/>
  <c r="M47" i="70"/>
  <c r="M48" i="70"/>
  <c r="M49" i="70"/>
  <c r="M50" i="70"/>
  <c r="M51" i="70"/>
  <c r="M52" i="70"/>
  <c r="M53" i="70"/>
  <c r="M54" i="70"/>
  <c r="M55" i="70"/>
  <c r="M56" i="70"/>
  <c r="M57" i="70"/>
  <c r="M58" i="70"/>
  <c r="M59" i="70"/>
  <c r="M60" i="70"/>
  <c r="M61" i="70"/>
  <c r="M62" i="70"/>
  <c r="M63" i="70"/>
  <c r="M64" i="70"/>
  <c r="M65" i="70"/>
  <c r="M66" i="70"/>
  <c r="M67" i="70"/>
  <c r="M68" i="70"/>
  <c r="M150" i="70"/>
  <c r="M151" i="70"/>
  <c r="M152" i="70"/>
  <c r="M153" i="70"/>
  <c r="M154" i="70"/>
  <c r="M155" i="70"/>
  <c r="M157" i="70"/>
  <c r="M158" i="70"/>
  <c r="M159" i="70"/>
  <c r="M168" i="70"/>
  <c r="M174" i="70"/>
  <c r="M175" i="70"/>
  <c r="M185" i="70"/>
  <c r="M186" i="70"/>
  <c r="M187" i="70"/>
  <c r="M188" i="70"/>
  <c r="M189" i="70"/>
  <c r="M190" i="70"/>
  <c r="M191" i="70"/>
  <c r="M193" i="70"/>
  <c r="M195" i="70"/>
  <c r="M196" i="70"/>
  <c r="M197" i="70"/>
  <c r="M198" i="70"/>
  <c r="M199" i="70"/>
  <c r="M200" i="70"/>
  <c r="M201" i="70"/>
  <c r="M202" i="70"/>
  <c r="M203" i="70"/>
  <c r="M204" i="70"/>
  <c r="M205" i="70"/>
  <c r="M206" i="70"/>
  <c r="M207" i="70"/>
  <c r="M208" i="70"/>
  <c r="M209" i="70"/>
  <c r="M235" i="70"/>
  <c r="M236" i="70"/>
  <c r="M239" i="70"/>
  <c r="M240" i="70"/>
  <c r="M244" i="70"/>
  <c r="M245" i="70"/>
  <c r="M256" i="70"/>
  <c r="M257" i="70"/>
  <c r="M258" i="70"/>
  <c r="M259" i="70"/>
  <c r="M265" i="70"/>
  <c r="M266" i="70"/>
  <c r="M267" i="70"/>
  <c r="M268" i="70"/>
  <c r="M269" i="70"/>
  <c r="M270" i="70"/>
  <c r="M271" i="70"/>
  <c r="M272" i="70"/>
  <c r="M273" i="70"/>
  <c r="M274" i="70"/>
  <c r="M275" i="70"/>
  <c r="M276" i="70"/>
  <c r="M277" i="70"/>
  <c r="M278" i="70"/>
  <c r="M279" i="70"/>
  <c r="M280" i="70"/>
  <c r="M281" i="70"/>
  <c r="M282" i="70"/>
  <c r="M283" i="70"/>
  <c r="M284" i="70"/>
  <c r="M285" i="70"/>
  <c r="M286" i="70"/>
  <c r="M287" i="70"/>
  <c r="M288" i="70"/>
  <c r="M289" i="70"/>
  <c r="M290" i="70"/>
  <c r="M291" i="70"/>
  <c r="M292" i="70"/>
  <c r="M293" i="70"/>
  <c r="M294" i="70"/>
  <c r="M295" i="70"/>
  <c r="M296" i="70"/>
  <c r="M297" i="70"/>
  <c r="M298" i="70"/>
  <c r="M299" i="70"/>
  <c r="M300" i="70"/>
  <c r="M301" i="70"/>
  <c r="M302" i="70"/>
  <c r="M303" i="70"/>
  <c r="M304" i="70"/>
  <c r="M305" i="70"/>
  <c r="M306" i="70"/>
  <c r="M307" i="70"/>
  <c r="M308" i="70"/>
  <c r="M309" i="70"/>
  <c r="M310" i="70"/>
  <c r="M311" i="70"/>
  <c r="M312" i="70"/>
  <c r="M313" i="70"/>
  <c r="M314" i="70"/>
  <c r="M315" i="70"/>
  <c r="M316" i="70"/>
  <c r="M317" i="70"/>
  <c r="M318" i="70"/>
  <c r="M319" i="70"/>
  <c r="M320" i="70"/>
  <c r="M321" i="70"/>
  <c r="M322" i="70"/>
  <c r="M323" i="70"/>
  <c r="M324" i="70"/>
  <c r="M325" i="70"/>
  <c r="M326" i="70"/>
  <c r="M327" i="70"/>
  <c r="M328" i="70"/>
  <c r="M329" i="70"/>
  <c r="M330" i="70"/>
  <c r="M331" i="70"/>
  <c r="M332" i="70"/>
  <c r="M333" i="70"/>
  <c r="M334" i="70"/>
  <c r="M335" i="70"/>
  <c r="M336" i="70"/>
  <c r="M337" i="70"/>
  <c r="M338" i="70"/>
  <c r="M339" i="70"/>
  <c r="M340" i="70"/>
  <c r="M341" i="70"/>
  <c r="M342" i="70"/>
  <c r="M343" i="70"/>
  <c r="M344" i="70"/>
  <c r="M345" i="70"/>
  <c r="M346" i="70"/>
  <c r="M347" i="70"/>
  <c r="M348" i="70"/>
  <c r="M349" i="70"/>
  <c r="M350" i="70"/>
  <c r="M351" i="70"/>
  <c r="M352" i="70"/>
  <c r="M353" i="70"/>
  <c r="M354" i="70"/>
  <c r="M355" i="70"/>
  <c r="M356" i="70"/>
  <c r="M357" i="70"/>
  <c r="M358" i="70"/>
  <c r="M359" i="70"/>
  <c r="M360" i="70"/>
  <c r="M361" i="70"/>
  <c r="M362" i="70"/>
  <c r="M363" i="70"/>
  <c r="M364" i="70"/>
  <c r="M365" i="70"/>
  <c r="M366" i="70"/>
  <c r="M367" i="70"/>
  <c r="M368" i="70"/>
  <c r="M369" i="70"/>
  <c r="M370" i="70"/>
  <c r="M371" i="70"/>
  <c r="M372" i="70"/>
  <c r="M373" i="70"/>
  <c r="M374" i="70"/>
  <c r="M375" i="70"/>
  <c r="M376" i="70"/>
  <c r="M377" i="70"/>
  <c r="M378" i="70"/>
  <c r="M379" i="70"/>
  <c r="M380" i="70"/>
  <c r="M381" i="70"/>
  <c r="M382" i="70"/>
  <c r="M383" i="70"/>
  <c r="M384" i="70"/>
  <c r="M385" i="70"/>
  <c r="M386" i="70"/>
  <c r="M387" i="70"/>
  <c r="M388" i="70"/>
  <c r="M389" i="70"/>
  <c r="M390" i="70"/>
  <c r="M391" i="70"/>
  <c r="M392" i="70"/>
  <c r="M393" i="70"/>
  <c r="M394" i="70"/>
  <c r="M395" i="70"/>
  <c r="M396" i="70"/>
  <c r="M105" i="70"/>
  <c r="M227" i="70"/>
  <c r="M231" i="70"/>
  <c r="M230" i="70"/>
  <c r="M156" i="70"/>
  <c r="M133" i="70"/>
  <c r="M234" i="70"/>
  <c r="M228" i="70"/>
  <c r="M97" i="70"/>
  <c r="M137" i="70"/>
  <c r="M106" i="70"/>
  <c r="M229" i="70"/>
  <c r="M139" i="70"/>
  <c r="M262" i="70"/>
  <c r="M233" i="70"/>
  <c r="M103" i="70"/>
  <c r="M223" i="70"/>
  <c r="M214" i="70"/>
  <c r="M232" i="70"/>
  <c r="M210" i="70"/>
  <c r="M179" i="70"/>
  <c r="M162" i="70"/>
  <c r="M176" i="70"/>
  <c r="M138" i="70"/>
  <c r="M194" i="70"/>
  <c r="M221" i="70"/>
  <c r="M124" i="70"/>
  <c r="M99" i="70"/>
  <c r="M112" i="70"/>
  <c r="M243" i="70"/>
  <c r="M113" i="70"/>
  <c r="M108" i="70"/>
  <c r="M117" i="70"/>
  <c r="M78" i="70"/>
  <c r="M226" i="70"/>
  <c r="M115" i="70"/>
  <c r="M71" i="70"/>
  <c r="M126" i="70"/>
  <c r="M90" i="70"/>
  <c r="M172" i="70"/>
  <c r="M143" i="70"/>
  <c r="M146" i="70"/>
  <c r="M129" i="70"/>
  <c r="M251" i="70"/>
  <c r="M167" i="70"/>
  <c r="M95" i="70"/>
  <c r="M180" i="70"/>
  <c r="M141" i="70"/>
  <c r="M263" i="70"/>
  <c r="M119" i="70"/>
  <c r="M94" i="70"/>
  <c r="M140" i="70"/>
  <c r="M111" i="70"/>
  <c r="M224" i="70"/>
  <c r="M91" i="70"/>
  <c r="M164" i="70"/>
  <c r="M134" i="70"/>
  <c r="M237" i="70"/>
  <c r="M163" i="70"/>
  <c r="M145" i="70"/>
  <c r="M169" i="70"/>
  <c r="M242" i="70"/>
  <c r="M85" i="70"/>
  <c r="M114" i="70"/>
  <c r="M121" i="70"/>
  <c r="M110" i="70"/>
  <c r="M182" i="70"/>
  <c r="M118" i="70"/>
  <c r="M120" i="70"/>
  <c r="M250" i="70"/>
  <c r="M217" i="70"/>
  <c r="M93" i="70"/>
  <c r="M260" i="70"/>
  <c r="M87" i="70"/>
  <c r="M122" i="70"/>
  <c r="M80" i="70"/>
  <c r="M128" i="70"/>
  <c r="M132" i="70"/>
  <c r="M165" i="70"/>
  <c r="M171" i="70"/>
  <c r="M222" i="70"/>
  <c r="M136" i="70"/>
  <c r="M135" i="70"/>
  <c r="M212" i="70"/>
  <c r="M255" i="70"/>
  <c r="M89" i="70"/>
  <c r="M92" i="70"/>
  <c r="M177" i="70"/>
  <c r="M252" i="70"/>
  <c r="M98" i="70"/>
  <c r="M149" i="70"/>
  <c r="M77" i="70"/>
  <c r="M161" i="70"/>
  <c r="M76" i="70"/>
  <c r="M96" i="70"/>
  <c r="M75" i="70"/>
  <c r="M166" i="70"/>
  <c r="M125" i="70"/>
  <c r="M225" i="70"/>
  <c r="M81" i="70"/>
  <c r="M181" i="70"/>
  <c r="M83" i="70"/>
  <c r="M253" i="70"/>
  <c r="M147" i="70"/>
  <c r="M82" i="70"/>
  <c r="M184" i="70"/>
  <c r="M86" i="70"/>
  <c r="M107" i="70"/>
  <c r="M127" i="70"/>
  <c r="M173" i="70"/>
  <c r="M102" i="70"/>
  <c r="M101" i="70"/>
  <c r="M238" i="70"/>
  <c r="M216" i="70"/>
  <c r="M148" i="70"/>
  <c r="M211" i="70"/>
  <c r="M130" i="70"/>
  <c r="M213" i="70"/>
  <c r="M74" i="70"/>
  <c r="M109" i="70"/>
  <c r="M170" i="70"/>
  <c r="M261" i="70"/>
  <c r="M144" i="70"/>
  <c r="M131" i="70"/>
  <c r="M219" i="70"/>
  <c r="M79" i="70"/>
  <c r="M142" i="70"/>
  <c r="M104" i="70"/>
  <c r="M73" i="70"/>
  <c r="M241" i="70"/>
  <c r="M183" i="70"/>
  <c r="M192" i="70"/>
  <c r="M218" i="70"/>
  <c r="M160" i="70"/>
  <c r="M100" i="70"/>
  <c r="M178" i="70"/>
  <c r="M72" i="70"/>
  <c r="M220" i="70"/>
  <c r="M88" i="70"/>
  <c r="M123" i="70"/>
  <c r="M70" i="70"/>
  <c r="M84" i="70"/>
  <c r="M116" i="70"/>
  <c r="M264" i="70"/>
  <c r="M254" i="70"/>
  <c r="M7" i="70"/>
  <c r="P7" i="70"/>
  <c r="L215" i="70"/>
  <c r="M215" i="70" s="1"/>
  <c r="G24" i="70"/>
  <c r="N24" i="70" s="1"/>
  <c r="I25" i="57"/>
  <c r="E71" i="6"/>
  <c r="C60" i="48" s="1"/>
  <c r="N45" i="2"/>
  <c r="E21" i="65"/>
  <c r="F43" i="6"/>
  <c r="F31" i="6"/>
  <c r="F20" i="6"/>
  <c r="F58" i="6"/>
  <c r="E98" i="10"/>
  <c r="I16" i="65"/>
  <c r="C41" i="51"/>
  <c r="C20" i="52"/>
  <c r="E26" i="6"/>
  <c r="F26" i="6" s="1"/>
  <c r="E70" i="10"/>
  <c r="C31" i="48" s="1"/>
  <c r="E21" i="45"/>
  <c r="G21" i="45" s="1"/>
  <c r="H21" i="45" s="1"/>
  <c r="E49" i="6"/>
  <c r="C27" i="52"/>
  <c r="F35" i="6"/>
  <c r="C13" i="52"/>
  <c r="C6" i="52"/>
  <c r="M44" i="2"/>
  <c r="E25" i="10"/>
  <c r="E82" i="10"/>
  <c r="H78" i="12"/>
  <c r="N70" i="12"/>
  <c r="P70" i="12" s="1"/>
  <c r="C46" i="48"/>
  <c r="L54" i="12"/>
  <c r="L56" i="12" s="1"/>
  <c r="E19" i="10"/>
  <c r="C15" i="48"/>
  <c r="E15" i="2"/>
  <c r="L117" i="12"/>
  <c r="L119" i="12" s="1"/>
  <c r="E17" i="10"/>
  <c r="H56" i="12"/>
  <c r="N48" i="12"/>
  <c r="P48" i="12" s="1"/>
  <c r="E38" i="10"/>
  <c r="C21" i="48"/>
  <c r="C19" i="48" s="1"/>
  <c r="M61" i="2"/>
  <c r="E44" i="2"/>
  <c r="C53" i="48"/>
  <c r="J397" i="70" l="1"/>
  <c r="J402" i="70" s="1"/>
  <c r="L248" i="70"/>
  <c r="M248" i="70" s="1"/>
  <c r="K248" i="70"/>
  <c r="L249" i="70"/>
  <c r="M249" i="70" s="1"/>
  <c r="K249" i="70"/>
  <c r="L246" i="70"/>
  <c r="M246" i="70" s="1"/>
  <c r="K246" i="70"/>
  <c r="L247" i="70"/>
  <c r="M247" i="70" s="1"/>
  <c r="K247" i="70"/>
  <c r="G402" i="70"/>
  <c r="G397" i="70"/>
  <c r="E73" i="6"/>
  <c r="E77" i="6" s="1"/>
  <c r="F71" i="6"/>
  <c r="C50" i="49"/>
  <c r="F49" i="6"/>
  <c r="C53" i="49"/>
  <c r="C48" i="49"/>
  <c r="D13" i="12"/>
  <c r="C44" i="49"/>
  <c r="C34" i="52"/>
  <c r="C51" i="49"/>
  <c r="C61" i="49"/>
  <c r="C55" i="49"/>
  <c r="C52" i="48"/>
  <c r="C49" i="49" s="1"/>
  <c r="C59" i="49"/>
  <c r="C46" i="49"/>
  <c r="C54" i="49"/>
  <c r="C47" i="49"/>
  <c r="C43" i="49"/>
  <c r="C52" i="49"/>
  <c r="C59" i="48"/>
  <c r="E90" i="10"/>
  <c r="C40" i="48" s="1"/>
  <c r="C37" i="48" s="1"/>
  <c r="D82" i="12"/>
  <c r="E18" i="57"/>
  <c r="C12" i="48"/>
  <c r="C45" i="49"/>
  <c r="D60" i="12"/>
  <c r="E20" i="57"/>
  <c r="C13" i="48"/>
  <c r="E82" i="2"/>
  <c r="E13" i="2"/>
  <c r="E80" i="10"/>
  <c r="C36" i="48" s="1"/>
  <c r="C34" i="48" s="1"/>
  <c r="E32" i="10"/>
  <c r="C14" i="48"/>
  <c r="E15" i="10"/>
  <c r="E19" i="57"/>
  <c r="C57" i="49"/>
  <c r="F26" i="2" l="1"/>
  <c r="F18" i="2"/>
  <c r="F66" i="2"/>
  <c r="F61" i="2"/>
  <c r="F17" i="2"/>
  <c r="F32" i="2"/>
  <c r="F20" i="2"/>
  <c r="F19" i="2"/>
  <c r="K397" i="70"/>
  <c r="M397" i="70"/>
  <c r="L397" i="70"/>
  <c r="L400" i="70" s="1"/>
  <c r="Q265" i="70"/>
  <c r="Q266" i="70"/>
  <c r="Q267" i="70"/>
  <c r="Q268" i="70"/>
  <c r="Q269" i="70"/>
  <c r="Q270" i="70"/>
  <c r="Q271" i="70"/>
  <c r="Q272" i="70"/>
  <c r="Q273" i="70"/>
  <c r="Q274" i="70"/>
  <c r="Q275" i="70"/>
  <c r="Q276" i="70"/>
  <c r="Q277" i="70"/>
  <c r="Q278" i="70"/>
  <c r="Q279" i="70"/>
  <c r="Q280" i="70"/>
  <c r="Q281" i="70"/>
  <c r="Q282" i="70"/>
  <c r="Q283" i="70"/>
  <c r="Q284" i="70"/>
  <c r="Q285" i="70"/>
  <c r="Q286" i="70"/>
  <c r="Q287" i="70"/>
  <c r="Q288" i="70"/>
  <c r="Q289" i="70"/>
  <c r="Q290" i="70"/>
  <c r="Q291" i="70"/>
  <c r="Q292" i="70"/>
  <c r="Q293" i="70"/>
  <c r="Q294" i="70"/>
  <c r="Q295" i="70"/>
  <c r="Q296" i="70"/>
  <c r="Q297" i="70"/>
  <c r="Q298" i="70"/>
  <c r="Q299" i="70"/>
  <c r="Q300" i="70"/>
  <c r="Q301" i="70"/>
  <c r="Q302" i="70"/>
  <c r="Q303" i="70"/>
  <c r="Q304" i="70"/>
  <c r="Q305" i="70"/>
  <c r="Q306" i="70"/>
  <c r="Q307" i="70"/>
  <c r="Q308" i="70"/>
  <c r="Q309" i="70"/>
  <c r="Q310" i="70"/>
  <c r="Q311" i="70"/>
  <c r="Q312" i="70"/>
  <c r="Q313" i="70"/>
  <c r="Q314" i="70"/>
  <c r="Q315" i="70"/>
  <c r="Q316" i="70"/>
  <c r="Q317" i="70"/>
  <c r="Q318" i="70"/>
  <c r="Q319" i="70"/>
  <c r="Q320" i="70"/>
  <c r="Q321" i="70"/>
  <c r="Q322" i="70"/>
  <c r="Q323" i="70"/>
  <c r="Q324" i="70"/>
  <c r="Q325" i="70"/>
  <c r="Q326" i="70"/>
  <c r="Q327" i="70"/>
  <c r="Q328" i="70"/>
  <c r="Q329" i="70"/>
  <c r="Q330" i="70"/>
  <c r="Q331" i="70"/>
  <c r="Q332" i="70"/>
  <c r="Q333" i="70"/>
  <c r="Q334" i="70"/>
  <c r="Q335" i="70"/>
  <c r="Q336" i="70"/>
  <c r="Q337" i="70"/>
  <c r="Q338" i="70"/>
  <c r="Q339" i="70"/>
  <c r="Q340" i="70"/>
  <c r="Q341" i="70"/>
  <c r="Q342" i="70"/>
  <c r="Q343" i="70"/>
  <c r="Q344" i="70"/>
  <c r="Q345" i="70"/>
  <c r="Q346" i="70"/>
  <c r="Q347" i="70"/>
  <c r="Q348" i="70"/>
  <c r="Q349" i="70"/>
  <c r="Q350" i="70"/>
  <c r="Q351" i="70"/>
  <c r="Q352" i="70"/>
  <c r="Q353" i="70"/>
  <c r="Q354" i="70"/>
  <c r="Q355" i="70"/>
  <c r="Q356" i="70"/>
  <c r="Q357" i="70"/>
  <c r="Q358" i="70"/>
  <c r="Q359" i="70"/>
  <c r="Q360" i="70"/>
  <c r="Q361" i="70"/>
  <c r="Q362" i="70"/>
  <c r="Q363" i="70"/>
  <c r="Q364" i="70"/>
  <c r="Q365" i="70"/>
  <c r="Q366" i="70"/>
  <c r="Q367" i="70"/>
  <c r="Q368" i="70"/>
  <c r="Q369" i="70"/>
  <c r="Q370" i="70"/>
  <c r="Q371" i="70"/>
  <c r="Q372" i="70"/>
  <c r="Q373" i="70"/>
  <c r="Q374" i="70"/>
  <c r="Q375" i="70"/>
  <c r="Q376" i="70"/>
  <c r="Q377" i="70"/>
  <c r="Q378" i="70"/>
  <c r="Q379" i="70"/>
  <c r="Q380" i="70"/>
  <c r="Q381" i="70"/>
  <c r="Q382" i="70"/>
  <c r="Q383" i="70"/>
  <c r="Q384" i="70"/>
  <c r="Q385" i="70"/>
  <c r="Q386" i="70"/>
  <c r="Q387" i="70"/>
  <c r="Q388" i="70"/>
  <c r="Q389" i="70"/>
  <c r="Q390" i="70"/>
  <c r="Q391" i="70"/>
  <c r="Q392" i="70"/>
  <c r="Q393" i="70"/>
  <c r="Q394" i="70"/>
  <c r="Q395" i="70"/>
  <c r="Q396" i="70"/>
  <c r="Q7" i="70"/>
  <c r="Q69" i="70"/>
  <c r="Q70" i="70"/>
  <c r="Q71" i="70"/>
  <c r="Q72" i="70"/>
  <c r="Q73" i="70"/>
  <c r="Q74" i="70"/>
  <c r="Q75" i="70"/>
  <c r="Q76" i="70"/>
  <c r="Q77" i="70"/>
  <c r="Q78" i="70"/>
  <c r="Q79" i="70"/>
  <c r="Q80" i="70"/>
  <c r="Q81" i="70"/>
  <c r="Q82" i="70"/>
  <c r="Q83" i="70"/>
  <c r="Q84" i="70"/>
  <c r="Q85" i="70"/>
  <c r="Q86" i="70"/>
  <c r="Q87" i="70"/>
  <c r="Q88" i="70"/>
  <c r="Q89" i="70"/>
  <c r="Q90" i="70"/>
  <c r="Q91" i="70"/>
  <c r="Q92" i="70"/>
  <c r="Q93" i="70"/>
  <c r="Q94" i="70"/>
  <c r="Q95" i="70"/>
  <c r="Q96" i="70"/>
  <c r="Q97" i="70"/>
  <c r="Q98" i="70"/>
  <c r="Q99" i="70"/>
  <c r="Q100" i="70"/>
  <c r="Q101" i="70"/>
  <c r="Q102" i="70"/>
  <c r="Q103" i="70"/>
  <c r="Q104" i="70"/>
  <c r="Q105" i="70"/>
  <c r="Q106" i="70"/>
  <c r="Q107" i="70"/>
  <c r="Q108" i="70"/>
  <c r="Q109" i="70"/>
  <c r="Q110" i="70"/>
  <c r="Q111" i="70"/>
  <c r="Q112" i="70"/>
  <c r="Q113" i="70"/>
  <c r="Q114" i="70"/>
  <c r="Q115" i="70"/>
  <c r="Q116" i="70"/>
  <c r="Q117" i="70"/>
  <c r="Q118" i="70"/>
  <c r="Q119" i="70"/>
  <c r="Q120" i="70"/>
  <c r="Q121" i="70"/>
  <c r="Q122" i="70"/>
  <c r="Q123" i="70"/>
  <c r="Q124" i="70"/>
  <c r="Q125" i="70"/>
  <c r="Q126" i="70"/>
  <c r="Q127" i="70"/>
  <c r="Q128" i="70"/>
  <c r="Q129" i="70"/>
  <c r="Q130" i="70"/>
  <c r="Q131" i="70"/>
  <c r="Q132" i="70"/>
  <c r="Q133" i="70"/>
  <c r="Q134" i="70"/>
  <c r="Q135" i="70"/>
  <c r="Q136" i="70"/>
  <c r="Q137" i="70"/>
  <c r="Q138" i="70"/>
  <c r="Q139" i="70"/>
  <c r="Q140" i="70"/>
  <c r="Q141" i="70"/>
  <c r="Q142" i="70"/>
  <c r="Q143" i="70"/>
  <c r="Q144" i="70"/>
  <c r="Q145" i="70"/>
  <c r="Q146" i="70"/>
  <c r="Q147" i="70"/>
  <c r="Q148" i="70"/>
  <c r="Q149" i="70"/>
  <c r="Q156" i="70"/>
  <c r="Q160" i="70"/>
  <c r="Q161" i="70"/>
  <c r="Q162" i="70"/>
  <c r="Q163" i="70"/>
  <c r="Q164" i="70"/>
  <c r="Q165" i="70"/>
  <c r="Q166" i="70"/>
  <c r="Q167" i="70"/>
  <c r="Q169" i="70"/>
  <c r="Q170" i="70"/>
  <c r="Q171" i="70"/>
  <c r="Q172" i="70"/>
  <c r="Q173" i="70"/>
  <c r="Q176" i="70"/>
  <c r="Q177" i="70"/>
  <c r="Q178" i="70"/>
  <c r="Q179" i="70"/>
  <c r="Q180" i="70"/>
  <c r="Q181" i="70"/>
  <c r="Q182" i="70"/>
  <c r="Q183" i="70"/>
  <c r="Q184" i="70"/>
  <c r="Q192" i="70"/>
  <c r="Q194" i="70"/>
  <c r="Q210" i="70"/>
  <c r="Q211" i="70"/>
  <c r="Q212" i="70"/>
  <c r="Q213" i="70"/>
  <c r="Q214" i="70"/>
  <c r="Q215" i="70"/>
  <c r="Q216" i="70"/>
  <c r="Q217" i="70"/>
  <c r="Q218" i="70"/>
  <c r="Q219" i="70"/>
  <c r="Q220" i="70"/>
  <c r="Q221" i="70"/>
  <c r="Q222" i="70"/>
  <c r="Q223" i="70"/>
  <c r="Q224" i="70"/>
  <c r="Q225" i="70"/>
  <c r="Q226" i="70"/>
  <c r="Q237" i="70"/>
  <c r="Q238" i="70"/>
  <c r="Q241" i="70"/>
  <c r="Q242" i="70"/>
  <c r="Q243" i="70"/>
  <c r="Q250" i="70"/>
  <c r="Q251" i="70"/>
  <c r="Q252" i="70"/>
  <c r="Q253" i="70"/>
  <c r="Q254" i="70"/>
  <c r="Q255" i="70"/>
  <c r="Q260" i="70"/>
  <c r="Q261" i="70"/>
  <c r="Q262" i="70"/>
  <c r="Q263" i="70"/>
  <c r="Q264" i="70"/>
  <c r="Q68" i="70"/>
  <c r="Q231" i="70"/>
  <c r="Q230" i="70"/>
  <c r="Q227" i="70"/>
  <c r="Q195" i="70"/>
  <c r="Q203" i="70"/>
  <c r="Q229" i="70"/>
  <c r="Q256" i="70"/>
  <c r="Q232" i="70"/>
  <c r="Q40" i="70"/>
  <c r="Q234" i="70"/>
  <c r="Q233" i="70"/>
  <c r="Q54" i="70"/>
  <c r="Q56" i="70"/>
  <c r="Q228" i="70"/>
  <c r="Q62" i="70"/>
  <c r="Q66" i="70"/>
  <c r="Q8" i="70"/>
  <c r="Q33" i="70"/>
  <c r="Q193" i="70"/>
  <c r="Q205" i="70"/>
  <c r="Q48" i="70"/>
  <c r="Q158" i="70"/>
  <c r="Q187" i="70"/>
  <c r="Q240" i="70"/>
  <c r="Q19" i="70"/>
  <c r="Q17" i="70"/>
  <c r="Q55" i="70"/>
  <c r="Q64" i="70"/>
  <c r="Q209" i="70"/>
  <c r="Q151" i="70"/>
  <c r="Q49" i="70"/>
  <c r="Q39" i="70"/>
  <c r="Q42" i="70"/>
  <c r="Q60" i="70"/>
  <c r="Q37" i="70"/>
  <c r="Q204" i="70"/>
  <c r="Q257" i="70"/>
  <c r="Q63" i="70"/>
  <c r="Q199" i="70"/>
  <c r="Q30" i="70"/>
  <c r="Q174" i="70"/>
  <c r="Q155" i="70"/>
  <c r="Q53" i="70"/>
  <c r="Q235" i="70"/>
  <c r="Q150" i="70"/>
  <c r="Q27" i="70"/>
  <c r="Q12" i="70"/>
  <c r="Q21" i="70"/>
  <c r="Q258" i="70"/>
  <c r="Q188" i="70"/>
  <c r="Q36" i="70"/>
  <c r="Q200" i="70"/>
  <c r="Q51" i="70"/>
  <c r="Q198" i="70"/>
  <c r="Q57" i="70"/>
  <c r="Q259" i="70"/>
  <c r="Q43" i="70"/>
  <c r="Q153" i="70"/>
  <c r="Q245" i="70"/>
  <c r="Q208" i="70"/>
  <c r="Q244" i="70"/>
  <c r="Q175" i="70"/>
  <c r="Q45" i="70"/>
  <c r="Q34" i="70"/>
  <c r="Q197" i="70"/>
  <c r="Q65" i="70"/>
  <c r="Q41" i="70"/>
  <c r="Q29" i="70"/>
  <c r="Q25" i="70"/>
  <c r="Q11" i="70"/>
  <c r="Q38" i="70"/>
  <c r="Q157" i="70"/>
  <c r="Q206" i="70"/>
  <c r="Q168" i="70"/>
  <c r="Q47" i="70"/>
  <c r="Q185" i="70"/>
  <c r="Q35" i="70"/>
  <c r="Q196" i="70"/>
  <c r="Q207" i="70"/>
  <c r="Q46" i="70"/>
  <c r="Q61" i="70"/>
  <c r="Q154" i="70"/>
  <c r="Q189" i="70"/>
  <c r="Q236" i="70"/>
  <c r="Q159" i="70"/>
  <c r="Q31" i="70"/>
  <c r="Q44" i="70"/>
  <c r="Q52" i="70"/>
  <c r="Q58" i="70"/>
  <c r="Q239" i="70"/>
  <c r="Q26" i="70"/>
  <c r="Q15" i="70"/>
  <c r="Q13" i="70"/>
  <c r="Q18" i="70"/>
  <c r="Q10" i="70"/>
  <c r="Q201" i="70"/>
  <c r="Q50" i="70"/>
  <c r="Q186" i="70"/>
  <c r="Q190" i="70"/>
  <c r="Q67" i="70"/>
  <c r="Q59" i="70"/>
  <c r="Q202" i="70"/>
  <c r="Q191" i="70"/>
  <c r="Q16" i="70"/>
  <c r="Q152" i="70"/>
  <c r="Q248" i="70"/>
  <c r="Q249" i="70"/>
  <c r="Q246" i="70"/>
  <c r="Q247" i="70"/>
  <c r="Q28" i="70"/>
  <c r="Q20" i="70"/>
  <c r="Q14" i="70"/>
  <c r="Q22" i="70"/>
  <c r="Q23" i="70"/>
  <c r="Q9" i="70"/>
  <c r="Q32" i="70"/>
  <c r="N397" i="70"/>
  <c r="N402" i="70" s="1"/>
  <c r="O24" i="70"/>
  <c r="O69" i="70"/>
  <c r="O70" i="70"/>
  <c r="O71" i="70"/>
  <c r="O72" i="70"/>
  <c r="O73" i="70"/>
  <c r="O74" i="70"/>
  <c r="O75" i="70"/>
  <c r="O76" i="70"/>
  <c r="O77" i="70"/>
  <c r="O78" i="70"/>
  <c r="O79" i="70"/>
  <c r="O80" i="70"/>
  <c r="O81" i="70"/>
  <c r="O82" i="70"/>
  <c r="O83" i="70"/>
  <c r="O84" i="70"/>
  <c r="O85" i="70"/>
  <c r="O86" i="70"/>
  <c r="O87" i="70"/>
  <c r="O88" i="70"/>
  <c r="O89" i="70"/>
  <c r="O90" i="70"/>
  <c r="O91" i="70"/>
  <c r="O92" i="70"/>
  <c r="O93" i="70"/>
  <c r="O94" i="70"/>
  <c r="O95" i="70"/>
  <c r="O96" i="70"/>
  <c r="O97" i="70"/>
  <c r="O98" i="70"/>
  <c r="O99" i="70"/>
  <c r="O100" i="70"/>
  <c r="O101" i="70"/>
  <c r="O102" i="70"/>
  <c r="O103" i="70"/>
  <c r="O104" i="70"/>
  <c r="O105" i="70"/>
  <c r="O106" i="70"/>
  <c r="O107" i="70"/>
  <c r="O108" i="70"/>
  <c r="O109" i="70"/>
  <c r="O110" i="70"/>
  <c r="O111" i="70"/>
  <c r="O112" i="70"/>
  <c r="O113" i="70"/>
  <c r="O114" i="70"/>
  <c r="O115" i="70"/>
  <c r="O116" i="70"/>
  <c r="O117" i="70"/>
  <c r="O118" i="70"/>
  <c r="O119" i="70"/>
  <c r="O120" i="70"/>
  <c r="O121" i="70"/>
  <c r="O122" i="70"/>
  <c r="O123" i="70"/>
  <c r="O124" i="70"/>
  <c r="O125" i="70"/>
  <c r="O126" i="70"/>
  <c r="O127" i="70"/>
  <c r="O128" i="70"/>
  <c r="O129" i="70"/>
  <c r="O130" i="70"/>
  <c r="O131" i="70"/>
  <c r="O132" i="70"/>
  <c r="O133" i="70"/>
  <c r="O134" i="70"/>
  <c r="O135" i="70"/>
  <c r="O136" i="70"/>
  <c r="O137" i="70"/>
  <c r="O138" i="70"/>
  <c r="O139" i="70"/>
  <c r="O140" i="70"/>
  <c r="O141" i="70"/>
  <c r="O142" i="70"/>
  <c r="O143" i="70"/>
  <c r="O144" i="70"/>
  <c r="O145" i="70"/>
  <c r="O146" i="70"/>
  <c r="O147" i="70"/>
  <c r="O148" i="70"/>
  <c r="O149" i="70"/>
  <c r="O156" i="70"/>
  <c r="O160" i="70"/>
  <c r="O161" i="70"/>
  <c r="O162" i="70"/>
  <c r="O163" i="70"/>
  <c r="O164" i="70"/>
  <c r="O165" i="70"/>
  <c r="O166" i="70"/>
  <c r="O167" i="70"/>
  <c r="O169" i="70"/>
  <c r="O170" i="70"/>
  <c r="O171" i="70"/>
  <c r="O172" i="70"/>
  <c r="O173" i="70"/>
  <c r="O176" i="70"/>
  <c r="O177" i="70"/>
  <c r="O178" i="70"/>
  <c r="O179" i="70"/>
  <c r="O180" i="70"/>
  <c r="O181" i="70"/>
  <c r="O182" i="70"/>
  <c r="O183" i="70"/>
  <c r="O184" i="70"/>
  <c r="O192" i="70"/>
  <c r="O194" i="70"/>
  <c r="O210" i="70"/>
  <c r="O211" i="70"/>
  <c r="O212" i="70"/>
  <c r="O213" i="70"/>
  <c r="O214" i="70"/>
  <c r="O215" i="70"/>
  <c r="O216" i="70"/>
  <c r="O217" i="70"/>
  <c r="O218" i="70"/>
  <c r="O219" i="70"/>
  <c r="O220" i="70"/>
  <c r="O221" i="70"/>
  <c r="O222" i="70"/>
  <c r="O223" i="70"/>
  <c r="O224" i="70"/>
  <c r="O225" i="70"/>
  <c r="O226" i="70"/>
  <c r="O237" i="70"/>
  <c r="O238" i="70"/>
  <c r="O241" i="70"/>
  <c r="O242" i="70"/>
  <c r="O243" i="70"/>
  <c r="O250" i="70"/>
  <c r="O251" i="70"/>
  <c r="O252" i="70"/>
  <c r="O253" i="70"/>
  <c r="O254" i="70"/>
  <c r="O255" i="70"/>
  <c r="O260" i="70"/>
  <c r="O261" i="70"/>
  <c r="O262" i="70"/>
  <c r="O263" i="70"/>
  <c r="O264" i="70"/>
  <c r="O265" i="70"/>
  <c r="O266" i="70"/>
  <c r="O267" i="70"/>
  <c r="O268" i="70"/>
  <c r="O269" i="70"/>
  <c r="O270" i="70"/>
  <c r="O271" i="70"/>
  <c r="O272" i="70"/>
  <c r="O273" i="70"/>
  <c r="O274" i="70"/>
  <c r="O275" i="70"/>
  <c r="O276" i="70"/>
  <c r="O277" i="70"/>
  <c r="O278" i="70"/>
  <c r="O279" i="70"/>
  <c r="O280" i="70"/>
  <c r="O281" i="70"/>
  <c r="O282" i="70"/>
  <c r="O283" i="70"/>
  <c r="O284" i="70"/>
  <c r="O285" i="70"/>
  <c r="O286" i="70"/>
  <c r="O287" i="70"/>
  <c r="O288" i="70"/>
  <c r="O289" i="70"/>
  <c r="O290" i="70"/>
  <c r="O291" i="70"/>
  <c r="O292" i="70"/>
  <c r="O293" i="70"/>
  <c r="O294" i="70"/>
  <c r="O295" i="70"/>
  <c r="O296" i="70"/>
  <c r="O297" i="70"/>
  <c r="O298" i="70"/>
  <c r="O299" i="70"/>
  <c r="O300" i="70"/>
  <c r="O301" i="70"/>
  <c r="O302" i="70"/>
  <c r="O303" i="70"/>
  <c r="O304" i="70"/>
  <c r="O305" i="70"/>
  <c r="O306" i="70"/>
  <c r="O307" i="70"/>
  <c r="O308" i="70"/>
  <c r="O309" i="70"/>
  <c r="O310" i="70"/>
  <c r="O311" i="70"/>
  <c r="O312" i="70"/>
  <c r="O313" i="70"/>
  <c r="O314" i="70"/>
  <c r="O315" i="70"/>
  <c r="O316" i="70"/>
  <c r="O317" i="70"/>
  <c r="O318" i="70"/>
  <c r="O319" i="70"/>
  <c r="O320" i="70"/>
  <c r="O321" i="70"/>
  <c r="O322" i="70"/>
  <c r="O323" i="70"/>
  <c r="O324" i="70"/>
  <c r="O325" i="70"/>
  <c r="O326" i="70"/>
  <c r="O327" i="70"/>
  <c r="O328" i="70"/>
  <c r="O329" i="70"/>
  <c r="O330" i="70"/>
  <c r="O331" i="70"/>
  <c r="O332" i="70"/>
  <c r="O333" i="70"/>
  <c r="O334" i="70"/>
  <c r="O335" i="70"/>
  <c r="O336" i="70"/>
  <c r="O337" i="70"/>
  <c r="O338" i="70"/>
  <c r="O339" i="70"/>
  <c r="O340" i="70"/>
  <c r="O341" i="70"/>
  <c r="O342" i="70"/>
  <c r="O343" i="70"/>
  <c r="O344" i="70"/>
  <c r="O345" i="70"/>
  <c r="O346" i="70"/>
  <c r="O347" i="70"/>
  <c r="O348" i="70"/>
  <c r="O349" i="70"/>
  <c r="O350" i="70"/>
  <c r="O351" i="70"/>
  <c r="O352" i="70"/>
  <c r="O353" i="70"/>
  <c r="O354" i="70"/>
  <c r="O355" i="70"/>
  <c r="O356" i="70"/>
  <c r="O357" i="70"/>
  <c r="O358" i="70"/>
  <c r="O359" i="70"/>
  <c r="O360" i="70"/>
  <c r="O361" i="70"/>
  <c r="O362" i="70"/>
  <c r="O363" i="70"/>
  <c r="O364" i="70"/>
  <c r="O365" i="70"/>
  <c r="O366" i="70"/>
  <c r="O367" i="70"/>
  <c r="O368" i="70"/>
  <c r="O369" i="70"/>
  <c r="O370" i="70"/>
  <c r="O371" i="70"/>
  <c r="O372" i="70"/>
  <c r="O373" i="70"/>
  <c r="O374" i="70"/>
  <c r="O375" i="70"/>
  <c r="O376" i="70"/>
  <c r="O377" i="70"/>
  <c r="O378" i="70"/>
  <c r="O379" i="70"/>
  <c r="O380" i="70"/>
  <c r="O381" i="70"/>
  <c r="O382" i="70"/>
  <c r="O383" i="70"/>
  <c r="O384" i="70"/>
  <c r="O385" i="70"/>
  <c r="O386" i="70"/>
  <c r="O387" i="70"/>
  <c r="O388" i="70"/>
  <c r="O389" i="70"/>
  <c r="O390" i="70"/>
  <c r="O391" i="70"/>
  <c r="O392" i="70"/>
  <c r="O393" i="70"/>
  <c r="O394" i="70"/>
  <c r="O395" i="70"/>
  <c r="O396" i="70"/>
  <c r="O227" i="70"/>
  <c r="O230" i="70"/>
  <c r="O231" i="70"/>
  <c r="O68" i="70"/>
  <c r="O66" i="70"/>
  <c r="O62" i="70"/>
  <c r="O228" i="70"/>
  <c r="O56" i="70"/>
  <c r="O54" i="70"/>
  <c r="O233" i="70"/>
  <c r="O234" i="70"/>
  <c r="O40" i="70"/>
  <c r="O232" i="70"/>
  <c r="O256" i="70"/>
  <c r="O229" i="70"/>
  <c r="O203" i="70"/>
  <c r="O195" i="70"/>
  <c r="O152" i="70"/>
  <c r="O16" i="70"/>
  <c r="O191" i="70"/>
  <c r="O202" i="70"/>
  <c r="O59" i="70"/>
  <c r="O67" i="70"/>
  <c r="O190" i="70"/>
  <c r="O186" i="70"/>
  <c r="O50" i="70"/>
  <c r="O201" i="70"/>
  <c r="O8" i="70"/>
  <c r="O10" i="70"/>
  <c r="O18" i="70"/>
  <c r="O13" i="70"/>
  <c r="O15" i="70"/>
  <c r="O26" i="70"/>
  <c r="O239" i="70"/>
  <c r="O58" i="70"/>
  <c r="O52" i="70"/>
  <c r="O44" i="70"/>
  <c r="O31" i="70"/>
  <c r="O159" i="70"/>
  <c r="O236" i="70"/>
  <c r="O189" i="70"/>
  <c r="O154" i="70"/>
  <c r="O61" i="70"/>
  <c r="O46" i="70"/>
  <c r="O207" i="70"/>
  <c r="O196" i="70"/>
  <c r="O35" i="70"/>
  <c r="O185" i="70"/>
  <c r="O47" i="70"/>
  <c r="O168" i="70"/>
  <c r="O206" i="70"/>
  <c r="O157" i="70"/>
  <c r="O38" i="70"/>
  <c r="O11" i="70"/>
  <c r="O25" i="70"/>
  <c r="O29" i="70"/>
  <c r="O41" i="70"/>
  <c r="O65" i="70"/>
  <c r="O197" i="70"/>
  <c r="O34" i="70"/>
  <c r="O45" i="70"/>
  <c r="O175" i="70"/>
  <c r="O244" i="70"/>
  <c r="O208" i="70"/>
  <c r="O245" i="70"/>
  <c r="O153" i="70"/>
  <c r="O43" i="70"/>
  <c r="O259" i="70"/>
  <c r="O57" i="70"/>
  <c r="O198" i="70"/>
  <c r="O51" i="70"/>
  <c r="O200" i="70"/>
  <c r="O36" i="70"/>
  <c r="O188" i="70"/>
  <c r="O258" i="70"/>
  <c r="O21" i="70"/>
  <c r="O12" i="70"/>
  <c r="O27" i="70"/>
  <c r="O150" i="70"/>
  <c r="O235" i="70"/>
  <c r="O53" i="70"/>
  <c r="O155" i="70"/>
  <c r="O174" i="70"/>
  <c r="O30" i="70"/>
  <c r="O199" i="70"/>
  <c r="O63" i="70"/>
  <c r="O257" i="70"/>
  <c r="O204" i="70"/>
  <c r="O37" i="70"/>
  <c r="O60" i="70"/>
  <c r="O42" i="70"/>
  <c r="O39" i="70"/>
  <c r="O49" i="70"/>
  <c r="O151" i="70"/>
  <c r="O209" i="70"/>
  <c r="O64" i="70"/>
  <c r="O55" i="70"/>
  <c r="O17" i="70"/>
  <c r="O19" i="70"/>
  <c r="O240" i="70"/>
  <c r="O187" i="70"/>
  <c r="O158" i="70"/>
  <c r="O48" i="70"/>
  <c r="O205" i="70"/>
  <c r="O193" i="70"/>
  <c r="O33" i="70"/>
  <c r="O32" i="70"/>
  <c r="O9" i="70"/>
  <c r="O23" i="70"/>
  <c r="O22" i="70"/>
  <c r="O14" i="70"/>
  <c r="O20" i="70"/>
  <c r="O28" i="70"/>
  <c r="O247" i="70"/>
  <c r="O246" i="70"/>
  <c r="O249" i="70"/>
  <c r="O248" i="70"/>
  <c r="O7" i="70"/>
  <c r="F400" i="70"/>
  <c r="P24" i="70"/>
  <c r="Q24" i="70" s="1"/>
  <c r="F38" i="2"/>
  <c r="F39" i="2"/>
  <c r="F22" i="2"/>
  <c r="F69" i="2"/>
  <c r="F73" i="6"/>
  <c r="F28" i="2"/>
  <c r="F21" i="2"/>
  <c r="F45" i="2"/>
  <c r="F16" i="2"/>
  <c r="F37" i="2"/>
  <c r="F29" i="2"/>
  <c r="F50" i="2"/>
  <c r="F24" i="2"/>
  <c r="F27" i="2"/>
  <c r="F72" i="2"/>
  <c r="F47" i="2"/>
  <c r="F58" i="2"/>
  <c r="F68" i="2"/>
  <c r="F52" i="2"/>
  <c r="F57" i="2"/>
  <c r="F59" i="2"/>
  <c r="F67" i="2"/>
  <c r="E55" i="10"/>
  <c r="E13" i="10"/>
  <c r="F43" i="10" s="1"/>
  <c r="C6" i="50"/>
  <c r="H6" i="50" s="1"/>
  <c r="C13" i="50"/>
  <c r="H13" i="50" s="1"/>
  <c r="F49" i="2"/>
  <c r="F31" i="2"/>
  <c r="F30" i="2"/>
  <c r="F41" i="2"/>
  <c r="F54" i="2"/>
  <c r="F48" i="2"/>
  <c r="F73" i="2"/>
  <c r="F56" i="2"/>
  <c r="F25" i="2"/>
  <c r="F42" i="2"/>
  <c r="F46" i="2"/>
  <c r="F23" i="2"/>
  <c r="F13" i="2"/>
  <c r="F74" i="2"/>
  <c r="F15" i="2"/>
  <c r="F53" i="2"/>
  <c r="F44" i="2"/>
  <c r="F36" i="2"/>
  <c r="F75" i="2"/>
  <c r="C11" i="48"/>
  <c r="C26" i="48" s="1"/>
  <c r="E81" i="6"/>
  <c r="G17" i="45" s="1"/>
  <c r="F77" i="6"/>
  <c r="F82" i="2"/>
  <c r="G12" i="53"/>
  <c r="C61" i="48"/>
  <c r="C56" i="49"/>
  <c r="Q397" i="70" l="1"/>
  <c r="O397" i="70"/>
  <c r="L402" i="70"/>
  <c r="P397" i="70"/>
  <c r="P402" i="70" s="1"/>
  <c r="J406" i="70"/>
  <c r="J34" i="46"/>
  <c r="H34" i="46" s="1"/>
  <c r="D400" i="70"/>
  <c r="F34" i="10"/>
  <c r="F17" i="10"/>
  <c r="K35" i="60"/>
  <c r="K36" i="60" s="1"/>
  <c r="K37" i="60" s="1"/>
  <c r="K39" i="60" s="1"/>
  <c r="I34" i="46"/>
  <c r="G34" i="46" s="1"/>
  <c r="F45" i="10"/>
  <c r="F21" i="10"/>
  <c r="F55" i="10"/>
  <c r="C18" i="49"/>
  <c r="C10" i="49"/>
  <c r="C9" i="49"/>
  <c r="C12" i="49"/>
  <c r="C15" i="49"/>
  <c r="C23" i="49"/>
  <c r="C20" i="49"/>
  <c r="C14" i="49"/>
  <c r="C11" i="49"/>
  <c r="C21" i="49"/>
  <c r="G9" i="53"/>
  <c r="C16" i="49"/>
  <c r="C17" i="49"/>
  <c r="C13" i="49"/>
  <c r="C19" i="49"/>
  <c r="C22" i="49"/>
  <c r="F15" i="10"/>
  <c r="F23" i="10"/>
  <c r="F39" i="10"/>
  <c r="F47" i="10"/>
  <c r="F41" i="10"/>
  <c r="F13" i="10"/>
  <c r="F27" i="10"/>
  <c r="F32" i="10"/>
  <c r="F19" i="10"/>
  <c r="F25" i="10"/>
  <c r="F38" i="10"/>
  <c r="F36" i="10"/>
  <c r="F49" i="10"/>
  <c r="C58" i="49"/>
  <c r="C63" i="48"/>
  <c r="F81" i="6"/>
  <c r="M31" i="2"/>
  <c r="V412" i="70" l="1"/>
  <c r="AG413" i="70"/>
  <c r="T424" i="70"/>
  <c r="T425" i="70" s="1"/>
  <c r="T426" i="70" s="1"/>
  <c r="G403" i="70" s="1"/>
  <c r="J403" i="70" s="1"/>
  <c r="J405" i="70" s="1"/>
  <c r="L405" i="70" s="1"/>
  <c r="J407" i="70" s="1"/>
  <c r="P400" i="70"/>
  <c r="L407" i="70"/>
  <c r="L406" i="70"/>
  <c r="G44" i="46"/>
  <c r="I44" i="46"/>
  <c r="F51" i="46"/>
  <c r="G51" i="46"/>
  <c r="G65" i="46" s="1"/>
  <c r="J44" i="46"/>
  <c r="H44" i="46"/>
  <c r="C60" i="49"/>
  <c r="C65" i="48"/>
  <c r="G41" i="45"/>
  <c r="H17" i="45"/>
  <c r="H41" i="45" s="1"/>
  <c r="H44" i="45" s="1"/>
  <c r="H47" i="45" s="1"/>
  <c r="M17" i="2"/>
  <c r="E74" i="10"/>
  <c r="U412" i="70" l="1"/>
  <c r="U423" i="70" s="1"/>
  <c r="AG412" i="70"/>
  <c r="V423" i="70"/>
  <c r="E65" i="10"/>
  <c r="C32" i="48"/>
  <c r="C67" i="48" s="1"/>
  <c r="C34" i="51"/>
  <c r="C62" i="49"/>
  <c r="C27" i="51"/>
  <c r="G18" i="53"/>
  <c r="M15" i="2"/>
  <c r="H400" i="70" s="1"/>
  <c r="H51" i="46"/>
  <c r="H52" i="46" s="1"/>
  <c r="H53" i="46" s="1"/>
  <c r="H54" i="46" s="1"/>
  <c r="H55" i="46" s="1"/>
  <c r="H56" i="46" s="1"/>
  <c r="H57" i="46" s="1"/>
  <c r="H58" i="46" s="1"/>
  <c r="H59" i="46" s="1"/>
  <c r="H60" i="46" s="1"/>
  <c r="H61" i="46" s="1"/>
  <c r="H62" i="46" s="1"/>
  <c r="H63" i="46" s="1"/>
  <c r="H64" i="46" s="1"/>
  <c r="F65" i="46"/>
  <c r="H65" i="46" s="1"/>
  <c r="J45" i="46"/>
  <c r="I45" i="46"/>
  <c r="G44" i="45"/>
  <c r="G47" i="45" s="1"/>
  <c r="E41" i="45"/>
  <c r="L42" i="45" s="1"/>
  <c r="G45" i="46"/>
  <c r="H45" i="46"/>
  <c r="N42" i="45" l="1"/>
  <c r="E44" i="45"/>
  <c r="H67" i="46"/>
  <c r="M82" i="2"/>
  <c r="M13" i="2"/>
  <c r="E63" i="10"/>
  <c r="G400" i="70" l="1"/>
  <c r="N73" i="2"/>
  <c r="N76" i="2"/>
  <c r="K18" i="61"/>
  <c r="J33" i="61" s="1"/>
  <c r="J34" i="61" s="1"/>
  <c r="E47" i="45"/>
  <c r="L56" i="45" s="1"/>
  <c r="N67" i="2"/>
  <c r="N53" i="2"/>
  <c r="N32" i="2"/>
  <c r="N57" i="2"/>
  <c r="N38" i="2"/>
  <c r="N39" i="2"/>
  <c r="N41" i="2"/>
  <c r="N37" i="2"/>
  <c r="N35" i="2"/>
  <c r="N28" i="2"/>
  <c r="N30" i="2"/>
  <c r="N22" i="2"/>
  <c r="N33" i="2"/>
  <c r="N21" i="2"/>
  <c r="N26" i="2"/>
  <c r="N69" i="2"/>
  <c r="N75" i="2"/>
  <c r="N79" i="2"/>
  <c r="N78" i="2"/>
  <c r="N29" i="2"/>
  <c r="N27" i="2"/>
  <c r="N15" i="2"/>
  <c r="N56" i="2"/>
  <c r="E84" i="2"/>
  <c r="N82" i="2"/>
  <c r="E103" i="10"/>
  <c r="E61" i="10"/>
  <c r="C33" i="48"/>
  <c r="C29" i="48" s="1"/>
  <c r="J45" i="45"/>
  <c r="K45" i="45" s="1"/>
  <c r="N52" i="2"/>
  <c r="N66" i="2"/>
  <c r="N24" i="2"/>
  <c r="N25" i="2"/>
  <c r="N55" i="2"/>
  <c r="N23" i="2"/>
  <c r="N50" i="2"/>
  <c r="N64" i="2"/>
  <c r="N71" i="2"/>
  <c r="N61" i="2"/>
  <c r="N72" i="2"/>
  <c r="N20" i="2"/>
  <c r="N19" i="2"/>
  <c r="N44" i="2"/>
  <c r="N74" i="2"/>
  <c r="N77" i="2"/>
  <c r="N13" i="2"/>
  <c r="N70" i="2"/>
  <c r="N31" i="2"/>
  <c r="N17" i="2"/>
  <c r="L57" i="45" l="1"/>
  <c r="L53" i="45"/>
  <c r="G49" i="45" s="1"/>
  <c r="L54" i="45"/>
  <c r="K20" i="61"/>
  <c r="F87" i="10"/>
  <c r="F84" i="10"/>
  <c r="F95" i="10"/>
  <c r="F77" i="10"/>
  <c r="F75" i="10"/>
  <c r="F73" i="10"/>
  <c r="F78" i="10"/>
  <c r="F69" i="10"/>
  <c r="F76" i="10"/>
  <c r="F68" i="10"/>
  <c r="F71" i="10"/>
  <c r="F96" i="10"/>
  <c r="F101" i="10"/>
  <c r="F86" i="10"/>
  <c r="F72" i="10"/>
  <c r="F63" i="10"/>
  <c r="F83" i="10"/>
  <c r="F94" i="10"/>
  <c r="F85" i="10"/>
  <c r="F70" i="10"/>
  <c r="F93" i="10"/>
  <c r="F82" i="10"/>
  <c r="F97" i="10"/>
  <c r="F80" i="10"/>
  <c r="F99" i="10"/>
  <c r="F90" i="10"/>
  <c r="F100" i="10"/>
  <c r="F98" i="10"/>
  <c r="F61" i="10"/>
  <c r="F67" i="10"/>
  <c r="F66" i="10"/>
  <c r="F74" i="10"/>
  <c r="F65" i="10"/>
  <c r="M45" i="45"/>
  <c r="L45" i="45"/>
  <c r="N45" i="45" s="1"/>
  <c r="F103" i="10"/>
  <c r="E105" i="10"/>
  <c r="L55" i="45"/>
  <c r="C34" i="50"/>
  <c r="H34" i="50" s="1"/>
  <c r="C41" i="48"/>
  <c r="G15" i="53"/>
  <c r="G21" i="53" s="1"/>
  <c r="G24" i="53" s="1"/>
  <c r="C20" i="50"/>
  <c r="H20" i="50" s="1"/>
  <c r="C13" i="51"/>
  <c r="C41" i="50"/>
  <c r="H41" i="50" s="1"/>
  <c r="F48" i="45" l="1"/>
  <c r="C34" i="49"/>
  <c r="C26" i="49"/>
  <c r="C30" i="49"/>
  <c r="C43" i="48"/>
  <c r="C32" i="49"/>
  <c r="C35" i="49"/>
  <c r="C42" i="48"/>
  <c r="C37" i="49"/>
  <c r="C6" i="51"/>
  <c r="C33" i="49"/>
  <c r="C28" i="49"/>
  <c r="C31" i="49"/>
  <c r="C29" i="49"/>
  <c r="C38" i="49"/>
  <c r="C20" i="51"/>
  <c r="C27" i="49"/>
  <c r="C36" i="49"/>
  <c r="C27" i="50"/>
  <c r="H27" i="50" s="1"/>
  <c r="G22" i="55" l="1"/>
  <c r="I22" i="55" s="1"/>
  <c r="K22" i="55" s="1"/>
  <c r="G48" i="45"/>
  <c r="G32" i="55"/>
  <c r="I32" i="55" s="1"/>
  <c r="K32" i="55" s="1"/>
  <c r="G33" i="55"/>
  <c r="I33" i="55" s="1"/>
  <c r="K33" i="55" s="1"/>
  <c r="G20" i="55"/>
  <c r="I20" i="55" s="1"/>
  <c r="K20" i="55" s="1"/>
  <c r="G24" i="55"/>
  <c r="I24" i="55" s="1"/>
  <c r="K24" i="55" s="1"/>
  <c r="G35" i="55"/>
  <c r="I35" i="55" s="1"/>
  <c r="K35" i="55" s="1"/>
  <c r="E58" i="45" s="1"/>
  <c r="G58" i="45" s="1"/>
  <c r="F77" i="45"/>
  <c r="H48" i="45"/>
  <c r="G25" i="55"/>
  <c r="I25" i="55" s="1"/>
  <c r="K25" i="55" s="1"/>
  <c r="G21" i="55"/>
  <c r="I21" i="55" s="1"/>
  <c r="K21" i="55" s="1"/>
  <c r="L27" i="55" l="1"/>
  <c r="I37" i="55"/>
  <c r="I27" i="55"/>
  <c r="E54" i="45"/>
  <c r="G54" i="45" s="1"/>
  <c r="L37" i="55"/>
  <c r="K37" i="55" l="1"/>
  <c r="K27" i="55"/>
  <c r="E61" i="45" s="1"/>
  <c r="G61" i="45" s="1"/>
  <c r="G51" i="45" s="1"/>
  <c r="I84" i="55"/>
  <c r="L84" i="55"/>
  <c r="K84" i="55" l="1"/>
  <c r="H79" i="45"/>
  <c r="H77" i="45"/>
  <c r="G77" i="45"/>
  <c r="F27" i="40" s="1"/>
  <c r="G79" i="45"/>
  <c r="G91" i="45" s="1"/>
  <c r="F18" i="40" l="1"/>
  <c r="F23" i="40"/>
  <c r="G23" i="40" s="1"/>
  <c r="F28" i="40"/>
  <c r="G28" i="40" s="1"/>
  <c r="F23" i="41"/>
  <c r="G23" i="41" s="1"/>
  <c r="F18" i="41"/>
  <c r="F27" i="41"/>
  <c r="G27" i="41" s="1"/>
  <c r="F28" i="41"/>
  <c r="G28" i="41" s="1"/>
  <c r="G27" i="40"/>
  <c r="G18" i="41" l="1"/>
  <c r="G31" i="41" s="1"/>
  <c r="F31" i="41"/>
  <c r="F31" i="40"/>
  <c r="G18" i="40"/>
  <c r="G31" i="40" s="1"/>
  <c r="H25" i="5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Andrea Marin Gisbert</author>
  </authors>
  <commentList>
    <comment ref="A56" authorId="0" shapeId="0" xr:uid="{B29AFC8D-567A-4427-B092-DFB68C06B62E}">
      <text>
        <r>
          <rPr>
            <b/>
            <sz val="9"/>
            <color indexed="81"/>
            <rFont val="Tahoma"/>
            <family val="2"/>
          </rPr>
          <t>Andrea Marin Gisbert:</t>
        </r>
        <r>
          <rPr>
            <sz val="9"/>
            <color indexed="81"/>
            <rFont val="Tahoma"/>
            <family val="2"/>
          </rPr>
          <t xml:space="preserve">
2350000</t>
        </r>
      </text>
    </comment>
    <comment ref="A158" authorId="0" shapeId="0" xr:uid="{76DA47AF-96B9-49A4-88B2-8A858E0933DC}">
      <text>
        <r>
          <rPr>
            <b/>
            <sz val="9"/>
            <color indexed="81"/>
            <rFont val="Tahoma"/>
            <family val="2"/>
          </rPr>
          <t>Andrea Marin Gisbert:</t>
        </r>
        <r>
          <rPr>
            <sz val="9"/>
            <color indexed="81"/>
            <rFont val="Tahoma"/>
            <family val="2"/>
          </rPr>
          <t xml:space="preserve">
4741003</t>
        </r>
      </text>
    </comment>
    <comment ref="A159" authorId="0" shapeId="0" xr:uid="{BD8A8660-E480-4F6A-AE86-82E63595BB9A}">
      <text>
        <r>
          <rPr>
            <b/>
            <sz val="9"/>
            <color indexed="81"/>
            <rFont val="Tahoma"/>
            <family val="2"/>
          </rPr>
          <t>Andrea Marin Gisbert:</t>
        </r>
        <r>
          <rPr>
            <sz val="9"/>
            <color indexed="81"/>
            <rFont val="Tahoma"/>
            <family val="2"/>
          </rPr>
          <t xml:space="preserve">
4741104</t>
        </r>
      </text>
    </comment>
    <comment ref="A160" authorId="0" shapeId="0" xr:uid="{95C15451-8119-47AD-ACED-480ABF35560E}">
      <text>
        <r>
          <rPr>
            <b/>
            <sz val="9"/>
            <color indexed="81"/>
            <rFont val="Tahoma"/>
            <family val="2"/>
          </rPr>
          <t>Andrea Marin Gisbert:</t>
        </r>
        <r>
          <rPr>
            <sz val="9"/>
            <color indexed="81"/>
            <rFont val="Tahoma"/>
            <family val="2"/>
          </rPr>
          <t xml:space="preserve">
4741105</t>
        </r>
      </text>
    </comment>
    <comment ref="A161" authorId="0" shapeId="0" xr:uid="{18F236A3-AA45-4D90-BF50-3EA1CE2BC57E}">
      <text>
        <r>
          <rPr>
            <b/>
            <sz val="9"/>
            <color indexed="81"/>
            <rFont val="Tahoma"/>
            <family val="2"/>
          </rPr>
          <t>Andrea Marin Gisbert:</t>
        </r>
        <r>
          <rPr>
            <sz val="9"/>
            <color indexed="81"/>
            <rFont val="Tahoma"/>
            <family val="2"/>
          </rPr>
          <t xml:space="preserve">
4741204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gaspar.alvarez</author>
  </authors>
  <commentList>
    <comment ref="F24" authorId="0" shapeId="0" xr:uid="{00000000-0006-0000-2100-000001000000}">
      <text>
        <r>
          <rPr>
            <b/>
            <sz val="8"/>
            <color indexed="81"/>
            <rFont val="Tahoma"/>
            <family val="2"/>
          </rPr>
          <t>gaspar.alvarez:</t>
        </r>
        <r>
          <rPr>
            <sz val="8"/>
            <color indexed="81"/>
            <rFont val="Tahoma"/>
            <family val="2"/>
          </rPr>
          <t xml:space="preserve">
valor (no fórmula)</t>
        </r>
      </text>
    </comment>
    <comment ref="F25" authorId="0" shapeId="0" xr:uid="{00000000-0006-0000-2100-000002000000}">
      <text>
        <r>
          <rPr>
            <b/>
            <sz val="8"/>
            <color indexed="81"/>
            <rFont val="Tahoma"/>
            <family val="2"/>
          </rPr>
          <t>gaspar.alvarez:</t>
        </r>
        <r>
          <rPr>
            <sz val="8"/>
            <color indexed="81"/>
            <rFont val="Tahoma"/>
            <family val="2"/>
          </rPr>
          <t xml:space="preserve">
valor (no fórmula)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alberto.roig</author>
  </authors>
  <commentList>
    <comment ref="H400" authorId="0" shapeId="0" xr:uid="{0448D0D2-2809-477F-9888-655AA96C072F}">
      <text>
        <r>
          <rPr>
            <b/>
            <sz val="9"/>
            <color indexed="81"/>
            <rFont val="Tahoma"/>
            <family val="2"/>
          </rPr>
          <t xml:space="preserve">alberto.roig:
</t>
        </r>
        <r>
          <rPr>
            <sz val="9"/>
            <color indexed="81"/>
            <rFont val="Tahoma"/>
            <family val="2"/>
          </rPr>
          <t>Cuadre Patrimonio Neto con Balance.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Gaspar</author>
  </authors>
  <commentList>
    <comment ref="AE71" authorId="0" shapeId="0" xr:uid="{641B5CB9-EA1C-4AB1-9BEA-63E585AA0BD8}">
      <text>
        <r>
          <rPr>
            <b/>
            <sz val="9"/>
            <color indexed="81"/>
            <rFont val="Tahoma"/>
            <family val="2"/>
          </rPr>
          <t>Gaspar:</t>
        </r>
        <r>
          <rPr>
            <sz val="9"/>
            <color indexed="81"/>
            <rFont val="Tahoma"/>
            <family val="2"/>
          </rPr>
          <t xml:space="preserve">
INCLUYE LA 2º PARTE + LA º PARTE (ARRIBA)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Andrea Marin Gisbert</author>
    <author>Alberto</author>
  </authors>
  <commentList>
    <comment ref="G42" authorId="0" shapeId="0" xr:uid="{C4C54199-4FF7-4D1B-A1D7-87F6460F8FE8}">
      <text>
        <r>
          <rPr>
            <b/>
            <sz val="9"/>
            <color indexed="81"/>
            <rFont val="Tahoma"/>
            <family val="2"/>
          </rPr>
          <t xml:space="preserve">Reserva cap 2023 pendiente aplicar: 1.104.255,08
Reserva cap 2024 generada: 1.458.721,37
Aplicado en 2024:
</t>
        </r>
        <r>
          <rPr>
            <sz val="9"/>
            <color indexed="81"/>
            <rFont val="Tahoma"/>
            <family val="2"/>
          </rPr>
          <t>Reserva cap 2023 por 1.101.418,47</t>
        </r>
        <r>
          <rPr>
            <b/>
            <sz val="9"/>
            <color indexed="81"/>
            <rFont val="Tahoma"/>
            <family val="2"/>
          </rPr>
          <t xml:space="preserve">
</t>
        </r>
        <r>
          <rPr>
            <sz val="9"/>
            <color indexed="81"/>
            <rFont val="Tahoma"/>
            <family val="2"/>
          </rPr>
          <t>Reserva cap 2024 por 0</t>
        </r>
        <r>
          <rPr>
            <b/>
            <sz val="9"/>
            <color indexed="81"/>
            <rFont val="Tahoma"/>
            <family val="2"/>
          </rPr>
          <t xml:space="preserve">
Remanentes ejercicios posteriores:
</t>
        </r>
        <r>
          <rPr>
            <sz val="9"/>
            <color indexed="81"/>
            <rFont val="Tahoma"/>
            <family val="2"/>
          </rPr>
          <t>Reserva capt 2023 por 2.836,61
Reserva capt 2024 por 1.458.721,37</t>
        </r>
      </text>
    </comment>
    <comment ref="J42" authorId="1" shapeId="0" xr:uid="{00000000-0006-0000-2500-000001000000}">
      <text>
        <r>
          <rPr>
            <b/>
            <sz val="9"/>
            <color indexed="81"/>
            <rFont val="Tahoma"/>
            <family val="2"/>
          </rPr>
          <t>Alberto:</t>
        </r>
        <r>
          <rPr>
            <sz val="9"/>
            <color indexed="81"/>
            <rFont val="Tahoma"/>
            <family val="2"/>
          </rPr>
          <t xml:space="preserve">
Se tiene en cuenta descontar el incremento de Reservas Especiales, excepto la Reserva de Capitalización, pero comprobar siempre.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ARP</author>
  </authors>
  <commentList>
    <comment ref="B59" authorId="0" shapeId="0" xr:uid="{00000000-0006-0000-2A00-000001000000}">
      <text>
        <r>
          <rPr>
            <b/>
            <sz val="8"/>
            <color indexed="81"/>
            <rFont val="Tahoma"/>
            <family val="2"/>
          </rPr>
          <t>BAII = BENEFICIO ANTES DE INTERESES E IMPUESTOS</t>
        </r>
        <r>
          <rPr>
            <sz val="8"/>
            <color indexed="81"/>
            <rFont val="Tahoma"/>
            <family val="2"/>
          </rPr>
          <t xml:space="preserve">
</t>
        </r>
      </text>
    </comment>
    <comment ref="B61" authorId="0" shapeId="0" xr:uid="{00000000-0006-0000-2A00-000002000000}">
      <text>
        <r>
          <rPr>
            <b/>
            <sz val="8"/>
            <color indexed="81"/>
            <rFont val="Tahoma"/>
            <family val="2"/>
          </rPr>
          <t>BAI = BENEFICIO ANTES DE IMPUESTOS</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ARP</author>
  </authors>
  <commentList>
    <comment ref="B56" authorId="0" shapeId="0" xr:uid="{00000000-0006-0000-2B00-000001000000}">
      <text>
        <r>
          <rPr>
            <b/>
            <sz val="8"/>
            <color indexed="81"/>
            <rFont val="Tahoma"/>
            <family val="2"/>
          </rPr>
          <t>BAII = BENEFICIO ANTES DE INTERESES E IMPUESTOS</t>
        </r>
        <r>
          <rPr>
            <sz val="8"/>
            <color indexed="81"/>
            <rFont val="Tahoma"/>
            <family val="2"/>
          </rPr>
          <t xml:space="preserve">
</t>
        </r>
      </text>
    </comment>
    <comment ref="B58" authorId="0" shapeId="0" xr:uid="{00000000-0006-0000-2B00-000002000000}">
      <text>
        <r>
          <rPr>
            <b/>
            <sz val="8"/>
            <color indexed="81"/>
            <rFont val="Tahoma"/>
            <family val="2"/>
          </rPr>
          <t>BAI = BENEFICIO ANTES DE IMPUESTOS</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ARP</author>
  </authors>
  <commentList>
    <comment ref="G4" authorId="0" shapeId="0" xr:uid="{00000000-0006-0000-2C00-000001000000}">
      <text>
        <r>
          <rPr>
            <sz val="8"/>
            <color indexed="81"/>
            <rFont val="Tahoma"/>
            <family val="2"/>
          </rPr>
          <t>Límite orientativo  que no se debe sobrepasar, aunque lel valor de los ratios  puede variar según el sector o actividad económica al que pertenezca la empresa
Un ratio demasiado óptimo puede significar también una pérdida de eficiencia en la estructura financiero económica de la empresa.</t>
        </r>
      </text>
    </comment>
    <comment ref="H4" authorId="0" shapeId="0" xr:uid="{00000000-0006-0000-2C00-000002000000}">
      <text>
        <r>
          <rPr>
            <sz val="8"/>
            <color indexed="81"/>
            <rFont val="Tahoma"/>
            <family val="2"/>
          </rPr>
          <t>Aparece un asterisco cuando se supera el nivel recomendado para cada uno de los ratios calculados en la misma fila</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ARP</author>
  </authors>
  <commentList>
    <comment ref="D6" authorId="0" shapeId="0" xr:uid="{00000000-0006-0000-2F00-000001000000}">
      <text>
        <r>
          <rPr>
            <sz val="8"/>
            <color indexed="81"/>
            <rFont val="Tahoma"/>
            <family val="2"/>
          </rPr>
          <t xml:space="preserve">
Bº NETO            ACTIVO     VENTAS       BAII        BAI      
---------------</t>
        </r>
        <r>
          <rPr>
            <sz val="8"/>
            <color indexed="12"/>
            <rFont val="Tahoma"/>
            <family val="2"/>
          </rPr>
          <t xml:space="preserve"> X</t>
        </r>
        <r>
          <rPr>
            <sz val="8"/>
            <color indexed="81"/>
            <rFont val="Tahoma"/>
            <family val="2"/>
          </rPr>
          <t xml:space="preserve">  ----------  </t>
        </r>
        <r>
          <rPr>
            <sz val="8"/>
            <color indexed="12"/>
            <rFont val="Tahoma"/>
            <family val="2"/>
          </rPr>
          <t>X</t>
        </r>
        <r>
          <rPr>
            <sz val="8"/>
            <color indexed="81"/>
            <rFont val="Tahoma"/>
            <family val="2"/>
          </rPr>
          <t xml:space="preserve"> ----------</t>
        </r>
        <r>
          <rPr>
            <sz val="8"/>
            <color indexed="12"/>
            <rFont val="Tahoma"/>
            <family val="2"/>
          </rPr>
          <t xml:space="preserve"> X</t>
        </r>
        <r>
          <rPr>
            <sz val="8"/>
            <color indexed="81"/>
            <rFont val="Tahoma"/>
            <family val="2"/>
          </rPr>
          <t xml:space="preserve"> --------</t>
        </r>
        <r>
          <rPr>
            <sz val="8"/>
            <color indexed="12"/>
            <rFont val="Tahoma"/>
            <family val="2"/>
          </rPr>
          <t xml:space="preserve"> X </t>
        </r>
        <r>
          <rPr>
            <sz val="8"/>
            <color indexed="81"/>
            <rFont val="Tahoma"/>
            <family val="2"/>
          </rPr>
          <t xml:space="preserve">-------- = </t>
        </r>
        <r>
          <rPr>
            <sz val="8"/>
            <color indexed="12"/>
            <rFont val="Tahoma"/>
            <family val="2"/>
          </rPr>
          <t>RENTABILIDAD (ROE)</t>
        </r>
        <r>
          <rPr>
            <sz val="8"/>
            <color indexed="81"/>
            <rFont val="Tahoma"/>
            <family val="2"/>
          </rPr>
          <t xml:space="preserve">
C. PROPIOS      ACTIVO     VENTAS       BAII        BAI      
Reordenando:
</t>
        </r>
        <r>
          <rPr>
            <sz val="8"/>
            <color indexed="12"/>
            <rFont val="Tahoma"/>
            <family val="2"/>
          </rPr>
          <t>Bº NETO</t>
        </r>
        <r>
          <rPr>
            <sz val="8"/>
            <color indexed="81"/>
            <rFont val="Tahoma"/>
            <family val="2"/>
          </rPr>
          <t xml:space="preserve">           VENTAS         BAII            ACTIVO           BAI         Bº NETO    
</t>
        </r>
        <r>
          <rPr>
            <sz val="8"/>
            <color indexed="12"/>
            <rFont val="Tahoma"/>
            <family val="2"/>
          </rPr>
          <t>-------------</t>
        </r>
        <r>
          <rPr>
            <sz val="8"/>
            <color indexed="81"/>
            <rFont val="Tahoma"/>
            <family val="2"/>
          </rPr>
          <t xml:space="preserve">  </t>
        </r>
        <r>
          <rPr>
            <sz val="8"/>
            <color indexed="12"/>
            <rFont val="Tahoma"/>
            <family val="2"/>
          </rPr>
          <t>=</t>
        </r>
        <r>
          <rPr>
            <sz val="8"/>
            <color indexed="81"/>
            <rFont val="Tahoma"/>
            <family val="2"/>
          </rPr>
          <t xml:space="preserve">  ---------- </t>
        </r>
        <r>
          <rPr>
            <sz val="8"/>
            <color indexed="12"/>
            <rFont val="Tahoma"/>
            <family val="2"/>
          </rPr>
          <t xml:space="preserve"> X</t>
        </r>
        <r>
          <rPr>
            <sz val="8"/>
            <color indexed="81"/>
            <rFont val="Tahoma"/>
            <family val="2"/>
          </rPr>
          <t xml:space="preserve"> -----------</t>
        </r>
        <r>
          <rPr>
            <sz val="8"/>
            <color indexed="12"/>
            <rFont val="Tahoma"/>
            <family val="2"/>
          </rPr>
          <t xml:space="preserve"> X </t>
        </r>
        <r>
          <rPr>
            <sz val="8"/>
            <color indexed="81"/>
            <rFont val="Tahoma"/>
            <family val="2"/>
          </rPr>
          <t xml:space="preserve">--------------  </t>
        </r>
        <r>
          <rPr>
            <sz val="8"/>
            <color indexed="12"/>
            <rFont val="Tahoma"/>
            <family val="2"/>
          </rPr>
          <t xml:space="preserve"> X </t>
        </r>
        <r>
          <rPr>
            <sz val="8"/>
            <color indexed="81"/>
            <rFont val="Tahoma"/>
            <family val="2"/>
          </rPr>
          <t xml:space="preserve">--------- </t>
        </r>
        <r>
          <rPr>
            <sz val="8"/>
            <color indexed="12"/>
            <rFont val="Tahoma"/>
            <family val="2"/>
          </rPr>
          <t>X</t>
        </r>
        <r>
          <rPr>
            <sz val="8"/>
            <color indexed="81"/>
            <rFont val="Tahoma"/>
            <family val="2"/>
          </rPr>
          <t xml:space="preserve"> ------------
</t>
        </r>
        <r>
          <rPr>
            <sz val="8"/>
            <color indexed="12"/>
            <rFont val="Tahoma"/>
            <family val="2"/>
          </rPr>
          <t>C.PROPIOS</t>
        </r>
        <r>
          <rPr>
            <sz val="8"/>
            <color indexed="81"/>
            <rFont val="Tahoma"/>
            <family val="2"/>
          </rPr>
          <t xml:space="preserve">      ACTIVO       VENTAS     C.PROPIOS        BAII           BAI
</t>
        </r>
        <r>
          <rPr>
            <sz val="8"/>
            <color indexed="12"/>
            <rFont val="Tahoma"/>
            <family val="2"/>
          </rPr>
          <t>ROE =</t>
        </r>
        <r>
          <rPr>
            <sz val="8"/>
            <color indexed="81"/>
            <rFont val="Tahoma"/>
            <family val="2"/>
          </rPr>
          <t xml:space="preserve"> ROTACIÓN </t>
        </r>
        <r>
          <rPr>
            <sz val="8"/>
            <color indexed="12"/>
            <rFont val="Tahoma"/>
            <family val="2"/>
          </rPr>
          <t xml:space="preserve"> x</t>
        </r>
        <r>
          <rPr>
            <sz val="8"/>
            <color indexed="81"/>
            <rFont val="Tahoma"/>
            <family val="2"/>
          </rPr>
          <t xml:space="preserve">  MARGEN</t>
        </r>
        <r>
          <rPr>
            <sz val="8"/>
            <color indexed="12"/>
            <rFont val="Tahoma"/>
            <family val="2"/>
          </rPr>
          <t xml:space="preserve"> x</t>
        </r>
        <r>
          <rPr>
            <sz val="8"/>
            <color indexed="81"/>
            <rFont val="Tahoma"/>
            <family val="2"/>
          </rPr>
          <t xml:space="preserve"> APALANCAMIENTO </t>
        </r>
        <r>
          <rPr>
            <sz val="8"/>
            <color indexed="12"/>
            <rFont val="Tahoma"/>
            <family val="2"/>
          </rPr>
          <t>x</t>
        </r>
        <r>
          <rPr>
            <sz val="8"/>
            <color indexed="81"/>
            <rFont val="Tahoma"/>
            <family val="2"/>
          </rPr>
          <t xml:space="preserve"> EFECTO FISCAL
</t>
        </r>
      </text>
    </comment>
    <comment ref="C21" authorId="0" shapeId="0" xr:uid="{00000000-0006-0000-2F00-000002000000}">
      <text>
        <r>
          <rPr>
            <sz val="8"/>
            <color indexed="81"/>
            <rFont val="Tahoma"/>
            <family val="2"/>
          </rPr>
          <t xml:space="preserve">ROE= Return on equity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C281A55-DE6E-4BD2-8951-A0E0EFBC5B4F}" sourceFile="H:\RED\BASES DE DATOS VARONA\AJUSTES FISCALES DEFINITIVOS\AJUSTES FISCALES EJ. 2024 NUEVA.mdb" keepAlive="1" name="AJUSTES FISCALES EJ. 2024 NUEVA" type="5" refreshedVersion="8" background="1" saveData="1">
    <dbPr connection="Provider=Microsoft.ACE.OLEDB.12.0;User ID=Admin;Data Source=H:\RED\BASES DE DATOS VARONA\AJUSTES FISCALES DEFINITIVOS\AJUSTES FISCALES EJ. 2024 NUEVA.mdb;Mode=Share Deny Write;Extended Properties=&quot;&quot;;Jet OLEDB:System database=&quot;&quot;;Jet OLEDB:Registry Path=&quot;&quot;;Jet OLEDB:Engine Type=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LEASING" commandType="3"/>
  </connection>
</connections>
</file>

<file path=xl/sharedStrings.xml><?xml version="1.0" encoding="utf-8"?>
<sst xmlns="http://schemas.openxmlformats.org/spreadsheetml/2006/main" count="6193" uniqueCount="2992">
  <si>
    <t xml:space="preserve">Balance de situación comparativo a </t>
  </si>
  <si>
    <t>Sociedad:</t>
  </si>
  <si>
    <t>Fecha cierre</t>
  </si>
  <si>
    <t>ACTIVO</t>
  </si>
  <si>
    <t>A) ACTIVO NO CORRIENTE</t>
  </si>
  <si>
    <t>I. Inmovilizado intangible</t>
  </si>
  <si>
    <t>Desarrollo</t>
  </si>
  <si>
    <t>Concesiones</t>
  </si>
  <si>
    <t>Patentes, licencia, marcas y sim.</t>
  </si>
  <si>
    <t>Fondo de comercio</t>
  </si>
  <si>
    <t>Aplicaciones informáticas</t>
  </si>
  <si>
    <t>Otro inmovilizado intangible</t>
  </si>
  <si>
    <t>II. Inmovilizado material</t>
  </si>
  <si>
    <t>Terrenos y construcciones</t>
  </si>
  <si>
    <t>Instalaciones técnicas, y otro inmov.</t>
  </si>
  <si>
    <t>Inmoviliz. en curso y anticipos</t>
  </si>
  <si>
    <t>III. Inversiones inmobiliarias</t>
  </si>
  <si>
    <t>Terrenos</t>
  </si>
  <si>
    <t>Construcciones</t>
  </si>
  <si>
    <t>IV. Inv. Empr. Grupo y  Asociadas</t>
  </si>
  <si>
    <t>Instrumentos de patrimonio</t>
  </si>
  <si>
    <t>Créditos a empresas</t>
  </si>
  <si>
    <t>Valores representativos de deuda</t>
  </si>
  <si>
    <t>Derivados</t>
  </si>
  <si>
    <t>Otros activos financieros</t>
  </si>
  <si>
    <t>V. Inv. Financieras a largo plazo</t>
  </si>
  <si>
    <t>Créditos a terceros</t>
  </si>
  <si>
    <t>VI. Activos por impuesto diferido</t>
  </si>
  <si>
    <t>B) ACTIVO CORRIENTE</t>
  </si>
  <si>
    <t>I. Activos no corr. mantenidos para venta</t>
  </si>
  <si>
    <t>II. Existencias</t>
  </si>
  <si>
    <t>Comerciales</t>
  </si>
  <si>
    <t>Materias primas</t>
  </si>
  <si>
    <t>Productos terminados</t>
  </si>
  <si>
    <t>Otras existencias</t>
  </si>
  <si>
    <t>Deterior valor existencias</t>
  </si>
  <si>
    <t>Anticipo Proveedores</t>
  </si>
  <si>
    <t>III. Deudores com. y otras ctas. a cobrar</t>
  </si>
  <si>
    <t>Clientes por ventas y prest. servic.</t>
  </si>
  <si>
    <t>Clientes empresas del grupo y asoc.</t>
  </si>
  <si>
    <t>Deudores varios</t>
  </si>
  <si>
    <t>Personal</t>
  </si>
  <si>
    <t>Activos por impuesto corriente</t>
  </si>
  <si>
    <t>Otros créditos contra Admin. Públic.</t>
  </si>
  <si>
    <t>Accionistas, socios por desemb.ex.</t>
  </si>
  <si>
    <t>IV. Invers. empr. grupo y asociadas</t>
  </si>
  <si>
    <t>V. Inversiones. financ. a corto plazo</t>
  </si>
  <si>
    <t>Instrumentos de Patrimonio</t>
  </si>
  <si>
    <t xml:space="preserve">VI. Periodificaciones a corto plazo </t>
  </si>
  <si>
    <t xml:space="preserve">VII. Efectivo y otros act. Líquidos equiv, </t>
  </si>
  <si>
    <t>Tesorería</t>
  </si>
  <si>
    <t>Otros activos líquidos equivalentes</t>
  </si>
  <si>
    <t>TOTAL ACTIVO</t>
  </si>
  <si>
    <t>PASIVO</t>
  </si>
  <si>
    <t>A. PATRIMONIO NETO</t>
  </si>
  <si>
    <t>A-1) Fondos propios</t>
  </si>
  <si>
    <t>I. Capital</t>
  </si>
  <si>
    <t>Capital escriturado</t>
  </si>
  <si>
    <t>Capital no exigido</t>
  </si>
  <si>
    <t>II. Prima de emisión</t>
  </si>
  <si>
    <t>III. Reservas</t>
  </si>
  <si>
    <t>Reserva, Legal y Estatutaria</t>
  </si>
  <si>
    <t>Otras reservas</t>
  </si>
  <si>
    <t>IV. Accs. y part. propias en sit. espec.</t>
  </si>
  <si>
    <t>V. Resultados ej. anteriores</t>
  </si>
  <si>
    <t>Remanente</t>
  </si>
  <si>
    <t>Resultados negat. Ej. Anteriores</t>
  </si>
  <si>
    <t>VI. Otras aportaciones de socios</t>
  </si>
  <si>
    <t>VII. Resultado del ejercicio</t>
  </si>
  <si>
    <t>VIII. Dividendo a cuenta</t>
  </si>
  <si>
    <t xml:space="preserve">IX. Otros instrum. de Patrimonio Neto </t>
  </si>
  <si>
    <t>A-2) Ajustes por cambios de valor</t>
  </si>
  <si>
    <t>I. Activos financ. disponibles venta</t>
  </si>
  <si>
    <t>II. Operaciones de cobertura</t>
  </si>
  <si>
    <t>III. Otros ajustes</t>
  </si>
  <si>
    <t>A-3)Subvenc, donaciones y leg. Recib.</t>
  </si>
  <si>
    <t>B) PASIVO NO CORRIENTE</t>
  </si>
  <si>
    <t>I. Provisiones a largo plazo</t>
  </si>
  <si>
    <t>Obligac. por prest. l.p. al personal</t>
  </si>
  <si>
    <t>Actuaciones medioambientales</t>
  </si>
  <si>
    <t>Provisiones por reestructuración</t>
  </si>
  <si>
    <t>Otras provisiones</t>
  </si>
  <si>
    <t>II. Deudas a largo plazo</t>
  </si>
  <si>
    <t>Obligaciones y otros valores negoc.</t>
  </si>
  <si>
    <t>Deudas con ent. Crédito</t>
  </si>
  <si>
    <t>Acreedores por arrend. financiero</t>
  </si>
  <si>
    <t>Otros pasivos financieros</t>
  </si>
  <si>
    <t>III. Deudas con emp. grupo y asoc. l.p.</t>
  </si>
  <si>
    <t>IV. Pasivos por impuesto diferido</t>
  </si>
  <si>
    <t xml:space="preserve">V. Periodificaciones a largo plazo </t>
  </si>
  <si>
    <t>VI. Deudas con caract. espec. L.P.</t>
  </si>
  <si>
    <t>C) PASIVO CORRIENTE</t>
  </si>
  <si>
    <t>I. Pasivos vinc. con A.N.C. mant. venta</t>
  </si>
  <si>
    <t>II. Provisiones a corto plazo</t>
  </si>
  <si>
    <t>III. Deudas a corto plazo</t>
  </si>
  <si>
    <t>Oblig. y otros val. negoc. corto plazo</t>
  </si>
  <si>
    <t>Deudas con entidades de crédito</t>
  </si>
  <si>
    <t>IV. Deudas con emp. grupo y asoc. c.p.</t>
  </si>
  <si>
    <t xml:space="preserve">V. Acreedores comerc. y otras ctas. </t>
  </si>
  <si>
    <t>Proveedores</t>
  </si>
  <si>
    <t>Proveedores empresas grupo y asoc.</t>
  </si>
  <si>
    <t>Acreedores varios</t>
  </si>
  <si>
    <t>Personal (remunerac. pdtes. pago)</t>
  </si>
  <si>
    <t>Pasivos por impuestos corrientes</t>
  </si>
  <si>
    <t>Otras deudas con Admin. Públicas</t>
  </si>
  <si>
    <t>Anticipos de Clientes</t>
  </si>
  <si>
    <t>VI. Periodificaciones a corto plazo</t>
  </si>
  <si>
    <t>VII. Deudas con caract. espec. C.P.</t>
  </si>
  <si>
    <t>TOTAL PASIVO</t>
  </si>
  <si>
    <t>200-201-(2801)-(2901)</t>
  </si>
  <si>
    <t>202-(2802)-(2902)</t>
  </si>
  <si>
    <t>203-(2803)-(2903)</t>
  </si>
  <si>
    <t>206-(2806)-(2906)</t>
  </si>
  <si>
    <t>205-209-(2805)-(2905)</t>
  </si>
  <si>
    <t>210-211-(2811)-(2910)-(2911)</t>
  </si>
  <si>
    <t>212 a 219, (2812) a (2819),(2912) a (2919)</t>
  </si>
  <si>
    <t>220-(2920)</t>
  </si>
  <si>
    <t>221-(282)-(2921)</t>
  </si>
  <si>
    <t>2403-2404-(2493)-(2494)-(293)</t>
  </si>
  <si>
    <t>2423-2424-(2953)-(2954)</t>
  </si>
  <si>
    <t>2413-2414-(2943)-(2944)</t>
  </si>
  <si>
    <t>2405-(2495)-250-(259)</t>
  </si>
  <si>
    <t>2425-252-253-254-(2955)-(298)</t>
  </si>
  <si>
    <t>2415-251-(2945)-(297)</t>
  </si>
  <si>
    <t>258-26</t>
  </si>
  <si>
    <t>580 a 584- (599)</t>
  </si>
  <si>
    <t>30-(390)</t>
  </si>
  <si>
    <t>31-32-(391)-(392)</t>
  </si>
  <si>
    <t>35-(395)</t>
  </si>
  <si>
    <t>33-34-36-(393)-(394)-(396)</t>
  </si>
  <si>
    <t>430-431-432-435-436-(437)-(490)-(4935)</t>
  </si>
  <si>
    <t>433-434-(4933)-(4934)</t>
  </si>
  <si>
    <t>44-5531-5533</t>
  </si>
  <si>
    <t>460-544</t>
  </si>
  <si>
    <t>5303-5304-(5393)-(5394)-(593)</t>
  </si>
  <si>
    <t>5323-5324-5343-5344-(5953)-(5954)</t>
  </si>
  <si>
    <t>5313-5314-5333-5334-(5943)-(5944)</t>
  </si>
  <si>
    <t>5305-540-(5395)-(549)</t>
  </si>
  <si>
    <t>5325-5345-542-543-547-(5955)-(598)</t>
  </si>
  <si>
    <t>5315-5335-541-546-(5945)-(597)</t>
  </si>
  <si>
    <t>5590-5593</t>
  </si>
  <si>
    <t>5355-545-548-551-5525-565-566</t>
  </si>
  <si>
    <t>480-567</t>
  </si>
  <si>
    <t>570 a 575</t>
  </si>
  <si>
    <t>100-101-102</t>
  </si>
  <si>
    <t>(1030)-(1040)</t>
  </si>
  <si>
    <t>112-141</t>
  </si>
  <si>
    <t>113-1140-1142-1143-1144-115-119</t>
  </si>
  <si>
    <t>(108)-+(109)</t>
  </si>
  <si>
    <t>130-131,132</t>
  </si>
  <si>
    <t>-</t>
  </si>
  <si>
    <t>141-142-143-147</t>
  </si>
  <si>
    <t>177-178-179</t>
  </si>
  <si>
    <t>1605-170</t>
  </si>
  <si>
    <t>1625-174</t>
  </si>
  <si>
    <t>1615-1635-171-172-173-175-180-185-189</t>
  </si>
  <si>
    <t>150,153,154</t>
  </si>
  <si>
    <t>585-586-587-588-589</t>
  </si>
  <si>
    <t>499-529</t>
  </si>
  <si>
    <t>500-501-505-506</t>
  </si>
  <si>
    <t>5105-520-527</t>
  </si>
  <si>
    <t>5125-524</t>
  </si>
  <si>
    <t>5595-5598</t>
  </si>
  <si>
    <t>403-404</t>
  </si>
  <si>
    <t>465-466</t>
  </si>
  <si>
    <t>4750-4751-4758-476-477</t>
  </si>
  <si>
    <t>485-568</t>
  </si>
  <si>
    <t>195,197,199</t>
  </si>
  <si>
    <t>MAPEO DE CUENTAS:</t>
  </si>
  <si>
    <t>Saldo Final</t>
  </si>
  <si>
    <t>Cuenta</t>
  </si>
  <si>
    <t>Título</t>
  </si>
  <si>
    <t>Debe</t>
  </si>
  <si>
    <t>Haber</t>
  </si>
  <si>
    <t>se incluye en comerciales</t>
  </si>
  <si>
    <t>Saldo final</t>
  </si>
  <si>
    <t>4 dígitos</t>
  </si>
  <si>
    <t>DIFERENCIA</t>
  </si>
  <si>
    <r>
      <t>5355-545-548-</t>
    </r>
    <r>
      <rPr>
        <b/>
        <sz val="10"/>
        <color rgb="FFFF0000"/>
        <rFont val="Calibri"/>
        <family val="2"/>
        <scheme val="minor"/>
      </rPr>
      <t>551</t>
    </r>
    <r>
      <rPr>
        <sz val="10"/>
        <rFont val="Calibri"/>
        <family val="2"/>
        <scheme val="minor"/>
      </rPr>
      <t>-</t>
    </r>
    <r>
      <rPr>
        <b/>
        <sz val="10"/>
        <color rgb="FFFF0000"/>
        <rFont val="Calibri"/>
        <family val="2"/>
        <scheme val="minor"/>
      </rPr>
      <t>5525</t>
    </r>
    <r>
      <rPr>
        <sz val="10"/>
        <rFont val="Calibri"/>
        <family val="2"/>
        <scheme val="minor"/>
      </rPr>
      <t>-565-566</t>
    </r>
  </si>
  <si>
    <t>112-1141</t>
  </si>
  <si>
    <t>%</t>
  </si>
  <si>
    <t xml:space="preserve">Cuenta de Pérdidas y Ganancias a </t>
  </si>
  <si>
    <t>A) OPERACIONES CONTINUADAS</t>
  </si>
  <si>
    <t>a) Ventas</t>
  </si>
  <si>
    <t>b) Prestaciones de servicios</t>
  </si>
  <si>
    <t>3. Trabajos realizados por la empresa para su activo</t>
  </si>
  <si>
    <t>4. Aprovisionamientos</t>
  </si>
  <si>
    <t>b) Consumo de materias primas y otras materias consumibles</t>
  </si>
  <si>
    <t>a) Consumo de mercaderías</t>
  </si>
  <si>
    <t>c) Trabajos realizados por otras empresas</t>
  </si>
  <si>
    <t>d) Deterioro de mercaderías, materias primas y otros aprovisionamientos</t>
  </si>
  <si>
    <t>5. Otros ingresos de explotación</t>
  </si>
  <si>
    <t>2. Variación de existencias de productos terminados y en curso de fabricación</t>
  </si>
  <si>
    <t>1. Importe neto de la cifra de negocios</t>
  </si>
  <si>
    <t>a) Ingresos accesorios y otros de gestión corriente</t>
  </si>
  <si>
    <t>b) Subvenciones de explotación incorporadas al resultado del ejercicio</t>
  </si>
  <si>
    <t>6. Gastos de personal</t>
  </si>
  <si>
    <t>a) Sueldos, salarios y asimilados</t>
  </si>
  <si>
    <t>b) Cargas sociales</t>
  </si>
  <si>
    <t>c) Provisiones</t>
  </si>
  <si>
    <t>7. Otros gastos de explotación</t>
  </si>
  <si>
    <t>a) Servicios exteriores</t>
  </si>
  <si>
    <t>b) Tributos</t>
  </si>
  <si>
    <t>c) Pérdidas, deterioro y variación de provisiones por operaciones comerciales</t>
  </si>
  <si>
    <t>d) Otros gastos de gestión corriente</t>
  </si>
  <si>
    <t>8. Amortización del inmovilizado</t>
  </si>
  <si>
    <t>9. Imputación de subvenciones de inmovilizado no financiero y otras</t>
  </si>
  <si>
    <t>10. Excesos de provisiones</t>
  </si>
  <si>
    <t>11. Deterioro y resultado por enajenaciones del inmovilizado</t>
  </si>
  <si>
    <t>a) Deterioros y pérdidas</t>
  </si>
  <si>
    <t>b) Resultados por enajenaciones y otras</t>
  </si>
  <si>
    <t>A.1) RESULTADO DE EXPLOTACIÓN (1+2+3+4+5+6+7+8+9+10+11)</t>
  </si>
  <si>
    <t>12. Ingresos financieros</t>
  </si>
  <si>
    <t>a) De participaciones en instrumentos de patrimonio</t>
  </si>
  <si>
    <t>b) De valores negociables y otros instrumentos financieros</t>
  </si>
  <si>
    <t>13. Gastos financieros</t>
  </si>
  <si>
    <t>a) Por deudas con empresas del grupo y asociadas</t>
  </si>
  <si>
    <t>b) Por deudas con terceros</t>
  </si>
  <si>
    <t>c) Por actualización de provisiones</t>
  </si>
  <si>
    <t>14. Variación de valor razonable en instrumentos financieros</t>
  </si>
  <si>
    <t>a) Cartera de negociación y otros</t>
  </si>
  <si>
    <t>b) Imputación al resultado del ejercicio por activos financieros disponibles para la venta</t>
  </si>
  <si>
    <t>15. Diferencias de cambio</t>
  </si>
  <si>
    <t>16. Deterioro y resultado por enajenaciones de instrumentos financieros</t>
  </si>
  <si>
    <t>A.2) RESULTADO FINANCIERO (12+13+14+15+16)</t>
  </si>
  <si>
    <t>A.3) RESULTADO ANTES DE IMPUESTOS (A.1 + A.2)</t>
  </si>
  <si>
    <t>17. Impuestos sobre beneficios</t>
  </si>
  <si>
    <t>18. Resultado del ejercicio procedente de operaciones interrumpidas neto de impuestos</t>
  </si>
  <si>
    <t>A.4) RESULTADO DEL EJERCICIO PROCEDENTE DE OPERACIONES CONTINUADAS (A.3 + 17)</t>
  </si>
  <si>
    <t>A.5) RESULTADO DEL EJERCICIO (A.4 + 18)</t>
  </si>
  <si>
    <t>700, 701, 702, 703, 704, (706), (708), (709)</t>
  </si>
  <si>
    <t>(6930), 71*, 7930</t>
  </si>
  <si>
    <t>(600), 6060, 6080, 6090, 610*</t>
  </si>
  <si>
    <t>(601), (602), 6061, 6062, 6081, 6082, 6091, 6092, 611*, 612*</t>
  </si>
  <si>
    <t>(6931), (6932), (6933), 7931, 7932, 7933</t>
  </si>
  <si>
    <t>740, 747</t>
  </si>
  <si>
    <t>(640), (641), (6450)</t>
  </si>
  <si>
    <t>(642), (643), (649)</t>
  </si>
  <si>
    <t>(644), (6457), 7950, 7957</t>
  </si>
  <si>
    <t>(631), (634), 636, 639</t>
  </si>
  <si>
    <t>(650), (694), (695), 794, 7954</t>
  </si>
  <si>
    <t>7951, 7952, 7955, 7956</t>
  </si>
  <si>
    <t>(690), (691), (692), 790, 791, 792</t>
  </si>
  <si>
    <t>(670), (671), (672), 770 ,771 ,772</t>
  </si>
  <si>
    <t>7602, 7603</t>
  </si>
  <si>
    <t>7600, 7601</t>
  </si>
  <si>
    <t>7610, 7611, 76200, 76201, 76210, 76211</t>
  </si>
  <si>
    <t>7612, 7613, 76202, 76203, 76212, 76213, 767, 769</t>
  </si>
  <si>
    <t>(6610), (6611), (6615), (6616), (6620), (6621), (6640), (6641), (6650), (6651), (6654), (6655)</t>
  </si>
  <si>
    <t>(6612), (6613), (6617), (6618), (6622), (6623), (6624), (6642), (6643), (6652), (6653), (6656), (6657), (669)</t>
  </si>
  <si>
    <t>(6630), (6631), (6633), 7630, 7631, 7633</t>
  </si>
  <si>
    <t>(6632), 7632</t>
  </si>
  <si>
    <t>(668), 768</t>
  </si>
  <si>
    <t>(696), (697), (698), (699), 796, 797, 798, 799</t>
  </si>
  <si>
    <t>(666), (667), (673), (675) 766, 773, 775</t>
  </si>
  <si>
    <t>(6300)*, 6301*, (633), 638</t>
  </si>
  <si>
    <t>Nota: *su signo puede ser positivo o negativo</t>
  </si>
  <si>
    <t>(607)</t>
  </si>
  <si>
    <t>(62)</t>
  </si>
  <si>
    <t>(68)</t>
  </si>
  <si>
    <r>
      <t>a</t>
    </r>
    <r>
      <rPr>
        <vertAlign val="subscript"/>
        <sz val="14"/>
        <color theme="1"/>
        <rFont val="Calibri"/>
        <family val="2"/>
      </rPr>
      <t>1</t>
    </r>
    <r>
      <rPr>
        <sz val="14"/>
        <color theme="1"/>
        <rFont val="Calibri"/>
        <family val="2"/>
      </rPr>
      <t>) En empresas del grupo y asociadas</t>
    </r>
  </si>
  <si>
    <r>
      <t>a</t>
    </r>
    <r>
      <rPr>
        <vertAlign val="subscript"/>
        <sz val="14"/>
        <color theme="1"/>
        <rFont val="Calibri"/>
        <family val="2"/>
      </rPr>
      <t>2</t>
    </r>
    <r>
      <rPr>
        <sz val="14"/>
        <color theme="1"/>
        <rFont val="Calibri"/>
        <family val="2"/>
      </rPr>
      <t>) En terceros</t>
    </r>
  </si>
  <si>
    <r>
      <t>a</t>
    </r>
    <r>
      <rPr>
        <vertAlign val="subscript"/>
        <sz val="14"/>
        <color theme="1"/>
        <rFont val="Calibri"/>
        <family val="2"/>
      </rPr>
      <t>1</t>
    </r>
    <r>
      <rPr>
        <sz val="14"/>
        <color theme="1"/>
        <rFont val="Calibri"/>
        <family val="2"/>
      </rPr>
      <t>) De empresas del grupo y asociadas</t>
    </r>
  </si>
  <si>
    <r>
      <t>a</t>
    </r>
    <r>
      <rPr>
        <vertAlign val="subscript"/>
        <sz val="14"/>
        <color theme="1"/>
        <rFont val="Calibri"/>
        <family val="2"/>
      </rPr>
      <t>2</t>
    </r>
    <r>
      <rPr>
        <sz val="14"/>
        <color theme="1"/>
        <rFont val="Calibri"/>
        <family val="2"/>
      </rPr>
      <t>) De terceros</t>
    </r>
  </si>
  <si>
    <t>(660)</t>
  </si>
  <si>
    <t>b) Resultados por enajenaciones y  otras</t>
  </si>
  <si>
    <r>
      <t>(670), (671), (672), 770 ,771 ,</t>
    </r>
    <r>
      <rPr>
        <sz val="11"/>
        <rFont val="Calibri"/>
        <family val="2"/>
        <scheme val="minor"/>
      </rPr>
      <t>772</t>
    </r>
  </si>
  <si>
    <r>
      <t xml:space="preserve">(651), (659), </t>
    </r>
    <r>
      <rPr>
        <b/>
        <sz val="11"/>
        <color rgb="FFFF0000"/>
        <rFont val="Calibri"/>
        <family val="2"/>
        <scheme val="minor"/>
      </rPr>
      <t>(678), 778</t>
    </r>
  </si>
  <si>
    <t>a) Deterioros y  pérdidas</t>
  </si>
  <si>
    <r>
      <t>(1034)-(1044)-(190)-(192)-194-509-5115-5135-5145-521-522-523-525-526-528-</t>
    </r>
    <r>
      <rPr>
        <b/>
        <sz val="11"/>
        <color rgb="FFFF0000"/>
        <rFont val="Calibri"/>
        <family val="2"/>
        <scheme val="minor"/>
      </rPr>
      <t>551</t>
    </r>
    <r>
      <rPr>
        <sz val="11"/>
        <rFont val="Calibri"/>
        <family val="2"/>
        <scheme val="minor"/>
      </rPr>
      <t>-</t>
    </r>
    <r>
      <rPr>
        <b/>
        <sz val="11"/>
        <color rgb="FFFF0000"/>
        <rFont val="Calibri"/>
        <family val="2"/>
        <scheme val="minor"/>
      </rPr>
      <t>5525</t>
    </r>
    <r>
      <rPr>
        <sz val="11"/>
        <rFont val="Calibri"/>
        <family val="2"/>
        <scheme val="minor"/>
      </rPr>
      <t>-5530-5532-</t>
    </r>
    <r>
      <rPr>
        <b/>
        <sz val="11"/>
        <color rgb="FFFF0000"/>
        <rFont val="Calibri"/>
        <family val="2"/>
        <scheme val="minor"/>
      </rPr>
      <t>554</t>
    </r>
    <r>
      <rPr>
        <sz val="11"/>
        <rFont val="Calibri"/>
        <family val="2"/>
        <scheme val="minor"/>
      </rPr>
      <t>-555-5565-5566-560-561-569</t>
    </r>
  </si>
  <si>
    <t>400-401-405-(406)-409</t>
  </si>
  <si>
    <t>205-209-(2805)-(2905)-(2800)</t>
  </si>
  <si>
    <r>
      <t>4700-4708-471-472</t>
    </r>
    <r>
      <rPr>
        <b/>
        <sz val="10"/>
        <color rgb="FFFF0000"/>
        <rFont val="Calibri"/>
        <family val="2"/>
        <scheme val="minor"/>
      </rPr>
      <t>-473</t>
    </r>
  </si>
  <si>
    <r>
      <t>5353-5354</t>
    </r>
    <r>
      <rPr>
        <b/>
        <sz val="10"/>
        <color rgb="FFFF0000"/>
        <rFont val="Calibri"/>
        <family val="2"/>
        <scheme val="minor"/>
      </rPr>
      <t>-5523-5524-554-5108-5109-5520-5521-5522</t>
    </r>
  </si>
  <si>
    <t>5353-5354-5523-5524-554-5108-5109-5520-5521-5522</t>
  </si>
  <si>
    <r>
      <rPr>
        <b/>
        <sz val="11"/>
        <color rgb="FFFF0000"/>
        <rFont val="Calibri"/>
        <family val="2"/>
        <scheme val="minor"/>
      </rPr>
      <t>1600-1601-1602-</t>
    </r>
    <r>
      <rPr>
        <sz val="11"/>
        <rFont val="Calibri"/>
        <family val="2"/>
        <scheme val="minor"/>
      </rPr>
      <t>1603-1604-1613-1614-1623-1624-1633-1634</t>
    </r>
  </si>
  <si>
    <r>
      <rPr>
        <b/>
        <sz val="11"/>
        <color rgb="FFFF0000"/>
        <rFont val="Calibri"/>
        <family val="2"/>
        <scheme val="minor"/>
      </rPr>
      <t>5100-5101-5102</t>
    </r>
    <r>
      <rPr>
        <sz val="11"/>
        <rFont val="Calibri"/>
        <family val="2"/>
        <scheme val="minor"/>
      </rPr>
      <t>-5103-5104</t>
    </r>
    <r>
      <rPr>
        <b/>
        <sz val="11"/>
        <color rgb="FFFF0000"/>
        <rFont val="Calibri"/>
        <family val="2"/>
        <scheme val="minor"/>
      </rPr>
      <t>-5108-5109</t>
    </r>
    <r>
      <rPr>
        <sz val="11"/>
        <rFont val="Calibri"/>
        <family val="2"/>
        <scheme val="minor"/>
      </rPr>
      <t>-5113-5114-5123-5124-5133-5134-5143-5144</t>
    </r>
    <r>
      <rPr>
        <b/>
        <sz val="11"/>
        <color rgb="FFFF0000"/>
        <rFont val="Calibri"/>
        <family val="2"/>
        <scheme val="minor"/>
      </rPr>
      <t>-515-516-5523-5524-5520-5521-5522</t>
    </r>
  </si>
  <si>
    <t>Carga de sumas y saldos:</t>
  </si>
  <si>
    <t>VII. Efectivo y otros act. Líquidos equiv.</t>
  </si>
  <si>
    <t>Otros deudores</t>
  </si>
  <si>
    <t>Otras deudas a largo plazo</t>
  </si>
  <si>
    <t>Otras deudas a corto plazo</t>
  </si>
  <si>
    <t>Otros acreedores</t>
  </si>
  <si>
    <t>CAPITAL SOCIAL</t>
  </si>
  <si>
    <t>SOCIOS POR DESEMBOLSOS NO EXIGIDOS</t>
  </si>
  <si>
    <t>SOCIOS POR APORTACIONES NO DINERARIAS PENDIENTES</t>
  </si>
  <si>
    <t>ACC. O PARTICIPACIONES PROPIAS EN SIT. ESPECIALES</t>
  </si>
  <si>
    <t>ACC. O PARTIC. PROPIAS PARA REDUCC. DE CAPITAL</t>
  </si>
  <si>
    <t>PRIMA DE EMISIÓN O ASUNCIÓN</t>
  </si>
  <si>
    <t>OTROS INSTRUMENTOS DE PATRIMONIO NETO</t>
  </si>
  <si>
    <t>RESERVA LEGAL</t>
  </si>
  <si>
    <t>RESERVAS VOLUNTARIAS</t>
  </si>
  <si>
    <t>RESERVAS ESPECIALES</t>
  </si>
  <si>
    <t>RESERVAS POR P Y G ACTUARIALES Y OTROS AJUSTES</t>
  </si>
  <si>
    <t>APORTACIONES DE SOCIOS O PROPIETARIOS</t>
  </si>
  <si>
    <t>DIFERENCIA POR AJUSTE DEL CAPITAL A EUROS</t>
  </si>
  <si>
    <t>REMANENTE</t>
  </si>
  <si>
    <t>RESULTADOS NEGATIVOS DE EJERCICIOS ANTERIORES</t>
  </si>
  <si>
    <t>RESULTADO DEL EJERCICIO</t>
  </si>
  <si>
    <t>SUBVENCIONES OFICIALES DE CAPITAL</t>
  </si>
  <si>
    <t>DONACIONES Y LEGADOS DE CAPITAL</t>
  </si>
  <si>
    <t>OTRAS SUBVENCIONES, DONACIONES Y LEGADOS</t>
  </si>
  <si>
    <t>AJ. POR VALORACIÓN EN ACTIV. FROS DISP. PARA LA VTA</t>
  </si>
  <si>
    <t>OPERACIONES DE COBERTURA</t>
  </si>
  <si>
    <t>DIFERENCIAS DE CONVERSIÓN</t>
  </si>
  <si>
    <t>AJ. POR VALORAC. EN ACTIV. NO CORR. Y GRUP. ENA…</t>
  </si>
  <si>
    <t>INGRESOS FISCALES A DISTRIBUIR EN VARIOS EJERCICIOS</t>
  </si>
  <si>
    <t>PROV. POR RETRIBUCIONES A LP AL PERSONAL</t>
  </si>
  <si>
    <t>PROV. PARA IMPUESTOS</t>
  </si>
  <si>
    <t>PROV. PARA OTRAS RESPONSABILIDADES</t>
  </si>
  <si>
    <t>PROV. POR DESMANTEL. RETIRO O REHAB. DEL INMOBILIZ.</t>
  </si>
  <si>
    <t>PROV. PARA ACTUACIONES MEDIOAMBIENTALES</t>
  </si>
  <si>
    <t>PROV. PARA RESTRUCTURACIONES</t>
  </si>
  <si>
    <t>PROV. POR TRANSACC. CON PAGOS BASADOS EN INST. PAT.</t>
  </si>
  <si>
    <t>ACC. O PARTIC. A LP CONSIDERADAS COMO PASIVOS FINANC.</t>
  </si>
  <si>
    <t>DESEMB. NO EXIG. POR ACC. O PARTIC. CONSID. PAS. FROS</t>
  </si>
  <si>
    <t>APORT. NO DINE. PTES POR ACC. O PART. CONSID. PAS FROS</t>
  </si>
  <si>
    <t>DEUDAS A LP CON ENT. CRÉDITO VINCULADAS</t>
  </si>
  <si>
    <t>PROVEEDORES DE INMOVILIZADO A LP, PARTES VINCULADAS</t>
  </si>
  <si>
    <t>ACREEDORES POR ARREND. FRO. A LP, PARTES VINCULADAS</t>
  </si>
  <si>
    <t>DEUDAS A LP CON ENTIDADES DE CRÉDITO</t>
  </si>
  <si>
    <t>DEUDAS A LP</t>
  </si>
  <si>
    <t>DEUDAS A LP TRANSFORMABLES EN SUBV. DONAC Y LEGAD.</t>
  </si>
  <si>
    <t>PROVEEDORES DE INMOVILIZADO A LP</t>
  </si>
  <si>
    <t>ACREEDORES POR ARRENDAMIENTO FINANCIERO A LP</t>
  </si>
  <si>
    <t>EFECTOS A PAGAR A LP</t>
  </si>
  <si>
    <t>PASIVOS POR DERIVADOS FINANCIEROS A LP</t>
  </si>
  <si>
    <t>OBLIGACIONES Y BONOS</t>
  </si>
  <si>
    <t>OBLIGACIONES Y BONOS CONVERTIBLES</t>
  </si>
  <si>
    <t>DEUDAS REPRESENTADAS EN OTROS VALORES NEGOCIAB.</t>
  </si>
  <si>
    <t>FIANZAS RECIBIDAS A LP</t>
  </si>
  <si>
    <t>ANTICIPOS RECIBIDOS APOR VTAS O PREST. SERV. A LP</t>
  </si>
  <si>
    <t>DEPÓSITOS RECIBIDOS A LP</t>
  </si>
  <si>
    <t>GARANTÍAS FINANCIERAS A LP</t>
  </si>
  <si>
    <t>ACCIONES O PARTICIPACIONES EMITIDAS</t>
  </si>
  <si>
    <t>SUSCRIPTORES DE ACCIONES</t>
  </si>
  <si>
    <t>CAPITAL EMITIDO PENDIENTE DE INSCRIPCIÓN</t>
  </si>
  <si>
    <t>ACC. O PART. EMITIDAS CONSIDERADAS COMO PASIVOS FROS</t>
  </si>
  <si>
    <t>SUSCRIP. DE ACC. CONSIDERADAS COMO PASIVOS FROS</t>
  </si>
  <si>
    <t>ACC O PART.EMITIDAS CONSID.PAS.FROS.PTES.INSCRIPCIÓN</t>
  </si>
  <si>
    <t xml:space="preserve">INVESTIGACIÓN </t>
  </si>
  <si>
    <t>DESARROLLO</t>
  </si>
  <si>
    <t>CONCESIONES ADMINISTRATIVAS</t>
  </si>
  <si>
    <t>PROPIEDAD INDUSTRIAL</t>
  </si>
  <si>
    <t>FONDO DE COMERCIO</t>
  </si>
  <si>
    <t>DERECHOS DE TRASPASO</t>
  </si>
  <si>
    <t>APLICACIONES INFORMÁTICAS</t>
  </si>
  <si>
    <t>ANTICIPOS PARA INMOVILIZACIONES INTANGIBLES</t>
  </si>
  <si>
    <t>TERRENOS Y BIENES NATURALES</t>
  </si>
  <si>
    <t>CONSTRUCCIONES</t>
  </si>
  <si>
    <t>INSTALACIONES TÉCNICAS</t>
  </si>
  <si>
    <t>MAQUINARIA</t>
  </si>
  <si>
    <t>UTILLAJE</t>
  </si>
  <si>
    <t>OTRAS INSTALACIONES</t>
  </si>
  <si>
    <t>MOBILIARIO</t>
  </si>
  <si>
    <t>EQUIPOS PARA PROCESOS DE INFORMACIÓN</t>
  </si>
  <si>
    <t>ELEMENTOS DE TRANSPORTE</t>
  </si>
  <si>
    <t>OTRO INMOvILIZADO MATERIAL</t>
  </si>
  <si>
    <t>INVERSIONES EN TERRENOS Y BIENES NATURALES</t>
  </si>
  <si>
    <t>INVERSIONES EN CONSTRUCCIONES</t>
  </si>
  <si>
    <t>ADAPTACIÓN DE TERRENOS Y BIENES NATURALES</t>
  </si>
  <si>
    <t>CONSTRUCCIONES EN CURSO</t>
  </si>
  <si>
    <t>INSTALACIONES TÉCNICAS EN MONTAJE</t>
  </si>
  <si>
    <t>MAQUINARIAS EN MONTAJE</t>
  </si>
  <si>
    <t>EQUIPOS PARA PROCESOS DE INFORMACIÓN EN MONTAJE</t>
  </si>
  <si>
    <t>ANTICIPOS PARA INMOVILIZACIONES MATERIALES</t>
  </si>
  <si>
    <t>VALORES REPRESENTATIVOS DE DEUDA A LP PARTES VINCU.</t>
  </si>
  <si>
    <t>DESEMBOLSOS PTES SOBRE PARTICIP. A LP EN PARTES VINC.</t>
  </si>
  <si>
    <t>INVERSIONES FRAS A LP EN INSTRUMENTOS DE PATRIMONIO</t>
  </si>
  <si>
    <t>VALORES REPRESENTATIVOS DE DEUDA A LP</t>
  </si>
  <si>
    <t xml:space="preserve">CRÉDITOS A LP  </t>
  </si>
  <si>
    <t>CRÉDITOS A LP POR ENAJENACIÓN DE INMOVILIZADO</t>
  </si>
  <si>
    <t>CRÉDITOS A LP AL PERSONAL</t>
  </si>
  <si>
    <t>ACTIVOS POR DERIVADOS FINANCIEROS A LP</t>
  </si>
  <si>
    <t>DCHOS DE REEMB. DERIV. DE CONTR.DE SEGUROS RETR.LP</t>
  </si>
  <si>
    <t>IMPOSICIONES A LP</t>
  </si>
  <si>
    <t>DESEMBOLSOS PTES SOBRE PART. EN EL PATRIM. NETO A LP</t>
  </si>
  <si>
    <t>FIANZAS CONSTITUIDAS A LP</t>
  </si>
  <si>
    <t>DEPÓSITOS CONSTITUIDOS A LP</t>
  </si>
  <si>
    <t>AMORT. ACUM. DE INVESTIGACIÓN</t>
  </si>
  <si>
    <t>AMORT. ACUM. DE DESARROLLO</t>
  </si>
  <si>
    <t>AMORT. ACUM. DE CONCESIONES ADMINISTRATIVAS</t>
  </si>
  <si>
    <t>AMORT. ACUM. DE PROPIEDAD INDUSTRIAL</t>
  </si>
  <si>
    <t>AMORT. ACUM, DE DERECHOS DE TRASPASO</t>
  </si>
  <si>
    <t>AMORT. ACUM. DE APLCACIONES INFORMÁTICAS</t>
  </si>
  <si>
    <t>AMORT. ACUM. DE CONSTRUCCIONES</t>
  </si>
  <si>
    <t>AMORT. ACUM. DE INSTALACIONES TÉCNICAS</t>
  </si>
  <si>
    <t>AMORT. ACUM. DE MAQUINARIA</t>
  </si>
  <si>
    <t>AMORT. ACUM. DE UTILLAJE</t>
  </si>
  <si>
    <t>AMORT. ACUM. DE OTRAS INSTALACIONES</t>
  </si>
  <si>
    <t>AMORT. ACUM. DE MOBILIARIO</t>
  </si>
  <si>
    <t>AMORT. ACUM. DE EQUIPOS PARA PROCESOS DE INFORMAC.</t>
  </si>
  <si>
    <t>AMORT. ACUM. DE ELEMENTOS DE TRANSPORTE</t>
  </si>
  <si>
    <t>AMORT. ACUM. DE OTRO INMOVILIZADO MATERIAL</t>
  </si>
  <si>
    <t>AMORT, ACUM DE LAS INVERSIONES INMOBILIARIAS</t>
  </si>
  <si>
    <t>DETERIORO DE VALOR DEL INMOVILIZADO INTANGIBLE</t>
  </si>
  <si>
    <t>DETERIORO DE VALOR DEL INMOVILIZADO MATERIAL</t>
  </si>
  <si>
    <t>DETERIORO DE VALOR DE LAS INVERSIONES INMOBILIARIAS</t>
  </si>
  <si>
    <t>DET. DE VALOR VALORES REPR. DE DEUDA A LP PARTES VINC</t>
  </si>
  <si>
    <t>DET. DE VALOR DE CRÉDITOS A LP PARTES VINCULADAS</t>
  </si>
  <si>
    <t>DET. DE VALOR VALORES REPRESENTATIVOS DE DEUDA A LP</t>
  </si>
  <si>
    <t>DETERIORO DE VALOR DE CRÉDITOS A LP</t>
  </si>
  <si>
    <t>COMERCIALES</t>
  </si>
  <si>
    <t>MATERIAS PRIMAS</t>
  </si>
  <si>
    <t>OTROS APROVISIONAMIENTOS</t>
  </si>
  <si>
    <t>PRODUCTOS EN CURSO</t>
  </si>
  <si>
    <t>PRODUCTOS SEMITERMINADOS</t>
  </si>
  <si>
    <t>PRODUCTOS TERMINADOS</t>
  </si>
  <si>
    <t>SUBPRODUCTOS, RESIDUOS Y MATERIALES RECUPERADOS</t>
  </si>
  <si>
    <t>DETERIORO DE VALOR DE EXISTENCIAS</t>
  </si>
  <si>
    <t>PROVEEDORES</t>
  </si>
  <si>
    <t>PROVEEDORES EFECTOS COMERCIALES A PAGAR</t>
  </si>
  <si>
    <t>PROVEEDORES EMPRESAS DEL GRUPO</t>
  </si>
  <si>
    <t>PROVEEDORES EMPRESAS ASOCIADAS</t>
  </si>
  <si>
    <t>PROVEEDORES OTRAS PARTES VINCULADAS</t>
  </si>
  <si>
    <t>ENVASES Y EMBALAJES A DEVOLVER A PROVEEDORES</t>
  </si>
  <si>
    <t>ANTICIPOS A PROVEEDORES</t>
  </si>
  <si>
    <t>ACREEDORES POR PRESTACIÓN DE SERVICIOS</t>
  </si>
  <si>
    <t>ACREEDORES EFECTOS COMERCIALES A PAGAR</t>
  </si>
  <si>
    <t>ACREEDORES POR OPERACIONES EN COMÚN</t>
  </si>
  <si>
    <t>CLIENTES</t>
  </si>
  <si>
    <t>CLIENTES EFECTOS COMERCIALES A COBRAR</t>
  </si>
  <si>
    <t>CLIENTES OPERACIONES DE FACTORING</t>
  </si>
  <si>
    <t>CLIENTES EMPRESAS DEL GRUPO</t>
  </si>
  <si>
    <t>CLIENTES EMPRESAS ASOCIDAS</t>
  </si>
  <si>
    <t>CLIENTES OTRAS PARTES VINCULADAS</t>
  </si>
  <si>
    <t>CLIENTES DE DUDOSO COBRO</t>
  </si>
  <si>
    <t>ENVASES Y EMBALAJES A DEVOLVER POR CLIENTES</t>
  </si>
  <si>
    <t>ANTICIPOS DE CLIENTES</t>
  </si>
  <si>
    <t>DEUDORES</t>
  </si>
  <si>
    <t>DEUDORES EFECTOS COMERCIALES A COBRAR</t>
  </si>
  <si>
    <t>DEUDORES DE DUDOSO COBRO</t>
  </si>
  <si>
    <t>DEUDORES POR OPERACIONES EN COMÚN</t>
  </si>
  <si>
    <t>ANTICIPOS DE REMUNERACIONES</t>
  </si>
  <si>
    <t>REMUNERACIONES PENDIENTES DE PAGO</t>
  </si>
  <si>
    <t>REMUN MEDIANTE SIST DE APORTACIÓN DEF PTES DE PAGO</t>
  </si>
  <si>
    <t>HP DEUDORA POR IVA</t>
  </si>
  <si>
    <t>HP DEUDORA POR SUBVENCIONES CONCEDIDAS</t>
  </si>
  <si>
    <t>HP DEUDORA POR DEVOLUCIÓN DE IMPUESTOS</t>
  </si>
  <si>
    <t>ORGANISMOS DE LA SEG. SOC. DEUDORES</t>
  </si>
  <si>
    <t>HP IVA SOPORTADO</t>
  </si>
  <si>
    <t>HP RETENCIONES Y PAGOS A CUENTA</t>
  </si>
  <si>
    <t>ACTIVOS POR DIFERENCIAS TEMPORALES DEDUCIBLES</t>
  </si>
  <si>
    <t>DERECHOS POR DEDUCCIONES Y BONIF. PTES DE APLICAR</t>
  </si>
  <si>
    <t>CRÉDITO POR PÉRDIDAS A COMPENSAR DEL EJERCICIO</t>
  </si>
  <si>
    <t>HP ACREEDORA POR IVA</t>
  </si>
  <si>
    <t>HP ACREEDORA POR RETENCIONES PRACTICADAS</t>
  </si>
  <si>
    <t>HP ACREEDORA POR IS</t>
  </si>
  <si>
    <t>HP ACREEDORA POR SUBVENCIONES A REINTEGRAR</t>
  </si>
  <si>
    <t>ORGANISMOS DE LA SEG. SOC. ACREEDORES</t>
  </si>
  <si>
    <t>HP IVA REPERCUTIDO</t>
  </si>
  <si>
    <t>PASIVOS POR DIFERENCIAS TEMPORARIAS IMPONIBLES</t>
  </si>
  <si>
    <t>GASTOS ANTICIPADOS</t>
  </si>
  <si>
    <t>INGRESOS ANTICIPADOS</t>
  </si>
  <si>
    <t>DETERIORO DE VALOR DE CRÉDITOS POR OP COMERCIALES</t>
  </si>
  <si>
    <t>EMPRÉSTITOS DEUDAS CON CARAT. ESP. Y OTRAS A CP</t>
  </si>
  <si>
    <t>DEUDAS A CP CON ENTIDADES DE CRÉDITO</t>
  </si>
  <si>
    <t>DEUDAS A CP</t>
  </si>
  <si>
    <t>DEUDAS A CP TRANSFORMABLES EN SUBVEN. DONAC. Y LEG.</t>
  </si>
  <si>
    <t>PROVEEDORES DE INMOVILIZAD A CP</t>
  </si>
  <si>
    <t>ACREEDORES POR ARREND. FRO. A CP</t>
  </si>
  <si>
    <t>EFECTOS A PAGAR A CP</t>
  </si>
  <si>
    <t>DIVIDENDO ACTIVO A PAGAR</t>
  </si>
  <si>
    <t>INTERESES A CP DE DEUDAS CON ENT. DE CRÉDITO</t>
  </si>
  <si>
    <t>INTERESES A CP DE DEUDAS</t>
  </si>
  <si>
    <t>PROVISIONES A CP</t>
  </si>
  <si>
    <t>INVERSIONES FRAS A CP EN INSTRUMENTOS DE PATRIMONIO</t>
  </si>
  <si>
    <t>VALORES REPRESENTATIVOS DE DEUDAS A CP</t>
  </si>
  <si>
    <t>CRÉDITOS A CP</t>
  </si>
  <si>
    <t>CRÉDITOS A CP POR ENAJENACIÓN DE INMOVILIZADO</t>
  </si>
  <si>
    <t>CRÉDITOS A CP AL PERSONAL</t>
  </si>
  <si>
    <t>DIVIDENDO A COBRAR</t>
  </si>
  <si>
    <t>INTERESES A CP  DE VALORES REPRESENTATIVOS DE DEUDA</t>
  </si>
  <si>
    <t>INTERESES A CP DE CRÉDITOS</t>
  </si>
  <si>
    <t>IMPOSICIONES A CP</t>
  </si>
  <si>
    <t>DESEMBOLSOS PTES SOBRE PART EN EL PATRIM NETO A CP</t>
  </si>
  <si>
    <t>TITULAR DE LA EXPLOTACIÓN</t>
  </si>
  <si>
    <t>CUENTA CORRIENTE CON SOCIOS Y ADMINISTRADORES</t>
  </si>
  <si>
    <t>CUENTAS CORRIENTES EN FUSIONES Y ESCISIONES</t>
  </si>
  <si>
    <t>CUENTA CORRIENTE CON UTE Y CB</t>
  </si>
  <si>
    <t>PARTIDAS PENDIENTES DE APLICACIÓN</t>
  </si>
  <si>
    <t>DESEMBOLSOS EXIGIDOS SOBRE PARTIC. EN EL PAT. NETO</t>
  </si>
  <si>
    <t>DIVIDENDO ACTIVO A CUENTA</t>
  </si>
  <si>
    <t>SOCIOS POR DESEMBOLSOS EXIGIDOS</t>
  </si>
  <si>
    <t>DERIVADOS FROS A CP</t>
  </si>
  <si>
    <t>FIANZAS RECIBIDAS A CP</t>
  </si>
  <si>
    <t>DEPÓSITOS RECIBIDOS A CP</t>
  </si>
  <si>
    <t>FIANZAS CONSTITUIDDAS A CP</t>
  </si>
  <si>
    <t>DEPÓSITOS CONSTITUIDOS A CP</t>
  </si>
  <si>
    <t>INTERESES PAGADOS POR ANTICIPADO</t>
  </si>
  <si>
    <t>INTERESES COBRADOS POR ANTICIPADO</t>
  </si>
  <si>
    <t>GARANTÍAS FINANCIERAS A CP</t>
  </si>
  <si>
    <t>CAJA, EUROS</t>
  </si>
  <si>
    <t>BANCOS E INSTITUCIONES DE CRÉDITO C/C VISTA, EUROS</t>
  </si>
  <si>
    <t>BANCOS E INSTIT. DE CRÉDITO C/C VISTA, MONEDA EXTR.</t>
  </si>
  <si>
    <t>BANCOS E INSTIT. DE CRÉDITO CTAS AHORRO, EUROS</t>
  </si>
  <si>
    <t>INMOVILIZADO</t>
  </si>
  <si>
    <t>INVERSIONES CON PERSONAS Y ENTIDADES VINCUADAS</t>
  </si>
  <si>
    <t xml:space="preserve">INVERSIONES FINANCIERAS  </t>
  </si>
  <si>
    <t>EXISTENCIAS, DEUDORES COMER. Y OTRAS CTAS A COBRAR</t>
  </si>
  <si>
    <t>OTROS ACTIVOS</t>
  </si>
  <si>
    <t xml:space="preserve">PROVISIONES  </t>
  </si>
  <si>
    <t>DEUDAS CON CARACTERÍSTICAS ESPECIALES</t>
  </si>
  <si>
    <t>DEUDAS CON PERSONAS Y ENTIDADES VINCULADAS</t>
  </si>
  <si>
    <t>ACREEDORES COMERCIALES Y OTRAS CUENTAS A PAGAR</t>
  </si>
  <si>
    <t>OTROS PASIVOS</t>
  </si>
  <si>
    <t>COMPRAS DE MERCADERÍAS</t>
  </si>
  <si>
    <t>COMPRAS DE MATERIAS PRIMAS</t>
  </si>
  <si>
    <t>COMPRAS DE OTROS APROVISIONAMIENTOS</t>
  </si>
  <si>
    <t>DESCUENTOS SOBRE COMPRAS POR PRONTO PAGO</t>
  </si>
  <si>
    <t>TRABAJOS REALIZADOS POR OTRAS EMPRESAS</t>
  </si>
  <si>
    <t>DEVOLUCIONES DE COMPRAS Y OP SIMILARES</t>
  </si>
  <si>
    <t>RAPPELS POR COMPRAS</t>
  </si>
  <si>
    <t>VARIACIÓN DE EXISTENCIAS DE MERCADERÍAS</t>
  </si>
  <si>
    <t>VARIACIÓN DE EXISTENCIAS DE MATERIAS PRIMAS</t>
  </si>
  <si>
    <t>VARIACIÓN DE EXISTENCIAS DE OTROS APROVISIONAMIENT.</t>
  </si>
  <si>
    <t>GASTOS EN INVESTIGACIÓN Y DESARROLLO DEL EJERCICIO</t>
  </si>
  <si>
    <t>ARRENDAMIENTOS Y CÁNONES</t>
  </si>
  <si>
    <t>REPARACIONES Y CONSERVACIÓN</t>
  </si>
  <si>
    <t>SERVICIOS DE PROFESIONALES INDEPENDIENTES</t>
  </si>
  <si>
    <t>TRANSPORTES</t>
  </si>
  <si>
    <t>PRIMAS DE SEGUROS</t>
  </si>
  <si>
    <t>SERVICIOS BANCARIOS Y SIMILARES</t>
  </si>
  <si>
    <t>SUMINISTROS</t>
  </si>
  <si>
    <t>OTROS SERVICIOS</t>
  </si>
  <si>
    <t>IMPUESTO CORRIENTE</t>
  </si>
  <si>
    <t>IMPUESTO DIFERIDO</t>
  </si>
  <si>
    <t>OTROS TRIBUTOS</t>
  </si>
  <si>
    <t>AJUSTES NEGATIVOS EN LA IMPOSICIÓN SOBRE BENEFICIOS</t>
  </si>
  <si>
    <t>AJUSTES NEGATIVOS EN IVA DE ACTIVO CORRIENTE</t>
  </si>
  <si>
    <t>AJUSTES NEGATIVOS EN IVA DE INVERSIONES</t>
  </si>
  <si>
    <t>DEVOLUCIÓN DE IMPUESTOS</t>
  </si>
  <si>
    <t>AJUSTES POSITIVOS EN LA IMPOSICIÓN SOBRE BENEFICIOS</t>
  </si>
  <si>
    <t>AJUSTES POSITIVOS EN IVA DE ACTIVO CORRIENTE</t>
  </si>
  <si>
    <t>AJUSTES POSITIVOS EN IVA DE INVERSIONES</t>
  </si>
  <si>
    <t>SUELDOS Y SALARIOS</t>
  </si>
  <si>
    <t>INDEMNIZACIONES</t>
  </si>
  <si>
    <t>SEGURIDAD SOCIAL A CARGO DE LA EMPRESA</t>
  </si>
  <si>
    <t>RETRIBUCIONES A LP MEDIANTE SIST DE APORTACIÓN DEF</t>
  </si>
  <si>
    <t>RETRIBUCIONES A LP MEDIANTE SIST DE PRESTACIÓN DEF</t>
  </si>
  <si>
    <t>RETRIBUCIONES AL PERSONAL MEDIANTE INST DE PATRIM</t>
  </si>
  <si>
    <t>OTROS GASTOS SOCIALES</t>
  </si>
  <si>
    <t>PÉRDIDAS DE CRÉDITOS COMERCIALES INCOBRABLES</t>
  </si>
  <si>
    <t>RESULTADOS DE OPERACIONES EN COMÚN</t>
  </si>
  <si>
    <t>OTRAS PÉRDIDAS EN GESTIÓN CORRIENTE</t>
  </si>
  <si>
    <t>GASTOS FINANCIEROS POR ACTUALIZACIONES DE PROV.</t>
  </si>
  <si>
    <t>INTERESES DE OBLIGACIONES Y BONOS</t>
  </si>
  <si>
    <t>INTERESES DE DEUDAS, EMPRESAS DEL GRUPO</t>
  </si>
  <si>
    <t>INTERESES DE DEUDAS, EMPRESAS ASOCIADAS</t>
  </si>
  <si>
    <t>INTERESES DE DEUDAS, OTRAS PARTES VINCULADAS</t>
  </si>
  <si>
    <t>INTERESES DE DEUDAS CON ENTIDADES DE CRÉDITO</t>
  </si>
  <si>
    <t>INTERESES DE DEUDAS, OTRAS EMPRESAS</t>
  </si>
  <si>
    <t>PÉRD. POR VALORACIÓN DE INSTR. FROS POR VALOR RAZON.</t>
  </si>
  <si>
    <t>DIVIDENDOS DE ACC O PART. CONSID. COMO PASIVOS FROS</t>
  </si>
  <si>
    <t>PÉRD. EN PARTICIP. Y VALORES REPRESENTATIVOS DEUDA</t>
  </si>
  <si>
    <t>PÉRDIDAS DE CRÉDITOS NO COMERCIALES</t>
  </si>
  <si>
    <t>DIFERENCIAS NEGATIVAS DE CAMBIO</t>
  </si>
  <si>
    <t>OTROS GASTOS FINANCIEROS</t>
  </si>
  <si>
    <t>PÉRDIDAS PROCEDENTES DEL INMOV. INTANGIBLE</t>
  </si>
  <si>
    <t>PÉRDIDAS PROCEDENTES DEL INMOV. MATERIAL</t>
  </si>
  <si>
    <t>PÉRD. PROCEDENTES DE LAS INVERSIONES INMOBILIARIAS</t>
  </si>
  <si>
    <t>PÉRD. PROCEDENTES DE PARTICIP A LP EN PARTES VINC</t>
  </si>
  <si>
    <t>PÉRDIDAS POR OP CON OBLIGACIONES PROPIAS</t>
  </si>
  <si>
    <t>GASTOS EXCEPCIONALES</t>
  </si>
  <si>
    <t>AMORTIZ. DEL INMOVILIZADO INTANGIBLE</t>
  </si>
  <si>
    <t>AMORTIZ. DEL INMOVILIZADO MATERIAL</t>
  </si>
  <si>
    <t>AMORTIZ. DE LAS INVERSIONES INMOBILIARIAS</t>
  </si>
  <si>
    <t>PÉRDIDAS POR DETERIORO DEL INMOVILIZADO INTANGIBLE</t>
  </si>
  <si>
    <t>PÉRDIDAS POR DETERIORO DEL INMOVILIZADO MATERIAL</t>
  </si>
  <si>
    <t>PÉRDIDAS POR DETERIORO DE LAS INVERSIONES INMOB.</t>
  </si>
  <si>
    <t>PÉRDIDAS POR DETERIORO DE LAS EXISTENCIAS</t>
  </si>
  <si>
    <t>PÉRDIDAS POR DETERIORO DE CRÉDITOS POR OP COMERC.</t>
  </si>
  <si>
    <t>DOTACIÓN A LA PROVISIÓN POR OP COMERCIALES</t>
  </si>
  <si>
    <t>PÉRD. POR DET. DE CRÉDITOS A LP, OTRAS EMPRESAS</t>
  </si>
  <si>
    <t>PÉRD. POR DET. DE PART. Y VALORES REP. DE DEUDA CP</t>
  </si>
  <si>
    <t>PÉRD. POR DET. DE CRÉDITOS A CP</t>
  </si>
  <si>
    <t>VTAS DE MERCADERÍAS</t>
  </si>
  <si>
    <t>VTAS DE PRODUCTOS TERMINADOS</t>
  </si>
  <si>
    <t>VTAS DE PRODUCTOS SEMITERMINADOS</t>
  </si>
  <si>
    <t>VTAS DE SUBPRODUCTOS Y RESIDUOS</t>
  </si>
  <si>
    <t>VTAS DE ENVASES Y EMBALAJES</t>
  </si>
  <si>
    <t>PRESTACIONES DE SERVICIOS</t>
  </si>
  <si>
    <t>DTOS SOBRE VTAS POR PRONTO PAGO</t>
  </si>
  <si>
    <t>DEVOLUCIONES DE VENTAS Y OP SIMILARES</t>
  </si>
  <si>
    <t>RAPPELS SOBRE VENTAS</t>
  </si>
  <si>
    <t>VARIACION DE EXISTENCIAS DE PRODUCTOS EN CURSO</t>
  </si>
  <si>
    <t>VARIACIÓN DE EXISTENCIAS DE PROD. SEMITERMINADOS</t>
  </si>
  <si>
    <t>VARIACIÓN DE EXISTENCIAS DE PROD. TERMINADOS</t>
  </si>
  <si>
    <t>VAR DE EXIST DE SUBPROD, RESIDUOS Y MAT RECUP</t>
  </si>
  <si>
    <t>TRABAJOS REALIZADOS PARA LA EMPRESA</t>
  </si>
  <si>
    <t>SUBVENCIONES , DONACIONES Y LEGADOS DE EXPLOTACIÓN</t>
  </si>
  <si>
    <t>SUBV. DONAC. Y LEGADOS DE CAPITAL TRANSF AL RDO EJER</t>
  </si>
  <si>
    <t>OTRAS SUBV. DONAC Y LEGADOS TRANSF A RDO EJER</t>
  </si>
  <si>
    <t>INGRESOS POR ARRENDAMIENTOS</t>
  </si>
  <si>
    <t>INGRESOS  POR COMISIONES</t>
  </si>
  <si>
    <t>INGRESOS POR SERVICIOS AL PERSONAL</t>
  </si>
  <si>
    <t>INGRESOS POR SERVICIOS DIVERSOS</t>
  </si>
  <si>
    <t>INGRESOS DE PART. EN INSTRUMENTOS DE PATRIMONIO</t>
  </si>
  <si>
    <t>INGRESOS DE VALORES REPRESENT. DE DEUDA</t>
  </si>
  <si>
    <t>INGRESOS DE CRÉDITOS</t>
  </si>
  <si>
    <t>BENEF POR VALORACIÓN DE INSTR FROS POR VALOR RAZON</t>
  </si>
  <si>
    <t>BENEF EN PARTICIP. Y VALORES REPRESENT. DE DEUDA</t>
  </si>
  <si>
    <t>INGRES. DE ACTIV AFECTOS Y DE DCHOS REEMB. RETRIB LP</t>
  </si>
  <si>
    <t>DIFERENCIAS POSITIVAS DE CAMBIO</t>
  </si>
  <si>
    <t>OTROS INGRESOS FINANCIEROS</t>
  </si>
  <si>
    <t>BENEFICIOS PROCEDENTES DEL INMOV. INTANGIBLE</t>
  </si>
  <si>
    <t>BENEFICIOS PROCEDENTES DEL INMOV. MATERIAL</t>
  </si>
  <si>
    <t>BENEFICIOS PROCEDENTES DE LAS INVER. INMOBILIARIAS</t>
  </si>
  <si>
    <t>BENEFICIOS PROC. DEPARTIC. A LP EN PARTES VINC</t>
  </si>
  <si>
    <t>DIFERENCIA NEGATIVA EN COMBINACIONES DE NEGOCIOS</t>
  </si>
  <si>
    <t>BENEFICIOS POR OP CON OBLIGACIONES PROPIAS</t>
  </si>
  <si>
    <t>INGRESOS EXCEPCIONALES</t>
  </si>
  <si>
    <t>REVERSIÓN DEL DETERIORO DEL INMOVILIZADO INTANGIBLE</t>
  </si>
  <si>
    <t>REVERSIÓN DEL DETERIORO DEL INMOVILIZADO MATERIAL</t>
  </si>
  <si>
    <t>REVERSIÓN DEL DETERIORO DE LAS INV, INMOBILIARIAS</t>
  </si>
  <si>
    <t>REVERSIÓN DEL DETERIORO DE EXISTENCIAS</t>
  </si>
  <si>
    <t>REVERSIÓN DEL DETERIORO DE CRÉDITOS POR OP COMER</t>
  </si>
  <si>
    <t>EXCESO DE PROVISIONES</t>
  </si>
  <si>
    <t>REVER. DEL DET. DE PART. Y VALORES REPR. DE  DEUDA LP</t>
  </si>
  <si>
    <t>REVERSIÓN DEL DETERIORO DE CRÉDITOS A LP</t>
  </si>
  <si>
    <t>REVER. DEL DET. DE PART. Y VALORES REPR. DE  DEUDA CP</t>
  </si>
  <si>
    <t>REVERSIÓN DEL DETERIORO DE CRÉDITOS A CP</t>
  </si>
  <si>
    <t>3 dígitos</t>
  </si>
  <si>
    <t>BALANCE INICIAL</t>
  </si>
  <si>
    <t>BALANCE FINAL</t>
  </si>
  <si>
    <t xml:space="preserve"> AJUSTES</t>
  </si>
  <si>
    <t>DEBE</t>
  </si>
  <si>
    <t>HABER</t>
  </si>
  <si>
    <t>2 dígitos</t>
  </si>
  <si>
    <t>Cuenta confección balance</t>
  </si>
  <si>
    <t xml:space="preserve"> SALDOS AJUSTADOS (BCE. FINAL)</t>
  </si>
  <si>
    <t>Cuenta 4 dígitos</t>
  </si>
  <si>
    <t>Saldo cuenta</t>
  </si>
  <si>
    <t>2400-2403-2404-(2493)-(2494)-(293)</t>
  </si>
  <si>
    <t>2420-2423-2424-(2953)-(2954)</t>
  </si>
  <si>
    <t>Sdo. Ejercicio anterior</t>
  </si>
  <si>
    <t>Adq. Usados</t>
  </si>
  <si>
    <t>Adq. Nuevo</t>
  </si>
  <si>
    <t>Amortización Ejercicio</t>
  </si>
  <si>
    <t>Traspaso (+)</t>
  </si>
  <si>
    <t>Traspaso (-)</t>
  </si>
  <si>
    <t xml:space="preserve"> Bajas</t>
  </si>
  <si>
    <t>Saldo Ejercicio</t>
  </si>
  <si>
    <t>Nº Cuenta</t>
  </si>
  <si>
    <t>Diferencia</t>
  </si>
  <si>
    <t>Saldo Ejercicio (manual)</t>
  </si>
  <si>
    <t>Saldo Ejercicio (diferencia)</t>
  </si>
  <si>
    <t>Inversiones</t>
  </si>
  <si>
    <t>Descripción</t>
  </si>
  <si>
    <t>Importe Nuevos</t>
  </si>
  <si>
    <t>Importe Usados</t>
  </si>
  <si>
    <t>Cta. Inmovilizado</t>
  </si>
  <si>
    <t>Otros</t>
  </si>
  <si>
    <t>Inmovilizado</t>
  </si>
  <si>
    <t>Id</t>
  </si>
  <si>
    <t>COD EMP</t>
  </si>
  <si>
    <t>EMPRESA</t>
  </si>
  <si>
    <t>CTA CONTABLE</t>
  </si>
  <si>
    <t>ELEMENTO</t>
  </si>
  <si>
    <t>CIA LEASING</t>
  </si>
  <si>
    <t>Nº CONTRATO</t>
  </si>
  <si>
    <t>FECHA INICIO</t>
  </si>
  <si>
    <t>FECHA FINAL</t>
  </si>
  <si>
    <t>IMPORTE TOTAL</t>
  </si>
  <si>
    <t>IMPORTE FINAN</t>
  </si>
  <si>
    <t>CARGA FINAN</t>
  </si>
  <si>
    <t>TOT CONT S IVA</t>
  </si>
  <si>
    <t>TIP AM TABLAS</t>
  </si>
  <si>
    <t>FECHA FIN EJER</t>
  </si>
  <si>
    <t>ENT ESPECIAL</t>
  </si>
  <si>
    <t>EJERC 01</t>
  </si>
  <si>
    <t>REC  COSTE 01</t>
  </si>
  <si>
    <t>CARGA FINAN 01</t>
  </si>
  <si>
    <t>AMORT EJ 01</t>
  </si>
  <si>
    <t>AMORT ACUM 01</t>
  </si>
  <si>
    <t>AMORT MAX 01</t>
  </si>
  <si>
    <t>AM AC MAX 01</t>
  </si>
  <si>
    <t>GASTO FISCAL 01</t>
  </si>
  <si>
    <t>PDTE PAGO C P 01</t>
  </si>
  <si>
    <t>PDTE PAGO L P 01</t>
  </si>
  <si>
    <t>PTE PAGO INT 01</t>
  </si>
  <si>
    <t>AJUSTE I S 01</t>
  </si>
  <si>
    <t>IMP DIF EJ 01</t>
  </si>
  <si>
    <t>SALDO IMP DIF 01</t>
  </si>
  <si>
    <t>PEND RECUP 01</t>
  </si>
  <si>
    <t>EJERC 02</t>
  </si>
  <si>
    <t>REC  COSTE 02</t>
  </si>
  <si>
    <t>CARGA FINAN 02</t>
  </si>
  <si>
    <t>AMORT EJ 02</t>
  </si>
  <si>
    <t>AMORT ACUM 02</t>
  </si>
  <si>
    <t>AMORT MAX 02</t>
  </si>
  <si>
    <t>AM AC MAX 02</t>
  </si>
  <si>
    <t>GASTO FISCAL 02</t>
  </si>
  <si>
    <t>PDTE PAGO C P 02</t>
  </si>
  <si>
    <t>PDTE PAGO L P 02</t>
  </si>
  <si>
    <t>PTE PAGO INT 02</t>
  </si>
  <si>
    <t>AJUSTE I S 02</t>
  </si>
  <si>
    <t>IMP DIF EJ  02</t>
  </si>
  <si>
    <t>SALDO IMP DIF 02</t>
  </si>
  <si>
    <t>PEND RECUP 02</t>
  </si>
  <si>
    <t>EJERC 03</t>
  </si>
  <si>
    <t>REC  COSTE 03</t>
  </si>
  <si>
    <t>CARGA FINAN 03</t>
  </si>
  <si>
    <t>AMORT EJ 03</t>
  </si>
  <si>
    <t>AMORT ACUM 03</t>
  </si>
  <si>
    <t>AMORT MAX 03</t>
  </si>
  <si>
    <t>AM AC MAX 03</t>
  </si>
  <si>
    <t>GASTO FISCAL 03</t>
  </si>
  <si>
    <t>PDTE PAGO C P 03</t>
  </si>
  <si>
    <t>PDTE PAGO L P 03</t>
  </si>
  <si>
    <t>PTE PAGO INT 03</t>
  </si>
  <si>
    <t>AJUSTE I S 03</t>
  </si>
  <si>
    <t>IMP DIF EJ 03</t>
  </si>
  <si>
    <t>SALDO IMP DIF 03</t>
  </si>
  <si>
    <t>PEND RECUP 03</t>
  </si>
  <si>
    <t>EJERC 04</t>
  </si>
  <si>
    <t>REC  COSTE 04</t>
  </si>
  <si>
    <t>CARGA FINAN 04</t>
  </si>
  <si>
    <t>AMORT EJ 04</t>
  </si>
  <si>
    <t>AMORT ACUM 04</t>
  </si>
  <si>
    <t>AMORT MAX 04</t>
  </si>
  <si>
    <t>AM AC MAX 04</t>
  </si>
  <si>
    <t>GASTO FISCAL 04</t>
  </si>
  <si>
    <t>PDTE PAGO C P 04</t>
  </si>
  <si>
    <t>PDTE PAGO L P 04</t>
  </si>
  <si>
    <t>PTE PAGO INT 04</t>
  </si>
  <si>
    <t>AJUSTE I S 04</t>
  </si>
  <si>
    <t>IMP DIF EJ 04</t>
  </si>
  <si>
    <t>SALDO IMP DIF 04</t>
  </si>
  <si>
    <t>PEND RECUP 04</t>
  </si>
  <si>
    <t>EJERC 05</t>
  </si>
  <si>
    <t>REC  COSTE 05</t>
  </si>
  <si>
    <t>CARGA FINAN 05</t>
  </si>
  <si>
    <t>AMORT EJ 05</t>
  </si>
  <si>
    <t>AMORT ACUM 05</t>
  </si>
  <si>
    <t>AMORT MAX 05</t>
  </si>
  <si>
    <t>AM AC MAX 05</t>
  </si>
  <si>
    <t>GASTO FISCAL 05</t>
  </si>
  <si>
    <t>PDTE PAGO C P 05</t>
  </si>
  <si>
    <t>PDTE PAGO L P 05</t>
  </si>
  <si>
    <t>PTE PAGO INT 05</t>
  </si>
  <si>
    <t>AJUSTE I S 05</t>
  </si>
  <si>
    <t>IMP DIF EJ 05</t>
  </si>
  <si>
    <t>SALDO IMP DIF 05</t>
  </si>
  <si>
    <t>PEND RECUP 05</t>
  </si>
  <si>
    <t>EJERC 06</t>
  </si>
  <si>
    <t>REC  COSTE 06</t>
  </si>
  <si>
    <t>CARGA FINAN 06</t>
  </si>
  <si>
    <t>AMORT EJ 06</t>
  </si>
  <si>
    <t>AMORT ACUM 06</t>
  </si>
  <si>
    <t>AMORT MAX 06</t>
  </si>
  <si>
    <t>AM AC MAX 06</t>
  </si>
  <si>
    <t>GASTO FISCAL 06</t>
  </si>
  <si>
    <t>PDTE PAGO C P 06</t>
  </si>
  <si>
    <t>PDTE PAGO L P 06</t>
  </si>
  <si>
    <t>PTE PAGO INT 06</t>
  </si>
  <si>
    <t>AJUSTE I S 06</t>
  </si>
  <si>
    <t>IMP DIF EJ 06</t>
  </si>
  <si>
    <t>SALDO IMP DIF 06</t>
  </si>
  <si>
    <t>PEND RECUP 06</t>
  </si>
  <si>
    <t>EJERC 07</t>
  </si>
  <si>
    <t>REC  COSTE 07</t>
  </si>
  <si>
    <t>CARGA FINAN 07</t>
  </si>
  <si>
    <t>AMORT EJ 07</t>
  </si>
  <si>
    <t>AMORT ACUM 07</t>
  </si>
  <si>
    <t>AMORT MAX 07</t>
  </si>
  <si>
    <t>AM AC MAX 07</t>
  </si>
  <si>
    <t>GASTO FISCAL 07</t>
  </si>
  <si>
    <t>PDTE PAGO C P 07</t>
  </si>
  <si>
    <t>PDTE PAGO L P 07</t>
  </si>
  <si>
    <t>PTE PAGO INT 07</t>
  </si>
  <si>
    <t>AJUSTE I S 07</t>
  </si>
  <si>
    <t>IMP DIF EJ 07</t>
  </si>
  <si>
    <t>SALDO IMP DIF 07</t>
  </si>
  <si>
    <t>PEND RECUP 07</t>
  </si>
  <si>
    <t>EJERC 08</t>
  </si>
  <si>
    <t>REC  COSTE 08</t>
  </si>
  <si>
    <t>CARGA FINAN 08</t>
  </si>
  <si>
    <t>AMORT EJ 08</t>
  </si>
  <si>
    <t>AMORT ACUM 08</t>
  </si>
  <si>
    <t>AMORT MAX 08</t>
  </si>
  <si>
    <t>AM AC MAX 08</t>
  </si>
  <si>
    <t>GASTO FISCAL 08</t>
  </si>
  <si>
    <t>PDTE PAGO C P 08</t>
  </si>
  <si>
    <t>PDTE PAGO L P 08</t>
  </si>
  <si>
    <t>PTE PAGO INT 08</t>
  </si>
  <si>
    <t>AJUSTE I S 08</t>
  </si>
  <si>
    <t>IMP DIF EJ 08</t>
  </si>
  <si>
    <t>SALDO IMP DIF 08</t>
  </si>
  <si>
    <t>PEND RECUP 08</t>
  </si>
  <si>
    <t>EJERC 09</t>
  </si>
  <si>
    <t>REC  COSTE 09</t>
  </si>
  <si>
    <t>CARGA FINAN 09</t>
  </si>
  <si>
    <t>AMORT EJ 09</t>
  </si>
  <si>
    <t>AMORT ACUM 09</t>
  </si>
  <si>
    <t>AMORT MAX 09</t>
  </si>
  <si>
    <t>AM AC MAX 09</t>
  </si>
  <si>
    <t>GASTO FISCAL 09</t>
  </si>
  <si>
    <t>PDTE PAGO C P 09</t>
  </si>
  <si>
    <t>PDTE PAGO L P 09</t>
  </si>
  <si>
    <t>PTE PAGO INT 09</t>
  </si>
  <si>
    <t>AJUSTE I S 09</t>
  </si>
  <si>
    <t>IMP DIF EJ 09</t>
  </si>
  <si>
    <t>SALDO IMP DIF 09</t>
  </si>
  <si>
    <t>PEND RECUP 09</t>
  </si>
  <si>
    <t>EJERC 10</t>
  </si>
  <si>
    <t>REC  COSTE 10</t>
  </si>
  <si>
    <t>CARGA FINAN 10</t>
  </si>
  <si>
    <t>AMORT EJ 10</t>
  </si>
  <si>
    <t>AMORT ACUM 10</t>
  </si>
  <si>
    <t>AMORT MAX 10</t>
  </si>
  <si>
    <t>AM AC MAX 10</t>
  </si>
  <si>
    <t>GASTO FISCAL 10</t>
  </si>
  <si>
    <t>PDTE PAGO C P 10</t>
  </si>
  <si>
    <t>PDTE PAGO L P 10</t>
  </si>
  <si>
    <t>PTE PAGO INT 10</t>
  </si>
  <si>
    <t>AJUSTE I S 10</t>
  </si>
  <si>
    <t>IMP DIF EJ 10</t>
  </si>
  <si>
    <t>SALDO IMP DIF 10</t>
  </si>
  <si>
    <t>PEND RECUP 10</t>
  </si>
  <si>
    <t>EJERC 11</t>
  </si>
  <si>
    <t>REC  COSTE 11</t>
  </si>
  <si>
    <t>CARGA FINAN 11</t>
  </si>
  <si>
    <t>AMORT EJ 11</t>
  </si>
  <si>
    <t>AMORT ACUM 11</t>
  </si>
  <si>
    <t>AMORT MAX 11</t>
  </si>
  <si>
    <t>AM AC MAX 11</t>
  </si>
  <si>
    <t>GASTO FISCAL 11</t>
  </si>
  <si>
    <t>PDTE PAGO C P 11</t>
  </si>
  <si>
    <t>PDTE PAGO L P 11</t>
  </si>
  <si>
    <t>PTE PAGO INT 11</t>
  </si>
  <si>
    <t>AJUSTE I S 11</t>
  </si>
  <si>
    <t>IMP DIF EJ 11</t>
  </si>
  <si>
    <t>SALDO IMP DIF 11</t>
  </si>
  <si>
    <t>PEND RECUP 11</t>
  </si>
  <si>
    <t>EJERC 12</t>
  </si>
  <si>
    <t>REC  COSTE 12</t>
  </si>
  <si>
    <t>CARGA FINAN 12</t>
  </si>
  <si>
    <t>AMORT EJ 12</t>
  </si>
  <si>
    <t>AMORT ACUM 12</t>
  </si>
  <si>
    <t>AMORT MAX 12</t>
  </si>
  <si>
    <t>AM AC MAX 12</t>
  </si>
  <si>
    <t>GASTO FISCAL 12</t>
  </si>
  <si>
    <t>PDTE PAGO C P 12</t>
  </si>
  <si>
    <t>PDTE PAGO L P 12</t>
  </si>
  <si>
    <t>PTE PAGO INT 12</t>
  </si>
  <si>
    <t>AJUSTE I S 12</t>
  </si>
  <si>
    <t>IMP DIF EJ 12</t>
  </si>
  <si>
    <t>SALDO IMP DIF 12</t>
  </si>
  <si>
    <t>PEND RECUP 12</t>
  </si>
  <si>
    <t>EJERC 13</t>
  </si>
  <si>
    <t>REC  COSTE 13</t>
  </si>
  <si>
    <t>CARGA FINAN 13</t>
  </si>
  <si>
    <t>AMORT EJ 13</t>
  </si>
  <si>
    <t>AMORT ACUM 13</t>
  </si>
  <si>
    <t>AMORT MAX 13</t>
  </si>
  <si>
    <t>AM AC MAX 13</t>
  </si>
  <si>
    <t>GASTO FISCAL 13</t>
  </si>
  <si>
    <t>PDTE PAGO C P 13</t>
  </si>
  <si>
    <t>PDTE PAGO L P 13</t>
  </si>
  <si>
    <t>PTE PAGO INT 13</t>
  </si>
  <si>
    <t>AJUSTE I S 13</t>
  </si>
  <si>
    <t>IMP DIF EJ 13</t>
  </si>
  <si>
    <t>SALDO IMP DIF 13</t>
  </si>
  <si>
    <t>PEND RECUP 13</t>
  </si>
  <si>
    <t>EJERC 14</t>
  </si>
  <si>
    <t>REC  COSTE 14</t>
  </si>
  <si>
    <t>CARGA FINAN 14</t>
  </si>
  <si>
    <t>AMORT EJ 14</t>
  </si>
  <si>
    <t>AMORT ACUM 14</t>
  </si>
  <si>
    <t>AMORT MAX 14</t>
  </si>
  <si>
    <t>AM AC MAX 14</t>
  </si>
  <si>
    <t>GASTO FISCAL 14</t>
  </si>
  <si>
    <t>PDTE PAGO C P 14</t>
  </si>
  <si>
    <t>PDTE PAGO L P 14</t>
  </si>
  <si>
    <t>PTE PAGO INT 14</t>
  </si>
  <si>
    <t>AJUSTE I S 14</t>
  </si>
  <si>
    <t>IMP DIF EJ 14</t>
  </si>
  <si>
    <t>SALDO IMP DIF 14</t>
  </si>
  <si>
    <t>PEND RECUP 14</t>
  </si>
  <si>
    <t>EJERC 15</t>
  </si>
  <si>
    <t>REC  COSTE 15</t>
  </si>
  <si>
    <t>CARGA FINAN 15</t>
  </si>
  <si>
    <t>AMORT EJ 15</t>
  </si>
  <si>
    <t>AMORT ACUM 15</t>
  </si>
  <si>
    <t>AMORT MAX 15</t>
  </si>
  <si>
    <t>AM AC MAX 15</t>
  </si>
  <si>
    <t>GASTO FISCAL 15</t>
  </si>
  <si>
    <t>PDTE PAGO C P 15</t>
  </si>
  <si>
    <t>PDTE PAGO L P 15</t>
  </si>
  <si>
    <t>PTE PAGO INT 15</t>
  </si>
  <si>
    <t>AJUSTE I S 15</t>
  </si>
  <si>
    <t>IMP DIF EJ 15</t>
  </si>
  <si>
    <t>SALDO IMP DIF 15</t>
  </si>
  <si>
    <t>PEND RECUP 15</t>
  </si>
  <si>
    <t>BANCAJA</t>
  </si>
  <si>
    <t>0</t>
  </si>
  <si>
    <t>Nº</t>
  </si>
  <si>
    <t>Comprobación contabilización contratos de Leasing/Impuestos Diferidos</t>
  </si>
  <si>
    <t>AMORT EJ.</t>
  </si>
  <si>
    <t>GASTOS FISCAL</t>
  </si>
  <si>
    <t>AJUSTE IS</t>
  </si>
  <si>
    <t>IMP DIF EJ</t>
  </si>
  <si>
    <t>INFORME BASE DATOS ACCESS (INVENTARIO LEASING)</t>
  </si>
  <si>
    <t>DETALLE CONTABILIDAD</t>
  </si>
  <si>
    <t>DIFERENCIA CONTABILIDAD - INFORME LEASING</t>
  </si>
  <si>
    <t>NOMBRE CLIENTE</t>
  </si>
  <si>
    <t>ACCES</t>
  </si>
  <si>
    <t>AJUSTES IS</t>
  </si>
  <si>
    <t>Comentarios</t>
  </si>
  <si>
    <t>Denominación</t>
  </si>
  <si>
    <t xml:space="preserve">Cta. Contable </t>
  </si>
  <si>
    <t>Importe Debe</t>
  </si>
  <si>
    <t>Importe Haber</t>
  </si>
  <si>
    <t>Fecha</t>
  </si>
  <si>
    <t>Nº Factura</t>
  </si>
  <si>
    <t>Total Inmovlizado Material</t>
  </si>
  <si>
    <t>Total Amortización Inm. Material</t>
  </si>
  <si>
    <t>Total Inversiones Inmobiliarias</t>
  </si>
  <si>
    <t>Total Amortización + Depreciación  Inv. Inmobiliarias</t>
  </si>
  <si>
    <t>Total Inmovilizado Intangible</t>
  </si>
  <si>
    <t>Total Amortización Inm. Intangible</t>
  </si>
  <si>
    <t>CTA. CONTABLE</t>
  </si>
  <si>
    <t>Base datos (manual)</t>
  </si>
  <si>
    <t>No contabilidad (manual)</t>
  </si>
  <si>
    <t>Contabilidad (automatico)</t>
  </si>
  <si>
    <t>Instrucciones para analisis detallado</t>
  </si>
  <si>
    <t>Ajuste declaración Retenciones IRPF, Ejercicio</t>
  </si>
  <si>
    <t>Trabajo - Dinerarios</t>
  </si>
  <si>
    <t>Trabajo - Especie</t>
  </si>
  <si>
    <t>Agrícolas</t>
  </si>
  <si>
    <t>Rendimientos</t>
  </si>
  <si>
    <t>Base</t>
  </si>
  <si>
    <t>Cuota</t>
  </si>
  <si>
    <t>DECLARACIÓN 190</t>
  </si>
  <si>
    <t>Diferencias</t>
  </si>
  <si>
    <t>Nº. CTA.</t>
  </si>
  <si>
    <t>SALDO</t>
  </si>
  <si>
    <t>RETR.DIN</t>
  </si>
  <si>
    <t>RETR.ESP.</t>
  </si>
  <si>
    <t>EXENTAS</t>
  </si>
  <si>
    <t>NOTA:</t>
  </si>
  <si>
    <t>TIENEN QUE ESTAR ORDENADOS DE FORMA ASCENDENTE PARA QUE FUNCIONE LA FORMULA BUSCAR</t>
  </si>
  <si>
    <t xml:space="preserve"> OBSERVACIONES:</t>
  </si>
  <si>
    <t>Actividades Económicas</t>
  </si>
  <si>
    <t>Agricultura</t>
  </si>
  <si>
    <t>Enero</t>
  </si>
  <si>
    <t>Febrero</t>
  </si>
  <si>
    <t>Marzo</t>
  </si>
  <si>
    <t>Abril</t>
  </si>
  <si>
    <t>Mayo</t>
  </si>
  <si>
    <t>Junio</t>
  </si>
  <si>
    <t>Julio</t>
  </si>
  <si>
    <t>Agosto</t>
  </si>
  <si>
    <t>Septiembre</t>
  </si>
  <si>
    <t>Octubre</t>
  </si>
  <si>
    <t>Noviembre</t>
  </si>
  <si>
    <t>Diciembre</t>
  </si>
  <si>
    <t>Totales</t>
  </si>
  <si>
    <t>Total</t>
  </si>
  <si>
    <t>Clave L:</t>
  </si>
  <si>
    <t>1º Trimestre</t>
  </si>
  <si>
    <t>2º Trimestre</t>
  </si>
  <si>
    <t>3º Trimestre</t>
  </si>
  <si>
    <t>4º Trimestre</t>
  </si>
  <si>
    <t>Empleados A</t>
  </si>
  <si>
    <t>Pensionistas B</t>
  </si>
  <si>
    <t>Desempleo C</t>
  </si>
  <si>
    <t>Desempleo. P/U D</t>
  </si>
  <si>
    <t>Cons/Adm. E</t>
  </si>
  <si>
    <t>Cursos - Conferencias F</t>
  </si>
  <si>
    <t>Profesionales G</t>
  </si>
  <si>
    <t>Agric/Ganad. H</t>
  </si>
  <si>
    <t>Ajuste declaración Retenciones Arrendamientos, Ejercicio</t>
  </si>
  <si>
    <t>Importe Arrendamientos</t>
  </si>
  <si>
    <t>Importe Retenciones</t>
  </si>
  <si>
    <t>Rendimientos en Especie</t>
  </si>
  <si>
    <t>Valor</t>
  </si>
  <si>
    <t>Ingreso a cuenta</t>
  </si>
  <si>
    <t>Total (Ret. + Ing. cuenta)</t>
  </si>
  <si>
    <t>Modelo 180</t>
  </si>
  <si>
    <t>Modelo 115</t>
  </si>
  <si>
    <t>Cuadre:</t>
  </si>
  <si>
    <t>Cuentas 621 sin retención:</t>
  </si>
  <si>
    <t>Cuenta / Subcuenta</t>
  </si>
  <si>
    <t>Concepto</t>
  </si>
  <si>
    <t>Importe</t>
  </si>
  <si>
    <t>Ajuste declaración Retenciones IRPF (IRC), Ejercicio</t>
  </si>
  <si>
    <t>Capital Mobiliario</t>
  </si>
  <si>
    <t>Rendmientos Ejercicio</t>
  </si>
  <si>
    <t>Rdtos. Ej. Post.</t>
  </si>
  <si>
    <t>Rdtos. Ej. Ant.</t>
  </si>
  <si>
    <t>Modelo 193</t>
  </si>
  <si>
    <t>Detalle cuadre:</t>
  </si>
  <si>
    <t>Sujeto</t>
  </si>
  <si>
    <t>Saldo</t>
  </si>
  <si>
    <t>Ints. Calc.</t>
  </si>
  <si>
    <t>Exentos</t>
  </si>
  <si>
    <t>CONCILIACIÓN DECLARACIÓN IVA</t>
  </si>
  <si>
    <t>ENERO</t>
  </si>
  <si>
    <t>FEBRERO</t>
  </si>
  <si>
    <t>MARZO</t>
  </si>
  <si>
    <t>ABRIL</t>
  </si>
  <si>
    <t>MAYO</t>
  </si>
  <si>
    <t>JUNIO</t>
  </si>
  <si>
    <t>JULIO</t>
  </si>
  <si>
    <t>AGOSTO</t>
  </si>
  <si>
    <t>SEPTIEMBRE</t>
  </si>
  <si>
    <t>OCTUBRE</t>
  </si>
  <si>
    <t>NOVIEMBRE</t>
  </si>
  <si>
    <t>DICIEMBRE</t>
  </si>
  <si>
    <t>B.I.</t>
  </si>
  <si>
    <t>IVA DEVENGADO</t>
  </si>
  <si>
    <t>Régimen General</t>
  </si>
  <si>
    <t>Recargo Equivalencia</t>
  </si>
  <si>
    <t>Total cuota devengada</t>
  </si>
  <si>
    <t>IVA Deducible</t>
  </si>
  <si>
    <t>Por cuotas soportadas en operaciones interiores corrientes</t>
  </si>
  <si>
    <t>Por cuotas soportadas en operaciones interiores con bienes de inversión.</t>
  </si>
  <si>
    <t>Por cuotas devengadas en las importaciones de bienes corrientes.</t>
  </si>
  <si>
    <t>Por cuotas devengadas en las importaciones de bienes de inversión.</t>
  </si>
  <si>
    <t>En adquisiciones intracomunitarias de bienes de corrientes.</t>
  </si>
  <si>
    <t>En adquisiciones intracomunitarias de bienes de inversión.</t>
  </si>
  <si>
    <t>Compensaciones Régimen Especial A.G. y P.</t>
  </si>
  <si>
    <t>Regularización por aplicación del porcentaje definitivo de prorrata (sólo 4T o mes 12).</t>
  </si>
  <si>
    <t>Total a deducir</t>
  </si>
  <si>
    <t>Cuotas a compensar de periodos anteriores.</t>
  </si>
  <si>
    <t>Entregas intracomunitarias.</t>
  </si>
  <si>
    <t>Exportaciones y operaciones asimiladas</t>
  </si>
  <si>
    <t>Operaciones no suj./Imv. S.P.</t>
  </si>
  <si>
    <t>RESULTADO</t>
  </si>
  <si>
    <t>349 ADQUISICIONES</t>
  </si>
  <si>
    <t>CONCILIACIÓN ADQUISICIONES</t>
  </si>
  <si>
    <t>349 ENTREGAS</t>
  </si>
  <si>
    <t>CONCILIACIÓN ENTREGAS</t>
  </si>
  <si>
    <t>TOTALES</t>
  </si>
  <si>
    <t>Operaciones intragrupo</t>
  </si>
  <si>
    <t>Por cuotas soportadas en operaciones intragrupo con bienes de inversión.</t>
  </si>
  <si>
    <t>IVA Devengado</t>
  </si>
  <si>
    <t>CONCILIACIÓN DECLARACIÓN IVA (CHECK MENSUAL)</t>
  </si>
  <si>
    <t>IVA SOPORTADO</t>
  </si>
  <si>
    <t>Registro</t>
  </si>
  <si>
    <t>Declaración</t>
  </si>
  <si>
    <t>CUADRE REGISTROS IVA CON DECLARACIONES</t>
  </si>
  <si>
    <t>PERIODO</t>
  </si>
  <si>
    <t>IVA REPERCUTIDO</t>
  </si>
  <si>
    <t>Operaciones interiores corrientes</t>
  </si>
  <si>
    <t>Bienes de Inversión</t>
  </si>
  <si>
    <t>Importaciones de bienes corrientes</t>
  </si>
  <si>
    <t>Intracomunitarias de bienes de corrientes</t>
  </si>
  <si>
    <t>Recargo de equivalencia</t>
  </si>
  <si>
    <t>Adquisiciones Intracomunitarias</t>
  </si>
  <si>
    <t>Total periodo Enero</t>
  </si>
  <si>
    <t>Total periodo Febrero</t>
  </si>
  <si>
    <t>Total periodo Marzo</t>
  </si>
  <si>
    <t>Total periodo Abril</t>
  </si>
  <si>
    <t>Total periodo Mayo</t>
  </si>
  <si>
    <t>Total periodo Junio</t>
  </si>
  <si>
    <t>Total periodo Julio</t>
  </si>
  <si>
    <t>Total periodo Agosto</t>
  </si>
  <si>
    <t>Total periodo Septiembre</t>
  </si>
  <si>
    <t>Total periodo Octubre</t>
  </si>
  <si>
    <t>Total periodo Noviembre</t>
  </si>
  <si>
    <t>Total periodo Diciembre</t>
  </si>
  <si>
    <t>Total  Ejercicio</t>
  </si>
  <si>
    <t>Nº Cta. Contable</t>
  </si>
  <si>
    <t>Sujeta</t>
  </si>
  <si>
    <t>Exenta</t>
  </si>
  <si>
    <t>Observaciones</t>
  </si>
  <si>
    <t>AJUSTE DECLARACIÓN IVA CON CONTABILIDAD</t>
  </si>
  <si>
    <t>VENTAS INMOVILIZADO</t>
  </si>
  <si>
    <t>TOTAL</t>
  </si>
  <si>
    <t>BASE DECLARACIÓN IVA</t>
  </si>
  <si>
    <t>1º TRIMESTRE</t>
  </si>
  <si>
    <t>2º TRIMESTRE</t>
  </si>
  <si>
    <t>3º TRIMESTRE</t>
  </si>
  <si>
    <t>4º TRIMESTRE</t>
  </si>
  <si>
    <t>CONCILIACIÓN DECLARACIÓN IVA (CHECK TRIMESTRAL)</t>
  </si>
  <si>
    <t>Total periodo 1º TRIMESTRE</t>
  </si>
  <si>
    <t>Total periodo 2º TRIMESTRE</t>
  </si>
  <si>
    <t>Total periodo 3º TRIMESTRE</t>
  </si>
  <si>
    <t>Total periodo 4º TRIMESTRE</t>
  </si>
  <si>
    <t>CUADRE ENTIDADES PÚBLICAS Y OTROS</t>
  </si>
  <si>
    <t>Saldo Contabilidad</t>
  </si>
  <si>
    <t>Saldo Real</t>
  </si>
  <si>
    <t>Ingresos</t>
  </si>
  <si>
    <t>Retenciones</t>
  </si>
  <si>
    <t>Cuadre</t>
  </si>
  <si>
    <t>INGRESOS FINANCIEROS SUJETOS</t>
  </si>
  <si>
    <t>INGRESOS FINANCIEROS EXENTOS</t>
  </si>
  <si>
    <t>ARRENDAMIENTOS SUJETOS</t>
  </si>
  <si>
    <t>ARRENDAMIENTOS EXENTOS</t>
  </si>
  <si>
    <t>Tipo Impositivo</t>
  </si>
  <si>
    <t>IVA Soportado</t>
  </si>
  <si>
    <t>Base decl.</t>
  </si>
  <si>
    <t>Base cont.</t>
  </si>
  <si>
    <t>OPERACIONES CORRIENTES</t>
  </si>
  <si>
    <t>BIENES DE INVERSIÓN</t>
  </si>
  <si>
    <t>OPERACIONES LEASING</t>
  </si>
  <si>
    <t>CLIENTES Y DEUDORES DUDOSO COBRO</t>
  </si>
  <si>
    <t>Nº Cliente</t>
  </si>
  <si>
    <t>Nombre</t>
  </si>
  <si>
    <t>Situación</t>
  </si>
  <si>
    <t>Antigüedad</t>
  </si>
  <si>
    <t>Dotación Ejercicio</t>
  </si>
  <si>
    <t>Pendiente dotar</t>
  </si>
  <si>
    <t>Comproabciones manuales:</t>
  </si>
  <si>
    <t>EXISTENCIAS</t>
  </si>
  <si>
    <t>Soporte documental del Inventario</t>
  </si>
  <si>
    <t>Provisión por depreciación existencias</t>
  </si>
  <si>
    <t>Criterio</t>
  </si>
  <si>
    <t>Contabilización</t>
  </si>
  <si>
    <t>AJUSTES EXTRACONTABLES DECLARACIÓN I.S.</t>
  </si>
  <si>
    <t>Diferencias Permanentes</t>
  </si>
  <si>
    <t>Cuota Impuesto de sociedades</t>
  </si>
  <si>
    <t>Total Existencias</t>
  </si>
  <si>
    <t>A-</t>
  </si>
  <si>
    <t>B-</t>
  </si>
  <si>
    <t>C-</t>
  </si>
  <si>
    <t>D-</t>
  </si>
  <si>
    <t>E-</t>
  </si>
  <si>
    <t>F-</t>
  </si>
  <si>
    <t>G-</t>
  </si>
  <si>
    <t>H-</t>
  </si>
  <si>
    <t>I-</t>
  </si>
  <si>
    <t>K-</t>
  </si>
  <si>
    <t>L-</t>
  </si>
  <si>
    <t>Total Diferencias Permanentes</t>
  </si>
  <si>
    <t>Diferencias Temporales</t>
  </si>
  <si>
    <t>Arrendamientos Financieros:</t>
  </si>
  <si>
    <t>Origen dato</t>
  </si>
  <si>
    <t>Gasto contable</t>
  </si>
  <si>
    <t>Gasto fiscal</t>
  </si>
  <si>
    <t>Base de datos</t>
  </si>
  <si>
    <t>Manual</t>
  </si>
  <si>
    <t>Total Diferencias Temporales</t>
  </si>
  <si>
    <t>Impto. diferido</t>
  </si>
  <si>
    <t>Ajustes Patrimonio Neto</t>
  </si>
  <si>
    <t>M-</t>
  </si>
  <si>
    <t>Total ajustes patrimonio neto</t>
  </si>
  <si>
    <t>Diferencias cuadre</t>
  </si>
  <si>
    <t>CALCULO DEL IMPUESTO SOBRE SOCIEDADES</t>
  </si>
  <si>
    <t>Resultado contable del ejercicio</t>
  </si>
  <si>
    <t>Importe a pagar</t>
  </si>
  <si>
    <t>Importe devengado</t>
  </si>
  <si>
    <t>Aumentos</t>
  </si>
  <si>
    <t>Disminuciones</t>
  </si>
  <si>
    <t>Impuesto sobre Sociedades</t>
  </si>
  <si>
    <t>Diferencias Permanentes:</t>
  </si>
  <si>
    <t>Diferencias Temporarias:</t>
  </si>
  <si>
    <t>Cuotas de leasing</t>
  </si>
  <si>
    <t>B.I. a pagar Total</t>
  </si>
  <si>
    <t>Patrimonio Neto Importe a pagar</t>
  </si>
  <si>
    <t>PyG importe a pagar</t>
  </si>
  <si>
    <t>PyG Importe devengado</t>
  </si>
  <si>
    <t>Compensación B.I. negativas</t>
  </si>
  <si>
    <t>Base Imponible</t>
  </si>
  <si>
    <t>Cuota Integra</t>
  </si>
  <si>
    <t>Cuota Íntegra a pagar Patrimonio Neto + PyG</t>
  </si>
  <si>
    <t xml:space="preserve">Por rentas obtenidas en Ceuta y Melilla </t>
  </si>
  <si>
    <t>Actividades exportadoras y de prestación de servicios</t>
  </si>
  <si>
    <t>Rendimientos por ventas bienes corporales producidos en Canarias</t>
  </si>
  <si>
    <t>Sociedades Cooperativas</t>
  </si>
  <si>
    <t>Entidades dedicadas al arrendamiento de viviendas</t>
  </si>
  <si>
    <t>Otras bonificaciones</t>
  </si>
  <si>
    <t>D.I. interna de períodos anteriores aplicada en el ejercicio</t>
  </si>
  <si>
    <t>D.I. Interna generada y aplicada en el ejercicio actual</t>
  </si>
  <si>
    <t>Deducciones socios SOCIMI</t>
  </si>
  <si>
    <t>D.I. Internacional de períodos anteriores aplicada en el ejercicio</t>
  </si>
  <si>
    <t>D.I. Internacional generada y aplicada en el ejercicio actual</t>
  </si>
  <si>
    <t>Transparencia fiscal internacional</t>
  </si>
  <si>
    <t xml:space="preserve">D.I. Interna intersocietaria al 5/10% </t>
  </si>
  <si>
    <t>Impuesto devengado a contabilizar</t>
  </si>
  <si>
    <t>Otras deducciones:</t>
  </si>
  <si>
    <t>Bonificaciones y deducciones por doble imposición:</t>
  </si>
  <si>
    <t>Apoyo fiscal a la inversión y otras deducciones</t>
  </si>
  <si>
    <t>Deducción art. 42 L.I.S. y art. 36 ter Ley 43/95</t>
  </si>
  <si>
    <t>Deducciones disposición transitoria octava L.I.S.</t>
  </si>
  <si>
    <t>Deducciones con límite del Capitulo IV Título VI L.I.S.</t>
  </si>
  <si>
    <t>Deducción donaciones a entidades sin fines de lucro</t>
  </si>
  <si>
    <t>Impuesto devengado Patrimonio Neto + PyG</t>
  </si>
  <si>
    <t>Retenciones y pagos a cuenta:</t>
  </si>
  <si>
    <t>Retenciones capital mobiliario</t>
  </si>
  <si>
    <t>Retenciones arrendamientos</t>
  </si>
  <si>
    <t>Pagos a cuenta</t>
  </si>
  <si>
    <t>1P</t>
  </si>
  <si>
    <t>2P</t>
  </si>
  <si>
    <t>3P</t>
  </si>
  <si>
    <t>A INGRESAR O DEVOLVER</t>
  </si>
  <si>
    <t>EVOLUCIÓN PATRIMONIO NETO</t>
  </si>
  <si>
    <t>Sdo. Debe</t>
  </si>
  <si>
    <t>Sdo. Haber</t>
  </si>
  <si>
    <t>Movimientos ejercicio</t>
  </si>
  <si>
    <t>Saldo final ejercicio</t>
  </si>
  <si>
    <t>Saldo Apertura ejercicio</t>
  </si>
  <si>
    <t>TOTAL FONDOS PROPIOS</t>
  </si>
  <si>
    <t>Movimientos Patrimonio Neto en el Ejercicio</t>
  </si>
  <si>
    <t>Concepto Asiento</t>
  </si>
  <si>
    <t>Fecha Asiento</t>
  </si>
  <si>
    <t xml:space="preserve">Haber </t>
  </si>
  <si>
    <t>Ajuste Fiscal</t>
  </si>
  <si>
    <t>Imp. Dif. /Ant.</t>
  </si>
  <si>
    <t>RESULTADO DEL EJERCICIO ACTUAL</t>
  </si>
  <si>
    <t>Distribución Resultado ejercicio anterior</t>
  </si>
  <si>
    <t>Reservas 1ª aplicación</t>
  </si>
  <si>
    <t>113/1</t>
  </si>
  <si>
    <t>Reservas voluntarias</t>
  </si>
  <si>
    <t>Reducción de capital</t>
  </si>
  <si>
    <t>Acciones propias</t>
  </si>
  <si>
    <t>Reservas (asiento reducción capital)</t>
  </si>
  <si>
    <t>Dividendos</t>
  </si>
  <si>
    <t>TOTAL MOVIMIENTOS</t>
  </si>
  <si>
    <t>DIFERENCIA CUADRE</t>
  </si>
  <si>
    <t>Inicial</t>
  </si>
  <si>
    <t>NPGC</t>
  </si>
  <si>
    <t>Apuntes ejercicio</t>
  </si>
  <si>
    <t>Final</t>
  </si>
  <si>
    <t>PUNTOS PENDIENTES</t>
  </si>
  <si>
    <t>UNIDADES</t>
  </si>
  <si>
    <t>Análisis de balances y resultados</t>
  </si>
  <si>
    <t>MILES</t>
  </si>
  <si>
    <t>MILLONES</t>
  </si>
  <si>
    <t>DATOS EN</t>
  </si>
  <si>
    <t>PERIODOS</t>
  </si>
  <si>
    <t>ACTIVO NO CORRIENTE</t>
  </si>
  <si>
    <t>Inmovilizado material</t>
  </si>
  <si>
    <t>Inversiones financieras largo plazo</t>
  </si>
  <si>
    <t>Inmovilizado intangible</t>
  </si>
  <si>
    <t>Inversiones Inmobiliarias</t>
  </si>
  <si>
    <t>Activos por impuesto diferido</t>
  </si>
  <si>
    <t>Existencias</t>
  </si>
  <si>
    <t>REALIZABLE</t>
  </si>
  <si>
    <t>Clientes</t>
  </si>
  <si>
    <t>DISPONIBLE</t>
  </si>
  <si>
    <t>Caja</t>
  </si>
  <si>
    <t>Bancos</t>
  </si>
  <si>
    <t>Equivalentes de tesorería</t>
  </si>
  <si>
    <t xml:space="preserve">TOTAL ACTIVO </t>
  </si>
  <si>
    <t>PATRIMONIO NETO</t>
  </si>
  <si>
    <t>Capital</t>
  </si>
  <si>
    <t>Reservas</t>
  </si>
  <si>
    <t>Pérdidas y ganancias</t>
  </si>
  <si>
    <t xml:space="preserve">Otros recursos </t>
  </si>
  <si>
    <t>PASIVO NO CORRIENTE</t>
  </si>
  <si>
    <t>Otras dudas a largo plazo</t>
  </si>
  <si>
    <t>PASIVO CORRIENTE</t>
  </si>
  <si>
    <t>Entidades de crédito</t>
  </si>
  <si>
    <t>Otras deudas a corto</t>
  </si>
  <si>
    <t>CUENTA DE RESULTADOS</t>
  </si>
  <si>
    <t>INGRESOS ( I )</t>
  </si>
  <si>
    <t>Ventas</t>
  </si>
  <si>
    <t>Otros ingresos</t>
  </si>
  <si>
    <t>CONSUMOS ( C )</t>
  </si>
  <si>
    <t>Aprovisionamientos</t>
  </si>
  <si>
    <t>Variación de existencias</t>
  </si>
  <si>
    <t>MARGEN BRUTO ( M = I - C )</t>
  </si>
  <si>
    <t>GASTOS ( G )</t>
  </si>
  <si>
    <t>Gastos de personal</t>
  </si>
  <si>
    <t>Servicios exteriores</t>
  </si>
  <si>
    <t>Otros gastos de gestión</t>
  </si>
  <si>
    <t>Tributos</t>
  </si>
  <si>
    <t>Dotación para amortizaciones</t>
  </si>
  <si>
    <t>BENEFICIO BAII ( I - C - G )</t>
  </si>
  <si>
    <t>Gastos financieros ( F )</t>
  </si>
  <si>
    <t>BENEFICIO BAI ( BAII - F )</t>
  </si>
  <si>
    <t>Impuesto sobre beneficios</t>
  </si>
  <si>
    <t>BENEFICIO NETO EXPLOTACION</t>
  </si>
  <si>
    <t>Resultados extraordinarios</t>
  </si>
  <si>
    <t xml:space="preserve">BENEFICIO NETO </t>
  </si>
  <si>
    <t xml:space="preserve"> - Amortiz. acumulada inmovilizado</t>
  </si>
  <si>
    <t>RATIOS</t>
  </si>
  <si>
    <t>FÓRMULA</t>
  </si>
  <si>
    <t>EXPLICACIÓN</t>
  </si>
  <si>
    <t>LIMITES</t>
  </si>
  <si>
    <t>ALERTAS</t>
  </si>
  <si>
    <t>TESORERÍA</t>
  </si>
  <si>
    <t>DISPON. + REALIZABLE</t>
  </si>
  <si>
    <t>Capacidad para atender las obligaciones de pago a corto sin realizar existencias</t>
  </si>
  <si>
    <t>&gt;0,50</t>
  </si>
  <si>
    <t>LIQUIDEZ</t>
  </si>
  <si>
    <t>ACTIVO CIRCULANTE</t>
  </si>
  <si>
    <t>Capacidad para hacer frente a las obligaciones a corto basándose en la realización del activo circulante</t>
  </si>
  <si>
    <t>&gt;1,50</t>
  </si>
  <si>
    <t>PASIVO CIRCULANTE</t>
  </si>
  <si>
    <t xml:space="preserve">AUTONOMÍA </t>
  </si>
  <si>
    <t>Autonomía financiera que indica nivel de autofinanciación</t>
  </si>
  <si>
    <t>&gt;0,40</t>
  </si>
  <si>
    <t>ACTIVOS TOTALES</t>
  </si>
  <si>
    <t>ENDEUDAMIENTO</t>
  </si>
  <si>
    <t xml:space="preserve">    DEUDAS     </t>
  </si>
  <si>
    <t>Si es reducido hay autonomía financiera, si es elevado indica estructura arriesgada</t>
  </si>
  <si>
    <t>&lt;0,6</t>
  </si>
  <si>
    <t>ESTABILIDAD</t>
  </si>
  <si>
    <t xml:space="preserve"> ACTIVO NO CORRIENTE </t>
  </si>
  <si>
    <t>Estructura de financiación del inmovilizado</t>
  </si>
  <si>
    <t>&lt;1</t>
  </si>
  <si>
    <t>RECURS. A LARGO</t>
  </si>
  <si>
    <t>FONDO DE MANIOBRA</t>
  </si>
  <si>
    <t>RECURS. A LARGO MENOS ACTIVO NO CORRIENTE</t>
  </si>
  <si>
    <t>Capital de trabajo. Parte de activo circulante financiado con recursos a largo plazo.</t>
  </si>
  <si>
    <t>&gt;0</t>
  </si>
  <si>
    <t>FINANCIERA</t>
  </si>
  <si>
    <t>(Bº + G. FINANC.)x100</t>
  </si>
  <si>
    <t>Rentabilidad financiera de todos los recursos empleados en la empresa</t>
  </si>
  <si>
    <t>RECURS. TOTALES</t>
  </si>
  <si>
    <t>RECURSOS PROPIOS (ROE)</t>
  </si>
  <si>
    <t>BENEFICIO NETO x 100</t>
  </si>
  <si>
    <t>Rentabilidad de los recursos propios</t>
  </si>
  <si>
    <t>GLOBAL</t>
  </si>
  <si>
    <t>Rentabilidad económica de todos los recursos empleados</t>
  </si>
  <si>
    <t>RECURSOS TOTALES</t>
  </si>
  <si>
    <t>DEL CAPITAL</t>
  </si>
  <si>
    <t xml:space="preserve">    BENEFICIO NETO x 100</t>
  </si>
  <si>
    <t>Rentabilidad del capital social</t>
  </si>
  <si>
    <t>RENT. VENTAS</t>
  </si>
  <si>
    <t>Rentabilidad de la ventas</t>
  </si>
  <si>
    <t>VENTAS</t>
  </si>
  <si>
    <t>MARGEN SOBRE VENTAS</t>
  </si>
  <si>
    <t>MARGEN x100</t>
  </si>
  <si>
    <t>Porcentaje de margen sobre ventas</t>
  </si>
  <si>
    <t>EXISTENCIAS EN DÍAS DE COMPRA</t>
  </si>
  <si>
    <t>365 x EXISTENCIAS</t>
  </si>
  <si>
    <t>Número de días que tardan en vaciarse el saldo en inventarios</t>
  </si>
  <si>
    <t>CONSUMOS</t>
  </si>
  <si>
    <t>DÍAS DE PAGO A PROVEEDORES</t>
  </si>
  <si>
    <t>365 x PROVEEDORES</t>
  </si>
  <si>
    <t>Número de días concedidos por proveedores</t>
  </si>
  <si>
    <t>APROVISIONAMIENTOS</t>
  </si>
  <si>
    <t>DÍAS DE COBRO A CLIENTES</t>
  </si>
  <si>
    <t>365 x CLIENTES</t>
  </si>
  <si>
    <t>Plazo medio concedido a clientes</t>
  </si>
  <si>
    <t>ROTACIÓN DE TESORERÍA</t>
  </si>
  <si>
    <t>365 x DISPONIBLE</t>
  </si>
  <si>
    <t>Días de compra cubiertos con el saldo disponible</t>
  </si>
  <si>
    <t>PRODUCTIVIDAD</t>
  </si>
  <si>
    <t xml:space="preserve"> RESULTADO GESTIÓN</t>
  </si>
  <si>
    <t>Relación entre el resultado de la gestión y los gastos de personal</t>
  </si>
  <si>
    <t>GASTOS PERSONAL</t>
  </si>
  <si>
    <t>FÓRMULAS</t>
  </si>
  <si>
    <t>ECONÓMICA</t>
  </si>
  <si>
    <t>ROTACIÓN</t>
  </si>
  <si>
    <t>X</t>
  </si>
  <si>
    <t>MARGEN</t>
  </si>
  <si>
    <t xml:space="preserve">   BAII   </t>
  </si>
  <si>
    <t>APALANCAMIENTO</t>
  </si>
  <si>
    <t xml:space="preserve">   ACTIVO   </t>
  </si>
  <si>
    <t xml:space="preserve"> BAI </t>
  </si>
  <si>
    <t>C.PROPIOS</t>
  </si>
  <si>
    <t>BAII</t>
  </si>
  <si>
    <t>EFECTO FISCAL</t>
  </si>
  <si>
    <t>Bº NETO</t>
  </si>
  <si>
    <t>BAI</t>
  </si>
  <si>
    <t xml:space="preserve"> =</t>
  </si>
  <si>
    <t>RENTABILIDAD (ROE)</t>
  </si>
  <si>
    <t xml:space="preserve">   Bº NETO   </t>
  </si>
  <si>
    <t>C. PROPIOS</t>
  </si>
  <si>
    <t xml:space="preserve"> = </t>
  </si>
  <si>
    <t>RENTABILIDAD EN %</t>
  </si>
  <si>
    <t>Bº NETO X100</t>
  </si>
  <si>
    <t>Descomposición de la rentabilidad</t>
  </si>
  <si>
    <t>Instrucciones uso hoja de trabajo</t>
  </si>
  <si>
    <t>Fecha de cierre</t>
  </si>
  <si>
    <t>Instrucciones uso hoja excel</t>
  </si>
  <si>
    <t>Carga de datos del cliente (sumas y saldos)</t>
  </si>
  <si>
    <t>Nos posicionamos en la celda "A5", y pegamos el balance de sumas y saldos facilitado por el cliente a máximo detalle (mínimo 4 digitos). Pegamos solamente valores ("pegado especial valores", para no afectar a los formatos.</t>
  </si>
  <si>
    <t>Los importe de los saldos DEBE y HABER tienen que venir en positivo (en ocasiones los valores con saldo acreedor vienen con saldo negativo habría que convertirlo.</t>
  </si>
  <si>
    <t>Por último, es importante solamente pegar los valores del máximo detalle sin traer totales o subtotales pues duplicariamos datos.</t>
  </si>
  <si>
    <t>Una vez ejecutado la macro ejercicio anterior ejecutamos la macro "BORRAR DATOS" para borrar todo los datos intrucidos a mano del último cierre realizado.</t>
  </si>
  <si>
    <t>Estados Financieros (EEFF):</t>
  </si>
  <si>
    <t>Sumas y saldos (3_4 dígitos con ajustes)</t>
  </si>
  <si>
    <r>
      <t xml:space="preserve">Antes de pegar datos tenemos que ejecutar la </t>
    </r>
    <r>
      <rPr>
        <b/>
        <sz val="12"/>
        <color theme="3" tint="-0.249977111117893"/>
        <rFont val="Calibri"/>
        <family val="2"/>
      </rPr>
      <t>macro ejercicio anterior</t>
    </r>
    <r>
      <rPr>
        <sz val="11"/>
        <color theme="3" tint="-0.249977111117893"/>
        <rFont val="Calibri"/>
        <family val="2"/>
      </rPr>
      <t xml:space="preserve"> </t>
    </r>
    <r>
      <rPr>
        <sz val="11"/>
        <color theme="1"/>
        <rFont val="Calibri"/>
        <family val="2"/>
      </rPr>
      <t>(ubicada en el menu principal) para pasar todos los datos del último cierre a los comparativos pertinentes (balance, pérdidas y ganancias,…)</t>
    </r>
  </si>
  <si>
    <t>Una vez ejecutada la macro ejercicio anterior (punto anterior) el balance final del ejercicio anterior será nuestro balance inicial, y esto se realizará de forma automática.</t>
  </si>
  <si>
    <t>En esta hoja no debemos manipular nada, todos los datos vienen de distintas hojas de forma automatica, es simplemente para obtener información y no para manipular.</t>
  </si>
  <si>
    <t>A3SOC (hoja de carga)</t>
  </si>
  <si>
    <t>Hoja de carga programa de A3 (se actualiza forma automática)</t>
  </si>
  <si>
    <t>Asientos</t>
  </si>
  <si>
    <t>En esta hoja realizaremos todos los ajustes que se consideren necesarios a los números que nos traen los clientes.</t>
  </si>
  <si>
    <t>Como introducir los asientos:</t>
  </si>
  <si>
    <t>La hoja trae una serie de cuadros (cada cuadro es un asiento) y su formato es el de un asiento contable, parte izquierda asiento DEBE y derecha HABER.</t>
  </si>
  <si>
    <t>Asiento:</t>
  </si>
  <si>
    <t>DEBE:</t>
  </si>
  <si>
    <t>"Importe Debe": indicaremos el importe, columna B</t>
  </si>
  <si>
    <t>"Cta. Contable": indicaremos la cuenta, podemos seleccionar la cuenta del desplegable que tiene la celda o indicarlo manualmete (si da error es porque la cuenta indicada no se encuentra en el desplegable), columna C</t>
  </si>
  <si>
    <t>"Denominación": una vez introducido la cuenta contable en la columna anterior, automaticamente nos traerá su denominación (no hay que indicar nada), columna D</t>
  </si>
  <si>
    <t>"Comentarios": libre disposición</t>
  </si>
  <si>
    <t>HABER: mismo formato que DEBE pero al reves, formato asiento (efecto espejo)</t>
  </si>
  <si>
    <t>Si no cuadrase el asiento se nos iluminaría una celda en rojo (en el medio del asiento, entre los totales) y en la celda C7, hasta que no encontremos la diferencia el balance no cuadraría.</t>
  </si>
  <si>
    <t>Si necesitaramos incluir más asientos (más cuadros), en la parte superior derecha (celda G4) nos posicionamos y nos indicara una ventana que debemos hacer para insertar asiento.</t>
  </si>
  <si>
    <t>Una vez finalizado la introducción de asientos debemos ejecutar la macro situado arriba a la derecha "Ordenar listado de cuentas".</t>
  </si>
  <si>
    <t>Balance</t>
  </si>
  <si>
    <t>Balance Abreviado</t>
  </si>
  <si>
    <t>Pérdidas y Ganancias</t>
  </si>
  <si>
    <t/>
  </si>
  <si>
    <t>Inmovilizado:</t>
  </si>
  <si>
    <t>Lo primero que hay que rellenar dentro del apartado de Inmovilizado es el cuadro de inversiones.</t>
  </si>
  <si>
    <t>Rellenaremos de manera libre, los apartados "Descripción", "Fecha", "Nº factura" e indicaremos según corresponda el importe en la columna de "nuevos" o "usados", por último en el apartado "Cta. Inmovilizado" tenemos un desplegable de las cuentas de inmovilizado a utilizar. De manera automatica nos indicará el nombre de la cuenta indicada.</t>
  </si>
  <si>
    <t>Todos los datos son automáticos (datos origen de "Inversiones") excepto si se trata de traspasos, traspasos (-) o bajas, en ese caso hay que informar en sus respectivas columnas.</t>
  </si>
  <si>
    <t>Cuando haya alguna/s celdas sombreadas en rojo es porque existe una diferencia entre los movimientos de inmovilizado y la diferencia entre balance inicial y final.</t>
  </si>
  <si>
    <t>Leasing:</t>
  </si>
  <si>
    <t>Base de datos leasing (acces)</t>
  </si>
  <si>
    <t>Pulsar la macro "Actualizar" para traer los datos actualizados de la base de datos, posteriormente seleccionar la empresa que se está anallizando (columna "B").</t>
  </si>
  <si>
    <t>IRPF:</t>
  </si>
  <si>
    <t>Mensual</t>
  </si>
  <si>
    <t>Trimestral</t>
  </si>
  <si>
    <t>Arrendamientos:</t>
  </si>
  <si>
    <t>Ajuste declaración Retenciones IRPF (IRC)</t>
  </si>
  <si>
    <t>IVA:</t>
  </si>
  <si>
    <t>Conciliación declaración IVA (mensual)</t>
  </si>
  <si>
    <t>Conciliación declaración IVA (trimestral)</t>
  </si>
  <si>
    <t>Cuadre registros IVA con declaraciones</t>
  </si>
  <si>
    <t>Ajuste declaración IVA con contabilidad</t>
  </si>
  <si>
    <t>Entidades Públicas:</t>
  </si>
  <si>
    <t>Clientes morosos:</t>
  </si>
  <si>
    <t>Existencias:</t>
  </si>
  <si>
    <t>I.S.:</t>
  </si>
  <si>
    <t>Ajustes extracontables declaración I.S.</t>
  </si>
  <si>
    <t>Cálculo del Impuesto sobre Sociedades</t>
  </si>
  <si>
    <t>Patrimonio Neto:</t>
  </si>
  <si>
    <t>Evolución Patrimonio Neto</t>
  </si>
  <si>
    <t>Pendientes:</t>
  </si>
  <si>
    <t>Temas pendientes en el cierre</t>
  </si>
  <si>
    <t>Analisis Estados Financieros:</t>
  </si>
  <si>
    <t>Distribución en %</t>
  </si>
  <si>
    <t>Análisis Financiero</t>
  </si>
  <si>
    <t>Analisis Rentabilidad</t>
  </si>
  <si>
    <t>Análisis de Gestión</t>
  </si>
  <si>
    <t>Descomposicion de la Rentabilidad</t>
  </si>
  <si>
    <t>Bonificaciones y Deducciones</t>
  </si>
  <si>
    <t>DEDUCCIONES Y BONIFICACIONES:</t>
  </si>
  <si>
    <t>Deducciones por doble imposición</t>
  </si>
  <si>
    <t>ejercicios</t>
  </si>
  <si>
    <t>deducción</t>
  </si>
  <si>
    <t>Tipo</t>
  </si>
  <si>
    <t>Aplicación</t>
  </si>
  <si>
    <t>anteriores</t>
  </si>
  <si>
    <t>ejercicio</t>
  </si>
  <si>
    <t>IS</t>
  </si>
  <si>
    <t>deduc.</t>
  </si>
  <si>
    <t>Deducción</t>
  </si>
  <si>
    <t>Ejercicio</t>
  </si>
  <si>
    <t>Otros supestos:</t>
  </si>
  <si>
    <t>Total deducciones por doble imposición</t>
  </si>
  <si>
    <t>Bonificaciones sobre la cuota</t>
  </si>
  <si>
    <t xml:space="preserve">Base </t>
  </si>
  <si>
    <t>bonificación</t>
  </si>
  <si>
    <t>bonif.</t>
  </si>
  <si>
    <t>Bonificación</t>
  </si>
  <si>
    <t>Bonificación por prestación de servicios públicos</t>
  </si>
  <si>
    <t>Otros supuestos:</t>
  </si>
  <si>
    <t>Total bonificaciones</t>
  </si>
  <si>
    <t>Deducciones por inversiones</t>
  </si>
  <si>
    <t>Deducciones con límite sobre la cuota</t>
  </si>
  <si>
    <t>del 25% o 50%</t>
  </si>
  <si>
    <t>Gastos investigación y desarrollo. (art.35.1 LIS)</t>
  </si>
  <si>
    <t xml:space="preserve">     - Gastos en I+D </t>
  </si>
  <si>
    <t xml:space="preserve">                 Gastos ejercicio anterior</t>
  </si>
  <si>
    <t xml:space="preserve">                 Gastos ejercicio anterior al anterior</t>
  </si>
  <si>
    <t xml:space="preserve">                           Valor medio ejercicios anteriores</t>
  </si>
  <si>
    <t xml:space="preserve">                 Gastos ejercicio actual</t>
  </si>
  <si>
    <t xml:space="preserve">                 Subvenciones</t>
  </si>
  <si>
    <t xml:space="preserve">                 Gastos deducibles ejercicio actual</t>
  </si>
  <si>
    <t xml:space="preserve">     - Gastos investig.cualific./instituc.</t>
  </si>
  <si>
    <t xml:space="preserve">     - Invers.inmov.mat. e inmat.afectos I+D</t>
  </si>
  <si>
    <t>Gastos en Innovación Tecnológica (art.35.2 LIS)</t>
  </si>
  <si>
    <t xml:space="preserve"> (Formación de personal para uso de nuevas tecnologías)</t>
  </si>
  <si>
    <t>Creación de empleo</t>
  </si>
  <si>
    <t>Otras deducciones por inversiones:</t>
  </si>
  <si>
    <t>Deducción sin límite sobre la cuota</t>
  </si>
  <si>
    <t xml:space="preserve">    (L49/2002 art.20)</t>
  </si>
  <si>
    <t>Total deducciones por inversiones</t>
  </si>
  <si>
    <t>TOTAL DEDUCCIONES Y BONIFICACIONES</t>
  </si>
  <si>
    <t>DISTRIBUIDORA DE ALIMENTOS SAGUNTO S L</t>
  </si>
  <si>
    <t>FUTURGAS DEL MEDITERRANEO S L</t>
  </si>
  <si>
    <t>PILSENER DEL MEDITERRANEO S L</t>
  </si>
  <si>
    <t>BANSALEASING</t>
  </si>
  <si>
    <t>NAVE AD11-14</t>
  </si>
  <si>
    <t>TERRENOS NAVE</t>
  </si>
  <si>
    <t>LOCAL COMERCIAL (CONSTRUCCION)</t>
  </si>
  <si>
    <t>703200855</t>
  </si>
  <si>
    <t>NO UTILIZAR</t>
  </si>
  <si>
    <t>Entidades Públicas</t>
  </si>
  <si>
    <t>Clientes y deudores de dudoso cobro</t>
  </si>
  <si>
    <t>Informe</t>
  </si>
  <si>
    <t>Portada</t>
  </si>
  <si>
    <t>Proveedor</t>
  </si>
  <si>
    <t xml:space="preserve">Totales </t>
  </si>
  <si>
    <t>Subcuenta contable</t>
  </si>
  <si>
    <t>Chequeo %</t>
  </si>
  <si>
    <t xml:space="preserve"> Bajas (-)</t>
  </si>
  <si>
    <t>INCIDENCIAS</t>
  </si>
  <si>
    <t>Intangible</t>
  </si>
  <si>
    <t>Material</t>
  </si>
  <si>
    <t>Inmobiliaria</t>
  </si>
  <si>
    <t>Impuestos Diferidos</t>
  </si>
  <si>
    <t>Capital Mobiliario:</t>
  </si>
  <si>
    <t>Ajuste IVA:</t>
  </si>
  <si>
    <t>Entidades públicas:</t>
  </si>
  <si>
    <t>Impuesto de Sociedades:</t>
  </si>
  <si>
    <t>Ajuis</t>
  </si>
  <si>
    <t>Capital Social</t>
  </si>
  <si>
    <t>Subvenciones</t>
  </si>
  <si>
    <t>Impuesto Anticipado</t>
  </si>
  <si>
    <t>Inmovilizado Financiero L/P</t>
  </si>
  <si>
    <t>Inmovlizado Financiero C/P</t>
  </si>
  <si>
    <t>Provisión Existencias</t>
  </si>
  <si>
    <t>Prov. Insol. / C. Dudoso Cobro</t>
  </si>
  <si>
    <t>C/C con Socios</t>
  </si>
  <si>
    <t>Partidas Pendientes de aplicación</t>
  </si>
  <si>
    <t>INMOVILIZADO MATERIAL EN CURSO</t>
  </si>
  <si>
    <t>ANTICIPOS INMOV. MAT.</t>
  </si>
  <si>
    <t>IP</t>
  </si>
  <si>
    <t>Campo3</t>
  </si>
  <si>
    <t>Campo1</t>
  </si>
  <si>
    <t>Campo2</t>
  </si>
  <si>
    <t>Campo4</t>
  </si>
  <si>
    <t>Campo5</t>
  </si>
  <si>
    <t>Campo6</t>
  </si>
  <si>
    <t>Campo7</t>
  </si>
  <si>
    <t>Campo8</t>
  </si>
  <si>
    <t>Campo9</t>
  </si>
  <si>
    <t>Campo10</t>
  </si>
  <si>
    <t>Campo11</t>
  </si>
  <si>
    <t>Campo12</t>
  </si>
  <si>
    <t>Campo13</t>
  </si>
  <si>
    <t>Campo14</t>
  </si>
  <si>
    <t>12. Diferencia negativa de combinaciones de negocio</t>
  </si>
  <si>
    <t>13. Otros resultados</t>
  </si>
  <si>
    <t>14. Ingresos financieros</t>
  </si>
  <si>
    <t>15. Gastos financieros</t>
  </si>
  <si>
    <t>16. Variación de valor razonable en instrumentos financieros</t>
  </si>
  <si>
    <t>17. Diferencias de cambio</t>
  </si>
  <si>
    <t>18. Deterioro y resultado por enajenaciones de instrumentos financieros</t>
  </si>
  <si>
    <t>19. Otros ingresos y gastos de carácter financiero</t>
  </si>
  <si>
    <t>20. Impuestos sobre beneficios</t>
  </si>
  <si>
    <t>21. Resultado del ejercicio procedente de operaciones interrumpidas neto de impuestos</t>
  </si>
  <si>
    <t>Rdo. financiero ( F )</t>
  </si>
  <si>
    <t xml:space="preserve"> </t>
  </si>
  <si>
    <t>CRITERIO DE CAJA</t>
  </si>
  <si>
    <t>ADQUISICIONES</t>
  </si>
  <si>
    <t>ENTREGAS</t>
  </si>
  <si>
    <t xml:space="preserve">     - Trabajadores con discapacidad (art.38 LIS)=&gt;33%</t>
  </si>
  <si>
    <t xml:space="preserve">     - Trabajadores con discapacidad (art.38 LIS)=&gt;65%</t>
  </si>
  <si>
    <t xml:space="preserve">     - Apoyo a emprendedores (art.37 LIS)</t>
  </si>
  <si>
    <t>Art.31 Ded.doble impos. Intern. jurídica</t>
  </si>
  <si>
    <t>locales (art.34)</t>
  </si>
  <si>
    <t>Art.32 Ded.doble impos. Intern. económica</t>
  </si>
  <si>
    <t>D. inv. Bfos. en Activos fijos nuevos IM e I.inm. ERD 10% o 5% (LIS disp.trans.24ª 5; LIS/04 art.37)</t>
  </si>
  <si>
    <t>Reinv. de bfos. Extraord. (LIS disp.trans.24ª 7; LIS/04 art.42)</t>
  </si>
  <si>
    <t>EXENCIÓN POR DOBLE IMPOSICIÓN</t>
  </si>
  <si>
    <t>ASIENTOS AJUSTES:</t>
  </si>
  <si>
    <r>
      <rPr>
        <b/>
        <sz val="8"/>
        <color rgb="FFFF0000"/>
        <rFont val="MaiNFONT"/>
      </rPr>
      <t>1600-1601-1602</t>
    </r>
    <r>
      <rPr>
        <sz val="8"/>
        <rFont val="MaiNFONT"/>
      </rPr>
      <t>-1603-1604-1613-1614-1623-1624-1633-1634</t>
    </r>
  </si>
  <si>
    <r>
      <t>(1034)-(1044)-(190)-(192)-194-509-5115-5135-5145-521-522-523-525-526-528-</t>
    </r>
    <r>
      <rPr>
        <b/>
        <sz val="8"/>
        <color rgb="FFFF0000"/>
        <rFont val="MaiNFONT"/>
      </rPr>
      <t>551</t>
    </r>
    <r>
      <rPr>
        <sz val="8"/>
        <rFont val="MaiNFONT"/>
      </rPr>
      <t>-5525-5530-5532-555-5565-5566-560-561-569</t>
    </r>
  </si>
  <si>
    <r>
      <rPr>
        <sz val="8"/>
        <color rgb="FFFF0000"/>
        <rFont val="MaiNFONT"/>
      </rPr>
      <t>5100-5101-5102-</t>
    </r>
    <r>
      <rPr>
        <sz val="8"/>
        <rFont val="MaiNFONT"/>
      </rPr>
      <t>5103-5104-</t>
    </r>
    <r>
      <rPr>
        <b/>
        <sz val="8"/>
        <color rgb="FFFF0000"/>
        <rFont val="MaiNFONT"/>
      </rPr>
      <t>5108-5109</t>
    </r>
    <r>
      <rPr>
        <sz val="8"/>
        <rFont val="MaiNFONT"/>
      </rPr>
      <t>-5113-5114-5123-5124-5133-5134-5143-5144-</t>
    </r>
    <r>
      <rPr>
        <sz val="8"/>
        <color rgb="FFFF0000"/>
        <rFont val="MaiNFONT"/>
      </rPr>
      <t>515-516</t>
    </r>
    <r>
      <rPr>
        <sz val="8"/>
        <rFont val="MaiNFONT"/>
      </rPr>
      <t>-5523-5524-554</t>
    </r>
  </si>
  <si>
    <r>
      <t>4700-4708-471-472-</t>
    </r>
    <r>
      <rPr>
        <b/>
        <sz val="9"/>
        <color rgb="FFFF0000"/>
        <rFont val="MaiNFONT"/>
      </rPr>
      <t>473</t>
    </r>
  </si>
  <si>
    <r>
      <t>a</t>
    </r>
    <r>
      <rPr>
        <vertAlign val="subscript"/>
        <sz val="9"/>
        <color theme="1"/>
        <rFont val="MaiNFONT"/>
      </rPr>
      <t>1</t>
    </r>
    <r>
      <rPr>
        <sz val="9"/>
        <color theme="1"/>
        <rFont val="MaiNFONT"/>
      </rPr>
      <t>) En empresas del grupo y asociadas</t>
    </r>
  </si>
  <si>
    <r>
      <t>a</t>
    </r>
    <r>
      <rPr>
        <vertAlign val="subscript"/>
        <sz val="9"/>
        <color theme="1"/>
        <rFont val="MaiNFONT"/>
      </rPr>
      <t>2</t>
    </r>
    <r>
      <rPr>
        <sz val="9"/>
        <color theme="1"/>
        <rFont val="MaiNFONT"/>
      </rPr>
      <t>) En terceros</t>
    </r>
  </si>
  <si>
    <r>
      <t>a</t>
    </r>
    <r>
      <rPr>
        <vertAlign val="subscript"/>
        <sz val="9"/>
        <color theme="1"/>
        <rFont val="MaiNFONT"/>
      </rPr>
      <t>1</t>
    </r>
    <r>
      <rPr>
        <sz val="9"/>
        <color theme="1"/>
        <rFont val="MaiNFONT"/>
      </rPr>
      <t>) De empresas del grupo y asociadas</t>
    </r>
  </si>
  <si>
    <r>
      <t>a</t>
    </r>
    <r>
      <rPr>
        <vertAlign val="subscript"/>
        <sz val="9"/>
        <color theme="1"/>
        <rFont val="MaiNFONT"/>
      </rPr>
      <t>2</t>
    </r>
    <r>
      <rPr>
        <sz val="9"/>
        <color theme="1"/>
        <rFont val="MaiNFONT"/>
      </rPr>
      <t>) De terceros</t>
    </r>
  </si>
  <si>
    <r>
      <t xml:space="preserve">(651), (659), </t>
    </r>
    <r>
      <rPr>
        <b/>
        <sz val="8"/>
        <color rgb="FFFF0000"/>
        <rFont val="MaiNFONT"/>
      </rPr>
      <t>(678), 778</t>
    </r>
  </si>
  <si>
    <r>
      <t>a</t>
    </r>
    <r>
      <rPr>
        <vertAlign val="subscript"/>
        <sz val="10"/>
        <color theme="1"/>
        <rFont val="MaiNFONT"/>
      </rPr>
      <t>1</t>
    </r>
    <r>
      <rPr>
        <sz val="10"/>
        <color theme="1"/>
        <rFont val="MaiNFONT"/>
      </rPr>
      <t>) En empresas del grupo y asociadas</t>
    </r>
  </si>
  <si>
    <r>
      <t>a</t>
    </r>
    <r>
      <rPr>
        <vertAlign val="subscript"/>
        <sz val="10"/>
        <color theme="1"/>
        <rFont val="MaiNFONT"/>
      </rPr>
      <t>2</t>
    </r>
    <r>
      <rPr>
        <sz val="10"/>
        <color theme="1"/>
        <rFont val="MaiNFONT"/>
      </rPr>
      <t>) En terceros</t>
    </r>
  </si>
  <si>
    <r>
      <t>a</t>
    </r>
    <r>
      <rPr>
        <vertAlign val="subscript"/>
        <sz val="10"/>
        <color theme="1"/>
        <rFont val="MaiNFONT"/>
      </rPr>
      <t>1</t>
    </r>
    <r>
      <rPr>
        <sz val="10"/>
        <color theme="1"/>
        <rFont val="MaiNFONT"/>
      </rPr>
      <t>) De empresas del grupo y asociadas</t>
    </r>
  </si>
  <si>
    <r>
      <t>a</t>
    </r>
    <r>
      <rPr>
        <vertAlign val="subscript"/>
        <sz val="10"/>
        <color theme="1"/>
        <rFont val="MaiNFONT"/>
      </rPr>
      <t>2</t>
    </r>
    <r>
      <rPr>
        <sz val="10"/>
        <color theme="1"/>
        <rFont val="MaiNFONT"/>
      </rPr>
      <t>) De terceros</t>
    </r>
  </si>
  <si>
    <r>
      <t xml:space="preserve">Intersoc. 50% (art.30.1 y 3 LIS/04) </t>
    </r>
    <r>
      <rPr>
        <b/>
        <u/>
        <sz val="10"/>
        <color theme="3" tint="-0.249977111117893"/>
        <rFont val="MaiNFONT"/>
      </rPr>
      <t>(2015 SÓLO REMANENTES)</t>
    </r>
  </si>
  <si>
    <r>
      <t xml:space="preserve">Intersoc. al 100% (art.30.2 y 3 LIS/04) </t>
    </r>
    <r>
      <rPr>
        <b/>
        <u/>
        <sz val="10"/>
        <color theme="3" tint="-0.249977111117893"/>
        <rFont val="MaiNFONT"/>
      </rPr>
      <t>(2015 SÓLO REMANENTES)</t>
    </r>
  </si>
  <si>
    <r>
      <t xml:space="preserve">Plusvalía fuente interna (art.30.5 LIS/04) </t>
    </r>
    <r>
      <rPr>
        <b/>
        <u/>
        <sz val="10"/>
        <color theme="3" tint="-0.249977111117893"/>
        <rFont val="MaiNFONT"/>
      </rPr>
      <t>(SÓLO REMANENTES)</t>
    </r>
  </si>
  <si>
    <r>
      <t>Actividades exportadoras (art.34.1 LIS/04)</t>
    </r>
    <r>
      <rPr>
        <b/>
        <u/>
        <sz val="10"/>
        <color theme="3" tint="-0.249977111117893"/>
        <rFont val="MaiNFONT"/>
      </rPr>
      <t xml:space="preserve"> (DEROGADO A PARTIR 01/01/2014)</t>
    </r>
  </si>
  <si>
    <r>
      <t xml:space="preserve">Gastos de formación profesional (art.40 LIS/04) </t>
    </r>
    <r>
      <rPr>
        <b/>
        <u/>
        <sz val="10"/>
        <color theme="3" tint="-0.249977111117893"/>
        <rFont val="MaiNFONT"/>
      </rPr>
      <t>(PARA EJERCICIO 2015 SÓLO REMANENTES)</t>
    </r>
  </si>
  <si>
    <r>
      <t xml:space="preserve">Edición de libros (art.38.3 LIS/04) </t>
    </r>
    <r>
      <rPr>
        <b/>
        <u/>
        <sz val="10"/>
        <color theme="3" tint="-0.249977111117893"/>
        <rFont val="MaiNFONT"/>
      </rPr>
      <t>(PARA EJERCICIO 2015 SÓLO REMANENTES)</t>
    </r>
  </si>
  <si>
    <r>
      <t xml:space="preserve">Protección medio ambiente (art.39.1 LIS/04) </t>
    </r>
    <r>
      <rPr>
        <b/>
        <u/>
        <sz val="10"/>
        <color theme="3" tint="-0.249977111117893"/>
        <rFont val="MaiNFONT"/>
      </rPr>
      <t>(PARA EJERCICIO 2015 SÓLO REMANENTES)</t>
    </r>
  </si>
  <si>
    <r>
      <t xml:space="preserve">Donaciones a entidades sin fines de lucro </t>
    </r>
    <r>
      <rPr>
        <b/>
        <u/>
        <sz val="10"/>
        <color theme="3" tint="-0.249977111117893"/>
        <rFont val="MaiNFONT"/>
      </rPr>
      <t xml:space="preserve"> (SI EN DOS EJ.ANT. IMP.DONACIÓN = ó &gt; EJ.ANT.: DED.= 40%)</t>
    </r>
  </si>
  <si>
    <t>Análisis financiero</t>
  </si>
  <si>
    <t>Análisis rentabilidad</t>
  </si>
  <si>
    <t>Análisis de gestión</t>
  </si>
  <si>
    <t>MARGEN COMERCIAL</t>
  </si>
  <si>
    <t>-Asientos de cierre</t>
  </si>
  <si>
    <t>-Balance de situación:</t>
  </si>
  <si>
    <t>-Cuenta de Pérdidas y Ganancias</t>
  </si>
  <si>
    <t>-Ajustes fiscales</t>
  </si>
  <si>
    <t>-Liquidación Impuesto sobre Sociedades</t>
  </si>
  <si>
    <t>-Ratios Económicos-Financieros</t>
  </si>
  <si>
    <t>-Normal</t>
  </si>
  <si>
    <t>-Abreviado</t>
  </si>
  <si>
    <t>-Deducciones y Bonificaciones</t>
  </si>
  <si>
    <t>Síguenos en:</t>
  </si>
  <si>
    <t>Límite Reducción</t>
  </si>
  <si>
    <t>Reserva de capitalización</t>
  </si>
  <si>
    <t>Reserva de nivelación</t>
  </si>
  <si>
    <t>Base Imponible Previa (1)</t>
  </si>
  <si>
    <t>Base Imponible Previa (2)</t>
  </si>
  <si>
    <t>Reducción</t>
  </si>
  <si>
    <t>Propuesta</t>
  </si>
  <si>
    <t>Base reducción</t>
  </si>
  <si>
    <t>Revisar deterioro</t>
  </si>
  <si>
    <t>Saldo cta. 293</t>
  </si>
  <si>
    <t>Ajuste por revisión</t>
  </si>
  <si>
    <t>OK o REVISAR</t>
  </si>
  <si>
    <t>Amortizaciones</t>
  </si>
  <si>
    <t>CAIXABANK</t>
  </si>
  <si>
    <t>MATENIMIENTO REQUISITOS RESERVA DE CAPITALIZACIÓN</t>
  </si>
  <si>
    <t>EJERCICIO ACTUAL</t>
  </si>
  <si>
    <t>INCREMENTO/ DISMINUCIÓN FONDOS PROPIOS</t>
  </si>
  <si>
    <t>INCREMENTO/ DISMINUCIÓN FONDOS PROPIOS-SOLO CTAS.AFECTAS</t>
  </si>
  <si>
    <t>EJERCICIO</t>
  </si>
  <si>
    <t>AJUSTE RESERVA DE CAPITALIZACIÓN</t>
  </si>
  <si>
    <t>DIFERENCIA AJUSTE FISCAL CON DOTACIÓN</t>
  </si>
  <si>
    <t>CUMPLIMIENTO MANTENIEMIENTO INCREMENTO FONDOS PROPIOS</t>
  </si>
  <si>
    <t>MATENIMIENTO REQUISITOS RESERVA DE NIVELACIÓN</t>
  </si>
  <si>
    <t>AJUSTE RESERVA DE CAPITALIZACIÓN APLICADO</t>
  </si>
  <si>
    <t>AJUSTE RESERVA DE NIVELACIÓN</t>
  </si>
  <si>
    <t>DOTACIÓN RESERVA DE NIVELACIÓN</t>
  </si>
  <si>
    <t>AJUSTE RESERVA DE NIVELACIÓN APLICADO</t>
  </si>
  <si>
    <t>REVERSIÓN AJUSTES FISCALES</t>
  </si>
  <si>
    <t>CUADRE DIF. = 0</t>
  </si>
  <si>
    <t>PROCEDIMIENTO:</t>
  </si>
  <si>
    <t>.- Introducir el ejercicio ACTUAL en el campo de "EJERCICIO ACTUAL" para que se calcule automáticamente los ejercicios anteriores a tener en cuenta.</t>
  </si>
  <si>
    <t>.- Los dos últimos ejercicios quedarán grabados de forma automática del propio libro de trabajo (Para el ejercicio 2017: los ejercicios 2016 y 2017)</t>
  </si>
  <si>
    <t>.- Los ejercicios anteriores se tendrán que grabar de forma manual. (Para este ejercicio 2017, sólo se tendrán que grabar los ejercicios 2014 y 2015. Copiar y pegar valores desde el ejercicio 2015.</t>
  </si>
  <si>
    <t>.- Al ser el ejercicio 2017 el primero en el que ponemos en práctica esta hoja de control, se deberán llevar a cabo por parte de todos los asesores las comprobaciones oportunas.</t>
  </si>
  <si>
    <t>.- La única base imponible que quedará grabada de forma automática, desde el propio libro de trabajo, será la del ejercicio actual (en este caso el ejercicio 2017)</t>
  </si>
  <si>
    <t>.- La base imponible de los ejercicios anteriores se tendrá que grabar de forma manual, desde el ejercico 2015 hasta el 2016.</t>
  </si>
  <si>
    <t>SOCIEDAD:</t>
  </si>
  <si>
    <t>PERÍODO MEDIO DE PAGO A PROVEEDORES "MEMORIA ABREVIADA"</t>
  </si>
  <si>
    <t>Periodo medio de pago =                   saldo medio acreedores comerciales</t>
  </si>
  <si>
    <t>x 365</t>
  </si>
  <si>
    <t xml:space="preserve">         Compras netas y gastos por servicios exteriores</t>
  </si>
  <si>
    <t>A falta de mejor información por parte del cliente, nuestro cálculo será el siguiente:</t>
  </si>
  <si>
    <t>SALDO FINAL</t>
  </si>
  <si>
    <t xml:space="preserve">SALDO FINAL </t>
  </si>
  <si>
    <t>PROMEDIO</t>
  </si>
  <si>
    <t>EJ.ANTERIOR</t>
  </si>
  <si>
    <t>EJ.ACTUAL</t>
  </si>
  <si>
    <t>SALDOS</t>
  </si>
  <si>
    <t>Periodo medio de pago =</t>
  </si>
  <si>
    <t>COMPRAS</t>
  </si>
  <si>
    <t>INCREMENTO</t>
  </si>
  <si>
    <t>IMPORTE</t>
  </si>
  <si>
    <t>Y GASTOS</t>
  </si>
  <si>
    <t>POR TIPO IVA</t>
  </si>
  <si>
    <t>IVA INCLUIDO</t>
  </si>
  <si>
    <t>GASTOS</t>
  </si>
  <si>
    <t>AQUADER GASCO S L</t>
  </si>
  <si>
    <t xml:space="preserve">FURGONETA MULTIVAN </t>
  </si>
  <si>
    <t>932050023713928</t>
  </si>
  <si>
    <r>
      <t xml:space="preserve">VARONA ASESORES, S.L.P. </t>
    </r>
    <r>
      <rPr>
        <sz val="26"/>
        <color rgb="FF05516B"/>
        <rFont val="Arial Narrow"/>
        <family val="2"/>
      </rPr>
      <t>- Calle Pascual y Genis 17,1 - 46002 Valencia</t>
    </r>
  </si>
  <si>
    <r>
      <t>Telf.: </t>
    </r>
    <r>
      <rPr>
        <b/>
        <sz val="26"/>
        <color rgb="FF05516B"/>
        <rFont val="Arial Narrow"/>
        <family val="2"/>
      </rPr>
      <t>96 337 43 65</t>
    </r>
    <r>
      <rPr>
        <sz val="26"/>
        <color rgb="FF05516B"/>
        <rFont val="Arial Narrow"/>
        <family val="2"/>
      </rPr>
      <t xml:space="preserve"> - Fax: </t>
    </r>
    <r>
      <rPr>
        <b/>
        <sz val="26"/>
        <color rgb="FF05516B"/>
        <rFont val="Arial Narrow"/>
        <family val="2"/>
      </rPr>
      <t xml:space="preserve">96 337 58 56 </t>
    </r>
    <r>
      <rPr>
        <sz val="26"/>
        <color rgb="FF05516B"/>
        <rFont val="Arial Narrow"/>
        <family val="2"/>
      </rPr>
      <t>-</t>
    </r>
    <r>
      <rPr>
        <b/>
        <sz val="26"/>
        <color rgb="FF05516B"/>
        <rFont val="Arial Narrow"/>
        <family val="2"/>
      </rPr>
      <t xml:space="preserve"> </t>
    </r>
    <r>
      <rPr>
        <sz val="26"/>
        <color rgb="FF05516B"/>
        <rFont val="Arial Narrow"/>
        <family val="2"/>
      </rPr>
      <t>info@varona.es - www.varona.es</t>
    </r>
  </si>
  <si>
    <t>DIFERENCIAS 1 Y 2 Y CUADRE</t>
  </si>
  <si>
    <t>.- La comprobación del mantenimiento de la dotación se debe de hacer manual para el ejercicio 2017  y consistirá en confirmar que las Reservas Especiales no han disminuido en cada uno de los ejercicios</t>
  </si>
  <si>
    <t>siguientes a aquel en el que se ha practicado el ajuste correspondiente o hay un motivo que justifique la disminución.</t>
  </si>
  <si>
    <t>Otras operaciones con ISP (excepto ad. Intracom.)</t>
  </si>
  <si>
    <t>Modificación bases y cuotas del R.E.</t>
  </si>
  <si>
    <t>Modificación bases y cuotas</t>
  </si>
  <si>
    <t>Rectificación de deducciones</t>
  </si>
  <si>
    <t>Regularización bienes de inversión</t>
  </si>
  <si>
    <t>Resultado Régimen General</t>
  </si>
  <si>
    <t>Regularización cuotas art. 80.Cinco.5ª LIVA</t>
  </si>
  <si>
    <t>Suma de resultados</t>
  </si>
  <si>
    <t>Atribuible a la Administración del Estado</t>
  </si>
  <si>
    <t>IVA a la importación liquidado por la Aduana pendiente de ingreso</t>
  </si>
  <si>
    <t>Entregas intracomunitarias de bienes y servicios</t>
  </si>
  <si>
    <t>Adquisiciones intracomunitarias de bienes y servicios</t>
  </si>
  <si>
    <t>Adquisiciones intracomunitarias de servicios</t>
  </si>
  <si>
    <t>Adquisiciones intracomunitarias de bienes</t>
  </si>
  <si>
    <t>En adquisiciones intracomunitarias de bienes corrientes.</t>
  </si>
  <si>
    <t>En adquisiciones intracomunitarias de servicios</t>
  </si>
  <si>
    <t>Régimen General (ordinario)</t>
  </si>
  <si>
    <t>Régimen Especial del criterio de caja</t>
  </si>
  <si>
    <t>SOCIEDAD DE CAMPAÑA</t>
  </si>
  <si>
    <t>SI</t>
  </si>
  <si>
    <t>TRIMESTRAL</t>
  </si>
  <si>
    <t>NO</t>
  </si>
  <si>
    <t>MENSUAL</t>
  </si>
  <si>
    <t>Pago medio a proveedores:</t>
  </si>
  <si>
    <t>Pago medio a proveedores</t>
  </si>
  <si>
    <t>OTRAS DEUDAS A LP CON EMPRESAS DEL GRUPO</t>
  </si>
  <si>
    <t>OTRAS DEUDAS A LP CON EMPRESAS ASOCIADAS</t>
  </si>
  <si>
    <t>OTRAS DEUDAS A LP CON OTRAS PARTES VINCULADAS</t>
  </si>
  <si>
    <t>PARTICIPACIONES A LP EN EMPRESAS DEL GRUPO</t>
  </si>
  <si>
    <t>PARTICIPACIONES A LP EN EMPRESAS ASOCIADAS</t>
  </si>
  <si>
    <t>PARTICIPACIONES A LP EN OTRAS VINCULADAS</t>
  </si>
  <si>
    <t>CRÉDITOS A LP A EMPRESAS DEL GRUPO</t>
  </si>
  <si>
    <t>CRÉDITOS A LP A EMPRESAS ASOCIADAS</t>
  </si>
  <si>
    <t>CRÉDITOS A LP A OTRAS VINCULADAS</t>
  </si>
  <si>
    <t>DETERIORO DE VALOR DE PART. A LP EN EMPRESAS DEL GRUPO</t>
  </si>
  <si>
    <t>DETERIORO DE VALOR DE PART. A LP EN EMPRESAS ASOCIADAS</t>
  </si>
  <si>
    <t>DET. DE VALOR DE CRÉDITOS A LP A EMPRESAS DEL GRUPO</t>
  </si>
  <si>
    <t>DET. DE VALOR DE CRÉDITOS A LP A EMPRESAS ASOCIADAS</t>
  </si>
  <si>
    <t>OTRAS DEUDAS A CP CON EMPRESAS DEL GRUPO</t>
  </si>
  <si>
    <t>OTRAS DEUDAS A CP CON EMPRESAS ASOCIADAS</t>
  </si>
  <si>
    <t>OTRAS DEUDAS A CP CON OTRAS PARTES VINCULADAS</t>
  </si>
  <si>
    <t>INTERESES A CP DE DEUDAS CON PARTES VINCULADAS</t>
  </si>
  <si>
    <t>PARTICIPACIONES A CP EN EMPRESAS DEL GRUPO</t>
  </si>
  <si>
    <t>PARTICIPACIONES A CP EN EMPRESAS ASOCIADAS</t>
  </si>
  <si>
    <t>PARTICIPACIONES A CP EN OTRAS PARTES VINCULADAS</t>
  </si>
  <si>
    <t>CRÉDITOS A CP A EMPRESAS DEL GRUPO</t>
  </si>
  <si>
    <t>CRÉDITOS A CP A EMPRESAS ASOCIADAS</t>
  </si>
  <si>
    <t>CRÉDITOS A CP A OTRAS PARTES VINCULADAS</t>
  </si>
  <si>
    <t>INTERESES A CP A CRÉDITOS A PARTES VINCULADAS</t>
  </si>
  <si>
    <t>CUENTA CORRIENTE CON EMPRESAS DEL GRUPO</t>
  </si>
  <si>
    <t>CUENTA CORRIENTE CON EMPRESAS ASOCIADAS</t>
  </si>
  <si>
    <t>CUENTA CORRIENTE CON OTRAS PARTES VINCULADAS</t>
  </si>
  <si>
    <t>DET. VALOR PARTIC. CP EMPRESAS GRUPO</t>
  </si>
  <si>
    <t>DET. VALOR PARTIC. CP EMPRESAS ASOCIADAS</t>
  </si>
  <si>
    <t>DET. VALOR CRÉDITOS CP EMPRESAS GRUPO</t>
  </si>
  <si>
    <t>DET. VALOR CRÉDITOS CP EMPRESAS ASOCIADAS</t>
  </si>
  <si>
    <t>DET. VALOR CRÉDITOS CP OTRAS PARTES VINCULADAS</t>
  </si>
  <si>
    <t>INTERESES POR DTO DE EFECTOS Y OP FACTORING</t>
  </si>
  <si>
    <t>PÉRD. POR DET. PART. LP EMPRESAS DEL GRUPO</t>
  </si>
  <si>
    <t>PÉRD. POR DET. PART. LP EMPRESAS ASOCIADAS</t>
  </si>
  <si>
    <t>PÉRD. POR DET. PART. LP OTRAS PARTES VINCULADAS</t>
  </si>
  <si>
    <t>PÉRD. POR DET. PART. LP OTRAS EMPRESAS</t>
  </si>
  <si>
    <t>PÉRD. POR DET. DE CRÉDITOS A LP, EMP. GRUPO</t>
  </si>
  <si>
    <t>PÉRD. POR DET. DE CRÉDITOS A LP, EMP. ASOCIADAS</t>
  </si>
  <si>
    <t>PÉRD. POR DET. DE CRÉDITOS A LP, OTRAS PARTES VINC.</t>
  </si>
  <si>
    <t>INGRESOS DE PROP INDUSTRIAL CEDIDA EN EXPLOTACIÓN</t>
  </si>
  <si>
    <t>Nº mes</t>
  </si>
  <si>
    <t>Mes</t>
  </si>
  <si>
    <t>DECLARACIÓN 190 (CAMPAÑA)</t>
  </si>
  <si>
    <t>Clave L (CAMPAÑA):</t>
  </si>
  <si>
    <t>629 DIETAS</t>
  </si>
  <si>
    <t>TOTAL DIFERENCIA</t>
  </si>
  <si>
    <t>CAMPAÑA MOD. 115</t>
  </si>
  <si>
    <t>DECLARACIÓN 193 (CAMPAÑA)</t>
  </si>
  <si>
    <t>CAMPAÑA 1ª PARTE</t>
  </si>
  <si>
    <t>TOTALES CAMPAÑA</t>
  </si>
  <si>
    <t>trimestre al que corresponde</t>
  </si>
  <si>
    <t>nº mes</t>
  </si>
  <si>
    <t>Trimestre</t>
  </si>
  <si>
    <t>nº mes trimestre anterior</t>
  </si>
  <si>
    <t>Resultado</t>
  </si>
  <si>
    <t>marzo</t>
  </si>
  <si>
    <t>junio</t>
  </si>
  <si>
    <t>septiembre</t>
  </si>
  <si>
    <t>diciembre</t>
  </si>
  <si>
    <t>Por cuotas soportadas en operaciones intragrupo con bienes interiores corrientes</t>
  </si>
  <si>
    <t>TOTAL CAMPAÑA 2ª PARTE</t>
  </si>
  <si>
    <t>303-390</t>
  </si>
  <si>
    <t>libros IVA</t>
  </si>
  <si>
    <t>Ctas. Ent. Pub.</t>
  </si>
  <si>
    <t>Ret. (ing. Fin.+  Ar.)</t>
  </si>
  <si>
    <t>Contab.-Iva sop.</t>
  </si>
  <si>
    <t>111-190</t>
  </si>
  <si>
    <t>Rdtos. Trabajo</t>
  </si>
  <si>
    <t>Resto rendimientos</t>
  </si>
  <si>
    <t>115-180</t>
  </si>
  <si>
    <t>Contab. - 180</t>
  </si>
  <si>
    <t>DIFERENCIAS</t>
  </si>
  <si>
    <t>RESERVA DE CAPITALIZACIÓN</t>
  </si>
  <si>
    <t>RESERVA DE NIVELACIÓN</t>
  </si>
  <si>
    <t>IRC (trimestral-mensual):</t>
  </si>
  <si>
    <t>DOTACIÓN RESERVA CAPITALIZACIÓN A COMPROBAR</t>
  </si>
  <si>
    <t>DOTACIÓN RESERVA NIVELACIÓN A COMPROBAR</t>
  </si>
  <si>
    <t>SABADELL</t>
  </si>
  <si>
    <t>RESACRIL S L</t>
  </si>
  <si>
    <t>CAJAMAR</t>
  </si>
  <si>
    <t>MOLINO CON TOLVA, ALIMENTADOR Y CRIBA</t>
  </si>
  <si>
    <t>PERD.ACT.FIN.DISPONIBLES PARA LA VENTA</t>
  </si>
  <si>
    <t>TRANSF.SUBV. OFICIALES DE CAPITAL</t>
  </si>
  <si>
    <t>BFOS.ACT.FIN.DISPONIBLES PARA LA VENTA</t>
  </si>
  <si>
    <t>ING.SUBV.OFICIALES DE CAPITAL</t>
  </si>
  <si>
    <t>LOCAL COMERCIAL (SUELO)</t>
  </si>
  <si>
    <t>LEASING CAMION 8903KPV EUROCARGO ML90E19</t>
  </si>
  <si>
    <t>BANKINTER</t>
  </si>
  <si>
    <t>44101</t>
  </si>
  <si>
    <t>LEASING CAMION 2386KPW EUROCARGO ML90E19</t>
  </si>
  <si>
    <t>44102</t>
  </si>
  <si>
    <t>CARRETILLA ELÉCTICA 3 RUEDAS SENTADO</t>
  </si>
  <si>
    <t>DE LAGE LANDEN INTERNATIONAL B.V. (SITLL RENT)</t>
  </si>
  <si>
    <t>75940037495</t>
  </si>
  <si>
    <t>LEASING NISSAN CABSTAR 5112 KNH</t>
  </si>
  <si>
    <t>747038384562</t>
  </si>
  <si>
    <t>CAMION MAN 41.460BX4</t>
  </si>
  <si>
    <t>9320.50.0245362-63</t>
  </si>
  <si>
    <t>SANTANDER</t>
  </si>
  <si>
    <t>MERCEDES CLASE GLE SUV</t>
  </si>
  <si>
    <t>MERCEDES BENZ FINANCIAL SERVICES ESPAÑA</t>
  </si>
  <si>
    <t xml:space="preserve">G67 CAMION MAN TGS 33.360 GX4 BB G67 </t>
  </si>
  <si>
    <t xml:space="preserve">BANKIA </t>
  </si>
  <si>
    <t>26493238</t>
  </si>
  <si>
    <t>G66 GRUA MOVIL LTM1160/2</t>
  </si>
  <si>
    <t>01280604591900017</t>
  </si>
  <si>
    <t>DISPLAY, ELEVADOR Y PRENSADOR</t>
  </si>
  <si>
    <t>3058/7391/83/1650000062</t>
  </si>
  <si>
    <t xml:space="preserve">gasto contable puede ser deducible fiscalmente. La norma Civil considera la prescripción de las deudas no reclamadas en un plazo de </t>
  </si>
  <si>
    <t>CIERRE FISCAL</t>
  </si>
  <si>
    <t>MEMORIA (CUENTAS ANUALES)</t>
  </si>
  <si>
    <t>.- Registro contable de Otras ayudas estatales.</t>
  </si>
  <si>
    <t>.- Efectos de los arrendamientos.</t>
  </si>
  <si>
    <t>.- Tratamiento contable de los ERTE´s</t>
  </si>
  <si>
    <t>CIERRE MERCANTIL Y MEMORIA (CUENTAS ANUALES)</t>
  </si>
  <si>
    <t>CIERRE MERCANTIL</t>
  </si>
  <si>
    <t>* Información en cuentas anuales (Memoria) de los efectos COVID-19</t>
  </si>
  <si>
    <t xml:space="preserve">.- Sociedades que pierden todas sus reservas o la mayor parte: Para el cierre de 2020 se debería presentar un plan de viabilidad y </t>
  </si>
  <si>
    <t>que la actividad se ha visto reducida, en su porcentaje correspondiente.</t>
  </si>
  <si>
    <t xml:space="preserve">        * Bonificaciones y moratorias de impuestos: Tratamiento de suvenciones y considerar el momento de su consideración como no</t>
  </si>
  <si>
    <t>* Revisar retribución administradores y si el acta está hecha.</t>
  </si>
  <si>
    <t xml:space="preserve">        * Aplazamiento en el pago de diversos impuestos, sin intereses: si el aplazamiento de la deuda &gt; 12 meses ver posibilidad de </t>
  </si>
  <si>
    <t xml:space="preserve">           contabilizar una subvención de tipos de interés.</t>
  </si>
  <si>
    <r>
      <rPr>
        <u/>
        <sz val="11"/>
        <color theme="1"/>
        <rFont val="Calibri"/>
        <family val="2"/>
      </rPr>
      <t>.- Amortizaciones</t>
    </r>
    <r>
      <rPr>
        <sz val="11"/>
        <color theme="1"/>
        <rFont val="Calibri"/>
        <family val="2"/>
      </rPr>
      <t>: se tratará como cambio en las estimaciones, teniendo en cuenta los periodos de inactividad así como aquellos en los</t>
    </r>
  </si>
  <si>
    <t xml:space="preserve">    revisión se considera como una liberalidad.</t>
  </si>
  <si>
    <t>sin perjuicio del deber de solicitar la declaración de concurso de acuerdo con en RDL 16/2020.</t>
  </si>
  <si>
    <t xml:space="preserve">Con independencia de las propuestas que vengan incluidas en el Asistente de A3SOC, podemos tener en cuenta, entre otras, las </t>
  </si>
  <si>
    <t>siguientes:</t>
  </si>
  <si>
    <t>EN GASTOS:</t>
  </si>
  <si>
    <t>Información a presentar en las CC.AA. Sobre las contingencias excepcionales del COVID-19:</t>
  </si>
  <si>
    <t>.- Gastos adicionales de limpieza e higiene por el control o contagio por COVID-19.</t>
  </si>
  <si>
    <t>.- Posibles pagas temporales por riesgo para empleados.</t>
  </si>
  <si>
    <t>.- Disminuciones de alquileres facilitadas por arrendadores que se dirivan de la COVID-19.</t>
  </si>
  <si>
    <t>EN INGRESOS:</t>
  </si>
  <si>
    <t xml:space="preserve">causa de disolución prevista en el artículo 363.1 e) del Texto refundido de la LSC no se tomarán en consideración las pérdidas del ej.2020, </t>
  </si>
  <si>
    <t>explicar las medidas que se van a tomar para no cerrar de forma definitiva y explicarlo en la Memoria (nota 2)</t>
  </si>
  <si>
    <t>sólo indicar algunas cuestiones, entre otras, que se deberán tener en cuenta en la Memoria del ejercicio 2020, sin entrar a desarrollar</t>
  </si>
  <si>
    <t>.- Deterioro de existencias.</t>
  </si>
  <si>
    <t xml:space="preserve">deuda pasa de 6 meses a 3 meses. Con carácter general, para aplicar este criterio, tanto con antigüedad de 6 como de 3 meses, la deuda </t>
  </si>
  <si>
    <t xml:space="preserve">baja, así como de su tratamiento fiscal, considerando el ingreso contable como parte de la base imponible y valorando en cada caso si el </t>
  </si>
  <si>
    <r>
      <rPr>
        <b/>
        <sz val="11"/>
        <color theme="1"/>
        <rFont val="Calibri"/>
        <family val="2"/>
      </rPr>
      <t>* Los saldos deudores y acreedores con una antigüedad superior a cinco años</t>
    </r>
    <r>
      <rPr>
        <sz val="11"/>
        <color theme="1"/>
        <rFont val="Calibri"/>
        <family val="2"/>
      </rPr>
      <t xml:space="preserve"> deberán ser objeto de estudio para la contabilización de su </t>
    </r>
  </si>
  <si>
    <t>base imponible del IS.</t>
  </si>
  <si>
    <t xml:space="preserve">cinco años y será en los próximos cuatro años (contados a partir de los cinco anteriores) cuando se deberá intregrar el ingreso o gasto en la </t>
  </si>
  <si>
    <t xml:space="preserve">           reintegrables y su imputación  a la cuenta de Péridas y Ganancias.</t>
  </si>
  <si>
    <r>
      <t xml:space="preserve">    </t>
    </r>
    <r>
      <rPr>
        <b/>
        <sz val="11"/>
        <color theme="1"/>
        <rFont val="Calibri"/>
        <family val="2"/>
      </rPr>
      <t xml:space="preserve">NOTA: </t>
    </r>
    <r>
      <rPr>
        <sz val="11"/>
        <color theme="1"/>
        <rFont val="Calibri"/>
        <family val="2"/>
      </rPr>
      <t>Condonación = carencia, pero la palabra condonación puede tener unos efectos fiscales indeseados, si posteriormente en una</t>
    </r>
  </si>
  <si>
    <t xml:space="preserve">        * La exoneración de la Seguridad Social se considerará una bonificación y se seguirá contabilizando el gasto de seguridad social</t>
  </si>
  <si>
    <t xml:space="preserve">             (se contempla la presivión de mantenimiento de plantilla en los próximos 6 meses, caso contrario ver implicaciones contables y</t>
  </si>
  <si>
    <t xml:space="preserve">               fiscales).</t>
  </si>
  <si>
    <t xml:space="preserve">        * Percepciones a recibir por los trabajadores. Ver tratamiento contable.</t>
  </si>
  <si>
    <t>.- Otras ayudas estatales. Línea de avales del ICO y ayudas MINIMIS.</t>
  </si>
  <si>
    <t xml:space="preserve">          prestatario obtiene un préstamo en condiciones fuera de mercado o una garantía sin coste a través de una ayuda gubernamental, </t>
  </si>
  <si>
    <t xml:space="preserve">          del BOICAC número 81/marzo 2010).</t>
  </si>
  <si>
    <t xml:space="preserve">        *Ver los casos en los que procede, cuando la entidad financiera no repercute el coste del aval, y si de forma clara y evidente el</t>
  </si>
  <si>
    <t xml:space="preserve">          habría que contabilizar la correspondiente subvención al ser préstamos con tipo de interés subvencionados. (Consulta número 1</t>
  </si>
  <si>
    <t>deberá estar reclamada al cliente (e-mail, correo orinario o cualquier otro medio de prueba). Este cambio de criterio surtirá efectos</t>
  </si>
  <si>
    <t>* La posible no aplicación del principio de empresa en funcionamiento (consulta 3 BOICAC 121 Marzo 2020).</t>
  </si>
  <si>
    <t>para los ejercicios iniciados en 2020 y 2021. (RDL 35/2020, BOE de 23 de diciembre)</t>
  </si>
  <si>
    <t>* Consideración de las pérdidas de 2020 en la causa de disolución de sociedades: a los solo efectos de determinar la concurrencia de la</t>
  </si>
  <si>
    <t>.- Sanciones por demora o incumplimiento de contratos debido al cierre de instalaciones de producción.</t>
  </si>
  <si>
    <t>.- Percepción de ingresos por seguros COVID-19.</t>
  </si>
  <si>
    <t>En relación con la información a detallar en la Memoria sobre el COVID-19, veremos las propuestas del asistente de ASSOC así como la</t>
  </si>
  <si>
    <t>información que recopilemos de otras fuentes, que no se detallarán en esta pequeña guia de cierre, dado que el objeto de la misma es</t>
  </si>
  <si>
    <t>puntos que por su extensión contemplaremos en otro procedimiento.</t>
  </si>
  <si>
    <t>Reserva de nivelación (Reversión 5º año y otros)</t>
  </si>
  <si>
    <t>Retribución Administradores</t>
  </si>
  <si>
    <t>RETRIBUCIÓN ADMINISTRADORES</t>
  </si>
  <si>
    <t>ORGANO DE ADMINISTRACIÓN</t>
  </si>
  <si>
    <t>NOMBRE</t>
  </si>
  <si>
    <t>CARGO</t>
  </si>
  <si>
    <t>CLAVE 190</t>
  </si>
  <si>
    <t>RETRIBUCIÓN</t>
  </si>
  <si>
    <t>RETENCIÓN</t>
  </si>
  <si>
    <t>% RET.</t>
  </si>
  <si>
    <t>ACTA</t>
  </si>
  <si>
    <t>OBSERVACIONES</t>
  </si>
  <si>
    <t>CARGO:</t>
  </si>
  <si>
    <t>Adm. Único</t>
  </si>
  <si>
    <t>Adm.Solidaro</t>
  </si>
  <si>
    <t>Adm. Mancomundado</t>
  </si>
  <si>
    <t>Presidente Cons.</t>
  </si>
  <si>
    <t>Secretario Cons.</t>
  </si>
  <si>
    <t>Vicepresidente Cons.</t>
  </si>
  <si>
    <t>Vocal Cons.</t>
  </si>
  <si>
    <t>ACTA:</t>
  </si>
  <si>
    <t>HECHA</t>
  </si>
  <si>
    <t>NO PROCEDE</t>
  </si>
  <si>
    <t>PENDIENTE HACER</t>
  </si>
  <si>
    <t>COVID 19  y Otras revisiones cierre</t>
  </si>
  <si>
    <t>REVISADO</t>
  </si>
  <si>
    <t>REVISADO:</t>
  </si>
  <si>
    <t>Rebrib.Admon.</t>
  </si>
  <si>
    <t>ESTADO</t>
  </si>
  <si>
    <t>INDICAR SI ESTÁ REVISADO EN ESTADO</t>
  </si>
  <si>
    <t>DUDAS</t>
  </si>
  <si>
    <t>en el cierre si hay alguna novedad respecto al criterior a seguir sobre este punto, por parte de la AEAT o Sentencias Tribunales.</t>
  </si>
  <si>
    <r>
      <rPr>
        <u/>
        <sz val="11"/>
        <color theme="1"/>
        <rFont val="Calibri"/>
        <family val="2"/>
      </rPr>
      <t>.- Revisar si hay intereses indemnizatorios cobrados o pagados de la AEAT</t>
    </r>
    <r>
      <rPr>
        <sz val="11"/>
        <color theme="1"/>
        <rFont val="Calibri"/>
        <family val="2"/>
      </rPr>
      <t xml:space="preserve"> y si procede ajuste fiscal positivo o negativo. Tener en cuenta </t>
    </r>
  </si>
  <si>
    <r>
      <rPr>
        <u/>
        <sz val="11"/>
        <color theme="1"/>
        <rFont val="Calibri"/>
        <family val="2"/>
      </rPr>
      <t>.- Clientes de dudoso cobro:</t>
    </r>
    <r>
      <rPr>
        <sz val="11"/>
        <color theme="1"/>
        <rFont val="Calibri"/>
        <family val="2"/>
      </rPr>
      <t xml:space="preserve"> empresas de RD de acuerdo con art.101 de la LIS, al plazo que debe transcurrir desde el vencimiento de la </t>
    </r>
  </si>
  <si>
    <t xml:space="preserve">         *  Si se concede moratoria: se devenga igual el ingreso /gasto contablemente. Ar.11 LIS</t>
  </si>
  <si>
    <t xml:space="preserve">                     gasto para el arrendatario, sin llevar a cabo ninguna periodificación de ingresos y gastos.</t>
  </si>
  <si>
    <t xml:space="preserve">                           * Carencia: contablemente se repartirá el importe total del alquiler durante el resto de meses.</t>
  </si>
  <si>
    <t xml:space="preserve">                           * Disminución en el precio del alquiler: Contablemente se devenga a partir de ese momento por un menor importe.</t>
  </si>
  <si>
    <t xml:space="preserve">                           * Condonación: se repartirá el importe total del alquiler durante el resto de meses.</t>
  </si>
  <si>
    <r>
      <t xml:space="preserve">                  -</t>
    </r>
    <r>
      <rPr>
        <u/>
        <sz val="11"/>
        <color theme="1"/>
        <rFont val="Calibri"/>
        <family val="2"/>
      </rPr>
      <t xml:space="preserve"> Criterio anterior consulta ICAC 19-02-2021:</t>
    </r>
  </si>
  <si>
    <t xml:space="preserve">          * Criterio contable sobre las rebajas negociadas en los arrendamientos impuestos por la legislación o efecto reducción actividad:</t>
  </si>
  <si>
    <r>
      <t xml:space="preserve">                  -  </t>
    </r>
    <r>
      <rPr>
        <u/>
        <sz val="11"/>
        <color theme="1"/>
        <rFont val="Calibri"/>
        <family val="2"/>
      </rPr>
      <t>Criterio consulta ICAC 19-02-2021</t>
    </r>
    <r>
      <rPr>
        <sz val="11"/>
        <color theme="1"/>
        <rFont val="Calibri"/>
        <family val="2"/>
      </rPr>
      <t xml:space="preserve">: Cabe optar por considerar como contingencias, es decir, menos ingreso para arrendador y más </t>
    </r>
  </si>
  <si>
    <t>MINERTEC S L</t>
  </si>
  <si>
    <t>DESCARGADOR BIC BACS</t>
  </si>
  <si>
    <t>COR CAROLI CERÁMICA S L</t>
  </si>
  <si>
    <t>SOLUCIONES FINANCIERO INMOBILIARIAS CONSULTING  S L</t>
  </si>
  <si>
    <t>DETERIORO DE VALOR DE PARTICIPACIONES EN EL PATRIMONIO NETO A LP</t>
  </si>
  <si>
    <t>2405-(2495)-250-(259)-(296)</t>
  </si>
  <si>
    <t>Seguros coches</t>
  </si>
  <si>
    <t>Préstamos socios/Dividendos</t>
  </si>
  <si>
    <t>Revisión Exención Patrimonio</t>
  </si>
  <si>
    <t>ACTIVO AFECTO</t>
  </si>
  <si>
    <t>ACTIVO NO AFECTO</t>
  </si>
  <si>
    <t>PASIVO AFECTO</t>
  </si>
  <si>
    <t>PASIVO NO AFECTO</t>
  </si>
  <si>
    <t>A/NA</t>
  </si>
  <si>
    <t>A/P</t>
  </si>
  <si>
    <t>P</t>
  </si>
  <si>
    <t>A</t>
  </si>
  <si>
    <t>A-P</t>
  </si>
  <si>
    <t>% AFECTO</t>
  </si>
  <si>
    <t>TOTALES P Y G</t>
  </si>
  <si>
    <t>RESULTADO P Y G</t>
  </si>
  <si>
    <t>CUADRE</t>
  </si>
  <si>
    <t>TOTAL ACTIVO AFECTO</t>
  </si>
  <si>
    <t>TOTAL ACT NO AFECTO</t>
  </si>
  <si>
    <t>TOTAL PASIVO AFECTO</t>
  </si>
  <si>
    <t>TOTAL PASIVO NO AFECTO</t>
  </si>
  <si>
    <t>RESULTADOS EJ.+10 AÑOS</t>
  </si>
  <si>
    <t>Rdo ejer</t>
  </si>
  <si>
    <t>Patrimonio Neto</t>
  </si>
  <si>
    <t>2020</t>
  </si>
  <si>
    <t>2021</t>
  </si>
  <si>
    <t>2019</t>
  </si>
  <si>
    <t>2018</t>
  </si>
  <si>
    <t>2017</t>
  </si>
  <si>
    <t>2016</t>
  </si>
  <si>
    <t>2015</t>
  </si>
  <si>
    <t>Requisito Exención: Act.Af.&gt;50%</t>
  </si>
  <si>
    <t>Porcentaje afectación</t>
  </si>
  <si>
    <t>Patrimonio neto exento</t>
  </si>
  <si>
    <t>Requisitos exención: (Activo afecto + Bengicio no distribuido) / Activo total</t>
  </si>
  <si>
    <t>Porcentaje afección: (Activos afectos - Deuda afecta)/ Patrimonio Neto</t>
  </si>
  <si>
    <t>CUENTA</t>
  </si>
  <si>
    <t>DESCRIPCIÓN</t>
  </si>
  <si>
    <t>% AFEC.</t>
  </si>
  <si>
    <t>IMPORTE AFECTO</t>
  </si>
  <si>
    <t>Detalle de elementos que se considera oportuno ampliar información sobre el cálculo del porcentaje de afectación a la actividad económica. En los casos que se refiera a la participación en sociedades que llevemos a cabo el cierre del ejercicio en el despacho, se deberá acudir al cierre de cada una de las sociedades para ver con más detalle los cálculos del porcentaje de participación.Con el objeto de facilitar las partidas del Balance que pueden resultar no afectas en su totalidad, con mayor frecuencia, marcamos en amarillo las cuentas correspondientes, con independencia de que puede haber otras cuentas que puedan no estar afectas a la actividad económica y se deben de revisar también.</t>
  </si>
  <si>
    <t>Requisitos para disfrutar de la exención:</t>
  </si>
  <si>
    <t xml:space="preserve">1. </t>
  </si>
  <si>
    <t>Que la sociedad cuyas acciones o participaciones se declaran no gestione un patrimonio mobiliario o inmobiliario.
Se entiende que una entidad gestiona un patrimonio mobiliario o inmobiliario, y que, por lo tanto, no realiza una actividad empresarial, cuando, durante más de 90 días del ejercicio social: más de la mitad de su activo está constituido por valores o más de la mitad de su activo no esté afecto a actividades económicas.</t>
  </si>
  <si>
    <t xml:space="preserve">Beneficios no distribuidos del propio ejercicio y de los últimos 10 años: 
Las reservas que aparecen en los balances proceden de la realización de actividades económicas del propio año y de los 10 años anteriores, cuestión que será preciso poder justificar. </t>
  </si>
  <si>
    <t xml:space="preserve">                         Requisito exención: (Activo afecto+Beneficio no distribuido) / Activo total</t>
  </si>
  <si>
    <t xml:space="preserve">2. </t>
  </si>
  <si>
    <t>Que la participación en la sociedad sea igual o superior al 5 de forma individual o al 20 de forma conjunta con cónyuge, ascendientes, descendientes o colaterales de 2 º grado.</t>
  </si>
  <si>
    <t xml:space="preserve">3. </t>
  </si>
  <si>
    <t>Que el sujeto pasivo ejerza funciones de dirección en la sociedad y perciba por funciones de dirección una remuneración superior al 50 de la totalidad de sus rendimientos del trabajo y de actividades económicas.</t>
  </si>
  <si>
    <t>Consideraciones para el cálculo del porcentaje de afección:</t>
  </si>
  <si>
    <t>Consideramos que las deudas financian proporcionalmente todo el activo.</t>
  </si>
  <si>
    <t xml:space="preserve">* </t>
  </si>
  <si>
    <t>Consideramos tesorería afecta en proporción al activo afecto sobre el total activo descontando la tesorería.</t>
  </si>
  <si>
    <t>Del total de los créditos de la holding a las dependientes, consideramos afectos los préstamos participativos.</t>
  </si>
  <si>
    <t xml:space="preserve">                       Porcentaje afección: (Activos afectos - Deuda afecta) / Patrimonio Neto</t>
  </si>
  <si>
    <t>ESTUDIO EXENCIÓN PARTICIPACIONES</t>
  </si>
  <si>
    <t>2014</t>
  </si>
  <si>
    <t>REVISIÓN SEGUROS VEHICULOS TURISMO A NOMBRE DE LA EMPRESA</t>
  </si>
  <si>
    <t>NOMBRE DEL USUARIO</t>
  </si>
  <si>
    <t>MATRICULA VEHICULO</t>
  </si>
  <si>
    <t>CIA SEGURO</t>
  </si>
  <si>
    <t>ASEGURADO</t>
  </si>
  <si>
    <t>USO DEL VEHÍCULO SEGÚN PÓLIZA</t>
  </si>
  <si>
    <t>Con carácter general, la AEAT está considerando que aquellos vehículos turismo de empresa, en los que figura en la póliza del seguro que el uso es particular, no están afectos a la actividad, lo que significa que dicho gasto puede</t>
  </si>
  <si>
    <t>mobiliario en la base del ahorro. No obstante, se pueden producir distintas situaciones que pueden dar lugar a retribuciones en especie, bien como rendimientos del trabajo o del capital mobiliario, para administradores y socios.</t>
  </si>
  <si>
    <t>REVISIÓN CUENTAS CON SOCIOS</t>
  </si>
  <si>
    <t>REVISIÓN DEL SEGURO DE LOS VEHÍCULOS:</t>
  </si>
  <si>
    <t>personal del socio no es previsible que la devolución  se lleve a cabo en un plazo razonable.</t>
  </si>
  <si>
    <t>calcular.</t>
  </si>
  <si>
    <t xml:space="preserve">podría ser el equivalente al importe bruto del mismo, considerando que la sociedad debería haber descontado la retención correspondiente, </t>
  </si>
  <si>
    <t>SALDO SUBCUENTA</t>
  </si>
  <si>
    <t>SEGUROS VEHICULOS TURISMO</t>
  </si>
  <si>
    <t>Para detectar estos saldos se deberán revisar las cuentas con socios a nivel de subcuentas para ver el tratamiento de cada caso.</t>
  </si>
  <si>
    <t>revisión es, sobre todo, ver los préstamos que la sociedad ha facilitado a sus socios, en especial  a personas fisicas, y que dada la situación</t>
  </si>
  <si>
    <t xml:space="preserve">En  el  cuadro  anterior  se  reflejan   las cuentas con partes vinculadas, tanto  personas físicas como sociedades, aunque  el  objeto  de esta </t>
  </si>
  <si>
    <t>En  estos casos,  la  AEAT puede  considerar  que  se trata de una  distribución  de   DIVIDENDOS y, por tanto, liquidarlos  en  la  renta del socio</t>
  </si>
  <si>
    <t xml:space="preserve">podría descontar la retención del importe a pagar. Todo ello, con las sanciones correspondientes e intereses de demora que la AEAT pudiera </t>
  </si>
  <si>
    <t xml:space="preserve">lo que supondría para la   sociedad el ingreso de la   retención y para el socio la integración en   su renta del importe   bruto como diviendos y </t>
  </si>
  <si>
    <t>persona   física   como    rendidmientos   del   capital   mobiliario, en la base del ahorro.   El   importe   que   podría    despejar    de   dicho saldo</t>
  </si>
  <si>
    <t>De lo que se trataría es de detectar estos casos y después ver internamente en el Despacho como y quien comunica esta cuestión al cliente.</t>
  </si>
  <si>
    <t>REVISIÓN CUENTA CON SOCIOS</t>
  </si>
  <si>
    <t>REVISION EXENCIÓN PATRIMONIO</t>
  </si>
  <si>
    <t>%A</t>
  </si>
  <si>
    <t>%NA</t>
  </si>
  <si>
    <t>Rdo.ej. Af.Ac.</t>
  </si>
  <si>
    <t>Rdo.ej.N/Af.Ac.</t>
  </si>
  <si>
    <t>Reservas Acum.</t>
  </si>
  <si>
    <t>SUBCUENTAS</t>
  </si>
  <si>
    <t>TITULO SUBCUENTA</t>
  </si>
  <si>
    <t xml:space="preserve">no   ser   deducible  para la sociedad y, en caso de que el usuario del vehículo fuera el socio, la AEAT lo podría  considerar  como  rendimiento del capital mobilirio, que tributaria en el IRPF del  socio como rendimientos del capital </t>
  </si>
  <si>
    <t>vehículos para fines particulares y la sociedad no puede justificar la afectación a la actividad en su totalidad.</t>
  </si>
  <si>
    <t xml:space="preserve">Esta  incidencia  se  produce, en  la mayoría de los casos, en vehículos utilizados  por  socios o administradores,  aunque  también  puede ocurrir  en algunos casos con trabajadores en Régimen General de la Seg. Social que utilizan </t>
  </si>
  <si>
    <t>Total Resultados</t>
  </si>
  <si>
    <t>&lt; de Rdos/A.NA</t>
  </si>
  <si>
    <t>&lt;Rdos./Reserv.Ac.</t>
  </si>
  <si>
    <t>AMORT. ACUM. FONDO DE COMERCIO</t>
  </si>
  <si>
    <t>AMORT.ACUM. FONDO DE COMERCIO</t>
  </si>
  <si>
    <t>Prima emisión</t>
  </si>
  <si>
    <t>Ac.propias</t>
  </si>
  <si>
    <t>Otras aport.soc.</t>
  </si>
  <si>
    <t>Divid.a cuenta</t>
  </si>
  <si>
    <t>Otros instr.de PN</t>
  </si>
  <si>
    <t>Ajtes.cambio valor</t>
  </si>
  <si>
    <t>Rdos.ej.ant.</t>
  </si>
  <si>
    <t>Nombre asesor</t>
  </si>
  <si>
    <t>GRUA G-71 FMX VERSION 4 84F RIGIDO 8X4 N BASTIDOR YV2XT0G4NB389969</t>
  </si>
  <si>
    <t>12806045922000000</t>
  </si>
  <si>
    <t>MAQUINA TELESCOPICA MODELO T33-10</t>
  </si>
  <si>
    <t>VE6520001</t>
  </si>
  <si>
    <t>PINAFORM, S.L.</t>
  </si>
  <si>
    <t>RODILLO VISCOSHEET</t>
  </si>
  <si>
    <t>IBERCAJA LEASING Y FINANCIACION, S.A.</t>
  </si>
  <si>
    <t>68033-91228692-0</t>
  </si>
  <si>
    <t>GRUA G-70 HIDRAULICA MONTADA SOBRE BASIDOR WMA39SZZ2MM890325</t>
  </si>
  <si>
    <t>1724623</t>
  </si>
  <si>
    <t>SISTEMAS Y MONTAJES CLIMATIZACION S L</t>
  </si>
  <si>
    <t>LEASING OPEL COMBO 2899LXZ</t>
  </si>
  <si>
    <t>BBVA</t>
  </si>
  <si>
    <t>0182-8642-0501-1741737</t>
  </si>
  <si>
    <t>FUTURGAS DE CATALUNYA S L</t>
  </si>
  <si>
    <t>FURGON VIVARO OPEL</t>
  </si>
  <si>
    <t>606434</t>
  </si>
  <si>
    <t>FLAMINGO ALBIR  S L</t>
  </si>
  <si>
    <t>TRACTOR JOHN DEERE MODELO 3038E + SEGURO</t>
  </si>
  <si>
    <t>BANCO SANTANDER</t>
  </si>
  <si>
    <t>582920</t>
  </si>
  <si>
    <t>FRUTAS GILABERT S A</t>
  </si>
  <si>
    <t>TRACTOCAMION SCANIA R450A4X2NA</t>
  </si>
  <si>
    <t>SCANIA FINANCE HISPANIA E.F.C., S.A.</t>
  </si>
  <si>
    <t>L.012415</t>
  </si>
  <si>
    <t>0%</t>
  </si>
  <si>
    <t>E.R.D. (T.25%)</t>
  </si>
  <si>
    <t>TIPO 23%</t>
  </si>
  <si>
    <t>GRUAS ALAPONT S A</t>
  </si>
  <si>
    <t>VEHICULO MARCA IVECO MODELO 1T440S40T/P</t>
  </si>
  <si>
    <t>01280604592300046</t>
  </si>
  <si>
    <t>CUADROS ELECTRÓNICOS INDUSTRIALES MANCHEGOS S L</t>
  </si>
  <si>
    <t>LEASING CARRETILLA ELECTRICA ELEVADORA RX 60-35 D2300</t>
  </si>
  <si>
    <t>632307</t>
  </si>
  <si>
    <t>2%</t>
  </si>
  <si>
    <t>RG (25%)</t>
  </si>
  <si>
    <t>EMERGENTES (15%)</t>
  </si>
  <si>
    <t>NC(15%)</t>
  </si>
  <si>
    <t>2024</t>
  </si>
  <si>
    <t>2023</t>
  </si>
  <si>
    <t>2022</t>
  </si>
  <si>
    <t>PUBLICIDAD, PROPAGANDA Y RELACIONES PÚBLICAS</t>
  </si>
  <si>
    <t>caso residual afectara.</t>
  </si>
  <si>
    <t>* En principio la incidencia del COVID-19 no tendrá ya efectos en el cierre de este ejercicio, pero dejamos los comentarios por si en algún</t>
  </si>
  <si>
    <t>En principio el COVID-19 no va a tener efectos en las Cuentas Anuales del presente ejercicio.</t>
  </si>
  <si>
    <t>DANA, COVID-19 Y OTRAS REVISIONES CIERRE</t>
  </si>
  <si>
    <t>Efectos DANA. Se habilita hoja DANA para su cumplimientación cuando corresponda.</t>
  </si>
  <si>
    <t>DANA</t>
  </si>
  <si>
    <t>Relación de ingresos, gastos y pérdidas a causa de la DANA</t>
  </si>
  <si>
    <t>Consorcio de Compensación de Seguros</t>
  </si>
  <si>
    <t>CUENTA CONTABLE</t>
  </si>
  <si>
    <t>Ayudas estatables directas</t>
  </si>
  <si>
    <t>Ayudas Cdad Autónoma directas</t>
  </si>
  <si>
    <t>Otras ayudas</t>
  </si>
  <si>
    <t>CIERRE CONTABLE Y FISCAL</t>
  </si>
  <si>
    <r>
      <t xml:space="preserve">INGRESOS </t>
    </r>
    <r>
      <rPr>
        <i/>
        <sz val="10"/>
        <color theme="1"/>
        <rFont val="Calibri"/>
        <family val="2"/>
      </rPr>
      <t>(detalle a modo de ejemplo)</t>
    </r>
  </si>
  <si>
    <r>
      <t xml:space="preserve">GASTOS </t>
    </r>
    <r>
      <rPr>
        <i/>
        <sz val="10"/>
        <color theme="1"/>
        <rFont val="Calibri"/>
        <family val="2"/>
      </rPr>
      <t>(detalle a modo de ejemplo)</t>
    </r>
  </si>
  <si>
    <t>Reparaciones</t>
  </si>
  <si>
    <t>Servicios profesionales</t>
  </si>
  <si>
    <t>Otros gastos</t>
  </si>
  <si>
    <r>
      <t xml:space="preserve">PÉRDIDAS DE INMOVILIZADO </t>
    </r>
    <r>
      <rPr>
        <i/>
        <sz val="10"/>
        <color theme="1"/>
        <rFont val="Calibri"/>
        <family val="2"/>
      </rPr>
      <t>(detalle a modo de ejemplo)</t>
    </r>
  </si>
  <si>
    <t>Vehículos</t>
  </si>
  <si>
    <t>Otro inmovilizado</t>
  </si>
  <si>
    <t>Maquinaria</t>
  </si>
  <si>
    <t>MARIO PILATO BLAT, S.A.</t>
  </si>
  <si>
    <t>Pendiente devolución Impuesto sociedades 2019 de Industrias Pilato.</t>
  </si>
  <si>
    <t>No coinciden las entreg. Intracomunitarias de diciembre, dif de 985,25 euros.</t>
  </si>
  <si>
    <t>No coinciden las adq. Intracomunitarias de abril, dif de 846 euros.</t>
  </si>
  <si>
    <t>1000001</t>
  </si>
  <si>
    <t xml:space="preserve">          Capital social</t>
  </si>
  <si>
    <t>1120001</t>
  </si>
  <si>
    <t xml:space="preserve">          Reserva legal (art.214 Ley S.A)</t>
  </si>
  <si>
    <t>1130001</t>
  </si>
  <si>
    <t xml:space="preserve">          Reserva voluntaria</t>
  </si>
  <si>
    <t>1130002</t>
  </si>
  <si>
    <t xml:space="preserve">          Reserva volunt. adaptac. NPGC 2007</t>
  </si>
  <si>
    <t>1130003</t>
  </si>
  <si>
    <t xml:space="preserve">          Reservas de Fusión</t>
  </si>
  <si>
    <t>1147018</t>
  </si>
  <si>
    <t xml:space="preserve">          Reserva de capitalizacion 2018</t>
  </si>
  <si>
    <t>1147019</t>
  </si>
  <si>
    <t xml:space="preserve">          Reserva Capitalizacion 2019</t>
  </si>
  <si>
    <t>1147020</t>
  </si>
  <si>
    <t xml:space="preserve">          Reserva Capitalizacion 2020</t>
  </si>
  <si>
    <t>1147021</t>
  </si>
  <si>
    <t>Reserva capitalizacion 2021</t>
  </si>
  <si>
    <t>1147022</t>
  </si>
  <si>
    <t>Reserva Capitalización 2022</t>
  </si>
  <si>
    <t>1147023</t>
  </si>
  <si>
    <t>Reserva Capitalización 2023</t>
  </si>
  <si>
    <t>1147118</t>
  </si>
  <si>
    <t xml:space="preserve">          Reserva Capitalización 2018 Fusión IP</t>
  </si>
  <si>
    <t>1147119</t>
  </si>
  <si>
    <t xml:space="preserve">          Reserva Capitalización 2019 Fusión IP</t>
  </si>
  <si>
    <t>1190001</t>
  </si>
  <si>
    <t xml:space="preserve">          Diferencias Ajuste Capital Euros</t>
  </si>
  <si>
    <t>1290001</t>
  </si>
  <si>
    <t xml:space="preserve">          Resultados del ejercicio</t>
  </si>
  <si>
    <t>1300018</t>
  </si>
  <si>
    <t xml:space="preserve">          Subv. AVEN Ahorro y efic.energ.2011</t>
  </si>
  <si>
    <t>1300019</t>
  </si>
  <si>
    <t xml:space="preserve">          Subv. IVACE Ahorro y efic.energ.2017</t>
  </si>
  <si>
    <t>1300020</t>
  </si>
  <si>
    <t>Subv. IVACE Instal. Placas fotovoltaicas Pilato II</t>
  </si>
  <si>
    <t>1330001</t>
  </si>
  <si>
    <t xml:space="preserve">          Aj.valor Acc. Iberdrola</t>
  </si>
  <si>
    <t>1330002</t>
  </si>
  <si>
    <t xml:space="preserve">          Aj.valor Acc. B. Santander</t>
  </si>
  <si>
    <t>1330003</t>
  </si>
  <si>
    <t xml:space="preserve">          Aj.valor Acc. Telefónica</t>
  </si>
  <si>
    <t>1330005</t>
  </si>
  <si>
    <t xml:space="preserve">          Aj.valor Acc. BBVA</t>
  </si>
  <si>
    <t>1330007</t>
  </si>
  <si>
    <t xml:space="preserve">          Aj.valor Acc. Caixabank</t>
  </si>
  <si>
    <t>1331001</t>
  </si>
  <si>
    <t xml:space="preserve">          Aj.valor Fondo Egeria CoyuntFI</t>
  </si>
  <si>
    <t>1331004</t>
  </si>
  <si>
    <t xml:space="preserve">          Aj. valor Fondo Flossbach Von Storch</t>
  </si>
  <si>
    <t>1331005</t>
  </si>
  <si>
    <t xml:space="preserve">          Aj. valor Fondo DB Wealth Conserve A</t>
  </si>
  <si>
    <t>1332001</t>
  </si>
  <si>
    <t xml:space="preserve">Aj.valor Acc. Helia Energia Renovable IV, SCR </t>
  </si>
  <si>
    <t>1332002</t>
  </si>
  <si>
    <t xml:space="preserve">Aj.valor Acc. Helia Energia Renovable III, SCR </t>
  </si>
  <si>
    <t>1332003</t>
  </si>
  <si>
    <t xml:space="preserve">Aj.valor Acc. Titán Inversiones en Infraestructuras, SCR </t>
  </si>
  <si>
    <t>1332004</t>
  </si>
  <si>
    <t xml:space="preserve">Aj.valor Acc. Acp-Co Investment Infraestructure I, SCR </t>
  </si>
  <si>
    <t>1800001</t>
  </si>
  <si>
    <t>Fianzas Arrendamiento Plazas garaje Polo y Bernabé</t>
  </si>
  <si>
    <t>1800002</t>
  </si>
  <si>
    <t xml:space="preserve">          Fianzas Arrendamiento Plataforma Logistica Cheste</t>
  </si>
  <si>
    <t>1800003</t>
  </si>
  <si>
    <t>Fianzas Arrendamiento Ed. Bolzano</t>
  </si>
  <si>
    <t>2020001</t>
  </si>
  <si>
    <t xml:space="preserve">          Concesiones administrativas</t>
  </si>
  <si>
    <t>2060000</t>
  </si>
  <si>
    <t xml:space="preserve">          Aplicaciones informáticas</t>
  </si>
  <si>
    <t>2100000</t>
  </si>
  <si>
    <t xml:space="preserve">          Terrenos para explotaciones</t>
  </si>
  <si>
    <t>2110000</t>
  </si>
  <si>
    <t xml:space="preserve">          Edificios</t>
  </si>
  <si>
    <t>2112000</t>
  </si>
  <si>
    <t xml:space="preserve">          Obras y vias de transporte</t>
  </si>
  <si>
    <t>2120000</t>
  </si>
  <si>
    <t xml:space="preserve">          Instalaciones técnicas</t>
  </si>
  <si>
    <t>2130000</t>
  </si>
  <si>
    <t xml:space="preserve">          Elementos de transporte interno</t>
  </si>
  <si>
    <t>2140000</t>
  </si>
  <si>
    <t xml:space="preserve">          Utiles y Herramientas</t>
  </si>
  <si>
    <t>2150000</t>
  </si>
  <si>
    <t xml:space="preserve">          Otras instalaciones</t>
  </si>
  <si>
    <t>2160000</t>
  </si>
  <si>
    <t xml:space="preserve">          Mobiliario</t>
  </si>
  <si>
    <t>2161000</t>
  </si>
  <si>
    <t xml:space="preserve">          Equipos de oficina</t>
  </si>
  <si>
    <t>2170000</t>
  </si>
  <si>
    <t xml:space="preserve">          Equipos de informatica</t>
  </si>
  <si>
    <t>2180000</t>
  </si>
  <si>
    <t xml:space="preserve">          Material automovil</t>
  </si>
  <si>
    <t>2190000</t>
  </si>
  <si>
    <t xml:space="preserve">          Otro inmovilizado material</t>
  </si>
  <si>
    <t>2191000</t>
  </si>
  <si>
    <t xml:space="preserve">          Aparatos y material de laboratorio</t>
  </si>
  <si>
    <t>2200000</t>
  </si>
  <si>
    <t xml:space="preserve">          Inversiones en Terrenos</t>
  </si>
  <si>
    <t>2210000</t>
  </si>
  <si>
    <t xml:space="preserve">          Inversiones en construcc. en curso</t>
  </si>
  <si>
    <t>2211000</t>
  </si>
  <si>
    <t xml:space="preserve">          Inversiones en construcc. terminada</t>
  </si>
  <si>
    <t xml:space="preserve">          Otras Instalaciones montaje</t>
  </si>
  <si>
    <t>2500001</t>
  </si>
  <si>
    <t xml:space="preserve">          Acciones Iberdrola</t>
  </si>
  <si>
    <t>2500002</t>
  </si>
  <si>
    <t xml:space="preserve">          Acciones Banco Santander</t>
  </si>
  <si>
    <t>2500003</t>
  </si>
  <si>
    <t xml:space="preserve">          Acciones Telefónica</t>
  </si>
  <si>
    <t>2500005</t>
  </si>
  <si>
    <t xml:space="preserve">          Acciones BBVA</t>
  </si>
  <si>
    <t>2500007</t>
  </si>
  <si>
    <t xml:space="preserve">          Acciones Caixabank</t>
  </si>
  <si>
    <t>2501001</t>
  </si>
  <si>
    <t xml:space="preserve">          Fondo Egeria Coyuntura FI</t>
  </si>
  <si>
    <t>2501004</t>
  </si>
  <si>
    <t xml:space="preserve">          Fondo FLOSSBACH VON STORCH BOND OPP0RTUNITIES</t>
  </si>
  <si>
    <t>2501005</t>
  </si>
  <si>
    <t xml:space="preserve">          FONDO DB WEALTH CONSERVE A</t>
  </si>
  <si>
    <t>2501101</t>
  </si>
  <si>
    <t xml:space="preserve">          AC HELIA ENERGIA RENOVABL IV SCR, S.A.</t>
  </si>
  <si>
    <t>2501102</t>
  </si>
  <si>
    <t xml:space="preserve">          AC HELIA ENERGIA RENOVABL III SCR, S.A.</t>
  </si>
  <si>
    <t>2501103</t>
  </si>
  <si>
    <t xml:space="preserve">          ACC TITAN INFRAESTRUCTURAS SCR</t>
  </si>
  <si>
    <t>2501104</t>
  </si>
  <si>
    <t>ACP-CO-INVESTMENT INFRAESTRUCTURE I, SCR, S.A.</t>
  </si>
  <si>
    <t>2501105</t>
  </si>
  <si>
    <t>BK INVESTMENT INVERSION ALTERN SCR, S.A.</t>
  </si>
  <si>
    <t>2540001</t>
  </si>
  <si>
    <t>Créditos a L/P al personal</t>
  </si>
  <si>
    <t>2600000</t>
  </si>
  <si>
    <t xml:space="preserve">          Fianzas Hidroelectrica Española</t>
  </si>
  <si>
    <t>2600001</t>
  </si>
  <si>
    <t xml:space="preserve">          Fianza Plaza Aparc. A.E.C.C</t>
  </si>
  <si>
    <t>2600002</t>
  </si>
  <si>
    <t xml:space="preserve">          Fianza Plaza Aparc. PREMIUM NUMBERS</t>
  </si>
  <si>
    <t>2600004</t>
  </si>
  <si>
    <t xml:space="preserve">          Fianza Ayunt. Cheste - Lic. obras Plataf.Logística</t>
  </si>
  <si>
    <t>2600006</t>
  </si>
  <si>
    <t xml:space="preserve">          Fianzas ATV-Arrendam. Plataforma Logistica Cheste</t>
  </si>
  <si>
    <t>2600007</t>
  </si>
  <si>
    <t>Fianza Garantia Sumin. EMIVASA - Ed. Bolzano</t>
  </si>
  <si>
    <t>2600008</t>
  </si>
  <si>
    <t>Fianzas ATV - Arrendam. Ed. Bolzano</t>
  </si>
  <si>
    <t>2650001</t>
  </si>
  <si>
    <t xml:space="preserve">          Dep.Plaza Garage n.150-Polo Bernabé</t>
  </si>
  <si>
    <t>2650002</t>
  </si>
  <si>
    <t xml:space="preserve">          Dep.Plaza Garage n.151-Polo Bernabé</t>
  </si>
  <si>
    <t>2650003</t>
  </si>
  <si>
    <t xml:space="preserve">          Fondo Reserva Asoc.Usuarios P.Chest</t>
  </si>
  <si>
    <t>2650004</t>
  </si>
  <si>
    <t>Depósito Ayuntam. Cheste - Exp.2416/2022 (120/2022)</t>
  </si>
  <si>
    <t>2650005</t>
  </si>
  <si>
    <t>Dep. Comunid. Propiet. - Edif. Bolzano</t>
  </si>
  <si>
    <t>2650006</t>
  </si>
  <si>
    <t>Depósito mobiliario Ed. Bolzano</t>
  </si>
  <si>
    <t>2650007</t>
  </si>
  <si>
    <t>Dep. Serv. ACS y Climatización - Edif. Bolzano</t>
  </si>
  <si>
    <t>2802001</t>
  </si>
  <si>
    <t xml:space="preserve">          Amort.Acum.Concesiones Administrat.</t>
  </si>
  <si>
    <t>2806001</t>
  </si>
  <si>
    <t xml:space="preserve">          Amort.Acum.Aplicaciones Informatica</t>
  </si>
  <si>
    <t>2811001</t>
  </si>
  <si>
    <t xml:space="preserve">          Amort.Acum.Edificios</t>
  </si>
  <si>
    <t>2811002</t>
  </si>
  <si>
    <t xml:space="preserve">          Amort.Acum.Obras y Vias transporte</t>
  </si>
  <si>
    <t>2812001</t>
  </si>
  <si>
    <t xml:space="preserve">          Amort.Acum.Instalac.Tecnicas</t>
  </si>
  <si>
    <t>2813001</t>
  </si>
  <si>
    <t xml:space="preserve">          Amort.Acum.Elem.Trasnp.Interno</t>
  </si>
  <si>
    <t>2814001</t>
  </si>
  <si>
    <t xml:space="preserve">          Amort.Acum.Utillaje</t>
  </si>
  <si>
    <t>2815001</t>
  </si>
  <si>
    <t xml:space="preserve">          Amort.Acum.Otras Instalac.</t>
  </si>
  <si>
    <t>2816001</t>
  </si>
  <si>
    <t xml:space="preserve">          Amort.acum. Mobiliario</t>
  </si>
  <si>
    <t>2816002</t>
  </si>
  <si>
    <t xml:space="preserve">          Amort.acum. Equipos Oficina</t>
  </si>
  <si>
    <t>2817001</t>
  </si>
  <si>
    <t xml:space="preserve">          Amort.Acum.Equipos Proceso Informac</t>
  </si>
  <si>
    <t>2818001</t>
  </si>
  <si>
    <t xml:space="preserve">          Amort.Acum.Material Automovil</t>
  </si>
  <si>
    <t>2819001</t>
  </si>
  <si>
    <t xml:space="preserve">          Amort.Acum.Otro Inmov.Material</t>
  </si>
  <si>
    <t>2819002</t>
  </si>
  <si>
    <t xml:space="preserve">          Amort.Acum. equipos laboratorio</t>
  </si>
  <si>
    <t>2821001</t>
  </si>
  <si>
    <t xml:space="preserve">          Amort.Acum.Inversiones en Construcc</t>
  </si>
  <si>
    <t>3000001</t>
  </si>
  <si>
    <t xml:space="preserve">          Mercaderías</t>
  </si>
  <si>
    <t>3000002</t>
  </si>
  <si>
    <t xml:space="preserve">          Mercaderías en camino</t>
  </si>
  <si>
    <t>3100001</t>
  </si>
  <si>
    <t xml:space="preserve">          Materias Primas</t>
  </si>
  <si>
    <t>3100002</t>
  </si>
  <si>
    <t xml:space="preserve">          Materias Primas en camino</t>
  </si>
  <si>
    <t>3200001</t>
  </si>
  <si>
    <t xml:space="preserve">          Aditivos</t>
  </si>
  <si>
    <t>3270001</t>
  </si>
  <si>
    <t xml:space="preserve">          Envases</t>
  </si>
  <si>
    <t>3500001</t>
  </si>
  <si>
    <t xml:space="preserve">          Productos Terminados</t>
  </si>
  <si>
    <t>4000001</t>
  </si>
  <si>
    <t xml:space="preserve">          Proveedores España</t>
  </si>
  <si>
    <t>4001001</t>
  </si>
  <si>
    <t xml:space="preserve">          Proveedores Importación</t>
  </si>
  <si>
    <t>4002001</t>
  </si>
  <si>
    <t xml:space="preserve">          Proveedores CEE</t>
  </si>
  <si>
    <t>4010001</t>
  </si>
  <si>
    <t xml:space="preserve">          Proveedores ESP, Cartera de efectos</t>
  </si>
  <si>
    <t>4010002</t>
  </si>
  <si>
    <t xml:space="preserve">          Proveedores Imp, Cartera de efectos</t>
  </si>
  <si>
    <t>4010003</t>
  </si>
  <si>
    <t xml:space="preserve">          Proveedores CEE, Cartera de efectos</t>
  </si>
  <si>
    <t>4100001</t>
  </si>
  <si>
    <t xml:space="preserve">          Acreedores España</t>
  </si>
  <si>
    <t>4101001</t>
  </si>
  <si>
    <t xml:space="preserve">          Acreedores Importación</t>
  </si>
  <si>
    <t>4102001</t>
  </si>
  <si>
    <t xml:space="preserve">          Acreedores CEE</t>
  </si>
  <si>
    <t>4110001</t>
  </si>
  <si>
    <t xml:space="preserve">          Acreedores ESP, Cartera de efectos</t>
  </si>
  <si>
    <t>4110002</t>
  </si>
  <si>
    <t xml:space="preserve">          Acreedores Imp., Cartera de efectos</t>
  </si>
  <si>
    <t>4110003</t>
  </si>
  <si>
    <t xml:space="preserve">          Acreedores CEE, Cartera de efectos</t>
  </si>
  <si>
    <t>4300001</t>
  </si>
  <si>
    <t xml:space="preserve">          Clientes Nacionales</t>
  </si>
  <si>
    <t>4302001</t>
  </si>
  <si>
    <t xml:space="preserve">          Clientes Comunitarios</t>
  </si>
  <si>
    <t>4304001</t>
  </si>
  <si>
    <t xml:space="preserve">          Clientes Exportación</t>
  </si>
  <si>
    <t>4310001</t>
  </si>
  <si>
    <t xml:space="preserve">          Ef. Cartera Clientes Nacionales</t>
  </si>
  <si>
    <t>4310002</t>
  </si>
  <si>
    <t xml:space="preserve">          Ef. Cartera Clientes Exportación</t>
  </si>
  <si>
    <t>4310003</t>
  </si>
  <si>
    <t xml:space="preserve">          Ef.Cartera Clientes Comunitarios</t>
  </si>
  <si>
    <t>4312001</t>
  </si>
  <si>
    <t xml:space="preserve">          Ef. Gestión Cobro</t>
  </si>
  <si>
    <t>4314001</t>
  </si>
  <si>
    <t>Efectos en Confirming</t>
  </si>
  <si>
    <t>4315001</t>
  </si>
  <si>
    <t xml:space="preserve">          Ef. Impagados Clientes Nacionales</t>
  </si>
  <si>
    <t>4361001</t>
  </si>
  <si>
    <t xml:space="preserve">          Clientes de dudoso cobro extranjero</t>
  </si>
  <si>
    <t>4382002</t>
  </si>
  <si>
    <t>Anticipos alquiler Ed. Bolzano</t>
  </si>
  <si>
    <t>4400001</t>
  </si>
  <si>
    <t xml:space="preserve">          Deudores Varios</t>
  </si>
  <si>
    <t>4410001</t>
  </si>
  <si>
    <t xml:space="preserve">          Deudores ESPAÑA, efectos en cartera</t>
  </si>
  <si>
    <t>4600001</t>
  </si>
  <si>
    <t xml:space="preserve">          Anticipos al personal</t>
  </si>
  <si>
    <t>4650001</t>
  </si>
  <si>
    <t xml:space="preserve">          Remuneraciones pendientes de pago</t>
  </si>
  <si>
    <t>4708001</t>
  </si>
  <si>
    <t>Subvención gasointensivos - Min. Industria</t>
  </si>
  <si>
    <t>4709022</t>
  </si>
  <si>
    <t>H.P. Deudor IS 2022</t>
  </si>
  <si>
    <t>4709023</t>
  </si>
  <si>
    <t>H.P. Deudor IS 2023</t>
  </si>
  <si>
    <t>4720001</t>
  </si>
  <si>
    <t xml:space="preserve">          IVA Soportado</t>
  </si>
  <si>
    <t>4721001</t>
  </si>
  <si>
    <t xml:space="preserve">          Iva Soportado Importaciones</t>
  </si>
  <si>
    <t>4722001</t>
  </si>
  <si>
    <t xml:space="preserve">          IVA Soportado Adq.intra.bienes</t>
  </si>
  <si>
    <t>4723001</t>
  </si>
  <si>
    <t xml:space="preserve">          IVA Soportado (Inv.sujet.pasiv)</t>
  </si>
  <si>
    <t>4723002</t>
  </si>
  <si>
    <t xml:space="preserve">          IVA Soportado(Inv.suj.pas.comunit.)</t>
  </si>
  <si>
    <t>4723003</t>
  </si>
  <si>
    <t xml:space="preserve">          IVA Soportado(Inv.suj.pas.extranj.)</t>
  </si>
  <si>
    <t>4730001</t>
  </si>
  <si>
    <t xml:space="preserve">          Retencion cta.Deutsche Bank</t>
  </si>
  <si>
    <t>4730002</t>
  </si>
  <si>
    <t xml:space="preserve">          Retencion cta.Bankinter</t>
  </si>
  <si>
    <t>4730003</t>
  </si>
  <si>
    <t xml:space="preserve">          Retencion cta.Caixabank</t>
  </si>
  <si>
    <t>4730004</t>
  </si>
  <si>
    <t xml:space="preserve">          Retencion cta.Banco Santander</t>
  </si>
  <si>
    <t>4731002</t>
  </si>
  <si>
    <t xml:space="preserve">          Retencion cta.USD-Bankinter</t>
  </si>
  <si>
    <t>4731003</t>
  </si>
  <si>
    <t>Retención cta.USD - Caixabank</t>
  </si>
  <si>
    <t>4732001</t>
  </si>
  <si>
    <t xml:space="preserve">          Retencion Dividendos Iberdrola</t>
  </si>
  <si>
    <t>4732003</t>
  </si>
  <si>
    <t xml:space="preserve">          Retencion Dividendos B.Santander</t>
  </si>
  <si>
    <t>4732009</t>
  </si>
  <si>
    <t xml:space="preserve">          Retencion Dividendos Caixabank</t>
  </si>
  <si>
    <t>4732010</t>
  </si>
  <si>
    <t>Retención fondo Welzia Coyuntura</t>
  </si>
  <si>
    <t>4732011</t>
  </si>
  <si>
    <t>Retención fondo FLOSSBACH VON STORCH OPPORT.</t>
  </si>
  <si>
    <t>4732012</t>
  </si>
  <si>
    <t>Retención fondo DB CONSERVADOR ESG A, FI</t>
  </si>
  <si>
    <t>4733001</t>
  </si>
  <si>
    <t xml:space="preserve">          Ret.Cap.Inmobiliario,Locales negoci</t>
  </si>
  <si>
    <t>4735001</t>
  </si>
  <si>
    <t xml:space="preserve">          Hacienda Publica, pagos a cta.</t>
  </si>
  <si>
    <t>4740000</t>
  </si>
  <si>
    <t xml:space="preserve">          Ajustes 30% Amortización</t>
  </si>
  <si>
    <t xml:space="preserve">          Valor razonable Accs. Telefónica</t>
  </si>
  <si>
    <t xml:space="preserve">          Valor razonable Fondo Flossbach Von Storch</t>
  </si>
  <si>
    <t xml:space="preserve">          Valor razonable Fondo Wealth Conserve A</t>
  </si>
  <si>
    <t>Valor razonable Acc ACP-Co-Investment Infrastructure I</t>
  </si>
  <si>
    <t>4742022</t>
  </si>
  <si>
    <t>Deducciones ptes. aplicación 2022</t>
  </si>
  <si>
    <t>4742023</t>
  </si>
  <si>
    <t>Deducciones ptes. aplicación 2023</t>
  </si>
  <si>
    <t>4750001</t>
  </si>
  <si>
    <t xml:space="preserve">          Hacienda Publica,acreedora por IVA</t>
  </si>
  <si>
    <t>4751001</t>
  </si>
  <si>
    <t xml:space="preserve">          Ret.IRPF Nominas</t>
  </si>
  <si>
    <t>4751002</t>
  </si>
  <si>
    <t xml:space="preserve">          Ret.IRPF Administradores Consejo</t>
  </si>
  <si>
    <t>4751003</t>
  </si>
  <si>
    <t xml:space="preserve">          Ret.IRPF Profesionales</t>
  </si>
  <si>
    <t>4751004</t>
  </si>
  <si>
    <t xml:space="preserve">          Ret.IRPF Comisionistas</t>
  </si>
  <si>
    <t>4751005</t>
  </si>
  <si>
    <t xml:space="preserve">          Ret.IRPF Alquiler locales negocio</t>
  </si>
  <si>
    <t>4751006</t>
  </si>
  <si>
    <t xml:space="preserve">          Ret.IRPF Actividades por Módulos</t>
  </si>
  <si>
    <t>4751007</t>
  </si>
  <si>
    <t xml:space="preserve">          Ret.IRPF Administradores Ejecutivos</t>
  </si>
  <si>
    <t>4760001</t>
  </si>
  <si>
    <t xml:space="preserve">          Tesoreria Gral. Seg. Social</t>
  </si>
  <si>
    <t>4770001</t>
  </si>
  <si>
    <t xml:space="preserve">          IVA Repercutido</t>
  </si>
  <si>
    <t>4771001</t>
  </si>
  <si>
    <t xml:space="preserve">          Iva Repercutido Importaciones</t>
  </si>
  <si>
    <t>4772001</t>
  </si>
  <si>
    <t xml:space="preserve">          IVA Repercutido Adq.intra.bienes</t>
  </si>
  <si>
    <t>4773001</t>
  </si>
  <si>
    <t xml:space="preserve">          IVA Reperc(Inv.Sujet.Pasiv.Naciona)</t>
  </si>
  <si>
    <t>4773002</t>
  </si>
  <si>
    <t xml:space="preserve">          IVA Reperc(Inv.Suj.Pas.Comunit.)</t>
  </si>
  <si>
    <t>4773003</t>
  </si>
  <si>
    <t xml:space="preserve">          IVA Reperc(Inv.Suj.Pas.Extranj.)</t>
  </si>
  <si>
    <t>4790001</t>
  </si>
  <si>
    <t xml:space="preserve">          Valor razonable Accs. Iberdrola</t>
  </si>
  <si>
    <t>4790002</t>
  </si>
  <si>
    <t xml:space="preserve">          Valor razonable Accs. BSCH</t>
  </si>
  <si>
    <t>4790005</t>
  </si>
  <si>
    <t xml:space="preserve">          Valor razonable Accs. BBVA</t>
  </si>
  <si>
    <t>4790007</t>
  </si>
  <si>
    <t xml:space="preserve">          Valor razonable Accs. Caixabank</t>
  </si>
  <si>
    <t>4790101</t>
  </si>
  <si>
    <t xml:space="preserve">          Valor razonable Fondo Egeria Coyuntura FI</t>
  </si>
  <si>
    <t>4790218</t>
  </si>
  <si>
    <t xml:space="preserve">          Dif.Tem.Subv.AVEN ahorro y efi.2011</t>
  </si>
  <si>
    <t>4790219</t>
  </si>
  <si>
    <t xml:space="preserve">          Dif.Temp.Subv. IVACE Ahorro y efic.energ.2017</t>
  </si>
  <si>
    <t>4790301</t>
  </si>
  <si>
    <t>Valor razonable Acc Helia Energia Renovable IV, SCR</t>
  </si>
  <si>
    <t>4790302</t>
  </si>
  <si>
    <t>Valor razonable Acc Helia Energia Renovable III, SCR</t>
  </si>
  <si>
    <t>4790303</t>
  </si>
  <si>
    <t>Valor razonable Acc Titan Inversiones en Infraestructuras, SCR</t>
  </si>
  <si>
    <t>4790304</t>
  </si>
  <si>
    <t>4800002</t>
  </si>
  <si>
    <t xml:space="preserve">          Gastos anticipados Seguro Incendios</t>
  </si>
  <si>
    <t>4800003</t>
  </si>
  <si>
    <t xml:space="preserve">          Gastos anticipados Seguro vehiculos</t>
  </si>
  <si>
    <t>4800004</t>
  </si>
  <si>
    <t xml:space="preserve">          Gtos anticip Seg.Accidente Convenio</t>
  </si>
  <si>
    <t>4800005</t>
  </si>
  <si>
    <t xml:space="preserve">          Gastos anticipados Seguro Responsabilidad Civil</t>
  </si>
  <si>
    <t>4900001</t>
  </si>
  <si>
    <t xml:space="preserve">          Deter de valor de créd por op. Com.</t>
  </si>
  <si>
    <t>5210001</t>
  </si>
  <si>
    <t>Deudas a corto plazo</t>
  </si>
  <si>
    <t>5440001</t>
  </si>
  <si>
    <t>Créditos a C/P al personal</t>
  </si>
  <si>
    <t>5650001</t>
  </si>
  <si>
    <t xml:space="preserve">          Fianza Ayunt. Cheste - Desvio tuberia 2- tramo</t>
  </si>
  <si>
    <t>5660002</t>
  </si>
  <si>
    <t xml:space="preserve">          Depósito Garantia Eti Maden Contrato Anual</t>
  </si>
  <si>
    <t>5700001</t>
  </si>
  <si>
    <t xml:space="preserve">          Caja, euros</t>
  </si>
  <si>
    <t>5720001</t>
  </si>
  <si>
    <t xml:space="preserve">          Deutsche Bank</t>
  </si>
  <si>
    <t>5720002</t>
  </si>
  <si>
    <t xml:space="preserve">          Bankinter</t>
  </si>
  <si>
    <t>5720003</t>
  </si>
  <si>
    <t xml:space="preserve">          Caixabank</t>
  </si>
  <si>
    <t>5720004</t>
  </si>
  <si>
    <t xml:space="preserve">          Banco Santander</t>
  </si>
  <si>
    <t>5720005</t>
  </si>
  <si>
    <t xml:space="preserve">          BBVA</t>
  </si>
  <si>
    <t>5720006</t>
  </si>
  <si>
    <t>CAIXABANK - SCR</t>
  </si>
  <si>
    <t>5730001</t>
  </si>
  <si>
    <t xml:space="preserve">          Cta.USD-Deutsche Bank</t>
  </si>
  <si>
    <t>5730002</t>
  </si>
  <si>
    <t xml:space="preserve">          Cta.USD-Bankinter</t>
  </si>
  <si>
    <t>5730003</t>
  </si>
  <si>
    <t>Cta. USD - Caixabank</t>
  </si>
  <si>
    <t>6000001</t>
  </si>
  <si>
    <t xml:space="preserve">          Compras mercaderías España</t>
  </si>
  <si>
    <t>6000002</t>
  </si>
  <si>
    <t xml:space="preserve">          Transp.Compras mercaderías España</t>
  </si>
  <si>
    <t>6001001</t>
  </si>
  <si>
    <t xml:space="preserve">          Compras Mercaderias Importación</t>
  </si>
  <si>
    <t>6001002</t>
  </si>
  <si>
    <t xml:space="preserve">          Fletes y otro compras Mercad.import</t>
  </si>
  <si>
    <t>6001003</t>
  </si>
  <si>
    <t xml:space="preserve">          Transportes compras Mercad. import</t>
  </si>
  <si>
    <t>6001004</t>
  </si>
  <si>
    <t xml:space="preserve">          Comisiones Agentes Aduana Mercaderi</t>
  </si>
  <si>
    <t>6001005</t>
  </si>
  <si>
    <t xml:space="preserve">          Derechos arancelarios Mercaderias</t>
  </si>
  <si>
    <t>6001006</t>
  </si>
  <si>
    <t xml:space="preserve">          Servicios control mercancia Mercade</t>
  </si>
  <si>
    <t>6001010</t>
  </si>
  <si>
    <t xml:space="preserve">          Seguro transportes Mercaderias</t>
  </si>
  <si>
    <t>6001011</t>
  </si>
  <si>
    <t>Impto. Plástico mercaderías</t>
  </si>
  <si>
    <t>6001999</t>
  </si>
  <si>
    <t xml:space="preserve">          Compras DUA Importación Mercaderías</t>
  </si>
  <si>
    <t>6002001</t>
  </si>
  <si>
    <t xml:space="preserve">          Compras Mercaderías CEE</t>
  </si>
  <si>
    <t>6002002</t>
  </si>
  <si>
    <t xml:space="preserve">          Transportes compras Mercaderías CEE</t>
  </si>
  <si>
    <t>6003001</t>
  </si>
  <si>
    <t xml:space="preserve">          Compras Import. Mercaderias en cami</t>
  </si>
  <si>
    <t>6010001</t>
  </si>
  <si>
    <t xml:space="preserve">          Compras Materias Primas España</t>
  </si>
  <si>
    <t>6010002</t>
  </si>
  <si>
    <t xml:space="preserve">          Transp. Compras Mat. Primas España</t>
  </si>
  <si>
    <t>6011001</t>
  </si>
  <si>
    <t xml:space="preserve">          Compras Materias Primas Importación</t>
  </si>
  <si>
    <t>6011002</t>
  </si>
  <si>
    <t xml:space="preserve">          Fletes y otros compras Mat.Prim.Imp</t>
  </si>
  <si>
    <t>6011003</t>
  </si>
  <si>
    <t xml:space="preserve">          Transportes compras Mat.Prim Import</t>
  </si>
  <si>
    <t>6011004</t>
  </si>
  <si>
    <t xml:space="preserve">          Comisiones Agentes Aduana Mat.Prima</t>
  </si>
  <si>
    <t>6011006</t>
  </si>
  <si>
    <t xml:space="preserve">          Servicios control mercancia Mat.Pri</t>
  </si>
  <si>
    <t>6011008</t>
  </si>
  <si>
    <t xml:space="preserve">          Analisis quimicos Mat. Primas</t>
  </si>
  <si>
    <t>6011010</t>
  </si>
  <si>
    <t xml:space="preserve">          Seguro transportes Mat. Primas</t>
  </si>
  <si>
    <t>6011011</t>
  </si>
  <si>
    <t>Impto. Plástico Materias Primas</t>
  </si>
  <si>
    <t>6011999</t>
  </si>
  <si>
    <t xml:space="preserve">          Compras DUA Importación Mat. Primas</t>
  </si>
  <si>
    <t>6012001</t>
  </si>
  <si>
    <t xml:space="preserve">          Compras Materias Primas CEE</t>
  </si>
  <si>
    <t>6013001</t>
  </si>
  <si>
    <t xml:space="preserve">          Compras Import. Mat.Primas en camin</t>
  </si>
  <si>
    <t>6020001</t>
  </si>
  <si>
    <t xml:space="preserve">          Compras de aditivos</t>
  </si>
  <si>
    <t>6026001</t>
  </si>
  <si>
    <t xml:space="preserve">          Compras de embalajes</t>
  </si>
  <si>
    <t>6027001</t>
  </si>
  <si>
    <t xml:space="preserve">          Compras de envases España</t>
  </si>
  <si>
    <t>6062001</t>
  </si>
  <si>
    <t xml:space="preserve">          Dctos.s/compras p.p.otros aprovisio</t>
  </si>
  <si>
    <t>6100001</t>
  </si>
  <si>
    <t xml:space="preserve">          Variacion existencias mercaderias</t>
  </si>
  <si>
    <t>6110001</t>
  </si>
  <si>
    <t xml:space="preserve">          Variación existencias Mat. Primas</t>
  </si>
  <si>
    <t>6120001</t>
  </si>
  <si>
    <t xml:space="preserve">          Variacion exist.otros aprovisionami</t>
  </si>
  <si>
    <t>6210001</t>
  </si>
  <si>
    <t xml:space="preserve">          Arrendamientos inmuebles</t>
  </si>
  <si>
    <t>6211006</t>
  </si>
  <si>
    <t xml:space="preserve">          Arrendamiento BNP-C-A1A03163</t>
  </si>
  <si>
    <t>6211007</t>
  </si>
  <si>
    <t xml:space="preserve">          Arrendamiento BNP-C-A1A88863</t>
  </si>
  <si>
    <t>6211008</t>
  </si>
  <si>
    <t>Arrendamiento BNP-C-A1C20874</t>
  </si>
  <si>
    <t>6215003</t>
  </si>
  <si>
    <t xml:space="preserve">          Canon Municipal Ayuntam. Valencia</t>
  </si>
  <si>
    <t>6220001</t>
  </si>
  <si>
    <t xml:space="preserve">          Reparaciones y Conservacion</t>
  </si>
  <si>
    <t>6220002</t>
  </si>
  <si>
    <t xml:space="preserve">          Cuotas mtto. Asoc.Usuari Pg Cheste</t>
  </si>
  <si>
    <t>6221001</t>
  </si>
  <si>
    <t xml:space="preserve">          Reparación inmuebles arrendados Bolzano</t>
  </si>
  <si>
    <t>6221002</t>
  </si>
  <si>
    <t>Reparación inmuebles arrendados Plataformas</t>
  </si>
  <si>
    <t>6230001</t>
  </si>
  <si>
    <t xml:space="preserve">          Asesoria Orgadem</t>
  </si>
  <si>
    <t>6230002</t>
  </si>
  <si>
    <t xml:space="preserve">          Asesoria G.Romero y Asociados</t>
  </si>
  <si>
    <t>6230004</t>
  </si>
  <si>
    <t xml:space="preserve">          Auditores Andreu,Romero y asoc.</t>
  </si>
  <si>
    <t>6230005</t>
  </si>
  <si>
    <t xml:space="preserve">          Auditores calidad SGS</t>
  </si>
  <si>
    <t>6230006</t>
  </si>
  <si>
    <t xml:space="preserve">          Asesores FinAgentes</t>
  </si>
  <si>
    <t>6230007</t>
  </si>
  <si>
    <t xml:space="preserve">          Consultoria Grupo Reinventalia</t>
  </si>
  <si>
    <t>6230008</t>
  </si>
  <si>
    <t xml:space="preserve">          Asesoría Jurídica Varona Asesores, S.L.P.</t>
  </si>
  <si>
    <t>6230009</t>
  </si>
  <si>
    <t xml:space="preserve">          Colegio de Registradores de España</t>
  </si>
  <si>
    <t>6230010</t>
  </si>
  <si>
    <t xml:space="preserve">          Asesoría Contable y Fiscal Varona Asesores, S.L.P.</t>
  </si>
  <si>
    <t>6230012</t>
  </si>
  <si>
    <t>Consultor GMP MITLAB</t>
  </si>
  <si>
    <t>6230013</t>
  </si>
  <si>
    <t>Caixabank - Serv. asesoramiento independ SCR</t>
  </si>
  <si>
    <t>6230014</t>
  </si>
  <si>
    <t>Consultoría Ingeniería Ingenia</t>
  </si>
  <si>
    <t>6230099</t>
  </si>
  <si>
    <t xml:space="preserve">          Otros servicios profesionales s/ret</t>
  </si>
  <si>
    <t>6231002</t>
  </si>
  <si>
    <t xml:space="preserve">          Notario J. Sapena Davo</t>
  </si>
  <si>
    <t>6231004</t>
  </si>
  <si>
    <t xml:space="preserve">          Registro Mercantil de Valencia</t>
  </si>
  <si>
    <t>6231005</t>
  </si>
  <si>
    <t xml:space="preserve">          Auditora Dulce Adria Cerezo</t>
  </si>
  <si>
    <t>6231099</t>
  </si>
  <si>
    <t xml:space="preserve">          Otros servicios profesionales c/ret</t>
  </si>
  <si>
    <t>6231101</t>
  </si>
  <si>
    <t>Agente Inmobiliario Vertecasa - Begoña Cabrera</t>
  </si>
  <si>
    <t>6232001</t>
  </si>
  <si>
    <t xml:space="preserve">          Agente Flexair</t>
  </si>
  <si>
    <t>6232002</t>
  </si>
  <si>
    <t xml:space="preserve">          Agente Benchmark International</t>
  </si>
  <si>
    <t>6232003</t>
  </si>
  <si>
    <t xml:space="preserve">          Agente Barbieri Alessandro</t>
  </si>
  <si>
    <t>6232011</t>
  </si>
  <si>
    <t xml:space="preserve">          Agente Eti Maden</t>
  </si>
  <si>
    <t>6233001</t>
  </si>
  <si>
    <t xml:space="preserve">          Agente Hasat</t>
  </si>
  <si>
    <t>6233002</t>
  </si>
  <si>
    <t xml:space="preserve">          Agente Etimine</t>
  </si>
  <si>
    <t>6234002</t>
  </si>
  <si>
    <t xml:space="preserve">          Agente Gaetano Polichetti</t>
  </si>
  <si>
    <t>6234003</t>
  </si>
  <si>
    <t xml:space="preserve">          Agente Alejandro Mateu</t>
  </si>
  <si>
    <t>6235002</t>
  </si>
  <si>
    <t xml:space="preserve">          Agente Saint Gobain Facilitas, S.L.</t>
  </si>
  <si>
    <t>6235003</t>
  </si>
  <si>
    <t xml:space="preserve">          Agente Glokem Pro Distribution, S.L.U.</t>
  </si>
  <si>
    <t>6236001</t>
  </si>
  <si>
    <t xml:space="preserve">          Asesores Fastmarkets</t>
  </si>
  <si>
    <t>6240001</t>
  </si>
  <si>
    <t xml:space="preserve">          Transp.y Fletes ventas</t>
  </si>
  <si>
    <t>6240002</t>
  </si>
  <si>
    <t xml:space="preserve">          Transp. Courier/Mensajería</t>
  </si>
  <si>
    <t>6249002</t>
  </si>
  <si>
    <t xml:space="preserve">          Transportes suministros fabrica</t>
  </si>
  <si>
    <t>6250001</t>
  </si>
  <si>
    <t xml:space="preserve">          Seguros vehiculos</t>
  </si>
  <si>
    <t>6250002</t>
  </si>
  <si>
    <t xml:space="preserve">          Seguro transportes Ventas</t>
  </si>
  <si>
    <t>6250003</t>
  </si>
  <si>
    <t xml:space="preserve">          Seguro Incendios</t>
  </si>
  <si>
    <t>6250004</t>
  </si>
  <si>
    <t xml:space="preserve">          Seguros ventas</t>
  </si>
  <si>
    <t>6250005</t>
  </si>
  <si>
    <t xml:space="preserve">          Seguro Accidente Convenio</t>
  </si>
  <si>
    <t>6250006</t>
  </si>
  <si>
    <t xml:space="preserve">          Seguro Responsabilidad Civil</t>
  </si>
  <si>
    <t>6260001</t>
  </si>
  <si>
    <t xml:space="preserve">          Comisiones y gastos importacion</t>
  </si>
  <si>
    <t>6260002</t>
  </si>
  <si>
    <t xml:space="preserve">          Gastos de gestion de cobro</t>
  </si>
  <si>
    <t>6260003</t>
  </si>
  <si>
    <t xml:space="preserve">          Gastos devolucion efectos</t>
  </si>
  <si>
    <t>6260004</t>
  </si>
  <si>
    <t xml:space="preserve">          Gastos de avales y garantias</t>
  </si>
  <si>
    <t>6260005</t>
  </si>
  <si>
    <t xml:space="preserve">          Servicios bancarios diversos</t>
  </si>
  <si>
    <t>6260006</t>
  </si>
  <si>
    <t xml:space="preserve">          Comisiones exportacion y CEE</t>
  </si>
  <si>
    <t>6260007</t>
  </si>
  <si>
    <t xml:space="preserve">          Gastos derechos custodia</t>
  </si>
  <si>
    <t>6260008</t>
  </si>
  <si>
    <t xml:space="preserve">          Gastos anticipo de cobros</t>
  </si>
  <si>
    <t>6270001</t>
  </si>
  <si>
    <t xml:space="preserve">          Publicidad y relaciones publicas</t>
  </si>
  <si>
    <t>6280001</t>
  </si>
  <si>
    <t xml:space="preserve">          Suministros agua</t>
  </si>
  <si>
    <t>6280002</t>
  </si>
  <si>
    <t xml:space="preserve">          Suministros electricidad - Pilato I</t>
  </si>
  <si>
    <t>6280003</t>
  </si>
  <si>
    <t xml:space="preserve">          Sum. electricidad PG Cheste</t>
  </si>
  <si>
    <t>6280005</t>
  </si>
  <si>
    <t xml:space="preserve">          Suministro gas plt. ox. zinc.</t>
  </si>
  <si>
    <t>6280006</t>
  </si>
  <si>
    <t xml:space="preserve">          Suministro gas - Pilato I</t>
  </si>
  <si>
    <t>6280007</t>
  </si>
  <si>
    <t>Suministros electricidad - Pilato II</t>
  </si>
  <si>
    <t>6280008</t>
  </si>
  <si>
    <t>Suministros electricidad Oficina Valencia</t>
  </si>
  <si>
    <t>6280101</t>
  </si>
  <si>
    <t>Suministros electricidad - Inmuebles arrendados</t>
  </si>
  <si>
    <t>6280102</t>
  </si>
  <si>
    <t>Suministros agua - Inmuebles arrendados</t>
  </si>
  <si>
    <t>6280103</t>
  </si>
  <si>
    <t>Suministros Aerotermia - Inmuebles arrendados</t>
  </si>
  <si>
    <t>6280109</t>
  </si>
  <si>
    <t>Suministro electricidad Plataformas</t>
  </si>
  <si>
    <t>6281001</t>
  </si>
  <si>
    <t xml:space="preserve">          Material de oficina</t>
  </si>
  <si>
    <t>6281002</t>
  </si>
  <si>
    <t xml:space="preserve">          Material informatico</t>
  </si>
  <si>
    <t>6281003</t>
  </si>
  <si>
    <t xml:space="preserve">          Libros, revistas y periodicos</t>
  </si>
  <si>
    <t>6282001</t>
  </si>
  <si>
    <t xml:space="preserve">          Suministros entretenimiento inmovilizado</t>
  </si>
  <si>
    <t>6283001</t>
  </si>
  <si>
    <t xml:space="preserve">          Suministros para taller</t>
  </si>
  <si>
    <t>6283002</t>
  </si>
  <si>
    <t xml:space="preserve">          Suministros laboratorio</t>
  </si>
  <si>
    <t>6283003</t>
  </si>
  <si>
    <t xml:space="preserve">          Lubricantes</t>
  </si>
  <si>
    <t>6283005</t>
  </si>
  <si>
    <t xml:space="preserve">          Gases Industriales</t>
  </si>
  <si>
    <t>6283006</t>
  </si>
  <si>
    <t xml:space="preserve">          Gasoleo B</t>
  </si>
  <si>
    <t>6283007</t>
  </si>
  <si>
    <t>Suministros para fábrica</t>
  </si>
  <si>
    <t>6291001</t>
  </si>
  <si>
    <t xml:space="preserve">          Correos</t>
  </si>
  <si>
    <t>6291002</t>
  </si>
  <si>
    <t xml:space="preserve">          Servicios red centralitas CENTREX</t>
  </si>
  <si>
    <t>6291003</t>
  </si>
  <si>
    <t xml:space="preserve">          ADSL STB</t>
  </si>
  <si>
    <t>6291004</t>
  </si>
  <si>
    <t xml:space="preserve">          Macrolan Individual</t>
  </si>
  <si>
    <t>6291005</t>
  </si>
  <si>
    <t xml:space="preserve">          Móviles</t>
  </si>
  <si>
    <t>6291006</t>
  </si>
  <si>
    <t xml:space="preserve">          VPN IP</t>
  </si>
  <si>
    <t>6291007</t>
  </si>
  <si>
    <t xml:space="preserve">          Facturación concertada Emp. Fija</t>
  </si>
  <si>
    <t>6291008</t>
  </si>
  <si>
    <t xml:space="preserve">          Serv. Acceso Remoto Básico</t>
  </si>
  <si>
    <t>6291009</t>
  </si>
  <si>
    <t xml:space="preserve">          Plan Corporativo Tarifa única - CENTREX</t>
  </si>
  <si>
    <t>6291010</t>
  </si>
  <si>
    <t>Servidor y VPN AZURE</t>
  </si>
  <si>
    <t>6292001</t>
  </si>
  <si>
    <t xml:space="preserve">          Transportes propios</t>
  </si>
  <si>
    <t>6294001</t>
  </si>
  <si>
    <t xml:space="preserve">          Servicios de vigilancia</t>
  </si>
  <si>
    <t>6294003</t>
  </si>
  <si>
    <t xml:space="preserve">          Servicios de informatica</t>
  </si>
  <si>
    <t>6294004</t>
  </si>
  <si>
    <t xml:space="preserve">          Servicios informacion crediticia</t>
  </si>
  <si>
    <t>6294007</t>
  </si>
  <si>
    <t xml:space="preserve">          Servicios de gestion de residuos</t>
  </si>
  <si>
    <t>6294010</t>
  </si>
  <si>
    <t xml:space="preserve">          Servicios Análisis químicos Prod. Terminados</t>
  </si>
  <si>
    <t>6294011</t>
  </si>
  <si>
    <t xml:space="preserve">          Servicios de limpieza</t>
  </si>
  <si>
    <t>6294012</t>
  </si>
  <si>
    <t xml:space="preserve">          Servicios eficiencia energética</t>
  </si>
  <si>
    <t>6294013</t>
  </si>
  <si>
    <t xml:space="preserve">          Servicios Control de Presencia</t>
  </si>
  <si>
    <t>6294014</t>
  </si>
  <si>
    <t xml:space="preserve">          Servicios gestión medioambiental</t>
  </si>
  <si>
    <t>6294015</t>
  </si>
  <si>
    <t>Servicios Consultoria y Medio Ambiente</t>
  </si>
  <si>
    <t>6294099</t>
  </si>
  <si>
    <t xml:space="preserve">          Otros servicios diversos</t>
  </si>
  <si>
    <t>6294101</t>
  </si>
  <si>
    <t>Otros servicios diversos inmuebles arrendados</t>
  </si>
  <si>
    <t>6294102</t>
  </si>
  <si>
    <t>Gastos limpieza inmuebles arrendados</t>
  </si>
  <si>
    <t>6295001</t>
  </si>
  <si>
    <t xml:space="preserve">          Servicios desarrollo REACH</t>
  </si>
  <si>
    <t>6295003</t>
  </si>
  <si>
    <t xml:space="preserve">          Servicios REACH Oxido de Zinc</t>
  </si>
  <si>
    <t>6296001</t>
  </si>
  <si>
    <t xml:space="preserve">          Formación profesional para el empleo</t>
  </si>
  <si>
    <t>6298001</t>
  </si>
  <si>
    <t xml:space="preserve">          Seguridad e higiene del personal</t>
  </si>
  <si>
    <t>6299002</t>
  </si>
  <si>
    <t xml:space="preserve">          Donativos</t>
  </si>
  <si>
    <t>6299009</t>
  </si>
  <si>
    <t xml:space="preserve">          Otros gastos diversos</t>
  </si>
  <si>
    <t>6299101</t>
  </si>
  <si>
    <t>Otros gastos diversos - Inmuebles arrendados</t>
  </si>
  <si>
    <t>6310001</t>
  </si>
  <si>
    <t xml:space="preserve">          Impuesto Bienes Inmuebles</t>
  </si>
  <si>
    <t>6310002</t>
  </si>
  <si>
    <t xml:space="preserve">          Impuesto Actividades Economicas</t>
  </si>
  <si>
    <t>6310004</t>
  </si>
  <si>
    <t xml:space="preserve">          Impuestos y tasas varios</t>
  </si>
  <si>
    <t>6310101</t>
  </si>
  <si>
    <t>Impuesto Bienes Inmuebles Inmobiliario</t>
  </si>
  <si>
    <t>6310102</t>
  </si>
  <si>
    <t>Impuesto Actividades Economicas Inmuebles</t>
  </si>
  <si>
    <t>6311001</t>
  </si>
  <si>
    <t xml:space="preserve">          Multas y Sanciones</t>
  </si>
  <si>
    <t>6401001</t>
  </si>
  <si>
    <t xml:space="preserve">          Retribuciones brutas nominas</t>
  </si>
  <si>
    <t>6402001</t>
  </si>
  <si>
    <t xml:space="preserve">          Retribuc.brutas administradores consejo</t>
  </si>
  <si>
    <t>6402002</t>
  </si>
  <si>
    <t xml:space="preserve">          Retribuc.brutas administradores ejecutivos</t>
  </si>
  <si>
    <t>6410001</t>
  </si>
  <si>
    <t xml:space="preserve">          Indemnizaciones por despido</t>
  </si>
  <si>
    <t>6420001</t>
  </si>
  <si>
    <t xml:space="preserve">          Seg.Social a cargo de la empresa</t>
  </si>
  <si>
    <t>6490001</t>
  </si>
  <si>
    <t xml:space="preserve">          Vestuario de personal</t>
  </si>
  <si>
    <t>6680001</t>
  </si>
  <si>
    <t xml:space="preserve">          Dif.negativas USD</t>
  </si>
  <si>
    <t>6680002</t>
  </si>
  <si>
    <t xml:space="preserve">          Dif.negativas GBP</t>
  </si>
  <si>
    <t>6693001</t>
  </si>
  <si>
    <t>Intereses Confirming</t>
  </si>
  <si>
    <t>6780001</t>
  </si>
  <si>
    <t xml:space="preserve">          Gastos regularizacion cuentas</t>
  </si>
  <si>
    <t>6800001</t>
  </si>
  <si>
    <t xml:space="preserve">          Amortizacion Inmov.Intangible</t>
  </si>
  <si>
    <t>6810001</t>
  </si>
  <si>
    <t xml:space="preserve">          Amortizacion Inmov.Material</t>
  </si>
  <si>
    <t>6820001</t>
  </si>
  <si>
    <t xml:space="preserve">          Amortizacion Inversiones Inmobiliar</t>
  </si>
  <si>
    <t>6940001</t>
  </si>
  <si>
    <t xml:space="preserve">          Perdidas deter ctos. Oper. Comerc</t>
  </si>
  <si>
    <t>7000001</t>
  </si>
  <si>
    <t xml:space="preserve">          Ventas Mercaderías España</t>
  </si>
  <si>
    <t>7000002</t>
  </si>
  <si>
    <t xml:space="preserve">          PORTES</t>
  </si>
  <si>
    <t>7001001</t>
  </si>
  <si>
    <t xml:space="preserve">          Ventas Mercaderías Exportación</t>
  </si>
  <si>
    <t>7001002</t>
  </si>
  <si>
    <t>PORTES EXPORT</t>
  </si>
  <si>
    <t>7002001</t>
  </si>
  <si>
    <t xml:space="preserve">          Ventas Mercaderías CEE</t>
  </si>
  <si>
    <t>7010001</t>
  </si>
  <si>
    <t xml:space="preserve">          Ventas Prod. Terminados España</t>
  </si>
  <si>
    <t>7010002</t>
  </si>
  <si>
    <t>7011001</t>
  </si>
  <si>
    <t xml:space="preserve">          Ventas Prod. Terminados Exportación</t>
  </si>
  <si>
    <t>7011002</t>
  </si>
  <si>
    <t>7012001</t>
  </si>
  <si>
    <t xml:space="preserve">          Ventas Prod. Terminados CEE</t>
  </si>
  <si>
    <t>7012002</t>
  </si>
  <si>
    <t xml:space="preserve">          PORTES CEE</t>
  </si>
  <si>
    <t>7051001</t>
  </si>
  <si>
    <t xml:space="preserve">          Arrendamientos con IVA</t>
  </si>
  <si>
    <t>7051002</t>
  </si>
  <si>
    <t xml:space="preserve">          Arrendamientos exentos</t>
  </si>
  <si>
    <t>7061001</t>
  </si>
  <si>
    <t xml:space="preserve">          Dcto.s/ventas pronto pago p.ter Esp</t>
  </si>
  <si>
    <t>7090001</t>
  </si>
  <si>
    <t xml:space="preserve">          Rappels s/ventas Mercaderías España</t>
  </si>
  <si>
    <t>7091001</t>
  </si>
  <si>
    <t xml:space="preserve">          Rappels s/ventas Prod. Term. España</t>
  </si>
  <si>
    <t>7091003</t>
  </si>
  <si>
    <t xml:space="preserve">          Rappels s/ventas Prod. Term. CEE</t>
  </si>
  <si>
    <t>7120001</t>
  </si>
  <si>
    <t xml:space="preserve">          Variacion exist.prod.terminados</t>
  </si>
  <si>
    <t>7400001</t>
  </si>
  <si>
    <t xml:space="preserve">          Bonif.formac.profesional para el empleo</t>
  </si>
  <si>
    <t>7590005</t>
  </si>
  <si>
    <t xml:space="preserve">          Ingresos Venta Chatarra Hierro</t>
  </si>
  <si>
    <t>7590006</t>
  </si>
  <si>
    <t>Ingresos Envases Plástico No contaminado</t>
  </si>
  <si>
    <t>7603001</t>
  </si>
  <si>
    <t xml:space="preserve">          Dividendos acciones Iberdrola</t>
  </si>
  <si>
    <t>7603002</t>
  </si>
  <si>
    <t xml:space="preserve">          Dividendos acciones B. Santander</t>
  </si>
  <si>
    <t>7603003</t>
  </si>
  <si>
    <t xml:space="preserve">          Dividendos acciones Telefónica</t>
  </si>
  <si>
    <t>7603007</t>
  </si>
  <si>
    <t xml:space="preserve">          Dividendos Acciones Caixabank</t>
  </si>
  <si>
    <t>7604001</t>
  </si>
  <si>
    <t xml:space="preserve">          Primas asistencia Junta Iberdrola</t>
  </si>
  <si>
    <t>7632005</t>
  </si>
  <si>
    <t>Beneficios venta acciones BBVA</t>
  </si>
  <si>
    <t>7663006</t>
  </si>
  <si>
    <t>Benficios venta fondo Welzia Coyuntura</t>
  </si>
  <si>
    <t>7663007</t>
  </si>
  <si>
    <t>Benficios venta fondo Flosbach Von Storch Opport.</t>
  </si>
  <si>
    <t>7663008</t>
  </si>
  <si>
    <t>Benficios venta fondo DB Wealth Conserve</t>
  </si>
  <si>
    <t>7680001</t>
  </si>
  <si>
    <t xml:space="preserve">          Dif. positivas USD</t>
  </si>
  <si>
    <t>7680002</t>
  </si>
  <si>
    <t xml:space="preserve">          Dif. positivas GBP</t>
  </si>
  <si>
    <t>7690001</t>
  </si>
  <si>
    <t xml:space="preserve">          Intereses cta.Deutsche Bank</t>
  </si>
  <si>
    <t>7690002</t>
  </si>
  <si>
    <t xml:space="preserve">          Intereses cta.Bankinter</t>
  </si>
  <si>
    <t>7690003</t>
  </si>
  <si>
    <t xml:space="preserve">          Intereses cta.Caixabank</t>
  </si>
  <si>
    <t>7690004</t>
  </si>
  <si>
    <t xml:space="preserve">          Intereses cta.Banco Santander</t>
  </si>
  <si>
    <t>7691002</t>
  </si>
  <si>
    <t xml:space="preserve">          Intereses cta.USD-Bankinter</t>
  </si>
  <si>
    <t>7691003</t>
  </si>
  <si>
    <t>Intereses cta. USD - Caixabank</t>
  </si>
  <si>
    <t>7710001</t>
  </si>
  <si>
    <t xml:space="preserve">          Beneficios proced.Inmov.material</t>
  </si>
  <si>
    <t>7780001</t>
  </si>
  <si>
    <t xml:space="preserve">          Ingresos varios</t>
  </si>
  <si>
    <t>7780002</t>
  </si>
  <si>
    <t xml:space="preserve">          Ingresos regulariz.cuentas</t>
  </si>
  <si>
    <t>8002001</t>
  </si>
  <si>
    <t>Pérdidas Acc Helia Energia renovable IV, SCR</t>
  </si>
  <si>
    <t>8002002</t>
  </si>
  <si>
    <t>Pérdidas Acc Helia Energia renovable III, SCR</t>
  </si>
  <si>
    <t>8020005</t>
  </si>
  <si>
    <t>8021001</t>
  </si>
  <si>
    <t>Beneficios venta fondo Welzia Coyuntura</t>
  </si>
  <si>
    <t>8021002</t>
  </si>
  <si>
    <t>Beneficios venta fondo Flosbach Von Storch Opport.</t>
  </si>
  <si>
    <t>8021003</t>
  </si>
  <si>
    <t>Beneficios venta fondo DB Wealth Conservador ESG A, FI</t>
  </si>
  <si>
    <t>8301001</t>
  </si>
  <si>
    <t xml:space="preserve">          Impuesto diferido Acc. Iberdrola</t>
  </si>
  <si>
    <t>8301002</t>
  </si>
  <si>
    <t xml:space="preserve">          Impuesto diferido Acc. Banco Santander</t>
  </si>
  <si>
    <t>8301003</t>
  </si>
  <si>
    <t xml:space="preserve">          Impuesto diferido Acc. Telefonica</t>
  </si>
  <si>
    <t>8301005</t>
  </si>
  <si>
    <t xml:space="preserve">          Impuesto diferido Acc. BBVA</t>
  </si>
  <si>
    <t>8301007</t>
  </si>
  <si>
    <t xml:space="preserve">          Impuesto diferido Acc. Caixabank</t>
  </si>
  <si>
    <t>8301101</t>
  </si>
  <si>
    <t xml:space="preserve">          Impuesto diferido Fondo Egeria CoyuntFI</t>
  </si>
  <si>
    <t>8301104</t>
  </si>
  <si>
    <t xml:space="preserve">          Impuesto diferido Fondo Flossbach Von Storch</t>
  </si>
  <si>
    <t>8301105</t>
  </si>
  <si>
    <t xml:space="preserve">          Impuesto diferido Fondo DB Wealth Conserve A</t>
  </si>
  <si>
    <t>8301201</t>
  </si>
  <si>
    <t>Impuesto diferido Acc Helia Energia Renovable IV, SCR</t>
  </si>
  <si>
    <t>8301202</t>
  </si>
  <si>
    <t>Impuesto diferido Acc Helia Energia Renovable III, SCR</t>
  </si>
  <si>
    <t>8301203</t>
  </si>
  <si>
    <t>Impuesto diferido Acc Titán Inversiones en Infraestructuras, SCR</t>
  </si>
  <si>
    <t>8301204</t>
  </si>
  <si>
    <t>Impuesto diferido ACP-CO Investment Infrastructures, SCR</t>
  </si>
  <si>
    <t>9000001</t>
  </si>
  <si>
    <t xml:space="preserve">          Beneficios Acc. Iberdrola</t>
  </si>
  <si>
    <t>9000002</t>
  </si>
  <si>
    <t xml:space="preserve">          Beneficios Acc. Banco Santander</t>
  </si>
  <si>
    <t>9000003</t>
  </si>
  <si>
    <t xml:space="preserve">          Beneficios Acc. Telefónica</t>
  </si>
  <si>
    <t>9000005</t>
  </si>
  <si>
    <t xml:space="preserve">          Beneficios Acc. BBVA</t>
  </si>
  <si>
    <t>9000007</t>
  </si>
  <si>
    <t xml:space="preserve">          Beneficios Acc. Caixabank</t>
  </si>
  <si>
    <t>9001001</t>
  </si>
  <si>
    <t xml:space="preserve">          Beneficios Fondo Egeria Coyuntura FI</t>
  </si>
  <si>
    <t>9001004</t>
  </si>
  <si>
    <t xml:space="preserve">          Beneficios Fondo Flossbach Von Storch</t>
  </si>
  <si>
    <t>9001005</t>
  </si>
  <si>
    <t xml:space="preserve">          Beneficios Fondo DB Wealth Conserve A</t>
  </si>
  <si>
    <t>9002003</t>
  </si>
  <si>
    <t>Beneficios Acc Titán Inversiones en Infraestructuras, SCR</t>
  </si>
  <si>
    <t>9002004</t>
  </si>
  <si>
    <t>Beneficios Acc ACP-CO Investment Infrastructure I, SCR</t>
  </si>
  <si>
    <t>MARIO PILATO BLAT</t>
  </si>
  <si>
    <t>MARIO PILATO IRANZO</t>
  </si>
  <si>
    <t>JORGE PILATO IRANZO</t>
  </si>
  <si>
    <t>ALBERTO PILATO IRANZO</t>
  </si>
  <si>
    <t>PURIFICACION PILATO IRANZO</t>
  </si>
  <si>
    <t>PURIFICACION IRANZO GOMEZ</t>
  </si>
  <si>
    <t>CAROLINA PILATO IRANZO</t>
  </si>
  <si>
    <t>ANA PILATO IRANZO</t>
  </si>
  <si>
    <t>FRANCISCO PILATO IRANZO</t>
  </si>
  <si>
    <t>Miembro Cons.</t>
  </si>
  <si>
    <t>E</t>
  </si>
  <si>
    <t>E/A</t>
  </si>
  <si>
    <t>PDTE HACER</t>
  </si>
  <si>
    <t>SOLO CAMBIA RESPECTO AÑO ANTERIOR</t>
  </si>
  <si>
    <t xml:space="preserve">
</t>
  </si>
  <si>
    <t xml:space="preserve">
Varios gastos sin retencion (gestores, consultoría…)</t>
  </si>
  <si>
    <t>CONSEJERO DELEGADO</t>
  </si>
  <si>
    <t>6351FMH</t>
  </si>
  <si>
    <t>LINEA DIRECTA</t>
  </si>
  <si>
    <t>PARTICULAR SIN DESPLAZAMIENTO AL TRABAJO</t>
  </si>
  <si>
    <t>PERSONAL FABRICA</t>
  </si>
  <si>
    <t>9308JHL</t>
  </si>
  <si>
    <t>PROFESIONAL SIN REPARTO</t>
  </si>
  <si>
    <t>V4771 FH</t>
  </si>
  <si>
    <t>VARIAS COMPRAS</t>
  </si>
  <si>
    <t>INSTALACIONES</t>
  </si>
  <si>
    <t>TRANSPORTE</t>
  </si>
  <si>
    <t>25-10-224</t>
  </si>
  <si>
    <t>INVERSIONES</t>
  </si>
  <si>
    <t>ABONO FACTURAS</t>
  </si>
  <si>
    <t>Entregas intracomuinitarias 8.450.142,53
Exportaciones 8.264.943,07
Operaciones exentas sin derecho a deducción 717.149,18
Operaciones no sujetas por reglas de localización 43.172,55</t>
  </si>
  <si>
    <t>Operaciones exentas sin derecho a deducción</t>
  </si>
  <si>
    <t>DEDUCCIÓN POR RESERVA DE CAPITALIZACIÓN GENERADA EN 2024</t>
  </si>
  <si>
    <t>DEDUCCIÓN POR RESERVA DE CAPITALIZACIÓN APLICADA EN 2024</t>
  </si>
  <si>
    <t>Donaciones cta. 6299.2 (art. 15.e)</t>
  </si>
  <si>
    <t>Exención dividendos Iberdrola (Art.21.1 - D.T. 40) Cta. 7603001</t>
  </si>
  <si>
    <t>Exención dividendos Banco Santander (Art.21.1 - D.T. 40) Cta. 7603002</t>
  </si>
  <si>
    <t>Exención dividendos Telefónica (Art.21.1 - D.T. 40) Cta. 7603003</t>
  </si>
  <si>
    <t>NO APORTA LIBROS</t>
  </si>
  <si>
    <t>Multas y sanciones cta 6311.1 (art.15.c)</t>
  </si>
  <si>
    <t>DIVIDENDOS</t>
  </si>
  <si>
    <t>CERAMICA LENTO</t>
  </si>
  <si>
    <t>&gt;6MESES</t>
  </si>
  <si>
    <t xml:space="preserve">
4709: Del IS 2023 por importe de 1.119.251,58 pte devolución</t>
  </si>
  <si>
    <t>Contestación del cliente: Se realizó la compra de un inmueble y se pagaron unos ITP por declaración de obra nueva, operaciones que no llevan IVA,  lo que justifica la diferencia de 1M.</t>
  </si>
  <si>
    <t>Reversión amortización 30% no deducible</t>
  </si>
  <si>
    <t>DIFERIDO POR REVERSIÓN 30% AMORT. NO DEDUCIBLE</t>
  </si>
  <si>
    <t>130 / 18</t>
  </si>
  <si>
    <t>130 / 19</t>
  </si>
  <si>
    <t>747 / 1</t>
  </si>
  <si>
    <t>479 / 218</t>
  </si>
  <si>
    <t>479 / 219</t>
  </si>
  <si>
    <t>ASIENTO IMPUTACIÓN SUBVENCIONES A RESULTADOS Y EFECTO IMPOSITIVO</t>
  </si>
  <si>
    <t>479 / 220</t>
  </si>
  <si>
    <t>130 / 20</t>
  </si>
  <si>
    <t>En cuenta 7663/6 recogen los beneifios de fondos de inversión. Pero hasta 2020 estos fondos los tenian contabilizados a corto plazo por lo que parte de los beneficios generados en la venta actual ya habian sideo declarados por regularización de valor en el cierre de cada ejercicio mientras se valoraban a cortoplazo. Ahora con la venta solo se imputan los beneficios desde que se reclaisicaron a largo plazo.</t>
  </si>
  <si>
    <t>JOSELUIS</t>
  </si>
  <si>
    <t>Deducción por reinversión de medidas temporales DT37.1ºLIS</t>
  </si>
  <si>
    <t>PORTADA (sin indice)</t>
  </si>
  <si>
    <t>IMPUESTO SOBRE SOCIEDADES 2024</t>
  </si>
  <si>
    <t>473 / 1</t>
  </si>
  <si>
    <t>473 / 2</t>
  </si>
  <si>
    <t>473 / 3</t>
  </si>
  <si>
    <t>473 / 4</t>
  </si>
  <si>
    <t>4731 / 2</t>
  </si>
  <si>
    <t>4731 / 3</t>
  </si>
  <si>
    <t>4732 / 1</t>
  </si>
  <si>
    <t>4732 / 3</t>
  </si>
  <si>
    <t>4732 / 10</t>
  </si>
  <si>
    <t>4732 / 11</t>
  </si>
  <si>
    <t>4732 / 12</t>
  </si>
  <si>
    <t>4735 /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</si>
</sst>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3">
    <numFmt numFmtId="41" formatCode="_-* #,##0_-;\-* #,##0_-;_-* &quot;-&quot;_-;_-@_-"/>
    <numFmt numFmtId="44" formatCode="_-* #,##0.00\ &quot;€&quot;_-;\-* #,##0.00\ &quot;€&quot;_-;_-* &quot;-&quot;??\ &quot;€&quot;_-;_-@_-"/>
    <numFmt numFmtId="43" formatCode="_-* #,##0.00_-;\-* #,##0.00_-;_-* &quot;-&quot;??_-;_-@_-"/>
    <numFmt numFmtId="164" formatCode="_-* #,##0.00\ _€_-;\-* #,##0.00\ _€_-;_-* &quot;-&quot;??\ _€_-;_-@_-"/>
    <numFmt numFmtId="165" formatCode="[$-C0A]d\ &quot;de&quot;\ mmmm\ &quot;de&quot;\ yyyy;@"/>
    <numFmt numFmtId="166" formatCode="dd\-mm\-yy;@"/>
    <numFmt numFmtId="167" formatCode="_-#,##0.00\ _€_-;\-#,##0.00\ _€_-;_-&quot;-&quot;??\ _€_-;_-@_-"/>
    <numFmt numFmtId="168" formatCode="_-* #,##0.00\ _P_t_s_-;\-* #,##0.00\ _P_t_s_-;_-* &quot;-&quot;??\ _P_t_s_-;_-@_-"/>
    <numFmt numFmtId="169" formatCode="#,##0.00_ ;\(#,##0.00\);\-;"/>
    <numFmt numFmtId="170" formatCode="[$-C0A]d\-mmm\-yy;@"/>
    <numFmt numFmtId="171" formatCode="0_ ;\-0\ "/>
    <numFmt numFmtId="172" formatCode="#,##0.00_ ;\-#,##0.00\ "/>
    <numFmt numFmtId="173" formatCode="#,##0.00_ ;[Red]\-#,##0.00\ "/>
    <numFmt numFmtId="174" formatCode="d/m"/>
    <numFmt numFmtId="175" formatCode="[$-C0A]dd\-mmm\-yy;@"/>
    <numFmt numFmtId="176" formatCode="#,##0_ ;\-#,##0\ "/>
    <numFmt numFmtId="177" formatCode="_-#,##0.00\ _€_-;\-#,##0.00\ _€_-;_-* &quot;-&quot;??\ _€_-;_-@_-"/>
    <numFmt numFmtId="178" formatCode="#,##0;\(#,##0\);_-* &quot;-&quot;??\ _€_-"/>
    <numFmt numFmtId="179" formatCode="#,##0.00;\(#,##0.00\);_-* &quot;-&quot;??\ _€_-"/>
    <numFmt numFmtId="180" formatCode="0.000"/>
    <numFmt numFmtId="181" formatCode="#,##0\ &quot;€&quot;"/>
    <numFmt numFmtId="182" formatCode="&quot;Informe de Cierre a&quot;\ [$-C0A]d\ &quot;de&quot;\ mmmm\ &quot;de&quot;\ yyyy;@"/>
    <numFmt numFmtId="183" formatCode="_-* #,##0\ _€_-;\-* #,##0\ _€_-;_-* &quot;-&quot;??\ _€_-;_-@_-"/>
    <numFmt numFmtId="184" formatCode="0.0%"/>
    <numFmt numFmtId="185" formatCode="_-* #,##0\ _p_t_a_-;\-* #,##0\ _p_t_a_-;_-* &quot;-&quot;\ _p_t_a_-;_-@_-"/>
    <numFmt numFmtId="186" formatCode="_-* #,##0.00\ &quot;pta&quot;_-;\-* #,##0.00\ &quot;pta&quot;_-;_-* &quot;-&quot;??\ &quot;pta&quot;_-;_-@_-"/>
    <numFmt numFmtId="187" formatCode="_-* #,##0.00\ _p_t_a_-;\-* #,##0.00\ _p_t_a_-;_-* &quot;-&quot;??\ _p_t_a_-;_-@_-"/>
    <numFmt numFmtId="188" formatCode="_-* #,##0.00\ [$€]_-;\-* #,##0.00\ [$€]_-;_-* &quot;-&quot;??\ [$€]_-;_-@_-"/>
    <numFmt numFmtId="189" formatCode="_-* #,##0\ _P_t_s_-;\-* #,##0\ _P_t_s_-;_-* &quot;-&quot;\ _P_t_s_-;_-@_-"/>
    <numFmt numFmtId="190" formatCode="#,##0;\(#,##0\)"/>
    <numFmt numFmtId="191" formatCode="###,000"/>
    <numFmt numFmtId="192" formatCode="#,##0.00;[Red]\(#,##0.00\)"/>
    <numFmt numFmtId="193" formatCode="_(* #,##0\ &quot;pta&quot;_);_(* \(#,##0\ &quot;pta&quot;\);_(* &quot;-&quot;??\ &quot;pta&quot;_);_(@_)"/>
    <numFmt numFmtId="194" formatCode="0.00%;\(0.00%\)"/>
    <numFmt numFmtId="195" formatCode="* \(#,##0\);* #,##0_);&quot;-&quot;??_);@"/>
    <numFmt numFmtId="196" formatCode="* #,##0_);* \(#,##0\);&quot;-&quot;??_);@"/>
    <numFmt numFmtId="197" formatCode="_(* #,##0_);_(* \(#,##0\);_(* &quot;&quot;\ \-\ &quot;&quot;_);_(* @_)"/>
    <numFmt numFmtId="198" formatCode="_-* #,##0.00\ [$€-1]_-;\-* #,##0.00\ [$€-1]_-;_-* &quot;-&quot;??\ [$€-1]_-"/>
    <numFmt numFmtId="199" formatCode="d\-mmmm\-yyyy"/>
    <numFmt numFmtId="200" formatCode="mm/yy"/>
    <numFmt numFmtId="201" formatCode="#,##0.00\ &quot;Pts&quot;;\-#,##0.00\ &quot;Pts&quot;"/>
    <numFmt numFmtId="202" formatCode="#,##0\ &quot;Pts&quot;;\-#,##0\ &quot;Pts&quot;"/>
    <numFmt numFmtId="203" formatCode="#,##0.0"/>
  </numFmts>
  <fonts count="368">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0"/>
      <name val="Calibri"/>
      <family val="2"/>
    </font>
    <font>
      <sz val="11"/>
      <color theme="1"/>
      <name val="Calibri"/>
      <family val="2"/>
      <scheme val="minor"/>
    </font>
    <font>
      <b/>
      <sz val="14"/>
      <color rgb="FF1F497D"/>
      <name val="Calibri"/>
      <family val="2"/>
    </font>
    <font>
      <b/>
      <sz val="14"/>
      <color theme="1" tint="0.249977111117893"/>
      <name val="Calibri"/>
      <family val="2"/>
    </font>
    <font>
      <sz val="10"/>
      <name val="MS Sans Serif"/>
      <family val="2"/>
    </font>
    <font>
      <sz val="10"/>
      <name val="Arial"/>
      <family val="2"/>
    </font>
    <font>
      <b/>
      <sz val="14"/>
      <color theme="0"/>
      <name val="Calibri"/>
      <family val="2"/>
    </font>
    <font>
      <sz val="9"/>
      <color theme="1"/>
      <name val="Calibri"/>
      <family val="2"/>
      <scheme val="minor"/>
    </font>
    <font>
      <b/>
      <sz val="12"/>
      <color theme="3"/>
      <name val="Calibri"/>
      <family val="2"/>
      <scheme val="minor"/>
    </font>
    <font>
      <sz val="10"/>
      <name val="MS Sans Serif"/>
      <family val="2"/>
    </font>
    <font>
      <b/>
      <sz val="9"/>
      <color theme="3"/>
      <name val="Calibri"/>
      <family val="2"/>
      <scheme val="minor"/>
    </font>
    <font>
      <sz val="8"/>
      <color theme="1"/>
      <name val="Calibri"/>
      <family val="2"/>
    </font>
    <font>
      <sz val="9"/>
      <color theme="1"/>
      <name val="Calibri"/>
      <family val="2"/>
    </font>
    <font>
      <b/>
      <sz val="14"/>
      <color theme="1"/>
      <name val="Calibri"/>
      <family val="2"/>
    </font>
    <font>
      <b/>
      <sz val="12"/>
      <name val="Calibri"/>
      <family val="2"/>
    </font>
    <font>
      <b/>
      <sz val="10"/>
      <name val="Calibri"/>
      <family val="2"/>
      <scheme val="minor"/>
    </font>
    <font>
      <b/>
      <sz val="16"/>
      <name val="Calibri"/>
      <family val="2"/>
      <scheme val="minor"/>
    </font>
    <font>
      <b/>
      <sz val="10"/>
      <color theme="0"/>
      <name val="Calibri"/>
      <family val="2"/>
      <scheme val="minor"/>
    </font>
    <font>
      <sz val="10"/>
      <name val="Calibri"/>
      <family val="2"/>
      <scheme val="minor"/>
    </font>
    <font>
      <b/>
      <sz val="11"/>
      <color theme="3"/>
      <name val="Calibri"/>
      <family val="2"/>
      <scheme val="minor"/>
    </font>
    <font>
      <sz val="10"/>
      <color theme="1"/>
      <name val="Calibri"/>
      <family val="2"/>
      <scheme val="minor"/>
    </font>
    <font>
      <sz val="10"/>
      <color theme="1"/>
      <name val="Calibri"/>
      <family val="2"/>
    </font>
    <font>
      <b/>
      <sz val="12"/>
      <color theme="1"/>
      <name val="Calibri"/>
      <family val="2"/>
    </font>
    <font>
      <b/>
      <sz val="10"/>
      <color theme="3"/>
      <name val="Calibri"/>
      <family val="2"/>
      <scheme val="minor"/>
    </font>
    <font>
      <sz val="8"/>
      <color theme="1"/>
      <name val="Calibri"/>
      <family val="2"/>
      <scheme val="minor"/>
    </font>
    <font>
      <b/>
      <sz val="14"/>
      <color rgb="FF1F497D"/>
      <name val="Calibri"/>
      <family val="2"/>
      <scheme val="minor"/>
    </font>
    <font>
      <b/>
      <sz val="14"/>
      <color theme="1" tint="0.249977111117893"/>
      <name val="Calibri"/>
      <family val="2"/>
      <scheme val="minor"/>
    </font>
    <font>
      <b/>
      <sz val="11"/>
      <color theme="1" tint="0.249977111117893"/>
      <name val="Calibri"/>
      <family val="2"/>
      <scheme val="minor"/>
    </font>
    <font>
      <b/>
      <sz val="14"/>
      <color theme="1"/>
      <name val="Calibri"/>
      <family val="2"/>
      <scheme val="minor"/>
    </font>
    <font>
      <b/>
      <sz val="14"/>
      <color theme="0"/>
      <name val="Calibri"/>
      <family val="2"/>
      <scheme val="minor"/>
    </font>
    <font>
      <b/>
      <sz val="11"/>
      <color theme="1"/>
      <name val="Calibri"/>
      <family val="2"/>
      <scheme val="minor"/>
    </font>
    <font>
      <b/>
      <sz val="11"/>
      <color theme="1" tint="0.14999847407452621"/>
      <name val="Calibri"/>
      <family val="2"/>
      <scheme val="minor"/>
    </font>
    <font>
      <sz val="9"/>
      <color theme="1" tint="0.14999847407452621"/>
      <name val="Calibri"/>
      <family val="2"/>
      <scheme val="minor"/>
    </font>
    <font>
      <sz val="11"/>
      <color theme="1" tint="0.14999847407452621"/>
      <name val="Calibri"/>
      <family val="2"/>
      <scheme val="minor"/>
    </font>
    <font>
      <sz val="11"/>
      <name val="Calibri"/>
      <family val="2"/>
      <scheme val="minor"/>
    </font>
    <font>
      <sz val="9"/>
      <name val="Calibri"/>
      <family val="2"/>
      <scheme val="minor"/>
    </font>
    <font>
      <b/>
      <sz val="10"/>
      <color rgb="FFFF0000"/>
      <name val="Calibri"/>
      <family val="2"/>
      <scheme val="minor"/>
    </font>
    <font>
      <b/>
      <sz val="11"/>
      <color rgb="FFFF0000"/>
      <name val="Calibri"/>
      <family val="2"/>
      <scheme val="minor"/>
    </font>
    <font>
      <b/>
      <sz val="14"/>
      <color theme="3" tint="-0.249977111117893"/>
      <name val="Calibri"/>
      <family val="2"/>
    </font>
    <font>
      <b/>
      <sz val="14"/>
      <name val="Calibri"/>
      <family val="2"/>
    </font>
    <font>
      <b/>
      <sz val="14"/>
      <color theme="3"/>
      <name val="Calibri"/>
      <family val="2"/>
    </font>
    <font>
      <sz val="14"/>
      <color theme="1"/>
      <name val="Calibri"/>
      <family val="2"/>
    </font>
    <font>
      <vertAlign val="subscript"/>
      <sz val="14"/>
      <color theme="1"/>
      <name val="Calibri"/>
      <family val="2"/>
    </font>
    <font>
      <b/>
      <sz val="12"/>
      <color theme="0"/>
      <name val="Calibri"/>
      <family val="2"/>
    </font>
    <font>
      <b/>
      <sz val="12"/>
      <color theme="0"/>
      <name val="Calibri"/>
      <family val="2"/>
      <scheme val="minor"/>
    </font>
    <font>
      <sz val="11"/>
      <color rgb="FF000000"/>
      <name val="Calibri"/>
      <family val="2"/>
    </font>
    <font>
      <sz val="8"/>
      <color indexed="81"/>
      <name val="Tahoma"/>
      <family val="2"/>
    </font>
    <font>
      <b/>
      <sz val="8"/>
      <color indexed="81"/>
      <name val="Tahoma"/>
      <family val="2"/>
    </font>
    <font>
      <sz val="10"/>
      <color theme="3" tint="-0.249977111117893"/>
      <name val="Calibri"/>
      <family val="2"/>
      <scheme val="minor"/>
    </font>
    <font>
      <b/>
      <sz val="11"/>
      <color theme="3" tint="-0.249977111117893"/>
      <name val="Calibri"/>
      <family val="2"/>
      <scheme val="minor"/>
    </font>
    <font>
      <sz val="12"/>
      <color theme="1"/>
      <name val="Calibri"/>
      <family val="2"/>
    </font>
    <font>
      <b/>
      <sz val="16"/>
      <color theme="0"/>
      <name val="Calibri"/>
      <family val="2"/>
    </font>
    <font>
      <b/>
      <sz val="16"/>
      <name val="Calibri"/>
      <family val="2"/>
    </font>
    <font>
      <sz val="10"/>
      <name val="MS Sans Serif"/>
      <family val="2"/>
    </font>
    <font>
      <b/>
      <sz val="14"/>
      <color theme="3" tint="-0.249977111117893"/>
      <name val="Calibri"/>
      <family val="2"/>
      <scheme val="minor"/>
    </font>
    <font>
      <b/>
      <sz val="11"/>
      <name val="Calibri"/>
      <family val="2"/>
      <scheme val="minor"/>
    </font>
    <font>
      <sz val="12"/>
      <color theme="3" tint="-0.249977111117893"/>
      <name val="Calibri"/>
      <family val="2"/>
    </font>
    <font>
      <sz val="12"/>
      <color theme="3" tint="-0.249977111117893"/>
      <name val="Calibri"/>
      <family val="2"/>
      <scheme val="minor"/>
    </font>
    <font>
      <b/>
      <sz val="12"/>
      <color theme="3" tint="-0.249977111117893"/>
      <name val="Calibri"/>
      <family val="2"/>
      <scheme val="minor"/>
    </font>
    <font>
      <b/>
      <sz val="11"/>
      <color theme="3" tint="-0.249977111117893"/>
      <name val="Calibri"/>
      <family val="2"/>
    </font>
    <font>
      <sz val="11"/>
      <color theme="3" tint="-0.249977111117893"/>
      <name val="Calibri"/>
      <family val="2"/>
    </font>
    <font>
      <b/>
      <sz val="11"/>
      <color theme="7" tint="-0.249977111117893"/>
      <name val="Calibri"/>
      <family val="2"/>
    </font>
    <font>
      <b/>
      <sz val="12"/>
      <color theme="3" tint="-0.249977111117893"/>
      <name val="Calibri"/>
      <family val="2"/>
    </font>
    <font>
      <b/>
      <sz val="11"/>
      <color rgb="FFF2F2F2"/>
      <name val="Calibri"/>
      <family val="2"/>
    </font>
    <font>
      <u/>
      <sz val="10"/>
      <color indexed="12"/>
      <name val="MS Sans Serif"/>
      <family val="2"/>
    </font>
    <font>
      <sz val="10"/>
      <color theme="1" tint="0.249977111117893"/>
      <name val="Calibri"/>
      <family val="2"/>
    </font>
    <font>
      <b/>
      <sz val="16"/>
      <color theme="1"/>
      <name val="Calibri"/>
      <family val="2"/>
    </font>
    <font>
      <sz val="14"/>
      <color theme="3" tint="-0.249977111117893"/>
      <name val="Calibri"/>
      <family val="2"/>
    </font>
    <font>
      <b/>
      <sz val="12"/>
      <color rgb="FF000000"/>
      <name val="Calibri"/>
      <family val="2"/>
    </font>
    <font>
      <b/>
      <sz val="11"/>
      <color theme="0"/>
      <name val="Calibri"/>
      <family val="2"/>
    </font>
    <font>
      <b/>
      <sz val="9"/>
      <color theme="0"/>
      <name val="Calibri"/>
      <family val="2"/>
    </font>
    <font>
      <b/>
      <sz val="11"/>
      <color theme="5" tint="-0.249977111117893"/>
      <name val="Calibri"/>
      <family val="2"/>
    </font>
    <font>
      <sz val="12"/>
      <color theme="0"/>
      <name val="Calibri"/>
      <family val="2"/>
    </font>
    <font>
      <b/>
      <sz val="16"/>
      <color theme="3" tint="-0.249977111117893"/>
      <name val="Calibri"/>
      <family val="2"/>
    </font>
    <font>
      <sz val="10"/>
      <color theme="0"/>
      <name val="Calibri"/>
      <family val="2"/>
    </font>
    <font>
      <sz val="11"/>
      <name val="Calibri"/>
      <family val="2"/>
    </font>
    <font>
      <sz val="12"/>
      <name val="Calibri"/>
      <family val="2"/>
    </font>
    <font>
      <sz val="10"/>
      <name val="MS Sans Serif"/>
      <family val="2"/>
    </font>
    <font>
      <sz val="14"/>
      <name val="Calibri"/>
      <family val="2"/>
    </font>
    <font>
      <sz val="16"/>
      <name val="Calibri"/>
      <family val="2"/>
    </font>
    <font>
      <b/>
      <sz val="16"/>
      <color rgb="FF1F497D"/>
      <name val="Calibri"/>
      <family val="2"/>
    </font>
    <font>
      <sz val="16"/>
      <color theme="1"/>
      <name val="Calibri"/>
      <family val="2"/>
    </font>
    <font>
      <b/>
      <sz val="14"/>
      <color theme="3" tint="0.39997558519241921"/>
      <name val="Calibri"/>
      <family val="2"/>
    </font>
    <font>
      <sz val="8"/>
      <color indexed="12"/>
      <name val="Tahoma"/>
      <family val="2"/>
    </font>
    <font>
      <i/>
      <sz val="14"/>
      <color theme="3" tint="-0.249977111117893"/>
      <name val="Calibri"/>
      <family val="2"/>
    </font>
    <font>
      <sz val="9"/>
      <color indexed="8"/>
      <name val="Calibri"/>
      <family val="2"/>
      <scheme val="minor"/>
    </font>
    <font>
      <sz val="9"/>
      <color indexed="18"/>
      <name val="Calibri"/>
      <family val="2"/>
      <scheme val="minor"/>
    </font>
    <font>
      <sz val="9"/>
      <color indexed="10"/>
      <name val="Calibri"/>
      <family val="2"/>
      <scheme val="minor"/>
    </font>
    <font>
      <sz val="9"/>
      <color indexed="58"/>
      <name val="Calibri"/>
      <family val="2"/>
      <scheme val="minor"/>
    </font>
    <font>
      <b/>
      <sz val="11"/>
      <name val="Arial"/>
      <family val="2"/>
    </font>
    <font>
      <sz val="27"/>
      <color rgb="FF05516B"/>
      <name val="Mainfont"/>
    </font>
    <font>
      <sz val="11"/>
      <color theme="1"/>
      <name val="Mainfont"/>
    </font>
    <font>
      <u/>
      <sz val="10"/>
      <color indexed="12"/>
      <name val="Mainfont"/>
    </font>
    <font>
      <b/>
      <sz val="11"/>
      <color theme="1"/>
      <name val="Mainfont"/>
    </font>
    <font>
      <b/>
      <sz val="14"/>
      <color theme="1" tint="0.249977111117893"/>
      <name val="Mainfont"/>
    </font>
    <font>
      <sz val="20"/>
      <color theme="1"/>
      <name val="Mainfont"/>
    </font>
    <font>
      <b/>
      <sz val="20"/>
      <color theme="1"/>
      <name val="Mainfont"/>
    </font>
    <font>
      <sz val="20"/>
      <color theme="3" tint="-0.249977111117893"/>
      <name val="Mainfont"/>
    </font>
    <font>
      <sz val="24"/>
      <color rgb="FF05516B"/>
      <name val="Mainfont"/>
    </font>
    <font>
      <sz val="22"/>
      <color rgb="FF05516B"/>
      <name val="Mainfont"/>
    </font>
    <font>
      <b/>
      <sz val="16"/>
      <name val="MaiNFONT"/>
    </font>
    <font>
      <b/>
      <sz val="14"/>
      <color rgb="FF1F497D"/>
      <name val="MaiNFONT"/>
    </font>
    <font>
      <b/>
      <sz val="10"/>
      <name val="MaiNFONT"/>
    </font>
    <font>
      <b/>
      <sz val="14"/>
      <color theme="3" tint="-0.249977111117893"/>
      <name val="MaiNFONT"/>
    </font>
    <font>
      <b/>
      <sz val="16"/>
      <color theme="5" tint="-0.249977111117893"/>
      <name val="MaiNFONT"/>
    </font>
    <font>
      <sz val="10"/>
      <name val="MaiNFONT"/>
    </font>
    <font>
      <b/>
      <sz val="14"/>
      <color theme="0"/>
      <name val="MaiNFONT"/>
    </font>
    <font>
      <sz val="12"/>
      <name val="MaiNFONT"/>
    </font>
    <font>
      <sz val="14"/>
      <color theme="0"/>
      <name val="MaiNFONT"/>
    </font>
    <font>
      <sz val="14"/>
      <color theme="1"/>
      <name val="MaiNFONT"/>
    </font>
    <font>
      <b/>
      <sz val="12"/>
      <name val="MaiNFONT"/>
    </font>
    <font>
      <b/>
      <sz val="11"/>
      <color rgb="FFFF0000"/>
      <name val="MaiNFONT"/>
    </font>
    <font>
      <b/>
      <sz val="11"/>
      <color theme="0"/>
      <name val="MaiNFONT"/>
    </font>
    <font>
      <b/>
      <sz val="10"/>
      <color rgb="FFFF0000"/>
      <name val="MaiNFONT"/>
    </font>
    <font>
      <sz val="11"/>
      <name val="Mainfont"/>
    </font>
    <font>
      <sz val="11"/>
      <color theme="0"/>
      <name val="Mainfont"/>
    </font>
    <font>
      <b/>
      <sz val="12"/>
      <color theme="0"/>
      <name val="MaiNFONT"/>
    </font>
    <font>
      <sz val="12"/>
      <color rgb="FF05516B"/>
      <name val="Mainfont"/>
    </font>
    <font>
      <sz val="12"/>
      <color theme="0"/>
      <name val="MaiNFONT"/>
    </font>
    <font>
      <sz val="14"/>
      <color rgb="FF05516B"/>
      <name val="Mainfont"/>
    </font>
    <font>
      <sz val="8"/>
      <color theme="1"/>
      <name val="MaiNFONT"/>
    </font>
    <font>
      <b/>
      <sz val="14"/>
      <color theme="1"/>
      <name val="MaiNFONT"/>
    </font>
    <font>
      <b/>
      <sz val="12"/>
      <color theme="3"/>
      <name val="MaiNFONT"/>
    </font>
    <font>
      <b/>
      <sz val="10"/>
      <color theme="0"/>
      <name val="MaiNFONT"/>
    </font>
    <font>
      <b/>
      <sz val="12"/>
      <color theme="1"/>
      <name val="MaiNFONT"/>
    </font>
    <font>
      <b/>
      <sz val="10"/>
      <color theme="1"/>
      <name val="MaiNFONT"/>
    </font>
    <font>
      <sz val="12"/>
      <color theme="1"/>
      <name val="MaiNFONT"/>
    </font>
    <font>
      <sz val="10"/>
      <color theme="1"/>
      <name val="MaiNFONT"/>
    </font>
    <font>
      <sz val="11"/>
      <color theme="1" tint="0.14999847407452621"/>
      <name val="MaiNFONT"/>
    </font>
    <font>
      <sz val="8"/>
      <name val="MaiNFONT"/>
    </font>
    <font>
      <b/>
      <sz val="11"/>
      <color theme="1" tint="0.14999847407452621"/>
      <name val="MaiNFONT"/>
    </font>
    <font>
      <sz val="9"/>
      <color theme="1" tint="0.14999847407452621"/>
      <name val="MaiNFONT"/>
    </font>
    <font>
      <sz val="8"/>
      <color theme="1" tint="0.14999847407452621"/>
      <name val="MaiNFONT"/>
    </font>
    <font>
      <b/>
      <sz val="11"/>
      <color theme="3"/>
      <name val="MaiNFONT"/>
    </font>
    <font>
      <sz val="9"/>
      <color theme="1"/>
      <name val="MaiNFONT"/>
    </font>
    <font>
      <sz val="10"/>
      <color theme="1" tint="0.14999847407452621"/>
      <name val="MaiNFONT"/>
    </font>
    <font>
      <sz val="12"/>
      <color theme="1" tint="0.14999847407452621"/>
      <name val="MaiNFONT"/>
    </font>
    <font>
      <b/>
      <sz val="9"/>
      <color theme="3"/>
      <name val="MaiNFONT"/>
    </font>
    <font>
      <sz val="9"/>
      <name val="MaiNFONT"/>
    </font>
    <font>
      <b/>
      <sz val="8"/>
      <color rgb="FFFF0000"/>
      <name val="MaiNFONT"/>
    </font>
    <font>
      <sz val="11"/>
      <color rgb="FFFF0000"/>
      <name val="MaiNFONT"/>
    </font>
    <font>
      <sz val="8"/>
      <color rgb="FFFF0000"/>
      <name val="MaiNFONT"/>
    </font>
    <font>
      <b/>
      <sz val="9"/>
      <color rgb="FFFF0000"/>
      <name val="MaiNFONT"/>
    </font>
    <font>
      <b/>
      <sz val="9"/>
      <color theme="0"/>
      <name val="MaiNFONT"/>
    </font>
    <font>
      <b/>
      <sz val="10"/>
      <color theme="3"/>
      <name val="MaiNFONT"/>
    </font>
    <font>
      <vertAlign val="subscript"/>
      <sz val="9"/>
      <color theme="1"/>
      <name val="MaiNFONT"/>
    </font>
    <font>
      <vertAlign val="subscript"/>
      <sz val="10"/>
      <color theme="1"/>
      <name val="MaiNFONT"/>
    </font>
    <font>
      <sz val="16"/>
      <color theme="1"/>
      <name val="MaiNFONT"/>
    </font>
    <font>
      <b/>
      <sz val="14"/>
      <color theme="3" tint="0.39997558519241921"/>
      <name val="MaiNFONT"/>
    </font>
    <font>
      <sz val="16"/>
      <color theme="3" tint="-0.249977111117893"/>
      <name val="MaiNFONT"/>
    </font>
    <font>
      <sz val="10"/>
      <color theme="3" tint="-0.249977111117893"/>
      <name val="MaiNFONT"/>
    </font>
    <font>
      <sz val="14"/>
      <color theme="3" tint="-0.249977111117893"/>
      <name val="MaiNFONT"/>
    </font>
    <font>
      <sz val="11"/>
      <color theme="3" tint="-0.249977111117893"/>
      <name val="MaiNFONT"/>
    </font>
    <font>
      <b/>
      <sz val="16"/>
      <color theme="3" tint="-0.249977111117893"/>
      <name val="MaiNFONT"/>
    </font>
    <font>
      <b/>
      <sz val="16"/>
      <color theme="1"/>
      <name val="MaiNFONT"/>
    </font>
    <font>
      <b/>
      <u/>
      <sz val="11"/>
      <color theme="0"/>
      <name val="MaiNFONT"/>
    </font>
    <font>
      <sz val="10"/>
      <color theme="0"/>
      <name val="MaiNFONT"/>
    </font>
    <font>
      <b/>
      <sz val="8"/>
      <color theme="0"/>
      <name val="MaiNFONT"/>
    </font>
    <font>
      <u/>
      <sz val="10"/>
      <color theme="3" tint="-0.249977111117893"/>
      <name val="MaiNFONT"/>
    </font>
    <font>
      <b/>
      <u/>
      <sz val="10"/>
      <color theme="3" tint="-0.249977111117893"/>
      <name val="MaiNFONT"/>
    </font>
    <font>
      <b/>
      <sz val="10"/>
      <color theme="3" tint="-0.249977111117893"/>
      <name val="MaiNFONT"/>
    </font>
    <font>
      <sz val="7"/>
      <color indexed="12"/>
      <name val="MaiNFONT"/>
    </font>
    <font>
      <b/>
      <sz val="10"/>
      <color theme="1" tint="0.14999847407452621"/>
      <name val="MaiNFONT"/>
    </font>
    <font>
      <b/>
      <sz val="12"/>
      <color theme="1" tint="0.14999847407452621"/>
      <name val="Mainfont"/>
    </font>
    <font>
      <b/>
      <sz val="12"/>
      <color indexed="10"/>
      <name val="Mainfont"/>
    </font>
    <font>
      <b/>
      <sz val="14"/>
      <name val="MaiNFONT"/>
    </font>
    <font>
      <b/>
      <sz val="14"/>
      <color theme="1" tint="0.14999847407452621"/>
      <name val="MaiNFONT"/>
    </font>
    <font>
      <sz val="14"/>
      <color theme="1" tint="0.14999847407452621"/>
      <name val="MaiNFONT"/>
    </font>
    <font>
      <sz val="14"/>
      <name val="MaiNFONT"/>
    </font>
    <font>
      <b/>
      <sz val="14"/>
      <color indexed="10"/>
      <name val="MaiNFONT"/>
    </font>
    <font>
      <sz val="11"/>
      <color indexed="12"/>
      <name val="MaiNFONT"/>
    </font>
    <font>
      <b/>
      <sz val="18"/>
      <color theme="0"/>
      <name val="MaiNFONT"/>
    </font>
    <font>
      <b/>
      <sz val="26"/>
      <color rgb="FF05516B"/>
      <name val="Mainfont"/>
    </font>
    <font>
      <u/>
      <sz val="10"/>
      <name val="MaiNFONT"/>
    </font>
    <font>
      <b/>
      <sz val="10"/>
      <color indexed="12"/>
      <name val="Mainfont"/>
    </font>
    <font>
      <b/>
      <sz val="9"/>
      <color theme="1" tint="0.14999847407452621"/>
      <name val="Mainfont"/>
    </font>
    <font>
      <b/>
      <sz val="11"/>
      <color theme="3" tint="-0.249977111117893"/>
      <name val="MaiNFONT"/>
    </font>
    <font>
      <u/>
      <sz val="12"/>
      <name val="MaiNFONT"/>
    </font>
    <font>
      <b/>
      <sz val="22"/>
      <color rgb="FF05516B"/>
      <name val="Mainfont"/>
    </font>
    <font>
      <sz val="28"/>
      <color rgb="FF05516B"/>
      <name val="Mainfont"/>
    </font>
    <font>
      <sz val="20"/>
      <color rgb="FF05516B"/>
      <name val="Mainfont"/>
    </font>
    <font>
      <sz val="18"/>
      <color rgb="FF05516B"/>
      <name val="Mainfont"/>
    </font>
    <font>
      <sz val="16"/>
      <color rgb="FF05516B"/>
      <name val="Mainfont"/>
    </font>
    <font>
      <sz val="36"/>
      <color theme="3" tint="-0.249977111117893"/>
      <name val="Mainfont"/>
    </font>
    <font>
      <b/>
      <sz val="65"/>
      <color theme="3" tint="-0.249977111117893"/>
      <name val="Mainfont"/>
    </font>
    <font>
      <sz val="27"/>
      <color theme="3" tint="-0.249977111117893"/>
      <name val="Mainfont"/>
    </font>
    <font>
      <sz val="48"/>
      <color theme="3" tint="-0.249977111117893"/>
      <name val="Mainfont"/>
    </font>
    <font>
      <b/>
      <sz val="20"/>
      <color theme="3" tint="-0.249977111117893"/>
      <name val="Mainfont"/>
    </font>
    <font>
      <sz val="28"/>
      <color theme="3" tint="-0.249977111117893"/>
      <name val="Mainfont"/>
    </font>
    <font>
      <sz val="22"/>
      <color theme="1"/>
      <name val="Times New Roman"/>
      <family val="1"/>
    </font>
    <font>
      <sz val="22"/>
      <color theme="1"/>
      <name val="Calibri"/>
      <family val="2"/>
    </font>
    <font>
      <b/>
      <sz val="22"/>
      <color rgb="FF05516B"/>
      <name val="Verdana"/>
      <family val="2"/>
    </font>
    <font>
      <sz val="18"/>
      <color theme="1"/>
      <name val="Mainfont"/>
    </font>
    <font>
      <b/>
      <sz val="18"/>
      <color rgb="FF05516B"/>
      <name val="Mainfont"/>
    </font>
    <font>
      <sz val="18"/>
      <color theme="3" tint="-0.249977111117893"/>
      <name val="Mainfont"/>
    </font>
    <font>
      <sz val="18"/>
      <name val="Mainfont"/>
    </font>
    <font>
      <sz val="11"/>
      <color theme="3"/>
      <name val="Calibri"/>
      <family val="2"/>
    </font>
    <font>
      <b/>
      <i/>
      <sz val="10"/>
      <color theme="1"/>
      <name val="Calibri"/>
      <family val="2"/>
      <scheme val="minor"/>
    </font>
    <font>
      <sz val="9"/>
      <color indexed="81"/>
      <name val="Tahoma"/>
      <family val="2"/>
    </font>
    <font>
      <b/>
      <sz val="9"/>
      <color indexed="81"/>
      <name val="Tahoma"/>
      <family val="2"/>
    </font>
    <font>
      <i/>
      <sz val="11"/>
      <color theme="1"/>
      <name val="Calibri"/>
      <family val="2"/>
    </font>
    <font>
      <b/>
      <sz val="14"/>
      <color rgb="FFFF0000"/>
      <name val="Calibri"/>
      <family val="2"/>
    </font>
    <font>
      <sz val="11"/>
      <color rgb="FFFF0000"/>
      <name val="Calibri"/>
      <family val="2"/>
    </font>
    <font>
      <b/>
      <u/>
      <sz val="11"/>
      <color theme="1"/>
      <name val="Calibri"/>
      <family val="2"/>
    </font>
    <font>
      <b/>
      <sz val="22"/>
      <color rgb="FF05516B"/>
      <name val="Arial"/>
      <family val="2"/>
    </font>
    <font>
      <sz val="22"/>
      <color rgb="FF05516B"/>
      <name val="Arial"/>
      <family val="2"/>
    </font>
    <font>
      <sz val="11"/>
      <color theme="1"/>
      <name val="Arial Narrow"/>
      <family val="2"/>
    </font>
    <font>
      <b/>
      <sz val="52"/>
      <color rgb="FF05516B"/>
      <name val="Arial Narrow"/>
      <family val="2"/>
    </font>
    <font>
      <b/>
      <sz val="72"/>
      <color rgb="FF05516B"/>
      <name val="Arial Narrow"/>
      <family val="2"/>
    </font>
    <font>
      <sz val="72"/>
      <color theme="1"/>
      <name val="Mainfont"/>
    </font>
    <font>
      <b/>
      <sz val="36"/>
      <color rgb="FF05516B"/>
      <name val="Arial Narrow"/>
      <family val="2"/>
    </font>
    <font>
      <sz val="34"/>
      <color rgb="FF05516B"/>
      <name val="Arial Narrow"/>
      <family val="2"/>
    </font>
    <font>
      <b/>
      <sz val="34"/>
      <color theme="1"/>
      <name val="Arial Narrow"/>
      <family val="2"/>
    </font>
    <font>
      <sz val="34"/>
      <color theme="1"/>
      <name val="Arial Narrow"/>
      <family val="2"/>
    </font>
    <font>
      <sz val="34"/>
      <color theme="3" tint="-0.249977111117893"/>
      <name val="Arial Narrow"/>
      <family val="2"/>
    </font>
    <font>
      <sz val="20"/>
      <color theme="3" tint="-0.249977111117893"/>
      <name val="Arial Narrow"/>
      <family val="2"/>
    </font>
    <font>
      <sz val="20"/>
      <color theme="1"/>
      <name val="Arial Narrow"/>
      <family val="2"/>
    </font>
    <font>
      <sz val="27"/>
      <color rgb="FF05516B"/>
      <name val="Arial Narrow"/>
      <family val="2"/>
    </font>
    <font>
      <sz val="26"/>
      <color rgb="FF05516B"/>
      <name val="Arial Narrow"/>
      <family val="2"/>
    </font>
    <font>
      <sz val="52"/>
      <color theme="1"/>
      <name val="Mainfont"/>
    </font>
    <font>
      <b/>
      <sz val="48"/>
      <color rgb="FF05516B"/>
      <name val="Arial Narrow"/>
      <family val="2"/>
    </font>
    <font>
      <sz val="48"/>
      <color rgb="FF05516B"/>
      <name val="Arial Narrow"/>
      <family val="2"/>
    </font>
    <font>
      <sz val="36"/>
      <color rgb="FF05516B"/>
      <name val="Arial Narrow"/>
      <family val="2"/>
    </font>
    <font>
      <b/>
      <sz val="11"/>
      <color rgb="FF0070C0"/>
      <name val="Calibri"/>
      <family val="2"/>
    </font>
    <font>
      <b/>
      <sz val="22"/>
      <color rgb="FF05516B"/>
      <name val="Arial Narrow"/>
      <family val="2"/>
    </font>
    <font>
      <b/>
      <sz val="26"/>
      <color rgb="FF05516B"/>
      <name val="Arial Narrow"/>
      <family val="2"/>
    </font>
    <font>
      <b/>
      <sz val="16"/>
      <color rgb="FFFF0000"/>
      <name val="Calibri"/>
      <family val="2"/>
    </font>
    <font>
      <b/>
      <sz val="12"/>
      <color rgb="FFFF0000"/>
      <name val="Calibri"/>
      <family val="2"/>
    </font>
    <font>
      <b/>
      <sz val="12"/>
      <color theme="1"/>
      <name val="Calibri"/>
      <family val="2"/>
      <scheme val="minor"/>
    </font>
    <font>
      <b/>
      <sz val="18"/>
      <color rgb="FFFF0000"/>
      <name val="Calibri"/>
      <family val="2"/>
    </font>
    <font>
      <sz val="12"/>
      <color rgb="FFFF0000"/>
      <name val="Calibri"/>
      <family val="2"/>
    </font>
    <font>
      <b/>
      <u/>
      <sz val="12"/>
      <color theme="1"/>
      <name val="Calibri"/>
      <family val="2"/>
    </font>
    <font>
      <b/>
      <sz val="20"/>
      <color theme="1"/>
      <name val="Calibri"/>
      <family val="2"/>
    </font>
    <font>
      <u/>
      <sz val="11"/>
      <color theme="1"/>
      <name val="Calibri"/>
      <family val="2"/>
    </font>
    <font>
      <b/>
      <sz val="10"/>
      <color theme="0"/>
      <name val="MS Sans Serif"/>
    </font>
    <font>
      <b/>
      <sz val="60"/>
      <color theme="0"/>
      <name val="Arial Narrow"/>
      <family val="2"/>
    </font>
    <font>
      <sz val="11"/>
      <color theme="0"/>
      <name val="Calibri"/>
      <family val="2"/>
      <scheme val="minor"/>
    </font>
    <font>
      <b/>
      <sz val="10"/>
      <color theme="3" tint="-0.249977111117893"/>
      <name val="Calibri"/>
      <family val="2"/>
      <scheme val="minor"/>
    </font>
    <font>
      <sz val="8"/>
      <name val="Calibri"/>
      <family val="2"/>
    </font>
    <font>
      <b/>
      <sz val="10"/>
      <color theme="1"/>
      <name val="Calibri"/>
      <family val="2"/>
    </font>
    <font>
      <b/>
      <i/>
      <sz val="11"/>
      <color theme="1"/>
      <name val="Calibri"/>
      <family val="2"/>
      <scheme val="minor"/>
    </font>
    <font>
      <sz val="8"/>
      <name val="Calibri"/>
      <family val="2"/>
      <scheme val="minor"/>
    </font>
    <font>
      <sz val="8"/>
      <color theme="0"/>
      <name val="Calibri"/>
      <family val="2"/>
    </font>
    <font>
      <sz val="8"/>
      <color theme="0"/>
      <name val="Calibri"/>
      <family val="2"/>
      <scheme val="minor"/>
    </font>
    <font>
      <b/>
      <sz val="8"/>
      <color theme="1"/>
      <name val="Calibri"/>
      <family val="2"/>
    </font>
    <font>
      <b/>
      <sz val="12"/>
      <color rgb="FF3366FF"/>
      <name val="Calibri"/>
      <family val="2"/>
    </font>
    <font>
      <b/>
      <sz val="11"/>
      <color rgb="FF3366FF"/>
      <name val="Calibri"/>
      <family val="2"/>
    </font>
    <font>
      <i/>
      <u/>
      <sz val="11"/>
      <color theme="1"/>
      <name val="Calibri"/>
      <family val="2"/>
    </font>
    <font>
      <sz val="18"/>
      <color theme="3"/>
      <name val="Cambria"/>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0"/>
      <color theme="0"/>
      <name val="MS Sans Serif"/>
      <family val="2"/>
    </font>
    <font>
      <sz val="8"/>
      <name val="Arial"/>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5"/>
      <color indexed="56"/>
      <name val="Calibri"/>
      <family val="2"/>
    </font>
    <font>
      <b/>
      <sz val="11"/>
      <color indexed="56"/>
      <name val="Calibri"/>
      <family val="2"/>
    </font>
    <font>
      <sz val="11"/>
      <color indexed="62"/>
      <name val="Calibri"/>
      <family val="2"/>
    </font>
    <font>
      <u/>
      <sz val="10"/>
      <color indexed="12"/>
      <name val="Arial"/>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3"/>
      <color indexed="56"/>
      <name val="Calibri"/>
      <family val="2"/>
    </font>
    <font>
      <b/>
      <sz val="11"/>
      <color indexed="8"/>
      <name val="Calibri"/>
      <family val="2"/>
    </font>
    <font>
      <sz val="10"/>
      <color indexed="10"/>
      <name val="Arial"/>
      <family val="2"/>
    </font>
    <font>
      <sz val="11"/>
      <color rgb="FF9C6500"/>
      <name val="Calibri"/>
      <family val="2"/>
      <scheme val="minor"/>
    </font>
    <font>
      <b/>
      <sz val="18"/>
      <color theme="3"/>
      <name val="Cambria"/>
      <family val="2"/>
      <scheme val="major"/>
    </font>
    <font>
      <sz val="10"/>
      <color theme="1"/>
      <name val="Arial"/>
      <family val="2"/>
    </font>
    <font>
      <sz val="10"/>
      <color indexed="8"/>
      <name val="Arial"/>
      <family val="2"/>
    </font>
    <font>
      <sz val="11"/>
      <color rgb="FF000000"/>
      <name val="Calibri"/>
      <family val="2"/>
      <scheme val="minor"/>
    </font>
    <font>
      <sz val="10"/>
      <name val="Helv"/>
    </font>
    <font>
      <sz val="10"/>
      <name val="Book Antiqua"/>
      <family val="1"/>
    </font>
    <font>
      <sz val="11"/>
      <color theme="1"/>
      <name val="Century Gothic"/>
      <family val="2"/>
    </font>
    <font>
      <b/>
      <sz val="12"/>
      <name val="Arial"/>
      <family val="2"/>
    </font>
    <font>
      <b/>
      <sz val="9"/>
      <name val="Arial"/>
      <family val="2"/>
    </font>
    <font>
      <sz val="9"/>
      <name val="Arial"/>
      <family val="2"/>
    </font>
    <font>
      <sz val="8"/>
      <color rgb="FF000000"/>
      <name val="Verdana"/>
      <family val="2"/>
    </font>
    <font>
      <b/>
      <sz val="8"/>
      <color rgb="FF000000"/>
      <name val="Verdana"/>
      <family val="2"/>
    </font>
    <font>
      <sz val="10"/>
      <name val="Frutiger-Bold"/>
    </font>
    <font>
      <sz val="10"/>
      <name val="Arial CE"/>
    </font>
    <font>
      <sz val="10"/>
      <name val="Courier"/>
      <family val="3"/>
    </font>
    <font>
      <b/>
      <i/>
      <sz val="10"/>
      <color indexed="8"/>
      <name val="Arial"/>
      <family val="2"/>
    </font>
    <font>
      <b/>
      <sz val="10"/>
      <color indexed="58"/>
      <name val="Arial"/>
      <family val="2"/>
    </font>
    <font>
      <b/>
      <sz val="12"/>
      <color indexed="37"/>
      <name val="Arial"/>
      <family val="2"/>
    </font>
    <font>
      <b/>
      <sz val="16"/>
      <color indexed="37"/>
      <name val="Arial"/>
      <family val="2"/>
    </font>
    <font>
      <b/>
      <sz val="7"/>
      <name val="Arial"/>
      <family val="2"/>
    </font>
    <font>
      <b/>
      <sz val="12"/>
      <color indexed="8"/>
      <name val="Arial"/>
      <family val="2"/>
    </font>
    <font>
      <sz val="12"/>
      <color indexed="8"/>
      <name val="Arial"/>
      <family val="2"/>
    </font>
    <font>
      <sz val="11"/>
      <color theme="1"/>
      <name val="Verdana"/>
      <family val="2"/>
    </font>
    <font>
      <sz val="8"/>
      <color rgb="FF000000"/>
      <name val="Arial"/>
      <family val="2"/>
    </font>
    <font>
      <sz val="8"/>
      <color theme="1"/>
      <name val="Arial"/>
      <family val="2"/>
    </font>
    <font>
      <sz val="8"/>
      <color theme="1"/>
      <name val="Verdana"/>
      <family val="2"/>
    </font>
    <font>
      <b/>
      <sz val="8"/>
      <color theme="0"/>
      <name val="Verdana"/>
      <family val="2"/>
    </font>
    <font>
      <b/>
      <sz val="8"/>
      <color theme="1"/>
      <name val="Verdana"/>
      <family val="2"/>
    </font>
    <font>
      <b/>
      <sz val="8"/>
      <color rgb="FFFFFF00"/>
      <name val="Verdana"/>
      <family val="2"/>
    </font>
    <font>
      <i/>
      <sz val="8"/>
      <color rgb="FF000000"/>
      <name val="Verdana"/>
      <family val="2"/>
    </font>
    <font>
      <b/>
      <sz val="8"/>
      <color rgb="FF00CC00"/>
      <name val="Verdana"/>
      <family val="2"/>
    </font>
    <font>
      <b/>
      <sz val="8"/>
      <color rgb="FF33CC33"/>
      <name val="Verdana"/>
      <family val="2"/>
    </font>
    <font>
      <b/>
      <sz val="8"/>
      <color rgb="FFFF9900"/>
      <name val="Verdana"/>
      <family val="2"/>
    </font>
    <font>
      <b/>
      <sz val="8"/>
      <color rgb="FFFF0000"/>
      <name val="Verdana"/>
      <family val="2"/>
    </font>
    <font>
      <sz val="12"/>
      <name val="Arial"/>
      <family val="2"/>
    </font>
    <font>
      <b/>
      <sz val="16"/>
      <color indexed="10"/>
      <name val="Arial"/>
      <family val="2"/>
    </font>
    <font>
      <b/>
      <i/>
      <sz val="9"/>
      <name val="Arial"/>
      <family val="2"/>
    </font>
    <font>
      <i/>
      <sz val="12"/>
      <name val="Arial"/>
      <family val="2"/>
    </font>
    <font>
      <b/>
      <sz val="18"/>
      <name val="Arial"/>
      <family val="2"/>
    </font>
    <font>
      <sz val="10"/>
      <name val="Times New Roman"/>
      <family val="1"/>
    </font>
    <font>
      <b/>
      <sz val="10"/>
      <color indexed="43"/>
      <name val="Arial"/>
      <family val="2"/>
    </font>
    <font>
      <b/>
      <sz val="12"/>
      <color indexed="24"/>
      <name val="Arial"/>
      <family val="2"/>
    </font>
    <font>
      <b/>
      <sz val="10"/>
      <color indexed="8"/>
      <name val="Arial"/>
      <family val="2"/>
    </font>
    <font>
      <sz val="10"/>
      <color indexed="9"/>
      <name val="Arial"/>
      <family val="2"/>
    </font>
    <font>
      <sz val="18"/>
      <color indexed="22"/>
      <name val="Arial"/>
      <family val="2"/>
    </font>
    <font>
      <sz val="8"/>
      <color indexed="22"/>
      <name val="Arial"/>
      <family val="2"/>
    </font>
    <font>
      <i/>
      <sz val="12"/>
      <color indexed="22"/>
      <name val="Arial"/>
      <family val="2"/>
    </font>
    <font>
      <sz val="12"/>
      <color indexed="22"/>
      <name val="Times New Roman"/>
      <family val="1"/>
    </font>
    <font>
      <sz val="18"/>
      <color indexed="22"/>
      <name val="Times New Roman"/>
      <family val="1"/>
    </font>
    <font>
      <sz val="8"/>
      <color indexed="22"/>
      <name val="Times New Roman"/>
      <family val="1"/>
    </font>
    <font>
      <i/>
      <sz val="12"/>
      <color indexed="22"/>
      <name val="Times New Roman"/>
      <family val="1"/>
    </font>
    <font>
      <sz val="12"/>
      <name val="Times New Roman"/>
      <family val="1"/>
    </font>
    <font>
      <sz val="10"/>
      <color indexed="24"/>
      <name val="Arial"/>
      <family val="2"/>
    </font>
    <font>
      <sz val="10"/>
      <name val="Tahoma"/>
      <family val="2"/>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9"/>
      <name val="Times New Roman"/>
      <family val="1"/>
    </font>
    <font>
      <b/>
      <sz val="10"/>
      <color indexed="18"/>
      <name val="Arial"/>
      <family val="2"/>
    </font>
    <font>
      <b/>
      <sz val="10"/>
      <color indexed="62"/>
      <name val="Arial"/>
      <family val="2"/>
    </font>
    <font>
      <b/>
      <sz val="14"/>
      <color indexed="62"/>
      <name val="Arial"/>
      <family val="2"/>
    </font>
    <font>
      <sz val="10"/>
      <color indexed="17"/>
      <name val="Arial"/>
      <family val="2"/>
    </font>
    <font>
      <b/>
      <sz val="10"/>
      <color indexed="52"/>
      <name val="Arial"/>
      <family val="2"/>
    </font>
    <font>
      <b/>
      <sz val="10"/>
      <color indexed="9"/>
      <name val="Arial"/>
      <family val="2"/>
    </font>
    <font>
      <sz val="10"/>
      <color indexed="52"/>
      <name val="Arial"/>
      <family val="2"/>
    </font>
    <font>
      <b/>
      <sz val="11"/>
      <color indexed="56"/>
      <name val="Arial"/>
      <family val="2"/>
    </font>
    <font>
      <sz val="10"/>
      <color indexed="62"/>
      <name val="Arial"/>
      <family val="2"/>
    </font>
    <font>
      <sz val="10"/>
      <color indexed="20"/>
      <name val="Arial"/>
      <family val="2"/>
    </font>
    <font>
      <b/>
      <sz val="10"/>
      <color indexed="63"/>
      <name val="Arial"/>
      <family val="2"/>
    </font>
    <font>
      <i/>
      <sz val="10"/>
      <color indexed="23"/>
      <name val="Arial"/>
      <family val="2"/>
    </font>
    <font>
      <b/>
      <sz val="15"/>
      <color indexed="56"/>
      <name val="Arial"/>
      <family val="2"/>
    </font>
    <font>
      <b/>
      <sz val="13"/>
      <color indexed="56"/>
      <name val="Arial"/>
      <family val="2"/>
    </font>
    <font>
      <i/>
      <sz val="10"/>
      <color theme="1"/>
      <name val="Calibri"/>
      <family val="2"/>
    </font>
  </fonts>
  <fills count="166">
    <fill>
      <patternFill patternType="none"/>
    </fill>
    <fill>
      <patternFill patternType="gray125"/>
    </fill>
    <fill>
      <patternFill patternType="solid">
        <fgColor theme="3" tint="-0.249977111117893"/>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3"/>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249977111117893"/>
        <bgColor indexed="64"/>
      </patternFill>
    </fill>
    <fill>
      <patternFill patternType="solid">
        <fgColor theme="5" tint="-0.249977111117893"/>
        <bgColor theme="4" tint="0.79998168889431442"/>
      </patternFill>
    </fill>
    <fill>
      <patternFill patternType="solid">
        <fgColor theme="0"/>
        <bgColor theme="4" tint="0.79998168889431442"/>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0" tint="-0.499984740745262"/>
        <bgColor indexed="64"/>
      </patternFill>
    </fill>
    <fill>
      <patternFill patternType="solid">
        <fgColor theme="3" tint="-0.499984740745262"/>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rgb="FF00B050"/>
        <bgColor indexed="64"/>
      </patternFill>
    </fill>
    <fill>
      <patternFill patternType="solid">
        <fgColor rgb="FF0070C0"/>
        <bgColor indexed="64"/>
      </patternFill>
    </fill>
    <fill>
      <patternFill patternType="solid">
        <fgColor rgb="FFFF0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2"/>
        <bgColor indexed="64"/>
      </patternFill>
    </fill>
    <fill>
      <patternFill patternType="solid">
        <fgColor rgb="FFFFFFCC"/>
      </patternFill>
    </fill>
    <fill>
      <patternFill patternType="solid">
        <fgColor theme="4" tint="0.59999389629810485"/>
        <bgColor indexed="64"/>
      </patternFill>
    </fill>
    <fill>
      <patternFill patternType="solid">
        <fgColor theme="5"/>
      </patternFill>
    </fill>
    <fill>
      <patternFill patternType="solid">
        <fgColor theme="9"/>
      </patternFill>
    </fill>
    <fill>
      <patternFill patternType="solid">
        <fgColor theme="8"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1" tint="0.499984740745262"/>
        <bgColor indexed="64"/>
      </patternFill>
    </fill>
    <fill>
      <patternFill patternType="solid">
        <fgColor theme="3" tint="0.59996337778862885"/>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9"/>
        <bgColor indexed="64"/>
      </patternFill>
    </fill>
    <fill>
      <patternFill patternType="solid">
        <fgColor indexed="43"/>
        <bgColor indexed="64"/>
      </patternFill>
    </fill>
    <fill>
      <patternFill patternType="solid">
        <fgColor indexed="26"/>
        <bgColor indexed="64"/>
      </patternFill>
    </fill>
    <fill>
      <patternFill patternType="solid">
        <fgColor rgb="FFFFFDBF"/>
        <bgColor rgb="FFFFFFFF"/>
      </patternFill>
    </fill>
    <fill>
      <gradientFill degree="90">
        <stop position="0">
          <color rgb="FFDDE2E7"/>
        </stop>
        <stop position="1">
          <color rgb="FFCED3D8"/>
        </stop>
      </gradientFill>
    </fill>
    <fill>
      <patternFill patternType="solid">
        <fgColor rgb="FFB7CFE8"/>
        <bgColor rgb="FF000000"/>
      </patternFill>
    </fill>
    <fill>
      <patternFill patternType="solid">
        <fgColor rgb="FFC3D6EB"/>
        <bgColor rgb="FF000000"/>
      </patternFill>
    </fill>
    <fill>
      <patternFill patternType="solid">
        <fgColor rgb="FFD5E3F2"/>
        <bgColor rgb="FF000000"/>
      </patternFill>
    </fill>
    <fill>
      <patternFill patternType="solid">
        <fgColor rgb="FFE1E7F5"/>
        <bgColor rgb="FF000000"/>
      </patternFill>
    </fill>
    <fill>
      <patternFill patternType="solid">
        <fgColor rgb="FFF1F5FB"/>
        <bgColor rgb="FF000000"/>
      </patternFill>
    </fill>
    <fill>
      <patternFill patternType="solid">
        <fgColor rgb="FFFFFDBF"/>
        <bgColor rgb="FF000000"/>
      </patternFill>
    </fill>
    <fill>
      <patternFill patternType="solid">
        <fgColor theme="1" tint="4.9989318521683403E-2"/>
        <bgColor indexed="64"/>
      </patternFill>
    </fill>
    <fill>
      <patternFill patternType="solid">
        <fgColor indexed="9"/>
      </patternFill>
    </fill>
    <fill>
      <patternFill patternType="solid">
        <fgColor indexed="54"/>
        <bgColor indexed="64"/>
      </patternFill>
    </fill>
    <fill>
      <patternFill patternType="solid">
        <fgColor theme="3" tint="-0.499984740745262"/>
        <bgColor rgb="FFFFFFFF"/>
      </patternFill>
    </fill>
    <fill>
      <patternFill patternType="solid">
        <fgColor rgb="FFFFFFFF"/>
        <bgColor rgb="FF000000"/>
      </patternFill>
    </fill>
    <fill>
      <patternFill patternType="solid">
        <fgColor rgb="FF94D88F"/>
        <bgColor rgb="FF000000"/>
      </patternFill>
    </fill>
    <fill>
      <patternFill patternType="solid">
        <fgColor rgb="FFABEDA5"/>
        <bgColor rgb="FF000000"/>
      </patternFill>
    </fill>
    <fill>
      <patternFill patternType="solid">
        <fgColor rgb="FFC6F9C1"/>
        <bgColor rgb="FF000000"/>
      </patternFill>
    </fill>
    <fill>
      <patternFill patternType="solid">
        <fgColor rgb="FFFDE9D9"/>
        <bgColor rgb="FF000000"/>
      </patternFill>
    </fill>
    <fill>
      <patternFill patternType="solid">
        <fgColor rgb="FFFCD5B4"/>
        <bgColor rgb="FF000000"/>
      </patternFill>
    </fill>
    <fill>
      <patternFill patternType="solid">
        <fgColor rgb="FFFFFB8C"/>
        <bgColor rgb="FF000000"/>
      </patternFill>
    </fill>
    <fill>
      <patternFill patternType="solid">
        <fgColor rgb="FFFAC090"/>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EAEAEA"/>
        <bgColor rgb="FF000000"/>
      </patternFill>
    </fill>
    <fill>
      <patternFill patternType="solid">
        <fgColor rgb="FFDBE5F2"/>
        <bgColor rgb="FF000000"/>
      </patternFill>
    </fill>
    <fill>
      <patternFill patternType="solid">
        <fgColor rgb="FFE9EFF7"/>
        <bgColor rgb="FF000000"/>
      </patternFill>
    </fill>
    <fill>
      <gradientFill degree="90">
        <stop position="0">
          <color rgb="FFF7F7F7"/>
        </stop>
        <stop position="1">
          <color rgb="FFFCFCFC"/>
        </stop>
      </gradientFill>
    </fill>
    <fill>
      <patternFill patternType="solid">
        <fgColor rgb="FFF8F8F8"/>
        <bgColor rgb="FF000000"/>
      </patternFill>
    </fill>
    <fill>
      <patternFill patternType="solid">
        <fgColor rgb="FFFFFFFF"/>
        <bgColor rgb="FFFFFFFF"/>
      </patternFill>
    </fill>
    <fill>
      <patternFill patternType="solid">
        <fgColor theme="3" tint="-0.499984740745262"/>
        <bgColor rgb="FF000000"/>
      </patternFill>
    </fill>
    <fill>
      <patternFill patternType="solid">
        <fgColor indexed="44"/>
        <bgColor indexed="64"/>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5"/>
        <bgColor indexed="55"/>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62"/>
        <bgColor indexed="64"/>
      </patternFill>
    </fill>
    <fill>
      <patternFill patternType="solid">
        <fgColor indexed="23"/>
        <bgColor indexed="64"/>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4"/>
        <bgColor indexed="44"/>
      </patternFill>
    </fill>
    <fill>
      <patternFill patternType="solid">
        <fgColor indexed="42"/>
        <bgColor indexed="42"/>
      </patternFill>
    </fill>
    <fill>
      <patternFill patternType="solid">
        <fgColor indexed="27"/>
        <bgColor indexed="27"/>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15"/>
      </patternFill>
    </fill>
    <fill>
      <patternFill patternType="solid">
        <fgColor indexed="20"/>
      </patternFill>
    </fill>
  </fills>
  <borders count="464">
    <border>
      <left/>
      <right/>
      <top/>
      <bottom/>
      <diagonal/>
    </border>
    <border>
      <left/>
      <right/>
      <top/>
      <bottom style="thin">
        <color theme="3" tint="-0.249977111117893"/>
      </bottom>
      <diagonal/>
    </border>
    <border>
      <left style="thin">
        <color theme="1" tint="0.249977111117893"/>
      </left>
      <right/>
      <top style="thin">
        <color theme="1" tint="0.249977111117893"/>
      </top>
      <bottom style="thin">
        <color theme="1" tint="0.249977111117893"/>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style="thin">
        <color theme="1" tint="0.249977111117893"/>
      </bottom>
      <diagonal/>
    </border>
    <border>
      <left/>
      <right/>
      <top/>
      <bottom style="thin">
        <color theme="1" tint="0.24997711111789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0066"/>
      </left>
      <right style="thin">
        <color rgb="FFFF0066"/>
      </right>
      <top style="thin">
        <color rgb="FFFF0066"/>
      </top>
      <bottom style="thin">
        <color rgb="FFFF0066"/>
      </bottom>
      <diagonal/>
    </border>
    <border>
      <left style="thin">
        <color theme="3"/>
      </left>
      <right style="thin">
        <color theme="3"/>
      </right>
      <top/>
      <bottom/>
      <diagonal/>
    </border>
    <border>
      <left style="thin">
        <color theme="3"/>
      </left>
      <right style="thin">
        <color theme="3"/>
      </right>
      <top style="thin">
        <color theme="3"/>
      </top>
      <bottom style="thin">
        <color theme="3"/>
      </bottom>
      <diagonal/>
    </border>
    <border>
      <left style="thin">
        <color theme="3"/>
      </left>
      <right/>
      <top style="thin">
        <color theme="3"/>
      </top>
      <bottom style="thin">
        <color theme="3"/>
      </bottom>
      <diagonal/>
    </border>
    <border>
      <left/>
      <right style="thin">
        <color theme="3"/>
      </right>
      <top style="thin">
        <color theme="3"/>
      </top>
      <bottom style="thin">
        <color theme="3"/>
      </bottom>
      <diagonal/>
    </border>
    <border>
      <left style="thin">
        <color theme="3"/>
      </left>
      <right style="thin">
        <color theme="3"/>
      </right>
      <top/>
      <bottom style="thin">
        <color theme="3"/>
      </bottom>
      <diagonal/>
    </border>
    <border>
      <left/>
      <right style="thin">
        <color theme="1" tint="0.249977111117893"/>
      </right>
      <top/>
      <bottom/>
      <diagonal/>
    </border>
    <border>
      <left style="thin">
        <color theme="3"/>
      </left>
      <right style="thin">
        <color theme="3"/>
      </right>
      <top style="thin">
        <color theme="3"/>
      </top>
      <bottom/>
      <diagonal/>
    </border>
    <border>
      <left/>
      <right style="thin">
        <color theme="3"/>
      </right>
      <top/>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3" tint="-0.249977111117893"/>
      </left>
      <right/>
      <top style="thin">
        <color theme="3" tint="-0.249977111117893"/>
      </top>
      <bottom/>
      <diagonal/>
    </border>
    <border>
      <left/>
      <right/>
      <top style="thin">
        <color theme="3" tint="-0.249977111117893"/>
      </top>
      <bottom/>
      <diagonal/>
    </border>
    <border>
      <left/>
      <right style="thin">
        <color theme="3" tint="-0.249977111117893"/>
      </right>
      <top style="thin">
        <color theme="3" tint="-0.249977111117893"/>
      </top>
      <bottom/>
      <diagonal/>
    </border>
    <border>
      <left style="thin">
        <color theme="3" tint="-0.249977111117893"/>
      </left>
      <right/>
      <top/>
      <bottom/>
      <diagonal/>
    </border>
    <border>
      <left/>
      <right style="thin">
        <color theme="3" tint="-0.249977111117893"/>
      </right>
      <top/>
      <bottom/>
      <diagonal/>
    </border>
    <border>
      <left style="thin">
        <color theme="3" tint="-0.249977111117893"/>
      </left>
      <right/>
      <top/>
      <bottom style="thin">
        <color theme="3" tint="-0.249977111117893"/>
      </bottom>
      <diagonal/>
    </border>
    <border>
      <left/>
      <right style="thin">
        <color theme="3" tint="-0.249977111117893"/>
      </right>
      <top/>
      <bottom style="thin">
        <color theme="3" tint="-0.249977111117893"/>
      </bottom>
      <diagonal/>
    </border>
    <border>
      <left style="thin">
        <color theme="3"/>
      </left>
      <right style="thin">
        <color theme="3"/>
      </right>
      <top style="thin">
        <color theme="3"/>
      </top>
      <bottom style="thin">
        <color theme="3" tint="-0.249977111117893"/>
      </bottom>
      <diagonal/>
    </border>
    <border>
      <left style="thin">
        <color theme="3" tint="-0.249977111117893"/>
      </left>
      <right style="thin">
        <color theme="3" tint="-0.249977111117893"/>
      </right>
      <top style="thin">
        <color theme="3" tint="-0.249977111117893"/>
      </top>
      <bottom style="thin">
        <color theme="3" tint="-0.249977111117893"/>
      </bottom>
      <diagonal/>
    </border>
    <border>
      <left style="thin">
        <color theme="3" tint="-0.249977111117893"/>
      </left>
      <right/>
      <top style="thin">
        <color theme="3" tint="-0.249977111117893"/>
      </top>
      <bottom style="thin">
        <color theme="3" tint="-0.249977111117893"/>
      </bottom>
      <diagonal/>
    </border>
    <border>
      <left/>
      <right/>
      <top style="thin">
        <color theme="3" tint="-0.249977111117893"/>
      </top>
      <bottom style="thin">
        <color theme="3" tint="-0.249977111117893"/>
      </bottom>
      <diagonal/>
    </border>
    <border>
      <left/>
      <right style="thin">
        <color theme="3" tint="-0.249977111117893"/>
      </right>
      <top style="thin">
        <color theme="3" tint="-0.249977111117893"/>
      </top>
      <bottom style="thin">
        <color theme="3" tint="-0.249977111117893"/>
      </bottom>
      <diagonal/>
    </border>
    <border>
      <left/>
      <right style="thin">
        <color theme="3"/>
      </right>
      <top style="thin">
        <color theme="3"/>
      </top>
      <bottom/>
      <diagonal/>
    </border>
    <border>
      <left style="thin">
        <color theme="3" tint="-0.249977111117893"/>
      </left>
      <right style="thin">
        <color theme="3" tint="-0.249977111117893"/>
      </right>
      <top style="thin">
        <color theme="3" tint="-0.249977111117893"/>
      </top>
      <bottom style="thin">
        <color theme="3"/>
      </bottom>
      <diagonal/>
    </border>
    <border>
      <left style="thin">
        <color theme="3" tint="-0.249977111117893"/>
      </left>
      <right style="thin">
        <color theme="3" tint="-0.249977111117893"/>
      </right>
      <top/>
      <bottom/>
      <diagonal/>
    </border>
    <border>
      <left style="thin">
        <color theme="3" tint="-0.249977111117893"/>
      </left>
      <right style="thin">
        <color theme="3" tint="-0.249977111117893"/>
      </right>
      <top/>
      <bottom style="thin">
        <color theme="3" tint="-0.249977111117893"/>
      </bottom>
      <diagonal/>
    </border>
    <border>
      <left style="thin">
        <color theme="3" tint="-0.249977111117893"/>
      </left>
      <right style="thin">
        <color theme="3" tint="-0.249977111117893"/>
      </right>
      <top style="thin">
        <color theme="3"/>
      </top>
      <bottom/>
      <diagonal/>
    </border>
    <border>
      <left style="thin">
        <color theme="3" tint="-0.249977111117893"/>
      </left>
      <right style="thin">
        <color theme="3" tint="-0.249977111117893"/>
      </right>
      <top style="thin">
        <color theme="3" tint="-0.249977111117893"/>
      </top>
      <bottom/>
      <diagonal/>
    </border>
    <border>
      <left style="thin">
        <color theme="3" tint="-0.249977111117893"/>
      </left>
      <right/>
      <top style="thin">
        <color theme="3" tint="-0.249977111117893"/>
      </top>
      <bottom style="hair">
        <color indexed="64"/>
      </bottom>
      <diagonal/>
    </border>
    <border>
      <left/>
      <right style="thin">
        <color theme="3" tint="-0.249977111117893"/>
      </right>
      <top/>
      <bottom style="hair">
        <color indexed="64"/>
      </bottom>
      <diagonal/>
    </border>
    <border>
      <left style="thin">
        <color theme="3" tint="-0.249977111117893"/>
      </left>
      <right style="thin">
        <color theme="3" tint="-0.249977111117893"/>
      </right>
      <top style="hair">
        <color theme="3" tint="-0.249977111117893"/>
      </top>
      <bottom style="hair">
        <color theme="3" tint="-0.249977111117893"/>
      </bottom>
      <diagonal/>
    </border>
    <border>
      <left style="thin">
        <color theme="3" tint="-0.249977111117893"/>
      </left>
      <right style="thin">
        <color theme="3" tint="-0.249977111117893"/>
      </right>
      <top style="hair">
        <color theme="3" tint="-0.249977111117893"/>
      </top>
      <bottom style="thin">
        <color theme="3" tint="-0.249977111117893"/>
      </bottom>
      <diagonal/>
    </border>
    <border>
      <left style="thin">
        <color theme="3" tint="-0.249977111117893"/>
      </left>
      <right style="thin">
        <color theme="3" tint="-0.249977111117893"/>
      </right>
      <top/>
      <bottom style="hair">
        <color theme="3" tint="-0.249977111117893"/>
      </bottom>
      <diagonal/>
    </border>
    <border>
      <left style="thin">
        <color theme="3" tint="-0.249977111117893"/>
      </left>
      <right style="thin">
        <color theme="3" tint="-0.249977111117893"/>
      </right>
      <top style="hair">
        <color theme="3" tint="-0.249977111117893"/>
      </top>
      <bottom style="hair">
        <color indexed="64"/>
      </bottom>
      <diagonal/>
    </border>
    <border>
      <left/>
      <right style="thin">
        <color theme="3" tint="-0.249977111117893"/>
      </right>
      <top style="hair">
        <color theme="3" tint="-0.249977111117893"/>
      </top>
      <bottom style="hair">
        <color indexed="64"/>
      </bottom>
      <diagonal/>
    </border>
    <border>
      <left/>
      <right style="thin">
        <color theme="3" tint="-0.249977111117893"/>
      </right>
      <top/>
      <bottom style="hair">
        <color theme="3" tint="-0.249977111117893"/>
      </bottom>
      <diagonal/>
    </border>
    <border>
      <left/>
      <right style="thin">
        <color theme="3" tint="-0.249977111117893"/>
      </right>
      <top style="hair">
        <color theme="3" tint="-0.249977111117893"/>
      </top>
      <bottom style="hair">
        <color theme="3" tint="-0.249977111117893"/>
      </bottom>
      <diagonal/>
    </border>
    <border>
      <left/>
      <right style="thin">
        <color theme="3" tint="-0.249977111117893"/>
      </right>
      <top style="hair">
        <color theme="3" tint="-0.249977111117893"/>
      </top>
      <bottom style="thin">
        <color theme="3" tint="-0.249977111117893"/>
      </bottom>
      <diagonal/>
    </border>
    <border>
      <left style="thin">
        <color theme="3" tint="-0.249977111117893"/>
      </left>
      <right/>
      <top style="hair">
        <color theme="3" tint="-0.249977111117893"/>
      </top>
      <bottom style="hair">
        <color indexed="64"/>
      </bottom>
      <diagonal/>
    </border>
    <border>
      <left style="thin">
        <color theme="3" tint="-0.249977111117893"/>
      </left>
      <right/>
      <top/>
      <bottom style="hair">
        <color theme="3" tint="-0.249977111117893"/>
      </bottom>
      <diagonal/>
    </border>
    <border>
      <left style="thin">
        <color theme="3" tint="-0.249977111117893"/>
      </left>
      <right/>
      <top style="hair">
        <color theme="3" tint="-0.249977111117893"/>
      </top>
      <bottom style="hair">
        <color theme="3" tint="-0.249977111117893"/>
      </bottom>
      <diagonal/>
    </border>
    <border>
      <left style="thin">
        <color theme="3" tint="-0.249977111117893"/>
      </left>
      <right/>
      <top style="hair">
        <color theme="3" tint="-0.249977111117893"/>
      </top>
      <bottom style="thin">
        <color theme="3" tint="-0.249977111117893"/>
      </bottom>
      <diagonal/>
    </border>
    <border>
      <left style="thin">
        <color theme="3" tint="-0.249977111117893"/>
      </left>
      <right/>
      <top/>
      <bottom style="hair">
        <color indexed="64"/>
      </bottom>
      <diagonal/>
    </border>
    <border>
      <left style="thin">
        <color theme="3"/>
      </left>
      <right/>
      <top/>
      <bottom/>
      <diagonal/>
    </border>
    <border>
      <left style="thin">
        <color theme="3" tint="-0.249977111117893"/>
      </left>
      <right style="thin">
        <color theme="3" tint="-0.249977111117893"/>
      </right>
      <top style="thin">
        <color theme="3" tint="-0.249977111117893"/>
      </top>
      <bottom style="hair">
        <color theme="3" tint="-0.249977111117893"/>
      </bottom>
      <diagonal/>
    </border>
    <border>
      <left style="thin">
        <color theme="0"/>
      </left>
      <right style="thin">
        <color theme="0"/>
      </right>
      <top style="thin">
        <color theme="0"/>
      </top>
      <bottom style="thin">
        <color theme="0"/>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bottom style="thin">
        <color theme="4" tint="0.39997558519241921"/>
      </bottom>
      <diagonal/>
    </border>
    <border>
      <left/>
      <right style="thin">
        <color theme="4" tint="-0.249977111117893"/>
      </right>
      <top style="thin">
        <color theme="4" tint="0.39997558519241921"/>
      </top>
      <bottom style="thin">
        <color theme="4" tint="0.39997558519241921"/>
      </bottom>
      <diagonal/>
    </border>
    <border>
      <left/>
      <right/>
      <top style="thin">
        <color theme="4" tint="0.39997558519241921"/>
      </top>
      <bottom/>
      <diagonal/>
    </border>
    <border>
      <left style="thin">
        <color theme="4" tint="-0.249977111117893"/>
      </left>
      <right style="thin">
        <color theme="4" tint="-0.249977111117893"/>
      </right>
      <top style="thin">
        <color theme="4" tint="0.39997558519241921"/>
      </top>
      <bottom/>
      <diagonal/>
    </border>
    <border>
      <left/>
      <right style="thin">
        <color theme="4" tint="-0.249977111117893"/>
      </right>
      <top style="thin">
        <color theme="4" tint="0.39997558519241921"/>
      </top>
      <bottom/>
      <diagonal/>
    </border>
    <border>
      <left style="thin">
        <color theme="4" tint="-0.249977111117893"/>
      </left>
      <right/>
      <top style="thin">
        <color theme="4" tint="-0.249977111117893"/>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style="thin">
        <color theme="3" tint="-0.249977111117893"/>
      </left>
      <right/>
      <top style="thin">
        <color theme="3" tint="-0.249977111117893"/>
      </top>
      <bottom style="dotted">
        <color theme="3" tint="-0.249977111117893"/>
      </bottom>
      <diagonal/>
    </border>
    <border>
      <left style="thin">
        <color theme="3" tint="-0.249977111117893"/>
      </left>
      <right/>
      <top/>
      <bottom style="dotted">
        <color theme="3" tint="-0.249977111117893"/>
      </bottom>
      <diagonal/>
    </border>
    <border>
      <left/>
      <right/>
      <top/>
      <bottom style="double">
        <color indexed="64"/>
      </bottom>
      <diagonal/>
    </border>
    <border>
      <left/>
      <right style="thin">
        <color theme="3" tint="-0.249977111117893"/>
      </right>
      <top/>
      <bottom style="dotted">
        <color theme="3" tint="-0.249977111117893"/>
      </bottom>
      <diagonal/>
    </border>
    <border>
      <left style="thin">
        <color theme="3" tint="-0.249977111117893"/>
      </left>
      <right style="thin">
        <color theme="3" tint="-0.249977111117893"/>
      </right>
      <top/>
      <bottom style="dotted">
        <color theme="3" tint="-0.249977111117893"/>
      </bottom>
      <diagonal/>
    </border>
    <border>
      <left style="thin">
        <color theme="3" tint="-0.249977111117893"/>
      </left>
      <right style="thin">
        <color theme="3" tint="-0.249977111117893"/>
      </right>
      <top style="thin">
        <color theme="3" tint="-0.249977111117893"/>
      </top>
      <bottom style="dotted">
        <color theme="3" tint="-0.249977111117893"/>
      </bottom>
      <diagonal/>
    </border>
    <border>
      <left/>
      <right style="thin">
        <color theme="3" tint="-0.249977111117893"/>
      </right>
      <top style="thin">
        <color theme="3" tint="-0.249977111117893"/>
      </top>
      <bottom style="dotted">
        <color theme="3" tint="-0.249977111117893"/>
      </bottom>
      <diagonal/>
    </border>
    <border>
      <left style="thin">
        <color theme="3" tint="-0.249977111117893"/>
      </left>
      <right style="dotted">
        <color theme="3" tint="-0.249977111117893"/>
      </right>
      <top style="thin">
        <color theme="3" tint="-0.249977111117893"/>
      </top>
      <bottom style="dotted">
        <color theme="3" tint="-0.249977111117893"/>
      </bottom>
      <diagonal/>
    </border>
    <border>
      <left style="dotted">
        <color theme="3" tint="-0.249977111117893"/>
      </left>
      <right style="thin">
        <color theme="3" tint="-0.249977111117893"/>
      </right>
      <top style="thin">
        <color theme="3" tint="-0.249977111117893"/>
      </top>
      <bottom style="dotted">
        <color theme="3" tint="-0.249977111117893"/>
      </bottom>
      <diagonal/>
    </border>
    <border>
      <left style="thin">
        <color theme="3" tint="-0.249977111117893"/>
      </left>
      <right style="dotted">
        <color theme="3" tint="-0.249977111117893"/>
      </right>
      <top style="dotted">
        <color theme="3" tint="-0.249977111117893"/>
      </top>
      <bottom style="dotted">
        <color theme="3" tint="-0.249977111117893"/>
      </bottom>
      <diagonal/>
    </border>
    <border>
      <left style="dotted">
        <color theme="3" tint="-0.249977111117893"/>
      </left>
      <right style="thin">
        <color theme="3" tint="-0.249977111117893"/>
      </right>
      <top style="dotted">
        <color theme="3" tint="-0.249977111117893"/>
      </top>
      <bottom style="dotted">
        <color theme="3" tint="-0.249977111117893"/>
      </bottom>
      <diagonal/>
    </border>
    <border>
      <left style="thin">
        <color theme="3" tint="-0.249977111117893"/>
      </left>
      <right style="dotted">
        <color theme="3" tint="-0.249977111117893"/>
      </right>
      <top style="dotted">
        <color theme="3" tint="-0.249977111117893"/>
      </top>
      <bottom style="thin">
        <color theme="3" tint="-0.249977111117893"/>
      </bottom>
      <diagonal/>
    </border>
    <border>
      <left style="dotted">
        <color theme="3" tint="-0.249977111117893"/>
      </left>
      <right style="thin">
        <color theme="3" tint="-0.249977111117893"/>
      </right>
      <top style="dotted">
        <color theme="3" tint="-0.249977111117893"/>
      </top>
      <bottom style="thin">
        <color theme="3" tint="-0.249977111117893"/>
      </bottom>
      <diagonal/>
    </border>
    <border>
      <left style="thin">
        <color theme="3" tint="-0.249977111117893"/>
      </left>
      <right style="dotted">
        <color theme="3" tint="-0.249977111117893"/>
      </right>
      <top/>
      <bottom style="dotted">
        <color theme="3" tint="-0.249977111117893"/>
      </bottom>
      <diagonal/>
    </border>
    <border>
      <left style="dotted">
        <color theme="3" tint="-0.249977111117893"/>
      </left>
      <right style="thin">
        <color theme="3" tint="-0.249977111117893"/>
      </right>
      <top/>
      <bottom style="dotted">
        <color theme="3" tint="-0.249977111117893"/>
      </bottom>
      <diagonal/>
    </border>
    <border>
      <left style="thin">
        <color theme="3" tint="-0.249977111117893"/>
      </left>
      <right style="dotted">
        <color theme="3" tint="-0.249977111117893"/>
      </right>
      <top style="dotted">
        <color theme="3" tint="-0.249977111117893"/>
      </top>
      <bottom/>
      <diagonal/>
    </border>
    <border>
      <left style="dotted">
        <color theme="3" tint="-0.249977111117893"/>
      </left>
      <right style="thin">
        <color theme="3" tint="-0.249977111117893"/>
      </right>
      <top style="dotted">
        <color theme="3" tint="-0.249977111117893"/>
      </top>
      <bottom/>
      <diagonal/>
    </border>
    <border>
      <left style="thin">
        <color theme="3" tint="-0.249977111117893"/>
      </left>
      <right style="dotted">
        <color theme="3" tint="-0.249977111117893"/>
      </right>
      <top style="thin">
        <color theme="3" tint="-0.249977111117893"/>
      </top>
      <bottom style="thin">
        <color theme="3" tint="-0.249977111117893"/>
      </bottom>
      <diagonal/>
    </border>
    <border>
      <left style="dotted">
        <color theme="3" tint="-0.249977111117893"/>
      </left>
      <right style="thin">
        <color theme="3" tint="-0.249977111117893"/>
      </right>
      <top style="thin">
        <color theme="3" tint="-0.249977111117893"/>
      </top>
      <bottom style="thin">
        <color theme="3" tint="-0.249977111117893"/>
      </bottom>
      <diagonal/>
    </border>
    <border>
      <left style="thin">
        <color theme="0"/>
      </left>
      <right/>
      <top style="thin">
        <color theme="0"/>
      </top>
      <bottom style="thin">
        <color theme="0"/>
      </bottom>
      <diagonal/>
    </border>
    <border>
      <left style="thin">
        <color theme="3" tint="-0.249977111117893"/>
      </left>
      <right style="thin">
        <color theme="0"/>
      </right>
      <top style="thin">
        <color theme="3" tint="-0.249977111117893"/>
      </top>
      <bottom style="thin">
        <color theme="0"/>
      </bottom>
      <diagonal/>
    </border>
    <border>
      <left style="thin">
        <color theme="0"/>
      </left>
      <right style="thin">
        <color theme="3" tint="-0.249977111117893"/>
      </right>
      <top style="thin">
        <color theme="3" tint="-0.249977111117893"/>
      </top>
      <bottom style="thin">
        <color theme="0"/>
      </bottom>
      <diagonal/>
    </border>
    <border>
      <left style="thin">
        <color theme="3" tint="-0.249977111117893"/>
      </left>
      <right style="thin">
        <color theme="0"/>
      </right>
      <top style="thin">
        <color theme="0"/>
      </top>
      <bottom style="thin">
        <color theme="3" tint="-0.249977111117893"/>
      </bottom>
      <diagonal/>
    </border>
    <border>
      <left style="thin">
        <color theme="0"/>
      </left>
      <right style="thin">
        <color theme="3" tint="-0.249977111117893"/>
      </right>
      <top style="thin">
        <color theme="0"/>
      </top>
      <bottom style="thin">
        <color theme="3" tint="-0.249977111117893"/>
      </bottom>
      <diagonal/>
    </border>
    <border>
      <left style="thin">
        <color theme="0"/>
      </left>
      <right style="thin">
        <color theme="0"/>
      </right>
      <top style="thin">
        <color theme="3" tint="-0.249977111117893"/>
      </top>
      <bottom/>
      <diagonal/>
    </border>
    <border>
      <left style="thin">
        <color theme="0"/>
      </left>
      <right/>
      <top style="thin">
        <color theme="0"/>
      </top>
      <bottom/>
      <diagonal/>
    </border>
    <border>
      <left style="thin">
        <color theme="3" tint="-0.249977111117893"/>
      </left>
      <right/>
      <top style="thin">
        <color theme="3" tint="-0.249977111117893"/>
      </top>
      <bottom style="hair">
        <color theme="3" tint="-0.249977111117893"/>
      </bottom>
      <diagonal/>
    </border>
    <border>
      <left style="thin">
        <color theme="1"/>
      </left>
      <right style="thin">
        <color theme="3" tint="-0.249977111117893"/>
      </right>
      <top style="thin">
        <color theme="1"/>
      </top>
      <bottom style="thin">
        <color theme="1"/>
      </bottom>
      <diagonal/>
    </border>
    <border>
      <left style="thin">
        <color theme="3" tint="-0.249977111117893"/>
      </left>
      <right/>
      <top style="thin">
        <color theme="1"/>
      </top>
      <bottom style="thin">
        <color theme="1"/>
      </bottom>
      <diagonal/>
    </border>
    <border>
      <left style="thin">
        <color theme="3" tint="-0.24994659260841701"/>
      </left>
      <right style="thin">
        <color theme="3" tint="-0.24994659260841701"/>
      </right>
      <top style="thin">
        <color theme="3" tint="-0.24994659260841701"/>
      </top>
      <bottom style="hair">
        <color theme="3" tint="-0.24994659260841701"/>
      </bottom>
      <diagonal/>
    </border>
    <border>
      <left style="thin">
        <color theme="3" tint="-0.24994659260841701"/>
      </left>
      <right style="thin">
        <color theme="3" tint="-0.24994659260841701"/>
      </right>
      <top style="hair">
        <color theme="3" tint="-0.24994659260841701"/>
      </top>
      <bottom style="hair">
        <color theme="3" tint="-0.24994659260841701"/>
      </bottom>
      <diagonal/>
    </border>
    <border>
      <left style="thin">
        <color theme="1"/>
      </left>
      <right style="thin">
        <color theme="3" tint="-0.24994659260841701"/>
      </right>
      <top style="thin">
        <color theme="1"/>
      </top>
      <bottom style="hair">
        <color theme="3" tint="-0.24994659260841701"/>
      </bottom>
      <diagonal/>
    </border>
    <border>
      <left style="thin">
        <color theme="3" tint="-0.24994659260841701"/>
      </left>
      <right style="thin">
        <color theme="3" tint="-0.24994659260841701"/>
      </right>
      <top style="thin">
        <color theme="1"/>
      </top>
      <bottom style="hair">
        <color theme="3" tint="-0.24994659260841701"/>
      </bottom>
      <diagonal/>
    </border>
    <border>
      <left style="thin">
        <color theme="1"/>
      </left>
      <right style="thin">
        <color theme="3" tint="-0.24994659260841701"/>
      </right>
      <top style="hair">
        <color theme="3" tint="-0.24994659260841701"/>
      </top>
      <bottom style="hair">
        <color theme="3" tint="-0.24994659260841701"/>
      </bottom>
      <diagonal/>
    </border>
    <border>
      <left style="thin">
        <color theme="1"/>
      </left>
      <right style="thin">
        <color theme="3" tint="-0.24994659260841701"/>
      </right>
      <top style="hair">
        <color theme="3" tint="-0.24994659260841701"/>
      </top>
      <bottom style="thin">
        <color theme="1"/>
      </bottom>
      <diagonal/>
    </border>
    <border>
      <left style="thin">
        <color theme="3" tint="-0.24994659260841701"/>
      </left>
      <right style="thin">
        <color theme="3" tint="-0.24994659260841701"/>
      </right>
      <top style="hair">
        <color theme="3" tint="-0.24994659260841701"/>
      </top>
      <bottom style="thin">
        <color theme="1"/>
      </bottom>
      <diagonal/>
    </border>
    <border>
      <left/>
      <right/>
      <top style="thin">
        <color theme="1"/>
      </top>
      <bottom/>
      <diagonal/>
    </border>
    <border>
      <left style="thin">
        <color theme="3" tint="-0.24994659260841701"/>
      </left>
      <right/>
      <top style="thin">
        <color theme="1"/>
      </top>
      <bottom style="hair">
        <color theme="3" tint="-0.24994659260841701"/>
      </bottom>
      <diagonal/>
    </border>
    <border>
      <left style="thin">
        <color theme="3" tint="-0.24994659260841701"/>
      </left>
      <right/>
      <top style="hair">
        <color theme="3" tint="-0.24994659260841701"/>
      </top>
      <bottom style="hair">
        <color theme="3" tint="-0.24994659260841701"/>
      </bottom>
      <diagonal/>
    </border>
    <border>
      <left style="thin">
        <color theme="3" tint="-0.24994659260841701"/>
      </left>
      <right/>
      <top style="hair">
        <color theme="3" tint="-0.24994659260841701"/>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thin">
        <color theme="3" tint="-0.24994659260841701"/>
      </left>
      <right style="thin">
        <color theme="3" tint="-0.24994659260841701"/>
      </right>
      <top/>
      <bottom style="hair">
        <color theme="3" tint="-0.24994659260841701"/>
      </bottom>
      <diagonal/>
    </border>
    <border>
      <left style="thin">
        <color theme="3" tint="-0.24994659260841701"/>
      </left>
      <right/>
      <top/>
      <bottom style="hair">
        <color theme="3" tint="-0.24994659260841701"/>
      </bottom>
      <diagonal/>
    </border>
    <border>
      <left style="thin">
        <color theme="3" tint="-0.249977111117893"/>
      </left>
      <right style="thin">
        <color theme="3" tint="-0.24994659260841701"/>
      </right>
      <top style="thin">
        <color theme="3" tint="-0.249977111117893"/>
      </top>
      <bottom style="hair">
        <color theme="3" tint="-0.24994659260841701"/>
      </bottom>
      <diagonal/>
    </border>
    <border>
      <left style="thin">
        <color theme="3" tint="-0.24994659260841701"/>
      </left>
      <right style="thin">
        <color theme="3" tint="-0.24994659260841701"/>
      </right>
      <top style="thin">
        <color theme="3" tint="-0.249977111117893"/>
      </top>
      <bottom style="hair">
        <color theme="3" tint="-0.24994659260841701"/>
      </bottom>
      <diagonal/>
    </border>
    <border>
      <left style="thin">
        <color theme="3" tint="-0.24994659260841701"/>
      </left>
      <right/>
      <top style="thin">
        <color theme="3" tint="-0.249977111117893"/>
      </top>
      <bottom style="hair">
        <color theme="3" tint="-0.24994659260841701"/>
      </bottom>
      <diagonal/>
    </border>
    <border>
      <left style="thin">
        <color theme="3" tint="-0.249977111117893"/>
      </left>
      <right style="thin">
        <color theme="3" tint="-0.24994659260841701"/>
      </right>
      <top style="hair">
        <color theme="3" tint="-0.24994659260841701"/>
      </top>
      <bottom style="hair">
        <color theme="3" tint="-0.24994659260841701"/>
      </bottom>
      <diagonal/>
    </border>
    <border>
      <left style="thin">
        <color theme="3" tint="-0.249977111117893"/>
      </left>
      <right style="thin">
        <color theme="3" tint="-0.24994659260841701"/>
      </right>
      <top style="thin">
        <color theme="1"/>
      </top>
      <bottom style="hair">
        <color theme="3" tint="-0.24994659260841701"/>
      </bottom>
      <diagonal/>
    </border>
    <border>
      <left style="thin">
        <color theme="3" tint="-0.249977111117893"/>
      </left>
      <right style="thin">
        <color theme="3" tint="-0.24994659260841701"/>
      </right>
      <top style="thin">
        <color theme="1"/>
      </top>
      <bottom style="thin">
        <color theme="3" tint="-0.249977111117893"/>
      </bottom>
      <diagonal/>
    </border>
    <border>
      <left style="thin">
        <color theme="3" tint="-0.24994659260841701"/>
      </left>
      <right style="thin">
        <color theme="3" tint="-0.24994659260841701"/>
      </right>
      <top style="thin">
        <color theme="1"/>
      </top>
      <bottom style="thin">
        <color theme="3" tint="-0.249977111117893"/>
      </bottom>
      <diagonal/>
    </border>
    <border>
      <left style="thin">
        <color theme="3" tint="-0.24994659260841701"/>
      </left>
      <right/>
      <top style="thin">
        <color theme="1"/>
      </top>
      <bottom style="thin">
        <color theme="3" tint="-0.249977111117893"/>
      </bottom>
      <diagonal/>
    </border>
    <border>
      <left style="thin">
        <color theme="3" tint="-0.249977111117893"/>
      </left>
      <right style="thin">
        <color theme="3" tint="-0.24994659260841701"/>
      </right>
      <top style="thin">
        <color theme="1"/>
      </top>
      <bottom/>
      <diagonal/>
    </border>
    <border>
      <left style="thin">
        <color theme="3" tint="-0.24994659260841701"/>
      </left>
      <right style="thin">
        <color theme="3" tint="-0.24994659260841701"/>
      </right>
      <top style="thin">
        <color theme="1"/>
      </top>
      <bottom/>
      <diagonal/>
    </border>
    <border>
      <left style="thin">
        <color theme="3" tint="-0.24994659260841701"/>
      </left>
      <right/>
      <top style="thin">
        <color theme="1"/>
      </top>
      <bottom/>
      <diagonal/>
    </border>
    <border>
      <left style="thin">
        <color theme="3" tint="-0.249977111117893"/>
      </left>
      <right style="thin">
        <color theme="3" tint="-0.24994659260841701"/>
      </right>
      <top/>
      <bottom style="hair">
        <color theme="3" tint="-0.24994659260841701"/>
      </bottom>
      <diagonal/>
    </border>
    <border>
      <left style="thin">
        <color theme="3" tint="-0.249977111117893"/>
      </left>
      <right style="thin">
        <color theme="3" tint="-0.24994659260841701"/>
      </right>
      <top style="thin">
        <color theme="3" tint="-0.249977111117893"/>
      </top>
      <bottom style="thin">
        <color theme="3" tint="-0.249977111117893"/>
      </bottom>
      <diagonal/>
    </border>
    <border>
      <left style="thin">
        <color theme="3" tint="-0.24994659260841701"/>
      </left>
      <right style="thin">
        <color theme="3" tint="-0.24994659260841701"/>
      </right>
      <top style="thin">
        <color theme="3" tint="-0.249977111117893"/>
      </top>
      <bottom style="thin">
        <color theme="3" tint="-0.249977111117893"/>
      </bottom>
      <diagonal/>
    </border>
    <border>
      <left style="thin">
        <color theme="3" tint="-0.24994659260841701"/>
      </left>
      <right style="thin">
        <color theme="3" tint="-0.249977111117893"/>
      </right>
      <top style="thin">
        <color theme="3" tint="-0.249977111117893"/>
      </top>
      <bottom style="thin">
        <color theme="3" tint="-0.249977111117893"/>
      </bottom>
      <diagonal/>
    </border>
    <border>
      <left style="thin">
        <color theme="3" tint="-0.24994659260841701"/>
      </left>
      <right/>
      <top style="thin">
        <color theme="3" tint="-0.249977111117893"/>
      </top>
      <bottom style="thin">
        <color theme="3" tint="-0.249977111117893"/>
      </bottom>
      <diagonal/>
    </border>
    <border>
      <left style="thin">
        <color theme="3" tint="-0.249977111117893"/>
      </left>
      <right style="hair">
        <color theme="3" tint="-0.249977111117893"/>
      </right>
      <top style="thin">
        <color theme="3" tint="-0.249977111117893"/>
      </top>
      <bottom style="hair">
        <color theme="3" tint="-0.249977111117893"/>
      </bottom>
      <diagonal/>
    </border>
    <border>
      <left style="hair">
        <color theme="3" tint="-0.249977111117893"/>
      </left>
      <right style="hair">
        <color theme="3" tint="-0.249977111117893"/>
      </right>
      <top style="thin">
        <color theme="3" tint="-0.249977111117893"/>
      </top>
      <bottom style="hair">
        <color theme="3" tint="-0.249977111117893"/>
      </bottom>
      <diagonal/>
    </border>
    <border>
      <left style="hair">
        <color theme="3" tint="-0.249977111117893"/>
      </left>
      <right style="thin">
        <color theme="3" tint="-0.249977111117893"/>
      </right>
      <top style="thin">
        <color theme="3" tint="-0.249977111117893"/>
      </top>
      <bottom style="hair">
        <color theme="3" tint="-0.249977111117893"/>
      </bottom>
      <diagonal/>
    </border>
    <border>
      <left style="thin">
        <color theme="3" tint="-0.249977111117893"/>
      </left>
      <right style="hair">
        <color theme="3" tint="-0.249977111117893"/>
      </right>
      <top style="hair">
        <color theme="3" tint="-0.249977111117893"/>
      </top>
      <bottom style="hair">
        <color theme="3" tint="-0.249977111117893"/>
      </bottom>
      <diagonal/>
    </border>
    <border>
      <left style="hair">
        <color theme="3" tint="-0.249977111117893"/>
      </left>
      <right style="hair">
        <color theme="3" tint="-0.249977111117893"/>
      </right>
      <top style="hair">
        <color theme="3" tint="-0.249977111117893"/>
      </top>
      <bottom style="hair">
        <color theme="3" tint="-0.249977111117893"/>
      </bottom>
      <diagonal/>
    </border>
    <border>
      <left style="hair">
        <color theme="3" tint="-0.249977111117893"/>
      </left>
      <right style="thin">
        <color theme="3" tint="-0.249977111117893"/>
      </right>
      <top style="hair">
        <color theme="3" tint="-0.249977111117893"/>
      </top>
      <bottom style="hair">
        <color theme="3" tint="-0.249977111117893"/>
      </bottom>
      <diagonal/>
    </border>
    <border>
      <left style="thin">
        <color theme="3" tint="-0.249977111117893"/>
      </left>
      <right style="hair">
        <color theme="3" tint="-0.249977111117893"/>
      </right>
      <top style="hair">
        <color theme="3" tint="-0.249977111117893"/>
      </top>
      <bottom style="thin">
        <color theme="3" tint="-0.249977111117893"/>
      </bottom>
      <diagonal/>
    </border>
    <border>
      <left style="hair">
        <color theme="3" tint="-0.249977111117893"/>
      </left>
      <right style="hair">
        <color theme="3" tint="-0.249977111117893"/>
      </right>
      <top style="hair">
        <color theme="3" tint="-0.249977111117893"/>
      </top>
      <bottom style="thin">
        <color theme="3" tint="-0.249977111117893"/>
      </bottom>
      <diagonal/>
    </border>
    <border>
      <left style="hair">
        <color theme="3" tint="-0.249977111117893"/>
      </left>
      <right style="thin">
        <color theme="3" tint="-0.249977111117893"/>
      </right>
      <top style="hair">
        <color theme="3" tint="-0.249977111117893"/>
      </top>
      <bottom style="thin">
        <color theme="3" tint="-0.249977111117893"/>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theme="3" tint="-0.249977111117893"/>
      </left>
      <right style="thin">
        <color theme="3" tint="-0.249977111117893"/>
      </right>
      <top style="thin">
        <color theme="3" tint="-0.249977111117893"/>
      </top>
      <bottom/>
      <diagonal/>
    </border>
    <border>
      <left style="hair">
        <color theme="3" tint="-0.249977111117893"/>
      </left>
      <right style="thin">
        <color theme="3" tint="-0.249977111117893"/>
      </right>
      <top/>
      <bottom/>
      <diagonal/>
    </border>
    <border>
      <left style="hair">
        <color theme="3" tint="-0.249977111117893"/>
      </left>
      <right style="thin">
        <color theme="3" tint="-0.249977111117893"/>
      </right>
      <top/>
      <bottom style="thin">
        <color theme="3" tint="-0.249977111117893"/>
      </bottom>
      <diagonal/>
    </border>
    <border>
      <left style="thin">
        <color theme="3" tint="-0.249977111117893"/>
      </left>
      <right style="thin">
        <color indexed="64"/>
      </right>
      <top style="thin">
        <color theme="3" tint="-0.249977111117893"/>
      </top>
      <bottom style="thin">
        <color indexed="64"/>
      </bottom>
      <diagonal/>
    </border>
    <border>
      <left style="thin">
        <color indexed="64"/>
      </left>
      <right style="thin">
        <color indexed="64"/>
      </right>
      <top style="thin">
        <color theme="3" tint="-0.249977111117893"/>
      </top>
      <bottom style="thin">
        <color indexed="64"/>
      </bottom>
      <diagonal/>
    </border>
    <border>
      <left style="thin">
        <color indexed="64"/>
      </left>
      <right style="thin">
        <color theme="3" tint="-0.249977111117893"/>
      </right>
      <top style="thin">
        <color theme="3" tint="-0.249977111117893"/>
      </top>
      <bottom style="thin">
        <color indexed="64"/>
      </bottom>
      <diagonal/>
    </border>
    <border>
      <left style="thin">
        <color theme="3" tint="-0.249977111117893"/>
      </left>
      <right style="thin">
        <color indexed="64"/>
      </right>
      <top style="thin">
        <color indexed="64"/>
      </top>
      <bottom style="thin">
        <color indexed="64"/>
      </bottom>
      <diagonal/>
    </border>
    <border>
      <left style="thin">
        <color indexed="64"/>
      </left>
      <right style="thin">
        <color theme="3" tint="-0.249977111117893"/>
      </right>
      <top style="thin">
        <color indexed="64"/>
      </top>
      <bottom style="thin">
        <color indexed="64"/>
      </bottom>
      <diagonal/>
    </border>
    <border>
      <left style="thin">
        <color theme="3" tint="-0.249977111117893"/>
      </left>
      <right style="thin">
        <color indexed="64"/>
      </right>
      <top style="thin">
        <color indexed="64"/>
      </top>
      <bottom style="thin">
        <color theme="3" tint="-0.249977111117893"/>
      </bottom>
      <diagonal/>
    </border>
    <border>
      <left style="thin">
        <color indexed="64"/>
      </left>
      <right style="thin">
        <color indexed="64"/>
      </right>
      <top style="thin">
        <color indexed="64"/>
      </top>
      <bottom style="thin">
        <color theme="3" tint="-0.249977111117893"/>
      </bottom>
      <diagonal/>
    </border>
    <border>
      <left style="thin">
        <color indexed="64"/>
      </left>
      <right style="thin">
        <color theme="3" tint="-0.249977111117893"/>
      </right>
      <top style="thin">
        <color indexed="64"/>
      </top>
      <bottom style="thin">
        <color theme="3" tint="-0.249977111117893"/>
      </bottom>
      <diagonal/>
    </border>
    <border>
      <left style="hair">
        <color theme="3" tint="-0.24994659260841701"/>
      </left>
      <right style="hair">
        <color theme="3" tint="-0.24994659260841701"/>
      </right>
      <top style="hair">
        <color theme="3" tint="-0.24994659260841701"/>
      </top>
      <bottom style="hair">
        <color theme="3" tint="-0.24994659260841701"/>
      </bottom>
      <diagonal/>
    </border>
    <border>
      <left style="thin">
        <color theme="3" tint="-0.249977111117893"/>
      </left>
      <right style="hair">
        <color theme="3" tint="-0.24994659260841701"/>
      </right>
      <top style="thin">
        <color theme="3" tint="-0.249977111117893"/>
      </top>
      <bottom style="hair">
        <color theme="3" tint="-0.24994659260841701"/>
      </bottom>
      <diagonal/>
    </border>
    <border>
      <left style="hair">
        <color theme="3" tint="-0.24994659260841701"/>
      </left>
      <right style="hair">
        <color theme="3" tint="-0.24994659260841701"/>
      </right>
      <top style="thin">
        <color theme="3" tint="-0.249977111117893"/>
      </top>
      <bottom style="hair">
        <color theme="3" tint="-0.24994659260841701"/>
      </bottom>
      <diagonal/>
    </border>
    <border>
      <left style="thin">
        <color theme="3" tint="-0.249977111117893"/>
      </left>
      <right style="hair">
        <color theme="3" tint="-0.24994659260841701"/>
      </right>
      <top style="hair">
        <color theme="3" tint="-0.24994659260841701"/>
      </top>
      <bottom style="hair">
        <color theme="3" tint="-0.24994659260841701"/>
      </bottom>
      <diagonal/>
    </border>
    <border>
      <left style="thin">
        <color theme="3" tint="-0.249977111117893"/>
      </left>
      <right style="hair">
        <color theme="3" tint="-0.24994659260841701"/>
      </right>
      <top style="hair">
        <color theme="3" tint="-0.24994659260841701"/>
      </top>
      <bottom style="thin">
        <color theme="3" tint="-0.249977111117893"/>
      </bottom>
      <diagonal/>
    </border>
    <border>
      <left style="hair">
        <color theme="3" tint="-0.24994659260841701"/>
      </left>
      <right style="hair">
        <color theme="3" tint="-0.24994659260841701"/>
      </right>
      <top style="hair">
        <color theme="3" tint="-0.24994659260841701"/>
      </top>
      <bottom style="thin">
        <color theme="3" tint="-0.249977111117893"/>
      </bottom>
      <diagonal/>
    </border>
    <border>
      <left style="hair">
        <color theme="3" tint="-0.249977111117893"/>
      </left>
      <right/>
      <top style="thin">
        <color theme="3" tint="-0.249977111117893"/>
      </top>
      <bottom style="hair">
        <color theme="3" tint="-0.249977111117893"/>
      </bottom>
      <diagonal/>
    </border>
    <border>
      <left style="hair">
        <color theme="3" tint="-0.249977111117893"/>
      </left>
      <right/>
      <top style="hair">
        <color theme="3" tint="-0.249977111117893"/>
      </top>
      <bottom style="hair">
        <color theme="3" tint="-0.249977111117893"/>
      </bottom>
      <diagonal/>
    </border>
    <border>
      <left style="hair">
        <color theme="3" tint="-0.249977111117893"/>
      </left>
      <right/>
      <top style="hair">
        <color theme="3" tint="-0.249977111117893"/>
      </top>
      <bottom style="thin">
        <color theme="3" tint="-0.249977111117893"/>
      </bottom>
      <diagonal/>
    </border>
    <border>
      <left/>
      <right style="thin">
        <color theme="3" tint="-0.249977111117893"/>
      </right>
      <top style="thin">
        <color theme="3" tint="-0.249977111117893"/>
      </top>
      <bottom style="hair">
        <color theme="3" tint="-0.249977111117893"/>
      </bottom>
      <diagonal/>
    </border>
    <border>
      <left/>
      <right style="hair">
        <color theme="3" tint="-0.249977111117893"/>
      </right>
      <top style="thin">
        <color theme="3" tint="-0.249977111117893"/>
      </top>
      <bottom style="hair">
        <color theme="3" tint="-0.249977111117893"/>
      </bottom>
      <diagonal/>
    </border>
    <border>
      <left/>
      <right style="hair">
        <color theme="3" tint="-0.249977111117893"/>
      </right>
      <top style="hair">
        <color theme="3" tint="-0.249977111117893"/>
      </top>
      <bottom style="hair">
        <color theme="3" tint="-0.249977111117893"/>
      </bottom>
      <diagonal/>
    </border>
    <border>
      <left/>
      <right style="hair">
        <color theme="3" tint="-0.249977111117893"/>
      </right>
      <top style="hair">
        <color theme="3" tint="-0.249977111117893"/>
      </top>
      <bottom style="thin">
        <color theme="3" tint="-0.249977111117893"/>
      </bottom>
      <diagonal/>
    </border>
    <border>
      <left/>
      <right/>
      <top style="hair">
        <color theme="3" tint="-0.249977111117893"/>
      </top>
      <bottom style="thin">
        <color theme="3" tint="-0.249977111117893"/>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style="thin">
        <color rgb="FFFFC000"/>
      </right>
      <top/>
      <bottom style="thin">
        <color rgb="FFFFC000"/>
      </bottom>
      <diagonal/>
    </border>
    <border>
      <left style="thin">
        <color theme="3" tint="-0.249977111117893"/>
      </left>
      <right style="thin">
        <color indexed="64"/>
      </right>
      <top/>
      <bottom style="thin">
        <color indexed="64"/>
      </bottom>
      <diagonal/>
    </border>
    <border>
      <left style="thin">
        <color theme="3" tint="-0.249977111117893"/>
      </left>
      <right/>
      <top style="hair">
        <color theme="3" tint="-0.24994659260841701"/>
      </top>
      <bottom style="hair">
        <color theme="3" tint="-0.24994659260841701"/>
      </bottom>
      <diagonal/>
    </border>
    <border>
      <left style="thin">
        <color theme="3" tint="-0.249977111117893"/>
      </left>
      <right/>
      <top style="hair">
        <color theme="3" tint="-0.24994659260841701"/>
      </top>
      <bottom style="thin">
        <color theme="3" tint="-0.249977111117893"/>
      </bottom>
      <diagonal/>
    </border>
    <border>
      <left style="thin">
        <color theme="3" tint="-0.249977111117893"/>
      </left>
      <right/>
      <top style="thin">
        <color theme="3" tint="-0.249977111117893"/>
      </top>
      <bottom style="hair">
        <color theme="3" tint="-0.24994659260841701"/>
      </bottom>
      <diagonal/>
    </border>
    <border>
      <left style="thin">
        <color theme="3" tint="-0.249977111117893"/>
      </left>
      <right/>
      <top/>
      <bottom style="hair">
        <color theme="3" tint="-0.24994659260841701"/>
      </bottom>
      <diagonal/>
    </border>
    <border>
      <left style="thin">
        <color theme="3" tint="-0.249977111117893"/>
      </left>
      <right/>
      <top style="hair">
        <color theme="3" tint="-0.24994659260841701"/>
      </top>
      <bottom/>
      <diagonal/>
    </border>
    <border>
      <left style="thin">
        <color theme="3" tint="-0.249977111117893"/>
      </left>
      <right style="thin">
        <color theme="3" tint="-0.24994659260841701"/>
      </right>
      <top/>
      <bottom/>
      <diagonal/>
    </border>
    <border>
      <left style="thin">
        <color theme="3" tint="-0.24994659260841701"/>
      </left>
      <right style="thin">
        <color theme="3" tint="-0.24994659260841701"/>
      </right>
      <top/>
      <bottom/>
      <diagonal/>
    </border>
    <border>
      <left style="thin">
        <color theme="3" tint="-0.24994659260841701"/>
      </left>
      <right/>
      <top/>
      <bottom/>
      <diagonal/>
    </border>
    <border>
      <left style="thin">
        <color theme="3" tint="-0.249977111117893"/>
      </left>
      <right style="thin">
        <color theme="3" tint="-0.24994659260841701"/>
      </right>
      <top style="thin">
        <color theme="3" tint="-0.249977111117893"/>
      </top>
      <bottom style="hair">
        <color theme="3" tint="-0.249977111117893"/>
      </bottom>
      <diagonal/>
    </border>
    <border>
      <left style="thin">
        <color theme="3" tint="-0.24994659260841701"/>
      </left>
      <right style="thin">
        <color theme="3" tint="-0.24994659260841701"/>
      </right>
      <top style="thin">
        <color theme="3" tint="-0.249977111117893"/>
      </top>
      <bottom style="hair">
        <color theme="3" tint="-0.249977111117893"/>
      </bottom>
      <diagonal/>
    </border>
    <border>
      <left style="thin">
        <color theme="3" tint="-0.249977111117893"/>
      </left>
      <right style="thin">
        <color theme="3" tint="-0.24994659260841701"/>
      </right>
      <top/>
      <bottom style="thin">
        <color theme="3" tint="-0.249977111117893"/>
      </bottom>
      <diagonal/>
    </border>
    <border>
      <left style="thin">
        <color theme="3" tint="-0.24994659260841701"/>
      </left>
      <right style="thin">
        <color theme="3" tint="-0.24994659260841701"/>
      </right>
      <top/>
      <bottom style="thin">
        <color theme="3" tint="-0.249977111117893"/>
      </bottom>
      <diagonal/>
    </border>
    <border>
      <left/>
      <right/>
      <top style="hair">
        <color theme="3" tint="-0.249977111117893"/>
      </top>
      <bottom style="hair">
        <color theme="3" tint="-0.249977111117893"/>
      </bottom>
      <diagonal/>
    </border>
    <border>
      <left style="hair">
        <color theme="3" tint="-0.249977111117893"/>
      </left>
      <right style="hair">
        <color theme="3" tint="-0.249977111117893"/>
      </right>
      <top style="thin">
        <color theme="3" tint="-0.249977111117893"/>
      </top>
      <bottom style="hair">
        <color theme="3" tint="-0.24994659260841701"/>
      </bottom>
      <diagonal/>
    </border>
    <border>
      <left style="hair">
        <color theme="3" tint="-0.249977111117893"/>
      </left>
      <right style="hair">
        <color theme="3" tint="-0.249977111117893"/>
      </right>
      <top style="hair">
        <color theme="3" tint="-0.24994659260841701"/>
      </top>
      <bottom style="hair">
        <color theme="3" tint="-0.24994659260841701"/>
      </bottom>
      <diagonal/>
    </border>
    <border>
      <left style="hair">
        <color theme="3" tint="-0.249977111117893"/>
      </left>
      <right style="hair">
        <color theme="3" tint="-0.249977111117893"/>
      </right>
      <top style="hair">
        <color theme="3" tint="-0.24994659260841701"/>
      </top>
      <bottom style="thin">
        <color theme="3" tint="-0.249977111117893"/>
      </bottom>
      <diagonal/>
    </border>
    <border>
      <left/>
      <right style="thin">
        <color theme="3" tint="-0.249977111117893"/>
      </right>
      <top style="thin">
        <color theme="3" tint="-0.249977111117893"/>
      </top>
      <bottom style="hair">
        <color theme="3" tint="-0.24994659260841701"/>
      </bottom>
      <diagonal/>
    </border>
    <border>
      <left/>
      <right style="thin">
        <color theme="3" tint="-0.249977111117893"/>
      </right>
      <top style="hair">
        <color theme="3" tint="-0.24994659260841701"/>
      </top>
      <bottom style="hair">
        <color theme="3" tint="-0.24994659260841701"/>
      </bottom>
      <diagonal/>
    </border>
    <border>
      <left/>
      <right style="thin">
        <color theme="3" tint="-0.249977111117893"/>
      </right>
      <top style="hair">
        <color theme="3" tint="-0.24994659260841701"/>
      </top>
      <bottom style="thin">
        <color theme="3" tint="-0.249977111117893"/>
      </bottom>
      <diagonal/>
    </border>
    <border>
      <left/>
      <right/>
      <top style="hair">
        <color theme="3" tint="-0.249977111117893"/>
      </top>
      <bottom/>
      <diagonal/>
    </border>
    <border>
      <left style="hair">
        <color theme="3" tint="-0.249977111117893"/>
      </left>
      <right style="hair">
        <color theme="3" tint="-0.249977111117893"/>
      </right>
      <top/>
      <bottom style="hair">
        <color theme="3" tint="-0.249977111117893"/>
      </bottom>
      <diagonal/>
    </border>
    <border>
      <left style="thin">
        <color theme="3" tint="-0.249977111117893"/>
      </left>
      <right style="thin">
        <color theme="3" tint="-0.24994659260841701"/>
      </right>
      <top style="hair">
        <color theme="3" tint="-0.24994659260841701"/>
      </top>
      <bottom style="thin">
        <color theme="3" tint="-0.249977111117893"/>
      </bottom>
      <diagonal/>
    </border>
    <border>
      <left style="thin">
        <color theme="3" tint="-0.24994659260841701"/>
      </left>
      <right style="thin">
        <color theme="3" tint="-0.24994659260841701"/>
      </right>
      <top style="hair">
        <color theme="3" tint="-0.24994659260841701"/>
      </top>
      <bottom style="thin">
        <color theme="3" tint="-0.249977111117893"/>
      </bottom>
      <diagonal/>
    </border>
    <border>
      <left style="thin">
        <color theme="3" tint="-0.24994659260841701"/>
      </left>
      <right/>
      <top style="hair">
        <color theme="3" tint="-0.24994659260841701"/>
      </top>
      <bottom style="thin">
        <color theme="3" tint="-0.249977111117893"/>
      </bottom>
      <diagonal/>
    </border>
    <border>
      <left style="thin">
        <color theme="3" tint="-0.249977111117893"/>
      </left>
      <right style="thin">
        <color theme="3" tint="-0.249977111117893"/>
      </right>
      <top style="dotted">
        <color theme="3" tint="-0.249977111117893"/>
      </top>
      <bottom style="dotted">
        <color theme="3" tint="-0.249977111117893"/>
      </bottom>
      <diagonal/>
    </border>
    <border>
      <left/>
      <right style="thin">
        <color indexed="64"/>
      </right>
      <top style="thin">
        <color theme="3" tint="-0.249977111117893"/>
      </top>
      <bottom style="thin">
        <color theme="3" tint="-0.249977111117893"/>
      </bottom>
      <diagonal/>
    </border>
    <border>
      <left/>
      <right/>
      <top/>
      <bottom style="thin">
        <color theme="4" tint="-0.249977111117893"/>
      </bottom>
      <diagonal/>
    </border>
    <border>
      <left/>
      <right/>
      <top/>
      <bottom style="thin">
        <color theme="4" tint="-0.24994659260841701"/>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indexed="64"/>
      </right>
      <top style="thin">
        <color theme="4" tint="-0.249977111117893"/>
      </top>
      <bottom/>
      <diagonal/>
    </border>
    <border>
      <left style="thin">
        <color theme="4" tint="-0.249977111117893"/>
      </left>
      <right/>
      <top/>
      <bottom style="thin">
        <color theme="4" tint="-0.249977111117893"/>
      </bottom>
      <diagonal/>
    </border>
    <border>
      <left/>
      <right style="thin">
        <color indexed="64"/>
      </right>
      <top/>
      <bottom style="thin">
        <color theme="4" tint="-0.249977111117893"/>
      </bottom>
      <diagonal/>
    </border>
    <border>
      <left/>
      <right/>
      <top/>
      <bottom style="hair">
        <color theme="3" tint="-0.249977111117893"/>
      </bottom>
      <diagonal/>
    </border>
    <border>
      <left style="thin">
        <color indexed="64"/>
      </left>
      <right style="thin">
        <color indexed="64"/>
      </right>
      <top style="thin">
        <color theme="3" tint="-0.249977111117893"/>
      </top>
      <bottom style="hair">
        <color theme="3" tint="-0.249977111117893"/>
      </bottom>
      <diagonal/>
    </border>
    <border>
      <left style="thin">
        <color indexed="64"/>
      </left>
      <right style="thin">
        <color indexed="64"/>
      </right>
      <top style="hair">
        <color theme="3" tint="-0.249977111117893"/>
      </top>
      <bottom style="hair">
        <color theme="3" tint="-0.249977111117893"/>
      </bottom>
      <diagonal/>
    </border>
    <border>
      <left style="thin">
        <color indexed="64"/>
      </left>
      <right style="thin">
        <color indexed="64"/>
      </right>
      <top/>
      <bottom style="hair">
        <color theme="3" tint="-0.249977111117893"/>
      </bottom>
      <diagonal/>
    </border>
    <border>
      <left style="thin">
        <color indexed="64"/>
      </left>
      <right style="thin">
        <color indexed="64"/>
      </right>
      <top style="hair">
        <color theme="3" tint="-0.249977111117893"/>
      </top>
      <bottom style="thin">
        <color indexed="64"/>
      </bottom>
      <diagonal/>
    </border>
    <border>
      <left style="thin">
        <color indexed="64"/>
      </left>
      <right style="thin">
        <color indexed="64"/>
      </right>
      <top style="hair">
        <color theme="3" tint="-0.249977111117893"/>
      </top>
      <bottom/>
      <diagonal/>
    </border>
    <border>
      <left style="thin">
        <color theme="3"/>
      </left>
      <right style="thin">
        <color theme="3"/>
      </right>
      <top style="thin">
        <color theme="3" tint="-0.249977111117893"/>
      </top>
      <bottom/>
      <diagonal/>
    </border>
    <border>
      <left style="medium">
        <color indexed="64"/>
      </left>
      <right style="medium">
        <color indexed="64"/>
      </right>
      <top style="medium">
        <color indexed="64"/>
      </top>
      <bottom style="medium">
        <color indexed="64"/>
      </bottom>
      <diagonal/>
    </border>
    <border>
      <left/>
      <right style="medium">
        <color theme="4" tint="-0.499984740745262"/>
      </right>
      <top/>
      <bottom/>
      <diagonal/>
    </border>
    <border>
      <left style="medium">
        <color theme="4" tint="-0.499984740745262"/>
      </left>
      <right/>
      <top style="medium">
        <color theme="4" tint="-0.499984740745262"/>
      </top>
      <bottom/>
      <diagonal/>
    </border>
    <border>
      <left/>
      <right/>
      <top style="medium">
        <color theme="4" tint="-0.499984740745262"/>
      </top>
      <bottom style="medium">
        <color theme="4" tint="-0.499984740745262"/>
      </bottom>
      <diagonal/>
    </border>
    <border>
      <left/>
      <right style="medium">
        <color theme="4" tint="-0.499984740745262"/>
      </right>
      <top style="medium">
        <color theme="4" tint="-0.499984740745262"/>
      </top>
      <bottom/>
      <diagonal/>
    </border>
    <border>
      <left style="medium">
        <color theme="4" tint="-0.499984740745262"/>
      </left>
      <right/>
      <top/>
      <bottom/>
      <diagonal/>
    </border>
    <border>
      <left style="medium">
        <color theme="4" tint="-0.499984740745262"/>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thin">
        <color theme="3" tint="-0.249977111117893"/>
      </left>
      <right style="dotted">
        <color theme="3" tint="-0.249977111117893"/>
      </right>
      <top/>
      <bottom/>
      <diagonal/>
    </border>
    <border>
      <left style="dotted">
        <color theme="3" tint="-0.249977111117893"/>
      </left>
      <right style="thin">
        <color theme="3" tint="-0.249977111117893"/>
      </right>
      <top/>
      <bottom/>
      <diagonal/>
    </border>
    <border>
      <left style="thin">
        <color theme="3" tint="-0.249977111117893"/>
      </left>
      <right/>
      <top style="thin">
        <color indexed="64"/>
      </top>
      <bottom style="thin">
        <color theme="3" tint="-0.249977111117893"/>
      </bottom>
      <diagonal/>
    </border>
    <border>
      <left/>
      <right style="thin">
        <color theme="3" tint="-0.249977111117893"/>
      </right>
      <top style="thin">
        <color indexed="64"/>
      </top>
      <bottom style="thin">
        <color theme="3" tint="-0.249977111117893"/>
      </bottom>
      <diagonal/>
    </border>
    <border>
      <left style="thin">
        <color theme="3" tint="-0.249977111117893"/>
      </left>
      <right style="dotted">
        <color theme="3" tint="-0.249977111117893"/>
      </right>
      <top style="thin">
        <color indexed="64"/>
      </top>
      <bottom style="thin">
        <color theme="3" tint="-0.249977111117893"/>
      </bottom>
      <diagonal/>
    </border>
    <border>
      <left style="dotted">
        <color theme="3" tint="-0.249977111117893"/>
      </left>
      <right style="thin">
        <color theme="3" tint="-0.249977111117893"/>
      </right>
      <top style="thin">
        <color indexed="64"/>
      </top>
      <bottom style="thin">
        <color theme="3" tint="-0.249977111117893"/>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theme="3" tint="-0.249977111117893"/>
      </bottom>
      <diagonal/>
    </border>
    <border>
      <left style="thin">
        <color indexed="64"/>
      </left>
      <right style="thin">
        <color indexed="64"/>
      </right>
      <top style="dotted">
        <color theme="3" tint="-0.249977111117893"/>
      </top>
      <bottom style="dotted">
        <color theme="3" tint="-0.249977111117893"/>
      </bottom>
      <diagonal/>
    </border>
    <border>
      <left style="thin">
        <color indexed="64"/>
      </left>
      <right style="thin">
        <color indexed="64"/>
      </right>
      <top style="dotted">
        <color theme="3" tint="-0.249977111117893"/>
      </top>
      <bottom style="thin">
        <color indexed="64"/>
      </bottom>
      <diagonal/>
    </border>
    <border>
      <left style="thin">
        <color theme="3" tint="-0.249977111117893"/>
      </left>
      <right style="thin">
        <color theme="3" tint="-0.249977111117893"/>
      </right>
      <top/>
      <bottom style="thin">
        <color indexed="64"/>
      </bottom>
      <diagonal/>
    </border>
    <border>
      <left style="thin">
        <color theme="3" tint="-0.249977111117893"/>
      </left>
      <right style="dotted">
        <color theme="3" tint="-0.249977111117893"/>
      </right>
      <top style="thin">
        <color indexed="64"/>
      </top>
      <bottom style="dotted">
        <color theme="3" tint="-0.249977111117893"/>
      </bottom>
      <diagonal/>
    </border>
    <border>
      <left style="dotted">
        <color theme="3" tint="-0.249977111117893"/>
      </left>
      <right style="thin">
        <color theme="3" tint="-0.249977111117893"/>
      </right>
      <top style="thin">
        <color indexed="64"/>
      </top>
      <bottom style="dotted">
        <color theme="3" tint="-0.249977111117893"/>
      </bottom>
      <diagonal/>
    </border>
    <border>
      <left style="dotted">
        <color theme="3" tint="-0.249977111117893"/>
      </left>
      <right style="thin">
        <color indexed="64"/>
      </right>
      <top style="thin">
        <color indexed="64"/>
      </top>
      <bottom style="dotted">
        <color theme="3" tint="-0.249977111117893"/>
      </bottom>
      <diagonal/>
    </border>
    <border>
      <left style="dotted">
        <color theme="3" tint="-0.249977111117893"/>
      </left>
      <right style="thin">
        <color indexed="64"/>
      </right>
      <top style="dotted">
        <color theme="3" tint="-0.249977111117893"/>
      </top>
      <bottom style="dotted">
        <color theme="3" tint="-0.249977111117893"/>
      </bottom>
      <diagonal/>
    </border>
    <border>
      <left/>
      <right style="thin">
        <color theme="3" tint="-0.249977111117893"/>
      </right>
      <top style="thin">
        <color theme="3" tint="-0.249977111117893"/>
      </top>
      <bottom style="thin">
        <color indexed="64"/>
      </bottom>
      <diagonal/>
    </border>
    <border>
      <left style="thin">
        <color theme="3" tint="-0.249977111117893"/>
      </left>
      <right style="dotted">
        <color theme="3" tint="-0.249977111117893"/>
      </right>
      <top style="dotted">
        <color theme="3" tint="-0.249977111117893"/>
      </top>
      <bottom style="thin">
        <color indexed="64"/>
      </bottom>
      <diagonal/>
    </border>
    <border>
      <left style="dotted">
        <color theme="3" tint="-0.249977111117893"/>
      </left>
      <right style="thin">
        <color theme="3" tint="-0.249977111117893"/>
      </right>
      <top style="dotted">
        <color theme="3" tint="-0.249977111117893"/>
      </top>
      <bottom style="thin">
        <color indexed="64"/>
      </bottom>
      <diagonal/>
    </border>
    <border>
      <left style="dotted">
        <color theme="3" tint="-0.249977111117893"/>
      </left>
      <right style="thin">
        <color indexed="64"/>
      </right>
      <top style="dotted">
        <color theme="3" tint="-0.249977111117893"/>
      </top>
      <bottom style="thin">
        <color indexed="64"/>
      </bottom>
      <diagonal/>
    </border>
    <border>
      <left/>
      <right style="thin">
        <color theme="3" tint="-0.249977111117893"/>
      </right>
      <top style="thin">
        <color indexed="64"/>
      </top>
      <bottom style="thin">
        <color indexed="64"/>
      </bottom>
      <diagonal/>
    </border>
    <border>
      <left style="thin">
        <color theme="3" tint="-0.249977111117893"/>
      </left>
      <right style="dotted">
        <color theme="3" tint="-0.249977111117893"/>
      </right>
      <top style="thin">
        <color indexed="64"/>
      </top>
      <bottom style="thin">
        <color indexed="64"/>
      </bottom>
      <diagonal/>
    </border>
    <border>
      <left style="dotted">
        <color theme="3" tint="-0.249977111117893"/>
      </left>
      <right style="thin">
        <color theme="3" tint="-0.249977111117893"/>
      </right>
      <top style="thin">
        <color indexed="64"/>
      </top>
      <bottom style="thin">
        <color indexed="64"/>
      </bottom>
      <diagonal/>
    </border>
    <border>
      <left style="dotted">
        <color theme="3" tint="-0.249977111117893"/>
      </left>
      <right style="thin">
        <color indexed="64"/>
      </right>
      <top style="thin">
        <color indexed="64"/>
      </top>
      <bottom style="thin">
        <color indexed="64"/>
      </bottom>
      <diagonal/>
    </border>
    <border>
      <left style="thin">
        <color theme="3" tint="-0.249977111117893"/>
      </left>
      <right style="dotted">
        <color theme="3" tint="-0.249977111117893"/>
      </right>
      <top/>
      <bottom style="thin">
        <color theme="3" tint="-0.249977111117893"/>
      </bottom>
      <diagonal/>
    </border>
    <border>
      <left style="dotted">
        <color theme="3" tint="-0.249977111117893"/>
      </left>
      <right style="thin">
        <color theme="3" tint="-0.249977111117893"/>
      </right>
      <top/>
      <bottom style="thin">
        <color theme="3" tint="-0.249977111117893"/>
      </bottom>
      <diagonal/>
    </border>
    <border>
      <left style="thin">
        <color indexed="64"/>
      </left>
      <right style="thin">
        <color theme="3" tint="-0.249977111117893"/>
      </right>
      <top style="thin">
        <color indexed="64"/>
      </top>
      <bottom/>
      <diagonal/>
    </border>
    <border>
      <left style="thin">
        <color theme="3" tint="-0.249977111117893"/>
      </left>
      <right style="thin">
        <color indexed="64"/>
      </right>
      <top style="thin">
        <color indexed="64"/>
      </top>
      <bottom style="dotted">
        <color theme="3" tint="-0.249977111117893"/>
      </bottom>
      <diagonal/>
    </border>
    <border>
      <left style="thin">
        <color indexed="64"/>
      </left>
      <right style="thin">
        <color theme="3" tint="-0.249977111117893"/>
      </right>
      <top/>
      <bottom/>
      <diagonal/>
    </border>
    <border>
      <left style="thin">
        <color theme="3" tint="-0.249977111117893"/>
      </left>
      <right style="thin">
        <color indexed="64"/>
      </right>
      <top style="dotted">
        <color theme="3" tint="-0.249977111117893"/>
      </top>
      <bottom style="dotted">
        <color theme="3" tint="-0.249977111117893"/>
      </bottom>
      <diagonal/>
    </border>
    <border>
      <left style="thin">
        <color indexed="64"/>
      </left>
      <right style="thin">
        <color theme="3" tint="-0.249977111117893"/>
      </right>
      <top/>
      <bottom style="thin">
        <color indexed="64"/>
      </bottom>
      <diagonal/>
    </border>
    <border>
      <left style="thin">
        <color theme="3" tint="-0.249977111117893"/>
      </left>
      <right style="thin">
        <color theme="3" tint="-0.249977111117893"/>
      </right>
      <top style="thin">
        <color theme="3" tint="-0.249977111117893"/>
      </top>
      <bottom style="thin">
        <color indexed="64"/>
      </bottom>
      <diagonal/>
    </border>
    <border>
      <left style="thin">
        <color theme="3" tint="-0.249977111117893"/>
      </left>
      <right style="thin">
        <color indexed="64"/>
      </right>
      <top style="dotted">
        <color theme="3" tint="-0.249977111117893"/>
      </top>
      <bottom style="thin">
        <color indexed="64"/>
      </bottom>
      <diagonal/>
    </border>
    <border>
      <left style="thin">
        <color theme="3" tint="-0.249977111117893"/>
      </left>
      <right style="dotted">
        <color theme="3" tint="-0.249977111117893"/>
      </right>
      <top style="thin">
        <color indexed="64"/>
      </top>
      <bottom/>
      <diagonal/>
    </border>
    <border>
      <left style="thin">
        <color theme="3" tint="-0.249977111117893"/>
      </left>
      <right style="dotted">
        <color theme="3" tint="-0.249977111117893"/>
      </right>
      <top/>
      <bottom style="thin">
        <color indexed="64"/>
      </bottom>
      <diagonal/>
    </border>
    <border>
      <left style="dotted">
        <color theme="3" tint="-0.249977111117893"/>
      </left>
      <right style="thin">
        <color theme="3" tint="-0.249977111117893"/>
      </right>
      <top style="thin">
        <color indexed="64"/>
      </top>
      <bottom/>
      <diagonal/>
    </border>
    <border>
      <left style="dotted">
        <color theme="3" tint="-0.249977111117893"/>
      </left>
      <right style="thin">
        <color theme="3" tint="-0.249977111117893"/>
      </right>
      <top/>
      <bottom style="thin">
        <color indexed="64"/>
      </bottom>
      <diagonal/>
    </border>
    <border>
      <left style="thin">
        <color theme="3" tint="-0.249977111117893"/>
      </left>
      <right style="thin">
        <color indexed="64"/>
      </right>
      <top style="thin">
        <color indexed="64"/>
      </top>
      <bottom/>
      <diagonal/>
    </border>
    <border>
      <left/>
      <right style="thin">
        <color theme="3" tint="-0.249977111117893"/>
      </right>
      <top/>
      <bottom style="thin">
        <color indexed="64"/>
      </bottom>
      <diagonal/>
    </border>
    <border>
      <left style="thin">
        <color theme="3" tint="-0.249977111117893"/>
      </left>
      <right/>
      <top style="thin">
        <color indexed="64"/>
      </top>
      <bottom style="thin">
        <color indexed="64"/>
      </bottom>
      <diagonal/>
    </border>
    <border>
      <left style="thin">
        <color theme="3" tint="-0.249977111117893"/>
      </left>
      <right style="thin">
        <color theme="3" tint="-0.249977111117893"/>
      </right>
      <top style="thin">
        <color indexed="64"/>
      </top>
      <bottom style="thin">
        <color indexed="64"/>
      </bottom>
      <diagonal/>
    </border>
    <border>
      <left/>
      <right style="dotted">
        <color theme="3" tint="-0.249977111117893"/>
      </right>
      <top style="thin">
        <color indexed="64"/>
      </top>
      <bottom style="thin">
        <color indexed="64"/>
      </bottom>
      <diagonal/>
    </border>
    <border>
      <left style="thin">
        <color theme="3" tint="-0.249977111117893"/>
      </left>
      <right style="thin">
        <color theme="3" tint="-0.249977111117893"/>
      </right>
      <top style="dotted">
        <color theme="3" tint="-0.249977111117893"/>
      </top>
      <bottom style="thin">
        <color indexed="64"/>
      </bottom>
      <diagonal/>
    </border>
    <border>
      <left style="thin">
        <color indexed="64"/>
      </left>
      <right style="dotted">
        <color theme="3" tint="-0.249977111117893"/>
      </right>
      <top style="thin">
        <color indexed="64"/>
      </top>
      <bottom style="thin">
        <color indexed="64"/>
      </bottom>
      <diagonal/>
    </border>
    <border>
      <left/>
      <right style="dotted">
        <color theme="3" tint="-0.249977111117893"/>
      </right>
      <top style="thin">
        <color theme="3" tint="-0.249977111117893"/>
      </top>
      <bottom style="dotted">
        <color theme="3" tint="-0.249977111117893"/>
      </bottom>
      <diagonal/>
    </border>
    <border>
      <left style="thin">
        <color indexed="64"/>
      </left>
      <right style="thin">
        <color theme="3" tint="-0.249977111117893"/>
      </right>
      <top style="thin">
        <color indexed="64"/>
      </top>
      <bottom style="hair">
        <color theme="3" tint="-0.249977111117893"/>
      </bottom>
      <diagonal/>
    </border>
    <border>
      <left style="thin">
        <color theme="3" tint="-0.249977111117893"/>
      </left>
      <right/>
      <top style="thin">
        <color indexed="64"/>
      </top>
      <bottom style="hair">
        <color theme="3" tint="-0.249977111117893"/>
      </bottom>
      <diagonal/>
    </border>
    <border>
      <left style="thin">
        <color theme="3" tint="-0.249977111117893"/>
      </left>
      <right style="thin">
        <color theme="3" tint="-0.249977111117893"/>
      </right>
      <top style="thin">
        <color indexed="64"/>
      </top>
      <bottom style="hair">
        <color theme="3" tint="-0.249977111117893"/>
      </bottom>
      <diagonal/>
    </border>
    <border>
      <left style="thin">
        <color theme="3" tint="-0.249977111117893"/>
      </left>
      <right style="thin">
        <color indexed="64"/>
      </right>
      <top style="thin">
        <color indexed="64"/>
      </top>
      <bottom style="hair">
        <color theme="3" tint="-0.249977111117893"/>
      </bottom>
      <diagonal/>
    </border>
    <border>
      <left style="thin">
        <color indexed="64"/>
      </left>
      <right style="thin">
        <color theme="3" tint="-0.249977111117893"/>
      </right>
      <top/>
      <bottom style="hair">
        <color theme="3" tint="-0.249977111117893"/>
      </bottom>
      <diagonal/>
    </border>
    <border>
      <left style="thin">
        <color theme="3" tint="-0.249977111117893"/>
      </left>
      <right style="thin">
        <color indexed="64"/>
      </right>
      <top/>
      <bottom style="hair">
        <color theme="3" tint="-0.249977111117893"/>
      </bottom>
      <diagonal/>
    </border>
    <border>
      <left style="thin">
        <color theme="3" tint="-0.249977111117893"/>
      </left>
      <right/>
      <top/>
      <bottom style="thin">
        <color indexed="64"/>
      </bottom>
      <diagonal/>
    </border>
    <border>
      <left style="thin">
        <color indexed="64"/>
      </left>
      <right/>
      <top/>
      <bottom style="thin">
        <color theme="3" tint="-0.249977111117893"/>
      </bottom>
      <diagonal/>
    </border>
    <border>
      <left style="thin">
        <color theme="3" tint="-0.249977111117893"/>
      </left>
      <right style="thin">
        <color indexed="64"/>
      </right>
      <top/>
      <bottom style="thin">
        <color theme="3" tint="-0.249977111117893"/>
      </bottom>
      <diagonal/>
    </border>
    <border>
      <left style="thin">
        <color indexed="64"/>
      </left>
      <right/>
      <top style="thin">
        <color theme="3" tint="-0.249977111117893"/>
      </top>
      <bottom/>
      <diagonal/>
    </border>
    <border>
      <left style="thin">
        <color theme="3" tint="-0.249977111117893"/>
      </left>
      <right style="thin">
        <color indexed="64"/>
      </right>
      <top style="thin">
        <color theme="3" tint="-0.249977111117893"/>
      </top>
      <bottom style="hair">
        <color theme="3" tint="-0.249977111117893"/>
      </bottom>
      <diagonal/>
    </border>
    <border>
      <left style="thin">
        <color indexed="64"/>
      </left>
      <right/>
      <top style="thin">
        <color theme="3" tint="-0.249977111117893"/>
      </top>
      <bottom style="thin">
        <color theme="3" tint="-0.249977111117893"/>
      </bottom>
      <diagonal/>
    </border>
    <border>
      <left style="thin">
        <color theme="3" tint="-0.249977111117893"/>
      </left>
      <right style="thin">
        <color indexed="64"/>
      </right>
      <top style="thin">
        <color theme="3" tint="-0.249977111117893"/>
      </top>
      <bottom style="thin">
        <color theme="3" tint="-0.249977111117893"/>
      </bottom>
      <diagonal/>
    </border>
    <border>
      <left style="thin">
        <color indexed="64"/>
      </left>
      <right/>
      <top style="thin">
        <color theme="3" tint="-0.249977111117893"/>
      </top>
      <bottom style="thin">
        <color indexed="64"/>
      </bottom>
      <diagonal/>
    </border>
    <border>
      <left/>
      <right/>
      <top style="thick">
        <color rgb="FFFF0000"/>
      </top>
      <bottom/>
      <diagonal/>
    </border>
    <border>
      <left style="thin">
        <color theme="3" tint="-0.249977111117893"/>
      </left>
      <right style="thin">
        <color theme="3" tint="-0.249977111117893"/>
      </right>
      <top style="thick">
        <color rgb="FFFF0000"/>
      </top>
      <bottom style="thin">
        <color theme="3" tint="-0.249977111117893"/>
      </bottom>
      <diagonal/>
    </border>
    <border>
      <left style="thin">
        <color indexed="64"/>
      </left>
      <right style="thin">
        <color theme="3" tint="-0.249977111117893"/>
      </right>
      <top style="thin">
        <color indexed="64"/>
      </top>
      <bottom style="dotted">
        <color theme="3" tint="-0.249977111117893"/>
      </bottom>
      <diagonal/>
    </border>
    <border>
      <left/>
      <right style="thin">
        <color theme="3" tint="-0.249977111117893"/>
      </right>
      <top style="thin">
        <color indexed="64"/>
      </top>
      <bottom style="dotted">
        <color theme="3" tint="-0.249977111117893"/>
      </bottom>
      <diagonal/>
    </border>
    <border>
      <left style="thin">
        <color indexed="64"/>
      </left>
      <right style="thin">
        <color theme="3" tint="-0.249977111117893"/>
      </right>
      <top/>
      <bottom style="dotted">
        <color theme="3" tint="-0.249977111117893"/>
      </bottom>
      <diagonal/>
    </border>
    <border>
      <left/>
      <right/>
      <top style="thin">
        <color theme="3" tint="-0.249977111117893"/>
      </top>
      <bottom style="dotted">
        <color theme="3" tint="-0.249977111117893"/>
      </bottom>
      <diagonal/>
    </border>
    <border>
      <left/>
      <right/>
      <top/>
      <bottom style="dotted">
        <color theme="3" tint="-0.249977111117893"/>
      </bottom>
      <diagonal/>
    </border>
    <border>
      <left style="thin">
        <color theme="3" tint="-0.249977111117893"/>
      </left>
      <right style="thin">
        <color theme="3" tint="-0.249977111117893"/>
      </right>
      <top style="dotted">
        <color theme="3" tint="-0.249977111117893"/>
      </top>
      <bottom style="thin">
        <color theme="3" tint="-0.249977111117893"/>
      </bottom>
      <diagonal/>
    </border>
    <border>
      <left style="thin">
        <color theme="3" tint="-0.249977111117893"/>
      </left>
      <right/>
      <top style="dotted">
        <color theme="3" tint="-0.249977111117893"/>
      </top>
      <bottom style="thin">
        <color theme="3" tint="-0.249977111117893"/>
      </bottom>
      <diagonal/>
    </border>
    <border>
      <left/>
      <right style="thin">
        <color theme="3" tint="-0.249977111117893"/>
      </right>
      <top style="dotted">
        <color theme="3" tint="-0.249977111117893"/>
      </top>
      <bottom style="thin">
        <color theme="3" tint="-0.249977111117893"/>
      </bottom>
      <diagonal/>
    </border>
    <border>
      <left style="thin">
        <color theme="3" tint="-0.249977111117893"/>
      </left>
      <right/>
      <top style="thin">
        <color indexed="64"/>
      </top>
      <bottom style="dotted">
        <color theme="3" tint="-0.249977111117893"/>
      </bottom>
      <diagonal/>
    </border>
    <border>
      <left style="thin">
        <color theme="3" tint="-0.249977111117893"/>
      </left>
      <right style="thin">
        <color theme="3" tint="-0.249977111117893"/>
      </right>
      <top style="thin">
        <color indexed="64"/>
      </top>
      <bottom style="dotted">
        <color theme="3" tint="-0.249977111117893"/>
      </bottom>
      <diagonal/>
    </border>
    <border>
      <left style="thin">
        <color theme="3" tint="-0.249977111117893"/>
      </left>
      <right/>
      <top style="thin">
        <color indexed="64"/>
      </top>
      <bottom/>
      <diagonal/>
    </border>
    <border>
      <left style="thin">
        <color theme="3" tint="-0.249977111117893"/>
      </left>
      <right style="thin">
        <color theme="3" tint="-0.249977111117893"/>
      </right>
      <top style="thick">
        <color rgb="FFFF0000"/>
      </top>
      <bottom/>
      <diagonal/>
    </border>
    <border>
      <left style="thin">
        <color theme="3" tint="-0.249977111117893"/>
      </left>
      <right/>
      <top style="thick">
        <color rgb="FFFF0000"/>
      </top>
      <bottom/>
      <diagonal/>
    </border>
    <border>
      <left/>
      <right style="thin">
        <color theme="3" tint="-0.249977111117893"/>
      </right>
      <top style="thick">
        <color rgb="FFFF0000"/>
      </top>
      <bottom/>
      <diagonal/>
    </border>
    <border>
      <left style="thin">
        <color theme="3" tint="-0.249977111117893"/>
      </left>
      <right style="thin">
        <color theme="3" tint="-0.249977111117893"/>
      </right>
      <top style="hair">
        <color theme="3" tint="-0.249977111117893"/>
      </top>
      <bottom style="dotted">
        <color theme="3" tint="-0.249977111117893"/>
      </bottom>
      <diagonal/>
    </border>
    <border>
      <left style="thin">
        <color theme="0"/>
      </left>
      <right/>
      <top style="thin">
        <color theme="3" tint="-0.249977111117893"/>
      </top>
      <bottom style="thin">
        <color theme="0"/>
      </bottom>
      <diagonal/>
    </border>
    <border>
      <left style="medium">
        <color rgb="FFFF0000"/>
      </left>
      <right style="thin">
        <color theme="0"/>
      </right>
      <top style="thin">
        <color theme="3" tint="-0.249977111117893"/>
      </top>
      <bottom style="thin">
        <color theme="0"/>
      </bottom>
      <diagonal/>
    </border>
    <border>
      <left style="thin">
        <color theme="0"/>
      </left>
      <right/>
      <top style="thin">
        <color theme="0"/>
      </top>
      <bottom style="thin">
        <color theme="3" tint="-0.249977111117893"/>
      </bottom>
      <diagonal/>
    </border>
    <border>
      <left style="medium">
        <color rgb="FFFF0000"/>
      </left>
      <right style="thin">
        <color theme="0"/>
      </right>
      <top style="thin">
        <color theme="0"/>
      </top>
      <bottom style="thin">
        <color theme="3" tint="-0.249977111117893"/>
      </bottom>
      <diagonal/>
    </border>
    <border>
      <left style="dotted">
        <color theme="3" tint="-0.249977111117893"/>
      </left>
      <right/>
      <top/>
      <bottom style="dotted">
        <color theme="3" tint="-0.249977111117893"/>
      </bottom>
      <diagonal/>
    </border>
    <border>
      <left style="medium">
        <color rgb="FFFF0000"/>
      </left>
      <right/>
      <top/>
      <bottom style="dotted">
        <color theme="3" tint="-0.249977111117893"/>
      </bottom>
      <diagonal/>
    </border>
    <border>
      <left style="dotted">
        <color theme="3" tint="-0.249977111117893"/>
      </left>
      <right/>
      <top style="dotted">
        <color theme="3" tint="-0.249977111117893"/>
      </top>
      <bottom style="dotted">
        <color theme="3" tint="-0.249977111117893"/>
      </bottom>
      <diagonal/>
    </border>
    <border>
      <left style="medium">
        <color rgb="FFFF0000"/>
      </left>
      <right style="dotted">
        <color theme="3" tint="-0.249977111117893"/>
      </right>
      <top style="dotted">
        <color theme="3" tint="-0.249977111117893"/>
      </top>
      <bottom style="dotted">
        <color theme="3" tint="-0.249977111117893"/>
      </bottom>
      <diagonal/>
    </border>
    <border>
      <left style="dotted">
        <color theme="3" tint="-0.249977111117893"/>
      </left>
      <right/>
      <top style="dotted">
        <color theme="3" tint="-0.249977111117893"/>
      </top>
      <bottom/>
      <diagonal/>
    </border>
    <border>
      <left style="medium">
        <color rgb="FFFF0000"/>
      </left>
      <right style="dotted">
        <color theme="3" tint="-0.249977111117893"/>
      </right>
      <top style="dotted">
        <color theme="3" tint="-0.249977111117893"/>
      </top>
      <bottom/>
      <diagonal/>
    </border>
    <border>
      <left style="dotted">
        <color theme="3" tint="-0.249977111117893"/>
      </left>
      <right/>
      <top style="thin">
        <color indexed="64"/>
      </top>
      <bottom style="thin">
        <color theme="3" tint="-0.249977111117893"/>
      </bottom>
      <diagonal/>
    </border>
    <border>
      <left style="medium">
        <color rgb="FFFF0000"/>
      </left>
      <right style="dotted">
        <color theme="3" tint="-0.249977111117893"/>
      </right>
      <top style="thin">
        <color indexed="64"/>
      </top>
      <bottom style="thin">
        <color theme="3" tint="-0.249977111117893"/>
      </bottom>
      <diagonal/>
    </border>
    <border>
      <left style="dotted">
        <color theme="3" tint="-0.249977111117893"/>
      </left>
      <right/>
      <top/>
      <bottom/>
      <diagonal/>
    </border>
    <border>
      <left style="medium">
        <color rgb="FFFF0000"/>
      </left>
      <right style="dotted">
        <color theme="3" tint="-0.249977111117893"/>
      </right>
      <top/>
      <bottom/>
      <diagonal/>
    </border>
    <border>
      <left style="dotted">
        <color theme="3" tint="-0.249977111117893"/>
      </left>
      <right/>
      <top style="thin">
        <color theme="3" tint="-0.249977111117893"/>
      </top>
      <bottom style="dotted">
        <color theme="3" tint="-0.249977111117893"/>
      </bottom>
      <diagonal/>
    </border>
    <border>
      <left style="medium">
        <color rgb="FFFF0000"/>
      </left>
      <right style="dotted">
        <color theme="3" tint="-0.249977111117893"/>
      </right>
      <top style="thin">
        <color theme="3" tint="-0.249977111117893"/>
      </top>
      <bottom style="dotted">
        <color theme="3" tint="-0.249977111117893"/>
      </bottom>
      <diagonal/>
    </border>
    <border>
      <left style="dotted">
        <color theme="3" tint="-0.249977111117893"/>
      </left>
      <right/>
      <top style="thin">
        <color theme="3" tint="-0.249977111117893"/>
      </top>
      <bottom style="thin">
        <color theme="3" tint="-0.249977111117893"/>
      </bottom>
      <diagonal/>
    </border>
    <border>
      <left style="medium">
        <color rgb="FFFF0000"/>
      </left>
      <right style="dotted">
        <color theme="3" tint="-0.249977111117893"/>
      </right>
      <top style="thin">
        <color theme="3" tint="-0.249977111117893"/>
      </top>
      <bottom style="thin">
        <color theme="3" tint="-0.249977111117893"/>
      </bottom>
      <diagonal/>
    </border>
    <border>
      <left style="dotted">
        <color theme="3" tint="-0.249977111117893"/>
      </left>
      <right/>
      <top style="dotted">
        <color theme="3" tint="-0.249977111117893"/>
      </top>
      <bottom style="thin">
        <color theme="3" tint="-0.249977111117893"/>
      </bottom>
      <diagonal/>
    </border>
    <border>
      <left style="medium">
        <color rgb="FFFF0000"/>
      </left>
      <right style="dotted">
        <color theme="3" tint="-0.249977111117893"/>
      </right>
      <top style="dotted">
        <color theme="3" tint="-0.249977111117893"/>
      </top>
      <bottom style="thin">
        <color theme="3" tint="-0.249977111117893"/>
      </bottom>
      <diagonal/>
    </border>
    <border>
      <left style="medium">
        <color rgb="FFFF0000"/>
      </left>
      <right style="thin">
        <color indexed="64"/>
      </right>
      <top style="thin">
        <color indexed="64"/>
      </top>
      <bottom style="dotted">
        <color theme="3" tint="-0.249977111117893"/>
      </bottom>
      <diagonal/>
    </border>
    <border>
      <left style="medium">
        <color rgb="FFFF0000"/>
      </left>
      <right style="thin">
        <color indexed="64"/>
      </right>
      <top style="dotted">
        <color theme="3" tint="-0.249977111117893"/>
      </top>
      <bottom style="dotted">
        <color theme="3" tint="-0.249977111117893"/>
      </bottom>
      <diagonal/>
    </border>
    <border>
      <left style="medium">
        <color rgb="FFFF0000"/>
      </left>
      <right style="thin">
        <color indexed="64"/>
      </right>
      <top style="dotted">
        <color theme="3" tint="-0.249977111117893"/>
      </top>
      <bottom style="thin">
        <color indexed="64"/>
      </bottom>
      <diagonal/>
    </border>
    <border>
      <left/>
      <right/>
      <top/>
      <bottom style="thick">
        <color rgb="FFFF000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3" tint="-0.249977111117893"/>
      </left>
      <right style="thin">
        <color theme="0"/>
      </right>
      <top/>
      <bottom style="thin">
        <color theme="0"/>
      </bottom>
      <diagonal/>
    </border>
    <border>
      <left style="thin">
        <color theme="0"/>
      </left>
      <right style="thin">
        <color theme="3" tint="-0.249977111117893"/>
      </right>
      <top/>
      <bottom style="thin">
        <color theme="0"/>
      </bottom>
      <diagonal/>
    </border>
    <border>
      <left style="medium">
        <color rgb="FFFF0000"/>
      </left>
      <right style="dotted">
        <color theme="3" tint="-0.249977111117893"/>
      </right>
      <top/>
      <bottom style="dotted">
        <color theme="3" tint="-0.249977111117893"/>
      </bottom>
      <diagonal/>
    </border>
    <border>
      <left style="thin">
        <color rgb="FFB2B2B2"/>
      </left>
      <right style="thin">
        <color rgb="FFB2B2B2"/>
      </right>
      <top style="thin">
        <color rgb="FFB2B2B2"/>
      </top>
      <bottom style="thin">
        <color rgb="FFB2B2B2"/>
      </bottom>
      <diagonal/>
    </border>
    <border>
      <left style="thin">
        <color theme="3" tint="-0.249977111117893"/>
      </left>
      <right style="thin">
        <color theme="3" tint="-0.249977111117893"/>
      </right>
      <top style="thin">
        <color indexed="64"/>
      </top>
      <bottom/>
      <diagonal/>
    </border>
    <border>
      <left style="thin">
        <color theme="3" tint="-0.249977111117893"/>
      </left>
      <right style="thin">
        <color theme="3" tint="-0.249977111117893"/>
      </right>
      <top style="thin">
        <color indexed="64"/>
      </top>
      <bottom style="thin">
        <color theme="3" tint="-0.249977111117893"/>
      </bottom>
      <diagonal/>
    </border>
    <border>
      <left/>
      <right/>
      <top style="thin">
        <color indexed="64"/>
      </top>
      <bottom style="dotted">
        <color theme="3" tint="-0.249977111117893"/>
      </bottom>
      <diagonal/>
    </border>
    <border>
      <left style="thin">
        <color indexed="64"/>
      </left>
      <right style="thin">
        <color theme="3" tint="0.39994506668294322"/>
      </right>
      <top style="thin">
        <color indexed="64"/>
      </top>
      <bottom/>
      <diagonal/>
    </border>
    <border>
      <left style="thin">
        <color theme="3" tint="0.39994506668294322"/>
      </left>
      <right style="thin">
        <color theme="3" tint="0.39994506668294322"/>
      </right>
      <top style="thin">
        <color indexed="64"/>
      </top>
      <bottom/>
      <diagonal/>
    </border>
    <border>
      <left style="thin">
        <color theme="3" tint="0.39994506668294322"/>
      </left>
      <right style="thin">
        <color indexed="64"/>
      </right>
      <top style="thin">
        <color indexed="64"/>
      </top>
      <bottom/>
      <diagonal/>
    </border>
    <border>
      <left style="thin">
        <color theme="3" tint="0.39994506668294322"/>
      </left>
      <right style="thin">
        <color theme="3" tint="0.39991454817346722"/>
      </right>
      <top style="thin">
        <color theme="3" tint="0.39994506668294322"/>
      </top>
      <bottom style="thin">
        <color theme="3" tint="0.39991454817346722"/>
      </bottom>
      <diagonal/>
    </border>
    <border>
      <left style="thin">
        <color theme="3" tint="0.39991454817346722"/>
      </left>
      <right style="thin">
        <color theme="3" tint="0.39991454817346722"/>
      </right>
      <top style="thin">
        <color theme="3" tint="0.39994506668294322"/>
      </top>
      <bottom style="thin">
        <color theme="3" tint="0.39991454817346722"/>
      </bottom>
      <diagonal/>
    </border>
    <border>
      <left style="thin">
        <color theme="3" tint="0.39991454817346722"/>
      </left>
      <right style="thin">
        <color theme="3" tint="0.39994506668294322"/>
      </right>
      <top style="thin">
        <color theme="3" tint="0.39994506668294322"/>
      </top>
      <bottom style="thin">
        <color theme="3" tint="0.39991454817346722"/>
      </bottom>
      <diagonal/>
    </border>
    <border>
      <left style="thin">
        <color theme="3" tint="0.39994506668294322"/>
      </left>
      <right style="thin">
        <color theme="3" tint="0.39991454817346722"/>
      </right>
      <top style="thin">
        <color theme="3" tint="0.39991454817346722"/>
      </top>
      <bottom style="thin">
        <color theme="3" tint="0.39991454817346722"/>
      </bottom>
      <diagonal/>
    </border>
    <border>
      <left style="thin">
        <color theme="3" tint="0.39991454817346722"/>
      </left>
      <right style="thin">
        <color theme="3" tint="0.39991454817346722"/>
      </right>
      <top style="thin">
        <color theme="3" tint="0.39991454817346722"/>
      </top>
      <bottom style="thin">
        <color theme="3" tint="0.39991454817346722"/>
      </bottom>
      <diagonal/>
    </border>
    <border>
      <left style="thin">
        <color theme="3" tint="0.39991454817346722"/>
      </left>
      <right style="thin">
        <color theme="3" tint="0.39994506668294322"/>
      </right>
      <top style="thin">
        <color theme="3" tint="0.39991454817346722"/>
      </top>
      <bottom style="thin">
        <color theme="3" tint="0.39991454817346722"/>
      </bottom>
      <diagonal/>
    </border>
    <border>
      <left style="thin">
        <color theme="3" tint="0.39994506668294322"/>
      </left>
      <right style="thin">
        <color theme="3" tint="0.39991454817346722"/>
      </right>
      <top style="thin">
        <color theme="3" tint="0.39991454817346722"/>
      </top>
      <bottom style="thin">
        <color theme="3" tint="0.39994506668294322"/>
      </bottom>
      <diagonal/>
    </border>
    <border>
      <left style="thin">
        <color theme="3" tint="0.39991454817346722"/>
      </left>
      <right style="thin">
        <color theme="3" tint="0.39991454817346722"/>
      </right>
      <top style="thin">
        <color theme="3" tint="0.39991454817346722"/>
      </top>
      <bottom style="thin">
        <color theme="3" tint="0.39994506668294322"/>
      </bottom>
      <diagonal/>
    </border>
    <border>
      <left style="thin">
        <color theme="3" tint="0.39991454817346722"/>
      </left>
      <right style="thin">
        <color theme="3" tint="0.39994506668294322"/>
      </right>
      <top style="thin">
        <color theme="3" tint="0.39991454817346722"/>
      </top>
      <bottom style="thin">
        <color theme="3" tint="0.39994506668294322"/>
      </bottom>
      <diagonal/>
    </border>
    <border>
      <left style="thin">
        <color theme="3" tint="0.39991454817346722"/>
      </left>
      <right/>
      <top style="thin">
        <color theme="3" tint="0.39991454817346722"/>
      </top>
      <bottom style="thin">
        <color theme="3" tint="0.39991454817346722"/>
      </bottom>
      <diagonal/>
    </border>
    <border>
      <left style="thin">
        <color theme="3"/>
      </left>
      <right/>
      <top style="thin">
        <color theme="3"/>
      </top>
      <bottom/>
      <diagonal/>
    </border>
    <border>
      <left/>
      <right/>
      <top style="thin">
        <color theme="3"/>
      </top>
      <bottom/>
      <diagonal/>
    </border>
    <border>
      <left/>
      <right/>
      <top style="thin">
        <color theme="3"/>
      </top>
      <bottom style="thin">
        <color theme="3" tint="-0.249977111117893"/>
      </bottom>
      <diagonal/>
    </border>
    <border>
      <left style="thin">
        <color theme="3" tint="-0.249977111117893"/>
      </left>
      <right style="thin">
        <color theme="3"/>
      </right>
      <top style="thin">
        <color theme="3" tint="-0.249977111117893"/>
      </top>
      <bottom style="thin">
        <color theme="3" tint="-0.249977111117893"/>
      </bottom>
      <diagonal/>
    </border>
    <border>
      <left style="thin">
        <color theme="3"/>
      </left>
      <right/>
      <top/>
      <bottom style="thin">
        <color theme="3"/>
      </bottom>
      <diagonal/>
    </border>
    <border>
      <left/>
      <right/>
      <top/>
      <bottom style="thin">
        <color theme="3"/>
      </bottom>
      <diagonal/>
    </border>
    <border>
      <left/>
      <right style="thin">
        <color theme="3"/>
      </right>
      <top/>
      <bottom style="thin">
        <color theme="3"/>
      </bottom>
      <diagonal/>
    </border>
    <border>
      <left/>
      <right style="thin">
        <color rgb="FF002060"/>
      </right>
      <top/>
      <bottom style="thin">
        <color theme="3" tint="-0.249977111117893"/>
      </bottom>
      <diagonal/>
    </border>
    <border>
      <left/>
      <right style="thin">
        <color theme="3" tint="-0.249977111117893"/>
      </right>
      <top style="thin">
        <color rgb="FF00206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3" tint="0.39994506668294322"/>
      </left>
      <right/>
      <top/>
      <bottom/>
      <diagonal/>
    </border>
    <border>
      <left style="thin">
        <color theme="3" tint="0.39994506668294322"/>
      </left>
      <right/>
      <top style="thin">
        <color theme="3" tint="0.39991454817346722"/>
      </top>
      <bottom style="thin">
        <color theme="3" tint="0.39991454817346722"/>
      </bottom>
      <diagonal/>
    </border>
    <border>
      <left/>
      <right/>
      <top style="thin">
        <color theme="3" tint="0.39991454817346722"/>
      </top>
      <bottom style="thin">
        <color theme="3" tint="0.39991454817346722"/>
      </bottom>
      <diagonal/>
    </border>
    <border>
      <left/>
      <right style="thin">
        <color theme="3" tint="0.39991454817346722"/>
      </right>
      <top style="thin">
        <color theme="3" tint="0.39991454817346722"/>
      </top>
      <bottom style="thin">
        <color theme="3" tint="0.39991454817346722"/>
      </bottom>
      <diagonal/>
    </border>
    <border>
      <left style="thin">
        <color theme="3" tint="0.39994506668294322"/>
      </left>
      <right/>
      <top style="thin">
        <color theme="3" tint="0.39994506668294322"/>
      </top>
      <bottom style="thin">
        <color theme="3" tint="0.39991454817346722"/>
      </bottom>
      <diagonal/>
    </border>
    <border>
      <left/>
      <right/>
      <top style="thin">
        <color theme="3" tint="0.39994506668294322"/>
      </top>
      <bottom style="thin">
        <color theme="3" tint="0.39991454817346722"/>
      </bottom>
      <diagonal/>
    </border>
    <border>
      <left/>
      <right style="thin">
        <color theme="3" tint="0.39991454817346722"/>
      </right>
      <top style="thin">
        <color theme="3" tint="0.39994506668294322"/>
      </top>
      <bottom style="thin">
        <color theme="3" tint="0.39991454817346722"/>
      </bottom>
      <diagonal/>
    </border>
    <border>
      <left/>
      <right/>
      <top style="thin">
        <color indexed="64"/>
      </top>
      <bottom style="thin">
        <color theme="3" tint="0.39994506668294322"/>
      </bottom>
      <diagonal/>
    </border>
    <border>
      <left/>
      <right style="thin">
        <color theme="3" tint="0.39994506668294322"/>
      </right>
      <top style="thin">
        <color indexed="64"/>
      </top>
      <bottom style="thin">
        <color theme="3" tint="0.39994506668294322"/>
      </bottom>
      <diagonal/>
    </border>
    <border>
      <left style="thin">
        <color theme="3" tint="-0.249977111117893"/>
      </left>
      <right style="thin">
        <color theme="3" tint="-0.249977111117893"/>
      </right>
      <top style="hair">
        <color theme="3" tint="-0.249977111117893"/>
      </top>
      <bottom/>
      <diagonal/>
    </border>
    <border>
      <left style="thin">
        <color theme="3" tint="-0.249977111117893"/>
      </left>
      <right/>
      <top style="hair">
        <color theme="3" tint="-0.249977111117893"/>
      </top>
      <bottom/>
      <diagonal/>
    </border>
    <border>
      <left style="thin">
        <color theme="3" tint="0.39991454817346722"/>
      </left>
      <right style="thin">
        <color theme="3" tint="0.39991454817346722"/>
      </right>
      <top style="thin">
        <color theme="3" tint="0.39991454817346722"/>
      </top>
      <bottom/>
      <diagonal/>
    </border>
    <border>
      <left/>
      <right style="thin">
        <color rgb="FF0070C0"/>
      </right>
      <top/>
      <bottom/>
      <diagonal/>
    </border>
    <border>
      <left/>
      <right/>
      <top style="thin">
        <color rgb="FF0070C0"/>
      </top>
      <bottom/>
      <diagonal/>
    </border>
    <border>
      <left style="thin">
        <color theme="3" tint="0.39994506668294322"/>
      </left>
      <right/>
      <top style="thin">
        <color theme="3" tint="0.39991454817346722"/>
      </top>
      <bottom style="thin">
        <color rgb="FF0070C0"/>
      </bottom>
      <diagonal/>
    </border>
    <border>
      <left/>
      <right/>
      <top style="thin">
        <color theme="3" tint="0.39991454817346722"/>
      </top>
      <bottom style="thin">
        <color rgb="FF0070C0"/>
      </bottom>
      <diagonal/>
    </border>
    <border>
      <left/>
      <right style="thin">
        <color theme="3" tint="0.39991454817346722"/>
      </right>
      <top style="thin">
        <color theme="3" tint="0.39991454817346722"/>
      </top>
      <bottom style="thin">
        <color rgb="FF0070C0"/>
      </bottom>
      <diagonal/>
    </border>
    <border>
      <left style="thin">
        <color theme="3" tint="0.39991454817346722"/>
      </left>
      <right style="thin">
        <color theme="3" tint="0.39991454817346722"/>
      </right>
      <top style="thin">
        <color theme="3" tint="0.39991454817346722"/>
      </top>
      <bottom style="thin">
        <color rgb="FF0070C0"/>
      </bottom>
      <diagonal/>
    </border>
    <border>
      <left style="thin">
        <color theme="3" tint="0.39991454817346722"/>
      </left>
      <right style="thin">
        <color theme="3" tint="0.39994506668294322"/>
      </right>
      <top style="thin">
        <color theme="3" tint="0.39991454817346722"/>
      </top>
      <bottom style="thin">
        <color rgb="FF0070C0"/>
      </bottom>
      <diagonal/>
    </border>
    <border>
      <left style="thin">
        <color rgb="FF0070C0"/>
      </left>
      <right/>
      <top style="thin">
        <color rgb="FF0070C0"/>
      </top>
      <bottom/>
      <diagonal/>
    </border>
    <border>
      <left/>
      <right style="thin">
        <color rgb="FF0070C0"/>
      </right>
      <top style="thin">
        <color rgb="FF0070C0"/>
      </top>
      <bottom/>
      <diagonal/>
    </border>
    <border>
      <left style="thin">
        <color rgb="FF0070C0"/>
      </left>
      <right/>
      <top/>
      <bottom/>
      <diagonal/>
    </border>
    <border>
      <left style="thin">
        <color rgb="FF0070C0"/>
      </left>
      <right/>
      <top/>
      <bottom style="thin">
        <color rgb="FF0070C0"/>
      </bottom>
      <diagonal/>
    </border>
    <border>
      <left/>
      <right/>
      <top/>
      <bottom style="thin">
        <color rgb="FF0070C0"/>
      </bottom>
      <diagonal/>
    </border>
    <border>
      <left/>
      <right style="thin">
        <color rgb="FF0070C0"/>
      </right>
      <top/>
      <bottom style="thin">
        <color rgb="FF0070C0"/>
      </bottom>
      <diagonal/>
    </border>
    <border>
      <left style="thin">
        <color rgb="FF0070C0"/>
      </left>
      <right style="thin">
        <color rgb="FF0070C0"/>
      </right>
      <top style="thin">
        <color rgb="FF0070C0"/>
      </top>
      <bottom/>
      <diagonal/>
    </border>
    <border>
      <left style="thin">
        <color rgb="FF0070C0"/>
      </left>
      <right style="thin">
        <color rgb="FF0070C0"/>
      </right>
      <top/>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3" tint="-0.249977111117893"/>
      </left>
      <right/>
      <top style="thin">
        <color theme="3" tint="-0.249977111117893"/>
      </top>
      <bottom style="thin">
        <color indexed="64"/>
      </bottom>
      <diagonal/>
    </border>
    <border>
      <left style="thin">
        <color theme="3" tint="-0.249977111117893"/>
      </left>
      <right style="thin">
        <color auto="1"/>
      </right>
      <top style="thin">
        <color theme="3" tint="-0.249977111117893"/>
      </top>
      <bottom/>
      <diagonal/>
    </border>
    <border>
      <left style="thin">
        <color theme="3" tint="-0.249977111117893"/>
      </left>
      <right style="dotted">
        <color theme="3" tint="-0.249977111117893"/>
      </right>
      <top style="thin">
        <color theme="3" tint="-0.249977111117893"/>
      </top>
      <bottom style="dotted">
        <color auto="1"/>
      </bottom>
      <diagonal/>
    </border>
    <border>
      <left style="dotted">
        <color theme="3" tint="-0.249977111117893"/>
      </left>
      <right style="thin">
        <color theme="3" tint="-0.249977111117893"/>
      </right>
      <top style="thin">
        <color theme="3" tint="-0.249977111117893"/>
      </top>
      <bottom style="dotted">
        <color auto="1"/>
      </bottom>
      <diagonal/>
    </border>
    <border>
      <left style="dotted">
        <color theme="3" tint="-0.249977111117893"/>
      </left>
      <right style="thin">
        <color indexed="64"/>
      </right>
      <top/>
      <bottom style="dotted">
        <color theme="3" tint="-0.249977111117893"/>
      </bottom>
      <diagonal/>
    </border>
    <border>
      <left/>
      <right style="thin">
        <color theme="3" tint="-0.249977111117893"/>
      </right>
      <top style="thin">
        <color theme="3" tint="-0.249977111117893"/>
      </top>
      <bottom style="dotted">
        <color auto="1"/>
      </bottom>
      <diagonal/>
    </border>
    <border>
      <left style="thin">
        <color theme="3" tint="-0.249977111117893"/>
      </left>
      <right style="thin">
        <color indexed="64"/>
      </right>
      <top/>
      <bottom/>
      <diagonal/>
    </border>
    <border>
      <left style="thin">
        <color indexed="64"/>
      </left>
      <right style="thin">
        <color theme="3" tint="-0.249977111117893"/>
      </right>
      <top style="thin">
        <color theme="3" tint="-0.249977111117893"/>
      </top>
      <bottom/>
      <diagonal/>
    </border>
    <border>
      <left style="medium">
        <color rgb="FF00B0F0"/>
      </left>
      <right/>
      <top style="medium">
        <color rgb="FF00B0F0"/>
      </top>
      <bottom/>
      <diagonal/>
    </border>
    <border>
      <left/>
      <right style="medium">
        <color rgb="FF00B0F0"/>
      </right>
      <top style="medium">
        <color rgb="FF00B0F0"/>
      </top>
      <bottom/>
      <diagonal/>
    </border>
    <border>
      <left style="medium">
        <color rgb="FF00B0F0"/>
      </left>
      <right/>
      <top/>
      <bottom/>
      <diagonal/>
    </border>
    <border>
      <left/>
      <right style="medium">
        <color rgb="FF00B0F0"/>
      </right>
      <top/>
      <bottom/>
      <diagonal/>
    </border>
    <border>
      <left style="medium">
        <color rgb="FF00B0F0"/>
      </left>
      <right/>
      <top/>
      <bottom style="medium">
        <color rgb="FF00B0F0"/>
      </bottom>
      <diagonal/>
    </border>
    <border>
      <left/>
      <right style="medium">
        <color rgb="FF00B0F0"/>
      </right>
      <top/>
      <bottom style="medium">
        <color rgb="FF00B0F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medium">
        <color theme="3" tint="-0.249977111117893"/>
      </left>
      <right style="medium">
        <color theme="3" tint="-0.249977111117893"/>
      </right>
      <top style="medium">
        <color theme="3" tint="-0.249977111117893"/>
      </top>
      <bottom style="medium">
        <color theme="3" tint="-0.249977111117893"/>
      </bottom>
      <diagonal/>
    </border>
    <border>
      <left style="medium">
        <color theme="3" tint="-0.249977111117893"/>
      </left>
      <right/>
      <top style="medium">
        <color theme="3" tint="-0.249977111117893"/>
      </top>
      <bottom style="medium">
        <color theme="3" tint="-0.249977111117893"/>
      </bottom>
      <diagonal/>
    </border>
    <border>
      <left/>
      <right/>
      <top style="medium">
        <color theme="3" tint="-0.249977111117893"/>
      </top>
      <bottom style="medium">
        <color theme="3" tint="-0.249977111117893"/>
      </bottom>
      <diagonal/>
    </border>
    <border>
      <left/>
      <right style="medium">
        <color theme="3" tint="-0.249977111117893"/>
      </right>
      <top style="medium">
        <color theme="3" tint="-0.249977111117893"/>
      </top>
      <bottom style="medium">
        <color theme="3" tint="-0.24997711111789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thin">
        <color indexed="64"/>
      </top>
      <bottom style="double">
        <color indexed="64"/>
      </bottom>
      <diagonal/>
    </border>
    <border>
      <left style="thin">
        <color indexed="8"/>
      </left>
      <right style="thin">
        <color indexed="8"/>
      </right>
      <top style="thin">
        <color indexed="8"/>
      </top>
      <bottom style="thin">
        <color indexed="8"/>
      </bottom>
      <diagonal/>
    </border>
    <border>
      <left style="hair">
        <color rgb="FFC0C0C0"/>
      </left>
      <right style="hair">
        <color rgb="FFC0C0C0"/>
      </right>
      <top style="hair">
        <color rgb="FFC0C0C0"/>
      </top>
      <bottom style="hair">
        <color rgb="FFC0C0C0"/>
      </bottom>
      <diagonal/>
    </border>
    <border>
      <left style="hair">
        <color rgb="FF808080"/>
      </left>
      <right style="hair">
        <color rgb="FF808080"/>
      </right>
      <top style="hair">
        <color rgb="FF808080"/>
      </top>
      <bottom style="hair">
        <color rgb="FF808080"/>
      </bottom>
      <diagonal/>
    </border>
    <border>
      <left style="thin">
        <color rgb="FF808080"/>
      </left>
      <right style="thin">
        <color rgb="FF808080"/>
      </right>
      <top style="thin">
        <color rgb="FF808080"/>
      </top>
      <bottom style="thin">
        <color rgb="FF808080"/>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indexed="48"/>
      </left>
      <right style="thin">
        <color indexed="48"/>
      </right>
      <top style="thin">
        <color indexed="48"/>
      </top>
      <bottom style="thin">
        <color indexed="48"/>
      </bottom>
      <diagonal/>
    </border>
    <border>
      <left style="thin">
        <color rgb="FF000000"/>
      </left>
      <right style="thin">
        <color rgb="FF000000"/>
      </right>
      <top style="thin">
        <color rgb="FF000000"/>
      </top>
      <bottom style="thin">
        <color rgb="FF000000"/>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hair">
        <color rgb="FFC0C0C0"/>
      </left>
      <right style="hair">
        <color rgb="FFC0C0C0"/>
      </right>
      <top style="thin">
        <color rgb="FF808080"/>
      </top>
      <bottom style="thin">
        <color rgb="FF808080"/>
      </bottom>
      <diagonal/>
    </border>
    <border>
      <left style="thin">
        <color indexed="18"/>
      </left>
      <right style="thin">
        <color indexed="18"/>
      </right>
      <top style="thin">
        <color indexed="18"/>
      </top>
      <bottom style="thin">
        <color indexed="1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medium">
        <color indexed="23"/>
      </top>
      <bottom style="medium">
        <color indexed="23"/>
      </bottom>
      <diagonal/>
    </border>
    <border>
      <left/>
      <right/>
      <top style="thin">
        <color indexed="62"/>
      </top>
      <bottom style="medium">
        <color indexed="62"/>
      </bottom>
      <diagonal/>
    </border>
    <border>
      <left style="thin">
        <color theme="3" tint="0.39994506668294322"/>
      </left>
      <right/>
      <top style="thin">
        <color indexed="64"/>
      </top>
      <bottom/>
      <diagonal/>
    </border>
    <border>
      <left style="thin">
        <color theme="3" tint="0.39991454817346722"/>
      </left>
      <right/>
      <top style="thin">
        <color theme="3" tint="0.39994506668294322"/>
      </top>
      <bottom style="thin">
        <color theme="3" tint="0.39991454817346722"/>
      </bottom>
      <diagonal/>
    </border>
    <border>
      <left style="thin">
        <color theme="3" tint="0.39988402966399123"/>
      </left>
      <right/>
      <top style="thin">
        <color theme="3" tint="0.39988402966399123"/>
      </top>
      <bottom style="thin">
        <color theme="3" tint="0.39988402966399123"/>
      </bottom>
      <diagonal/>
    </border>
    <border>
      <left/>
      <right style="thin">
        <color indexed="64"/>
      </right>
      <top style="thin">
        <color indexed="64"/>
      </top>
      <bottom/>
      <diagonal/>
    </border>
    <border>
      <left/>
      <right style="thin">
        <color indexed="64"/>
      </right>
      <top style="thin">
        <color theme="3" tint="0.39988402966399123"/>
      </top>
      <bottom style="thin">
        <color theme="3" tint="0.39988402966399123"/>
      </bottom>
      <diagonal/>
    </border>
  </borders>
  <cellStyleXfs count="1701">
    <xf numFmtId="0" fontId="0" fillId="0" borderId="0"/>
    <xf numFmtId="164" fontId="6" fillId="0" borderId="0" applyFont="0" applyFill="0" applyBorder="0" applyAlignment="0" applyProtection="0"/>
    <xf numFmtId="0" fontId="12" fillId="0" borderId="0"/>
    <xf numFmtId="38" fontId="12" fillId="0" borderId="0" applyFont="0" applyFill="0" applyBorder="0" applyAlignment="0" applyProtection="0"/>
    <xf numFmtId="0" fontId="13" fillId="0" borderId="0"/>
    <xf numFmtId="168" fontId="13" fillId="0" borderId="0" applyFont="0" applyFill="0" applyBorder="0" applyAlignment="0" applyProtection="0"/>
    <xf numFmtId="168" fontId="13" fillId="0" borderId="0" applyFont="0" applyFill="0" applyBorder="0" applyAlignment="0" applyProtection="0"/>
    <xf numFmtId="0" fontId="9" fillId="0" borderId="0"/>
    <xf numFmtId="9" fontId="13" fillId="0" borderId="0" applyFont="0" applyFill="0" applyBorder="0" applyAlignment="0" applyProtection="0"/>
    <xf numFmtId="0" fontId="17" fillId="0" borderId="0"/>
    <xf numFmtId="9" fontId="6" fillId="0" borderId="0" applyFont="0" applyFill="0" applyBorder="0" applyAlignment="0" applyProtection="0"/>
    <xf numFmtId="0" fontId="61" fillId="0" borderId="0"/>
    <xf numFmtId="0" fontId="13" fillId="0" borderId="0"/>
    <xf numFmtId="0" fontId="72" fillId="0" borderId="0" applyNumberFormat="0" applyFill="0" applyBorder="0" applyAlignment="0" applyProtection="0">
      <alignment vertical="top"/>
      <protection locked="0"/>
    </xf>
    <xf numFmtId="0" fontId="85" fillId="0" borderId="0"/>
    <xf numFmtId="0" fontId="72" fillId="0" borderId="0" applyNumberFormat="0" applyFill="0" applyBorder="0" applyAlignment="0" applyProtection="0">
      <alignment vertical="top"/>
      <protection locked="0"/>
    </xf>
    <xf numFmtId="0" fontId="6" fillId="0" borderId="0"/>
    <xf numFmtId="164" fontId="6" fillId="0" borderId="0" applyFont="0" applyFill="0" applyBorder="0" applyAlignment="0" applyProtection="0"/>
    <xf numFmtId="0" fontId="3" fillId="0" borderId="0"/>
    <xf numFmtId="0" fontId="6" fillId="35" borderId="337" applyNumberFormat="0" applyFont="0" applyAlignment="0" applyProtection="0"/>
    <xf numFmtId="0" fontId="244" fillId="37" borderId="0" applyNumberFormat="0" applyBorder="0" applyAlignment="0" applyProtection="0"/>
    <xf numFmtId="0" fontId="244" fillId="38" borderId="0" applyNumberFormat="0" applyBorder="0" applyAlignment="0" applyProtection="0"/>
    <xf numFmtId="0" fontId="2" fillId="0" borderId="0"/>
    <xf numFmtId="0" fontId="257" fillId="0" borderId="423" applyNumberFormat="0" applyFill="0" applyAlignment="0" applyProtection="0"/>
    <xf numFmtId="0" fontId="258" fillId="0" borderId="424" applyNumberFormat="0" applyFill="0" applyAlignment="0" applyProtection="0"/>
    <xf numFmtId="0" fontId="27" fillId="0" borderId="425" applyNumberFormat="0" applyFill="0" applyAlignment="0" applyProtection="0"/>
    <xf numFmtId="0" fontId="27" fillId="0" borderId="0" applyNumberFormat="0" applyFill="0" applyBorder="0" applyAlignment="0" applyProtection="0"/>
    <xf numFmtId="0" fontId="259" fillId="45" borderId="0" applyNumberFormat="0" applyBorder="0" applyAlignment="0" applyProtection="0"/>
    <xf numFmtId="0" fontId="260" fillId="46" borderId="0" applyNumberFormat="0" applyBorder="0" applyAlignment="0" applyProtection="0"/>
    <xf numFmtId="0" fontId="262" fillId="48" borderId="426" applyNumberFormat="0" applyAlignment="0" applyProtection="0"/>
    <xf numFmtId="0" fontId="263" fillId="49" borderId="427" applyNumberFormat="0" applyAlignment="0" applyProtection="0"/>
    <xf numFmtId="0" fontId="264" fillId="49" borderId="426" applyNumberFormat="0" applyAlignment="0" applyProtection="0"/>
    <xf numFmtId="0" fontId="265" fillId="0" borderId="428" applyNumberFormat="0" applyFill="0" applyAlignment="0" applyProtection="0"/>
    <xf numFmtId="0" fontId="266" fillId="50" borderId="429" applyNumberFormat="0" applyAlignment="0" applyProtection="0"/>
    <xf numFmtId="0" fontId="267" fillId="0" borderId="0" applyNumberFormat="0" applyFill="0" applyBorder="0" applyAlignment="0" applyProtection="0"/>
    <xf numFmtId="0" fontId="268" fillId="0" borderId="0" applyNumberFormat="0" applyFill="0" applyBorder="0" applyAlignment="0" applyProtection="0"/>
    <xf numFmtId="0" fontId="38" fillId="0" borderId="430" applyNumberFormat="0" applyFill="0" applyAlignment="0" applyProtection="0"/>
    <xf numFmtId="0" fontId="244" fillId="51"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244"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244" fillId="62"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244" fillId="66" borderId="0" applyNumberFormat="0" applyBorder="0" applyAlignment="0" applyProtection="0"/>
    <xf numFmtId="0" fontId="1" fillId="67"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6" fillId="0" borderId="0"/>
    <xf numFmtId="164" fontId="6" fillId="0" borderId="0" applyFont="0" applyFill="0" applyBorder="0" applyAlignment="0" applyProtection="0"/>
    <xf numFmtId="0" fontId="1" fillId="0" borderId="0"/>
    <xf numFmtId="0" fontId="12" fillId="0" borderId="0"/>
    <xf numFmtId="9" fontId="6" fillId="0" borderId="0" applyFont="0" applyFill="0" applyBorder="0" applyAlignment="0" applyProtection="0"/>
    <xf numFmtId="0" fontId="12" fillId="0" borderId="0"/>
    <xf numFmtId="0" fontId="12" fillId="0" borderId="0"/>
    <xf numFmtId="0" fontId="1" fillId="0" borderId="0"/>
    <xf numFmtId="0" fontId="6" fillId="35" borderId="337" applyNumberFormat="0" applyFont="0" applyAlignment="0" applyProtection="0"/>
    <xf numFmtId="164" fontId="6" fillId="0" borderId="0" applyFont="0" applyFill="0" applyBorder="0" applyAlignment="0" applyProtection="0"/>
    <xf numFmtId="0" fontId="1" fillId="0" borderId="0"/>
    <xf numFmtId="44" fontId="1" fillId="0" borderId="0" applyFont="0" applyFill="0" applyBorder="0" applyAlignment="0" applyProtection="0"/>
    <xf numFmtId="0" fontId="13" fillId="0" borderId="0"/>
    <xf numFmtId="164" fontId="13" fillId="0" borderId="0" applyFont="0" applyFill="0" applyBorder="0" applyAlignment="0" applyProtection="0"/>
    <xf numFmtId="0" fontId="6" fillId="0" borderId="0"/>
    <xf numFmtId="164" fontId="6" fillId="0" borderId="0" applyFont="0" applyFill="0" applyBorder="0" applyAlignment="0" applyProtection="0"/>
    <xf numFmtId="9" fontId="6" fillId="0" borderId="0" applyFont="0" applyFill="0" applyBorder="0" applyAlignment="0" applyProtection="0"/>
    <xf numFmtId="0" fontId="72" fillId="0" borderId="0" applyNumberFormat="0" applyFill="0" applyBorder="0" applyAlignment="0" applyProtection="0">
      <alignment vertical="top"/>
      <protection locked="0"/>
    </xf>
    <xf numFmtId="0" fontId="6" fillId="35" borderId="337" applyNumberFormat="0" applyFont="0" applyAlignment="0" applyProtection="0"/>
    <xf numFmtId="0" fontId="256" fillId="0" borderId="0" applyNumberFormat="0" applyFill="0" applyBorder="0" applyAlignment="0" applyProtection="0"/>
    <xf numFmtId="164" fontId="6" fillId="0" borderId="0" applyFont="0" applyFill="0" applyBorder="0" applyAlignment="0" applyProtection="0"/>
    <xf numFmtId="0" fontId="261" fillId="47" borderId="0" applyNumberFormat="0" applyBorder="0" applyAlignment="0" applyProtection="0"/>
    <xf numFmtId="0" fontId="1" fillId="54" borderId="0" applyNumberFormat="0" applyBorder="0" applyAlignment="0" applyProtection="0"/>
    <xf numFmtId="0" fontId="1" fillId="57" borderId="0" applyNumberFormat="0" applyBorder="0" applyAlignment="0" applyProtection="0"/>
    <xf numFmtId="0" fontId="1" fillId="61" borderId="0" applyNumberFormat="0" applyBorder="0" applyAlignment="0" applyProtection="0"/>
    <xf numFmtId="0" fontId="1" fillId="65" borderId="0" applyNumberFormat="0" applyBorder="0" applyAlignment="0" applyProtection="0"/>
    <xf numFmtId="0" fontId="1" fillId="69" borderId="0" applyNumberFormat="0" applyBorder="0" applyAlignment="0" applyProtection="0"/>
    <xf numFmtId="0" fontId="1" fillId="72" borderId="0" applyNumberFormat="0" applyBorder="0" applyAlignment="0" applyProtection="0"/>
    <xf numFmtId="0" fontId="1" fillId="0" borderId="0"/>
    <xf numFmtId="9" fontId="1" fillId="0" borderId="0" applyFont="0" applyFill="0" applyBorder="0" applyAlignment="0" applyProtection="0"/>
    <xf numFmtId="0" fontId="293" fillId="0" borderId="0">
      <alignment vertical="top"/>
    </xf>
    <xf numFmtId="0" fontId="295" fillId="0" borderId="0"/>
    <xf numFmtId="0" fontId="294" fillId="0" borderId="0"/>
    <xf numFmtId="0" fontId="6" fillId="0" borderId="0"/>
    <xf numFmtId="0" fontId="12" fillId="0" borderId="0"/>
    <xf numFmtId="0" fontId="1" fillId="0" borderId="0"/>
    <xf numFmtId="0" fontId="12" fillId="0" borderId="0"/>
    <xf numFmtId="0" fontId="12" fillId="0" borderId="0"/>
    <xf numFmtId="0" fontId="12" fillId="0" borderId="0"/>
    <xf numFmtId="0" fontId="1" fillId="0" borderId="0"/>
    <xf numFmtId="164" fontId="6" fillId="0" borderId="0" applyFont="0" applyFill="0" applyBorder="0" applyAlignment="0" applyProtection="0"/>
    <xf numFmtId="0" fontId="295" fillId="0" borderId="0"/>
    <xf numFmtId="164" fontId="6" fillId="0" borderId="0" applyFont="0" applyFill="0" applyBorder="0" applyAlignment="0" applyProtection="0"/>
    <xf numFmtId="0" fontId="244" fillId="54" borderId="0" applyNumberFormat="0" applyBorder="0" applyAlignment="0" applyProtection="0"/>
    <xf numFmtId="0" fontId="244" fillId="57" borderId="0" applyNumberFormat="0" applyBorder="0" applyAlignment="0" applyProtection="0"/>
    <xf numFmtId="0" fontId="244" fillId="61" borderId="0" applyNumberFormat="0" applyBorder="0" applyAlignment="0" applyProtection="0"/>
    <xf numFmtId="0" fontId="244" fillId="65" borderId="0" applyNumberFormat="0" applyBorder="0" applyAlignment="0" applyProtection="0"/>
    <xf numFmtId="0" fontId="244" fillId="69" borderId="0" applyNumberFormat="0" applyBorder="0" applyAlignment="0" applyProtection="0"/>
    <xf numFmtId="0" fontId="244" fillId="72" borderId="0" applyNumberFormat="0" applyBorder="0" applyAlignment="0" applyProtection="0"/>
    <xf numFmtId="0" fontId="290" fillId="47" borderId="0" applyNumberFormat="0" applyBorder="0" applyAlignment="0" applyProtection="0"/>
    <xf numFmtId="0" fontId="1" fillId="35" borderId="337" applyNumberFormat="0" applyFont="0" applyAlignment="0" applyProtection="0"/>
    <xf numFmtId="0" fontId="291" fillId="0" borderId="0" applyNumberFormat="0" applyFill="0" applyBorder="0" applyAlignment="0" applyProtection="0"/>
    <xf numFmtId="0" fontId="296" fillId="0" borderId="0"/>
    <xf numFmtId="188" fontId="296" fillId="0" borderId="0" applyFont="0" applyFill="0" applyBorder="0" applyAlignment="0" applyProtection="0"/>
    <xf numFmtId="9" fontId="296" fillId="0" borderId="0" applyFont="0" applyFill="0" applyBorder="0" applyAlignment="0" applyProtection="0"/>
    <xf numFmtId="0" fontId="1" fillId="0" borderId="0"/>
    <xf numFmtId="0" fontId="6" fillId="0" borderId="0"/>
    <xf numFmtId="0" fontId="12" fillId="0" borderId="0"/>
    <xf numFmtId="0" fontId="13" fillId="0" borderId="0"/>
    <xf numFmtId="0" fontId="2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294" fillId="0" borderId="0"/>
    <xf numFmtId="0" fontId="1" fillId="0" borderId="0"/>
    <xf numFmtId="0" fontId="12" fillId="0" borderId="0"/>
    <xf numFmtId="0" fontId="1" fillId="0" borderId="0"/>
    <xf numFmtId="0" fontId="1" fillId="0" borderId="0"/>
    <xf numFmtId="164" fontId="6" fillId="0" borderId="0" applyFont="0" applyFill="0" applyBorder="0" applyAlignment="0" applyProtection="0"/>
    <xf numFmtId="0" fontId="1" fillId="0" borderId="0"/>
    <xf numFmtId="164" fontId="6" fillId="0" borderId="0" applyFont="0" applyFill="0" applyBorder="0" applyAlignment="0" applyProtection="0"/>
    <xf numFmtId="0" fontId="13" fillId="0" borderId="0"/>
    <xf numFmtId="0" fontId="1" fillId="0" borderId="0"/>
    <xf numFmtId="164" fontId="13" fillId="0" borderId="0" applyFont="0" applyFill="0" applyBorder="0" applyAlignment="0" applyProtection="0"/>
    <xf numFmtId="0" fontId="13" fillId="0" borderId="0"/>
    <xf numFmtId="0" fontId="1" fillId="0" borderId="0"/>
    <xf numFmtId="0" fontId="296" fillId="0" borderId="0"/>
    <xf numFmtId="188" fontId="296" fillId="0" borderId="0" applyFont="0" applyFill="0" applyBorder="0" applyAlignment="0" applyProtection="0"/>
    <xf numFmtId="9" fontId="296"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6" fillId="0" borderId="0"/>
    <xf numFmtId="168" fontId="13" fillId="0" borderId="0" applyFont="0" applyFill="0" applyBorder="0" applyAlignment="0" applyProtection="0"/>
    <xf numFmtId="0" fontId="6" fillId="0" borderId="0"/>
    <xf numFmtId="0" fontId="1" fillId="0" borderId="0"/>
    <xf numFmtId="0" fontId="12" fillId="0" borderId="0"/>
    <xf numFmtId="0" fontId="12" fillId="0" borderId="0"/>
    <xf numFmtId="0" fontId="12"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293" fillId="0" borderId="0"/>
    <xf numFmtId="43" fontId="1" fillId="0" borderId="0" applyFont="0" applyFill="0" applyBorder="0" applyAlignment="0" applyProtection="0"/>
    <xf numFmtId="43" fontId="1" fillId="0" borderId="0" applyFont="0" applyFill="0" applyBorder="0" applyAlignment="0" applyProtection="0"/>
    <xf numFmtId="0" fontId="6" fillId="0" borderId="0"/>
    <xf numFmtId="164" fontId="6" fillId="0" borderId="0" applyFont="0" applyFill="0" applyBorder="0" applyAlignment="0" applyProtection="0"/>
    <xf numFmtId="43" fontId="1" fillId="0" borderId="0" applyFont="0" applyFill="0" applyBorder="0" applyAlignment="0" applyProtection="0"/>
    <xf numFmtId="0" fontId="72" fillId="0" borderId="0" applyNumberFormat="0" applyFill="0" applyBorder="0" applyAlignment="0" applyProtection="0">
      <alignment vertical="top"/>
      <protection locked="0"/>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297" fillId="0" borderId="0"/>
    <xf numFmtId="164" fontId="6" fillId="0" borderId="0" applyFont="0" applyFill="0" applyBorder="0" applyAlignment="0" applyProtection="0"/>
    <xf numFmtId="164" fontId="6" fillId="0" borderId="0" applyFont="0" applyFill="0" applyBorder="0" applyAlignment="0" applyProtection="0"/>
    <xf numFmtId="0" fontId="12" fillId="0" borderId="0"/>
    <xf numFmtId="0" fontId="12" fillId="0" borderId="0"/>
    <xf numFmtId="0" fontId="12" fillId="0" borderId="0"/>
    <xf numFmtId="0" fontId="1" fillId="0" borderId="0"/>
    <xf numFmtId="0" fontId="1" fillId="0" borderId="0"/>
    <xf numFmtId="0" fontId="296" fillId="0" borderId="0"/>
    <xf numFmtId="9" fontId="296" fillId="0" borderId="0" applyFont="0" applyFill="0" applyBorder="0" applyAlignment="0" applyProtection="0"/>
    <xf numFmtId="0" fontId="6" fillId="0" borderId="0"/>
    <xf numFmtId="0" fontId="12" fillId="0" borderId="0"/>
    <xf numFmtId="0" fontId="296" fillId="0" borderId="0"/>
    <xf numFmtId="164" fontId="6" fillId="0" borderId="0" applyFont="0" applyFill="0" applyBorder="0" applyAlignment="0" applyProtection="0"/>
    <xf numFmtId="43" fontId="1" fillId="0" borderId="0" applyFont="0" applyFill="0" applyBorder="0" applyAlignment="0" applyProtection="0"/>
    <xf numFmtId="0" fontId="13" fillId="0" borderId="0"/>
    <xf numFmtId="0" fontId="13" fillId="0" borderId="0"/>
    <xf numFmtId="0" fontId="271" fillId="35" borderId="337" applyNumberFormat="0" applyFont="0" applyAlignment="0" applyProtection="0"/>
    <xf numFmtId="0" fontId="1" fillId="0" borderId="0"/>
    <xf numFmtId="0" fontId="294" fillId="0" borderId="0"/>
    <xf numFmtId="164" fontId="6" fillId="0" borderId="0" applyFont="0" applyFill="0" applyBorder="0" applyAlignment="0" applyProtection="0"/>
    <xf numFmtId="0" fontId="1" fillId="0" borderId="0"/>
    <xf numFmtId="0" fontId="293" fillId="0" borderId="0"/>
    <xf numFmtId="0" fontId="1" fillId="35" borderId="337" applyNumberFormat="0" applyFont="0" applyAlignment="0" applyProtection="0"/>
    <xf numFmtId="0" fontId="1" fillId="0" borderId="0"/>
    <xf numFmtId="9" fontId="1" fillId="0" borderId="0" applyFont="0" applyFill="0" applyBorder="0" applyAlignment="0" applyProtection="0"/>
    <xf numFmtId="0" fontId="293" fillId="0" borderId="0">
      <alignment vertical="top"/>
    </xf>
    <xf numFmtId="0" fontId="295" fillId="0" borderId="0"/>
    <xf numFmtId="0" fontId="1" fillId="0" borderId="0"/>
    <xf numFmtId="0" fontId="6" fillId="0" borderId="0"/>
    <xf numFmtId="0" fontId="12"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67"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 fillId="35" borderId="337" applyNumberFormat="0" applyFont="0" applyAlignment="0" applyProtection="0"/>
    <xf numFmtId="9" fontId="296" fillId="0" borderId="0" applyFont="0" applyFill="0" applyBorder="0" applyAlignment="0" applyProtection="0"/>
    <xf numFmtId="0" fontId="6" fillId="0" borderId="0"/>
    <xf numFmtId="0" fontId="12" fillId="0" borderId="0"/>
    <xf numFmtId="0" fontId="2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29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337" applyNumberFormat="0" applyFont="0" applyAlignment="0" applyProtection="0"/>
    <xf numFmtId="164" fontId="6" fillId="0" borderId="0" applyFont="0" applyFill="0" applyBorder="0" applyAlignment="0" applyProtection="0"/>
    <xf numFmtId="164" fontId="6" fillId="0" borderId="0" applyFont="0" applyFill="0" applyBorder="0" applyAlignment="0" applyProtection="0"/>
    <xf numFmtId="189" fontId="296" fillId="0" borderId="0" applyFont="0" applyFill="0" applyBorder="0" applyAlignment="0" applyProtection="0"/>
    <xf numFmtId="0" fontId="295" fillId="0" borderId="0"/>
    <xf numFmtId="164" fontId="6" fillId="0" borderId="0" applyFont="0" applyFill="0" applyBorder="0" applyAlignment="0" applyProtection="0"/>
    <xf numFmtId="9" fontId="296" fillId="0" borderId="0" applyFont="0" applyFill="0" applyBorder="0" applyAlignment="0" applyProtection="0"/>
    <xf numFmtId="0" fontId="6" fillId="0" borderId="0"/>
    <xf numFmtId="0" fontId="12" fillId="0" borderId="0"/>
    <xf numFmtId="43" fontId="1" fillId="0" borderId="0" applyFont="0" applyFill="0" applyBorder="0" applyAlignment="0" applyProtection="0"/>
    <xf numFmtId="43" fontId="1" fillId="0" borderId="0" applyFont="0" applyFill="0" applyBorder="0" applyAlignment="0" applyProtection="0"/>
    <xf numFmtId="0" fontId="6"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293"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297" fillId="0" borderId="0"/>
    <xf numFmtId="9" fontId="13" fillId="0" borderId="0" applyFont="0" applyFill="0" applyBorder="0" applyAlignment="0" applyProtection="0"/>
    <xf numFmtId="43" fontId="1" fillId="0" borderId="0" applyFont="0" applyFill="0" applyBorder="0" applyAlignment="0" applyProtection="0"/>
    <xf numFmtId="164" fontId="6" fillId="0" borderId="0" applyFont="0" applyFill="0" applyBorder="0" applyAlignment="0" applyProtection="0"/>
    <xf numFmtId="0" fontId="13"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3" fillId="0" borderId="0" applyFont="0" applyFill="0" applyBorder="0" applyAlignment="0" applyProtection="0"/>
    <xf numFmtId="188" fontId="13" fillId="0" borderId="0" applyFont="0" applyFill="0" applyBorder="0" applyAlignment="0" applyProtection="0"/>
    <xf numFmtId="0" fontId="1" fillId="0" borderId="0"/>
    <xf numFmtId="0" fontId="296" fillId="0" borderId="0"/>
    <xf numFmtId="0" fontId="296" fillId="0" borderId="0"/>
    <xf numFmtId="9" fontId="13" fillId="0" borderId="0" applyFont="0" applyFill="0" applyBorder="0" applyAlignment="0" applyProtection="0"/>
    <xf numFmtId="191" fontId="301" fillId="0" borderId="446" applyNumberFormat="0" applyAlignment="0" applyProtection="0">
      <alignment horizontal="right" vertical="center" indent="1"/>
    </xf>
    <xf numFmtId="191" fontId="302" fillId="99" borderId="447" applyNumberFormat="0" applyAlignment="0" applyProtection="0">
      <alignment horizontal="right" vertical="center" indent="1"/>
    </xf>
    <xf numFmtId="0" fontId="302" fillId="100" borderId="448" applyNumberFormat="0" applyAlignment="0" applyProtection="0">
      <alignment horizontal="left" vertical="center" indent="1"/>
    </xf>
    <xf numFmtId="0" fontId="301" fillId="101" borderId="448" applyNumberFormat="0" applyAlignment="0" applyProtection="0">
      <alignment horizontal="left" vertical="center" indent="1"/>
    </xf>
    <xf numFmtId="0" fontId="301" fillId="102" borderId="448" applyNumberFormat="0" applyAlignment="0" applyProtection="0">
      <alignment horizontal="left" vertical="center" indent="1"/>
    </xf>
    <xf numFmtId="0" fontId="301" fillId="103" borderId="448" applyNumberFormat="0" applyAlignment="0" applyProtection="0">
      <alignment horizontal="left" vertical="center" indent="1"/>
    </xf>
    <xf numFmtId="0" fontId="301" fillId="104" borderId="448" applyNumberFormat="0" applyAlignment="0" applyProtection="0">
      <alignment horizontal="left" vertical="center" indent="1"/>
    </xf>
    <xf numFmtId="0" fontId="301" fillId="105" borderId="448" applyNumberFormat="0" applyAlignment="0" applyProtection="0">
      <alignment horizontal="left" vertical="center" indent="1"/>
    </xf>
    <xf numFmtId="191" fontId="301" fillId="100" borderId="449" applyNumberFormat="0" applyAlignment="0" applyProtection="0">
      <alignment horizontal="left" vertical="center" indent="1"/>
    </xf>
    <xf numFmtId="0" fontId="302" fillId="106" borderId="448" applyNumberFormat="0" applyAlignment="0" applyProtection="0">
      <alignment horizontal="left" vertical="center" indent="1"/>
    </xf>
    <xf numFmtId="0" fontId="296" fillId="0" borderId="0"/>
    <xf numFmtId="0" fontId="13" fillId="0" borderId="0"/>
    <xf numFmtId="0" fontId="13" fillId="0" borderId="0"/>
    <xf numFmtId="0" fontId="271" fillId="73" borderId="0" applyNumberFormat="0" applyBorder="0" applyAlignment="0" applyProtection="0"/>
    <xf numFmtId="0" fontId="271" fillId="74" borderId="0" applyNumberFormat="0" applyBorder="0" applyAlignment="0" applyProtection="0"/>
    <xf numFmtId="0" fontId="271" fillId="75" borderId="0" applyNumberFormat="0" applyBorder="0" applyAlignment="0" applyProtection="0"/>
    <xf numFmtId="0" fontId="271" fillId="76" borderId="0" applyNumberFormat="0" applyBorder="0" applyAlignment="0" applyProtection="0"/>
    <xf numFmtId="0" fontId="271" fillId="77" borderId="0" applyNumberFormat="0" applyBorder="0" applyAlignment="0" applyProtection="0"/>
    <xf numFmtId="0" fontId="271" fillId="78" borderId="0" applyNumberFormat="0" applyBorder="0" applyAlignment="0" applyProtection="0"/>
    <xf numFmtId="0" fontId="271" fillId="79" borderId="0" applyNumberFormat="0" applyBorder="0" applyAlignment="0" applyProtection="0"/>
    <xf numFmtId="0" fontId="271" fillId="80" borderId="0" applyNumberFormat="0" applyBorder="0" applyAlignment="0" applyProtection="0"/>
    <xf numFmtId="0" fontId="271" fillId="81" borderId="0" applyNumberFormat="0" applyBorder="0" applyAlignment="0" applyProtection="0"/>
    <xf numFmtId="0" fontId="271" fillId="76" borderId="0" applyNumberFormat="0" applyBorder="0" applyAlignment="0" applyProtection="0"/>
    <xf numFmtId="0" fontId="271" fillId="79" borderId="0" applyNumberFormat="0" applyBorder="0" applyAlignment="0" applyProtection="0"/>
    <xf numFmtId="0" fontId="271" fillId="82" borderId="0" applyNumberFormat="0" applyBorder="0" applyAlignment="0" applyProtection="0"/>
    <xf numFmtId="0" fontId="272" fillId="83" borderId="0" applyNumberFormat="0" applyBorder="0" applyAlignment="0" applyProtection="0"/>
    <xf numFmtId="0" fontId="272" fillId="80" borderId="0" applyNumberFormat="0" applyBorder="0" applyAlignment="0" applyProtection="0"/>
    <xf numFmtId="0" fontId="272" fillId="81" borderId="0" applyNumberFormat="0" applyBorder="0" applyAlignment="0" applyProtection="0"/>
    <xf numFmtId="0" fontId="272" fillId="84" borderId="0" applyNumberFormat="0" applyBorder="0" applyAlignment="0" applyProtection="0"/>
    <xf numFmtId="0" fontId="272" fillId="85" borderId="0" applyNumberFormat="0" applyBorder="0" applyAlignment="0" applyProtection="0"/>
    <xf numFmtId="0" fontId="272" fillId="86" borderId="0" applyNumberFormat="0" applyBorder="0" applyAlignment="0" applyProtection="0"/>
    <xf numFmtId="0" fontId="273" fillId="75" borderId="0" applyNumberFormat="0" applyBorder="0" applyAlignment="0" applyProtection="0"/>
    <xf numFmtId="0" fontId="274" fillId="87" borderId="435" applyNumberFormat="0" applyAlignment="0" applyProtection="0"/>
    <xf numFmtId="0" fontId="275" fillId="88" borderId="436" applyNumberFormat="0" applyAlignment="0" applyProtection="0"/>
    <xf numFmtId="0" fontId="276" fillId="0" borderId="437" applyNumberFormat="0" applyFill="0" applyAlignment="0" applyProtection="0"/>
    <xf numFmtId="190" fontId="303" fillId="95" borderId="0" applyNumberFormat="0" applyBorder="0" applyProtection="0">
      <alignment horizontal="center" vertical="center"/>
    </xf>
    <xf numFmtId="0" fontId="278" fillId="0" borderId="0" applyNumberFormat="0" applyFill="0" applyBorder="0" applyAlignment="0" applyProtection="0"/>
    <xf numFmtId="0" fontId="272" fillId="89" borderId="0" applyNumberFormat="0" applyBorder="0" applyAlignment="0" applyProtection="0"/>
    <xf numFmtId="0" fontId="272" fillId="90" borderId="0" applyNumberFormat="0" applyBorder="0" applyAlignment="0" applyProtection="0"/>
    <xf numFmtId="0" fontId="272" fillId="91" borderId="0" applyNumberFormat="0" applyBorder="0" applyAlignment="0" applyProtection="0"/>
    <xf numFmtId="0" fontId="272" fillId="84" borderId="0" applyNumberFormat="0" applyBorder="0" applyAlignment="0" applyProtection="0"/>
    <xf numFmtId="0" fontId="272" fillId="85" borderId="0" applyNumberFormat="0" applyBorder="0" applyAlignment="0" applyProtection="0"/>
    <xf numFmtId="0" fontId="272" fillId="92" borderId="0" applyNumberFormat="0" applyBorder="0" applyAlignment="0" applyProtection="0"/>
    <xf numFmtId="0" fontId="279" fillId="78" borderId="435" applyNumberFormat="0" applyAlignment="0" applyProtection="0"/>
    <xf numFmtId="0" fontId="304" fillId="0" borderId="0"/>
    <xf numFmtId="44" fontId="13" fillId="0" borderId="0" applyFont="0" applyFill="0" applyBorder="0" applyAlignment="0" applyProtection="0"/>
    <xf numFmtId="188" fontId="13" fillId="0" borderId="0" applyFont="0" applyFill="0" applyBorder="0" applyAlignment="0" applyProtection="0"/>
    <xf numFmtId="0" fontId="281" fillId="74" borderId="0" applyNumberFormat="0" applyBorder="0" applyAlignment="0" applyProtection="0"/>
    <xf numFmtId="0" fontId="282" fillId="93" borderId="0" applyNumberFormat="0" applyBorder="0" applyAlignment="0" applyProtection="0"/>
    <xf numFmtId="0" fontId="305" fillId="0" borderId="0"/>
    <xf numFmtId="0" fontId="305" fillId="0" borderId="0"/>
    <xf numFmtId="0" fontId="271" fillId="0" borderId="0"/>
    <xf numFmtId="0" fontId="296" fillId="0" borderId="0"/>
    <xf numFmtId="0" fontId="13" fillId="0" borderId="0"/>
    <xf numFmtId="0" fontId="13" fillId="0" borderId="0"/>
    <xf numFmtId="0" fontId="13" fillId="0" borderId="0"/>
    <xf numFmtId="0" fontId="13" fillId="0" borderId="0"/>
    <xf numFmtId="0" fontId="1" fillId="0" borderId="0"/>
    <xf numFmtId="0" fontId="13" fillId="94" borderId="439" applyNumberFormat="0" applyFont="0" applyAlignment="0" applyProtection="0"/>
    <xf numFmtId="0" fontId="271" fillId="94" borderId="439" applyNumberFormat="0" applyFont="0" applyAlignment="0" applyProtection="0"/>
    <xf numFmtId="0" fontId="13" fillId="94" borderId="439" applyNumberFormat="0" applyFont="0" applyAlignment="0" applyProtection="0"/>
    <xf numFmtId="192" fontId="293" fillId="96" borderId="0">
      <alignment horizontal="right"/>
    </xf>
    <xf numFmtId="49" fontId="306" fillId="95" borderId="0">
      <alignment horizontal="center"/>
    </xf>
    <xf numFmtId="0" fontId="307" fillId="77" borderId="140"/>
    <xf numFmtId="0" fontId="308" fillId="108" borderId="0" applyBorder="0">
      <alignment horizontal="centerContinuous"/>
    </xf>
    <xf numFmtId="0" fontId="309" fillId="93" borderId="0" applyBorder="0">
      <alignment horizontal="centerContinuous"/>
    </xf>
    <xf numFmtId="9" fontId="13" fillId="0" borderId="0" applyFont="0" applyFill="0" applyBorder="0" applyAlignment="0" applyProtection="0"/>
    <xf numFmtId="9" fontId="13" fillId="0" borderId="0" applyFont="0" applyFill="0" applyBorder="0" applyAlignment="0" applyProtection="0"/>
    <xf numFmtId="3" fontId="310" fillId="0" borderId="0" applyNumberFormat="0" applyFont="0" applyAlignment="0">
      <alignment horizontal="centerContinuous"/>
    </xf>
    <xf numFmtId="0" fontId="283" fillId="87" borderId="440" applyNumberFormat="0" applyAlignment="0" applyProtection="0"/>
    <xf numFmtId="4" fontId="311" fillId="97" borderId="450" applyNumberFormat="0" applyProtection="0">
      <alignment vertical="center"/>
    </xf>
    <xf numFmtId="4" fontId="312" fillId="97" borderId="450" applyNumberFormat="0" applyProtection="0">
      <alignment horizontal="left" vertical="center" indent="1"/>
    </xf>
    <xf numFmtId="4" fontId="312" fillId="109" borderId="0" applyNumberFormat="0" applyProtection="0">
      <alignment horizontal="left" vertical="center" indent="1"/>
    </xf>
    <xf numFmtId="0" fontId="304" fillId="0" borderId="0"/>
    <xf numFmtId="0" fontId="284" fillId="0" borderId="0" applyNumberFormat="0" applyFill="0" applyBorder="0" applyAlignment="0" applyProtection="0"/>
    <xf numFmtId="0" fontId="285" fillId="0" borderId="0" applyNumberFormat="0" applyFill="0" applyBorder="0" applyAlignment="0" applyProtection="0"/>
    <xf numFmtId="0" fontId="286" fillId="0" borderId="0" applyNumberFormat="0" applyFill="0" applyBorder="0" applyAlignment="0" applyProtection="0"/>
    <xf numFmtId="0" fontId="277" fillId="0" borderId="438" applyNumberFormat="0" applyFill="0" applyAlignment="0" applyProtection="0"/>
    <xf numFmtId="0" fontId="287" fillId="0" borderId="441" applyNumberFormat="0" applyFill="0" applyAlignment="0" applyProtection="0"/>
    <xf numFmtId="0" fontId="278" fillId="0" borderId="442" applyNumberFormat="0" applyFill="0" applyAlignment="0" applyProtection="0"/>
    <xf numFmtId="0" fontId="288" fillId="0" borderId="443" applyNumberFormat="0" applyFill="0" applyAlignment="0" applyProtection="0"/>
    <xf numFmtId="193" fontId="13" fillId="0" borderId="0" applyFont="0" applyFill="0" applyBorder="0" applyAlignment="0" applyProtection="0"/>
    <xf numFmtId="193" fontId="13" fillId="0" borderId="0" applyFont="0" applyFill="0" applyBorder="0" applyAlignment="0" applyProtection="0"/>
    <xf numFmtId="0" fontId="1" fillId="0" borderId="0"/>
    <xf numFmtId="43" fontId="13" fillId="0" borderId="0" applyFont="0" applyFill="0" applyBorder="0" applyAlignment="0" applyProtection="0"/>
    <xf numFmtId="9" fontId="13" fillId="0" borderId="0" applyFont="0" applyFill="0" applyBorder="0" applyAlignment="0" applyProtection="0"/>
    <xf numFmtId="0" fontId="1" fillId="0" borderId="0"/>
    <xf numFmtId="0" fontId="1" fillId="52" borderId="0" applyNumberFormat="0" applyBorder="0" applyAlignment="0" applyProtection="0"/>
    <xf numFmtId="0" fontId="1" fillId="55" borderId="0" applyNumberFormat="0" applyBorder="0" applyAlignment="0" applyProtection="0"/>
    <xf numFmtId="0" fontId="1" fillId="59" borderId="0" applyNumberFormat="0" applyBorder="0" applyAlignment="0" applyProtection="0"/>
    <xf numFmtId="0" fontId="1" fillId="63" borderId="0" applyNumberFormat="0" applyBorder="0" applyAlignment="0" applyProtection="0"/>
    <xf numFmtId="0" fontId="1" fillId="67" borderId="0" applyNumberFormat="0" applyBorder="0" applyAlignment="0" applyProtection="0"/>
    <xf numFmtId="0" fontId="1" fillId="70" borderId="0" applyNumberFormat="0" applyBorder="0" applyAlignment="0" applyProtection="0"/>
    <xf numFmtId="0" fontId="1" fillId="53" borderId="0" applyNumberFormat="0" applyBorder="0" applyAlignment="0" applyProtection="0"/>
    <xf numFmtId="0" fontId="1" fillId="56" borderId="0" applyNumberFormat="0" applyBorder="0" applyAlignment="0" applyProtection="0"/>
    <xf numFmtId="0" fontId="1" fillId="60" borderId="0" applyNumberFormat="0" applyBorder="0" applyAlignment="0" applyProtection="0"/>
    <xf numFmtId="0" fontId="1" fillId="64" borderId="0" applyNumberFormat="0" applyBorder="0" applyAlignment="0" applyProtection="0"/>
    <xf numFmtId="0" fontId="1" fillId="68" borderId="0" applyNumberFormat="0" applyBorder="0" applyAlignment="0" applyProtection="0"/>
    <xf numFmtId="0" fontId="1" fillId="71" borderId="0" applyNumberFormat="0" applyBorder="0" applyAlignment="0" applyProtection="0"/>
    <xf numFmtId="43" fontId="13" fillId="0" borderId="0" applyFont="0" applyFill="0" applyBorder="0" applyAlignment="0" applyProtection="0"/>
    <xf numFmtId="44" fontId="3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14" fillId="0" borderId="449" applyNumberFormat="0" applyFont="0" applyFill="0" applyAlignment="0" applyProtection="0"/>
    <xf numFmtId="0" fontId="315" fillId="0" borderId="451" applyNumberFormat="0" applyFont="0" applyFill="0" applyAlignment="0" applyProtection="0"/>
    <xf numFmtId="191" fontId="301" fillId="0" borderId="446" applyNumberFormat="0" applyAlignment="0" applyProtection="0">
      <alignment horizontal="right" vertical="center" indent="1"/>
    </xf>
    <xf numFmtId="191" fontId="316" fillId="0" borderId="452" applyNumberFormat="0" applyProtection="0">
      <alignment horizontal="right" vertical="center"/>
    </xf>
    <xf numFmtId="191" fontId="317" fillId="110" borderId="447" applyNumberFormat="0" applyAlignment="0" applyProtection="0">
      <alignment horizontal="right" vertical="center" indent="1"/>
    </xf>
    <xf numFmtId="191" fontId="318" fillId="0" borderId="452" applyNumberFormat="0" applyProtection="0">
      <alignment horizontal="right" vertical="center"/>
    </xf>
    <xf numFmtId="0" fontId="319" fillId="107" borderId="448" applyNumberFormat="0" applyAlignment="0" applyProtection="0">
      <alignment horizontal="left" vertical="center" indent="1"/>
    </xf>
    <xf numFmtId="0" fontId="318" fillId="111" borderId="449" applyNumberFormat="0" applyAlignment="0" applyProtection="0">
      <alignment horizontal="left" vertical="center" indent="1"/>
    </xf>
    <xf numFmtId="191" fontId="301" fillId="111" borderId="448" applyNumberFormat="0" applyAlignment="0" applyProtection="0">
      <alignment horizontal="left" vertical="center" indent="1"/>
    </xf>
    <xf numFmtId="0" fontId="301" fillId="111" borderId="448" applyNumberFormat="0" applyAlignment="0" applyProtection="0">
      <alignment horizontal="left" vertical="center" indent="1"/>
    </xf>
    <xf numFmtId="0" fontId="301" fillId="111" borderId="448" applyNumberFormat="0" applyAlignment="0" applyProtection="0">
      <alignment horizontal="left" vertical="center" indent="1"/>
    </xf>
    <xf numFmtId="0" fontId="320" fillId="0" borderId="451" applyNumberFormat="0" applyFill="0" applyBorder="0" applyAlignment="0" applyProtection="0"/>
    <xf numFmtId="191" fontId="321" fillId="112" borderId="453" applyNumberFormat="0" applyBorder="0" applyAlignment="0" applyProtection="0">
      <alignment horizontal="right" vertical="center" indent="1"/>
    </xf>
    <xf numFmtId="191" fontId="321" fillId="113" borderId="453" applyNumberFormat="0" applyBorder="0" applyAlignment="0" applyProtection="0">
      <alignment horizontal="right" vertical="center" indent="1"/>
    </xf>
    <xf numFmtId="191" fontId="322" fillId="113" borderId="453" applyNumberFormat="0" applyBorder="0" applyAlignment="0" applyProtection="0">
      <alignment horizontal="right" vertical="center" indent="1"/>
    </xf>
    <xf numFmtId="191" fontId="321" fillId="114" borderId="453" applyNumberFormat="0" applyBorder="0" applyAlignment="0" applyProtection="0">
      <alignment horizontal="right" vertical="center" indent="1"/>
    </xf>
    <xf numFmtId="191" fontId="322" fillId="114" borderId="453" applyNumberFormat="0" applyBorder="0" applyAlignment="0" applyProtection="0">
      <alignment horizontal="right" vertical="center" indent="1"/>
    </xf>
    <xf numFmtId="191" fontId="323" fillId="115" borderId="453" applyNumberFormat="0" applyBorder="0" applyAlignment="0" applyProtection="0">
      <alignment horizontal="right" vertical="center" indent="1"/>
    </xf>
    <xf numFmtId="191" fontId="323" fillId="106" borderId="453" applyNumberFormat="0" applyBorder="0" applyAlignment="0" applyProtection="0">
      <alignment horizontal="right" vertical="center" indent="1"/>
    </xf>
    <xf numFmtId="191" fontId="323" fillId="116" borderId="453" applyNumberFormat="0" applyBorder="0" applyAlignment="0" applyProtection="0">
      <alignment horizontal="right" vertical="center" indent="1"/>
    </xf>
    <xf numFmtId="191" fontId="323" fillId="117" borderId="453" applyNumberFormat="0" applyBorder="0" applyAlignment="0" applyProtection="0">
      <alignment horizontal="right" vertical="center" indent="1"/>
    </xf>
    <xf numFmtId="191" fontId="323" fillId="118" borderId="453" applyNumberFormat="0" applyBorder="0" applyAlignment="0" applyProtection="0">
      <alignment horizontal="right" vertical="center" indent="1"/>
    </xf>
    <xf numFmtId="191" fontId="323" fillId="119" borderId="453" applyNumberFormat="0" applyBorder="0" applyAlignment="0" applyProtection="0">
      <alignment horizontal="right" vertical="center" indent="1"/>
    </xf>
    <xf numFmtId="191" fontId="324" fillId="120" borderId="453" applyNumberFormat="0" applyBorder="0" applyAlignment="0" applyProtection="0">
      <alignment horizontal="right" vertical="center" indent="1"/>
    </xf>
    <xf numFmtId="191" fontId="324" fillId="121" borderId="453" applyNumberFormat="0" applyBorder="0" applyAlignment="0" applyProtection="0">
      <alignment horizontal="right" vertical="center" indent="1"/>
    </xf>
    <xf numFmtId="191" fontId="324" fillId="122" borderId="453" applyNumberFormat="0" applyBorder="0" applyAlignment="0" applyProtection="0">
      <alignment horizontal="right" vertical="center" indent="1"/>
    </xf>
    <xf numFmtId="0" fontId="301" fillId="100" borderId="447" applyNumberFormat="0" applyAlignment="0" applyProtection="0">
      <alignment horizontal="left" vertical="center" indent="1"/>
    </xf>
    <xf numFmtId="0" fontId="301" fillId="123" borderId="448" applyNumberFormat="0" applyAlignment="0" applyProtection="0">
      <alignment horizontal="left" vertical="center" indent="1"/>
    </xf>
    <xf numFmtId="0" fontId="301" fillId="101" borderId="449" applyNumberFormat="0" applyAlignment="0" applyProtection="0">
      <alignment horizontal="left" vertical="center" indent="1"/>
    </xf>
    <xf numFmtId="0" fontId="301" fillId="102" borderId="449" applyNumberFormat="0" applyAlignment="0" applyProtection="0">
      <alignment horizontal="left" vertical="center" indent="1"/>
    </xf>
    <xf numFmtId="0" fontId="301" fillId="124" borderId="449" applyNumberFormat="0" applyAlignment="0" applyProtection="0">
      <alignment horizontal="left" vertical="center" indent="1"/>
    </xf>
    <xf numFmtId="0" fontId="301" fillId="125" borderId="449" applyNumberFormat="0" applyAlignment="0" applyProtection="0">
      <alignment horizontal="left" vertical="center" indent="1"/>
    </xf>
    <xf numFmtId="0" fontId="301" fillId="126" borderId="447" applyNumberFormat="0" applyAlignment="0" applyProtection="0">
      <alignment horizontal="left" vertical="center" indent="1"/>
    </xf>
    <xf numFmtId="0" fontId="301" fillId="111" borderId="448" applyNumberFormat="0" applyAlignment="0" applyProtection="0">
      <alignment horizontal="left" vertical="center" indent="1"/>
    </xf>
    <xf numFmtId="191" fontId="301" fillId="125" borderId="446" applyNumberFormat="0" applyBorder="0" applyAlignment="0" applyProtection="0">
      <alignment horizontal="right" vertical="center" indent="1"/>
    </xf>
    <xf numFmtId="0" fontId="301" fillId="127" borderId="448" applyAlignment="0" applyProtection="0">
      <alignment horizontal="left" vertical="center" indent="1"/>
    </xf>
    <xf numFmtId="191" fontId="302" fillId="125" borderId="447" applyNumberFormat="0" applyAlignment="0" applyProtection="0">
      <alignment horizontal="right" vertical="center" indent="1"/>
    </xf>
    <xf numFmtId="191" fontId="318" fillId="127" borderId="452" applyProtection="0">
      <alignment horizontal="right" vertical="center"/>
    </xf>
    <xf numFmtId="191" fontId="316" fillId="128" borderId="449" applyNumberFormat="0" applyAlignment="0" applyProtection="0">
      <alignment horizontal="left" vertical="center" indent="1"/>
    </xf>
    <xf numFmtId="0" fontId="317" fillId="129" borderId="448" applyNumberFormat="0" applyAlignment="0" applyProtection="0">
      <alignment horizontal="left" vertical="center" indent="1"/>
    </xf>
    <xf numFmtId="0" fontId="318" fillId="111" borderId="448" applyNumberFormat="0" applyAlignment="0" applyProtection="0">
      <alignment horizontal="left" vertical="center" indent="1"/>
    </xf>
    <xf numFmtId="0" fontId="301" fillId="105" borderId="448" applyNumberFormat="0" applyAlignment="0" applyProtection="0">
      <alignment horizontal="left" vertical="center" indent="1"/>
    </xf>
    <xf numFmtId="0" fontId="301" fillId="123" borderId="448" applyNumberFormat="0" applyAlignment="0" applyProtection="0">
      <alignment horizontal="left" vertical="center" indent="1"/>
    </xf>
    <xf numFmtId="191" fontId="302" fillId="99" borderId="447" applyNumberFormat="0" applyAlignment="0" applyProtection="0">
      <alignment horizontal="right" vertical="center" indent="1"/>
    </xf>
    <xf numFmtId="191" fontId="318" fillId="123" borderId="452" applyNumberFormat="0" applyProtection="0">
      <alignment horizontal="right" vertical="center"/>
    </xf>
    <xf numFmtId="0" fontId="1" fillId="0" borderId="0"/>
    <xf numFmtId="0" fontId="13" fillId="0" borderId="0"/>
    <xf numFmtId="0" fontId="1" fillId="0" borderId="0"/>
    <xf numFmtId="0" fontId="1" fillId="0" borderId="0"/>
    <xf numFmtId="0" fontId="296" fillId="0" borderId="0"/>
    <xf numFmtId="0" fontId="1" fillId="0" borderId="0"/>
    <xf numFmtId="0" fontId="296" fillId="0" borderId="0"/>
    <xf numFmtId="0" fontId="270" fillId="0" borderId="0"/>
    <xf numFmtId="0" fontId="270" fillId="0" borderId="0"/>
    <xf numFmtId="0" fontId="270" fillId="0" borderId="0"/>
    <xf numFmtId="0" fontId="13" fillId="0" borderId="0"/>
    <xf numFmtId="0" fontId="13" fillId="0" borderId="0"/>
    <xf numFmtId="0" fontId="13" fillId="0" borderId="0"/>
    <xf numFmtId="0" fontId="13" fillId="0" borderId="0"/>
    <xf numFmtId="0" fontId="13" fillId="0" borderId="0"/>
    <xf numFmtId="0" fontId="13" fillId="0" borderId="0"/>
    <xf numFmtId="0" fontId="325" fillId="0" borderId="0">
      <alignment horizontal="justify" vertical="center"/>
    </xf>
    <xf numFmtId="0" fontId="299" fillId="130" borderId="0">
      <alignment horizontal="center" vertical="center"/>
    </xf>
    <xf numFmtId="0" fontId="298" fillId="0" borderId="0">
      <alignment horizontal="left" vertical="center"/>
    </xf>
    <xf numFmtId="0" fontId="326" fillId="0" borderId="0">
      <alignment horizontal="center" vertical="center"/>
    </xf>
    <xf numFmtId="194" fontId="300" fillId="98" borderId="0">
      <alignment horizontal="right" vertical="center"/>
    </xf>
    <xf numFmtId="190" fontId="300" fillId="98" borderId="0">
      <alignment horizontal="right" vertical="center"/>
    </xf>
    <xf numFmtId="190" fontId="300" fillId="0" borderId="0">
      <alignment horizontal="right" vertical="center"/>
    </xf>
    <xf numFmtId="0" fontId="327" fillId="0" borderId="0">
      <alignment horizontal="justify" vertical="center"/>
    </xf>
    <xf numFmtId="190" fontId="327" fillId="98" borderId="0">
      <alignment horizontal="right" vertical="center"/>
    </xf>
    <xf numFmtId="190" fontId="328" fillId="0" borderId="0">
      <alignment horizontal="right" vertical="center"/>
    </xf>
    <xf numFmtId="194" fontId="327" fillId="98" borderId="0">
      <alignment horizontal="right" vertical="center"/>
    </xf>
    <xf numFmtId="0" fontId="271" fillId="73" borderId="0" applyNumberFormat="0" applyBorder="0" applyAlignment="0" applyProtection="0"/>
    <xf numFmtId="0" fontId="1" fillId="52" borderId="0" applyNumberFormat="0" applyBorder="0" applyAlignment="0" applyProtection="0"/>
    <xf numFmtId="0" fontId="271" fillId="74" borderId="0" applyNumberFormat="0" applyBorder="0" applyAlignment="0" applyProtection="0"/>
    <xf numFmtId="0" fontId="1" fillId="55" borderId="0" applyNumberFormat="0" applyBorder="0" applyAlignment="0" applyProtection="0"/>
    <xf numFmtId="0" fontId="271" fillId="75" borderId="0" applyNumberFormat="0" applyBorder="0" applyAlignment="0" applyProtection="0"/>
    <xf numFmtId="0" fontId="1" fillId="59" borderId="0" applyNumberFormat="0" applyBorder="0" applyAlignment="0" applyProtection="0"/>
    <xf numFmtId="0" fontId="271" fillId="76" borderId="0" applyNumberFormat="0" applyBorder="0" applyAlignment="0" applyProtection="0"/>
    <xf numFmtId="0" fontId="1" fillId="63" borderId="0" applyNumberFormat="0" applyBorder="0" applyAlignment="0" applyProtection="0"/>
    <xf numFmtId="0" fontId="271" fillId="77" borderId="0" applyNumberFormat="0" applyBorder="0" applyAlignment="0" applyProtection="0"/>
    <xf numFmtId="0" fontId="1" fillId="67" borderId="0" applyNumberFormat="0" applyBorder="0" applyAlignment="0" applyProtection="0"/>
    <xf numFmtId="0" fontId="271" fillId="78" borderId="0" applyNumberFormat="0" applyBorder="0" applyAlignment="0" applyProtection="0"/>
    <xf numFmtId="0" fontId="1" fillId="70"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271" fillId="79" borderId="0" applyNumberFormat="0" applyBorder="0" applyAlignment="0" applyProtection="0"/>
    <xf numFmtId="0" fontId="1" fillId="53" borderId="0" applyNumberFormat="0" applyBorder="0" applyAlignment="0" applyProtection="0"/>
    <xf numFmtId="0" fontId="271" fillId="80" borderId="0" applyNumberFormat="0" applyBorder="0" applyAlignment="0" applyProtection="0"/>
    <xf numFmtId="0" fontId="1" fillId="56" borderId="0" applyNumberFormat="0" applyBorder="0" applyAlignment="0" applyProtection="0"/>
    <xf numFmtId="0" fontId="271" fillId="81" borderId="0" applyNumberFormat="0" applyBorder="0" applyAlignment="0" applyProtection="0"/>
    <xf numFmtId="0" fontId="1" fillId="60" borderId="0" applyNumberFormat="0" applyBorder="0" applyAlignment="0" applyProtection="0"/>
    <xf numFmtId="0" fontId="271" fillId="76" borderId="0" applyNumberFormat="0" applyBorder="0" applyAlignment="0" applyProtection="0"/>
    <xf numFmtId="0" fontId="1" fillId="64" borderId="0" applyNumberFormat="0" applyBorder="0" applyAlignment="0" applyProtection="0"/>
    <xf numFmtId="0" fontId="271" fillId="79" borderId="0" applyNumberFormat="0" applyBorder="0" applyAlignment="0" applyProtection="0"/>
    <xf numFmtId="0" fontId="1" fillId="68" borderId="0" applyNumberFormat="0" applyBorder="0" applyAlignment="0" applyProtection="0"/>
    <xf numFmtId="0" fontId="271" fillId="82" borderId="0" applyNumberFormat="0" applyBorder="0" applyAlignment="0" applyProtection="0"/>
    <xf numFmtId="0" fontId="1" fillId="71"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272" fillId="83" borderId="0" applyNumberFormat="0" applyBorder="0" applyAlignment="0" applyProtection="0"/>
    <xf numFmtId="0" fontId="244" fillId="54" borderId="0" applyNumberFormat="0" applyBorder="0" applyAlignment="0" applyProtection="0"/>
    <xf numFmtId="0" fontId="272" fillId="80" borderId="0" applyNumberFormat="0" applyBorder="0" applyAlignment="0" applyProtection="0"/>
    <xf numFmtId="0" fontId="244" fillId="57" borderId="0" applyNumberFormat="0" applyBorder="0" applyAlignment="0" applyProtection="0"/>
    <xf numFmtId="0" fontId="272" fillId="81" borderId="0" applyNumberFormat="0" applyBorder="0" applyAlignment="0" applyProtection="0"/>
    <xf numFmtId="0" fontId="244" fillId="61" borderId="0" applyNumberFormat="0" applyBorder="0" applyAlignment="0" applyProtection="0"/>
    <xf numFmtId="0" fontId="272" fillId="84" borderId="0" applyNumberFormat="0" applyBorder="0" applyAlignment="0" applyProtection="0"/>
    <xf numFmtId="0" fontId="244" fillId="65" borderId="0" applyNumberFormat="0" applyBorder="0" applyAlignment="0" applyProtection="0"/>
    <xf numFmtId="0" fontId="272" fillId="85" borderId="0" applyNumberFormat="0" applyBorder="0" applyAlignment="0" applyProtection="0"/>
    <xf numFmtId="0" fontId="244" fillId="69" borderId="0" applyNumberFormat="0" applyBorder="0" applyAlignment="0" applyProtection="0"/>
    <xf numFmtId="0" fontId="272" fillId="86" borderId="0" applyNumberFormat="0" applyBorder="0" applyAlignment="0" applyProtection="0"/>
    <xf numFmtId="0" fontId="244" fillId="72" borderId="0" applyNumberFormat="0" applyBorder="0" applyAlignment="0" applyProtection="0"/>
    <xf numFmtId="0" fontId="272" fillId="83" borderId="0" applyNumberFormat="0" applyBorder="0" applyAlignment="0" applyProtection="0"/>
    <xf numFmtId="0" fontId="272" fillId="80" borderId="0" applyNumberFormat="0" applyBorder="0" applyAlignment="0" applyProtection="0"/>
    <xf numFmtId="0" fontId="272" fillId="81" borderId="0" applyNumberFormat="0" applyBorder="0" applyAlignment="0" applyProtection="0"/>
    <xf numFmtId="0" fontId="272" fillId="84" borderId="0" applyNumberFormat="0" applyBorder="0" applyAlignment="0" applyProtection="0"/>
    <xf numFmtId="0" fontId="272" fillId="85" borderId="0" applyNumberFormat="0" applyBorder="0" applyAlignment="0" applyProtection="0"/>
    <xf numFmtId="0" fontId="272" fillId="86" borderId="0" applyNumberFormat="0" applyBorder="0" applyAlignment="0" applyProtection="0"/>
    <xf numFmtId="0" fontId="271" fillId="131" borderId="0" applyNumberFormat="0" applyBorder="0" applyAlignment="0" applyProtection="0"/>
    <xf numFmtId="0" fontId="271" fillId="132" borderId="0" applyNumberFormat="0" applyBorder="0" applyAlignment="0" applyProtection="0"/>
    <xf numFmtId="0" fontId="272" fillId="133" borderId="0" applyNumberFormat="0" applyBorder="0" applyAlignment="0" applyProtection="0"/>
    <xf numFmtId="0" fontId="272" fillId="89" borderId="0" applyNumberFormat="0" applyBorder="0" applyAlignment="0" applyProtection="0"/>
    <xf numFmtId="0" fontId="244" fillId="51" borderId="0" applyNumberFormat="0" applyBorder="0" applyAlignment="0" applyProtection="0"/>
    <xf numFmtId="0" fontId="271" fillId="134" borderId="0" applyNumberFormat="0" applyBorder="0" applyAlignment="0" applyProtection="0"/>
    <xf numFmtId="0" fontId="271" fillId="135" borderId="0" applyNumberFormat="0" applyBorder="0" applyAlignment="0" applyProtection="0"/>
    <xf numFmtId="0" fontId="272" fillId="136" borderId="0" applyNumberFormat="0" applyBorder="0" applyAlignment="0" applyProtection="0"/>
    <xf numFmtId="0" fontId="272" fillId="90" borderId="0" applyNumberFormat="0" applyBorder="0" applyAlignment="0" applyProtection="0"/>
    <xf numFmtId="0" fontId="244" fillId="37" borderId="0" applyNumberFormat="0" applyBorder="0" applyAlignment="0" applyProtection="0"/>
    <xf numFmtId="0" fontId="271" fillId="137" borderId="0" applyNumberFormat="0" applyBorder="0" applyAlignment="0" applyProtection="0"/>
    <xf numFmtId="0" fontId="271" fillId="138" borderId="0" applyNumberFormat="0" applyBorder="0" applyAlignment="0" applyProtection="0"/>
    <xf numFmtId="0" fontId="272" fillId="139" borderId="0" applyNumberFormat="0" applyBorder="0" applyAlignment="0" applyProtection="0"/>
    <xf numFmtId="0" fontId="272" fillId="91" borderId="0" applyNumberFormat="0" applyBorder="0" applyAlignment="0" applyProtection="0"/>
    <xf numFmtId="0" fontId="244" fillId="58" borderId="0" applyNumberFormat="0" applyBorder="0" applyAlignment="0" applyProtection="0"/>
    <xf numFmtId="0" fontId="271" fillId="134" borderId="0" applyNumberFormat="0" applyBorder="0" applyAlignment="0" applyProtection="0"/>
    <xf numFmtId="0" fontId="271" fillId="140" borderId="0" applyNumberFormat="0" applyBorder="0" applyAlignment="0" applyProtection="0"/>
    <xf numFmtId="0" fontId="272" fillId="135" borderId="0" applyNumberFormat="0" applyBorder="0" applyAlignment="0" applyProtection="0"/>
    <xf numFmtId="0" fontId="272" fillId="84" borderId="0" applyNumberFormat="0" applyBorder="0" applyAlignment="0" applyProtection="0"/>
    <xf numFmtId="0" fontId="244" fillId="62" borderId="0" applyNumberFormat="0" applyBorder="0" applyAlignment="0" applyProtection="0"/>
    <xf numFmtId="0" fontId="271" fillId="141" borderId="0" applyNumberFormat="0" applyBorder="0" applyAlignment="0" applyProtection="0"/>
    <xf numFmtId="0" fontId="271" fillId="142" borderId="0" applyNumberFormat="0" applyBorder="0" applyAlignment="0" applyProtection="0"/>
    <xf numFmtId="0" fontId="272" fillId="133" borderId="0" applyNumberFormat="0" applyBorder="0" applyAlignment="0" applyProtection="0"/>
    <xf numFmtId="0" fontId="272" fillId="85" borderId="0" applyNumberFormat="0" applyBorder="0" applyAlignment="0" applyProtection="0"/>
    <xf numFmtId="0" fontId="244" fillId="66" borderId="0" applyNumberFormat="0" applyBorder="0" applyAlignment="0" applyProtection="0"/>
    <xf numFmtId="0" fontId="271" fillId="143" borderId="0" applyNumberFormat="0" applyBorder="0" applyAlignment="0" applyProtection="0"/>
    <xf numFmtId="0" fontId="271" fillId="144" borderId="0" applyNumberFormat="0" applyBorder="0" applyAlignment="0" applyProtection="0"/>
    <xf numFmtId="0" fontId="272" fillId="145" borderId="0" applyNumberFormat="0" applyBorder="0" applyAlignment="0" applyProtection="0"/>
    <xf numFmtId="0" fontId="272" fillId="92" borderId="0" applyNumberFormat="0" applyBorder="0" applyAlignment="0" applyProtection="0"/>
    <xf numFmtId="0" fontId="244" fillId="38" borderId="0" applyNumberFormat="0" applyBorder="0" applyAlignment="0" applyProtection="0"/>
    <xf numFmtId="0" fontId="281" fillId="74" borderId="0" applyNumberFormat="0" applyBorder="0" applyAlignment="0" applyProtection="0"/>
    <xf numFmtId="0" fontId="260" fillId="46" borderId="0" applyNumberFormat="0" applyBorder="0" applyAlignment="0" applyProtection="0"/>
    <xf numFmtId="0" fontId="273" fillId="75" borderId="0" applyNumberFormat="0" applyBorder="0" applyAlignment="0" applyProtection="0"/>
    <xf numFmtId="0" fontId="329" fillId="0" borderId="0" applyNumberFormat="0" applyFill="0" applyBorder="0" applyAlignment="0" applyProtection="0"/>
    <xf numFmtId="0" fontId="298" fillId="0" borderId="0" applyNumberFormat="0" applyFill="0" applyBorder="0" applyAlignment="0" applyProtection="0"/>
    <xf numFmtId="0" fontId="274" fillId="87" borderId="435" applyNumberFormat="0" applyAlignment="0" applyProtection="0"/>
    <xf numFmtId="0" fontId="264" fillId="49" borderId="426" applyNumberFormat="0" applyAlignment="0" applyProtection="0"/>
    <xf numFmtId="0" fontId="274" fillId="87" borderId="435" applyNumberFormat="0" applyAlignment="0" applyProtection="0"/>
    <xf numFmtId="0" fontId="275" fillId="88" borderId="436" applyNumberFormat="0" applyAlignment="0" applyProtection="0"/>
    <xf numFmtId="0" fontId="276" fillId="0" borderId="437" applyNumberFormat="0" applyFill="0" applyAlignment="0" applyProtection="0"/>
    <xf numFmtId="0" fontId="275" fillId="88" borderId="436" applyNumberFormat="0" applyAlignment="0" applyProtection="0"/>
    <xf numFmtId="0" fontId="266" fillId="50" borderId="429" applyNumberFormat="0" applyAlignment="0" applyProtection="0"/>
    <xf numFmtId="185" fontId="13" fillId="0" borderId="0" applyFont="0" applyFill="0" applyBorder="0" applyAlignment="0" applyProtection="0"/>
    <xf numFmtId="41" fontId="13" fillId="0" borderId="0" applyFont="0" applyFill="0" applyBorder="0" applyAlignment="0" applyProtection="0"/>
    <xf numFmtId="41" fontId="13" fillId="0" borderId="0" applyFont="0" applyFill="0" applyBorder="0" applyAlignment="0" applyProtection="0"/>
    <xf numFmtId="189" fontId="13" fillId="0" borderId="0" applyFont="0" applyFill="0" applyBorder="0" applyAlignment="0" applyProtection="0"/>
    <xf numFmtId="43" fontId="271" fillId="0" borderId="0" applyFont="0" applyFill="0" applyBorder="0" applyAlignment="0" applyProtection="0"/>
    <xf numFmtId="187" fontId="13" fillId="0" borderId="0" applyFont="0" applyFill="0" applyBorder="0" applyAlignment="0" applyProtection="0"/>
    <xf numFmtId="168" fontId="296" fillId="0" borderId="0" applyFont="0" applyFill="0" applyBorder="0" applyAlignment="0" applyProtection="0"/>
    <xf numFmtId="195" fontId="330" fillId="0" borderId="0" applyFill="0" applyBorder="0" applyProtection="0"/>
    <xf numFmtId="195" fontId="330" fillId="0" borderId="137" applyFill="0" applyProtection="0"/>
    <xf numFmtId="195" fontId="330" fillId="0" borderId="444" applyFill="0" applyProtection="0"/>
    <xf numFmtId="0" fontId="331" fillId="146" borderId="6" applyNumberFormat="0" applyFill="0"/>
    <xf numFmtId="44" fontId="13" fillId="0" borderId="0" applyFont="0" applyFill="0" applyBorder="0" applyAlignment="0" applyProtection="0"/>
    <xf numFmtId="186" fontId="13" fillId="0" borderId="0" applyFont="0" applyFill="0" applyBorder="0" applyAlignment="0" applyProtection="0"/>
    <xf numFmtId="196" fontId="330" fillId="0" borderId="0" applyFill="0" applyBorder="0" applyProtection="0"/>
    <xf numFmtId="196" fontId="330" fillId="0" borderId="137" applyFill="0" applyProtection="0"/>
    <xf numFmtId="196" fontId="330" fillId="0" borderId="444" applyFill="0" applyProtection="0"/>
    <xf numFmtId="197" fontId="270" fillId="147" borderId="0">
      <alignment horizontal="right"/>
    </xf>
    <xf numFmtId="39" fontId="305" fillId="0" borderId="0"/>
    <xf numFmtId="0" fontId="288" fillId="148" borderId="0" applyNumberFormat="0" applyBorder="0" applyAlignment="0" applyProtection="0"/>
    <xf numFmtId="0" fontId="288" fillId="149" borderId="0" applyNumberFormat="0" applyBorder="0" applyAlignment="0" applyProtection="0"/>
    <xf numFmtId="0" fontId="288" fillId="150" borderId="0" applyNumberFormat="0" applyBorder="0" applyAlignment="0" applyProtection="0"/>
    <xf numFmtId="0" fontId="332" fillId="0" borderId="0" applyNumberFormat="0" applyFill="0" applyBorder="0" applyAlignment="0" applyProtection="0"/>
    <xf numFmtId="0" fontId="278" fillId="0" borderId="0" applyNumberFormat="0" applyFill="0" applyBorder="0" applyAlignment="0" applyProtection="0"/>
    <xf numFmtId="0" fontId="333" fillId="151" borderId="0" applyNumberFormat="0" applyBorder="0" applyAlignment="0" applyProtection="0"/>
    <xf numFmtId="0" fontId="333" fillId="152" borderId="0" applyNumberFormat="0" applyBorder="0" applyAlignment="0" applyProtection="0"/>
    <xf numFmtId="0" fontId="333" fillId="153" borderId="0" applyNumberFormat="0" applyBorder="0" applyAlignment="0" applyProtection="0"/>
    <xf numFmtId="0" fontId="293" fillId="134" borderId="0" applyNumberFormat="0" applyBorder="0" applyAlignment="0" applyProtection="0"/>
    <xf numFmtId="0" fontId="293" fillId="134" borderId="0" applyNumberFormat="0" applyBorder="0" applyAlignment="0" applyProtection="0"/>
    <xf numFmtId="0" fontId="334" fillId="154" borderId="0" applyNumberFormat="0" applyBorder="0" applyAlignment="0" applyProtection="0"/>
    <xf numFmtId="0" fontId="272" fillId="89" borderId="0" applyNumberFormat="0" applyBorder="0" applyAlignment="0" applyProtection="0"/>
    <xf numFmtId="0" fontId="293" fillId="143" borderId="0" applyNumberFormat="0" applyBorder="0" applyAlignment="0" applyProtection="0"/>
    <xf numFmtId="0" fontId="293" fillId="132" borderId="0" applyNumberFormat="0" applyBorder="0" applyAlignment="0" applyProtection="0"/>
    <xf numFmtId="0" fontId="334" fillId="140" borderId="0" applyNumberFormat="0" applyBorder="0" applyAlignment="0" applyProtection="0"/>
    <xf numFmtId="0" fontId="272" fillId="90" borderId="0" applyNumberFormat="0" applyBorder="0" applyAlignment="0" applyProtection="0"/>
    <xf numFmtId="0" fontId="293" fillId="143" borderId="0" applyNumberFormat="0" applyBorder="0" applyAlignment="0" applyProtection="0"/>
    <xf numFmtId="0" fontId="293" fillId="155" borderId="0" applyNumberFormat="0" applyBorder="0" applyAlignment="0" applyProtection="0"/>
    <xf numFmtId="0" fontId="334" fillId="132" borderId="0" applyNumberFormat="0" applyBorder="0" applyAlignment="0" applyProtection="0"/>
    <xf numFmtId="0" fontId="272" fillId="91" borderId="0" applyNumberFormat="0" applyBorder="0" applyAlignment="0" applyProtection="0"/>
    <xf numFmtId="0" fontId="293" fillId="134" borderId="0" applyNumberFormat="0" applyBorder="0" applyAlignment="0" applyProtection="0"/>
    <xf numFmtId="0" fontId="293" fillId="132" borderId="0" applyNumberFormat="0" applyBorder="0" applyAlignment="0" applyProtection="0"/>
    <xf numFmtId="0" fontId="334" fillId="132" borderId="0" applyNumberFormat="0" applyBorder="0" applyAlignment="0" applyProtection="0"/>
    <xf numFmtId="0" fontId="272" fillId="84" borderId="0" applyNumberFormat="0" applyBorder="0" applyAlignment="0" applyProtection="0"/>
    <xf numFmtId="0" fontId="293" fillId="156" borderId="0" applyNumberFormat="0" applyBorder="0" applyAlignment="0" applyProtection="0"/>
    <xf numFmtId="0" fontId="293" fillId="134" borderId="0" applyNumberFormat="0" applyBorder="0" applyAlignment="0" applyProtection="0"/>
    <xf numFmtId="0" fontId="334" fillId="154" borderId="0" applyNumberFormat="0" applyBorder="0" applyAlignment="0" applyProtection="0"/>
    <xf numFmtId="0" fontId="272" fillId="85" borderId="0" applyNumberFormat="0" applyBorder="0" applyAlignment="0" applyProtection="0"/>
    <xf numFmtId="0" fontId="293" fillId="143" borderId="0" applyNumberFormat="0" applyBorder="0" applyAlignment="0" applyProtection="0"/>
    <xf numFmtId="0" fontId="293" fillId="144" borderId="0" applyNumberFormat="0" applyBorder="0" applyAlignment="0" applyProtection="0"/>
    <xf numFmtId="0" fontId="334" fillId="144" borderId="0" applyNumberFormat="0" applyBorder="0" applyAlignment="0" applyProtection="0"/>
    <xf numFmtId="0" fontId="272" fillId="92" borderId="0" applyNumberFormat="0" applyBorder="0" applyAlignment="0" applyProtection="0"/>
    <xf numFmtId="0" fontId="279" fillId="78" borderId="435" applyNumberFormat="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198"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285" fillId="0" borderId="0" applyNumberFormat="0" applyFill="0" applyBorder="0" applyAlignment="0" applyProtection="0"/>
    <xf numFmtId="0" fontId="268" fillId="0" borderId="0" applyNumberFormat="0" applyFill="0" applyBorder="0" applyAlignment="0" applyProtection="0"/>
    <xf numFmtId="3" fontId="335" fillId="0" borderId="0" applyProtection="0"/>
    <xf numFmtId="3" fontId="336" fillId="0" borderId="0" applyProtection="0"/>
    <xf numFmtId="3" fontId="337" fillId="0" borderId="0" applyProtection="0"/>
    <xf numFmtId="3" fontId="338" fillId="0" borderId="0" applyProtection="0"/>
    <xf numFmtId="3" fontId="339" fillId="0" borderId="0" applyProtection="0"/>
    <xf numFmtId="3" fontId="340" fillId="0" borderId="0" applyProtection="0"/>
    <xf numFmtId="3" fontId="341" fillId="0" borderId="0" applyProtection="0"/>
    <xf numFmtId="199" fontId="13" fillId="0" borderId="0" applyFill="0" applyBorder="0" applyAlignment="0" applyProtection="0"/>
    <xf numFmtId="200" fontId="342" fillId="0" borderId="0"/>
    <xf numFmtId="0" fontId="343" fillId="0" borderId="0" applyFont="0" applyFill="0" applyBorder="0" applyAlignment="0" applyProtection="0"/>
    <xf numFmtId="15" fontId="13" fillId="0" borderId="0"/>
    <xf numFmtId="2" fontId="13" fillId="0" borderId="0" applyFill="0" applyBorder="0" applyAlignment="0" applyProtection="0"/>
    <xf numFmtId="0" fontId="273" fillId="75" borderId="0" applyNumberFormat="0" applyBorder="0" applyAlignment="0" applyProtection="0"/>
    <xf numFmtId="0" fontId="259" fillId="45" borderId="0" applyNumberFormat="0" applyBorder="0" applyAlignment="0" applyProtection="0"/>
    <xf numFmtId="0" fontId="277" fillId="0" borderId="438" applyNumberFormat="0" applyFill="0" applyAlignment="0" applyProtection="0"/>
    <xf numFmtId="0" fontId="257" fillId="0" borderId="423" applyNumberFormat="0" applyFill="0" applyAlignment="0" applyProtection="0"/>
    <xf numFmtId="0" fontId="287" fillId="0" borderId="441" applyNumberFormat="0" applyFill="0" applyAlignment="0" applyProtection="0"/>
    <xf numFmtId="0" fontId="258" fillId="0" borderId="424" applyNumberFormat="0" applyFill="0" applyAlignment="0" applyProtection="0"/>
    <xf numFmtId="0" fontId="278" fillId="0" borderId="442" applyNumberFormat="0" applyFill="0" applyAlignment="0" applyProtection="0"/>
    <xf numFmtId="0" fontId="27" fillId="0" borderId="425" applyNumberFormat="0" applyFill="0" applyAlignment="0" applyProtection="0"/>
    <xf numFmtId="0" fontId="278" fillId="0" borderId="0" applyNumberFormat="0" applyFill="0" applyBorder="0" applyAlignment="0" applyProtection="0"/>
    <xf numFmtId="0" fontId="27" fillId="0" borderId="0" applyNumberFormat="0" applyFill="0" applyBorder="0" applyAlignment="0" applyProtection="0"/>
    <xf numFmtId="0" fontId="280" fillId="0" borderId="0" applyNumberFormat="0" applyFill="0" applyBorder="0" applyAlignment="0" applyProtection="0">
      <alignment vertical="top"/>
      <protection locked="0"/>
    </xf>
    <xf numFmtId="0" fontId="281" fillId="74" borderId="0" applyNumberFormat="0" applyBorder="0" applyAlignment="0" applyProtection="0"/>
    <xf numFmtId="0" fontId="279" fillId="78" borderId="435" applyNumberFormat="0" applyAlignment="0" applyProtection="0"/>
    <xf numFmtId="0" fontId="262" fillId="48" borderId="426" applyNumberFormat="0" applyAlignment="0" applyProtection="0"/>
    <xf numFmtId="0" fontId="276" fillId="0" borderId="437" applyNumberFormat="0" applyFill="0" applyAlignment="0" applyProtection="0"/>
    <xf numFmtId="0" fontId="265" fillId="0" borderId="428" applyNumberFormat="0" applyFill="0" applyAlignment="0" applyProtection="0"/>
    <xf numFmtId="201" fontId="13" fillId="0" borderId="0" applyFill="0" applyBorder="0" applyAlignment="0" applyProtection="0"/>
    <xf numFmtId="202" fontId="13" fillId="0" borderId="0" applyFill="0" applyBorder="0" applyAlignment="0" applyProtection="0"/>
    <xf numFmtId="0" fontId="290" fillId="47" borderId="0" applyNumberFormat="0" applyBorder="0" applyAlignment="0" applyProtection="0"/>
    <xf numFmtId="0" fontId="290" fillId="47" borderId="0" applyNumberFormat="0" applyBorder="0" applyAlignment="0" applyProtection="0"/>
    <xf numFmtId="37" fontId="305" fillId="0" borderId="0"/>
    <xf numFmtId="0" fontId="271" fillId="0" borderId="0"/>
    <xf numFmtId="37" fontId="296" fillId="0" borderId="0"/>
    <xf numFmtId="0" fontId="13" fillId="0" borderId="0"/>
    <xf numFmtId="37" fontId="296" fillId="0" borderId="0"/>
    <xf numFmtId="0" fontId="1" fillId="0" borderId="0"/>
    <xf numFmtId="37" fontId="296" fillId="0" borderId="0"/>
    <xf numFmtId="0" fontId="296" fillId="0" borderId="0"/>
    <xf numFmtId="0" fontId="1" fillId="0" borderId="0"/>
    <xf numFmtId="0" fontId="13" fillId="0" borderId="0"/>
    <xf numFmtId="0" fontId="13" fillId="0" borderId="0"/>
    <xf numFmtId="0" fontId="1" fillId="0" borderId="0"/>
    <xf numFmtId="0" fontId="296" fillId="0" borderId="0"/>
    <xf numFmtId="0" fontId="271" fillId="0" borderId="0"/>
    <xf numFmtId="0" fontId="296" fillId="0" borderId="0"/>
    <xf numFmtId="0" fontId="296" fillId="0" borderId="0"/>
    <xf numFmtId="0" fontId="271" fillId="0" borderId="0"/>
    <xf numFmtId="0" fontId="296" fillId="0" borderId="0"/>
    <xf numFmtId="0" fontId="296" fillId="0" borderId="0"/>
    <xf numFmtId="37" fontId="296" fillId="0" borderId="0"/>
    <xf numFmtId="0" fontId="13" fillId="0" borderId="0"/>
    <xf numFmtId="0" fontId="271" fillId="0" borderId="0"/>
    <xf numFmtId="0" fontId="271" fillId="0" borderId="0"/>
    <xf numFmtId="0" fontId="13" fillId="0" borderId="0"/>
    <xf numFmtId="0" fontId="13" fillId="0" borderId="0"/>
    <xf numFmtId="0" fontId="13" fillId="0" borderId="0"/>
    <xf numFmtId="0" fontId="1" fillId="35" borderId="337" applyNumberFormat="0" applyFont="0" applyAlignment="0" applyProtection="0"/>
    <xf numFmtId="0" fontId="1" fillId="35" borderId="337" applyNumberFormat="0" applyFont="0" applyAlignment="0" applyProtection="0"/>
    <xf numFmtId="0" fontId="1" fillId="35" borderId="337" applyNumberFormat="0" applyFont="0" applyAlignment="0" applyProtection="0"/>
    <xf numFmtId="0" fontId="271" fillId="94" borderId="439" applyNumberFormat="0" applyFont="0" applyAlignment="0" applyProtection="0"/>
    <xf numFmtId="0" fontId="1" fillId="35" borderId="337" applyNumberFormat="0" applyFont="0" applyAlignment="0" applyProtection="0"/>
    <xf numFmtId="3" fontId="342" fillId="0" borderId="0"/>
    <xf numFmtId="0" fontId="283" fillId="87" borderId="440" applyNumberFormat="0" applyAlignment="0" applyProtection="0"/>
    <xf numFmtId="0" fontId="263" fillId="49" borderId="427" applyNumberFormat="0" applyAlignment="0" applyProtection="0"/>
    <xf numFmtId="9" fontId="13" fillId="0" borderId="0" applyFont="0" applyFill="0" applyBorder="0" applyAlignment="0" applyProtection="0"/>
    <xf numFmtId="9" fontId="296" fillId="0" borderId="0" applyFont="0" applyFill="0" applyBorder="0" applyAlignment="0" applyProtection="0"/>
    <xf numFmtId="9" fontId="296" fillId="0" borderId="0" applyFont="0" applyFill="0" applyBorder="0" applyAlignment="0" applyProtection="0"/>
    <xf numFmtId="10" fontId="13" fillId="0" borderId="0" applyFill="0" applyBorder="0" applyAlignment="0" applyProtection="0"/>
    <xf numFmtId="9" fontId="13" fillId="0" borderId="0" applyFont="0" applyFill="0" applyBorder="0" applyAlignment="0" applyProtection="0"/>
    <xf numFmtId="9" fontId="271" fillId="0" borderId="0" applyFont="0" applyFill="0" applyBorder="0" applyAlignment="0" applyProtection="0"/>
    <xf numFmtId="9" fontId="13" fillId="0" borderId="0" applyFont="0" applyFill="0" applyBorder="0" applyAlignment="0" applyProtection="0"/>
    <xf numFmtId="9" fontId="271" fillId="0" borderId="0" applyFont="0" applyFill="0" applyBorder="0" applyAlignment="0" applyProtection="0"/>
    <xf numFmtId="9" fontId="344" fillId="0" borderId="0" applyFont="0" applyFill="0" applyBorder="0" applyAlignment="0" applyProtection="0"/>
    <xf numFmtId="9" fontId="271" fillId="0" borderId="0" applyFont="0" applyFill="0" applyBorder="0" applyAlignment="0" applyProtection="0"/>
    <xf numFmtId="9" fontId="271" fillId="0" borderId="0" applyFont="0" applyFill="0" applyBorder="0" applyAlignment="0" applyProtection="0"/>
    <xf numFmtId="9" fontId="271" fillId="0" borderId="0" applyFont="0" applyFill="0" applyBorder="0" applyAlignment="0" applyProtection="0"/>
    <xf numFmtId="9" fontId="271" fillId="0" borderId="0" applyFont="0" applyFill="0" applyBorder="0" applyAlignment="0" applyProtection="0"/>
    <xf numFmtId="203" fontId="13" fillId="0" borderId="0" applyFill="0" applyBorder="0" applyAlignment="0" applyProtection="0"/>
    <xf numFmtId="3" fontId="13" fillId="0" borderId="0" applyFill="0" applyBorder="0" applyAlignment="0" applyProtection="0"/>
    <xf numFmtId="40" fontId="13" fillId="0" borderId="0"/>
    <xf numFmtId="0" fontId="283" fillId="87" borderId="440" applyNumberFormat="0" applyAlignment="0" applyProtection="0"/>
    <xf numFmtId="4" fontId="311" fillId="97" borderId="450" applyNumberFormat="0" applyProtection="0">
      <alignment vertical="center"/>
    </xf>
    <xf numFmtId="4" fontId="345" fillId="97" borderId="454" applyNumberFormat="0" applyProtection="0">
      <alignment vertical="center"/>
    </xf>
    <xf numFmtId="4" fontId="312" fillId="97" borderId="450" applyNumberFormat="0" applyProtection="0">
      <alignment horizontal="left" vertical="center" indent="1"/>
    </xf>
    <xf numFmtId="0" fontId="346" fillId="93" borderId="450" applyNumberFormat="0" applyProtection="0">
      <alignment horizontal="left" vertical="top" indent="1"/>
    </xf>
    <xf numFmtId="4" fontId="312" fillId="109" borderId="0" applyNumberFormat="0" applyProtection="0">
      <alignment horizontal="left" vertical="center" indent="1"/>
    </xf>
    <xf numFmtId="4" fontId="270" fillId="74" borderId="454" applyNumberFormat="0" applyProtection="0">
      <alignment horizontal="right" vertical="center"/>
    </xf>
    <xf numFmtId="4" fontId="270" fillId="157" borderId="454" applyNumberFormat="0" applyProtection="0">
      <alignment horizontal="right" vertical="center"/>
    </xf>
    <xf numFmtId="4" fontId="270" fillId="90" borderId="445" applyNumberFormat="0" applyProtection="0">
      <alignment horizontal="right" vertical="center"/>
    </xf>
    <xf numFmtId="4" fontId="270" fillId="82" borderId="454" applyNumberFormat="0" applyProtection="0">
      <alignment horizontal="right" vertical="center"/>
    </xf>
    <xf numFmtId="4" fontId="270" fillId="86" borderId="454" applyNumberFormat="0" applyProtection="0">
      <alignment horizontal="right" vertical="center"/>
    </xf>
    <xf numFmtId="4" fontId="270" fillId="92" borderId="454" applyNumberFormat="0" applyProtection="0">
      <alignment horizontal="right" vertical="center"/>
    </xf>
    <xf numFmtId="4" fontId="270" fillId="91" borderId="454" applyNumberFormat="0" applyProtection="0">
      <alignment horizontal="right" vertical="center"/>
    </xf>
    <xf numFmtId="4" fontId="270" fillId="158" borderId="454" applyNumberFormat="0" applyProtection="0">
      <alignment horizontal="right" vertical="center"/>
    </xf>
    <xf numFmtId="4" fontId="270" fillId="81" borderId="454" applyNumberFormat="0" applyProtection="0">
      <alignment horizontal="right" vertical="center"/>
    </xf>
    <xf numFmtId="4" fontId="270" fillId="159" borderId="445" applyNumberFormat="0" applyProtection="0">
      <alignment horizontal="left" vertical="center" indent="1"/>
    </xf>
    <xf numFmtId="4" fontId="13" fillId="160" borderId="445" applyNumberFormat="0" applyProtection="0">
      <alignment horizontal="left" vertical="center" indent="1"/>
    </xf>
    <xf numFmtId="4" fontId="13" fillId="160" borderId="445" applyNumberFormat="0" applyProtection="0">
      <alignment horizontal="left" vertical="center" indent="1"/>
    </xf>
    <xf numFmtId="4" fontId="270" fillId="161" borderId="454" applyNumberFormat="0" applyProtection="0">
      <alignment horizontal="right" vertical="center"/>
    </xf>
    <xf numFmtId="4" fontId="270" fillId="162" borderId="445" applyNumberFormat="0" applyProtection="0">
      <alignment horizontal="left" vertical="center" indent="1"/>
    </xf>
    <xf numFmtId="4" fontId="270" fillId="161" borderId="445" applyNumberFormat="0" applyProtection="0">
      <alignment horizontal="left" vertical="center" indent="1"/>
    </xf>
    <xf numFmtId="0" fontId="270" fillId="87" borderId="454" applyNumberFormat="0" applyProtection="0">
      <alignment horizontal="left" vertical="center" indent="1"/>
    </xf>
    <xf numFmtId="0" fontId="270" fillId="160" borderId="450" applyNumberFormat="0" applyProtection="0">
      <alignment horizontal="left" vertical="top" indent="1"/>
    </xf>
    <xf numFmtId="0" fontId="270" fillId="163" borderId="454" applyNumberFormat="0" applyProtection="0">
      <alignment horizontal="left" vertical="center" indent="1"/>
    </xf>
    <xf numFmtId="0" fontId="270" fillId="161" borderId="450" applyNumberFormat="0" applyProtection="0">
      <alignment horizontal="left" vertical="top" indent="1"/>
    </xf>
    <xf numFmtId="0" fontId="270" fillId="79" borderId="454" applyNumberFormat="0" applyProtection="0">
      <alignment horizontal="left" vertical="center" indent="1"/>
    </xf>
    <xf numFmtId="0" fontId="270" fillId="79" borderId="450" applyNumberFormat="0" applyProtection="0">
      <alignment horizontal="left" vertical="top" indent="1"/>
    </xf>
    <xf numFmtId="0" fontId="270" fillId="162" borderId="454" applyNumberFormat="0" applyProtection="0">
      <alignment horizontal="left" vertical="center" indent="1"/>
    </xf>
    <xf numFmtId="0" fontId="270" fillId="162" borderId="450" applyNumberFormat="0" applyProtection="0">
      <alignment horizontal="left" vertical="top" indent="1"/>
    </xf>
    <xf numFmtId="0" fontId="270" fillId="108" borderId="455" applyNumberFormat="0">
      <protection locked="0"/>
    </xf>
    <xf numFmtId="0" fontId="347" fillId="160" borderId="456" applyBorder="0"/>
    <xf numFmtId="4" fontId="348" fillId="94" borderId="450" applyNumberFormat="0" applyProtection="0">
      <alignment vertical="center"/>
    </xf>
    <xf numFmtId="4" fontId="345" fillId="98" borderId="6" applyNumberFormat="0" applyProtection="0">
      <alignment vertical="center"/>
    </xf>
    <xf numFmtId="4" fontId="348" fillId="87" borderId="450" applyNumberFormat="0" applyProtection="0">
      <alignment horizontal="left" vertical="center" indent="1"/>
    </xf>
    <xf numFmtId="0" fontId="348" fillId="94" borderId="450" applyNumberFormat="0" applyProtection="0">
      <alignment horizontal="left" vertical="top" indent="1"/>
    </xf>
    <xf numFmtId="4" fontId="270" fillId="0" borderId="454" applyNumberFormat="0" applyProtection="0">
      <alignment horizontal="right" vertical="center"/>
    </xf>
    <xf numFmtId="4" fontId="345" fillId="96" borderId="454" applyNumberFormat="0" applyProtection="0">
      <alignment horizontal="right" vertical="center"/>
    </xf>
    <xf numFmtId="4" fontId="270" fillId="85" borderId="454" applyNumberFormat="0" applyProtection="0">
      <alignment horizontal="left" vertical="center" indent="1"/>
    </xf>
    <xf numFmtId="0" fontId="348" fillId="161" borderId="450" applyNumberFormat="0" applyProtection="0">
      <alignment horizontal="left" vertical="top" indent="1"/>
    </xf>
    <xf numFmtId="4" fontId="349" fillId="164" borderId="445" applyNumberFormat="0" applyProtection="0">
      <alignment horizontal="left" vertical="center" indent="1"/>
    </xf>
    <xf numFmtId="0" fontId="270" fillId="165" borderId="6"/>
    <xf numFmtId="4" fontId="350" fillId="108" borderId="454" applyNumberFormat="0" applyProtection="0">
      <alignment horizontal="right" vertical="center"/>
    </xf>
    <xf numFmtId="0" fontId="351" fillId="0" borderId="0" applyNumberFormat="0" applyFill="0" applyBorder="0" applyAlignment="0" applyProtection="0"/>
    <xf numFmtId="37" fontId="352" fillId="0" borderId="0">
      <alignment horizontal="justify" vertical="center"/>
    </xf>
    <xf numFmtId="0" fontId="284" fillId="0" borderId="0" applyNumberFormat="0" applyFill="0" applyBorder="0" applyAlignment="0" applyProtection="0"/>
    <xf numFmtId="0" fontId="285" fillId="0" borderId="0" applyNumberFormat="0" applyFill="0" applyBorder="0" applyAlignment="0" applyProtection="0"/>
    <xf numFmtId="0" fontId="13" fillId="0" borderId="0"/>
    <xf numFmtId="0" fontId="286" fillId="0" borderId="0" applyNumberFormat="0" applyFill="0" applyBorder="0" applyAlignment="0" applyProtection="0"/>
    <xf numFmtId="0" fontId="291" fillId="0" borderId="0" applyNumberFormat="0" applyFill="0" applyBorder="0" applyAlignment="0" applyProtection="0"/>
    <xf numFmtId="0" fontId="277" fillId="0" borderId="438" applyNumberFormat="0" applyFill="0" applyAlignment="0" applyProtection="0"/>
    <xf numFmtId="0" fontId="287" fillId="0" borderId="441" applyNumberFormat="0" applyFill="0" applyAlignment="0" applyProtection="0"/>
    <xf numFmtId="0" fontId="278" fillId="0" borderId="442" applyNumberFormat="0" applyFill="0" applyAlignment="0" applyProtection="0"/>
    <xf numFmtId="0" fontId="286" fillId="0" borderId="0" applyNumberFormat="0" applyFill="0" applyBorder="0" applyAlignment="0" applyProtection="0"/>
    <xf numFmtId="0" fontId="351" fillId="0" borderId="0" applyNumberFormat="0" applyFill="0" applyBorder="0" applyAlignment="0" applyProtection="0"/>
    <xf numFmtId="0" fontId="353" fillId="0" borderId="457">
      <alignment horizontal="center"/>
    </xf>
    <xf numFmtId="0" fontId="354" fillId="0" borderId="458">
      <alignment horizontal="center"/>
    </xf>
    <xf numFmtId="0" fontId="355" fillId="0" borderId="0"/>
    <xf numFmtId="0" fontId="38" fillId="0" borderId="430" applyNumberFormat="0" applyFill="0" applyAlignment="0" applyProtection="0"/>
    <xf numFmtId="0" fontId="38" fillId="0" borderId="430" applyNumberFormat="0" applyFill="0" applyAlignment="0" applyProtection="0"/>
    <xf numFmtId="0" fontId="284" fillId="0" borderId="0" applyNumberFormat="0" applyFill="0" applyBorder="0" applyAlignment="0" applyProtection="0"/>
    <xf numFmtId="0" fontId="267" fillId="0" borderId="0" applyNumberFormat="0" applyFill="0" applyBorder="0" applyAlignment="0" applyProtection="0"/>
    <xf numFmtId="37" fontId="296" fillId="0" borderId="0"/>
    <xf numFmtId="0" fontId="271" fillId="73" borderId="0" applyNumberFormat="0" applyBorder="0" applyAlignment="0" applyProtection="0"/>
    <xf numFmtId="0" fontId="271" fillId="74" borderId="0" applyNumberFormat="0" applyBorder="0" applyAlignment="0" applyProtection="0"/>
    <xf numFmtId="0" fontId="271" fillId="75" borderId="0" applyNumberFormat="0" applyBorder="0" applyAlignment="0" applyProtection="0"/>
    <xf numFmtId="0" fontId="271" fillId="76" borderId="0" applyNumberFormat="0" applyBorder="0" applyAlignment="0" applyProtection="0"/>
    <xf numFmtId="0" fontId="271" fillId="77" borderId="0" applyNumberFormat="0" applyBorder="0" applyAlignment="0" applyProtection="0"/>
    <xf numFmtId="0" fontId="271" fillId="78" borderId="0" applyNumberFormat="0" applyBorder="0" applyAlignment="0" applyProtection="0"/>
    <xf numFmtId="0" fontId="271" fillId="79" borderId="0" applyNumberFormat="0" applyBorder="0" applyAlignment="0" applyProtection="0"/>
    <xf numFmtId="0" fontId="271" fillId="80" borderId="0" applyNumberFormat="0" applyBorder="0" applyAlignment="0" applyProtection="0"/>
    <xf numFmtId="0" fontId="271" fillId="81" borderId="0" applyNumberFormat="0" applyBorder="0" applyAlignment="0" applyProtection="0"/>
    <xf numFmtId="0" fontId="271" fillId="76" borderId="0" applyNumberFormat="0" applyBorder="0" applyAlignment="0" applyProtection="0"/>
    <xf numFmtId="0" fontId="271" fillId="79" borderId="0" applyNumberFormat="0" applyBorder="0" applyAlignment="0" applyProtection="0"/>
    <xf numFmtId="0" fontId="271" fillId="82" borderId="0" applyNumberFormat="0" applyBorder="0" applyAlignment="0" applyProtection="0"/>
    <xf numFmtId="0" fontId="272" fillId="83" borderId="0" applyNumberFormat="0" applyBorder="0" applyAlignment="0" applyProtection="0"/>
    <xf numFmtId="0" fontId="272" fillId="80" borderId="0" applyNumberFormat="0" applyBorder="0" applyAlignment="0" applyProtection="0"/>
    <xf numFmtId="0" fontId="272" fillId="81" borderId="0" applyNumberFormat="0" applyBorder="0" applyAlignment="0" applyProtection="0"/>
    <xf numFmtId="0" fontId="272" fillId="84" borderId="0" applyNumberFormat="0" applyBorder="0" applyAlignment="0" applyProtection="0"/>
    <xf numFmtId="0" fontId="272" fillId="85" borderId="0" applyNumberFormat="0" applyBorder="0" applyAlignment="0" applyProtection="0"/>
    <xf numFmtId="0" fontId="272" fillId="86" borderId="0" applyNumberFormat="0" applyBorder="0" applyAlignment="0" applyProtection="0"/>
    <xf numFmtId="0" fontId="334" fillId="83" borderId="0" applyNumberFormat="0" applyBorder="0" applyAlignment="0" applyProtection="0"/>
    <xf numFmtId="0" fontId="272" fillId="83" borderId="0" applyNumberFormat="0" applyBorder="0" applyAlignment="0" applyProtection="0"/>
    <xf numFmtId="0" fontId="334" fillId="80" borderId="0" applyNumberFormat="0" applyBorder="0" applyAlignment="0" applyProtection="0"/>
    <xf numFmtId="0" fontId="272" fillId="80" borderId="0" applyNumberFormat="0" applyBorder="0" applyAlignment="0" applyProtection="0"/>
    <xf numFmtId="0" fontId="334" fillId="81" borderId="0" applyNumberFormat="0" applyBorder="0" applyAlignment="0" applyProtection="0"/>
    <xf numFmtId="0" fontId="272" fillId="81" borderId="0" applyNumberFormat="0" applyBorder="0" applyAlignment="0" applyProtection="0"/>
    <xf numFmtId="0" fontId="334" fillId="84" borderId="0" applyNumberFormat="0" applyBorder="0" applyAlignment="0" applyProtection="0"/>
    <xf numFmtId="0" fontId="272" fillId="84" borderId="0" applyNumberFormat="0" applyBorder="0" applyAlignment="0" applyProtection="0"/>
    <xf numFmtId="0" fontId="334" fillId="85" borderId="0" applyNumberFormat="0" applyBorder="0" applyAlignment="0" applyProtection="0"/>
    <xf numFmtId="0" fontId="272" fillId="85" borderId="0" applyNumberFormat="0" applyBorder="0" applyAlignment="0" applyProtection="0"/>
    <xf numFmtId="0" fontId="334" fillId="86" borderId="0" applyNumberFormat="0" applyBorder="0" applyAlignment="0" applyProtection="0"/>
    <xf numFmtId="0" fontId="272" fillId="86" borderId="0" applyNumberFormat="0" applyBorder="0" applyAlignment="0" applyProtection="0"/>
    <xf numFmtId="0" fontId="272" fillId="89" borderId="0" applyNumberFormat="0" applyBorder="0" applyAlignment="0" applyProtection="0"/>
    <xf numFmtId="0" fontId="272" fillId="90" borderId="0" applyNumberFormat="0" applyBorder="0" applyAlignment="0" applyProtection="0"/>
    <xf numFmtId="0" fontId="272" fillId="91" borderId="0" applyNumberFormat="0" applyBorder="0" applyAlignment="0" applyProtection="0"/>
    <xf numFmtId="0" fontId="272" fillId="84" borderId="0" applyNumberFormat="0" applyBorder="0" applyAlignment="0" applyProtection="0"/>
    <xf numFmtId="0" fontId="272" fillId="85" borderId="0" applyNumberFormat="0" applyBorder="0" applyAlignment="0" applyProtection="0"/>
    <xf numFmtId="0" fontId="272" fillId="92" borderId="0" applyNumberFormat="0" applyBorder="0" applyAlignment="0" applyProtection="0"/>
    <xf numFmtId="0" fontId="281" fillId="74" borderId="0" applyNumberFormat="0" applyBorder="0" applyAlignment="0" applyProtection="0"/>
    <xf numFmtId="0" fontId="356" fillId="75" borderId="0" applyNumberFormat="0" applyBorder="0" applyAlignment="0" applyProtection="0"/>
    <xf numFmtId="0" fontId="273" fillId="75" borderId="0" applyNumberFormat="0" applyBorder="0" applyAlignment="0" applyProtection="0"/>
    <xf numFmtId="0" fontId="274" fillId="87" borderId="435" applyNumberFormat="0" applyAlignment="0" applyProtection="0"/>
    <xf numFmtId="0" fontId="357" fillId="87" borderId="435" applyNumberFormat="0" applyAlignment="0" applyProtection="0"/>
    <xf numFmtId="0" fontId="274" fillId="87" borderId="435" applyNumberFormat="0" applyAlignment="0" applyProtection="0"/>
    <xf numFmtId="0" fontId="358" fillId="88" borderId="436" applyNumberFormat="0" applyAlignment="0" applyProtection="0"/>
    <xf numFmtId="0" fontId="275" fillId="88" borderId="436" applyNumberFormat="0" applyAlignment="0" applyProtection="0"/>
    <xf numFmtId="0" fontId="359" fillId="0" borderId="437" applyNumberFormat="0" applyFill="0" applyAlignment="0" applyProtection="0"/>
    <xf numFmtId="0" fontId="276" fillId="0" borderId="437" applyNumberFormat="0" applyFill="0" applyAlignment="0" applyProtection="0"/>
    <xf numFmtId="0" fontId="275" fillId="88" borderId="436" applyNumberFormat="0" applyAlignment="0" applyProtection="0"/>
    <xf numFmtId="0" fontId="360" fillId="0" borderId="0" applyNumberFormat="0" applyFill="0" applyBorder="0" applyAlignment="0" applyProtection="0"/>
    <xf numFmtId="0" fontId="278" fillId="0" borderId="0" applyNumberFormat="0" applyFill="0" applyBorder="0" applyAlignment="0" applyProtection="0"/>
    <xf numFmtId="0" fontId="334" fillId="89" borderId="0" applyNumberFormat="0" applyBorder="0" applyAlignment="0" applyProtection="0"/>
    <xf numFmtId="0" fontId="272" fillId="89" borderId="0" applyNumberFormat="0" applyBorder="0" applyAlignment="0" applyProtection="0"/>
    <xf numFmtId="0" fontId="334" fillId="90" borderId="0" applyNumberFormat="0" applyBorder="0" applyAlignment="0" applyProtection="0"/>
    <xf numFmtId="0" fontId="272" fillId="90" borderId="0" applyNumberFormat="0" applyBorder="0" applyAlignment="0" applyProtection="0"/>
    <xf numFmtId="0" fontId="334" fillId="91" borderId="0" applyNumberFormat="0" applyBorder="0" applyAlignment="0" applyProtection="0"/>
    <xf numFmtId="0" fontId="272" fillId="91" borderId="0" applyNumberFormat="0" applyBorder="0" applyAlignment="0" applyProtection="0"/>
    <xf numFmtId="0" fontId="334" fillId="84" borderId="0" applyNumberFormat="0" applyBorder="0" applyAlignment="0" applyProtection="0"/>
    <xf numFmtId="0" fontId="272" fillId="84" borderId="0" applyNumberFormat="0" applyBorder="0" applyAlignment="0" applyProtection="0"/>
    <xf numFmtId="0" fontId="334" fillId="85" borderId="0" applyNumberFormat="0" applyBorder="0" applyAlignment="0" applyProtection="0"/>
    <xf numFmtId="0" fontId="272" fillId="85" borderId="0" applyNumberFormat="0" applyBorder="0" applyAlignment="0" applyProtection="0"/>
    <xf numFmtId="0" fontId="334" fillId="92" borderId="0" applyNumberFormat="0" applyBorder="0" applyAlignment="0" applyProtection="0"/>
    <xf numFmtId="0" fontId="272" fillId="92" borderId="0" applyNumberFormat="0" applyBorder="0" applyAlignment="0" applyProtection="0"/>
    <xf numFmtId="0" fontId="361" fillId="78" borderId="435" applyNumberFormat="0" applyAlignment="0" applyProtection="0"/>
    <xf numFmtId="0" fontId="279" fillId="78" borderId="435" applyNumberFormat="0" applyAlignment="0" applyProtection="0"/>
    <xf numFmtId="0" fontId="285" fillId="0" borderId="0" applyNumberFormat="0" applyFill="0" applyBorder="0" applyAlignment="0" applyProtection="0"/>
    <xf numFmtId="0" fontId="273" fillId="75" borderId="0" applyNumberFormat="0" applyBorder="0" applyAlignment="0" applyProtection="0"/>
    <xf numFmtId="0" fontId="277" fillId="0" borderId="438" applyNumberFormat="0" applyFill="0" applyAlignment="0" applyProtection="0"/>
    <xf numFmtId="0" fontId="287" fillId="0" borderId="441" applyNumberFormat="0" applyFill="0" applyAlignment="0" applyProtection="0"/>
    <xf numFmtId="0" fontId="278" fillId="0" borderId="442" applyNumberFormat="0" applyFill="0" applyAlignment="0" applyProtection="0"/>
    <xf numFmtId="0" fontId="278" fillId="0" borderId="0" applyNumberFormat="0" applyFill="0" applyBorder="0" applyAlignment="0" applyProtection="0"/>
    <xf numFmtId="0" fontId="362" fillId="74" borderId="0" applyNumberFormat="0" applyBorder="0" applyAlignment="0" applyProtection="0"/>
    <xf numFmtId="0" fontId="281" fillId="74" borderId="0" applyNumberFormat="0" applyBorder="0" applyAlignment="0" applyProtection="0"/>
    <xf numFmtId="0" fontId="279" fillId="78" borderId="435" applyNumberFormat="0" applyAlignment="0" applyProtection="0"/>
    <xf numFmtId="0" fontId="276" fillId="0" borderId="437" applyNumberFormat="0" applyFill="0" applyAlignment="0" applyProtection="0"/>
    <xf numFmtId="0" fontId="282" fillId="93" borderId="0" applyNumberFormat="0" applyBorder="0" applyAlignment="0" applyProtection="0"/>
    <xf numFmtId="0" fontId="1" fillId="0" borderId="0"/>
    <xf numFmtId="0" fontId="1" fillId="0" borderId="0"/>
    <xf numFmtId="0" fontId="292"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94" borderId="439" applyNumberFormat="0" applyFont="0" applyAlignment="0" applyProtection="0"/>
    <xf numFmtId="0" fontId="271" fillId="94" borderId="439" applyNumberFormat="0" applyFont="0" applyAlignment="0" applyProtection="0"/>
    <xf numFmtId="0" fontId="283" fillId="87" borderId="440" applyNumberFormat="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0" fontId="363" fillId="87" borderId="440" applyNumberFormat="0" applyAlignment="0" applyProtection="0"/>
    <xf numFmtId="0" fontId="283" fillId="87" borderId="440" applyNumberFormat="0" applyAlignment="0" applyProtection="0"/>
    <xf numFmtId="0" fontId="289" fillId="0" borderId="0" applyNumberFormat="0" applyFill="0" applyBorder="0" applyAlignment="0" applyProtection="0"/>
    <xf numFmtId="0" fontId="284" fillId="0" borderId="0" applyNumberFormat="0" applyFill="0" applyBorder="0" applyAlignment="0" applyProtection="0"/>
    <xf numFmtId="0" fontId="364" fillId="0" borderId="0" applyNumberFormat="0" applyFill="0" applyBorder="0" applyAlignment="0" applyProtection="0"/>
    <xf numFmtId="0" fontId="285" fillId="0" borderId="0" applyNumberFormat="0" applyFill="0" applyBorder="0" applyAlignment="0" applyProtection="0"/>
    <xf numFmtId="0" fontId="286" fillId="0" borderId="0" applyNumberFormat="0" applyFill="0" applyBorder="0" applyAlignment="0" applyProtection="0"/>
    <xf numFmtId="0" fontId="365" fillId="0" borderId="438" applyNumberFormat="0" applyFill="0" applyAlignment="0" applyProtection="0"/>
    <xf numFmtId="0" fontId="277" fillId="0" borderId="438" applyNumberFormat="0" applyFill="0" applyAlignment="0" applyProtection="0"/>
    <xf numFmtId="0" fontId="366" fillId="0" borderId="441" applyNumberFormat="0" applyFill="0" applyAlignment="0" applyProtection="0"/>
    <xf numFmtId="0" fontId="287" fillId="0" borderId="441" applyNumberFormat="0" applyFill="0" applyAlignment="0" applyProtection="0"/>
    <xf numFmtId="0" fontId="360" fillId="0" borderId="442" applyNumberFormat="0" applyFill="0" applyAlignment="0" applyProtection="0"/>
    <xf numFmtId="0" fontId="278" fillId="0" borderId="442" applyNumberFormat="0" applyFill="0" applyAlignment="0" applyProtection="0"/>
    <xf numFmtId="0" fontId="288" fillId="0" borderId="443" applyNumberFormat="0" applyFill="0" applyAlignment="0" applyProtection="0"/>
    <xf numFmtId="0" fontId="284" fillId="0" borderId="0" applyNumberFormat="0" applyFill="0" applyBorder="0" applyAlignment="0" applyProtection="0"/>
    <xf numFmtId="0" fontId="13" fillId="0" borderId="0"/>
    <xf numFmtId="0" fontId="1" fillId="0" borderId="0"/>
    <xf numFmtId="0" fontId="1" fillId="0" borderId="0"/>
    <xf numFmtId="0" fontId="292" fillId="52" borderId="0" applyNumberFormat="0" applyBorder="0" applyAlignment="0" applyProtection="0"/>
    <xf numFmtId="0" fontId="292" fillId="55" borderId="0" applyNumberFormat="0" applyBorder="0" applyAlignment="0" applyProtection="0"/>
    <xf numFmtId="0" fontId="292" fillId="59" borderId="0" applyNumberFormat="0" applyBorder="0" applyAlignment="0" applyProtection="0"/>
    <xf numFmtId="0" fontId="292" fillId="63" borderId="0" applyNumberFormat="0" applyBorder="0" applyAlignment="0" applyProtection="0"/>
    <xf numFmtId="0" fontId="292" fillId="67" borderId="0" applyNumberFormat="0" applyBorder="0" applyAlignment="0" applyProtection="0"/>
    <xf numFmtId="0" fontId="292" fillId="70" borderId="0" applyNumberFormat="0" applyBorder="0" applyAlignment="0" applyProtection="0"/>
    <xf numFmtId="0" fontId="292" fillId="53" borderId="0" applyNumberFormat="0" applyBorder="0" applyAlignment="0" applyProtection="0"/>
    <xf numFmtId="0" fontId="292" fillId="56" borderId="0" applyNumberFormat="0" applyBorder="0" applyAlignment="0" applyProtection="0"/>
    <xf numFmtId="0" fontId="292" fillId="60" borderId="0" applyNumberFormat="0" applyBorder="0" applyAlignment="0" applyProtection="0"/>
    <xf numFmtId="0" fontId="292" fillId="64" borderId="0" applyNumberFormat="0" applyBorder="0" applyAlignment="0" applyProtection="0"/>
    <xf numFmtId="0" fontId="292" fillId="68" borderId="0" applyNumberFormat="0" applyBorder="0" applyAlignment="0" applyProtection="0"/>
    <xf numFmtId="0" fontId="292" fillId="71" borderId="0" applyNumberFormat="0" applyBorder="0" applyAlignment="0" applyProtection="0"/>
    <xf numFmtId="0" fontId="292" fillId="35" borderId="337" applyNumberFormat="0" applyFont="0" applyAlignment="0" applyProtection="0"/>
    <xf numFmtId="0" fontId="292" fillId="35" borderId="337" applyNumberFormat="0" applyFont="0" applyAlignment="0" applyProtection="0"/>
    <xf numFmtId="0" fontId="272" fillId="89" borderId="0" applyNumberFormat="0" applyBorder="0" applyAlignment="0" applyProtection="0"/>
    <xf numFmtId="0" fontId="272" fillId="90" borderId="0" applyNumberFormat="0" applyBorder="0" applyAlignment="0" applyProtection="0"/>
    <xf numFmtId="0" fontId="272" fillId="91" borderId="0" applyNumberFormat="0" applyBorder="0" applyAlignment="0" applyProtection="0"/>
    <xf numFmtId="0" fontId="272" fillId="84" borderId="0" applyNumberFormat="0" applyBorder="0" applyAlignment="0" applyProtection="0"/>
    <xf numFmtId="0" fontId="272" fillId="85" borderId="0" applyNumberFormat="0" applyBorder="0" applyAlignment="0" applyProtection="0"/>
    <xf numFmtId="0" fontId="272" fillId="92" borderId="0" applyNumberFormat="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1" fillId="0" borderId="0"/>
    <xf numFmtId="9" fontId="1" fillId="0" borderId="0" applyFont="0" applyFill="0" applyBorder="0" applyAlignment="0" applyProtection="0"/>
    <xf numFmtId="0" fontId="294" fillId="0" borderId="0"/>
    <xf numFmtId="0" fontId="1" fillId="0" borderId="0"/>
    <xf numFmtId="0" fontId="12" fillId="0" borderId="0"/>
    <xf numFmtId="0" fontId="12" fillId="0" borderId="0"/>
    <xf numFmtId="0" fontId="12" fillId="0" borderId="0"/>
    <xf numFmtId="0" fontId="1" fillId="0" borderId="0"/>
    <xf numFmtId="0" fontId="296"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35" borderId="337" applyNumberFormat="0" applyFon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313" fillId="0" borderId="0" applyFont="0" applyFill="0" applyBorder="0" applyAlignment="0" applyProtection="0"/>
    <xf numFmtId="41" fontId="13" fillId="0" borderId="0" applyFont="0" applyFill="0" applyBorder="0" applyAlignment="0" applyProtection="0"/>
    <xf numFmtId="41" fontId="13" fillId="0" borderId="0" applyFont="0" applyFill="0" applyBorder="0" applyAlignment="0" applyProtection="0"/>
    <xf numFmtId="43" fontId="271"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274" fillId="87" borderId="435" applyNumberFormat="0" applyAlignment="0" applyProtection="0"/>
    <xf numFmtId="0" fontId="279" fillId="78" borderId="435" applyNumberFormat="0" applyAlignment="0" applyProtection="0"/>
    <xf numFmtId="0" fontId="13" fillId="94" borderId="439" applyNumberFormat="0" applyFont="0" applyAlignment="0" applyProtection="0"/>
    <xf numFmtId="0" fontId="271" fillId="94" borderId="439" applyNumberFormat="0" applyFont="0" applyAlignment="0" applyProtection="0"/>
    <xf numFmtId="0" fontId="13" fillId="94" borderId="439" applyNumberFormat="0" applyFont="0" applyAlignment="0" applyProtection="0"/>
    <xf numFmtId="0" fontId="283" fillId="87" borderId="440" applyNumberFormat="0" applyAlignment="0" applyProtection="0"/>
    <xf numFmtId="4" fontId="311" fillId="97" borderId="450" applyNumberFormat="0" applyProtection="0">
      <alignment vertical="center"/>
    </xf>
    <xf numFmtId="4" fontId="312" fillId="97" borderId="450" applyNumberFormat="0" applyProtection="0">
      <alignment horizontal="left" vertical="center" indent="1"/>
    </xf>
    <xf numFmtId="0" fontId="288" fillId="0" borderId="443" applyNumberFormat="0" applyFill="0" applyAlignment="0" applyProtection="0"/>
    <xf numFmtId="0" fontId="274" fillId="87" borderId="435" applyNumberFormat="0" applyAlignment="0" applyProtection="0"/>
    <xf numFmtId="0" fontId="274" fillId="87" borderId="435" applyNumberFormat="0" applyAlignment="0" applyProtection="0"/>
    <xf numFmtId="195" fontId="330" fillId="0" borderId="137" applyFill="0" applyProtection="0"/>
    <xf numFmtId="196" fontId="330" fillId="0" borderId="137" applyFill="0" applyProtection="0"/>
    <xf numFmtId="0" fontId="279" fillId="78" borderId="435" applyNumberFormat="0" applyAlignment="0" applyProtection="0"/>
    <xf numFmtId="0" fontId="279" fillId="78" borderId="435" applyNumberFormat="0" applyAlignment="0" applyProtection="0"/>
    <xf numFmtId="0" fontId="271" fillId="94" borderId="439" applyNumberFormat="0" applyFont="0" applyAlignment="0" applyProtection="0"/>
    <xf numFmtId="0" fontId="283" fillId="87" borderId="440" applyNumberFormat="0" applyAlignment="0" applyProtection="0"/>
    <xf numFmtId="0" fontId="283" fillId="87" borderId="440" applyNumberFormat="0" applyAlignment="0" applyProtection="0"/>
    <xf numFmtId="4" fontId="311" fillId="97" borderId="450" applyNumberFormat="0" applyProtection="0">
      <alignment vertical="center"/>
    </xf>
    <xf numFmtId="4" fontId="345" fillId="97" borderId="454" applyNumberFormat="0" applyProtection="0">
      <alignment vertical="center"/>
    </xf>
    <xf numFmtId="4" fontId="312" fillId="97" borderId="450" applyNumberFormat="0" applyProtection="0">
      <alignment horizontal="left" vertical="center" indent="1"/>
    </xf>
    <xf numFmtId="0" fontId="346" fillId="93" borderId="450" applyNumberFormat="0" applyProtection="0">
      <alignment horizontal="left" vertical="top" indent="1"/>
    </xf>
    <xf numFmtId="4" fontId="270" fillId="74" borderId="454" applyNumberFormat="0" applyProtection="0">
      <alignment horizontal="right" vertical="center"/>
    </xf>
    <xf numFmtId="4" fontId="270" fillId="157" borderId="454" applyNumberFormat="0" applyProtection="0">
      <alignment horizontal="right" vertical="center"/>
    </xf>
    <xf numFmtId="4" fontId="270" fillId="90" borderId="445" applyNumberFormat="0" applyProtection="0">
      <alignment horizontal="right" vertical="center"/>
    </xf>
    <xf numFmtId="4" fontId="270" fillId="82" borderId="454" applyNumberFormat="0" applyProtection="0">
      <alignment horizontal="right" vertical="center"/>
    </xf>
    <xf numFmtId="4" fontId="270" fillId="86" borderId="454" applyNumberFormat="0" applyProtection="0">
      <alignment horizontal="right" vertical="center"/>
    </xf>
    <xf numFmtId="4" fontId="270" fillId="92" borderId="454" applyNumberFormat="0" applyProtection="0">
      <alignment horizontal="right" vertical="center"/>
    </xf>
    <xf numFmtId="4" fontId="270" fillId="91" borderId="454" applyNumberFormat="0" applyProtection="0">
      <alignment horizontal="right" vertical="center"/>
    </xf>
    <xf numFmtId="4" fontId="270" fillId="158" borderId="454" applyNumberFormat="0" applyProtection="0">
      <alignment horizontal="right" vertical="center"/>
    </xf>
    <xf numFmtId="4" fontId="270" fillId="81" borderId="454" applyNumberFormat="0" applyProtection="0">
      <alignment horizontal="right" vertical="center"/>
    </xf>
    <xf numFmtId="4" fontId="270" fillId="159" borderId="445" applyNumberFormat="0" applyProtection="0">
      <alignment horizontal="left" vertical="center" indent="1"/>
    </xf>
    <xf numFmtId="4" fontId="13" fillId="160" borderId="445" applyNumberFormat="0" applyProtection="0">
      <alignment horizontal="left" vertical="center" indent="1"/>
    </xf>
    <xf numFmtId="4" fontId="13" fillId="160" borderId="445" applyNumberFormat="0" applyProtection="0">
      <alignment horizontal="left" vertical="center" indent="1"/>
    </xf>
    <xf numFmtId="4" fontId="270" fillId="161" borderId="454" applyNumberFormat="0" applyProtection="0">
      <alignment horizontal="right" vertical="center"/>
    </xf>
    <xf numFmtId="4" fontId="270" fillId="162" borderId="445" applyNumberFormat="0" applyProtection="0">
      <alignment horizontal="left" vertical="center" indent="1"/>
    </xf>
    <xf numFmtId="4" fontId="270" fillId="161" borderId="445" applyNumberFormat="0" applyProtection="0">
      <alignment horizontal="left" vertical="center" indent="1"/>
    </xf>
    <xf numFmtId="0" fontId="270" fillId="87" borderId="454" applyNumberFormat="0" applyProtection="0">
      <alignment horizontal="left" vertical="center" indent="1"/>
    </xf>
    <xf numFmtId="0" fontId="270" fillId="160" borderId="450" applyNumberFormat="0" applyProtection="0">
      <alignment horizontal="left" vertical="top" indent="1"/>
    </xf>
    <xf numFmtId="0" fontId="270" fillId="163" borderId="454" applyNumberFormat="0" applyProtection="0">
      <alignment horizontal="left" vertical="center" indent="1"/>
    </xf>
    <xf numFmtId="0" fontId="270" fillId="161" borderId="450" applyNumberFormat="0" applyProtection="0">
      <alignment horizontal="left" vertical="top" indent="1"/>
    </xf>
    <xf numFmtId="0" fontId="270" fillId="79" borderId="454" applyNumberFormat="0" applyProtection="0">
      <alignment horizontal="left" vertical="center" indent="1"/>
    </xf>
    <xf numFmtId="0" fontId="270" fillId="79" borderId="450" applyNumberFormat="0" applyProtection="0">
      <alignment horizontal="left" vertical="top" indent="1"/>
    </xf>
    <xf numFmtId="0" fontId="270" fillId="162" borderId="454" applyNumberFormat="0" applyProtection="0">
      <alignment horizontal="left" vertical="center" indent="1"/>
    </xf>
    <xf numFmtId="0" fontId="270" fillId="162" borderId="450" applyNumberFormat="0" applyProtection="0">
      <alignment horizontal="left" vertical="top" indent="1"/>
    </xf>
    <xf numFmtId="0" fontId="347" fillId="160" borderId="456" applyBorder="0"/>
    <xf numFmtId="4" fontId="348" fillId="94" borderId="450" applyNumberFormat="0" applyProtection="0">
      <alignment vertical="center"/>
    </xf>
    <xf numFmtId="4" fontId="348" fillId="87" borderId="450" applyNumberFormat="0" applyProtection="0">
      <alignment horizontal="left" vertical="center" indent="1"/>
    </xf>
    <xf numFmtId="0" fontId="348" fillId="94" borderId="450" applyNumberFormat="0" applyProtection="0">
      <alignment horizontal="left" vertical="top" indent="1"/>
    </xf>
    <xf numFmtId="4" fontId="270" fillId="0" borderId="454" applyNumberFormat="0" applyProtection="0">
      <alignment horizontal="right" vertical="center"/>
    </xf>
    <xf numFmtId="4" fontId="345" fillId="96" borderId="454" applyNumberFormat="0" applyProtection="0">
      <alignment horizontal="right" vertical="center"/>
    </xf>
    <xf numFmtId="4" fontId="270" fillId="85" borderId="454" applyNumberFormat="0" applyProtection="0">
      <alignment horizontal="left" vertical="center" indent="1"/>
    </xf>
    <xf numFmtId="0" fontId="348" fillId="161" borderId="450" applyNumberFormat="0" applyProtection="0">
      <alignment horizontal="left" vertical="top" indent="1"/>
    </xf>
    <xf numFmtId="4" fontId="349" fillId="164" borderId="445" applyNumberFormat="0" applyProtection="0">
      <alignment horizontal="left" vertical="center" indent="1"/>
    </xf>
    <xf numFmtId="4" fontId="350" fillId="108" borderId="454" applyNumberFormat="0" applyProtection="0">
      <alignment horizontal="right" vertical="center"/>
    </xf>
    <xf numFmtId="0" fontId="354" fillId="0" borderId="458">
      <alignment horizontal="center"/>
    </xf>
    <xf numFmtId="0" fontId="274" fillId="87" borderId="435" applyNumberFormat="0" applyAlignment="0" applyProtection="0"/>
    <xf numFmtId="0" fontId="357" fillId="87" borderId="435" applyNumberFormat="0" applyAlignment="0" applyProtection="0"/>
    <xf numFmtId="0" fontId="274" fillId="87" borderId="435" applyNumberFormat="0" applyAlignment="0" applyProtection="0"/>
    <xf numFmtId="0" fontId="361" fillId="78" borderId="435" applyNumberFormat="0" applyAlignment="0" applyProtection="0"/>
    <xf numFmtId="0" fontId="279" fillId="78" borderId="435" applyNumberFormat="0" applyAlignment="0" applyProtection="0"/>
    <xf numFmtId="0" fontId="279" fillId="78" borderId="435" applyNumberFormat="0" applyAlignment="0" applyProtection="0"/>
    <xf numFmtId="0" fontId="13" fillId="94" borderId="439" applyNumberFormat="0" applyFont="0" applyAlignment="0" applyProtection="0"/>
    <xf numFmtId="0" fontId="271" fillId="94" borderId="439" applyNumberFormat="0" applyFont="0" applyAlignment="0" applyProtection="0"/>
    <xf numFmtId="0" fontId="283" fillId="87" borderId="440" applyNumberFormat="0" applyAlignment="0" applyProtection="0"/>
    <xf numFmtId="0" fontId="363" fillId="87" borderId="440" applyNumberFormat="0" applyAlignment="0" applyProtection="0"/>
    <xf numFmtId="0" fontId="283" fillId="87" borderId="440" applyNumberFormat="0" applyAlignment="0" applyProtection="0"/>
    <xf numFmtId="0" fontId="288" fillId="0" borderId="443" applyNumberFormat="0" applyFill="0" applyAlignment="0" applyProtection="0"/>
    <xf numFmtId="164" fontId="6" fillId="0" borderId="0" applyFont="0" applyFill="0" applyBorder="0" applyAlignment="0" applyProtection="0"/>
    <xf numFmtId="164" fontId="6" fillId="0" borderId="0" applyFont="0" applyFill="0" applyBorder="0" applyAlignment="0" applyProtection="0"/>
    <xf numFmtId="0" fontId="13" fillId="0" borderId="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4" fontId="6" fillId="0" borderId="0" applyFont="0" applyFill="0" applyBorder="0" applyAlignment="0" applyProtection="0"/>
    <xf numFmtId="4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6" fillId="0" borderId="0"/>
    <xf numFmtId="0" fontId="1" fillId="0" borderId="0"/>
    <xf numFmtId="0" fontId="12" fillId="0" borderId="0"/>
    <xf numFmtId="0" fontId="12" fillId="0" borderId="0"/>
    <xf numFmtId="0" fontId="12" fillId="0" borderId="0"/>
    <xf numFmtId="0" fontId="1" fillId="0" borderId="0"/>
    <xf numFmtId="44" fontId="1" fillId="0" borderId="0" applyFont="0" applyFill="0" applyBorder="0" applyAlignment="0" applyProtection="0"/>
    <xf numFmtId="0" fontId="13" fillId="0" borderId="0"/>
    <xf numFmtId="164" fontId="1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313" fillId="0" borderId="0" applyFont="0" applyFill="0" applyBorder="0" applyAlignment="0" applyProtection="0"/>
    <xf numFmtId="41" fontId="13" fillId="0" borderId="0" applyFont="0" applyFill="0" applyBorder="0" applyAlignment="0" applyProtection="0"/>
    <xf numFmtId="41" fontId="13" fillId="0" borderId="0" applyFont="0" applyFill="0" applyBorder="0" applyAlignment="0" applyProtection="0"/>
    <xf numFmtId="43" fontId="271"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16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313" fillId="0" borderId="0" applyFont="0" applyFill="0" applyBorder="0" applyAlignment="0" applyProtection="0"/>
    <xf numFmtId="41" fontId="13" fillId="0" borderId="0" applyFont="0" applyFill="0" applyBorder="0" applyAlignment="0" applyProtection="0"/>
    <xf numFmtId="41" fontId="13" fillId="0" borderId="0" applyFont="0" applyFill="0" applyBorder="0" applyAlignment="0" applyProtection="0"/>
    <xf numFmtId="43" fontId="271"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13" fillId="0" borderId="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6"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67"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 fillId="54" borderId="0" applyNumberFormat="0" applyBorder="0" applyAlignment="0" applyProtection="0"/>
    <xf numFmtId="0" fontId="1" fillId="57" borderId="0" applyNumberFormat="0" applyBorder="0" applyAlignment="0" applyProtection="0"/>
    <xf numFmtId="0" fontId="1" fillId="61" borderId="0" applyNumberFormat="0" applyBorder="0" applyAlignment="0" applyProtection="0"/>
    <xf numFmtId="0" fontId="1" fillId="65" borderId="0" applyNumberFormat="0" applyBorder="0" applyAlignment="0" applyProtection="0"/>
    <xf numFmtId="0" fontId="1" fillId="69" borderId="0" applyNumberFormat="0" applyBorder="0" applyAlignment="0" applyProtection="0"/>
    <xf numFmtId="0" fontId="1" fillId="72"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35" borderId="337"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35" borderId="337" applyNumberFormat="0" applyFont="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67"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 fillId="35" borderId="337"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35" borderId="337" applyNumberFormat="0" applyFon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3" fillId="0" borderId="0" applyFont="0" applyFill="0" applyBorder="0" applyAlignment="0" applyProtection="0"/>
    <xf numFmtId="0" fontId="1" fillId="0" borderId="0"/>
    <xf numFmtId="44" fontId="13" fillId="0" borderId="0" applyFont="0" applyFill="0" applyBorder="0" applyAlignment="0" applyProtection="0"/>
    <xf numFmtId="0" fontId="1" fillId="0" borderId="0"/>
    <xf numFmtId="0" fontId="1" fillId="0" borderId="0"/>
    <xf numFmtId="43" fontId="13" fillId="0" borderId="0" applyFont="0" applyFill="0" applyBorder="0" applyAlignment="0" applyProtection="0"/>
    <xf numFmtId="0" fontId="1" fillId="0" borderId="0"/>
    <xf numFmtId="0" fontId="1" fillId="52" borderId="0" applyNumberFormat="0" applyBorder="0" applyAlignment="0" applyProtection="0"/>
    <xf numFmtId="0" fontId="1" fillId="55" borderId="0" applyNumberFormat="0" applyBorder="0" applyAlignment="0" applyProtection="0"/>
    <xf numFmtId="0" fontId="1" fillId="59" borderId="0" applyNumberFormat="0" applyBorder="0" applyAlignment="0" applyProtection="0"/>
    <xf numFmtId="0" fontId="1" fillId="63" borderId="0" applyNumberFormat="0" applyBorder="0" applyAlignment="0" applyProtection="0"/>
    <xf numFmtId="0" fontId="1" fillId="67" borderId="0" applyNumberFormat="0" applyBorder="0" applyAlignment="0" applyProtection="0"/>
    <xf numFmtId="0" fontId="1" fillId="70" borderId="0" applyNumberFormat="0" applyBorder="0" applyAlignment="0" applyProtection="0"/>
    <xf numFmtId="0" fontId="1" fillId="53" borderId="0" applyNumberFormat="0" applyBorder="0" applyAlignment="0" applyProtection="0"/>
    <xf numFmtId="0" fontId="1" fillId="56" borderId="0" applyNumberFormat="0" applyBorder="0" applyAlignment="0" applyProtection="0"/>
    <xf numFmtId="0" fontId="1" fillId="60" borderId="0" applyNumberFormat="0" applyBorder="0" applyAlignment="0" applyProtection="0"/>
    <xf numFmtId="0" fontId="1" fillId="64" borderId="0" applyNumberFormat="0" applyBorder="0" applyAlignment="0" applyProtection="0"/>
    <xf numFmtId="0" fontId="1" fillId="68" borderId="0" applyNumberFormat="0" applyBorder="0" applyAlignment="0" applyProtection="0"/>
    <xf numFmtId="0" fontId="1" fillId="71" borderId="0" applyNumberFormat="0" applyBorder="0" applyAlignment="0" applyProtection="0"/>
    <xf numFmtId="43" fontId="13" fillId="0" borderId="0" applyFont="0" applyFill="0" applyBorder="0" applyAlignment="0" applyProtection="0"/>
    <xf numFmtId="44" fontId="313" fillId="0" borderId="0" applyFont="0" applyFill="0" applyBorder="0" applyAlignment="0" applyProtection="0"/>
    <xf numFmtId="0" fontId="1" fillId="0" borderId="0"/>
    <xf numFmtId="0" fontId="1" fillId="0" borderId="0"/>
    <xf numFmtId="0" fontId="1" fillId="0" borderId="0"/>
    <xf numFmtId="0" fontId="1" fillId="0" borderId="0"/>
    <xf numFmtId="0" fontId="1" fillId="52" borderId="0" applyNumberFormat="0" applyBorder="0" applyAlignment="0" applyProtection="0"/>
    <xf numFmtId="0" fontId="1" fillId="55" borderId="0" applyNumberFormat="0" applyBorder="0" applyAlignment="0" applyProtection="0"/>
    <xf numFmtId="0" fontId="1" fillId="59" borderId="0" applyNumberFormat="0" applyBorder="0" applyAlignment="0" applyProtection="0"/>
    <xf numFmtId="0" fontId="1" fillId="63" borderId="0" applyNumberFormat="0" applyBorder="0" applyAlignment="0" applyProtection="0"/>
    <xf numFmtId="0" fontId="1" fillId="67" borderId="0" applyNumberFormat="0" applyBorder="0" applyAlignment="0" applyProtection="0"/>
    <xf numFmtId="0" fontId="1" fillId="70"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53" borderId="0" applyNumberFormat="0" applyBorder="0" applyAlignment="0" applyProtection="0"/>
    <xf numFmtId="0" fontId="1" fillId="56" borderId="0" applyNumberFormat="0" applyBorder="0" applyAlignment="0" applyProtection="0"/>
    <xf numFmtId="0" fontId="1" fillId="60" borderId="0" applyNumberFormat="0" applyBorder="0" applyAlignment="0" applyProtection="0"/>
    <xf numFmtId="0" fontId="1" fillId="64" borderId="0" applyNumberFormat="0" applyBorder="0" applyAlignment="0" applyProtection="0"/>
    <xf numFmtId="0" fontId="1" fillId="68" borderId="0" applyNumberFormat="0" applyBorder="0" applyAlignment="0" applyProtection="0"/>
    <xf numFmtId="0" fontId="1" fillId="71"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56"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41" fontId="13" fillId="0" borderId="0" applyFont="0" applyFill="0" applyBorder="0" applyAlignment="0" applyProtection="0"/>
    <xf numFmtId="41" fontId="13" fillId="0" borderId="0" applyFont="0" applyFill="0" applyBorder="0" applyAlignment="0" applyProtection="0"/>
    <xf numFmtId="43" fontId="271"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1" fillId="0" borderId="0"/>
    <xf numFmtId="0" fontId="1" fillId="0" borderId="0"/>
    <xf numFmtId="0" fontId="1" fillId="0" borderId="0"/>
    <xf numFmtId="0" fontId="1" fillId="35" borderId="337" applyNumberFormat="0" applyFont="0" applyAlignment="0" applyProtection="0"/>
    <xf numFmtId="0" fontId="1" fillId="35" borderId="337" applyNumberFormat="0" applyFont="0" applyAlignment="0" applyProtection="0"/>
    <xf numFmtId="0" fontId="1" fillId="35" borderId="337" applyNumberFormat="0" applyFont="0" applyAlignment="0" applyProtection="0"/>
    <xf numFmtId="0" fontId="1" fillId="35" borderId="337"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35" borderId="337" applyNumberFormat="0" applyFon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313" fillId="0" borderId="0" applyFont="0" applyFill="0" applyBorder="0" applyAlignment="0" applyProtection="0"/>
    <xf numFmtId="41" fontId="13" fillId="0" borderId="0" applyFont="0" applyFill="0" applyBorder="0" applyAlignment="0" applyProtection="0"/>
    <xf numFmtId="41" fontId="13" fillId="0" borderId="0" applyFont="0" applyFill="0" applyBorder="0" applyAlignment="0" applyProtection="0"/>
    <xf numFmtId="43" fontId="271"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44" fontId="1"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 fillId="0" borderId="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293" fillId="0" borderId="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cellStyleXfs>
  <cellXfs count="2707">
    <xf numFmtId="0" fontId="0" fillId="0" borderId="0" xfId="0"/>
    <xf numFmtId="0" fontId="9" fillId="0" borderId="0" xfId="0" applyFont="1"/>
    <xf numFmtId="0" fontId="10" fillId="0" borderId="0" xfId="0" applyFont="1"/>
    <xf numFmtId="165" fontId="11" fillId="0" borderId="0" xfId="0" applyNumberFormat="1" applyFont="1" applyAlignment="1">
      <alignment horizontal="left" indent="1"/>
    </xf>
    <xf numFmtId="0" fontId="19" fillId="0" borderId="0" xfId="0" applyFont="1" applyAlignment="1">
      <alignment horizontal="right"/>
    </xf>
    <xf numFmtId="164" fontId="23" fillId="0" borderId="0" xfId="1" applyFont="1"/>
    <xf numFmtId="164" fontId="24" fillId="0" borderId="0" xfId="1" applyFont="1"/>
    <xf numFmtId="164" fontId="23" fillId="0" borderId="0" xfId="1" applyFont="1" applyAlignment="1">
      <alignment horizontal="center"/>
    </xf>
    <xf numFmtId="164" fontId="25" fillId="2" borderId="6" xfId="1" applyFont="1" applyFill="1" applyBorder="1" applyAlignment="1">
      <alignment horizontal="center"/>
    </xf>
    <xf numFmtId="164" fontId="26" fillId="0" borderId="0" xfId="1" applyFont="1"/>
    <xf numFmtId="164" fontId="25" fillId="2" borderId="0" xfId="1" applyFont="1" applyFill="1" applyAlignment="1">
      <alignment horizontal="center"/>
    </xf>
    <xf numFmtId="0" fontId="14" fillId="3" borderId="11" xfId="0" applyFont="1" applyFill="1" applyBorder="1"/>
    <xf numFmtId="0" fontId="11" fillId="0" borderId="0" xfId="0" applyFont="1"/>
    <xf numFmtId="0" fontId="0" fillId="0" borderId="0" xfId="0" applyAlignment="1">
      <alignment horizontal="right"/>
    </xf>
    <xf numFmtId="0" fontId="11" fillId="0" borderId="0" xfId="0" applyFont="1" applyAlignment="1">
      <alignment horizontal="right"/>
    </xf>
    <xf numFmtId="164" fontId="26" fillId="7" borderId="0" xfId="1" applyFont="1" applyFill="1"/>
    <xf numFmtId="164" fontId="26" fillId="8" borderId="0" xfId="1" applyFont="1" applyFill="1"/>
    <xf numFmtId="164" fontId="26" fillId="9" borderId="0" xfId="1" applyFont="1" applyFill="1"/>
    <xf numFmtId="1" fontId="23" fillId="0" borderId="0" xfId="1" applyNumberFormat="1" applyFont="1"/>
    <xf numFmtId="1" fontId="25" fillId="2" borderId="0" xfId="1" applyNumberFormat="1" applyFont="1" applyFill="1" applyAlignment="1">
      <alignment horizontal="center"/>
    </xf>
    <xf numFmtId="1" fontId="26" fillId="0" borderId="0" xfId="1" applyNumberFormat="1" applyFont="1"/>
    <xf numFmtId="1" fontId="5" fillId="0" borderId="0" xfId="0" applyNumberFormat="1" applyFont="1"/>
    <xf numFmtId="0" fontId="5" fillId="0" borderId="0" xfId="0" applyFont="1"/>
    <xf numFmtId="164" fontId="5" fillId="0" borderId="0" xfId="1" applyFont="1"/>
    <xf numFmtId="164" fontId="25" fillId="2" borderId="18" xfId="1" applyFont="1" applyFill="1" applyBorder="1" applyAlignment="1">
      <alignment horizontal="center"/>
    </xf>
    <xf numFmtId="164" fontId="25" fillId="2" borderId="19" xfId="1" applyFont="1" applyFill="1" applyBorder="1" applyAlignment="1">
      <alignment horizontal="center"/>
    </xf>
    <xf numFmtId="1" fontId="56" fillId="11" borderId="23" xfId="1" applyNumberFormat="1" applyFont="1" applyFill="1" applyBorder="1" applyProtection="1">
      <protection locked="0"/>
    </xf>
    <xf numFmtId="164" fontId="56" fillId="11" borderId="0" xfId="1" applyFont="1" applyFill="1" applyProtection="1">
      <protection locked="0"/>
    </xf>
    <xf numFmtId="164" fontId="56" fillId="11" borderId="24" xfId="1" applyFont="1" applyFill="1" applyBorder="1" applyProtection="1">
      <protection locked="0"/>
    </xf>
    <xf numFmtId="1" fontId="56" fillId="11" borderId="25" xfId="1" applyNumberFormat="1" applyFont="1" applyFill="1" applyBorder="1" applyProtection="1">
      <protection locked="0"/>
    </xf>
    <xf numFmtId="164" fontId="56" fillId="11" borderId="1" xfId="1" applyFont="1" applyFill="1" applyBorder="1" applyProtection="1">
      <protection locked="0"/>
    </xf>
    <xf numFmtId="164" fontId="56" fillId="11" borderId="26" xfId="1" applyFont="1" applyFill="1" applyBorder="1" applyProtection="1">
      <protection locked="0"/>
    </xf>
    <xf numFmtId="0" fontId="57" fillId="0" borderId="0" xfId="0" applyFont="1"/>
    <xf numFmtId="0" fontId="58" fillId="0" borderId="0" xfId="0" applyFont="1"/>
    <xf numFmtId="165" fontId="11" fillId="0" borderId="0" xfId="0" applyNumberFormat="1" applyFont="1"/>
    <xf numFmtId="0" fontId="10" fillId="0" borderId="28" xfId="0" applyFont="1" applyBorder="1"/>
    <xf numFmtId="0" fontId="59" fillId="2" borderId="29" xfId="0" applyFont="1" applyFill="1" applyBorder="1" applyAlignment="1">
      <alignment horizontal="left" indent="1"/>
    </xf>
    <xf numFmtId="0" fontId="14" fillId="2" borderId="30" xfId="0" applyFont="1" applyFill="1" applyBorder="1" applyAlignment="1">
      <alignment horizontal="left" indent="1"/>
    </xf>
    <xf numFmtId="0" fontId="14" fillId="2" borderId="30" xfId="0" applyFont="1" applyFill="1" applyBorder="1"/>
    <xf numFmtId="0" fontId="14" fillId="2" borderId="31" xfId="0" applyFont="1" applyFill="1" applyBorder="1"/>
    <xf numFmtId="0" fontId="60" fillId="0" borderId="0" xfId="0" applyFont="1"/>
    <xf numFmtId="0" fontId="0" fillId="0" borderId="0" xfId="0" applyAlignment="1">
      <alignment horizontal="center" wrapText="1"/>
    </xf>
    <xf numFmtId="0" fontId="22" fillId="4" borderId="28" xfId="0" applyFont="1" applyFill="1" applyBorder="1" applyAlignment="1">
      <alignment horizontal="center" wrapText="1"/>
    </xf>
    <xf numFmtId="0" fontId="22" fillId="4" borderId="31" xfId="0" applyFont="1" applyFill="1" applyBorder="1" applyAlignment="1">
      <alignment horizontal="center" wrapText="1"/>
    </xf>
    <xf numFmtId="0" fontId="0" fillId="0" borderId="34" xfId="0" applyBorder="1"/>
    <xf numFmtId="0" fontId="64" fillId="0" borderId="34" xfId="0" applyFont="1" applyBorder="1"/>
    <xf numFmtId="0" fontId="64" fillId="0" borderId="35" xfId="0" applyFont="1" applyBorder="1"/>
    <xf numFmtId="169" fontId="66" fillId="0" borderId="28" xfId="4" applyNumberFormat="1" applyFont="1" applyBorder="1" applyAlignment="1">
      <alignment horizontal="right" wrapText="1" indent="1"/>
    </xf>
    <xf numFmtId="169" fontId="65" fillId="0" borderId="34" xfId="4" applyNumberFormat="1" applyFont="1" applyBorder="1" applyAlignment="1">
      <alignment horizontal="right" wrapText="1" indent="1"/>
    </xf>
    <xf numFmtId="0" fontId="67" fillId="0" borderId="34" xfId="0" applyFont="1" applyBorder="1" applyAlignment="1">
      <alignment horizontal="left"/>
    </xf>
    <xf numFmtId="0" fontId="64" fillId="0" borderId="42" xfId="0" applyFont="1" applyBorder="1"/>
    <xf numFmtId="169" fontId="65" fillId="0" borderId="42" xfId="4" applyNumberFormat="1" applyFont="1" applyBorder="1" applyAlignment="1">
      <alignment horizontal="right" wrapText="1" indent="1"/>
    </xf>
    <xf numFmtId="0" fontId="68" fillId="0" borderId="42" xfId="0" applyFont="1" applyBorder="1" applyAlignment="1">
      <alignment horizontal="left" indent="1"/>
    </xf>
    <xf numFmtId="0" fontId="68" fillId="0" borderId="34" xfId="0" applyFont="1" applyBorder="1" applyAlignment="1">
      <alignment horizontal="left" indent="1"/>
    </xf>
    <xf numFmtId="0" fontId="68" fillId="0" borderId="42" xfId="0" applyFont="1" applyBorder="1" applyAlignment="1">
      <alignment horizontal="left" indent="2"/>
    </xf>
    <xf numFmtId="0" fontId="68" fillId="0" borderId="35" xfId="0" applyFont="1" applyBorder="1" applyAlignment="1">
      <alignment horizontal="left" indent="2"/>
    </xf>
    <xf numFmtId="0" fontId="64" fillId="0" borderId="28" xfId="0" applyFont="1" applyBorder="1"/>
    <xf numFmtId="169" fontId="65" fillId="0" borderId="28" xfId="4" applyNumberFormat="1" applyFont="1" applyBorder="1" applyAlignment="1">
      <alignment horizontal="right" wrapText="1" indent="1"/>
    </xf>
    <xf numFmtId="0" fontId="51" fillId="12" borderId="28" xfId="0" applyFont="1" applyFill="1" applyBorder="1" applyAlignment="1">
      <alignment horizontal="center" wrapText="1"/>
    </xf>
    <xf numFmtId="169" fontId="52" fillId="12" borderId="28" xfId="4" applyNumberFormat="1" applyFont="1" applyFill="1" applyBorder="1" applyAlignment="1">
      <alignment horizontal="right" wrapText="1" indent="1"/>
    </xf>
    <xf numFmtId="0" fontId="69" fillId="0" borderId="0" xfId="0" applyFont="1" applyAlignment="1">
      <alignment horizontal="right" indent="1"/>
    </xf>
    <xf numFmtId="169" fontId="65" fillId="0" borderId="28" xfId="4" applyNumberFormat="1" applyFont="1" applyBorder="1" applyAlignment="1">
      <alignment horizontal="right" wrapText="1"/>
    </xf>
    <xf numFmtId="169" fontId="66" fillId="0" borderId="35" xfId="4" applyNumberFormat="1" applyFont="1" applyBorder="1" applyAlignment="1">
      <alignment horizontal="right" wrapText="1" indent="1"/>
    </xf>
    <xf numFmtId="0" fontId="68" fillId="0" borderId="35" xfId="0" applyFont="1" applyBorder="1" applyAlignment="1">
      <alignment horizontal="left" indent="1"/>
    </xf>
    <xf numFmtId="169" fontId="65" fillId="0" borderId="35" xfId="4" applyNumberFormat="1" applyFont="1" applyBorder="1" applyAlignment="1">
      <alignment horizontal="right" wrapText="1" indent="1"/>
    </xf>
    <xf numFmtId="0" fontId="0" fillId="5" borderId="34" xfId="0" applyFill="1" applyBorder="1" applyProtection="1">
      <protection locked="0"/>
    </xf>
    <xf numFmtId="169" fontId="65" fillId="5" borderId="42" xfId="4" applyNumberFormat="1" applyFont="1" applyFill="1" applyBorder="1" applyAlignment="1" applyProtection="1">
      <alignment horizontal="right" wrapText="1" indent="1"/>
      <protection locked="0"/>
    </xf>
    <xf numFmtId="169" fontId="65" fillId="5" borderId="34" xfId="4" applyNumberFormat="1" applyFont="1" applyFill="1" applyBorder="1" applyAlignment="1" applyProtection="1">
      <alignment horizontal="right" wrapText="1" indent="1"/>
      <protection locked="0"/>
    </xf>
    <xf numFmtId="169" fontId="65" fillId="5" borderId="35" xfId="4" applyNumberFormat="1" applyFont="1" applyFill="1" applyBorder="1" applyAlignment="1" applyProtection="1">
      <alignment horizontal="right" wrapText="1" indent="1"/>
      <protection locked="0"/>
    </xf>
    <xf numFmtId="0" fontId="68" fillId="5" borderId="42" xfId="0" applyFont="1" applyFill="1" applyBorder="1" applyAlignment="1" applyProtection="1">
      <alignment horizontal="right" indent="1"/>
      <protection locked="0"/>
    </xf>
    <xf numFmtId="0" fontId="68" fillId="0" borderId="42" xfId="0" applyFont="1" applyBorder="1" applyAlignment="1">
      <alignment horizontal="right" indent="1"/>
    </xf>
    <xf numFmtId="0" fontId="0" fillId="0" borderId="0" xfId="0" applyProtection="1">
      <protection locked="0"/>
    </xf>
    <xf numFmtId="169" fontId="65" fillId="5" borderId="42" xfId="4" applyNumberFormat="1" applyFont="1" applyFill="1" applyBorder="1" applyAlignment="1" applyProtection="1">
      <alignment horizontal="right" wrapText="1"/>
      <protection locked="0"/>
    </xf>
    <xf numFmtId="0" fontId="0" fillId="0" borderId="0" xfId="0" applyAlignment="1" applyProtection="1">
      <alignment horizontal="right"/>
      <protection locked="0"/>
    </xf>
    <xf numFmtId="0" fontId="19" fillId="0" borderId="0" xfId="0" applyFont="1" applyAlignment="1" applyProtection="1">
      <alignment horizontal="right"/>
      <protection locked="0"/>
    </xf>
    <xf numFmtId="0" fontId="19" fillId="0" borderId="0" xfId="0" applyFont="1" applyAlignment="1" applyProtection="1">
      <alignment horizontal="right" wrapText="1"/>
      <protection locked="0"/>
    </xf>
    <xf numFmtId="0" fontId="9" fillId="0" borderId="0" xfId="0" applyFont="1" applyProtection="1">
      <protection locked="0"/>
    </xf>
    <xf numFmtId="0" fontId="33" fillId="0" borderId="1" xfId="0" applyFont="1" applyBorder="1" applyProtection="1">
      <protection locked="0"/>
    </xf>
    <xf numFmtId="0" fontId="34" fillId="0" borderId="1" xfId="0" applyFont="1" applyBorder="1" applyProtection="1">
      <protection locked="0"/>
    </xf>
    <xf numFmtId="0" fontId="35" fillId="0" borderId="1" xfId="0" applyFont="1" applyBorder="1" applyProtection="1">
      <protection locked="0"/>
    </xf>
    <xf numFmtId="0" fontId="32" fillId="0" borderId="0" xfId="0" applyFont="1" applyAlignment="1" applyProtection="1">
      <alignment horizontal="right"/>
      <protection locked="0"/>
    </xf>
    <xf numFmtId="0" fontId="32" fillId="0" borderId="0" xfId="0" applyFont="1" applyAlignment="1" applyProtection="1">
      <alignment horizontal="right" wrapText="1"/>
      <protection locked="0"/>
    </xf>
    <xf numFmtId="0" fontId="33" fillId="0" borderId="0" xfId="0" applyFont="1" applyProtection="1">
      <protection locked="0"/>
    </xf>
    <xf numFmtId="165" fontId="34" fillId="0" borderId="0" xfId="0" applyNumberFormat="1" applyFont="1" applyAlignment="1" applyProtection="1">
      <alignment horizontal="left" indent="1"/>
      <protection locked="0"/>
    </xf>
    <xf numFmtId="0" fontId="9" fillId="0" borderId="0" xfId="0" applyFont="1" applyAlignment="1" applyProtection="1">
      <alignment horizontal="right" wrapText="1"/>
      <protection locked="0"/>
    </xf>
    <xf numFmtId="0" fontId="36" fillId="0" borderId="0" xfId="0" applyFont="1" applyProtection="1">
      <protection locked="0"/>
    </xf>
    <xf numFmtId="169" fontId="9" fillId="0" borderId="0" xfId="0" applyNumberFormat="1" applyFont="1" applyAlignment="1" applyProtection="1">
      <alignment horizontal="right" indent="1"/>
      <protection locked="0"/>
    </xf>
    <xf numFmtId="0" fontId="47" fillId="4" borderId="11" xfId="0" applyFont="1" applyFill="1" applyBorder="1" applyAlignment="1" applyProtection="1">
      <alignment horizontal="left"/>
      <protection locked="0"/>
    </xf>
    <xf numFmtId="0" fontId="48" fillId="0" borderId="0" xfId="0" applyFont="1" applyAlignment="1" applyProtection="1">
      <alignment horizontal="left" wrapText="1"/>
      <protection locked="0"/>
    </xf>
    <xf numFmtId="0" fontId="49" fillId="0" borderId="0" xfId="0" applyFont="1" applyAlignment="1" applyProtection="1">
      <alignment horizontal="left" wrapText="1"/>
      <protection locked="0"/>
    </xf>
    <xf numFmtId="0" fontId="9" fillId="0" borderId="0" xfId="0" quotePrefix="1" applyFont="1" applyProtection="1">
      <protection locked="0"/>
    </xf>
    <xf numFmtId="0" fontId="49" fillId="0" borderId="0" xfId="0" applyFont="1" applyAlignment="1" applyProtection="1">
      <alignment wrapText="1"/>
      <protection locked="0"/>
    </xf>
    <xf numFmtId="0" fontId="47" fillId="4" borderId="11" xfId="0" applyFont="1" applyFill="1" applyBorder="1" applyAlignment="1" applyProtection="1">
      <alignment horizontal="left" wrapText="1"/>
      <protection locked="0"/>
    </xf>
    <xf numFmtId="0" fontId="0" fillId="0" borderId="0" xfId="0" applyAlignment="1" applyProtection="1">
      <alignment wrapText="1"/>
      <protection locked="0"/>
    </xf>
    <xf numFmtId="0" fontId="37" fillId="3" borderId="2" xfId="0" applyFont="1" applyFill="1" applyBorder="1" applyProtection="1">
      <protection locked="0"/>
    </xf>
    <xf numFmtId="0" fontId="37" fillId="3" borderId="3" xfId="0" applyFont="1" applyFill="1" applyBorder="1" applyProtection="1">
      <protection locked="0"/>
    </xf>
    <xf numFmtId="0" fontId="37" fillId="3" borderId="4" xfId="0" applyFont="1" applyFill="1" applyBorder="1" applyProtection="1">
      <protection locked="0"/>
    </xf>
    <xf numFmtId="169" fontId="37" fillId="3" borderId="3" xfId="0" applyNumberFormat="1" applyFont="1" applyFill="1" applyBorder="1" applyAlignment="1" applyProtection="1">
      <alignment horizontal="right" indent="1"/>
      <protection locked="0"/>
    </xf>
    <xf numFmtId="169" fontId="16" fillId="0" borderId="3" xfId="0" applyNumberFormat="1" applyFont="1" applyBorder="1" applyAlignment="1" applyProtection="1">
      <alignment horizontal="right" indent="1"/>
      <protection locked="0"/>
    </xf>
    <xf numFmtId="0" fontId="38" fillId="4" borderId="2" xfId="0" applyFont="1" applyFill="1" applyBorder="1" applyAlignment="1" applyProtection="1">
      <alignment horizontal="left"/>
      <protection locked="0"/>
    </xf>
    <xf numFmtId="0" fontId="38" fillId="4" borderId="3" xfId="0" applyFont="1" applyFill="1" applyBorder="1" applyAlignment="1" applyProtection="1">
      <alignment horizontal="left"/>
      <protection locked="0"/>
    </xf>
    <xf numFmtId="0" fontId="38" fillId="4" borderId="4" xfId="0" applyFont="1" applyFill="1" applyBorder="1" applyAlignment="1" applyProtection="1">
      <alignment horizontal="left"/>
      <protection locked="0"/>
    </xf>
    <xf numFmtId="169" fontId="38" fillId="4" borderId="3" xfId="0" applyNumberFormat="1" applyFont="1" applyFill="1" applyBorder="1" applyAlignment="1" applyProtection="1">
      <alignment horizontal="right" indent="1"/>
      <protection locked="0"/>
    </xf>
    <xf numFmtId="0" fontId="28" fillId="0" borderId="0" xfId="0" applyFont="1" applyAlignment="1" applyProtection="1">
      <alignment horizontal="right"/>
      <protection locked="0"/>
    </xf>
    <xf numFmtId="0" fontId="16" fillId="0" borderId="0" xfId="0" applyFont="1" applyAlignment="1" applyProtection="1">
      <alignment horizontal="left" indent="2"/>
      <protection locked="0"/>
    </xf>
    <xf numFmtId="169" fontId="16" fillId="0" borderId="0" xfId="4" applyNumberFormat="1" applyFont="1" applyAlignment="1" applyProtection="1">
      <alignment horizontal="right" wrapText="1" indent="1"/>
      <protection locked="0"/>
    </xf>
    <xf numFmtId="1" fontId="26" fillId="0" borderId="0" xfId="2" applyNumberFormat="1" applyFont="1" applyAlignment="1" applyProtection="1">
      <alignment horizontal="right"/>
      <protection locked="0"/>
    </xf>
    <xf numFmtId="0" fontId="39" fillId="0" borderId="2" xfId="0" applyFont="1" applyBorder="1" applyAlignment="1" applyProtection="1">
      <alignment horizontal="left" indent="4"/>
      <protection locked="0"/>
    </xf>
    <xf numFmtId="169" fontId="38" fillId="0" borderId="4" xfId="0" applyNumberFormat="1" applyFont="1" applyBorder="1" applyProtection="1">
      <protection locked="0"/>
    </xf>
    <xf numFmtId="167" fontId="40" fillId="0" borderId="0" xfId="1" applyNumberFormat="1" applyFont="1" applyAlignment="1" applyProtection="1">
      <alignment horizontal="left"/>
      <protection locked="0"/>
    </xf>
    <xf numFmtId="0" fontId="9" fillId="5" borderId="2" xfId="0" applyFont="1" applyFill="1" applyBorder="1" applyAlignment="1" applyProtection="1">
      <alignment horizontal="left" indent="2"/>
      <protection locked="0"/>
    </xf>
    <xf numFmtId="169" fontId="9" fillId="5" borderId="3" xfId="0" applyNumberFormat="1" applyFont="1" applyFill="1" applyBorder="1" applyAlignment="1" applyProtection="1">
      <alignment horizontal="right" indent="1"/>
      <protection locked="0"/>
    </xf>
    <xf numFmtId="167" fontId="41" fillId="0" borderId="0" xfId="1" applyNumberFormat="1" applyFont="1" applyAlignment="1" applyProtection="1">
      <alignment horizontal="right" wrapText="1"/>
      <protection locked="0"/>
    </xf>
    <xf numFmtId="0" fontId="27" fillId="0" borderId="0" xfId="0" applyFont="1" applyAlignment="1" applyProtection="1">
      <alignment horizontal="left" indent="2"/>
      <protection locked="0"/>
    </xf>
    <xf numFmtId="1" fontId="42" fillId="0" borderId="0" xfId="2" applyNumberFormat="1" applyFont="1" applyAlignment="1" applyProtection="1">
      <alignment horizontal="right" wrapText="1"/>
      <protection locked="0"/>
    </xf>
    <xf numFmtId="169" fontId="38" fillId="0" borderId="4" xfId="0" applyNumberFormat="1" applyFont="1" applyBorder="1" applyAlignment="1" applyProtection="1">
      <alignment horizontal="right" indent="1"/>
      <protection locked="0"/>
    </xf>
    <xf numFmtId="0" fontId="15" fillId="0" borderId="0" xfId="0" applyFont="1" applyProtection="1">
      <protection locked="0"/>
    </xf>
    <xf numFmtId="169" fontId="18" fillId="0" borderId="0" xfId="4" applyNumberFormat="1" applyFont="1" applyAlignment="1" applyProtection="1">
      <alignment horizontal="right" wrapText="1" indent="1"/>
      <protection locked="0"/>
    </xf>
    <xf numFmtId="169" fontId="15" fillId="0" borderId="0" xfId="4" applyNumberFormat="1" applyFont="1" applyAlignment="1" applyProtection="1">
      <alignment horizontal="right" wrapText="1" indent="2"/>
      <protection locked="0"/>
    </xf>
    <xf numFmtId="0" fontId="26" fillId="0" borderId="0" xfId="2" applyFont="1" applyAlignment="1" applyProtection="1">
      <alignment horizontal="right"/>
      <protection locked="0"/>
    </xf>
    <xf numFmtId="0" fontId="42" fillId="0" borderId="0" xfId="2" applyFont="1" applyAlignment="1" applyProtection="1">
      <alignment horizontal="right" wrapText="1"/>
      <protection locked="0"/>
    </xf>
    <xf numFmtId="169" fontId="43" fillId="0" borderId="0" xfId="2" applyNumberFormat="1" applyFont="1" applyAlignment="1" applyProtection="1">
      <alignment horizontal="right" indent="1"/>
      <protection locked="0"/>
    </xf>
    <xf numFmtId="0" fontId="38" fillId="4" borderId="2" xfId="0" applyFont="1" applyFill="1" applyBorder="1" applyAlignment="1" applyProtection="1">
      <alignment horizontal="left" indent="1"/>
      <protection locked="0"/>
    </xf>
    <xf numFmtId="1" fontId="26" fillId="0" borderId="0" xfId="2" applyNumberFormat="1" applyFont="1" applyAlignment="1" applyProtection="1">
      <alignment horizontal="right" wrapText="1"/>
      <protection locked="0"/>
    </xf>
    <xf numFmtId="0" fontId="41" fillId="0" borderId="0" xfId="0" applyFont="1" applyAlignment="1" applyProtection="1">
      <alignment horizontal="left" indent="4"/>
      <protection locked="0"/>
    </xf>
    <xf numFmtId="169" fontId="9" fillId="0" borderId="0" xfId="0" applyNumberFormat="1" applyFont="1" applyProtection="1">
      <protection locked="0"/>
    </xf>
    <xf numFmtId="0" fontId="38" fillId="4" borderId="7" xfId="0" applyFont="1" applyFill="1" applyBorder="1" applyAlignment="1" applyProtection="1">
      <alignment horizontal="left" indent="1"/>
      <protection locked="0"/>
    </xf>
    <xf numFmtId="0" fontId="38" fillId="4" borderId="8" xfId="0" applyFont="1" applyFill="1" applyBorder="1" applyAlignment="1" applyProtection="1">
      <alignment horizontal="left" indent="1"/>
      <protection locked="0"/>
    </xf>
    <xf numFmtId="1" fontId="43" fillId="0" borderId="0" xfId="2" applyNumberFormat="1" applyFont="1" applyAlignment="1" applyProtection="1">
      <alignment horizontal="left"/>
      <protection locked="0"/>
    </xf>
    <xf numFmtId="169" fontId="31" fillId="0" borderId="0" xfId="4" applyNumberFormat="1" applyFont="1" applyAlignment="1" applyProtection="1">
      <alignment horizontal="right" wrapText="1" indent="1"/>
      <protection locked="0"/>
    </xf>
    <xf numFmtId="1" fontId="42" fillId="0" borderId="9" xfId="2" applyNumberFormat="1" applyFont="1" applyBorder="1" applyAlignment="1" applyProtection="1">
      <alignment horizontal="right" wrapText="1"/>
      <protection locked="0"/>
    </xf>
    <xf numFmtId="0" fontId="39" fillId="0" borderId="3" xfId="0" applyFont="1" applyBorder="1" applyAlignment="1" applyProtection="1">
      <alignment horizontal="left" indent="4"/>
      <protection locked="0"/>
    </xf>
    <xf numFmtId="0" fontId="37" fillId="3" borderId="5" xfId="0" applyFont="1" applyFill="1" applyBorder="1" applyProtection="1">
      <protection locked="0"/>
    </xf>
    <xf numFmtId="0" fontId="62" fillId="0" borderId="0" xfId="0" applyFont="1"/>
    <xf numFmtId="164" fontId="26" fillId="0" borderId="28" xfId="1" applyFont="1" applyBorder="1" applyAlignment="1">
      <alignment horizontal="center"/>
    </xf>
    <xf numFmtId="170" fontId="25" fillId="2" borderId="28" xfId="1" applyNumberFormat="1" applyFont="1" applyFill="1" applyBorder="1" applyAlignment="1">
      <alignment horizontal="center"/>
    </xf>
    <xf numFmtId="164" fontId="0" fillId="0" borderId="0" xfId="1" applyFont="1"/>
    <xf numFmtId="0" fontId="10" fillId="5" borderId="29" xfId="0" applyFont="1" applyFill="1" applyBorder="1"/>
    <xf numFmtId="0" fontId="70" fillId="0" borderId="28" xfId="0" applyFont="1" applyBorder="1" applyAlignment="1">
      <alignment horizontal="left" indent="2"/>
    </xf>
    <xf numFmtId="172" fontId="66" fillId="0" borderId="28" xfId="1" applyNumberFormat="1" applyFont="1" applyBorder="1" applyAlignment="1">
      <alignment horizontal="right" wrapText="1" indent="1"/>
    </xf>
    <xf numFmtId="172" fontId="70" fillId="0" borderId="28" xfId="1" applyNumberFormat="1" applyFont="1" applyBorder="1" applyAlignment="1">
      <alignment horizontal="right" indent="1"/>
    </xf>
    <xf numFmtId="0" fontId="70" fillId="0" borderId="28" xfId="0" applyFont="1" applyBorder="1" applyAlignment="1">
      <alignment horizontal="right" indent="1"/>
    </xf>
    <xf numFmtId="0" fontId="68" fillId="5" borderId="28" xfId="0" applyFont="1" applyFill="1" applyBorder="1" applyAlignment="1">
      <alignment horizontal="left" indent="2"/>
    </xf>
    <xf numFmtId="172" fontId="65" fillId="5" borderId="28" xfId="1" applyNumberFormat="1" applyFont="1" applyFill="1" applyBorder="1" applyAlignment="1">
      <alignment horizontal="right" wrapText="1" indent="1"/>
    </xf>
    <xf numFmtId="0" fontId="68" fillId="5" borderId="28" xfId="0" applyFont="1" applyFill="1" applyBorder="1" applyAlignment="1">
      <alignment horizontal="right" indent="1"/>
    </xf>
    <xf numFmtId="169" fontId="65" fillId="5" borderId="28" xfId="4" applyNumberFormat="1" applyFont="1" applyFill="1" applyBorder="1" applyAlignment="1">
      <alignment horizontal="right" wrapText="1" indent="1"/>
    </xf>
    <xf numFmtId="0" fontId="71" fillId="0" borderId="0" xfId="0" applyFont="1" applyAlignment="1">
      <alignment horizontal="center"/>
    </xf>
    <xf numFmtId="0" fontId="29" fillId="0" borderId="6" xfId="0" applyFont="1" applyBorder="1" applyAlignment="1">
      <alignment horizontal="left" indent="1"/>
    </xf>
    <xf numFmtId="0" fontId="68" fillId="5" borderId="28" xfId="0" applyFont="1" applyFill="1" applyBorder="1" applyAlignment="1">
      <alignment horizontal="left" indent="4"/>
    </xf>
    <xf numFmtId="0" fontId="22" fillId="9" borderId="28" xfId="0" applyFont="1" applyFill="1" applyBorder="1" applyAlignment="1">
      <alignment horizontal="center" wrapText="1"/>
    </xf>
    <xf numFmtId="0" fontId="68" fillId="5" borderId="42" xfId="0" applyFont="1" applyFill="1" applyBorder="1" applyAlignment="1" applyProtection="1">
      <alignment horizontal="left" indent="2"/>
      <protection locked="0"/>
    </xf>
    <xf numFmtId="0" fontId="0" fillId="0" borderId="1" xfId="0" applyBorder="1"/>
    <xf numFmtId="164" fontId="5" fillId="0" borderId="0" xfId="0" applyNumberFormat="1" applyFont="1"/>
    <xf numFmtId="0" fontId="68" fillId="5" borderId="34" xfId="0" applyFont="1" applyFill="1" applyBorder="1" applyAlignment="1" applyProtection="1">
      <alignment horizontal="right" indent="1"/>
      <protection locked="0"/>
    </xf>
    <xf numFmtId="0" fontId="0" fillId="0" borderId="22" xfId="0" applyBorder="1"/>
    <xf numFmtId="175" fontId="68" fillId="5" borderId="42" xfId="0" applyNumberFormat="1" applyFont="1" applyFill="1" applyBorder="1" applyAlignment="1" applyProtection="1">
      <alignment horizontal="left" indent="2"/>
      <protection locked="0"/>
    </xf>
    <xf numFmtId="175" fontId="65" fillId="5" borderId="42" xfId="4" applyNumberFormat="1" applyFont="1" applyFill="1" applyBorder="1" applyAlignment="1" applyProtection="1">
      <alignment horizontal="right" wrapText="1"/>
      <protection locked="0"/>
    </xf>
    <xf numFmtId="175" fontId="65" fillId="5" borderId="34" xfId="4" applyNumberFormat="1" applyFont="1" applyFill="1" applyBorder="1" applyAlignment="1" applyProtection="1">
      <alignment horizontal="right" wrapText="1"/>
      <protection locked="0"/>
    </xf>
    <xf numFmtId="175" fontId="0" fillId="0" borderId="21" xfId="0" applyNumberFormat="1" applyBorder="1"/>
    <xf numFmtId="49" fontId="68" fillId="5" borderId="42" xfId="0" applyNumberFormat="1" applyFont="1" applyFill="1" applyBorder="1" applyAlignment="1" applyProtection="1">
      <alignment horizontal="left" indent="2"/>
      <protection locked="0"/>
    </xf>
    <xf numFmtId="49" fontId="65" fillId="5" borderId="42" xfId="4" applyNumberFormat="1" applyFont="1" applyFill="1" applyBorder="1" applyAlignment="1" applyProtection="1">
      <alignment horizontal="right" wrapText="1"/>
      <protection locked="0"/>
    </xf>
    <xf numFmtId="49" fontId="68" fillId="5" borderId="34" xfId="0" applyNumberFormat="1" applyFont="1" applyFill="1" applyBorder="1" applyAlignment="1" applyProtection="1">
      <alignment horizontal="right" indent="1"/>
      <protection locked="0"/>
    </xf>
    <xf numFmtId="49" fontId="0" fillId="0" borderId="22" xfId="0" applyNumberFormat="1" applyBorder="1"/>
    <xf numFmtId="1" fontId="0" fillId="0" borderId="0" xfId="0" applyNumberFormat="1"/>
    <xf numFmtId="0" fontId="0" fillId="0" borderId="21" xfId="0" applyBorder="1" applyProtection="1">
      <protection locked="0"/>
    </xf>
    <xf numFmtId="169" fontId="74" fillId="0" borderId="28" xfId="0" applyNumberFormat="1" applyFont="1" applyBorder="1"/>
    <xf numFmtId="169" fontId="52" fillId="2" borderId="28" xfId="4" applyNumberFormat="1" applyFont="1" applyFill="1" applyBorder="1" applyAlignment="1">
      <alignment horizontal="right" wrapText="1" indent="1"/>
    </xf>
    <xf numFmtId="169" fontId="65" fillId="10" borderId="28" xfId="4" applyNumberFormat="1" applyFont="1" applyFill="1" applyBorder="1" applyAlignment="1">
      <alignment horizontal="right" wrapText="1" indent="1"/>
    </xf>
    <xf numFmtId="164" fontId="77" fillId="13" borderId="56" xfId="1" applyFont="1" applyFill="1" applyBorder="1"/>
    <xf numFmtId="164" fontId="0" fillId="14" borderId="56" xfId="1" applyFont="1" applyFill="1" applyBorder="1"/>
    <xf numFmtId="164" fontId="0" fillId="14" borderId="57" xfId="1" applyFont="1" applyFill="1" applyBorder="1"/>
    <xf numFmtId="164" fontId="0" fillId="17" borderId="56" xfId="1" applyFont="1" applyFill="1" applyBorder="1" applyAlignment="1">
      <alignment horizontal="left" indent="2"/>
    </xf>
    <xf numFmtId="164" fontId="0" fillId="17" borderId="60" xfId="1" applyFont="1" applyFill="1" applyBorder="1"/>
    <xf numFmtId="164" fontId="0" fillId="17" borderId="61" xfId="1" applyFont="1" applyFill="1" applyBorder="1" applyAlignment="1">
      <alignment horizontal="left" indent="2"/>
    </xf>
    <xf numFmtId="164" fontId="77" fillId="16" borderId="64" xfId="1" applyFont="1" applyFill="1" applyBorder="1" applyAlignment="1">
      <alignment horizontal="left" indent="2"/>
    </xf>
    <xf numFmtId="164" fontId="77" fillId="16" borderId="65" xfId="1" applyFont="1" applyFill="1" applyBorder="1"/>
    <xf numFmtId="164" fontId="77" fillId="13" borderId="65" xfId="1" applyFont="1" applyFill="1" applyBorder="1"/>
    <xf numFmtId="164" fontId="78" fillId="15" borderId="58" xfId="1" applyFont="1" applyFill="1" applyBorder="1" applyAlignment="1">
      <alignment horizontal="center"/>
    </xf>
    <xf numFmtId="164" fontId="20" fillId="18" borderId="59" xfId="1" applyFont="1" applyFill="1" applyBorder="1"/>
    <xf numFmtId="171" fontId="20" fillId="17" borderId="62" xfId="1" applyNumberFormat="1" applyFont="1" applyFill="1" applyBorder="1"/>
    <xf numFmtId="164" fontId="78" fillId="18" borderId="58" xfId="1" applyFont="1" applyFill="1" applyBorder="1"/>
    <xf numFmtId="164" fontId="0" fillId="17" borderId="63" xfId="1" applyFont="1" applyFill="1" applyBorder="1"/>
    <xf numFmtId="0" fontId="79" fillId="0" borderId="0" xfId="0" applyFont="1" applyAlignment="1" applyProtection="1">
      <alignment horizontal="left"/>
      <protection locked="0"/>
    </xf>
    <xf numFmtId="164" fontId="58" fillId="0" borderId="0" xfId="1" applyFont="1"/>
    <xf numFmtId="0" fontId="0" fillId="0" borderId="0" xfId="0" applyAlignment="1">
      <alignment horizontal="center"/>
    </xf>
    <xf numFmtId="0" fontId="81" fillId="0" borderId="0" xfId="0" applyFont="1" applyAlignment="1">
      <alignment horizontal="left" indent="1"/>
    </xf>
    <xf numFmtId="176" fontId="58" fillId="0" borderId="35" xfId="1" applyNumberFormat="1" applyFont="1" applyBorder="1" applyAlignment="1">
      <alignment horizontal="left" indent="1"/>
    </xf>
    <xf numFmtId="164" fontId="58" fillId="0" borderId="26" xfId="1" applyFont="1" applyBorder="1"/>
    <xf numFmtId="0" fontId="70" fillId="11" borderId="28" xfId="0" applyFont="1" applyFill="1" applyBorder="1" applyAlignment="1">
      <alignment horizontal="left" indent="1"/>
    </xf>
    <xf numFmtId="0" fontId="75" fillId="11" borderId="66" xfId="0" applyFont="1" applyFill="1" applyBorder="1" applyAlignment="1">
      <alignment horizontal="left" indent="5"/>
    </xf>
    <xf numFmtId="0" fontId="75" fillId="11" borderId="67" xfId="0" applyFont="1" applyFill="1" applyBorder="1" applyAlignment="1">
      <alignment horizontal="left" indent="5"/>
    </xf>
    <xf numFmtId="0" fontId="75" fillId="11" borderId="25" xfId="0" applyFont="1" applyFill="1" applyBorder="1" applyAlignment="1">
      <alignment horizontal="left" indent="5"/>
    </xf>
    <xf numFmtId="0" fontId="51" fillId="3" borderId="28" xfId="0" applyFont="1" applyFill="1" applyBorder="1" applyAlignment="1">
      <alignment horizontal="left" indent="1"/>
    </xf>
    <xf numFmtId="0" fontId="51" fillId="3" borderId="28" xfId="0" applyFont="1" applyFill="1" applyBorder="1" applyAlignment="1">
      <alignment horizontal="center"/>
    </xf>
    <xf numFmtId="0" fontId="14" fillId="3" borderId="28" xfId="0" applyFont="1" applyFill="1" applyBorder="1" applyAlignment="1">
      <alignment horizontal="center"/>
    </xf>
    <xf numFmtId="164" fontId="51" fillId="3" borderId="28" xfId="1" applyFont="1" applyFill="1" applyBorder="1"/>
    <xf numFmtId="167" fontId="64" fillId="11" borderId="28" xfId="1" applyNumberFormat="1" applyFont="1" applyFill="1" applyBorder="1"/>
    <xf numFmtId="0" fontId="8" fillId="3" borderId="28" xfId="0" applyFont="1" applyFill="1" applyBorder="1" applyAlignment="1">
      <alignment horizontal="center"/>
    </xf>
    <xf numFmtId="164" fontId="8" fillId="3" borderId="28" xfId="1" applyFont="1" applyFill="1" applyBorder="1"/>
    <xf numFmtId="164" fontId="58" fillId="0" borderId="72" xfId="1" applyFont="1" applyBorder="1"/>
    <xf numFmtId="176" fontId="58" fillId="0" borderId="71" xfId="1" applyNumberFormat="1" applyFont="1" applyBorder="1" applyAlignment="1">
      <alignment horizontal="left" indent="1" readingOrder="1"/>
    </xf>
    <xf numFmtId="164" fontId="64" fillId="5" borderId="70" xfId="1" applyFont="1" applyFill="1" applyBorder="1"/>
    <xf numFmtId="164" fontId="64" fillId="5" borderId="35" xfId="1" applyFont="1" applyFill="1" applyBorder="1"/>
    <xf numFmtId="0" fontId="51" fillId="20" borderId="28" xfId="0" applyFont="1" applyFill="1" applyBorder="1" applyAlignment="1">
      <alignment horizontal="left" indent="1"/>
    </xf>
    <xf numFmtId="164" fontId="51" fillId="20" borderId="28" xfId="1" applyFont="1" applyFill="1" applyBorder="1"/>
    <xf numFmtId="164" fontId="8" fillId="20" borderId="28" xfId="1" applyFont="1" applyFill="1" applyBorder="1"/>
    <xf numFmtId="0" fontId="21" fillId="0" borderId="0" xfId="0" applyFont="1" applyAlignment="1">
      <alignment horizontal="left" indent="1"/>
    </xf>
    <xf numFmtId="164" fontId="64" fillId="5" borderId="71" xfId="1" applyFont="1" applyFill="1" applyBorder="1"/>
    <xf numFmtId="0" fontId="67" fillId="10" borderId="28" xfId="0" applyFont="1" applyFill="1" applyBorder="1" applyAlignment="1">
      <alignment horizontal="center"/>
    </xf>
    <xf numFmtId="0" fontId="84" fillId="0" borderId="0" xfId="0" applyFont="1"/>
    <xf numFmtId="0" fontId="51" fillId="3" borderId="29" xfId="0" applyFont="1" applyFill="1" applyBorder="1" applyAlignment="1">
      <alignment horizontal="center"/>
    </xf>
    <xf numFmtId="0" fontId="51" fillId="3" borderId="31" xfId="0" applyFont="1" applyFill="1" applyBorder="1" applyAlignment="1">
      <alignment horizontal="center"/>
    </xf>
    <xf numFmtId="0" fontId="14" fillId="3" borderId="31" xfId="0" applyFont="1" applyFill="1" applyBorder="1" applyAlignment="1">
      <alignment horizontal="left" vertical="center" indent="1"/>
    </xf>
    <xf numFmtId="173" fontId="51" fillId="3" borderId="28" xfId="0" applyNumberFormat="1" applyFont="1" applyFill="1" applyBorder="1" applyAlignment="1">
      <alignment horizontal="right"/>
    </xf>
    <xf numFmtId="173" fontId="0" fillId="0" borderId="0" xfId="0" applyNumberFormat="1" applyAlignment="1">
      <alignment horizontal="right"/>
    </xf>
    <xf numFmtId="0" fontId="49" fillId="0" borderId="0" xfId="0" applyFont="1"/>
    <xf numFmtId="173" fontId="58" fillId="0" borderId="0" xfId="0" applyNumberFormat="1" applyFont="1" applyAlignment="1">
      <alignment horizontal="right"/>
    </xf>
    <xf numFmtId="173" fontId="0" fillId="19" borderId="77" xfId="0" applyNumberFormat="1" applyFill="1" applyBorder="1" applyAlignment="1">
      <alignment horizontal="right"/>
    </xf>
    <xf numFmtId="0" fontId="89" fillId="0" borderId="0" xfId="0" applyFont="1"/>
    <xf numFmtId="0" fontId="90" fillId="0" borderId="0" xfId="0" applyFont="1" applyAlignment="1">
      <alignment vertical="center"/>
    </xf>
    <xf numFmtId="0" fontId="88" fillId="0" borderId="29" xfId="0" applyFont="1" applyBorder="1" applyAlignment="1">
      <alignment horizontal="left" indent="1"/>
    </xf>
    <xf numFmtId="0" fontId="14" fillId="3" borderId="29" xfId="0" applyFont="1" applyFill="1" applyBorder="1" applyAlignment="1">
      <alignment horizontal="left" vertical="center" indent="1"/>
    </xf>
    <xf numFmtId="0" fontId="14" fillId="3" borderId="0" xfId="0" applyFont="1" applyFill="1" applyAlignment="1">
      <alignment horizontal="left" vertical="center" indent="1"/>
    </xf>
    <xf numFmtId="0" fontId="58" fillId="0" borderId="49" xfId="0" applyFont="1" applyBorder="1"/>
    <xf numFmtId="0" fontId="70" fillId="0" borderId="0" xfId="0" applyFont="1" applyAlignment="1">
      <alignment horizontal="left" indent="1"/>
    </xf>
    <xf numFmtId="164" fontId="0" fillId="0" borderId="49" xfId="1" applyFont="1" applyBorder="1"/>
    <xf numFmtId="173" fontId="0" fillId="0" borderId="49" xfId="1" applyNumberFormat="1" applyFont="1" applyBorder="1"/>
    <xf numFmtId="177" fontId="51" fillId="3" borderId="29" xfId="1" applyNumberFormat="1" applyFont="1" applyFill="1" applyBorder="1"/>
    <xf numFmtId="177" fontId="51" fillId="3" borderId="28" xfId="1" applyNumberFormat="1" applyFont="1" applyFill="1" applyBorder="1"/>
    <xf numFmtId="0" fontId="64" fillId="0" borderId="0" xfId="0" applyFont="1"/>
    <xf numFmtId="164" fontId="68" fillId="0" borderId="0" xfId="1" applyFont="1"/>
    <xf numFmtId="0" fontId="68" fillId="0" borderId="0" xfId="0" applyFont="1"/>
    <xf numFmtId="0" fontId="58" fillId="0" borderId="95" xfId="0" applyFont="1" applyBorder="1" applyAlignment="1">
      <alignment horizontal="left" indent="1"/>
    </xf>
    <xf numFmtId="0" fontId="58" fillId="0" borderId="96" xfId="0" applyFont="1" applyBorder="1" applyAlignment="1">
      <alignment horizontal="left" indent="1"/>
    </xf>
    <xf numFmtId="0" fontId="58" fillId="0" borderId="96" xfId="0" applyFont="1" applyBorder="1"/>
    <xf numFmtId="177" fontId="58" fillId="0" borderId="96" xfId="1" applyNumberFormat="1" applyFont="1" applyBorder="1"/>
    <xf numFmtId="0" fontId="58" fillId="0" borderId="98" xfId="0" applyFont="1" applyBorder="1"/>
    <xf numFmtId="177" fontId="58" fillId="0" borderId="98" xfId="1" applyNumberFormat="1" applyFont="1" applyBorder="1"/>
    <xf numFmtId="0" fontId="58" fillId="0" borderId="101" xfId="0" applyFont="1" applyBorder="1"/>
    <xf numFmtId="177" fontId="58" fillId="0" borderId="101" xfId="1" applyNumberFormat="1" applyFont="1" applyBorder="1"/>
    <xf numFmtId="0" fontId="0" fillId="0" borderId="102" xfId="0" applyBorder="1"/>
    <xf numFmtId="177" fontId="58" fillId="0" borderId="103" xfId="1" applyNumberFormat="1" applyFont="1" applyBorder="1"/>
    <xf numFmtId="177" fontId="58" fillId="0" borderId="104" xfId="1" applyNumberFormat="1" applyFont="1" applyBorder="1"/>
    <xf numFmtId="177" fontId="58" fillId="0" borderId="105" xfId="1" applyNumberFormat="1" applyFont="1" applyBorder="1"/>
    <xf numFmtId="177" fontId="14" fillId="3" borderId="94" xfId="1" applyNumberFormat="1" applyFont="1" applyFill="1" applyBorder="1"/>
    <xf numFmtId="0" fontId="14" fillId="3" borderId="93" xfId="0" applyFont="1" applyFill="1" applyBorder="1" applyAlignment="1">
      <alignment horizontal="left" indent="2"/>
    </xf>
    <xf numFmtId="0" fontId="58" fillId="0" borderId="109" xfId="0" applyFont="1" applyBorder="1"/>
    <xf numFmtId="177" fontId="58" fillId="0" borderId="110" xfId="1" applyNumberFormat="1" applyFont="1" applyBorder="1"/>
    <xf numFmtId="0" fontId="30" fillId="10" borderId="98" xfId="0" applyFont="1" applyFill="1" applyBorder="1"/>
    <xf numFmtId="177" fontId="30" fillId="10" borderId="98" xfId="1" applyNumberFormat="1" applyFont="1" applyFill="1" applyBorder="1"/>
    <xf numFmtId="177" fontId="30" fillId="10" borderId="103" xfId="1" applyNumberFormat="1" applyFont="1" applyFill="1" applyBorder="1"/>
    <xf numFmtId="177" fontId="58" fillId="0" borderId="109" xfId="1" applyNumberFormat="1" applyFont="1" applyBorder="1"/>
    <xf numFmtId="0" fontId="30" fillId="10" borderId="112" xfId="0" applyFont="1" applyFill="1" applyBorder="1"/>
    <xf numFmtId="177" fontId="30" fillId="10" borderId="112" xfId="1" applyNumberFormat="1" applyFont="1" applyFill="1" applyBorder="1"/>
    <xf numFmtId="177" fontId="30" fillId="10" borderId="113" xfId="1" applyNumberFormat="1" applyFont="1" applyFill="1" applyBorder="1"/>
    <xf numFmtId="0" fontId="30" fillId="10" borderId="117" xfId="0" applyFont="1" applyFill="1" applyBorder="1"/>
    <xf numFmtId="177" fontId="30" fillId="10" borderId="117" xfId="1" applyNumberFormat="1" applyFont="1" applyFill="1" applyBorder="1"/>
    <xf numFmtId="177" fontId="30" fillId="10" borderId="118" xfId="1" applyNumberFormat="1" applyFont="1" applyFill="1" applyBorder="1"/>
    <xf numFmtId="9" fontId="30" fillId="11" borderId="119" xfId="10" applyFont="1" applyFill="1" applyBorder="1" applyAlignment="1">
      <alignment horizontal="center"/>
    </xf>
    <xf numFmtId="0" fontId="30" fillId="11" borderId="120" xfId="0" applyFont="1" applyFill="1" applyBorder="1"/>
    <xf numFmtId="177" fontId="30" fillId="11" borderId="120" xfId="1" applyNumberFormat="1" applyFont="1" applyFill="1" applyBorder="1"/>
    <xf numFmtId="177" fontId="30" fillId="11" borderId="121" xfId="1" applyNumberFormat="1" applyFont="1" applyFill="1" applyBorder="1"/>
    <xf numFmtId="0" fontId="30" fillId="10" borderId="124" xfId="0" applyFont="1" applyFill="1" applyBorder="1"/>
    <xf numFmtId="177" fontId="30" fillId="10" borderId="124" xfId="1" applyNumberFormat="1" applyFont="1" applyFill="1" applyBorder="1"/>
    <xf numFmtId="177" fontId="30" fillId="10" borderId="125" xfId="1" applyNumberFormat="1" applyFont="1" applyFill="1" applyBorder="1"/>
    <xf numFmtId="177" fontId="30" fillId="10" borderId="126" xfId="1" applyNumberFormat="1" applyFont="1" applyFill="1" applyBorder="1"/>
    <xf numFmtId="164" fontId="0" fillId="0" borderId="129" xfId="1" applyFont="1" applyBorder="1"/>
    <xf numFmtId="164" fontId="0" fillId="0" borderId="132" xfId="1" applyFont="1" applyBorder="1"/>
    <xf numFmtId="164" fontId="0" fillId="0" borderId="135" xfId="1" applyFont="1" applyBorder="1"/>
    <xf numFmtId="164" fontId="14" fillId="3" borderId="28" xfId="1" applyFont="1" applyFill="1" applyBorder="1" applyAlignment="1">
      <alignment horizontal="center"/>
    </xf>
    <xf numFmtId="1" fontId="0" fillId="0" borderId="6" xfId="0" applyNumberFormat="1" applyBorder="1"/>
    <xf numFmtId="177" fontId="58" fillId="0" borderId="128" xfId="1" applyNumberFormat="1" applyFont="1" applyBorder="1"/>
    <xf numFmtId="177" fontId="58" fillId="0" borderId="131" xfId="1" applyNumberFormat="1" applyFont="1" applyBorder="1"/>
    <xf numFmtId="177" fontId="58" fillId="0" borderId="134" xfId="1" applyNumberFormat="1" applyFont="1" applyBorder="1"/>
    <xf numFmtId="0" fontId="46" fillId="0" borderId="1" xfId="0" applyFont="1" applyBorder="1"/>
    <xf numFmtId="0" fontId="46" fillId="0" borderId="0" xfId="0" applyFont="1" applyAlignment="1">
      <alignment horizontal="left" indent="2"/>
    </xf>
    <xf numFmtId="164" fontId="58" fillId="0" borderId="128" xfId="1" applyFont="1" applyBorder="1"/>
    <xf numFmtId="164" fontId="58" fillId="0" borderId="131" xfId="1" applyFont="1" applyBorder="1"/>
    <xf numFmtId="164" fontId="58" fillId="0" borderId="134" xfId="1" applyFont="1" applyBorder="1"/>
    <xf numFmtId="0" fontId="58" fillId="0" borderId="0" xfId="0" applyFont="1" applyAlignment="1">
      <alignment horizontal="left" indent="2"/>
    </xf>
    <xf numFmtId="164" fontId="58" fillId="0" borderId="0" xfId="1" applyFont="1" applyAlignment="1">
      <alignment horizontal="left" vertical="top"/>
    </xf>
    <xf numFmtId="177" fontId="14" fillId="3" borderId="28" xfId="1" applyNumberFormat="1" applyFont="1" applyFill="1" applyBorder="1"/>
    <xf numFmtId="0" fontId="0" fillId="0" borderId="31" xfId="0" applyBorder="1"/>
    <xf numFmtId="0" fontId="0" fillId="0" borderId="26" xfId="0" applyBorder="1"/>
    <xf numFmtId="164" fontId="30" fillId="10" borderId="113" xfId="1" applyFont="1" applyFill="1" applyBorder="1"/>
    <xf numFmtId="0" fontId="70" fillId="0" borderId="1" xfId="0" applyFont="1" applyBorder="1"/>
    <xf numFmtId="0" fontId="58" fillId="0" borderId="127" xfId="0" applyFont="1" applyBorder="1" applyAlignment="1">
      <alignment horizontal="left" indent="3"/>
    </xf>
    <xf numFmtId="177" fontId="58" fillId="0" borderId="161" xfId="1" applyNumberFormat="1" applyFont="1" applyBorder="1" applyAlignment="1">
      <alignment horizontal="left" indent="1"/>
    </xf>
    <xf numFmtId="0" fontId="58" fillId="0" borderId="130" xfId="0" applyFont="1" applyBorder="1" applyAlignment="1">
      <alignment horizontal="left" indent="3"/>
    </xf>
    <xf numFmtId="177" fontId="58" fillId="0" borderId="162" xfId="1" applyNumberFormat="1" applyFont="1" applyBorder="1" applyAlignment="1">
      <alignment horizontal="left" indent="1"/>
    </xf>
    <xf numFmtId="0" fontId="58" fillId="0" borderId="133" xfId="0" applyFont="1" applyBorder="1" applyAlignment="1">
      <alignment horizontal="left" indent="3"/>
    </xf>
    <xf numFmtId="177" fontId="58" fillId="0" borderId="163" xfId="1" applyNumberFormat="1" applyFont="1" applyBorder="1" applyAlignment="1">
      <alignment horizontal="left" indent="1"/>
    </xf>
    <xf numFmtId="177" fontId="58" fillId="0" borderId="127" xfId="1" applyNumberFormat="1" applyFont="1" applyBorder="1" applyAlignment="1">
      <alignment horizontal="right"/>
    </xf>
    <xf numFmtId="177" fontId="58" fillId="0" borderId="129" xfId="1" applyNumberFormat="1" applyFont="1" applyBorder="1" applyAlignment="1">
      <alignment horizontal="right"/>
    </xf>
    <xf numFmtId="177" fontId="58" fillId="0" borderId="165" xfId="1" applyNumberFormat="1" applyFont="1" applyBorder="1" applyAlignment="1">
      <alignment horizontal="right"/>
    </xf>
    <xf numFmtId="177" fontId="58" fillId="0" borderId="130" xfId="1" applyNumberFormat="1" applyFont="1" applyBorder="1" applyAlignment="1">
      <alignment horizontal="right"/>
    </xf>
    <xf numFmtId="177" fontId="58" fillId="0" borderId="132" xfId="1" applyNumberFormat="1" applyFont="1" applyBorder="1" applyAlignment="1">
      <alignment horizontal="right"/>
    </xf>
    <xf numFmtId="177" fontId="58" fillId="0" borderId="166" xfId="1" applyNumberFormat="1" applyFont="1" applyBorder="1" applyAlignment="1">
      <alignment horizontal="right"/>
    </xf>
    <xf numFmtId="177" fontId="58" fillId="0" borderId="133" xfId="1" applyNumberFormat="1" applyFont="1" applyBorder="1" applyAlignment="1">
      <alignment horizontal="right"/>
    </xf>
    <xf numFmtId="177" fontId="58" fillId="0" borderId="135" xfId="1" applyNumberFormat="1" applyFont="1" applyBorder="1" applyAlignment="1">
      <alignment horizontal="right"/>
    </xf>
    <xf numFmtId="177" fontId="58" fillId="0" borderId="167" xfId="1" applyNumberFormat="1" applyFont="1" applyBorder="1" applyAlignment="1">
      <alignment horizontal="right"/>
    </xf>
    <xf numFmtId="177" fontId="80" fillId="3" borderId="28" xfId="1" applyNumberFormat="1" applyFont="1" applyFill="1" applyBorder="1" applyAlignment="1">
      <alignment horizontal="right"/>
    </xf>
    <xf numFmtId="177" fontId="58" fillId="0" borderId="40" xfId="1" applyNumberFormat="1" applyFont="1" applyBorder="1" applyAlignment="1">
      <alignment horizontal="right"/>
    </xf>
    <xf numFmtId="177" fontId="58" fillId="0" borderId="41" xfId="1" applyNumberFormat="1" applyFont="1" applyBorder="1" applyAlignment="1">
      <alignment horizontal="right"/>
    </xf>
    <xf numFmtId="177" fontId="58" fillId="0" borderId="54" xfId="1" applyNumberFormat="1" applyFont="1" applyBorder="1" applyAlignment="1">
      <alignment horizontal="left" indent="1"/>
    </xf>
    <xf numFmtId="177" fontId="58" fillId="0" borderId="54" xfId="1" applyNumberFormat="1" applyFont="1" applyBorder="1" applyAlignment="1">
      <alignment horizontal="right"/>
    </xf>
    <xf numFmtId="177" fontId="58" fillId="0" borderId="40" xfId="1" applyNumberFormat="1" applyFont="1" applyBorder="1" applyAlignment="1">
      <alignment horizontal="left" indent="1"/>
    </xf>
    <xf numFmtId="177" fontId="58" fillId="0" borderId="41" xfId="1" applyNumberFormat="1" applyFont="1" applyBorder="1" applyAlignment="1">
      <alignment horizontal="left" indent="1"/>
    </xf>
    <xf numFmtId="0" fontId="70" fillId="0" borderId="1" xfId="0" applyFont="1" applyBorder="1" applyAlignment="1">
      <alignment horizontal="left" indent="1"/>
    </xf>
    <xf numFmtId="0" fontId="0" fillId="0" borderId="26" xfId="0" applyBorder="1" applyAlignment="1">
      <alignment horizontal="left" indent="1"/>
    </xf>
    <xf numFmtId="0" fontId="70" fillId="0" borderId="30" xfId="0" applyFont="1" applyBorder="1"/>
    <xf numFmtId="177" fontId="58" fillId="0" borderId="40" xfId="1" applyNumberFormat="1" applyFont="1" applyBorder="1" applyAlignment="1">
      <alignment horizontal="right" indent="1"/>
    </xf>
    <xf numFmtId="177" fontId="58" fillId="0" borderId="41" xfId="1" applyNumberFormat="1" applyFont="1" applyBorder="1" applyAlignment="1">
      <alignment horizontal="right" indent="1"/>
    </xf>
    <xf numFmtId="177" fontId="80" fillId="3" borderId="35" xfId="1" applyNumberFormat="1" applyFont="1" applyFill="1" applyBorder="1" applyAlignment="1">
      <alignment horizontal="right"/>
    </xf>
    <xf numFmtId="177" fontId="58" fillId="0" borderId="54" xfId="1" applyNumberFormat="1" applyFont="1" applyBorder="1" applyAlignment="1">
      <alignment horizontal="right" indent="1"/>
    </xf>
    <xf numFmtId="0" fontId="58" fillId="0" borderId="54" xfId="0" applyFont="1" applyBorder="1" applyAlignment="1">
      <alignment horizontal="left" indent="1"/>
    </xf>
    <xf numFmtId="0" fontId="58" fillId="0" borderId="40" xfId="0" applyFont="1" applyBorder="1" applyAlignment="1">
      <alignment horizontal="left" indent="1"/>
    </xf>
    <xf numFmtId="0" fontId="58" fillId="0" borderId="41" xfId="0" applyFont="1" applyBorder="1" applyAlignment="1">
      <alignment horizontal="left" indent="1"/>
    </xf>
    <xf numFmtId="0" fontId="70" fillId="0" borderId="25" xfId="0" applyFont="1" applyBorder="1" applyAlignment="1">
      <alignment horizontal="left"/>
    </xf>
    <xf numFmtId="0" fontId="92" fillId="0" borderId="0" xfId="0" applyFont="1" applyAlignment="1">
      <alignment horizontal="left" vertical="center"/>
    </xf>
    <xf numFmtId="0" fontId="64" fillId="0" borderId="0" xfId="0" applyFont="1" applyAlignment="1">
      <alignment horizontal="left" vertical="center" indent="2"/>
    </xf>
    <xf numFmtId="0" fontId="0" fillId="0" borderId="0" xfId="0" applyAlignment="1">
      <alignment horizontal="left" indent="5"/>
    </xf>
    <xf numFmtId="0" fontId="0" fillId="0" borderId="0" xfId="0" applyAlignment="1">
      <alignment horizontal="left" indent="6"/>
    </xf>
    <xf numFmtId="0" fontId="0" fillId="0" borderId="0" xfId="0" applyAlignment="1">
      <alignment horizontal="left" indent="7"/>
    </xf>
    <xf numFmtId="0" fontId="0" fillId="0" borderId="0" xfId="0" applyAlignment="1">
      <alignment horizontal="left" indent="8"/>
    </xf>
    <xf numFmtId="0" fontId="46" fillId="0" borderId="0" xfId="0" applyFont="1" applyAlignment="1">
      <alignment horizontal="left" vertical="center"/>
    </xf>
    <xf numFmtId="0" fontId="0" fillId="0" borderId="0" xfId="0" applyAlignment="1">
      <alignment vertical="top" wrapText="1"/>
    </xf>
    <xf numFmtId="164" fontId="64" fillId="0" borderId="70" xfId="1" applyFont="1" applyBorder="1" applyProtection="1">
      <protection locked="0"/>
    </xf>
    <xf numFmtId="164" fontId="68" fillId="0" borderId="69" xfId="1" applyFont="1" applyBorder="1" applyProtection="1">
      <protection locked="0"/>
    </xf>
    <xf numFmtId="164" fontId="64" fillId="0" borderId="35" xfId="1" applyFont="1" applyBorder="1" applyProtection="1">
      <protection locked="0"/>
    </xf>
    <xf numFmtId="164" fontId="68" fillId="0" borderId="26" xfId="1" applyFont="1" applyBorder="1" applyProtection="1">
      <protection locked="0"/>
    </xf>
    <xf numFmtId="164" fontId="51" fillId="20" borderId="28" xfId="1" applyFont="1" applyFill="1" applyBorder="1" applyProtection="1">
      <protection locked="0"/>
    </xf>
    <xf numFmtId="164" fontId="8" fillId="20" borderId="28" xfId="1" applyFont="1" applyFill="1" applyBorder="1" applyProtection="1">
      <protection locked="0"/>
    </xf>
    <xf numFmtId="164" fontId="64" fillId="0" borderId="71" xfId="1" applyFont="1" applyBorder="1" applyProtection="1">
      <protection locked="0"/>
    </xf>
    <xf numFmtId="164" fontId="68" fillId="0" borderId="72" xfId="1" applyFont="1" applyBorder="1" applyProtection="1">
      <protection locked="0"/>
    </xf>
    <xf numFmtId="164" fontId="68" fillId="0" borderId="71" xfId="1" applyFont="1" applyBorder="1" applyProtection="1">
      <protection locked="0"/>
    </xf>
    <xf numFmtId="164" fontId="68" fillId="0" borderId="70" xfId="1" applyFont="1" applyBorder="1" applyProtection="1">
      <protection locked="0"/>
    </xf>
    <xf numFmtId="164" fontId="68" fillId="0" borderId="35" xfId="1" applyFont="1" applyBorder="1" applyProtection="1">
      <protection locked="0"/>
    </xf>
    <xf numFmtId="0" fontId="68" fillId="11" borderId="66" xfId="0" applyFont="1" applyFill="1" applyBorder="1" applyAlignment="1" applyProtection="1">
      <alignment horizontal="left" indent="5"/>
      <protection locked="0"/>
    </xf>
    <xf numFmtId="0" fontId="68" fillId="11" borderId="67" xfId="0" applyFont="1" applyFill="1" applyBorder="1" applyAlignment="1" applyProtection="1">
      <alignment horizontal="left" indent="5"/>
      <protection locked="0"/>
    </xf>
    <xf numFmtId="0" fontId="68" fillId="11" borderId="25" xfId="0" applyFont="1" applyFill="1" applyBorder="1" applyAlignment="1" applyProtection="1">
      <alignment horizontal="left" indent="5"/>
      <protection locked="0"/>
    </xf>
    <xf numFmtId="9" fontId="83" fillId="0" borderId="31" xfId="0" applyNumberFormat="1" applyFont="1" applyBorder="1" applyProtection="1">
      <protection locked="0"/>
    </xf>
    <xf numFmtId="173" fontId="83" fillId="0" borderId="75" xfId="0" applyNumberFormat="1" applyFont="1" applyBorder="1" applyAlignment="1" applyProtection="1">
      <alignment horizontal="right"/>
      <protection locked="0"/>
    </xf>
    <xf numFmtId="173" fontId="83" fillId="0" borderId="76" xfId="0" applyNumberFormat="1" applyFont="1" applyBorder="1" applyAlignment="1" applyProtection="1">
      <alignment horizontal="right"/>
      <protection locked="0"/>
    </xf>
    <xf numFmtId="173" fontId="83" fillId="22" borderId="75" xfId="0" applyNumberFormat="1" applyFont="1" applyFill="1" applyBorder="1" applyAlignment="1" applyProtection="1">
      <alignment horizontal="right"/>
      <protection locked="0"/>
    </xf>
    <xf numFmtId="173" fontId="83" fillId="22" borderId="76" xfId="0" applyNumberFormat="1" applyFont="1" applyFill="1" applyBorder="1" applyAlignment="1" applyProtection="1">
      <alignment horizontal="right"/>
      <protection locked="0"/>
    </xf>
    <xf numFmtId="173" fontId="0" fillId="0" borderId="75" xfId="0" applyNumberFormat="1" applyBorder="1" applyAlignment="1" applyProtection="1">
      <alignment horizontal="right"/>
      <protection locked="0"/>
    </xf>
    <xf numFmtId="173" fontId="0" fillId="0" borderId="76" xfId="0" applyNumberFormat="1" applyBorder="1" applyAlignment="1" applyProtection="1">
      <alignment horizontal="right"/>
      <protection locked="0"/>
    </xf>
    <xf numFmtId="173" fontId="0" fillId="22" borderId="75" xfId="0" applyNumberFormat="1" applyFill="1" applyBorder="1" applyAlignment="1" applyProtection="1">
      <alignment horizontal="right"/>
      <protection locked="0"/>
    </xf>
    <xf numFmtId="173" fontId="0" fillId="22" borderId="76" xfId="0" applyNumberFormat="1" applyFill="1" applyBorder="1" applyAlignment="1" applyProtection="1">
      <alignment horizontal="right"/>
      <protection locked="0"/>
    </xf>
    <xf numFmtId="10" fontId="0" fillId="0" borderId="28" xfId="0" applyNumberFormat="1" applyBorder="1" applyProtection="1">
      <protection locked="0"/>
    </xf>
    <xf numFmtId="173" fontId="0" fillId="0" borderId="73" xfId="0" applyNumberFormat="1" applyBorder="1" applyAlignment="1" applyProtection="1">
      <alignment horizontal="right"/>
      <protection locked="0"/>
    </xf>
    <xf numFmtId="173" fontId="0" fillId="0" borderId="74" xfId="0" applyNumberFormat="1" applyBorder="1" applyAlignment="1" applyProtection="1">
      <alignment horizontal="right"/>
      <protection locked="0"/>
    </xf>
    <xf numFmtId="173" fontId="0" fillId="22" borderId="73" xfId="0" applyNumberFormat="1" applyFill="1" applyBorder="1" applyAlignment="1" applyProtection="1">
      <alignment horizontal="right"/>
      <protection locked="0"/>
    </xf>
    <xf numFmtId="173" fontId="0" fillId="22" borderId="74" xfId="0" applyNumberFormat="1" applyFill="1" applyBorder="1" applyAlignment="1" applyProtection="1">
      <alignment horizontal="right"/>
      <protection locked="0"/>
    </xf>
    <xf numFmtId="9" fontId="0" fillId="0" borderId="37" xfId="10" applyFont="1" applyBorder="1" applyProtection="1">
      <protection locked="0"/>
    </xf>
    <xf numFmtId="173" fontId="0" fillId="0" borderId="81" xfId="0" applyNumberFormat="1" applyBorder="1" applyAlignment="1" applyProtection="1">
      <alignment horizontal="right"/>
      <protection locked="0"/>
    </xf>
    <xf numFmtId="173" fontId="0" fillId="0" borderId="82" xfId="0" applyNumberFormat="1" applyBorder="1" applyAlignment="1" applyProtection="1">
      <alignment horizontal="right"/>
      <protection locked="0"/>
    </xf>
    <xf numFmtId="173" fontId="0" fillId="22" borderId="81" xfId="0" applyNumberFormat="1" applyFill="1" applyBorder="1" applyAlignment="1" applyProtection="1">
      <alignment horizontal="right"/>
      <protection locked="0"/>
    </xf>
    <xf numFmtId="173" fontId="0" fillId="22" borderId="82" xfId="0" applyNumberFormat="1" applyFill="1" applyBorder="1" applyAlignment="1" applyProtection="1">
      <alignment horizontal="right"/>
      <protection locked="0"/>
    </xf>
    <xf numFmtId="173" fontId="0" fillId="0" borderId="83" xfId="0" applyNumberFormat="1" applyBorder="1" applyAlignment="1" applyProtection="1">
      <alignment horizontal="right"/>
      <protection locked="0"/>
    </xf>
    <xf numFmtId="173" fontId="0" fillId="0" borderId="84" xfId="0" applyNumberFormat="1" applyBorder="1" applyAlignment="1" applyProtection="1">
      <alignment horizontal="right"/>
      <protection locked="0"/>
    </xf>
    <xf numFmtId="173" fontId="0" fillId="22" borderId="83" xfId="0" applyNumberFormat="1" applyFill="1" applyBorder="1" applyAlignment="1" applyProtection="1">
      <alignment horizontal="right"/>
      <protection locked="0"/>
    </xf>
    <xf numFmtId="173" fontId="0" fillId="22" borderId="84" xfId="0" applyNumberFormat="1" applyFill="1" applyBorder="1" applyAlignment="1" applyProtection="1">
      <alignment horizontal="right"/>
      <protection locked="0"/>
    </xf>
    <xf numFmtId="0" fontId="14" fillId="3" borderId="20" xfId="0" applyFont="1" applyFill="1" applyBorder="1" applyAlignment="1">
      <alignment horizontal="center"/>
    </xf>
    <xf numFmtId="0" fontId="51" fillId="3" borderId="90" xfId="0" applyFont="1" applyFill="1" applyBorder="1" applyAlignment="1">
      <alignment horizontal="center"/>
    </xf>
    <xf numFmtId="0" fontId="51" fillId="3" borderId="18" xfId="0" applyFont="1" applyFill="1" applyBorder="1" applyAlignment="1">
      <alignment horizontal="center"/>
    </xf>
    <xf numFmtId="0" fontId="51" fillId="21" borderId="88" xfId="0" applyFont="1" applyFill="1" applyBorder="1" applyAlignment="1">
      <alignment horizontal="center"/>
    </xf>
    <xf numFmtId="0" fontId="51" fillId="21" borderId="89" xfId="0" applyFont="1" applyFill="1" applyBorder="1" applyAlignment="1">
      <alignment horizontal="center"/>
    </xf>
    <xf numFmtId="173" fontId="83" fillId="19" borderId="79" xfId="0" applyNumberFormat="1" applyFont="1" applyFill="1" applyBorder="1" applyAlignment="1">
      <alignment horizontal="right"/>
    </xf>
    <xf numFmtId="173" fontId="83" fillId="19" borderId="80" xfId="0" applyNumberFormat="1" applyFont="1" applyFill="1" applyBorder="1" applyAlignment="1">
      <alignment horizontal="right"/>
    </xf>
    <xf numFmtId="0" fontId="83" fillId="0" borderId="0" xfId="0" applyFont="1"/>
    <xf numFmtId="173" fontId="83" fillId="19" borderId="75" xfId="0" applyNumberFormat="1" applyFont="1" applyFill="1" applyBorder="1" applyAlignment="1">
      <alignment horizontal="right"/>
    </xf>
    <xf numFmtId="173" fontId="83" fillId="19" borderId="76" xfId="0" applyNumberFormat="1" applyFont="1" applyFill="1" applyBorder="1" applyAlignment="1">
      <alignment horizontal="right"/>
    </xf>
    <xf numFmtId="173" fontId="0" fillId="19" borderId="75" xfId="0" applyNumberFormat="1" applyFill="1" applyBorder="1" applyAlignment="1">
      <alignment horizontal="right"/>
    </xf>
    <xf numFmtId="173" fontId="0" fillId="19" borderId="76" xfId="0" applyNumberFormat="1" applyFill="1" applyBorder="1" applyAlignment="1">
      <alignment horizontal="right"/>
    </xf>
    <xf numFmtId="173" fontId="0" fillId="19" borderId="73" xfId="0" applyNumberFormat="1" applyFill="1" applyBorder="1" applyAlignment="1">
      <alignment horizontal="right"/>
    </xf>
    <xf numFmtId="173" fontId="0" fillId="19" borderId="74" xfId="0" applyNumberFormat="1" applyFill="1" applyBorder="1" applyAlignment="1">
      <alignment horizontal="right"/>
    </xf>
    <xf numFmtId="173" fontId="0" fillId="19" borderId="81" xfId="0" applyNumberFormat="1" applyFill="1" applyBorder="1" applyAlignment="1">
      <alignment horizontal="right"/>
    </xf>
    <xf numFmtId="173" fontId="0" fillId="19" borderId="82" xfId="0" applyNumberFormat="1" applyFill="1" applyBorder="1" applyAlignment="1">
      <alignment horizontal="right"/>
    </xf>
    <xf numFmtId="173" fontId="0" fillId="19" borderId="83" xfId="0" applyNumberFormat="1" applyFill="1" applyBorder="1" applyAlignment="1">
      <alignment horizontal="right"/>
    </xf>
    <xf numFmtId="173" fontId="0" fillId="19" borderId="84" xfId="0" applyNumberFormat="1" applyFill="1" applyBorder="1" applyAlignment="1">
      <alignment horizontal="right"/>
    </xf>
    <xf numFmtId="0" fontId="0" fillId="0" borderId="0" xfId="0" applyAlignment="1">
      <alignment horizontal="left" indent="1"/>
    </xf>
    <xf numFmtId="173" fontId="77" fillId="21" borderId="28" xfId="0" applyNumberFormat="1" applyFont="1" applyFill="1" applyBorder="1" applyAlignment="1">
      <alignment horizontal="right"/>
    </xf>
    <xf numFmtId="0" fontId="51" fillId="3" borderId="28" xfId="0" applyFont="1" applyFill="1" applyBorder="1" applyAlignment="1">
      <alignment horizontal="left" indent="2"/>
    </xf>
    <xf numFmtId="164" fontId="0" fillId="0" borderId="49" xfId="1" applyFont="1" applyBorder="1" applyProtection="1">
      <protection locked="0"/>
    </xf>
    <xf numFmtId="164" fontId="0" fillId="0" borderId="42" xfId="1" applyFont="1" applyBorder="1" applyProtection="1">
      <protection locked="0"/>
    </xf>
    <xf numFmtId="177" fontId="58" fillId="0" borderId="96" xfId="1" applyNumberFormat="1" applyFont="1" applyBorder="1" applyProtection="1">
      <protection locked="0"/>
    </xf>
    <xf numFmtId="177" fontId="58" fillId="0" borderId="101" xfId="1" applyNumberFormat="1" applyFont="1" applyBorder="1" applyProtection="1">
      <protection locked="0"/>
    </xf>
    <xf numFmtId="177" fontId="58" fillId="0" borderId="104" xfId="1" applyNumberFormat="1" applyFont="1" applyBorder="1" applyProtection="1">
      <protection locked="0"/>
    </xf>
    <xf numFmtId="0" fontId="58" fillId="0" borderId="96" xfId="0" applyFont="1" applyBorder="1" applyProtection="1">
      <protection locked="0"/>
    </xf>
    <xf numFmtId="0" fontId="58" fillId="19" borderId="100" xfId="0" applyFont="1" applyFill="1" applyBorder="1" applyAlignment="1" applyProtection="1">
      <alignment horizontal="left" indent="1"/>
      <protection locked="0"/>
    </xf>
    <xf numFmtId="0" fontId="58" fillId="0" borderId="97" xfId="0" applyFont="1" applyBorder="1" applyAlignment="1" applyProtection="1">
      <alignment horizontal="left" indent="1"/>
      <protection locked="0"/>
    </xf>
    <xf numFmtId="0" fontId="58" fillId="0" borderId="99" xfId="0" applyFont="1" applyBorder="1" applyAlignment="1" applyProtection="1">
      <alignment horizontal="left" indent="1"/>
      <protection locked="0"/>
    </xf>
    <xf numFmtId="9" fontId="30" fillId="10" borderId="111" xfId="10" applyFont="1" applyFill="1" applyBorder="1" applyAlignment="1" applyProtection="1">
      <alignment horizontal="center"/>
      <protection locked="0"/>
    </xf>
    <xf numFmtId="0" fontId="58" fillId="0" borderId="114" xfId="0" applyFont="1" applyBorder="1" applyAlignment="1" applyProtection="1">
      <alignment horizontal="right" indent="4"/>
      <protection locked="0"/>
    </xf>
    <xf numFmtId="0" fontId="58" fillId="0" borderId="114" xfId="0" applyFont="1" applyBorder="1" applyAlignment="1" applyProtection="1">
      <alignment horizontal="left" indent="1"/>
      <protection locked="0"/>
    </xf>
    <xf numFmtId="177" fontId="58" fillId="0" borderId="109" xfId="1" applyNumberFormat="1" applyFont="1" applyBorder="1" applyProtection="1">
      <protection locked="0"/>
    </xf>
    <xf numFmtId="9" fontId="30" fillId="10" borderId="123" xfId="10" applyFont="1" applyFill="1" applyBorder="1" applyAlignment="1" applyProtection="1">
      <alignment horizontal="center"/>
      <protection locked="0"/>
    </xf>
    <xf numFmtId="0" fontId="58" fillId="0" borderId="122" xfId="0" applyFont="1" applyBorder="1" applyAlignment="1" applyProtection="1">
      <alignment horizontal="right" indent="4"/>
      <protection locked="0"/>
    </xf>
    <xf numFmtId="9" fontId="30" fillId="10" borderId="116" xfId="10" applyFont="1" applyFill="1" applyBorder="1" applyAlignment="1" applyProtection="1">
      <alignment horizontal="center"/>
      <protection locked="0"/>
    </xf>
    <xf numFmtId="177" fontId="30" fillId="10" borderId="117" xfId="1" applyNumberFormat="1" applyFont="1" applyFill="1" applyBorder="1" applyProtection="1">
      <protection locked="0"/>
    </xf>
    <xf numFmtId="9" fontId="30" fillId="10" borderId="115" xfId="10" applyFont="1" applyFill="1" applyBorder="1" applyAlignment="1" applyProtection="1">
      <alignment horizontal="center"/>
      <protection locked="0"/>
    </xf>
    <xf numFmtId="177" fontId="30" fillId="10" borderId="98" xfId="1" applyNumberFormat="1" applyFont="1" applyFill="1" applyBorder="1" applyProtection="1">
      <protection locked="0"/>
    </xf>
    <xf numFmtId="0" fontId="58" fillId="0" borderId="127" xfId="0" applyFont="1" applyBorder="1" applyAlignment="1" applyProtection="1">
      <alignment horizontal="left" indent="2"/>
      <protection locked="0"/>
    </xf>
    <xf numFmtId="0" fontId="58" fillId="0" borderId="130" xfId="0" applyFont="1" applyBorder="1" applyAlignment="1" applyProtection="1">
      <alignment horizontal="left" indent="2"/>
      <protection locked="0"/>
    </xf>
    <xf numFmtId="0" fontId="58" fillId="0" borderId="133" xfId="0" applyFont="1" applyBorder="1" applyAlignment="1" applyProtection="1">
      <alignment horizontal="left" indent="2"/>
      <protection locked="0"/>
    </xf>
    <xf numFmtId="0" fontId="68" fillId="5" borderId="174" xfId="0" applyFont="1" applyFill="1" applyBorder="1"/>
    <xf numFmtId="0" fontId="0" fillId="5" borderId="175" xfId="0" applyFill="1" applyBorder="1"/>
    <xf numFmtId="0" fontId="0" fillId="5" borderId="176" xfId="0" applyFill="1" applyBorder="1"/>
    <xf numFmtId="0" fontId="64" fillId="5" borderId="177" xfId="0" applyFont="1" applyFill="1" applyBorder="1" applyAlignment="1">
      <alignment horizontal="left" vertical="center" indent="2"/>
    </xf>
    <xf numFmtId="0" fontId="0" fillId="5" borderId="0" xfId="0" applyFill="1"/>
    <xf numFmtId="0" fontId="0" fillId="5" borderId="178" xfId="0" applyFill="1" applyBorder="1"/>
    <xf numFmtId="0" fontId="0" fillId="5" borderId="177" xfId="0" applyFill="1" applyBorder="1" applyAlignment="1">
      <alignment horizontal="left" indent="2"/>
    </xf>
    <xf numFmtId="0" fontId="68" fillId="5" borderId="177" xfId="0" applyFont="1" applyFill="1" applyBorder="1"/>
    <xf numFmtId="0" fontId="0" fillId="5" borderId="177" xfId="0" applyFill="1" applyBorder="1"/>
    <xf numFmtId="0" fontId="0" fillId="5" borderId="179" xfId="0" applyFill="1" applyBorder="1"/>
    <xf numFmtId="0" fontId="0" fillId="5" borderId="173" xfId="0" applyFill="1" applyBorder="1"/>
    <xf numFmtId="0" fontId="0" fillId="5" borderId="180" xfId="0" applyFill="1" applyBorder="1"/>
    <xf numFmtId="0" fontId="0" fillId="5" borderId="174" xfId="0" applyFill="1" applyBorder="1"/>
    <xf numFmtId="0" fontId="64" fillId="5" borderId="179" xfId="0" applyFont="1" applyFill="1" applyBorder="1" applyAlignment="1">
      <alignment horizontal="left" vertical="center" indent="2"/>
    </xf>
    <xf numFmtId="0" fontId="0" fillId="5" borderId="179" xfId="0" applyFill="1" applyBorder="1" applyAlignment="1">
      <alignment horizontal="left" indent="2"/>
    </xf>
    <xf numFmtId="0" fontId="64" fillId="5" borderId="174" xfId="0" applyFont="1" applyFill="1" applyBorder="1" applyAlignment="1">
      <alignment horizontal="left" vertical="center" indent="2"/>
    </xf>
    <xf numFmtId="0" fontId="0" fillId="0" borderId="130" xfId="0" applyBorder="1" applyProtection="1">
      <protection locked="0"/>
    </xf>
    <xf numFmtId="177" fontId="58" fillId="0" borderId="40" xfId="1" applyNumberFormat="1" applyFont="1" applyBorder="1" applyAlignment="1" applyProtection="1">
      <alignment horizontal="right"/>
      <protection locked="0"/>
    </xf>
    <xf numFmtId="177" fontId="58" fillId="0" borderId="41" xfId="1" applyNumberFormat="1" applyFont="1" applyBorder="1" applyAlignment="1" applyProtection="1">
      <alignment horizontal="right"/>
      <protection locked="0"/>
    </xf>
    <xf numFmtId="177" fontId="58" fillId="0" borderId="54" xfId="1" applyNumberFormat="1" applyFont="1" applyBorder="1" applyAlignment="1" applyProtection="1">
      <alignment horizontal="right"/>
      <protection locked="0"/>
    </xf>
    <xf numFmtId="0" fontId="58" fillId="0" borderId="40" xfId="0" applyFont="1" applyBorder="1" applyAlignment="1" applyProtection="1">
      <alignment horizontal="left" indent="3"/>
      <protection locked="0"/>
    </xf>
    <xf numFmtId="0" fontId="58" fillId="0" borderId="41" xfId="0" applyFont="1" applyBorder="1" applyAlignment="1" applyProtection="1">
      <alignment horizontal="left" indent="3"/>
      <protection locked="0"/>
    </xf>
    <xf numFmtId="0" fontId="58" fillId="0" borderId="54" xfId="0" applyFont="1" applyBorder="1" applyAlignment="1" applyProtection="1">
      <alignment horizontal="left" indent="3"/>
      <protection locked="0"/>
    </xf>
    <xf numFmtId="0" fontId="0" fillId="26" borderId="0" xfId="0" applyFill="1"/>
    <xf numFmtId="0" fontId="64" fillId="26" borderId="0" xfId="0" applyFont="1" applyFill="1" applyAlignment="1">
      <alignment horizontal="left" vertical="center" indent="2"/>
    </xf>
    <xf numFmtId="0" fontId="64" fillId="26" borderId="174" xfId="0" applyFont="1" applyFill="1" applyBorder="1" applyAlignment="1">
      <alignment horizontal="left" vertical="center" indent="2"/>
    </xf>
    <xf numFmtId="0" fontId="0" fillId="26" borderId="175" xfId="0" applyFill="1" applyBorder="1"/>
    <xf numFmtId="0" fontId="64" fillId="26" borderId="175" xfId="0" applyFont="1" applyFill="1" applyBorder="1" applyAlignment="1">
      <alignment horizontal="left" vertical="center" indent="2"/>
    </xf>
    <xf numFmtId="0" fontId="64" fillId="26" borderId="176" xfId="0" applyFont="1" applyFill="1" applyBorder="1" applyAlignment="1">
      <alignment horizontal="left" vertical="center" indent="2"/>
    </xf>
    <xf numFmtId="0" fontId="64" fillId="26" borderId="177" xfId="0" applyFont="1" applyFill="1" applyBorder="1" applyAlignment="1">
      <alignment horizontal="left" vertical="center" indent="2"/>
    </xf>
    <xf numFmtId="0" fontId="64" fillId="26" borderId="178" xfId="0" applyFont="1" applyFill="1" applyBorder="1" applyAlignment="1">
      <alignment horizontal="left" vertical="center" indent="2"/>
    </xf>
    <xf numFmtId="0" fontId="64" fillId="26" borderId="179" xfId="0" applyFont="1" applyFill="1" applyBorder="1" applyAlignment="1">
      <alignment horizontal="left" vertical="center" indent="2"/>
    </xf>
    <xf numFmtId="0" fontId="0" fillId="26" borderId="173" xfId="0" applyFill="1" applyBorder="1"/>
    <xf numFmtId="0" fontId="64" fillId="26" borderId="173" xfId="0" applyFont="1" applyFill="1" applyBorder="1" applyAlignment="1">
      <alignment horizontal="left" vertical="center" indent="2"/>
    </xf>
    <xf numFmtId="0" fontId="64" fillId="26" borderId="180" xfId="0" applyFont="1" applyFill="1" applyBorder="1" applyAlignment="1">
      <alignment horizontal="left" vertical="center" indent="2"/>
    </xf>
    <xf numFmtId="0" fontId="64" fillId="26" borderId="0" xfId="0" applyFont="1" applyFill="1" applyAlignment="1">
      <alignment horizontal="left" vertical="center" indent="7"/>
    </xf>
    <xf numFmtId="0" fontId="0" fillId="0" borderId="23" xfId="0" applyBorder="1" applyAlignment="1" applyProtection="1">
      <alignment vertical="top"/>
      <protection locked="0"/>
    </xf>
    <xf numFmtId="0" fontId="0" fillId="0" borderId="0" xfId="0" applyAlignment="1" applyProtection="1">
      <alignment vertical="top"/>
      <protection locked="0"/>
    </xf>
    <xf numFmtId="0" fontId="29" fillId="0" borderId="6" xfId="0" applyFont="1" applyBorder="1" applyAlignment="1">
      <alignment horizontal="left"/>
    </xf>
    <xf numFmtId="0" fontId="73" fillId="0" borderId="6" xfId="0" applyFont="1" applyBorder="1" applyAlignment="1">
      <alignment horizontal="left"/>
    </xf>
    <xf numFmtId="0" fontId="0" fillId="0" borderId="6" xfId="0" applyBorder="1" applyAlignment="1">
      <alignment horizontal="left"/>
    </xf>
    <xf numFmtId="14" fontId="0" fillId="0" borderId="0" xfId="0" applyNumberFormat="1"/>
    <xf numFmtId="4" fontId="8" fillId="0" borderId="0" xfId="0" applyNumberFormat="1" applyFont="1"/>
    <xf numFmtId="0" fontId="23" fillId="0" borderId="0" xfId="2" applyFont="1" applyAlignment="1">
      <alignment horizontal="left"/>
    </xf>
    <xf numFmtId="0" fontId="26" fillId="0" borderId="0" xfId="2" applyFont="1" applyAlignment="1">
      <alignment horizontal="left"/>
    </xf>
    <xf numFmtId="4" fontId="26" fillId="0" borderId="0" xfId="2" applyNumberFormat="1" applyFont="1" applyAlignment="1">
      <alignment horizontal="right"/>
    </xf>
    <xf numFmtId="0" fontId="26" fillId="0" borderId="0" xfId="2" applyFont="1"/>
    <xf numFmtId="4" fontId="26" fillId="0" borderId="0" xfId="2" applyNumberFormat="1" applyFont="1"/>
    <xf numFmtId="4" fontId="23" fillId="0" borderId="0" xfId="2" applyNumberFormat="1" applyFont="1" applyAlignment="1">
      <alignment horizontal="right"/>
    </xf>
    <xf numFmtId="0" fontId="23" fillId="0" borderId="0" xfId="2" applyFont="1" applyAlignment="1">
      <alignment horizontal="center"/>
    </xf>
    <xf numFmtId="4" fontId="23" fillId="0" borderId="0" xfId="2" applyNumberFormat="1" applyFont="1" applyAlignment="1">
      <alignment horizontal="center"/>
    </xf>
    <xf numFmtId="4" fontId="93" fillId="0" borderId="0" xfId="2" applyNumberFormat="1" applyFont="1"/>
    <xf numFmtId="173" fontId="93" fillId="0" borderId="0" xfId="2" applyNumberFormat="1" applyFont="1"/>
    <xf numFmtId="1" fontId="94" fillId="0" borderId="0" xfId="2" applyNumberFormat="1" applyFont="1"/>
    <xf numFmtId="1" fontId="94" fillId="0" borderId="0" xfId="2" applyNumberFormat="1" applyFont="1" applyProtection="1">
      <protection locked="0"/>
    </xf>
    <xf numFmtId="164" fontId="93" fillId="0" borderId="6" xfId="1" applyFont="1" applyBorder="1"/>
    <xf numFmtId="1" fontId="94" fillId="0" borderId="68" xfId="2" applyNumberFormat="1" applyFont="1" applyBorder="1" applyProtection="1">
      <protection locked="0"/>
    </xf>
    <xf numFmtId="173" fontId="93" fillId="0" borderId="68" xfId="2" applyNumberFormat="1" applyFont="1" applyBorder="1"/>
    <xf numFmtId="1" fontId="95" fillId="0" borderId="0" xfId="2" applyNumberFormat="1" applyFont="1" applyProtection="1">
      <protection locked="0"/>
    </xf>
    <xf numFmtId="1" fontId="96" fillId="0" borderId="0" xfId="2" applyNumberFormat="1" applyFont="1" applyProtection="1">
      <protection locked="0"/>
    </xf>
    <xf numFmtId="0" fontId="0" fillId="9" borderId="0" xfId="0" applyFill="1" applyAlignment="1">
      <alignment horizontal="center"/>
    </xf>
    <xf numFmtId="9" fontId="30" fillId="11" borderId="187" xfId="10" applyFont="1" applyFill="1" applyBorder="1" applyAlignment="1">
      <alignment horizontal="center"/>
    </xf>
    <xf numFmtId="0" fontId="30" fillId="11" borderId="188" xfId="0" applyFont="1" applyFill="1" applyBorder="1"/>
    <xf numFmtId="177" fontId="30" fillId="11" borderId="188" xfId="1" applyNumberFormat="1" applyFont="1" applyFill="1" applyBorder="1"/>
    <xf numFmtId="177" fontId="30" fillId="11" borderId="189" xfId="1" applyNumberFormat="1" applyFont="1" applyFill="1" applyBorder="1"/>
    <xf numFmtId="9" fontId="30" fillId="10" borderId="190" xfId="10" applyFont="1" applyFill="1" applyBorder="1" applyAlignment="1" applyProtection="1">
      <alignment horizontal="center"/>
      <protection locked="0"/>
    </xf>
    <xf numFmtId="0" fontId="30" fillId="10" borderId="191" xfId="0" applyFont="1" applyFill="1" applyBorder="1"/>
    <xf numFmtId="177" fontId="30" fillId="10" borderId="191" xfId="1" applyNumberFormat="1" applyFont="1" applyFill="1" applyBorder="1"/>
    <xf numFmtId="0" fontId="58" fillId="0" borderId="187" xfId="0" applyFont="1" applyBorder="1" applyAlignment="1" applyProtection="1">
      <alignment horizontal="right" indent="4"/>
      <protection locked="0"/>
    </xf>
    <xf numFmtId="177" fontId="58" fillId="0" borderId="189" xfId="1" applyNumberFormat="1" applyFont="1" applyBorder="1"/>
    <xf numFmtId="9" fontId="30" fillId="10" borderId="192" xfId="10" applyFont="1" applyFill="1" applyBorder="1" applyAlignment="1" applyProtection="1">
      <alignment horizontal="center"/>
      <protection locked="0"/>
    </xf>
    <xf numFmtId="0" fontId="30" fillId="10" borderId="193" xfId="0" applyFont="1" applyFill="1" applyBorder="1"/>
    <xf numFmtId="177" fontId="30" fillId="10" borderId="193" xfId="1" applyNumberFormat="1" applyFont="1" applyFill="1" applyBorder="1" applyProtection="1">
      <protection locked="0"/>
    </xf>
    <xf numFmtId="177" fontId="51" fillId="3" borderId="28" xfId="1" applyNumberFormat="1" applyFont="1" applyFill="1" applyBorder="1" applyAlignment="1">
      <alignment horizontal="right"/>
    </xf>
    <xf numFmtId="0" fontId="14" fillId="3" borderId="35" xfId="0" applyFont="1" applyFill="1" applyBorder="1" applyAlignment="1">
      <alignment horizontal="left" indent="2"/>
    </xf>
    <xf numFmtId="177" fontId="14" fillId="3" borderId="35" xfId="1" applyNumberFormat="1" applyFont="1" applyFill="1" applyBorder="1"/>
    <xf numFmtId="0" fontId="58" fillId="0" borderId="111" xfId="0" applyFont="1" applyBorder="1" applyAlignment="1" applyProtection="1">
      <alignment horizontal="left" indent="1"/>
      <protection locked="0"/>
    </xf>
    <xf numFmtId="0" fontId="58" fillId="0" borderId="112" xfId="0" applyFont="1" applyBorder="1"/>
    <xf numFmtId="177" fontId="58" fillId="0" borderId="112" xfId="1" applyNumberFormat="1" applyFont="1" applyBorder="1"/>
    <xf numFmtId="177" fontId="58" fillId="0" borderId="113" xfId="1" applyNumberFormat="1" applyFont="1" applyBorder="1" applyProtection="1">
      <protection locked="0"/>
    </xf>
    <xf numFmtId="0" fontId="58" fillId="19" borderId="114" xfId="0" applyFont="1" applyFill="1" applyBorder="1" applyAlignment="1" applyProtection="1">
      <alignment horizontal="left" indent="1"/>
      <protection locked="0"/>
    </xf>
    <xf numFmtId="0" fontId="58" fillId="19" borderId="203" xfId="0" applyFont="1" applyFill="1" applyBorder="1" applyAlignment="1" applyProtection="1">
      <alignment horizontal="left" indent="1"/>
      <protection locked="0"/>
    </xf>
    <xf numFmtId="0" fontId="58" fillId="0" borderId="204" xfId="0" applyFont="1" applyBorder="1" applyProtection="1">
      <protection locked="0"/>
    </xf>
    <xf numFmtId="177" fontId="58" fillId="0" borderId="204" xfId="1" applyNumberFormat="1" applyFont="1" applyBorder="1" applyProtection="1">
      <protection locked="0"/>
    </xf>
    <xf numFmtId="177" fontId="58" fillId="0" borderId="205" xfId="1" applyNumberFormat="1" applyFont="1" applyBorder="1" applyProtection="1">
      <protection locked="0"/>
    </xf>
    <xf numFmtId="0" fontId="0" fillId="0" borderId="24" xfId="0" applyBorder="1"/>
    <xf numFmtId="177" fontId="58" fillId="0" borderId="113" xfId="1" applyNumberFormat="1" applyFont="1" applyBorder="1"/>
    <xf numFmtId="0" fontId="58" fillId="0" borderId="204" xfId="0" applyFont="1" applyBorder="1"/>
    <xf numFmtId="177" fontId="58" fillId="0" borderId="204" xfId="1" applyNumberFormat="1" applyFont="1" applyBorder="1"/>
    <xf numFmtId="177" fontId="58" fillId="0" borderId="205" xfId="1" applyNumberFormat="1" applyFont="1" applyBorder="1"/>
    <xf numFmtId="0" fontId="0" fillId="0" borderId="127" xfId="0" applyBorder="1" applyProtection="1">
      <protection locked="0"/>
    </xf>
    <xf numFmtId="0" fontId="0" fillId="0" borderId="128" xfId="0" applyBorder="1" applyProtection="1">
      <protection locked="0"/>
    </xf>
    <xf numFmtId="164" fontId="0" fillId="0" borderId="128" xfId="1" applyFont="1" applyBorder="1" applyProtection="1">
      <protection locked="0"/>
    </xf>
    <xf numFmtId="0" fontId="0" fillId="0" borderId="131" xfId="0" applyBorder="1" applyProtection="1">
      <protection locked="0"/>
    </xf>
    <xf numFmtId="164" fontId="0" fillId="0" borderId="131" xfId="1" applyFont="1" applyBorder="1" applyProtection="1">
      <protection locked="0"/>
    </xf>
    <xf numFmtId="0" fontId="0" fillId="0" borderId="133" xfId="0" applyBorder="1" applyProtection="1">
      <protection locked="0"/>
    </xf>
    <xf numFmtId="0" fontId="0" fillId="0" borderId="134" xfId="0" applyBorder="1" applyProtection="1">
      <protection locked="0"/>
    </xf>
    <xf numFmtId="164" fontId="0" fillId="0" borderId="134" xfId="1" applyFont="1" applyBorder="1" applyProtection="1">
      <protection locked="0"/>
    </xf>
    <xf numFmtId="164" fontId="0" fillId="0" borderId="136" xfId="1" applyFont="1" applyBorder="1" applyProtection="1">
      <protection locked="0"/>
    </xf>
    <xf numFmtId="164" fontId="0" fillId="0" borderId="137" xfId="1" applyFont="1" applyBorder="1" applyProtection="1">
      <protection locked="0"/>
    </xf>
    <xf numFmtId="164" fontId="0" fillId="0" borderId="138" xfId="1" applyFont="1" applyBorder="1" applyProtection="1">
      <protection locked="0"/>
    </xf>
    <xf numFmtId="164" fontId="0" fillId="0" borderId="139" xfId="1" applyFont="1" applyBorder="1" applyProtection="1">
      <protection locked="0"/>
    </xf>
    <xf numFmtId="164" fontId="0" fillId="0" borderId="0" xfId="1" applyFont="1" applyProtection="1">
      <protection locked="0"/>
    </xf>
    <xf numFmtId="164" fontId="0" fillId="0" borderId="140" xfId="1" applyFont="1" applyBorder="1" applyProtection="1">
      <protection locked="0"/>
    </xf>
    <xf numFmtId="164" fontId="0" fillId="0" borderId="141" xfId="1" applyFont="1" applyBorder="1" applyProtection="1">
      <protection locked="0"/>
    </xf>
    <xf numFmtId="164" fontId="0" fillId="0" borderId="142" xfId="1" applyFont="1" applyBorder="1" applyProtection="1">
      <protection locked="0"/>
    </xf>
    <xf numFmtId="164" fontId="0" fillId="0" borderId="143" xfId="1" applyFont="1" applyBorder="1" applyProtection="1">
      <protection locked="0"/>
    </xf>
    <xf numFmtId="0" fontId="64" fillId="25" borderId="174" xfId="0" applyFont="1" applyFill="1" applyBorder="1" applyAlignment="1">
      <alignment horizontal="left" vertical="center" indent="2"/>
    </xf>
    <xf numFmtId="0" fontId="0" fillId="25" borderId="175" xfId="0" applyFill="1" applyBorder="1"/>
    <xf numFmtId="0" fontId="64" fillId="25" borderId="175" xfId="0" applyFont="1" applyFill="1" applyBorder="1" applyAlignment="1">
      <alignment horizontal="left" vertical="center" indent="2"/>
    </xf>
    <xf numFmtId="0" fontId="64" fillId="25" borderId="177" xfId="0" applyFont="1" applyFill="1" applyBorder="1" applyAlignment="1">
      <alignment horizontal="left" vertical="center" indent="2"/>
    </xf>
    <xf numFmtId="0" fontId="0" fillId="25" borderId="0" xfId="0" applyFill="1"/>
    <xf numFmtId="0" fontId="64" fillId="25" borderId="0" xfId="0" applyFont="1" applyFill="1" applyAlignment="1">
      <alignment horizontal="left" vertical="center" indent="2"/>
    </xf>
    <xf numFmtId="0" fontId="64" fillId="25" borderId="179" xfId="0" applyFont="1" applyFill="1" applyBorder="1" applyAlignment="1">
      <alignment horizontal="left" vertical="center" indent="2"/>
    </xf>
    <xf numFmtId="0" fontId="0" fillId="25" borderId="173" xfId="0" applyFill="1" applyBorder="1"/>
    <xf numFmtId="0" fontId="64" fillId="25" borderId="173" xfId="0" applyFont="1" applyFill="1" applyBorder="1" applyAlignment="1">
      <alignment horizontal="left" vertical="center" indent="2"/>
    </xf>
    <xf numFmtId="0" fontId="0" fillId="0" borderId="23" xfId="0" applyBorder="1"/>
    <xf numFmtId="0" fontId="0" fillId="0" borderId="21" xfId="0" applyBorder="1"/>
    <xf numFmtId="169" fontId="74" fillId="0" borderId="21" xfId="0" applyNumberFormat="1" applyFont="1" applyBorder="1"/>
    <xf numFmtId="177" fontId="30" fillId="10" borderId="191" xfId="1" applyNumberFormat="1" applyFont="1" applyFill="1" applyBorder="1" applyProtection="1">
      <protection locked="0"/>
    </xf>
    <xf numFmtId="3" fontId="0" fillId="0" borderId="0" xfId="1" applyNumberFormat="1" applyFont="1"/>
    <xf numFmtId="3" fontId="0" fillId="0" borderId="0" xfId="0" applyNumberFormat="1"/>
    <xf numFmtId="170" fontId="58" fillId="0" borderId="54" xfId="1" applyNumberFormat="1" applyFont="1" applyBorder="1" applyAlignment="1" applyProtection="1">
      <alignment horizontal="right"/>
      <protection locked="0"/>
    </xf>
    <xf numFmtId="170" fontId="58" fillId="0" borderId="40" xfId="1" applyNumberFormat="1" applyFont="1" applyBorder="1" applyAlignment="1" applyProtection="1">
      <alignment horizontal="right"/>
      <protection locked="0"/>
    </xf>
    <xf numFmtId="170" fontId="58" fillId="0" borderId="41" xfId="1" applyNumberFormat="1" applyFont="1" applyBorder="1" applyAlignment="1" applyProtection="1">
      <alignment horizontal="right"/>
      <protection locked="0"/>
    </xf>
    <xf numFmtId="0" fontId="75" fillId="0" borderId="23" xfId="0" applyFont="1" applyBorder="1" applyAlignment="1">
      <alignment horizontal="left" indent="1"/>
    </xf>
    <xf numFmtId="0" fontId="0" fillId="0" borderId="20" xfId="0" applyBorder="1"/>
    <xf numFmtId="0" fontId="64" fillId="0" borderId="0" xfId="0" applyFont="1" applyAlignment="1">
      <alignment horizontal="center"/>
    </xf>
    <xf numFmtId="0" fontId="75" fillId="0" borderId="25" xfId="0" applyFont="1" applyBorder="1" applyAlignment="1">
      <alignment horizontal="left" indent="1"/>
    </xf>
    <xf numFmtId="0" fontId="0" fillId="0" borderId="25" xfId="0" applyBorder="1"/>
    <xf numFmtId="173" fontId="0" fillId="0" borderId="28" xfId="0" applyNumberFormat="1" applyBorder="1"/>
    <xf numFmtId="173" fontId="0" fillId="0" borderId="0" xfId="0" applyNumberFormat="1"/>
    <xf numFmtId="173" fontId="0" fillId="0" borderId="0" xfId="1" applyNumberFormat="1" applyFont="1"/>
    <xf numFmtId="173" fontId="0" fillId="0" borderId="24" xfId="1" applyNumberFormat="1" applyFont="1" applyBorder="1"/>
    <xf numFmtId="0" fontId="65" fillId="5" borderId="42" xfId="4" applyFont="1" applyFill="1" applyBorder="1" applyAlignment="1" applyProtection="1">
      <alignment horizontal="right" wrapText="1" indent="1"/>
      <protection locked="0"/>
    </xf>
    <xf numFmtId="0" fontId="65" fillId="5" borderId="42" xfId="4" applyFont="1" applyFill="1" applyBorder="1" applyAlignment="1" applyProtection="1">
      <alignment horizontal="right" wrapText="1"/>
      <protection locked="0"/>
    </xf>
    <xf numFmtId="0" fontId="74" fillId="0" borderId="20" xfId="0" applyFont="1" applyBorder="1"/>
    <xf numFmtId="173" fontId="58" fillId="0" borderId="72" xfId="1" applyNumberFormat="1" applyFont="1" applyBorder="1"/>
    <xf numFmtId="173" fontId="64" fillId="0" borderId="0" xfId="0" applyNumberFormat="1" applyFont="1" applyAlignment="1">
      <alignment horizontal="center"/>
    </xf>
    <xf numFmtId="0" fontId="7" fillId="0" borderId="0" xfId="0" applyFont="1" applyAlignment="1">
      <alignment horizontal="right"/>
    </xf>
    <xf numFmtId="0" fontId="7" fillId="5" borderId="0" xfId="0" applyFont="1" applyFill="1" applyAlignment="1">
      <alignment horizontal="right"/>
    </xf>
    <xf numFmtId="0" fontId="97" fillId="5" borderId="178" xfId="0" applyFont="1" applyFill="1" applyBorder="1"/>
    <xf numFmtId="0" fontId="7" fillId="5" borderId="0" xfId="0" applyFont="1" applyFill="1"/>
    <xf numFmtId="0" fontId="7" fillId="5" borderId="173" xfId="0" applyFont="1" applyFill="1" applyBorder="1"/>
    <xf numFmtId="173" fontId="0" fillId="19" borderId="77" xfId="0" applyNumberFormat="1" applyFill="1" applyBorder="1" applyAlignment="1" applyProtection="1">
      <alignment horizontal="right"/>
      <protection locked="0"/>
    </xf>
    <xf numFmtId="0" fontId="98" fillId="0" borderId="0" xfId="0" applyFont="1"/>
    <xf numFmtId="0" fontId="99" fillId="0" borderId="0" xfId="0" applyFont="1"/>
    <xf numFmtId="0" fontId="99" fillId="0" borderId="1" xfId="0" applyFont="1" applyBorder="1"/>
    <xf numFmtId="0" fontId="102" fillId="0" borderId="0" xfId="0" applyFont="1"/>
    <xf numFmtId="0" fontId="104" fillId="0" borderId="0" xfId="0" applyFont="1"/>
    <xf numFmtId="0" fontId="103" fillId="0" borderId="0" xfId="0" applyFont="1"/>
    <xf numFmtId="0" fontId="105" fillId="0" borderId="0" xfId="0" applyFont="1"/>
    <xf numFmtId="0" fontId="99" fillId="0" borderId="26" xfId="0" applyFont="1" applyBorder="1"/>
    <xf numFmtId="0" fontId="101" fillId="0" borderId="0" xfId="0" applyFont="1"/>
    <xf numFmtId="0" fontId="98" fillId="0" borderId="0" xfId="0" applyFont="1" applyAlignment="1">
      <alignment horizontal="left" indent="1"/>
    </xf>
    <xf numFmtId="0" fontId="98" fillId="0" borderId="0" xfId="0" applyFont="1" applyAlignment="1">
      <alignment horizontal="left"/>
    </xf>
    <xf numFmtId="0" fontId="106" fillId="0" borderId="0" xfId="0" applyFont="1" applyAlignment="1">
      <alignment horizontal="left" indent="1"/>
    </xf>
    <xf numFmtId="1" fontId="99" fillId="0" borderId="0" xfId="0" applyNumberFormat="1" applyFont="1"/>
    <xf numFmtId="164" fontId="108" fillId="0" borderId="0" xfId="1" applyFont="1"/>
    <xf numFmtId="164" fontId="110" fillId="0" borderId="0" xfId="1" applyFont="1"/>
    <xf numFmtId="164" fontId="99" fillId="0" borderId="0" xfId="1" applyFont="1"/>
    <xf numFmtId="0" fontId="112" fillId="0" borderId="0" xfId="0" applyFont="1" applyAlignment="1" applyProtection="1">
      <alignment horizontal="left"/>
      <protection locked="0"/>
    </xf>
    <xf numFmtId="173" fontId="113" fillId="0" borderId="0" xfId="12" applyNumberFormat="1" applyFont="1"/>
    <xf numFmtId="2" fontId="115" fillId="0" borderId="0" xfId="1" applyNumberFormat="1" applyFont="1" applyAlignment="1">
      <alignment horizontal="right"/>
    </xf>
    <xf numFmtId="0" fontId="113" fillId="0" borderId="0" xfId="12" applyFont="1" applyAlignment="1">
      <alignment horizontal="left"/>
    </xf>
    <xf numFmtId="174" fontId="113" fillId="0" borderId="0" xfId="12" applyNumberFormat="1" applyFont="1" applyAlignment="1">
      <alignment horizontal="center"/>
    </xf>
    <xf numFmtId="0" fontId="99" fillId="0" borderId="0" xfId="0" applyFont="1" applyAlignment="1">
      <alignment wrapText="1"/>
    </xf>
    <xf numFmtId="0" fontId="117" fillId="0" borderId="0" xfId="0" applyFont="1"/>
    <xf numFmtId="0" fontId="110" fillId="0" borderId="0" xfId="12" applyFont="1" applyAlignment="1">
      <alignment horizontal="center"/>
    </xf>
    <xf numFmtId="0" fontId="118" fillId="0" borderId="1" xfId="12" applyFont="1" applyBorder="1" applyAlignment="1">
      <alignment horizontal="left"/>
    </xf>
    <xf numFmtId="173" fontId="115" fillId="0" borderId="54" xfId="12" applyNumberFormat="1" applyFont="1" applyBorder="1" applyAlignment="1" applyProtection="1">
      <alignment horizontal="right" indent="1"/>
      <protection locked="0"/>
    </xf>
    <xf numFmtId="0" fontId="115" fillId="0" borderId="54" xfId="12" applyFont="1" applyBorder="1" applyAlignment="1" applyProtection="1">
      <alignment horizontal="right" indent="1"/>
      <protection locked="0"/>
    </xf>
    <xf numFmtId="0" fontId="113" fillId="0" borderId="54" xfId="12" applyFont="1" applyBorder="1" applyAlignment="1" applyProtection="1">
      <alignment horizontal="left" indent="1"/>
      <protection locked="0"/>
    </xf>
    <xf numFmtId="4" fontId="115" fillId="0" borderId="54" xfId="12" applyNumberFormat="1" applyFont="1" applyBorder="1" applyAlignment="1" applyProtection="1">
      <alignment horizontal="right" indent="1"/>
      <protection locked="0"/>
    </xf>
    <xf numFmtId="173" fontId="115" fillId="0" borderId="40" xfId="12" applyNumberFormat="1" applyFont="1" applyBorder="1" applyAlignment="1" applyProtection="1">
      <alignment horizontal="right" indent="1"/>
      <protection locked="0"/>
    </xf>
    <xf numFmtId="0" fontId="115" fillId="0" borderId="40" xfId="12" applyFont="1" applyBorder="1" applyAlignment="1" applyProtection="1">
      <alignment horizontal="right" indent="1"/>
      <protection locked="0"/>
    </xf>
    <xf numFmtId="0" fontId="113" fillId="0" borderId="40" xfId="12" applyFont="1" applyBorder="1" applyAlignment="1" applyProtection="1">
      <alignment horizontal="left" indent="1"/>
      <protection locked="0"/>
    </xf>
    <xf numFmtId="4" fontId="115" fillId="0" borderId="40" xfId="12" applyNumberFormat="1" applyFont="1" applyBorder="1" applyAlignment="1" applyProtection="1">
      <alignment horizontal="right" indent="1"/>
      <protection locked="0"/>
    </xf>
    <xf numFmtId="173" fontId="115" fillId="0" borderId="34" xfId="12" applyNumberFormat="1" applyFont="1" applyBorder="1" applyAlignment="1" applyProtection="1">
      <alignment horizontal="right" indent="1"/>
      <protection locked="0"/>
    </xf>
    <xf numFmtId="4" fontId="115" fillId="0" borderId="34" xfId="12" applyNumberFormat="1" applyFont="1" applyBorder="1" applyAlignment="1" applyProtection="1">
      <alignment horizontal="right" indent="1"/>
      <protection locked="0"/>
    </xf>
    <xf numFmtId="173" fontId="115" fillId="0" borderId="35" xfId="12" applyNumberFormat="1" applyFont="1" applyBorder="1" applyAlignment="1" applyProtection="1">
      <alignment horizontal="right" indent="1"/>
      <protection locked="0"/>
    </xf>
    <xf numFmtId="0" fontId="115" fillId="0" borderId="41" xfId="12" applyFont="1" applyBorder="1" applyAlignment="1" applyProtection="1">
      <alignment horizontal="right" indent="1"/>
      <protection locked="0"/>
    </xf>
    <xf numFmtId="0" fontId="113" fillId="0" borderId="35" xfId="12" applyFont="1" applyBorder="1" applyAlignment="1" applyProtection="1">
      <alignment horizontal="left" indent="1"/>
      <protection locked="0"/>
    </xf>
    <xf numFmtId="4" fontId="115" fillId="0" borderId="35" xfId="12" applyNumberFormat="1" applyFont="1" applyBorder="1" applyAlignment="1" applyProtection="1">
      <alignment horizontal="right" indent="1"/>
      <protection locked="0"/>
    </xf>
    <xf numFmtId="2" fontId="121" fillId="0" borderId="28" xfId="1" applyNumberFormat="1" applyFont="1" applyBorder="1" applyAlignment="1">
      <alignment horizontal="center"/>
    </xf>
    <xf numFmtId="0" fontId="110" fillId="0" borderId="0" xfId="12" applyFont="1" applyAlignment="1">
      <alignment horizontal="left"/>
    </xf>
    <xf numFmtId="0" fontId="113" fillId="5" borderId="54" xfId="12" applyFont="1" applyFill="1" applyBorder="1" applyAlignment="1">
      <alignment horizontal="left" wrapText="1" indent="1"/>
    </xf>
    <xf numFmtId="0" fontId="113" fillId="5" borderId="40" xfId="12" applyFont="1" applyFill="1" applyBorder="1" applyAlignment="1">
      <alignment horizontal="left" wrapText="1" indent="1"/>
    </xf>
    <xf numFmtId="0" fontId="113" fillId="5" borderId="35" xfId="12" applyFont="1" applyFill="1" applyBorder="1" applyAlignment="1">
      <alignment horizontal="left" wrapText="1" indent="1"/>
    </xf>
    <xf numFmtId="0" fontId="113" fillId="5" borderId="41" xfId="12" applyFont="1" applyFill="1" applyBorder="1" applyAlignment="1">
      <alignment horizontal="left" wrapText="1" indent="1"/>
    </xf>
    <xf numFmtId="0" fontId="123" fillId="0" borderId="0" xfId="0" applyFont="1"/>
    <xf numFmtId="173" fontId="120" fillId="3" borderId="28" xfId="12" applyNumberFormat="1" applyFont="1" applyFill="1" applyBorder="1"/>
    <xf numFmtId="0" fontId="125" fillId="0" borderId="0" xfId="0" applyFont="1" applyAlignment="1">
      <alignment horizontal="left" indent="1"/>
    </xf>
    <xf numFmtId="173" fontId="126" fillId="3" borderId="55" xfId="12" applyNumberFormat="1" applyFont="1" applyFill="1" applyBorder="1" applyAlignment="1">
      <alignment horizontal="center" wrapText="1"/>
    </xf>
    <xf numFmtId="0" fontId="126" fillId="3" borderId="55" xfId="12" applyFont="1" applyFill="1" applyBorder="1" applyAlignment="1">
      <alignment horizontal="center" wrapText="1"/>
    </xf>
    <xf numFmtId="0" fontId="106" fillId="0" borderId="209" xfId="0" applyFont="1" applyBorder="1" applyAlignment="1">
      <alignment horizontal="center"/>
    </xf>
    <xf numFmtId="0" fontId="127" fillId="0" borderId="0" xfId="0" applyFont="1" applyAlignment="1">
      <alignment horizontal="left" indent="4"/>
    </xf>
    <xf numFmtId="0" fontId="127" fillId="0" borderId="0" xfId="0" applyFont="1" applyAlignment="1">
      <alignment horizontal="left" indent="3"/>
    </xf>
    <xf numFmtId="0" fontId="99" fillId="0" borderId="0" xfId="0" applyFont="1" applyAlignment="1">
      <alignment horizontal="right"/>
    </xf>
    <xf numFmtId="0" fontId="128" fillId="0" borderId="0" xfId="0" applyFont="1" applyAlignment="1">
      <alignment horizontal="right"/>
    </xf>
    <xf numFmtId="0" fontId="128" fillId="0" borderId="0" xfId="0" applyFont="1" applyAlignment="1">
      <alignment horizontal="right" wrapText="1"/>
    </xf>
    <xf numFmtId="0" fontId="114" fillId="0" borderId="0" xfId="0" applyFont="1"/>
    <xf numFmtId="0" fontId="102" fillId="0" borderId="0" xfId="0" applyFont="1" applyAlignment="1">
      <alignment horizontal="right"/>
    </xf>
    <xf numFmtId="165" fontId="102" fillId="0" borderId="0" xfId="0" applyNumberFormat="1" applyFont="1"/>
    <xf numFmtId="0" fontId="129" fillId="0" borderId="0" xfId="0" applyFont="1"/>
    <xf numFmtId="0" fontId="109" fillId="0" borderId="0" xfId="0" applyFont="1"/>
    <xf numFmtId="165" fontId="102" fillId="0" borderId="0" xfId="0" applyNumberFormat="1" applyFont="1" applyAlignment="1">
      <alignment horizontal="left" indent="1"/>
    </xf>
    <xf numFmtId="166" fontId="130" fillId="0" borderId="13" xfId="0" applyNumberFormat="1" applyFont="1" applyBorder="1" applyAlignment="1">
      <alignment horizontal="center"/>
    </xf>
    <xf numFmtId="166" fontId="130" fillId="0" borderId="0" xfId="0" applyNumberFormat="1" applyFont="1" applyAlignment="1">
      <alignment horizontal="center"/>
    </xf>
    <xf numFmtId="0" fontId="114" fillId="3" borderId="11" xfId="0" applyFont="1" applyFill="1" applyBorder="1"/>
    <xf numFmtId="169" fontId="114" fillId="3" borderId="11" xfId="0" applyNumberFormat="1" applyFont="1" applyFill="1" applyBorder="1" applyAlignment="1">
      <alignment horizontal="right" indent="2"/>
    </xf>
    <xf numFmtId="9" fontId="131" fillId="3" borderId="13" xfId="10" applyFont="1" applyFill="1" applyBorder="1"/>
    <xf numFmtId="169" fontId="114" fillId="3" borderId="11" xfId="0" applyNumberFormat="1" applyFont="1" applyFill="1" applyBorder="1" applyAlignment="1">
      <alignment horizontal="right" indent="1"/>
    </xf>
    <xf numFmtId="0" fontId="114" fillId="3" borderId="2" xfId="0" applyFont="1" applyFill="1" applyBorder="1"/>
    <xf numFmtId="0" fontId="114" fillId="3" borderId="3" xfId="0" applyFont="1" applyFill="1" applyBorder="1"/>
    <xf numFmtId="0" fontId="114" fillId="3" borderId="4" xfId="0" applyFont="1" applyFill="1" applyBorder="1"/>
    <xf numFmtId="169" fontId="114" fillId="3" borderId="3" xfId="0" applyNumberFormat="1" applyFont="1" applyFill="1" applyBorder="1" applyAlignment="1">
      <alignment horizontal="right" indent="1"/>
    </xf>
    <xf numFmtId="169" fontId="130" fillId="0" borderId="15" xfId="0" applyNumberFormat="1" applyFont="1" applyBorder="1" applyAlignment="1">
      <alignment horizontal="right" indent="1"/>
    </xf>
    <xf numFmtId="166" fontId="130" fillId="0" borderId="3" xfId="0" applyNumberFormat="1" applyFont="1" applyBorder="1" applyAlignment="1">
      <alignment horizontal="center"/>
    </xf>
    <xf numFmtId="166" fontId="130" fillId="0" borderId="4" xfId="0" applyNumberFormat="1" applyFont="1" applyBorder="1" applyAlignment="1">
      <alignment horizontal="center"/>
    </xf>
    <xf numFmtId="169" fontId="130" fillId="0" borderId="3" xfId="0" applyNumberFormat="1" applyFont="1" applyBorder="1" applyAlignment="1">
      <alignment horizontal="right" indent="1"/>
    </xf>
    <xf numFmtId="0" fontId="118" fillId="4" borderId="11" xfId="0" applyFont="1" applyFill="1" applyBorder="1" applyAlignment="1">
      <alignment horizontal="left"/>
    </xf>
    <xf numFmtId="169" fontId="118" fillId="4" borderId="11" xfId="4" applyNumberFormat="1" applyFont="1" applyFill="1" applyBorder="1" applyAlignment="1">
      <alignment horizontal="right" wrapText="1" indent="2"/>
    </xf>
    <xf numFmtId="9" fontId="110" fillId="4" borderId="13" xfId="10" applyFont="1" applyFill="1" applyBorder="1" applyAlignment="1">
      <alignment horizontal="right" wrapText="1" indent="1"/>
    </xf>
    <xf numFmtId="0" fontId="132" fillId="4" borderId="11" xfId="0" applyFont="1" applyFill="1" applyBorder="1" applyAlignment="1">
      <alignment horizontal="left"/>
    </xf>
    <xf numFmtId="169" fontId="132" fillId="4" borderId="11" xfId="0" applyNumberFormat="1" applyFont="1" applyFill="1" applyBorder="1" applyAlignment="1">
      <alignment horizontal="right" indent="1"/>
    </xf>
    <xf numFmtId="9" fontId="133" fillId="4" borderId="11" xfId="10" applyFont="1" applyFill="1" applyBorder="1" applyAlignment="1">
      <alignment horizontal="right" indent="1"/>
    </xf>
    <xf numFmtId="0" fontId="101" fillId="4" borderId="2" xfId="0" applyFont="1" applyFill="1" applyBorder="1" applyAlignment="1">
      <alignment horizontal="left"/>
    </xf>
    <xf numFmtId="0" fontId="101" fillId="4" borderId="3" xfId="0" applyFont="1" applyFill="1" applyBorder="1" applyAlignment="1">
      <alignment horizontal="left"/>
    </xf>
    <xf numFmtId="0" fontId="101" fillId="4" borderId="4" xfId="0" applyFont="1" applyFill="1" applyBorder="1" applyAlignment="1">
      <alignment horizontal="left"/>
    </xf>
    <xf numFmtId="169" fontId="101" fillId="4" borderId="3" xfId="0" applyNumberFormat="1" applyFont="1" applyFill="1" applyBorder="1" applyAlignment="1">
      <alignment horizontal="right" indent="1"/>
    </xf>
    <xf numFmtId="0" fontId="130" fillId="0" borderId="10" xfId="0" applyFont="1" applyBorder="1" applyAlignment="1">
      <alignment horizontal="left" indent="2"/>
    </xf>
    <xf numFmtId="0" fontId="134" fillId="0" borderId="0" xfId="0" applyFont="1"/>
    <xf numFmtId="169" fontId="130" fillId="0" borderId="10" xfId="4" applyNumberFormat="1" applyFont="1" applyBorder="1" applyAlignment="1">
      <alignment horizontal="right" wrapText="1" indent="2"/>
    </xf>
    <xf numFmtId="9" fontId="130" fillId="0" borderId="10" xfId="10" applyFont="1" applyBorder="1" applyAlignment="1">
      <alignment horizontal="right" wrapText="1" indent="1"/>
    </xf>
    <xf numFmtId="169" fontId="99" fillId="0" borderId="0" xfId="0" applyNumberFormat="1" applyFont="1" applyAlignment="1">
      <alignment horizontal="right" indent="1"/>
    </xf>
    <xf numFmtId="9" fontId="135" fillId="0" borderId="0" xfId="10" applyFont="1" applyAlignment="1">
      <alignment horizontal="right" indent="1"/>
    </xf>
    <xf numFmtId="0" fontId="130" fillId="0" borderId="0" xfId="0" applyFont="1" applyAlignment="1">
      <alignment horizontal="left" indent="2"/>
    </xf>
    <xf numFmtId="169" fontId="130" fillId="0" borderId="0" xfId="4" applyNumberFormat="1" applyFont="1" applyAlignment="1">
      <alignment horizontal="right" wrapText="1" indent="1"/>
    </xf>
    <xf numFmtId="0" fontId="136" fillId="0" borderId="10" xfId="0" applyFont="1" applyBorder="1" applyAlignment="1">
      <alignment horizontal="left" indent="4"/>
    </xf>
    <xf numFmtId="169" fontId="99" fillId="0" borderId="10" xfId="4" applyNumberFormat="1" applyFont="1" applyBorder="1" applyAlignment="1">
      <alignment horizontal="right" wrapText="1" indent="2"/>
    </xf>
    <xf numFmtId="9" fontId="99" fillId="0" borderId="10" xfId="10" applyFont="1" applyBorder="1" applyAlignment="1">
      <alignment horizontal="right" wrapText="1" indent="1"/>
    </xf>
    <xf numFmtId="0" fontId="134" fillId="5" borderId="11" xfId="0" applyFont="1" applyFill="1" applyBorder="1" applyAlignment="1">
      <alignment horizontal="left" indent="2"/>
    </xf>
    <xf numFmtId="169" fontId="134" fillId="5" borderId="11" xfId="0" applyNumberFormat="1" applyFont="1" applyFill="1" applyBorder="1" applyAlignment="1">
      <alignment horizontal="right" indent="1"/>
    </xf>
    <xf numFmtId="9" fontId="134" fillId="5" borderId="11" xfId="10" applyFont="1" applyFill="1" applyBorder="1" applyAlignment="1">
      <alignment horizontal="right" indent="1"/>
    </xf>
    <xf numFmtId="1" fontId="137" fillId="0" borderId="0" xfId="2" applyNumberFormat="1" applyFont="1" applyAlignment="1">
      <alignment horizontal="right"/>
    </xf>
    <xf numFmtId="0" fontId="138" fillId="0" borderId="2" xfId="0" applyFont="1" applyBorder="1" applyAlignment="1">
      <alignment horizontal="left" indent="4"/>
    </xf>
    <xf numFmtId="169" fontId="101" fillId="0" borderId="4" xfId="0" applyNumberFormat="1" applyFont="1" applyBorder="1"/>
    <xf numFmtId="167" fontId="139" fillId="0" borderId="0" xfId="1" applyNumberFormat="1" applyFont="1" applyAlignment="1">
      <alignment horizontal="left"/>
    </xf>
    <xf numFmtId="0" fontId="99" fillId="5" borderId="2" xfId="0" applyFont="1" applyFill="1" applyBorder="1" applyAlignment="1">
      <alignment horizontal="left" indent="2"/>
    </xf>
    <xf numFmtId="169" fontId="99" fillId="5" borderId="3" xfId="0" applyNumberFormat="1" applyFont="1" applyFill="1" applyBorder="1" applyAlignment="1">
      <alignment horizontal="right" indent="1"/>
    </xf>
    <xf numFmtId="0" fontId="99" fillId="0" borderId="10" xfId="0" applyFont="1" applyBorder="1" applyAlignment="1">
      <alignment horizontal="left" indent="2"/>
    </xf>
    <xf numFmtId="169" fontId="99" fillId="0" borderId="10" xfId="0" applyNumberFormat="1" applyFont="1" applyBorder="1" applyAlignment="1">
      <alignment horizontal="right" indent="1"/>
    </xf>
    <xf numFmtId="9" fontId="135" fillId="0" borderId="10" xfId="10" applyFont="1" applyBorder="1" applyAlignment="1">
      <alignment horizontal="right" indent="1"/>
    </xf>
    <xf numFmtId="0" fontId="136" fillId="0" borderId="0" xfId="0" applyFont="1" applyAlignment="1">
      <alignment horizontal="left" indent="9"/>
    </xf>
    <xf numFmtId="169" fontId="99" fillId="0" borderId="0" xfId="4" applyNumberFormat="1" applyFont="1" applyAlignment="1">
      <alignment horizontal="right" wrapText="1" indent="2"/>
    </xf>
    <xf numFmtId="167" fontId="140" fillId="0" borderId="0" xfId="1" applyNumberFormat="1" applyFont="1" applyAlignment="1">
      <alignment horizontal="right" wrapText="1"/>
    </xf>
    <xf numFmtId="0" fontId="141" fillId="0" borderId="0" xfId="0" applyFont="1" applyAlignment="1">
      <alignment horizontal="left" indent="2"/>
    </xf>
    <xf numFmtId="169" fontId="130" fillId="0" borderId="10" xfId="4" applyNumberFormat="1" applyFont="1" applyBorder="1" applyAlignment="1">
      <alignment horizontal="right" wrapText="1" indent="1"/>
    </xf>
    <xf numFmtId="1" fontId="137" fillId="0" borderId="0" xfId="2" applyNumberFormat="1" applyFont="1" applyAlignment="1">
      <alignment horizontal="right" wrapText="1"/>
    </xf>
    <xf numFmtId="169" fontId="101" fillId="0" borderId="4" xfId="0" applyNumberFormat="1" applyFont="1" applyBorder="1" applyAlignment="1">
      <alignment horizontal="right" indent="1"/>
    </xf>
    <xf numFmtId="0" fontId="142" fillId="0" borderId="0" xfId="0" applyFont="1"/>
    <xf numFmtId="0" fontId="143" fillId="0" borderId="10" xfId="0" applyFont="1" applyBorder="1" applyAlignment="1">
      <alignment horizontal="left" indent="4"/>
    </xf>
    <xf numFmtId="169" fontId="135" fillId="0" borderId="10" xfId="4" applyNumberFormat="1" applyFont="1" applyBorder="1" applyAlignment="1">
      <alignment horizontal="right" wrapText="1" indent="1"/>
    </xf>
    <xf numFmtId="9" fontId="135" fillId="0" borderId="10" xfId="10" applyFont="1" applyBorder="1" applyAlignment="1">
      <alignment horizontal="right" wrapText="1" indent="1"/>
    </xf>
    <xf numFmtId="169" fontId="99" fillId="0" borderId="0" xfId="4" applyNumberFormat="1" applyFont="1" applyAlignment="1">
      <alignment horizontal="right" wrapText="1" indent="1"/>
    </xf>
    <xf numFmtId="169" fontId="143" fillId="0" borderId="10" xfId="1" applyNumberFormat="1" applyFont="1" applyBorder="1" applyAlignment="1">
      <alignment horizontal="right" indent="1"/>
    </xf>
    <xf numFmtId="9" fontId="143" fillId="0" borderId="10" xfId="10" applyFont="1" applyBorder="1" applyAlignment="1">
      <alignment horizontal="right" indent="1"/>
    </xf>
    <xf numFmtId="169" fontId="135" fillId="0" borderId="10" xfId="0" applyNumberFormat="1" applyFont="1" applyBorder="1" applyAlignment="1">
      <alignment horizontal="right" indent="1"/>
    </xf>
    <xf numFmtId="169" fontId="144" fillId="0" borderId="14" xfId="1" applyNumberFormat="1" applyFont="1" applyBorder="1" applyAlignment="1">
      <alignment horizontal="right" indent="1"/>
    </xf>
    <xf numFmtId="9" fontId="144" fillId="0" borderId="14" xfId="10" applyFont="1" applyBorder="1" applyAlignment="1">
      <alignment horizontal="right" indent="1"/>
    </xf>
    <xf numFmtId="0" fontId="134" fillId="0" borderId="10" xfId="0" applyFont="1" applyBorder="1" applyAlignment="1">
      <alignment horizontal="left" indent="2"/>
    </xf>
    <xf numFmtId="169" fontId="134" fillId="0" borderId="16" xfId="0" applyNumberFormat="1" applyFont="1" applyBorder="1" applyAlignment="1">
      <alignment horizontal="right" indent="1"/>
    </xf>
    <xf numFmtId="9" fontId="134" fillId="0" borderId="16" xfId="10" applyFont="1" applyBorder="1" applyAlignment="1">
      <alignment horizontal="right" indent="1"/>
    </xf>
    <xf numFmtId="169" fontId="144" fillId="0" borderId="10" xfId="1" applyNumberFormat="1" applyFont="1" applyBorder="1" applyAlignment="1">
      <alignment horizontal="right" indent="1"/>
    </xf>
    <xf numFmtId="9" fontId="144" fillId="0" borderId="10" xfId="10" applyFont="1" applyBorder="1" applyAlignment="1">
      <alignment horizontal="right" indent="1"/>
    </xf>
    <xf numFmtId="0" fontId="130" fillId="0" borderId="14" xfId="0" applyFont="1" applyBorder="1" applyAlignment="1">
      <alignment horizontal="left" indent="2"/>
    </xf>
    <xf numFmtId="169" fontId="130" fillId="0" borderId="14" xfId="4" applyNumberFormat="1" applyFont="1" applyBorder="1" applyAlignment="1">
      <alignment horizontal="right" wrapText="1" indent="2"/>
    </xf>
    <xf numFmtId="9" fontId="130" fillId="0" borderId="14" xfId="10" applyFont="1" applyBorder="1" applyAlignment="1">
      <alignment horizontal="right" wrapText="1" indent="1"/>
    </xf>
    <xf numFmtId="0" fontId="141" fillId="0" borderId="27" xfId="0" applyFont="1" applyBorder="1" applyAlignment="1">
      <alignment horizontal="left" indent="2"/>
    </xf>
    <xf numFmtId="169" fontId="136" fillId="0" borderId="14" xfId="1" applyNumberFormat="1" applyFont="1" applyBorder="1" applyAlignment="1">
      <alignment horizontal="right" indent="1"/>
    </xf>
    <xf numFmtId="9" fontId="143" fillId="0" borderId="14" xfId="10" applyFont="1" applyBorder="1" applyAlignment="1">
      <alignment horizontal="right" indent="1"/>
    </xf>
    <xf numFmtId="9" fontId="110" fillId="4" borderId="11" xfId="10" applyFont="1" applyFill="1" applyBorder="1" applyAlignment="1">
      <alignment horizontal="right" wrapText="1" indent="1"/>
    </xf>
    <xf numFmtId="0" fontId="132" fillId="4" borderId="11" xfId="0" applyFont="1" applyFill="1" applyBorder="1" applyAlignment="1">
      <alignment horizontal="left" indent="1"/>
    </xf>
    <xf numFmtId="169" fontId="130" fillId="0" borderId="16" xfId="4" applyNumberFormat="1" applyFont="1" applyBorder="1" applyAlignment="1">
      <alignment horizontal="right" wrapText="1" indent="1"/>
    </xf>
    <xf numFmtId="9" fontId="130" fillId="0" borderId="16" xfId="10" applyFont="1" applyBorder="1" applyAlignment="1">
      <alignment horizontal="right" wrapText="1" indent="1"/>
    </xf>
    <xf numFmtId="169" fontId="130" fillId="0" borderId="14" xfId="4" applyNumberFormat="1" applyFont="1" applyBorder="1" applyAlignment="1">
      <alignment horizontal="right" wrapText="1" indent="1"/>
    </xf>
    <xf numFmtId="169" fontId="136" fillId="0" borderId="0" xfId="1" applyNumberFormat="1" applyFont="1" applyAlignment="1">
      <alignment horizontal="right" indent="1"/>
    </xf>
    <xf numFmtId="9" fontId="143" fillId="0" borderId="0" xfId="10" applyFont="1" applyAlignment="1">
      <alignment horizontal="right" indent="1"/>
    </xf>
    <xf numFmtId="9" fontId="132" fillId="4" borderId="11" xfId="10" applyFont="1" applyFill="1" applyBorder="1" applyAlignment="1">
      <alignment horizontal="right" indent="1"/>
    </xf>
    <xf numFmtId="169" fontId="136" fillId="0" borderId="10" xfId="1" applyNumberFormat="1" applyFont="1" applyBorder="1" applyAlignment="1">
      <alignment horizontal="right" indent="1"/>
    </xf>
    <xf numFmtId="9" fontId="136" fillId="0" borderId="10" xfId="10" applyFont="1" applyBorder="1" applyAlignment="1">
      <alignment horizontal="right" indent="1"/>
    </xf>
    <xf numFmtId="169" fontId="145" fillId="0" borderId="0" xfId="4" applyNumberFormat="1" applyFont="1" applyAlignment="1">
      <alignment horizontal="right" wrapText="1" indent="1"/>
    </xf>
    <xf numFmtId="169" fontId="99" fillId="0" borderId="10" xfId="0" applyNumberFormat="1" applyFont="1" applyBorder="1" applyAlignment="1">
      <alignment horizontal="right" indent="2"/>
    </xf>
    <xf numFmtId="9" fontId="99" fillId="0" borderId="10" xfId="10" applyFont="1" applyBorder="1" applyAlignment="1">
      <alignment horizontal="right" indent="1"/>
    </xf>
    <xf numFmtId="169" fontId="142" fillId="0" borderId="0" xfId="4" applyNumberFormat="1" applyFont="1" applyAlignment="1">
      <alignment horizontal="right" wrapText="1" indent="2"/>
    </xf>
    <xf numFmtId="0" fontId="136" fillId="0" borderId="14" xfId="0" applyFont="1" applyBorder="1" applyAlignment="1">
      <alignment horizontal="left" indent="4"/>
    </xf>
    <xf numFmtId="169" fontId="99" fillId="0" borderId="14" xfId="0" applyNumberFormat="1" applyFont="1" applyBorder="1" applyAlignment="1">
      <alignment horizontal="right" indent="2"/>
    </xf>
    <xf numFmtId="9" fontId="99" fillId="0" borderId="14" xfId="10" applyFont="1" applyBorder="1" applyAlignment="1">
      <alignment horizontal="right" indent="1"/>
    </xf>
    <xf numFmtId="0" fontId="136" fillId="0" borderId="0" xfId="0" applyFont="1" applyAlignment="1">
      <alignment horizontal="left" indent="4"/>
    </xf>
    <xf numFmtId="169" fontId="99" fillId="0" borderId="0" xfId="0" applyNumberFormat="1" applyFont="1" applyAlignment="1">
      <alignment horizontal="right" indent="2"/>
    </xf>
    <xf numFmtId="9" fontId="99" fillId="0" borderId="0" xfId="10" applyFont="1" applyAlignment="1">
      <alignment horizontal="right" indent="1"/>
    </xf>
    <xf numFmtId="9" fontId="124" fillId="3" borderId="11" xfId="10" applyFont="1" applyFill="1" applyBorder="1" applyAlignment="1">
      <alignment horizontal="right" indent="1"/>
    </xf>
    <xf numFmtId="0" fontId="111" fillId="0" borderId="0" xfId="0" applyFont="1"/>
    <xf numFmtId="169" fontId="99" fillId="0" borderId="6" xfId="0" applyNumberFormat="1" applyFont="1" applyBorder="1" applyAlignment="1">
      <alignment horizontal="right" indent="2"/>
    </xf>
    <xf numFmtId="0" fontId="137" fillId="0" borderId="0" xfId="2" applyFont="1" applyAlignment="1">
      <alignment horizontal="right"/>
    </xf>
    <xf numFmtId="0" fontId="137" fillId="0" borderId="0" xfId="2" applyFont="1" applyAlignment="1">
      <alignment horizontal="right" wrapText="1"/>
    </xf>
    <xf numFmtId="169" fontId="146" fillId="0" borderId="0" xfId="2" applyNumberFormat="1" applyFont="1" applyAlignment="1">
      <alignment horizontal="right" indent="1"/>
    </xf>
    <xf numFmtId="1" fontId="146" fillId="0" borderId="0" xfId="2" applyNumberFormat="1" applyFont="1" applyAlignment="1">
      <alignment horizontal="right"/>
    </xf>
    <xf numFmtId="0" fontId="101" fillId="4" borderId="2" xfId="0" applyFont="1" applyFill="1" applyBorder="1" applyAlignment="1">
      <alignment horizontal="left" indent="1"/>
    </xf>
    <xf numFmtId="1" fontId="122" fillId="0" borderId="0" xfId="2" applyNumberFormat="1" applyFont="1" applyAlignment="1">
      <alignment horizontal="right" wrapText="1"/>
    </xf>
    <xf numFmtId="1" fontId="113" fillId="0" borderId="0" xfId="2" applyNumberFormat="1" applyFont="1" applyAlignment="1">
      <alignment horizontal="right" wrapText="1"/>
    </xf>
    <xf numFmtId="169" fontId="99" fillId="0" borderId="0" xfId="0" applyNumberFormat="1" applyFont="1"/>
    <xf numFmtId="0" fontId="101" fillId="4" borderId="7" xfId="0" applyFont="1" applyFill="1" applyBorder="1" applyAlignment="1">
      <alignment horizontal="left" indent="1"/>
    </xf>
    <xf numFmtId="0" fontId="101" fillId="4" borderId="8" xfId="0" applyFont="1" applyFill="1" applyBorder="1" applyAlignment="1">
      <alignment horizontal="left" indent="1"/>
    </xf>
    <xf numFmtId="1" fontId="146" fillId="0" borderId="0" xfId="2" applyNumberFormat="1" applyFont="1" applyAlignment="1">
      <alignment horizontal="left"/>
    </xf>
    <xf numFmtId="0" fontId="148" fillId="0" borderId="0" xfId="0" applyFont="1" applyAlignment="1">
      <alignment horizontal="left" indent="9"/>
    </xf>
    <xf numFmtId="0" fontId="136" fillId="9" borderId="0" xfId="0" applyFont="1" applyFill="1" applyAlignment="1">
      <alignment horizontal="left" indent="9"/>
    </xf>
    <xf numFmtId="169" fontId="99" fillId="9" borderId="0" xfId="4" applyNumberFormat="1" applyFont="1" applyFill="1" applyAlignment="1">
      <alignment horizontal="right" wrapText="1" indent="1"/>
    </xf>
    <xf numFmtId="0" fontId="123" fillId="0" borderId="0" xfId="0" applyFont="1" applyAlignment="1">
      <alignment horizontal="left" indent="9"/>
    </xf>
    <xf numFmtId="0" fontId="114" fillId="3" borderId="5" xfId="0" applyFont="1" applyFill="1" applyBorder="1"/>
    <xf numFmtId="0" fontId="134" fillId="0" borderId="0" xfId="0" applyFont="1" applyAlignment="1">
      <alignment horizontal="right"/>
    </xf>
    <xf numFmtId="0" fontId="134" fillId="0" borderId="0" xfId="0" applyFont="1" applyAlignment="1">
      <alignment horizontal="right" wrapText="1"/>
    </xf>
    <xf numFmtId="170" fontId="130" fillId="0" borderId="28" xfId="0" applyNumberFormat="1" applyFont="1" applyBorder="1" applyAlignment="1">
      <alignment horizontal="center"/>
    </xf>
    <xf numFmtId="0" fontId="108" fillId="0" borderId="0" xfId="0" applyFont="1"/>
    <xf numFmtId="166" fontId="130" fillId="0" borderId="12" xfId="0" applyNumberFormat="1" applyFont="1" applyBorder="1" applyAlignment="1">
      <alignment horizontal="center"/>
    </xf>
    <xf numFmtId="166" fontId="130" fillId="0" borderId="11" xfId="0" applyNumberFormat="1" applyFont="1" applyBorder="1" applyAlignment="1">
      <alignment horizontal="center"/>
    </xf>
    <xf numFmtId="0" fontId="118" fillId="4" borderId="16" xfId="0" applyFont="1" applyFill="1" applyBorder="1" applyAlignment="1">
      <alignment horizontal="left"/>
    </xf>
    <xf numFmtId="169" fontId="118" fillId="4" borderId="16" xfId="4" applyNumberFormat="1" applyFont="1" applyFill="1" applyBorder="1" applyAlignment="1">
      <alignment horizontal="right" wrapText="1" indent="2"/>
    </xf>
    <xf numFmtId="9" fontId="110" fillId="4" borderId="32" xfId="10" applyFont="1" applyFill="1" applyBorder="1" applyAlignment="1">
      <alignment horizontal="right" wrapText="1" indent="1"/>
    </xf>
    <xf numFmtId="0" fontId="118" fillId="0" borderId="37" xfId="0" applyFont="1" applyBorder="1" applyAlignment="1">
      <alignment horizontal="left"/>
    </xf>
    <xf numFmtId="169" fontId="118" fillId="0" borderId="37" xfId="4" applyNumberFormat="1" applyFont="1" applyBorder="1" applyAlignment="1">
      <alignment horizontal="right" wrapText="1" indent="2"/>
    </xf>
    <xf numFmtId="9" fontId="110" fillId="0" borderId="37" xfId="10" applyFont="1" applyBorder="1" applyAlignment="1">
      <alignment horizontal="right" wrapText="1" indent="1"/>
    </xf>
    <xf numFmtId="0" fontId="130" fillId="0" borderId="34" xfId="0" applyFont="1" applyBorder="1" applyAlignment="1">
      <alignment horizontal="left" indent="2"/>
    </xf>
    <xf numFmtId="169" fontId="130" fillId="0" borderId="34" xfId="4" applyNumberFormat="1" applyFont="1" applyBorder="1" applyAlignment="1">
      <alignment horizontal="right" wrapText="1" indent="2"/>
    </xf>
    <xf numFmtId="9" fontId="130" fillId="0" borderId="34" xfId="10" applyFont="1" applyBorder="1" applyAlignment="1">
      <alignment horizontal="right" wrapText="1" indent="1"/>
    </xf>
    <xf numFmtId="0" fontId="130" fillId="0" borderId="35" xfId="0" applyFont="1" applyBorder="1" applyAlignment="1">
      <alignment horizontal="left" indent="2"/>
    </xf>
    <xf numFmtId="169" fontId="130" fillId="0" borderId="35" xfId="4" applyNumberFormat="1" applyFont="1" applyBorder="1" applyAlignment="1">
      <alignment horizontal="right" wrapText="1" indent="2"/>
    </xf>
    <xf numFmtId="9" fontId="130" fillId="0" borderId="35" xfId="10" applyFont="1" applyBorder="1" applyAlignment="1">
      <alignment horizontal="right" wrapText="1" indent="1"/>
    </xf>
    <xf numFmtId="169" fontId="130" fillId="0" borderId="0" xfId="4" applyNumberFormat="1" applyFont="1" applyAlignment="1">
      <alignment horizontal="right" wrapText="1" indent="2"/>
    </xf>
    <xf numFmtId="9" fontId="130" fillId="0" borderId="0" xfId="10" applyFont="1" applyAlignment="1">
      <alignment horizontal="right" wrapText="1" indent="1"/>
    </xf>
    <xf numFmtId="0" fontId="118" fillId="0" borderId="10" xfId="0" applyFont="1" applyBorder="1" applyAlignment="1">
      <alignment horizontal="left"/>
    </xf>
    <xf numFmtId="169" fontId="118" fillId="0" borderId="10" xfId="4" applyNumberFormat="1" applyFont="1" applyBorder="1" applyAlignment="1">
      <alignment horizontal="right" wrapText="1" indent="2"/>
    </xf>
    <xf numFmtId="9" fontId="110" fillId="0" borderId="10" xfId="10" applyFont="1" applyBorder="1" applyAlignment="1">
      <alignment horizontal="right" wrapText="1" indent="1"/>
    </xf>
    <xf numFmtId="0" fontId="132" fillId="4" borderId="33" xfId="0" applyFont="1" applyFill="1" applyBorder="1" applyAlignment="1">
      <alignment horizontal="left" indent="1"/>
    </xf>
    <xf numFmtId="169" fontId="132" fillId="4" borderId="33" xfId="0" applyNumberFormat="1" applyFont="1" applyFill="1" applyBorder="1" applyAlignment="1">
      <alignment horizontal="right" indent="1"/>
    </xf>
    <xf numFmtId="9" fontId="133" fillId="4" borderId="33" xfId="10" applyFont="1" applyFill="1" applyBorder="1" applyAlignment="1">
      <alignment horizontal="right" indent="1"/>
    </xf>
    <xf numFmtId="169" fontId="130" fillId="0" borderId="36" xfId="4" applyNumberFormat="1" applyFont="1" applyBorder="1" applyAlignment="1">
      <alignment horizontal="right" wrapText="1" indent="1"/>
    </xf>
    <xf numFmtId="9" fontId="130" fillId="0" borderId="36" xfId="10" applyFont="1" applyBorder="1" applyAlignment="1">
      <alignment horizontal="right" wrapText="1" indent="1"/>
    </xf>
    <xf numFmtId="169" fontId="130" fillId="0" borderId="34" xfId="4" applyNumberFormat="1" applyFont="1" applyBorder="1" applyAlignment="1">
      <alignment horizontal="right" wrapText="1" indent="1"/>
    </xf>
    <xf numFmtId="0" fontId="143" fillId="0" borderId="34" xfId="0" applyFont="1" applyBorder="1" applyAlignment="1">
      <alignment horizontal="left" indent="4"/>
    </xf>
    <xf numFmtId="169" fontId="143" fillId="0" borderId="34" xfId="1" applyNumberFormat="1" applyFont="1" applyBorder="1" applyAlignment="1">
      <alignment horizontal="right" indent="1"/>
    </xf>
    <xf numFmtId="9" fontId="143" fillId="0" borderId="34" xfId="10" applyFont="1" applyBorder="1" applyAlignment="1">
      <alignment horizontal="right" indent="1"/>
    </xf>
    <xf numFmtId="169" fontId="130" fillId="0" borderId="35" xfId="4" applyNumberFormat="1" applyFont="1" applyBorder="1" applyAlignment="1">
      <alignment horizontal="right" wrapText="1" indent="1"/>
    </xf>
    <xf numFmtId="9" fontId="132" fillId="4" borderId="33" xfId="10" applyFont="1" applyFill="1" applyBorder="1" applyAlignment="1">
      <alignment horizontal="right" indent="1"/>
    </xf>
    <xf numFmtId="0" fontId="136" fillId="0" borderId="34" xfId="0" applyFont="1" applyBorder="1" applyAlignment="1">
      <alignment horizontal="left" indent="4"/>
    </xf>
    <xf numFmtId="169" fontId="136" fillId="0" borderId="34" xfId="1" applyNumberFormat="1" applyFont="1" applyBorder="1" applyAlignment="1">
      <alignment horizontal="right" indent="1"/>
    </xf>
    <xf numFmtId="9" fontId="136" fillId="0" borderId="34" xfId="10" applyFont="1" applyBorder="1" applyAlignment="1">
      <alignment horizontal="right" indent="1"/>
    </xf>
    <xf numFmtId="165" fontId="127" fillId="0" borderId="208" xfId="0" applyNumberFormat="1" applyFont="1" applyBorder="1" applyAlignment="1">
      <alignment horizontal="center"/>
    </xf>
    <xf numFmtId="0" fontId="135" fillId="0" borderId="0" xfId="0" applyFont="1"/>
    <xf numFmtId="0" fontId="99" fillId="0" borderId="0" xfId="0" applyFont="1" applyAlignment="1">
      <alignment horizontal="left"/>
    </xf>
    <xf numFmtId="0" fontId="124" fillId="6" borderId="11" xfId="0" applyFont="1" applyFill="1" applyBorder="1" applyAlignment="1">
      <alignment horizontal="left"/>
    </xf>
    <xf numFmtId="169" fontId="124" fillId="6" borderId="11" xfId="4" applyNumberFormat="1" applyFont="1" applyFill="1" applyBorder="1" applyAlignment="1">
      <alignment horizontal="right" wrapText="1" indent="2"/>
    </xf>
    <xf numFmtId="0" fontId="110" fillId="4" borderId="11" xfId="0" applyFont="1" applyFill="1" applyBorder="1" applyAlignment="1">
      <alignment horizontal="left"/>
    </xf>
    <xf numFmtId="0" fontId="128" fillId="0" borderId="0" xfId="0" applyFont="1"/>
    <xf numFmtId="0" fontId="128" fillId="0" borderId="0" xfId="0" applyFont="1" applyAlignment="1">
      <alignment horizontal="left"/>
    </xf>
    <xf numFmtId="0" fontId="99" fillId="0" borderId="10" xfId="0" applyFont="1" applyBorder="1"/>
    <xf numFmtId="0" fontId="141" fillId="0" borderId="10" xfId="0" applyFont="1" applyBorder="1" applyAlignment="1">
      <alignment horizontal="left" wrapText="1" indent="1"/>
    </xf>
    <xf numFmtId="169" fontId="141" fillId="0" borderId="10" xfId="4" applyNumberFormat="1" applyFont="1" applyBorder="1" applyAlignment="1">
      <alignment horizontal="right" wrapText="1" indent="2"/>
    </xf>
    <xf numFmtId="0" fontId="152" fillId="0" borderId="0" xfId="0" applyFont="1" applyAlignment="1">
      <alignment horizontal="left" wrapText="1"/>
    </xf>
    <xf numFmtId="0" fontId="135" fillId="0" borderId="10" xfId="0" applyFont="1" applyBorder="1" applyAlignment="1">
      <alignment horizontal="left" wrapText="1" indent="3"/>
    </xf>
    <xf numFmtId="169" fontId="135" fillId="0" borderId="10" xfId="4" applyNumberFormat="1" applyFont="1" applyBorder="1" applyAlignment="1">
      <alignment horizontal="right" wrapText="1" indent="2"/>
    </xf>
    <xf numFmtId="0" fontId="135" fillId="0" borderId="12" xfId="0" applyFont="1" applyBorder="1" applyAlignment="1">
      <alignment horizontal="left" wrapText="1"/>
    </xf>
    <xf numFmtId="169" fontId="99" fillId="0" borderId="13" xfId="0" applyNumberFormat="1" applyFont="1" applyBorder="1"/>
    <xf numFmtId="0" fontId="135" fillId="0" borderId="0" xfId="0" applyFont="1" applyAlignment="1">
      <alignment horizontal="left" wrapText="1" indent="2"/>
    </xf>
    <xf numFmtId="0" fontId="124" fillId="6" borderId="11" xfId="0" applyFont="1" applyFill="1" applyBorder="1" applyAlignment="1">
      <alignment horizontal="left" wrapText="1" indent="2"/>
    </xf>
    <xf numFmtId="0" fontId="99" fillId="0" borderId="10" xfId="0" applyFont="1" applyBorder="1" applyAlignment="1">
      <alignment wrapText="1"/>
    </xf>
    <xf numFmtId="0" fontId="142" fillId="0" borderId="10" xfId="0" applyFont="1" applyBorder="1" applyAlignment="1">
      <alignment horizontal="left" wrapText="1" indent="5"/>
    </xf>
    <xf numFmtId="0" fontId="141" fillId="0" borderId="11" xfId="0" applyFont="1" applyBorder="1" applyAlignment="1">
      <alignment horizontal="left" wrapText="1" indent="1"/>
    </xf>
    <xf numFmtId="169" fontId="99" fillId="0" borderId="11" xfId="0" applyNumberFormat="1" applyFont="1" applyBorder="1" applyAlignment="1">
      <alignment horizontal="right" indent="2"/>
    </xf>
    <xf numFmtId="169" fontId="141" fillId="0" borderId="0" xfId="4" applyNumberFormat="1" applyFont="1" applyAlignment="1">
      <alignment horizontal="right" wrapText="1" indent="1"/>
    </xf>
    <xf numFmtId="169" fontId="128" fillId="0" borderId="13" xfId="0" applyNumberFormat="1" applyFont="1" applyBorder="1"/>
    <xf numFmtId="0" fontId="128" fillId="0" borderId="0" xfId="0" quotePrefix="1" applyFont="1" applyAlignment="1">
      <alignment horizontal="left"/>
    </xf>
    <xf numFmtId="0" fontId="110" fillId="4" borderId="11" xfId="0" applyFont="1" applyFill="1" applyBorder="1" applyAlignment="1">
      <alignment horizontal="left" wrapText="1"/>
    </xf>
    <xf numFmtId="0" fontId="135" fillId="0" borderId="0" xfId="0" applyFont="1" applyAlignment="1">
      <alignment wrapText="1"/>
    </xf>
    <xf numFmtId="0" fontId="135" fillId="0" borderId="0" xfId="0" applyFont="1" applyAlignment="1">
      <alignment horizontal="left" wrapText="1"/>
    </xf>
    <xf numFmtId="165" fontId="127" fillId="0" borderId="0" xfId="0" applyNumberFormat="1" applyFont="1" applyAlignment="1">
      <alignment horizontal="center"/>
    </xf>
    <xf numFmtId="0" fontId="155" fillId="0" borderId="0" xfId="0" applyFont="1"/>
    <xf numFmtId="0" fontId="156" fillId="0" borderId="0" xfId="0" applyFont="1" applyAlignment="1">
      <alignment vertical="center"/>
    </xf>
    <xf numFmtId="0" fontId="114" fillId="3" borderId="29" xfId="0" applyFont="1" applyFill="1" applyBorder="1" applyAlignment="1">
      <alignment horizontal="left" vertical="center" indent="1"/>
    </xf>
    <xf numFmtId="0" fontId="114" fillId="3" borderId="0" xfId="0" applyFont="1" applyFill="1" applyAlignment="1">
      <alignment horizontal="left" vertical="center" indent="1"/>
    </xf>
    <xf numFmtId="0" fontId="114" fillId="3" borderId="28" xfId="0" applyFont="1" applyFill="1" applyBorder="1" applyAlignment="1">
      <alignment horizontal="center"/>
    </xf>
    <xf numFmtId="0" fontId="134" fillId="0" borderId="127" xfId="0" applyFont="1" applyBorder="1" applyAlignment="1" applyProtection="1">
      <alignment horizontal="left" indent="2"/>
      <protection locked="0"/>
    </xf>
    <xf numFmtId="177" fontId="134" fillId="0" borderId="128" xfId="1" applyNumberFormat="1" applyFont="1" applyBorder="1"/>
    <xf numFmtId="167" fontId="134" fillId="0" borderId="129" xfId="1" applyNumberFormat="1" applyFont="1" applyBorder="1"/>
    <xf numFmtId="1" fontId="158" fillId="11" borderId="40" xfId="1" applyNumberFormat="1" applyFont="1" applyFill="1" applyBorder="1"/>
    <xf numFmtId="0" fontId="134" fillId="0" borderId="130" xfId="0" applyFont="1" applyBorder="1" applyAlignment="1" applyProtection="1">
      <alignment horizontal="left" indent="2"/>
      <protection locked="0"/>
    </xf>
    <xf numFmtId="177" fontId="134" fillId="0" borderId="131" xfId="1" applyNumberFormat="1" applyFont="1" applyBorder="1"/>
    <xf numFmtId="167" fontId="134" fillId="0" borderId="132" xfId="1" applyNumberFormat="1" applyFont="1" applyBorder="1"/>
    <xf numFmtId="0" fontId="134" fillId="0" borderId="133" xfId="0" applyFont="1" applyBorder="1" applyAlignment="1" applyProtection="1">
      <alignment horizontal="left" indent="2"/>
      <protection locked="0"/>
    </xf>
    <xf numFmtId="177" fontId="134" fillId="0" borderId="134" xfId="1" applyNumberFormat="1" applyFont="1" applyBorder="1"/>
    <xf numFmtId="167" fontId="134" fillId="0" borderId="135" xfId="1" applyNumberFormat="1" applyFont="1" applyBorder="1"/>
    <xf numFmtId="177" fontId="114" fillId="3" borderId="28" xfId="1" applyNumberFormat="1" applyFont="1" applyFill="1" applyBorder="1"/>
    <xf numFmtId="167" fontId="114" fillId="3" borderId="28" xfId="1" applyNumberFormat="1" applyFont="1" applyFill="1" applyBorder="1" applyAlignment="1">
      <alignment horizontal="right"/>
    </xf>
    <xf numFmtId="0" fontId="134" fillId="0" borderId="156" xfId="0" applyFont="1" applyBorder="1" applyAlignment="1">
      <alignment horizontal="left" indent="2"/>
    </xf>
    <xf numFmtId="167" fontId="134" fillId="0" borderId="132" xfId="1" applyNumberFormat="1" applyFont="1" applyBorder="1" applyProtection="1">
      <protection locked="0"/>
    </xf>
    <xf numFmtId="0" fontId="134" fillId="0" borderId="158" xfId="0" applyFont="1" applyBorder="1" applyAlignment="1">
      <alignment horizontal="left" indent="2"/>
    </xf>
    <xf numFmtId="0" fontId="134" fillId="0" borderId="155" xfId="0" applyFont="1" applyBorder="1"/>
    <xf numFmtId="0" fontId="134" fillId="0" borderId="155" xfId="0" applyFont="1" applyBorder="1" applyProtection="1">
      <protection locked="0"/>
    </xf>
    <xf numFmtId="0" fontId="134" fillId="0" borderId="159" xfId="0" applyFont="1" applyBorder="1" applyAlignment="1">
      <alignment horizontal="left" indent="2"/>
    </xf>
    <xf numFmtId="0" fontId="134" fillId="0" borderId="160" xfId="0" applyFont="1" applyBorder="1" applyProtection="1">
      <protection locked="0"/>
    </xf>
    <xf numFmtId="0" fontId="159" fillId="0" borderId="0" xfId="0" applyFont="1" applyAlignment="1">
      <alignment horizontal="left" indent="2"/>
    </xf>
    <xf numFmtId="0" fontId="124" fillId="3" borderId="28" xfId="0" applyFont="1" applyFill="1" applyBorder="1" applyAlignment="1">
      <alignment horizontal="center"/>
    </xf>
    <xf numFmtId="0" fontId="99" fillId="0" borderId="127" xfId="0" applyFont="1" applyBorder="1"/>
    <xf numFmtId="167" fontId="99" fillId="0" borderId="128" xfId="1" applyNumberFormat="1" applyFont="1" applyBorder="1" applyAlignment="1">
      <alignment horizontal="right"/>
    </xf>
    <xf numFmtId="167" fontId="99" fillId="0" borderId="129" xfId="1" applyNumberFormat="1" applyFont="1" applyBorder="1" applyAlignment="1">
      <alignment horizontal="right"/>
    </xf>
    <xf numFmtId="0" fontId="99" fillId="0" borderId="130" xfId="0" applyFont="1" applyBorder="1"/>
    <xf numFmtId="167" fontId="99" fillId="0" borderId="131" xfId="1" applyNumberFormat="1" applyFont="1" applyBorder="1" applyAlignment="1" applyProtection="1">
      <alignment horizontal="right"/>
      <protection locked="0"/>
    </xf>
    <xf numFmtId="167" fontId="99" fillId="0" borderId="131" xfId="1" applyNumberFormat="1" applyFont="1" applyBorder="1" applyAlignment="1">
      <alignment horizontal="right"/>
    </xf>
    <xf numFmtId="167" fontId="99" fillId="0" borderId="132" xfId="1" applyNumberFormat="1" applyFont="1" applyBorder="1" applyAlignment="1" applyProtection="1">
      <alignment horizontal="right"/>
      <protection locked="0"/>
    </xf>
    <xf numFmtId="0" fontId="99" fillId="0" borderId="130" xfId="0" applyFont="1" applyBorder="1" applyProtection="1">
      <protection locked="0"/>
    </xf>
    <xf numFmtId="164" fontId="124" fillId="3" borderId="28" xfId="1" applyFont="1" applyFill="1" applyBorder="1" applyAlignment="1">
      <alignment horizontal="center"/>
    </xf>
    <xf numFmtId="167" fontId="124" fillId="3" borderId="28" xfId="1" applyNumberFormat="1" applyFont="1" applyFill="1" applyBorder="1" applyAlignment="1">
      <alignment horizontal="right"/>
    </xf>
    <xf numFmtId="0" fontId="134" fillId="0" borderId="127" xfId="0" applyFont="1" applyBorder="1" applyAlignment="1">
      <alignment horizontal="left" indent="2"/>
    </xf>
    <xf numFmtId="164" fontId="134" fillId="0" borderId="129" xfId="1" applyFont="1" applyBorder="1" applyProtection="1">
      <protection locked="0"/>
    </xf>
    <xf numFmtId="0" fontId="134" fillId="0" borderId="130" xfId="0" applyFont="1" applyBorder="1" applyAlignment="1">
      <alignment horizontal="left" indent="2"/>
    </xf>
    <xf numFmtId="164" fontId="134" fillId="0" borderId="132" xfId="1" applyFont="1" applyBorder="1" applyProtection="1">
      <protection locked="0"/>
    </xf>
    <xf numFmtId="0" fontId="134" fillId="0" borderId="133" xfId="0" applyFont="1" applyBorder="1" applyAlignment="1">
      <alignment horizontal="left" indent="2"/>
    </xf>
    <xf numFmtId="164" fontId="134" fillId="0" borderId="135" xfId="1" applyFont="1" applyBorder="1" applyProtection="1">
      <protection locked="0"/>
    </xf>
    <xf numFmtId="164" fontId="114" fillId="3" borderId="28" xfId="1" applyFont="1" applyFill="1" applyBorder="1" applyAlignment="1">
      <alignment horizontal="right"/>
    </xf>
    <xf numFmtId="0" fontId="134" fillId="0" borderId="157" xfId="0" applyFont="1" applyBorder="1" applyProtection="1">
      <protection locked="0"/>
    </xf>
    <xf numFmtId="0" fontId="124" fillId="3" borderId="28" xfId="0" applyFont="1" applyFill="1" applyBorder="1" applyAlignment="1">
      <alignment horizontal="center" wrapText="1"/>
    </xf>
    <xf numFmtId="0" fontId="111" fillId="0" borderId="1" xfId="0" applyFont="1" applyBorder="1" applyAlignment="1">
      <alignment horizontal="left" indent="1"/>
    </xf>
    <xf numFmtId="177" fontId="160" fillId="0" borderId="1" xfId="0" applyNumberFormat="1" applyFont="1" applyBorder="1" applyAlignment="1">
      <alignment horizontal="left" indent="1"/>
    </xf>
    <xf numFmtId="177" fontId="160" fillId="0" borderId="26" xfId="0" applyNumberFormat="1" applyFont="1" applyBorder="1" applyAlignment="1">
      <alignment horizontal="left" indent="1"/>
    </xf>
    <xf numFmtId="177" fontId="117" fillId="0" borderId="28" xfId="1" applyNumberFormat="1" applyFont="1" applyBorder="1"/>
    <xf numFmtId="177" fontId="99" fillId="0" borderId="0" xfId="0" applyNumberFormat="1" applyFont="1"/>
    <xf numFmtId="177" fontId="134" fillId="0" borderId="28" xfId="1" applyNumberFormat="1" applyFont="1" applyBorder="1"/>
    <xf numFmtId="0" fontId="99" fillId="0" borderId="127" xfId="0" applyFont="1" applyBorder="1" applyAlignment="1">
      <alignment horizontal="left" indent="1"/>
    </xf>
    <xf numFmtId="0" fontId="99" fillId="0" borderId="161" xfId="0" applyFont="1" applyBorder="1"/>
    <xf numFmtId="177" fontId="134" fillId="0" borderId="54" xfId="1" applyNumberFormat="1" applyFont="1" applyBorder="1"/>
    <xf numFmtId="177" fontId="134" fillId="0" borderId="164" xfId="1" applyNumberFormat="1" applyFont="1" applyBorder="1"/>
    <xf numFmtId="0" fontId="99" fillId="0" borderId="130" xfId="0" applyFont="1" applyBorder="1" applyAlignment="1">
      <alignment horizontal="left" indent="1"/>
    </xf>
    <xf numFmtId="0" fontId="99" fillId="0" borderId="162" xfId="0" applyFont="1" applyBorder="1"/>
    <xf numFmtId="177" fontId="134" fillId="0" borderId="40" xfId="1" applyNumberFormat="1" applyFont="1" applyBorder="1"/>
    <xf numFmtId="177" fontId="134" fillId="0" borderId="46" xfId="1" applyNumberFormat="1" applyFont="1" applyBorder="1"/>
    <xf numFmtId="0" fontId="99" fillId="0" borderId="133" xfId="0" applyFont="1" applyBorder="1" applyAlignment="1">
      <alignment horizontal="left" indent="1"/>
    </xf>
    <xf numFmtId="0" fontId="99" fillId="0" borderId="163" xfId="0" applyFont="1" applyBorder="1"/>
    <xf numFmtId="177" fontId="134" fillId="0" borderId="41" xfId="1" applyNumberFormat="1" applyFont="1" applyBorder="1"/>
    <xf numFmtId="177" fontId="134" fillId="0" borderId="47" xfId="1" applyNumberFormat="1" applyFont="1" applyBorder="1"/>
    <xf numFmtId="0" fontId="159" fillId="0" borderId="168" xfId="0" applyFont="1" applyBorder="1" applyAlignment="1">
      <alignment horizontal="left" indent="1"/>
    </xf>
    <xf numFmtId="177" fontId="134" fillId="0" borderId="26" xfId="1" applyNumberFormat="1" applyFont="1" applyBorder="1"/>
    <xf numFmtId="177" fontId="134" fillId="0" borderId="0" xfId="1" applyNumberFormat="1" applyFont="1"/>
    <xf numFmtId="177" fontId="117" fillId="0" borderId="28" xfId="1" applyNumberFormat="1" applyFont="1" applyBorder="1" applyAlignment="1">
      <alignment horizontal="center"/>
    </xf>
    <xf numFmtId="177" fontId="134" fillId="0" borderId="54" xfId="1" applyNumberFormat="1" applyFont="1" applyBorder="1" applyProtection="1">
      <protection locked="0"/>
    </xf>
    <xf numFmtId="177" fontId="123" fillId="0" borderId="0" xfId="0" applyNumberFormat="1" applyFont="1"/>
    <xf numFmtId="9" fontId="99" fillId="0" borderId="0" xfId="0" applyNumberFormat="1" applyFont="1"/>
    <xf numFmtId="177" fontId="134" fillId="0" borderId="40" xfId="1" applyNumberFormat="1" applyFont="1" applyBorder="1" applyProtection="1">
      <protection locked="0"/>
    </xf>
    <xf numFmtId="177" fontId="134" fillId="0" borderId="40" xfId="1" applyNumberFormat="1" applyFont="1" applyBorder="1" applyAlignment="1" applyProtection="1">
      <alignment horizontal="center"/>
      <protection locked="0"/>
    </xf>
    <xf numFmtId="164" fontId="99" fillId="0" borderId="0" xfId="0" applyNumberFormat="1" applyFont="1"/>
    <xf numFmtId="177" fontId="134" fillId="0" borderId="41" xfId="1" applyNumberFormat="1" applyFont="1" applyBorder="1" applyAlignment="1" applyProtection="1">
      <alignment horizontal="center"/>
      <protection locked="0"/>
    </xf>
    <xf numFmtId="177" fontId="134" fillId="0" borderId="41" xfId="1" applyNumberFormat="1" applyFont="1" applyBorder="1" applyProtection="1">
      <protection locked="0"/>
    </xf>
    <xf numFmtId="0" fontId="99" fillId="0" borderId="0" xfId="0" applyFont="1" applyProtection="1">
      <protection locked="0"/>
    </xf>
    <xf numFmtId="0" fontId="99" fillId="0" borderId="1" xfId="0" applyFont="1" applyBorder="1" applyProtection="1">
      <protection locked="0"/>
    </xf>
    <xf numFmtId="0" fontId="99" fillId="0" borderId="0" xfId="0" applyFont="1" applyAlignment="1">
      <alignment horizontal="left" indent="1"/>
    </xf>
    <xf numFmtId="0" fontId="159" fillId="0" borderId="1" xfId="0" applyFont="1" applyBorder="1" applyAlignment="1">
      <alignment horizontal="left" indent="1"/>
    </xf>
    <xf numFmtId="0" fontId="99" fillId="23" borderId="130" xfId="0" applyFont="1" applyFill="1" applyBorder="1" applyAlignment="1">
      <alignment horizontal="left" indent="1"/>
    </xf>
    <xf numFmtId="0" fontId="99" fillId="23" borderId="162" xfId="0" applyFont="1" applyFill="1" applyBorder="1" applyAlignment="1">
      <alignment horizontal="left" indent="3"/>
    </xf>
    <xf numFmtId="177" fontId="134" fillId="23" borderId="40" xfId="1" applyNumberFormat="1" applyFont="1" applyFill="1" applyBorder="1" applyProtection="1">
      <protection locked="0"/>
    </xf>
    <xf numFmtId="0" fontId="99" fillId="23" borderId="133" xfId="0" applyFont="1" applyFill="1" applyBorder="1" applyAlignment="1">
      <alignment horizontal="left" indent="1"/>
    </xf>
    <xf numFmtId="0" fontId="99" fillId="23" borderId="163" xfId="0" applyFont="1" applyFill="1" applyBorder="1" applyAlignment="1">
      <alignment horizontal="left" indent="3"/>
    </xf>
    <xf numFmtId="177" fontId="134" fillId="23" borderId="41" xfId="1" applyNumberFormat="1" applyFont="1" applyFill="1" applyBorder="1" applyProtection="1">
      <protection locked="0"/>
    </xf>
    <xf numFmtId="0" fontId="161" fillId="0" borderId="1" xfId="0" applyFont="1" applyBorder="1" applyAlignment="1">
      <alignment horizontal="left" indent="1"/>
    </xf>
    <xf numFmtId="0" fontId="162" fillId="0" borderId="1" xfId="0" applyFont="1" applyBorder="1"/>
    <xf numFmtId="177" fontId="162" fillId="0" borderId="28" xfId="1" applyNumberFormat="1" applyFont="1" applyBorder="1" applyAlignment="1">
      <alignment horizontal="center"/>
    </xf>
    <xf numFmtId="173" fontId="131" fillId="3" borderId="37" xfId="0" applyNumberFormat="1" applyFont="1" applyFill="1" applyBorder="1" applyAlignment="1">
      <alignment horizontal="center"/>
    </xf>
    <xf numFmtId="0" fontId="131" fillId="3" borderId="37" xfId="0" applyFont="1" applyFill="1" applyBorder="1" applyAlignment="1">
      <alignment horizontal="center"/>
    </xf>
    <xf numFmtId="10" fontId="164" fillId="3" borderId="37" xfId="0" applyNumberFormat="1" applyFont="1" applyFill="1" applyBorder="1"/>
    <xf numFmtId="173" fontId="164" fillId="3" borderId="37" xfId="0" applyNumberFormat="1" applyFont="1" applyFill="1" applyBorder="1"/>
    <xf numFmtId="173" fontId="131" fillId="3" borderId="34" xfId="0" applyNumberFormat="1" applyFont="1" applyFill="1" applyBorder="1" applyAlignment="1">
      <alignment horizontal="center"/>
    </xf>
    <xf numFmtId="0" fontId="131" fillId="3" borderId="34" xfId="0" applyFont="1" applyFill="1" applyBorder="1" applyAlignment="1">
      <alignment horizontal="center"/>
    </xf>
    <xf numFmtId="10" fontId="131" fillId="3" borderId="34" xfId="0" applyNumberFormat="1" applyFont="1" applyFill="1" applyBorder="1" applyAlignment="1">
      <alignment horizontal="center"/>
    </xf>
    <xf numFmtId="173" fontId="164" fillId="3" borderId="34" xfId="0" applyNumberFormat="1" applyFont="1" applyFill="1" applyBorder="1"/>
    <xf numFmtId="164" fontId="158" fillId="5" borderId="184" xfId="1" applyFont="1" applyFill="1" applyBorder="1" applyProtection="1">
      <protection locked="0"/>
    </xf>
    <xf numFmtId="164" fontId="158" fillId="5" borderId="195" xfId="1" applyFont="1" applyFill="1" applyBorder="1" applyProtection="1">
      <protection locked="0"/>
    </xf>
    <xf numFmtId="10" fontId="158" fillId="5" borderId="195" xfId="10" applyNumberFormat="1" applyFont="1" applyFill="1" applyBorder="1" applyProtection="1">
      <protection locked="0"/>
    </xf>
    <xf numFmtId="9" fontId="158" fillId="0" borderId="195" xfId="10" applyFont="1" applyBorder="1"/>
    <xf numFmtId="164" fontId="158" fillId="0" borderId="195" xfId="1" applyFont="1" applyBorder="1"/>
    <xf numFmtId="164" fontId="158" fillId="0" borderId="198" xfId="1" applyFont="1" applyBorder="1" applyAlignment="1">
      <alignment horizontal="center"/>
    </xf>
    <xf numFmtId="164" fontId="158" fillId="5" borderId="182" xfId="1" applyFont="1" applyFill="1" applyBorder="1" applyProtection="1">
      <protection locked="0"/>
    </xf>
    <xf numFmtId="164" fontId="158" fillId="5" borderId="196" xfId="1" applyFont="1" applyFill="1" applyBorder="1" applyProtection="1">
      <protection locked="0"/>
    </xf>
    <xf numFmtId="10" fontId="158" fillId="5" borderId="196" xfId="10" applyNumberFormat="1" applyFont="1" applyFill="1" applyBorder="1" applyProtection="1">
      <protection locked="0"/>
    </xf>
    <xf numFmtId="9" fontId="158" fillId="0" borderId="196" xfId="10" applyFont="1" applyBorder="1"/>
    <xf numFmtId="164" fontId="158" fillId="0" borderId="196" xfId="1" applyFont="1" applyBorder="1"/>
    <xf numFmtId="164" fontId="158" fillId="0" borderId="199" xfId="1" applyFont="1" applyBorder="1" applyAlignment="1">
      <alignment horizontal="center"/>
    </xf>
    <xf numFmtId="164" fontId="158" fillId="0" borderId="182" xfId="1" applyFont="1" applyBorder="1"/>
    <xf numFmtId="9" fontId="158" fillId="5" borderId="196" xfId="10" applyFont="1" applyFill="1" applyBorder="1" applyProtection="1">
      <protection locked="0"/>
    </xf>
    <xf numFmtId="0" fontId="160" fillId="0" borderId="183" xfId="0" applyFont="1" applyBorder="1"/>
    <xf numFmtId="164" fontId="158" fillId="0" borderId="183" xfId="1" applyFont="1" applyBorder="1"/>
    <xf numFmtId="164" fontId="158" fillId="0" borderId="197" xfId="1" applyFont="1" applyBorder="1"/>
    <xf numFmtId="9" fontId="158" fillId="0" borderId="197" xfId="10" applyFont="1" applyBorder="1"/>
    <xf numFmtId="164" fontId="158" fillId="0" borderId="200" xfId="1" applyFont="1" applyBorder="1" applyAlignment="1">
      <alignment horizontal="center"/>
    </xf>
    <xf numFmtId="0" fontId="120" fillId="3" borderId="29" xfId="0" applyFont="1" applyFill="1" applyBorder="1"/>
    <xf numFmtId="164" fontId="131" fillId="3" borderId="28" xfId="1" applyFont="1" applyFill="1" applyBorder="1"/>
    <xf numFmtId="9" fontId="131" fillId="3" borderId="28" xfId="10" applyFont="1" applyFill="1" applyBorder="1"/>
    <xf numFmtId="164" fontId="131" fillId="3" borderId="28" xfId="1" applyFont="1" applyFill="1" applyBorder="1" applyAlignment="1">
      <alignment horizontal="center"/>
    </xf>
    <xf numFmtId="164" fontId="123" fillId="0" borderId="0" xfId="0" applyNumberFormat="1" applyFont="1"/>
    <xf numFmtId="173" fontId="131" fillId="3" borderId="35" xfId="0" applyNumberFormat="1" applyFont="1" applyFill="1" applyBorder="1" applyAlignment="1">
      <alignment horizontal="center"/>
    </xf>
    <xf numFmtId="0" fontId="131" fillId="3" borderId="35" xfId="0" applyFont="1" applyFill="1" applyBorder="1" applyAlignment="1">
      <alignment horizontal="center"/>
    </xf>
    <xf numFmtId="10" fontId="131" fillId="3" borderId="35" xfId="0" applyNumberFormat="1" applyFont="1" applyFill="1" applyBorder="1" applyAlignment="1">
      <alignment horizontal="center"/>
    </xf>
    <xf numFmtId="164" fontId="158" fillId="5" borderId="185" xfId="1" applyFont="1" applyFill="1" applyBorder="1" applyProtection="1">
      <protection locked="0"/>
    </xf>
    <xf numFmtId="10" fontId="158" fillId="5" borderId="195" xfId="0" applyNumberFormat="1" applyFont="1" applyFill="1" applyBorder="1" applyProtection="1">
      <protection locked="0"/>
    </xf>
    <xf numFmtId="10" fontId="158" fillId="23" borderId="195" xfId="0" applyNumberFormat="1" applyFont="1" applyFill="1" applyBorder="1"/>
    <xf numFmtId="164" fontId="158" fillId="0" borderId="164" xfId="1" applyFont="1" applyBorder="1" applyAlignment="1">
      <alignment horizontal="center"/>
    </xf>
    <xf numFmtId="10" fontId="158" fillId="5" borderId="196" xfId="0" applyNumberFormat="1" applyFont="1" applyFill="1" applyBorder="1" applyProtection="1">
      <protection locked="0"/>
    </xf>
    <xf numFmtId="10" fontId="158" fillId="0" borderId="196" xfId="0" applyNumberFormat="1" applyFont="1" applyBorder="1"/>
    <xf numFmtId="164" fontId="158" fillId="0" borderId="46" xfId="1" applyFont="1" applyBorder="1" applyAlignment="1">
      <alignment horizontal="center"/>
    </xf>
    <xf numFmtId="0" fontId="158" fillId="0" borderId="196" xfId="0" applyFont="1" applyBorder="1"/>
    <xf numFmtId="0" fontId="160" fillId="0" borderId="186" xfId="0" applyFont="1" applyBorder="1"/>
    <xf numFmtId="164" fontId="158" fillId="0" borderId="186" xfId="1" applyFont="1" applyBorder="1"/>
    <xf numFmtId="0" fontId="158" fillId="0" borderId="197" xfId="0" applyFont="1" applyBorder="1"/>
    <xf numFmtId="10" fontId="158" fillId="0" borderId="197" xfId="0" applyNumberFormat="1" applyFont="1" applyBorder="1"/>
    <xf numFmtId="164" fontId="158" fillId="0" borderId="47" xfId="1" applyFont="1" applyBorder="1" applyAlignment="1">
      <alignment horizontal="center"/>
    </xf>
    <xf numFmtId="173" fontId="131" fillId="3" borderId="28" xfId="0" applyNumberFormat="1" applyFont="1" applyFill="1" applyBorder="1"/>
    <xf numFmtId="0" fontId="163" fillId="3" borderId="20" xfId="0" applyFont="1" applyFill="1" applyBorder="1"/>
    <xf numFmtId="173" fontId="131" fillId="3" borderId="21" xfId="0" applyNumberFormat="1" applyFont="1" applyFill="1" applyBorder="1" applyAlignment="1">
      <alignment horizontal="center"/>
    </xf>
    <xf numFmtId="10" fontId="164" fillId="3" borderId="21" xfId="0" applyNumberFormat="1" applyFont="1" applyFill="1" applyBorder="1"/>
    <xf numFmtId="173" fontId="164" fillId="3" borderId="21" xfId="0" applyNumberFormat="1" applyFont="1" applyFill="1" applyBorder="1"/>
    <xf numFmtId="0" fontId="165" fillId="3" borderId="23" xfId="0" applyFont="1" applyFill="1" applyBorder="1"/>
    <xf numFmtId="173" fontId="131" fillId="3" borderId="0" xfId="0" applyNumberFormat="1" applyFont="1" applyFill="1" applyAlignment="1">
      <alignment horizontal="center"/>
    </xf>
    <xf numFmtId="10" fontId="131" fillId="3" borderId="0" xfId="0" applyNumberFormat="1" applyFont="1" applyFill="1" applyAlignment="1">
      <alignment horizontal="center"/>
    </xf>
    <xf numFmtId="0" fontId="165" fillId="3" borderId="25" xfId="0" applyFont="1" applyFill="1" applyBorder="1"/>
    <xf numFmtId="173" fontId="131" fillId="3" borderId="1" xfId="0" applyNumberFormat="1" applyFont="1" applyFill="1" applyBorder="1" applyAlignment="1">
      <alignment horizontal="center"/>
    </xf>
    <xf numFmtId="10" fontId="131" fillId="3" borderId="1" xfId="0" applyNumberFormat="1" applyFont="1" applyFill="1" applyBorder="1" applyAlignment="1">
      <alignment horizontal="center"/>
    </xf>
    <xf numFmtId="164" fontId="158" fillId="5" borderId="49" xfId="1" applyFont="1" applyFill="1" applyBorder="1" applyProtection="1">
      <protection locked="0"/>
    </xf>
    <xf numFmtId="164" fontId="158" fillId="5" borderId="202" xfId="1" applyFont="1" applyFill="1" applyBorder="1" applyProtection="1">
      <protection locked="0"/>
    </xf>
    <xf numFmtId="0" fontId="158" fillId="0" borderId="202" xfId="0" applyFont="1" applyBorder="1"/>
    <xf numFmtId="10" fontId="158" fillId="0" borderId="202" xfId="0" applyNumberFormat="1" applyFont="1" applyBorder="1"/>
    <xf numFmtId="173" fontId="158" fillId="0" borderId="202" xfId="0" applyNumberFormat="1" applyFont="1" applyBorder="1"/>
    <xf numFmtId="164" fontId="158" fillId="0" borderId="45" xfId="1" applyFont="1" applyBorder="1" applyAlignment="1">
      <alignment horizontal="center"/>
    </xf>
    <xf numFmtId="173" fontId="158" fillId="0" borderId="0" xfId="0" applyNumberFormat="1" applyFont="1"/>
    <xf numFmtId="0" fontId="158" fillId="0" borderId="0" xfId="0" applyFont="1"/>
    <xf numFmtId="10" fontId="158" fillId="0" borderId="0" xfId="0" applyNumberFormat="1" applyFont="1"/>
    <xf numFmtId="173" fontId="158" fillId="0" borderId="24" xfId="0" applyNumberFormat="1" applyFont="1" applyBorder="1" applyAlignment="1">
      <alignment horizontal="center"/>
    </xf>
    <xf numFmtId="164" fontId="158" fillId="0" borderId="0" xfId="1" applyFont="1"/>
    <xf numFmtId="164" fontId="158" fillId="0" borderId="24" xfId="1" applyFont="1" applyBorder="1" applyAlignment="1">
      <alignment horizontal="center"/>
    </xf>
    <xf numFmtId="164" fontId="158" fillId="5" borderId="131" xfId="1" applyFont="1" applyFill="1" applyBorder="1" applyProtection="1">
      <protection locked="0"/>
    </xf>
    <xf numFmtId="164" fontId="158" fillId="5" borderId="50" xfId="1" applyFont="1" applyFill="1" applyBorder="1" applyProtection="1">
      <protection locked="0"/>
    </xf>
    <xf numFmtId="164" fontId="158" fillId="0" borderId="131" xfId="1" applyFont="1" applyBorder="1"/>
    <xf numFmtId="9" fontId="158" fillId="0" borderId="194" xfId="0" applyNumberFormat="1" applyFont="1" applyBorder="1"/>
    <xf numFmtId="10" fontId="158" fillId="0" borderId="131" xfId="0" applyNumberFormat="1" applyFont="1" applyBorder="1"/>
    <xf numFmtId="173" fontId="158" fillId="0" borderId="194" xfId="0" applyNumberFormat="1" applyFont="1" applyBorder="1"/>
    <xf numFmtId="164" fontId="158" fillId="0" borderId="194" xfId="1" applyFont="1" applyBorder="1"/>
    <xf numFmtId="164" fontId="158" fillId="0" borderId="201" xfId="1" applyFont="1" applyBorder="1"/>
    <xf numFmtId="0" fontId="158" fillId="0" borderId="194" xfId="0" applyFont="1" applyBorder="1"/>
    <xf numFmtId="10" fontId="158" fillId="23" borderId="131" xfId="0" applyNumberFormat="1" applyFont="1" applyFill="1" applyBorder="1"/>
    <xf numFmtId="181" fontId="158" fillId="0" borderId="131" xfId="0" applyNumberFormat="1" applyFont="1" applyBorder="1"/>
    <xf numFmtId="9" fontId="158" fillId="5" borderId="131" xfId="1" applyNumberFormat="1" applyFont="1" applyFill="1" applyBorder="1" applyProtection="1">
      <protection locked="0"/>
    </xf>
    <xf numFmtId="173" fontId="158" fillId="0" borderId="1" xfId="0" applyNumberFormat="1" applyFont="1" applyBorder="1"/>
    <xf numFmtId="0" fontId="158" fillId="0" borderId="1" xfId="0" applyFont="1" applyBorder="1"/>
    <xf numFmtId="164" fontId="158" fillId="0" borderId="1" xfId="1" applyFont="1" applyBorder="1"/>
    <xf numFmtId="164" fontId="158" fillId="0" borderId="26" xfId="1" applyFont="1" applyBorder="1" applyAlignment="1">
      <alignment horizontal="center"/>
    </xf>
    <xf numFmtId="0" fontId="160" fillId="0" borderId="23" xfId="0" applyFont="1" applyBorder="1"/>
    <xf numFmtId="0" fontId="160" fillId="0" borderId="0" xfId="0" applyFont="1"/>
    <xf numFmtId="0" fontId="160" fillId="0" borderId="24" xfId="0" applyFont="1" applyBorder="1" applyAlignment="1">
      <alignment horizontal="center"/>
    </xf>
    <xf numFmtId="164" fontId="120" fillId="3" borderId="28" xfId="1" applyFont="1" applyFill="1" applyBorder="1"/>
    <xf numFmtId="0" fontId="120" fillId="3" borderId="28" xfId="0" applyFont="1" applyFill="1" applyBorder="1"/>
    <xf numFmtId="173" fontId="120" fillId="3" borderId="28" xfId="0" applyNumberFormat="1" applyFont="1" applyFill="1" applyBorder="1"/>
    <xf numFmtId="0" fontId="166" fillId="0" borderId="184" xfId="0" applyFont="1" applyBorder="1"/>
    <xf numFmtId="0" fontId="166" fillId="0" borderId="182" xfId="0" applyFont="1" applyBorder="1"/>
    <xf numFmtId="0" fontId="166" fillId="0" borderId="185" xfId="0" applyFont="1" applyBorder="1"/>
    <xf numFmtId="0" fontId="166" fillId="0" borderId="42" xfId="0" applyFont="1" applyBorder="1"/>
    <xf numFmtId="0" fontId="158" fillId="0" borderId="23" xfId="0" applyFont="1" applyBorder="1"/>
    <xf numFmtId="0" fontId="166" fillId="0" borderId="23" xfId="0" applyFont="1" applyBorder="1"/>
    <xf numFmtId="0" fontId="158" fillId="0" borderId="50" xfId="0" applyFont="1" applyBorder="1"/>
    <xf numFmtId="0" fontId="166" fillId="0" borderId="50" xfId="0" applyFont="1" applyBorder="1"/>
    <xf numFmtId="0" fontId="158" fillId="5" borderId="40" xfId="0" applyFont="1" applyFill="1" applyBorder="1" applyProtection="1">
      <protection locked="0"/>
    </xf>
    <xf numFmtId="0" fontId="158" fillId="0" borderId="25" xfId="0" applyFont="1" applyBorder="1"/>
    <xf numFmtId="0" fontId="168" fillId="0" borderId="181" xfId="0" applyFont="1" applyBorder="1"/>
    <xf numFmtId="0" fontId="113" fillId="0" borderId="0" xfId="0" applyFont="1"/>
    <xf numFmtId="0" fontId="110" fillId="0" borderId="0" xfId="0" applyFont="1" applyAlignment="1">
      <alignment horizontal="right"/>
    </xf>
    <xf numFmtId="0" fontId="110" fillId="0" borderId="0" xfId="0" applyFont="1" applyAlignment="1">
      <alignment horizontal="left" indent="1"/>
    </xf>
    <xf numFmtId="0" fontId="113" fillId="0" borderId="0" xfId="0" applyFont="1" applyAlignment="1">
      <alignment horizontal="center"/>
    </xf>
    <xf numFmtId="0" fontId="143" fillId="0" borderId="6" xfId="0" applyFont="1" applyBorder="1" applyAlignment="1" applyProtection="1">
      <alignment horizontal="center"/>
      <protection locked="0"/>
    </xf>
    <xf numFmtId="164" fontId="113" fillId="0" borderId="0" xfId="1" applyFont="1"/>
    <xf numFmtId="4" fontId="113" fillId="0" borderId="0" xfId="0" applyNumberFormat="1" applyFont="1"/>
    <xf numFmtId="0" fontId="122" fillId="0" borderId="0" xfId="0" applyFont="1"/>
    <xf numFmtId="0" fontId="124" fillId="2" borderId="169" xfId="0" applyFont="1" applyFill="1" applyBorder="1"/>
    <xf numFmtId="0" fontId="124" fillId="2" borderId="8" xfId="0" applyFont="1" applyFill="1" applyBorder="1"/>
    <xf numFmtId="0" fontId="115" fillId="0" borderId="0" xfId="0" applyFont="1"/>
    <xf numFmtId="178" fontId="171" fillId="25" borderId="6" xfId="1" applyNumberFormat="1" applyFont="1" applyFill="1" applyBorder="1" applyAlignment="1">
      <alignment horizontal="right" indent="1"/>
    </xf>
    <xf numFmtId="0" fontId="118" fillId="0" borderId="0" xfId="0" applyFont="1"/>
    <xf numFmtId="178" fontId="144" fillId="0" borderId="6" xfId="1" applyNumberFormat="1" applyFont="1" applyBorder="1" applyAlignment="1">
      <alignment horizontal="right" indent="1"/>
    </xf>
    <xf numFmtId="178" fontId="124" fillId="2" borderId="6" xfId="1" applyNumberFormat="1" applyFont="1" applyFill="1" applyBorder="1" applyAlignment="1">
      <alignment horizontal="right" indent="1"/>
    </xf>
    <xf numFmtId="3" fontId="144" fillId="0" borderId="6" xfId="0" applyNumberFormat="1" applyFont="1" applyBorder="1" applyAlignment="1" applyProtection="1">
      <alignment horizontal="right" indent="1"/>
      <protection locked="0"/>
    </xf>
    <xf numFmtId="164" fontId="172" fillId="0" borderId="0" xfId="1" applyFont="1" applyAlignment="1">
      <alignment horizontal="right" indent="1"/>
    </xf>
    <xf numFmtId="0" fontId="172" fillId="0" borderId="0" xfId="0" applyFont="1"/>
    <xf numFmtId="164" fontId="124" fillId="2" borderId="169" xfId="1" applyFont="1" applyFill="1" applyBorder="1"/>
    <xf numFmtId="164" fontId="124" fillId="2" borderId="8" xfId="1" applyFont="1" applyFill="1" applyBorder="1"/>
    <xf numFmtId="4" fontId="171" fillId="25" borderId="6" xfId="0" applyNumberFormat="1" applyFont="1" applyFill="1" applyBorder="1"/>
    <xf numFmtId="4" fontId="144" fillId="0" borderId="6" xfId="0" applyNumberFormat="1" applyFont="1" applyBorder="1" applyAlignment="1" applyProtection="1">
      <alignment horizontal="right" indent="1"/>
      <protection locked="0"/>
    </xf>
    <xf numFmtId="0" fontId="114" fillId="2" borderId="7" xfId="0" applyFont="1" applyFill="1" applyBorder="1" applyAlignment="1">
      <alignment horizontal="center"/>
    </xf>
    <xf numFmtId="0" fontId="114" fillId="2" borderId="169" xfId="0" applyFont="1" applyFill="1" applyBorder="1"/>
    <xf numFmtId="0" fontId="173" fillId="25" borderId="6" xfId="0" applyFont="1" applyFill="1" applyBorder="1"/>
    <xf numFmtId="178" fontId="174" fillId="25" borderId="6" xfId="1" applyNumberFormat="1" applyFont="1" applyFill="1" applyBorder="1" applyAlignment="1">
      <alignment horizontal="right" indent="1"/>
    </xf>
    <xf numFmtId="0" fontId="175" fillId="0" borderId="6" xfId="0" applyFont="1" applyBorder="1" applyAlignment="1">
      <alignment horizontal="left" indent="1"/>
    </xf>
    <xf numFmtId="178" fontId="175" fillId="0" borderId="6" xfId="1" applyNumberFormat="1" applyFont="1" applyBorder="1" applyAlignment="1">
      <alignment horizontal="right" indent="1"/>
    </xf>
    <xf numFmtId="178" fontId="114" fillId="2" borderId="6" xfId="1" applyNumberFormat="1" applyFont="1" applyFill="1" applyBorder="1" applyAlignment="1">
      <alignment horizontal="right" indent="1"/>
    </xf>
    <xf numFmtId="0" fontId="176" fillId="0" borderId="0" xfId="0" applyFont="1"/>
    <xf numFmtId="0" fontId="174" fillId="25" borderId="6" xfId="0" applyFont="1" applyFill="1" applyBorder="1"/>
    <xf numFmtId="3" fontId="175" fillId="0" borderId="6" xfId="0" applyNumberFormat="1" applyFont="1" applyBorder="1" applyAlignment="1" applyProtection="1">
      <alignment horizontal="right" indent="1"/>
      <protection locked="0"/>
    </xf>
    <xf numFmtId="0" fontId="177" fillId="0" borderId="0" xfId="0" applyFont="1" applyAlignment="1">
      <alignment horizontal="center"/>
    </xf>
    <xf numFmtId="164" fontId="177" fillId="0" borderId="0" xfId="1" applyFont="1" applyAlignment="1">
      <alignment horizontal="right" indent="1"/>
    </xf>
    <xf numFmtId="0" fontId="176" fillId="0" borderId="0" xfId="0" applyFont="1" applyAlignment="1">
      <alignment horizontal="center"/>
    </xf>
    <xf numFmtId="164" fontId="114" fillId="2" borderId="169" xfId="1" applyFont="1" applyFill="1" applyBorder="1"/>
    <xf numFmtId="4" fontId="174" fillId="25" borderId="6" xfId="0" applyNumberFormat="1" applyFont="1" applyFill="1" applyBorder="1"/>
    <xf numFmtId="0" fontId="178" fillId="0" borderId="0" xfId="0" applyFont="1" applyAlignment="1">
      <alignment horizontal="center"/>
    </xf>
    <xf numFmtId="0" fontId="107" fillId="0" borderId="209" xfId="0" applyFont="1" applyBorder="1"/>
    <xf numFmtId="0" fontId="116" fillId="2" borderId="169" xfId="0" applyFont="1" applyFill="1" applyBorder="1"/>
    <xf numFmtId="0" fontId="116" fillId="2" borderId="8" xfId="0" applyFont="1" applyFill="1" applyBorder="1"/>
    <xf numFmtId="0" fontId="173" fillId="0" borderId="0" xfId="0" applyFont="1"/>
    <xf numFmtId="4" fontId="174" fillId="25" borderId="6" xfId="1" applyNumberFormat="1" applyFont="1" applyFill="1" applyBorder="1" applyAlignment="1">
      <alignment horizontal="right" indent="1"/>
    </xf>
    <xf numFmtId="179" fontId="174" fillId="25" borderId="6" xfId="1" applyNumberFormat="1" applyFont="1" applyFill="1" applyBorder="1" applyAlignment="1">
      <alignment horizontal="right" indent="1"/>
    </xf>
    <xf numFmtId="4" fontId="175" fillId="0" borderId="6" xfId="1" applyNumberFormat="1" applyFont="1" applyBorder="1" applyAlignment="1">
      <alignment horizontal="right" indent="1"/>
    </xf>
    <xf numFmtId="179" fontId="175" fillId="0" borderId="6" xfId="1" applyNumberFormat="1" applyFont="1" applyBorder="1" applyAlignment="1">
      <alignment horizontal="right" indent="1"/>
    </xf>
    <xf numFmtId="4" fontId="114" fillId="2" borderId="6" xfId="1" applyNumberFormat="1" applyFont="1" applyFill="1" applyBorder="1" applyAlignment="1">
      <alignment horizontal="right" indent="1"/>
    </xf>
    <xf numFmtId="4" fontId="116" fillId="2" borderId="169" xfId="0" applyNumberFormat="1" applyFont="1" applyFill="1" applyBorder="1"/>
    <xf numFmtId="0" fontId="179" fillId="2" borderId="0" xfId="0" applyFont="1" applyFill="1"/>
    <xf numFmtId="0" fontId="175" fillId="0" borderId="6" xfId="0" applyFont="1" applyBorder="1" applyAlignment="1" applyProtection="1">
      <alignment horizontal="center"/>
      <protection locked="0"/>
    </xf>
    <xf numFmtId="0" fontId="125" fillId="0" borderId="0" xfId="0" applyFont="1" applyAlignment="1">
      <alignment horizontal="right" indent="1"/>
    </xf>
    <xf numFmtId="0" fontId="180" fillId="0" borderId="0" xfId="0" applyFont="1" applyAlignment="1">
      <alignment horizontal="left" indent="1"/>
    </xf>
    <xf numFmtId="0" fontId="107" fillId="0" borderId="208" xfId="0" applyFont="1" applyBorder="1" applyAlignment="1">
      <alignment horizontal="left" indent="1"/>
    </xf>
    <xf numFmtId="0" fontId="113" fillId="0" borderId="208" xfId="0" applyFont="1" applyBorder="1"/>
    <xf numFmtId="0" fontId="110" fillId="0" borderId="28" xfId="0" applyFont="1" applyBorder="1" applyAlignment="1">
      <alignment horizontal="center"/>
    </xf>
    <xf numFmtId="2" fontId="110" fillId="0" borderId="28" xfId="0" applyNumberFormat="1" applyFont="1" applyBorder="1" applyAlignment="1">
      <alignment horizontal="center" vertical="center"/>
    </xf>
    <xf numFmtId="0" fontId="110" fillId="0" borderId="28" xfId="0" applyFont="1" applyBorder="1" applyAlignment="1">
      <alignment horizontal="center" vertical="center"/>
    </xf>
    <xf numFmtId="0" fontId="110" fillId="10" borderId="20" xfId="0" applyFont="1" applyFill="1" applyBorder="1" applyAlignment="1">
      <alignment horizontal="center"/>
    </xf>
    <xf numFmtId="0" fontId="113" fillId="0" borderId="0" xfId="0" applyFont="1" applyAlignment="1">
      <alignment horizontal="center" vertical="center"/>
    </xf>
    <xf numFmtId="0" fontId="110" fillId="0" borderId="0" xfId="0" applyFont="1" applyAlignment="1">
      <alignment horizontal="center" vertical="center"/>
    </xf>
    <xf numFmtId="0" fontId="139" fillId="0" borderId="0" xfId="0" applyFont="1" applyAlignment="1">
      <alignment horizontal="right" indent="1"/>
    </xf>
    <xf numFmtId="164" fontId="139" fillId="0" borderId="0" xfId="1" applyFont="1" applyAlignment="1">
      <alignment horizontal="right" indent="1"/>
    </xf>
    <xf numFmtId="164" fontId="113" fillId="0" borderId="0" xfId="1" applyFont="1" applyAlignment="1">
      <alignment horizontal="right" indent="1"/>
    </xf>
    <xf numFmtId="0" fontId="146" fillId="0" borderId="0" xfId="0" applyFont="1"/>
    <xf numFmtId="0" fontId="181" fillId="0" borderId="24" xfId="0" applyFont="1" applyBorder="1" applyAlignment="1">
      <alignment horizontal="center"/>
    </xf>
    <xf numFmtId="0" fontId="113" fillId="0" borderId="26" xfId="0" applyFont="1" applyBorder="1" applyAlignment="1">
      <alignment horizontal="center" vertical="top"/>
    </xf>
    <xf numFmtId="2" fontId="170" fillId="0" borderId="0" xfId="0" applyNumberFormat="1" applyFont="1" applyAlignment="1">
      <alignment horizontal="right" vertical="center" indent="1"/>
    </xf>
    <xf numFmtId="164" fontId="170" fillId="0" borderId="0" xfId="1" applyFont="1" applyAlignment="1">
      <alignment horizontal="right" vertical="center" indent="1"/>
    </xf>
    <xf numFmtId="164" fontId="182" fillId="0" borderId="0" xfId="1" applyFont="1" applyAlignment="1">
      <alignment horizontal="right" vertical="center" indent="1"/>
    </xf>
    <xf numFmtId="0" fontId="113" fillId="0" borderId="0" xfId="0" applyFont="1" applyAlignment="1">
      <alignment horizontal="center" vertical="top"/>
    </xf>
    <xf numFmtId="0" fontId="113" fillId="0" borderId="0" xfId="0" applyFont="1" applyAlignment="1">
      <alignment vertical="center" wrapText="1"/>
    </xf>
    <xf numFmtId="180" fontId="113" fillId="0" borderId="0" xfId="0" applyNumberFormat="1" applyFont="1"/>
    <xf numFmtId="0" fontId="146" fillId="0" borderId="0" xfId="0" applyFont="1" applyAlignment="1">
      <alignment horizontal="left" indent="1"/>
    </xf>
    <xf numFmtId="180" fontId="183" fillId="0" borderId="0" xfId="0" applyNumberFormat="1" applyFont="1"/>
    <xf numFmtId="164" fontId="183" fillId="0" borderId="0" xfId="1" applyFont="1"/>
    <xf numFmtId="0" fontId="137" fillId="0" borderId="0" xfId="0" applyFont="1"/>
    <xf numFmtId="1" fontId="170" fillId="0" borderId="0" xfId="0" applyNumberFormat="1" applyFont="1"/>
    <xf numFmtId="164" fontId="170" fillId="0" borderId="0" xfId="1" applyFont="1"/>
    <xf numFmtId="0" fontId="113" fillId="0" borderId="0" xfId="0" applyFont="1" applyAlignment="1">
      <alignment horizontal="left" indent="1"/>
    </xf>
    <xf numFmtId="2" fontId="170" fillId="0" borderId="0" xfId="0" applyNumberFormat="1" applyFont="1"/>
    <xf numFmtId="0" fontId="114" fillId="2" borderId="28" xfId="0" applyFont="1" applyFill="1" applyBorder="1" applyAlignment="1">
      <alignment horizontal="left" indent="1"/>
    </xf>
    <xf numFmtId="0" fontId="129" fillId="0" borderId="28" xfId="0" applyFont="1" applyBorder="1" applyAlignment="1">
      <alignment horizontal="center"/>
    </xf>
    <xf numFmtId="164" fontId="129" fillId="0" borderId="28" xfId="1" applyFont="1" applyBorder="1" applyAlignment="1">
      <alignment horizontal="left" indent="1"/>
    </xf>
    <xf numFmtId="0" fontId="173" fillId="0" borderId="28" xfId="0" applyFont="1" applyBorder="1" applyAlignment="1">
      <alignment horizontal="center"/>
    </xf>
    <xf numFmtId="164" fontId="173" fillId="0" borderId="28" xfId="1" applyFont="1" applyBorder="1" applyAlignment="1">
      <alignment horizontal="center"/>
    </xf>
    <xf numFmtId="0" fontId="113" fillId="0" borderId="169" xfId="0" applyFont="1" applyBorder="1"/>
    <xf numFmtId="164" fontId="113" fillId="0" borderId="169" xfId="1" applyFont="1" applyBorder="1"/>
    <xf numFmtId="0" fontId="113" fillId="0" borderId="0" xfId="0" applyFont="1" applyAlignment="1">
      <alignment horizontal="left" vertical="center" indent="1"/>
    </xf>
    <xf numFmtId="2" fontId="184" fillId="0" borderId="0" xfId="10" applyNumberFormat="1" applyFont="1" applyAlignment="1">
      <alignment horizontal="center"/>
    </xf>
    <xf numFmtId="164" fontId="184" fillId="0" borderId="0" xfId="1" applyFont="1" applyAlignment="1">
      <alignment horizontal="center"/>
    </xf>
    <xf numFmtId="0" fontId="185" fillId="0" borderId="136" xfId="0" applyFont="1" applyBorder="1" applyAlignment="1">
      <alignment horizontal="center"/>
    </xf>
    <xf numFmtId="0" fontId="185" fillId="0" borderId="138" xfId="0" applyFont="1" applyBorder="1" applyAlignment="1">
      <alignment horizontal="center"/>
    </xf>
    <xf numFmtId="0" fontId="115" fillId="0" borderId="141" xfId="0" applyFont="1" applyBorder="1" applyAlignment="1">
      <alignment horizontal="center"/>
    </xf>
    <xf numFmtId="0" fontId="115" fillId="0" borderId="143" xfId="0" applyFont="1" applyBorder="1" applyAlignment="1">
      <alignment horizontal="center"/>
    </xf>
    <xf numFmtId="0" fontId="173" fillId="0" borderId="6" xfId="0" applyFont="1" applyBorder="1" applyAlignment="1">
      <alignment horizontal="center"/>
    </xf>
    <xf numFmtId="164" fontId="173" fillId="0" borderId="6" xfId="1" applyFont="1" applyBorder="1" applyAlignment="1">
      <alignment horizontal="center"/>
    </xf>
    <xf numFmtId="0" fontId="186" fillId="0" borderId="0" xfId="0" applyFont="1" applyAlignment="1">
      <alignment horizontal="left" indent="1"/>
    </xf>
    <xf numFmtId="0" fontId="124" fillId="13" borderId="11" xfId="0" applyFont="1" applyFill="1" applyBorder="1" applyAlignment="1">
      <alignment horizontal="left" indent="6"/>
    </xf>
    <xf numFmtId="169" fontId="124" fillId="13" borderId="11" xfId="4" applyNumberFormat="1" applyFont="1" applyFill="1" applyBorder="1" applyAlignment="1">
      <alignment horizontal="right" wrapText="1" indent="2"/>
    </xf>
    <xf numFmtId="0" fontId="107" fillId="0" borderId="0" xfId="0" applyFont="1" applyAlignment="1">
      <alignment horizontal="left" indent="1"/>
    </xf>
    <xf numFmtId="0" fontId="187" fillId="0" borderId="0" xfId="0" applyFont="1" applyAlignment="1">
      <alignment horizontal="center"/>
    </xf>
    <xf numFmtId="0" fontId="187" fillId="0" borderId="0" xfId="0" applyFont="1" applyAlignment="1">
      <alignment horizontal="left"/>
    </xf>
    <xf numFmtId="0" fontId="187" fillId="0" borderId="0" xfId="0" quotePrefix="1" applyFont="1" applyAlignment="1">
      <alignment horizontal="left"/>
    </xf>
    <xf numFmtId="0" fontId="106" fillId="0" borderId="208" xfId="0" applyFont="1" applyBorder="1"/>
    <xf numFmtId="0" fontId="127" fillId="0" borderId="0" xfId="0" applyFont="1" applyAlignment="1">
      <alignment horizontal="left" indent="1"/>
    </xf>
    <xf numFmtId="0" fontId="107" fillId="0" borderId="0" xfId="0" applyFont="1" applyAlignment="1">
      <alignment horizontal="left"/>
    </xf>
    <xf numFmtId="0" fontId="192" fillId="0" borderId="0" xfId="0" applyFont="1" applyAlignment="1">
      <alignment horizontal="center" vertical="center" wrapText="1"/>
    </xf>
    <xf numFmtId="165" fontId="191" fillId="0" borderId="0" xfId="0" applyNumberFormat="1" applyFont="1" applyAlignment="1">
      <alignment horizontal="center"/>
    </xf>
    <xf numFmtId="0" fontId="193" fillId="0" borderId="0" xfId="0" applyFont="1"/>
    <xf numFmtId="0" fontId="197" fillId="0" borderId="0" xfId="0" applyFont="1" applyAlignment="1">
      <alignment horizontal="center" vertical="center"/>
    </xf>
    <xf numFmtId="0" fontId="198" fillId="0" borderId="0" xfId="0" applyFont="1" applyAlignment="1">
      <alignment horizontal="center" vertical="center"/>
    </xf>
    <xf numFmtId="0" fontId="198" fillId="0" borderId="0" xfId="0" applyFont="1"/>
    <xf numFmtId="0" fontId="189" fillId="0" borderId="0" xfId="0" applyFont="1"/>
    <xf numFmtId="0" fontId="106" fillId="0" borderId="0" xfId="0" applyFont="1"/>
    <xf numFmtId="0" fontId="106" fillId="0" borderId="0" xfId="0" applyFont="1" applyAlignment="1">
      <alignment horizontal="center"/>
    </xf>
    <xf numFmtId="0" fontId="189" fillId="0" borderId="0" xfId="0" applyFont="1" applyAlignment="1">
      <alignment horizontal="left"/>
    </xf>
    <xf numFmtId="0" fontId="200" fillId="0" borderId="0" xfId="0" applyFont="1"/>
    <xf numFmtId="0" fontId="189" fillId="0" borderId="0" xfId="0" applyFont="1" applyAlignment="1">
      <alignment horizontal="left" indent="1"/>
    </xf>
    <xf numFmtId="0" fontId="201" fillId="0" borderId="0" xfId="0" applyFont="1" applyAlignment="1">
      <alignment horizontal="left" indent="1"/>
    </xf>
    <xf numFmtId="0" fontId="202" fillId="0" borderId="0" xfId="0" applyFont="1" applyAlignment="1">
      <alignment horizontal="center"/>
    </xf>
    <xf numFmtId="0" fontId="203" fillId="0" borderId="0" xfId="0" applyFont="1"/>
    <xf numFmtId="0" fontId="190" fillId="0" borderId="0" xfId="0" applyFont="1" applyAlignment="1">
      <alignment horizontal="left" indent="1"/>
    </xf>
    <xf numFmtId="0" fontId="157" fillId="0" borderId="0" xfId="0" applyFont="1"/>
    <xf numFmtId="0" fontId="159" fillId="0" borderId="0" xfId="0" applyFont="1" applyAlignment="1">
      <alignment horizontal="left" indent="1"/>
    </xf>
    <xf numFmtId="0" fontId="159" fillId="0" borderId="201" xfId="0" applyFont="1" applyBorder="1" applyAlignment="1">
      <alignment horizontal="left" indent="1"/>
    </xf>
    <xf numFmtId="0" fontId="124" fillId="3" borderId="153" xfId="0" applyFont="1" applyFill="1" applyBorder="1" applyAlignment="1">
      <alignment horizontal="center" wrapText="1"/>
    </xf>
    <xf numFmtId="177" fontId="134" fillId="0" borderId="217" xfId="1" applyNumberFormat="1" applyFont="1" applyBorder="1"/>
    <xf numFmtId="177" fontId="129" fillId="23" borderId="148" xfId="1" applyNumberFormat="1" applyFont="1" applyFill="1" applyBorder="1" applyAlignment="1">
      <alignment horizontal="center"/>
    </xf>
    <xf numFmtId="177" fontId="134" fillId="0" borderId="219" xfId="1" applyNumberFormat="1" applyFont="1" applyBorder="1"/>
    <xf numFmtId="177" fontId="129" fillId="0" borderId="35" xfId="1" applyNumberFormat="1" applyFont="1" applyBorder="1" applyAlignment="1">
      <alignment horizontal="right"/>
    </xf>
    <xf numFmtId="0" fontId="111" fillId="0" borderId="215" xfId="0" applyFont="1" applyBorder="1" applyAlignment="1">
      <alignment horizontal="left" indent="1"/>
    </xf>
    <xf numFmtId="177" fontId="132" fillId="0" borderId="216" xfId="1" applyNumberFormat="1" applyFont="1" applyBorder="1"/>
    <xf numFmtId="0" fontId="111" fillId="0" borderId="201" xfId="0" applyFont="1" applyBorder="1" applyAlignment="1">
      <alignment horizontal="left" indent="1"/>
    </xf>
    <xf numFmtId="177" fontId="132" fillId="0" borderId="217" xfId="1" applyNumberFormat="1" applyFont="1" applyBorder="1"/>
    <xf numFmtId="177" fontId="132" fillId="0" borderId="218" xfId="1" applyNumberFormat="1" applyFont="1" applyBorder="1"/>
    <xf numFmtId="177" fontId="132" fillId="0" borderId="220" xfId="1" applyNumberFormat="1" applyFont="1" applyBorder="1"/>
    <xf numFmtId="177" fontId="134" fillId="23" borderId="6" xfId="1" applyNumberFormat="1" applyFont="1" applyFill="1" applyBorder="1"/>
    <xf numFmtId="177" fontId="134" fillId="0" borderId="6" xfId="1" applyNumberFormat="1" applyFont="1" applyBorder="1"/>
    <xf numFmtId="177" fontId="115" fillId="0" borderId="217" xfId="1" applyNumberFormat="1" applyFont="1" applyBorder="1"/>
    <xf numFmtId="0" fontId="124" fillId="28" borderId="153" xfId="0" applyFont="1" applyFill="1" applyBorder="1" applyAlignment="1">
      <alignment horizontal="center" wrapText="1"/>
    </xf>
    <xf numFmtId="4" fontId="204" fillId="0" borderId="16" xfId="0" applyNumberFormat="1" applyFont="1" applyBorder="1" applyAlignment="1">
      <alignment horizontal="center"/>
    </xf>
    <xf numFmtId="0" fontId="8" fillId="29" borderId="11" xfId="0" applyFont="1" applyFill="1" applyBorder="1" applyAlignment="1">
      <alignment horizontal="center"/>
    </xf>
    <xf numFmtId="10" fontId="151" fillId="6" borderId="11" xfId="10" applyNumberFormat="1" applyFont="1" applyFill="1" applyBorder="1" applyAlignment="1">
      <alignment horizontal="right" wrapText="1" indent="1"/>
    </xf>
    <xf numFmtId="10" fontId="99" fillId="0" borderId="10" xfId="0" applyNumberFormat="1" applyFont="1" applyBorder="1"/>
    <xf numFmtId="10" fontId="145" fillId="0" borderId="10" xfId="10" applyNumberFormat="1" applyFont="1" applyBorder="1" applyAlignment="1">
      <alignment horizontal="right" wrapText="1"/>
    </xf>
    <xf numFmtId="10" fontId="142" fillId="0" borderId="10" xfId="10" applyNumberFormat="1" applyFont="1" applyBorder="1" applyAlignment="1">
      <alignment horizontal="right"/>
    </xf>
    <xf numFmtId="10" fontId="151" fillId="13" borderId="11" xfId="10" applyNumberFormat="1" applyFont="1" applyFill="1" applyBorder="1" applyAlignment="1">
      <alignment horizontal="right" wrapText="1" indent="1"/>
    </xf>
    <xf numFmtId="10" fontId="142" fillId="0" borderId="10" xfId="0" applyNumberFormat="1" applyFont="1" applyBorder="1" applyAlignment="1">
      <alignment horizontal="right" indent="2"/>
    </xf>
    <xf numFmtId="10" fontId="142" fillId="0" borderId="17" xfId="10" applyNumberFormat="1" applyFont="1" applyBorder="1" applyAlignment="1">
      <alignment horizontal="right"/>
    </xf>
    <xf numFmtId="10" fontId="151" fillId="6" borderId="13" xfId="10" applyNumberFormat="1" applyFont="1" applyFill="1" applyBorder="1" applyAlignment="1">
      <alignment horizontal="right" wrapText="1" indent="1"/>
    </xf>
    <xf numFmtId="10" fontId="142" fillId="0" borderId="17" xfId="0" applyNumberFormat="1" applyFont="1" applyBorder="1" applyAlignment="1">
      <alignment horizontal="right" indent="2"/>
    </xf>
    <xf numFmtId="10" fontId="145" fillId="0" borderId="17" xfId="10" applyNumberFormat="1" applyFont="1" applyBorder="1" applyAlignment="1">
      <alignment horizontal="right" wrapText="1"/>
    </xf>
    <xf numFmtId="10" fontId="142" fillId="0" borderId="0" xfId="0" applyNumberFormat="1" applyFont="1" applyAlignment="1">
      <alignment horizontal="right" indent="2"/>
    </xf>
    <xf numFmtId="10" fontId="142" fillId="0" borderId="11" xfId="10" applyNumberFormat="1" applyFont="1" applyBorder="1" applyAlignment="1">
      <alignment horizontal="right"/>
    </xf>
    <xf numFmtId="10" fontId="99" fillId="0" borderId="0" xfId="0" applyNumberFormat="1" applyFont="1"/>
    <xf numFmtId="10" fontId="131" fillId="6" borderId="13" xfId="10" applyNumberFormat="1" applyFont="1" applyFill="1" applyBorder="1" applyAlignment="1">
      <alignment horizontal="right" wrapText="1" indent="1"/>
    </xf>
    <xf numFmtId="0" fontId="14" fillId="0" borderId="0" xfId="0" applyFont="1" applyAlignment="1">
      <alignment horizontal="left" vertical="center" indent="1"/>
    </xf>
    <xf numFmtId="0" fontId="51" fillId="3" borderId="29" xfId="0" applyFont="1" applyFill="1" applyBorder="1" applyAlignment="1">
      <alignment horizontal="left" vertical="center" indent="1"/>
    </xf>
    <xf numFmtId="0" fontId="51" fillId="3" borderId="37" xfId="0" applyFont="1" applyFill="1" applyBorder="1" applyAlignment="1">
      <alignment horizontal="center"/>
    </xf>
    <xf numFmtId="0" fontId="7" fillId="0" borderId="0" xfId="0" applyFont="1"/>
    <xf numFmtId="177" fontId="84" fillId="9" borderId="28" xfId="1" applyNumberFormat="1" applyFont="1" applyFill="1" applyBorder="1" applyAlignment="1">
      <alignment horizontal="right"/>
    </xf>
    <xf numFmtId="0" fontId="208" fillId="0" borderId="0" xfId="0" applyFont="1"/>
    <xf numFmtId="0" fontId="0" fillId="9" borderId="0" xfId="0" applyFill="1"/>
    <xf numFmtId="177" fontId="84" fillId="0" borderId="6" xfId="1" applyNumberFormat="1" applyFont="1" applyBorder="1" applyAlignment="1">
      <alignment horizontal="right"/>
    </xf>
    <xf numFmtId="0" fontId="0" fillId="0" borderId="6" xfId="0" applyBorder="1"/>
    <xf numFmtId="0" fontId="7" fillId="0" borderId="6" xfId="0" applyFont="1" applyBorder="1"/>
    <xf numFmtId="177" fontId="22" fillId="0" borderId="6" xfId="1" applyNumberFormat="1" applyFont="1" applyBorder="1" applyAlignment="1">
      <alignment horizontal="right"/>
    </xf>
    <xf numFmtId="0" fontId="51" fillId="3" borderId="0" xfId="0" applyFont="1" applyFill="1" applyAlignment="1">
      <alignment horizontal="center"/>
    </xf>
    <xf numFmtId="1" fontId="0" fillId="0" borderId="6" xfId="0" applyNumberFormat="1" applyBorder="1" applyAlignment="1">
      <alignment horizontal="left" indent="3"/>
    </xf>
    <xf numFmtId="177" fontId="0" fillId="0" borderId="6" xfId="1" applyNumberFormat="1" applyFont="1" applyBorder="1" applyAlignment="1">
      <alignment horizontal="left" indent="1"/>
    </xf>
    <xf numFmtId="177" fontId="58" fillId="0" borderId="6" xfId="1" applyNumberFormat="1" applyFont="1" applyBorder="1" applyAlignment="1">
      <alignment horizontal="right"/>
    </xf>
    <xf numFmtId="1" fontId="0" fillId="9" borderId="6" xfId="0" applyNumberFormat="1" applyFill="1" applyBorder="1" applyAlignment="1">
      <alignment horizontal="left" indent="3"/>
    </xf>
    <xf numFmtId="177" fontId="0" fillId="9" borderId="6" xfId="1" applyNumberFormat="1" applyFont="1" applyFill="1" applyBorder="1" applyAlignment="1">
      <alignment horizontal="left" indent="1"/>
    </xf>
    <xf numFmtId="177" fontId="58" fillId="9" borderId="6" xfId="1" applyNumberFormat="1" applyFont="1" applyFill="1" applyBorder="1" applyAlignment="1">
      <alignment horizontal="right"/>
    </xf>
    <xf numFmtId="1" fontId="0" fillId="31" borderId="170" xfId="0" applyNumberFormat="1" applyFill="1" applyBorder="1" applyAlignment="1">
      <alignment horizontal="left" indent="3"/>
    </xf>
    <xf numFmtId="177" fontId="0" fillId="31" borderId="170" xfId="1" applyNumberFormat="1" applyFont="1" applyFill="1" applyBorder="1" applyAlignment="1">
      <alignment horizontal="left" indent="1"/>
    </xf>
    <xf numFmtId="177" fontId="58" fillId="31" borderId="170" xfId="1" applyNumberFormat="1" applyFont="1" applyFill="1" applyBorder="1" applyAlignment="1">
      <alignment horizontal="right"/>
    </xf>
    <xf numFmtId="0" fontId="0" fillId="0" borderId="171" xfId="0" applyBorder="1"/>
    <xf numFmtId="177" fontId="84" fillId="0" borderId="171" xfId="1" applyNumberFormat="1" applyFont="1" applyBorder="1" applyAlignment="1">
      <alignment horizontal="right"/>
    </xf>
    <xf numFmtId="0" fontId="209" fillId="0" borderId="0" xfId="0" applyFont="1" applyAlignment="1">
      <alignment horizontal="left" vertical="center" indent="1"/>
    </xf>
    <xf numFmtId="0" fontId="14" fillId="3" borderId="22" xfId="0" applyFont="1" applyFill="1" applyBorder="1" applyAlignment="1">
      <alignment horizontal="left" vertical="center" indent="1"/>
    </xf>
    <xf numFmtId="0" fontId="51" fillId="3" borderId="20" xfId="0" applyFont="1" applyFill="1" applyBorder="1" applyAlignment="1">
      <alignment horizontal="left" vertical="center" indent="1"/>
    </xf>
    <xf numFmtId="0" fontId="210" fillId="0" borderId="0" xfId="0" applyFont="1"/>
    <xf numFmtId="177" fontId="7" fillId="0" borderId="6" xfId="1" applyNumberFormat="1" applyFont="1" applyBorder="1" applyAlignment="1">
      <alignment horizontal="left" indent="1"/>
    </xf>
    <xf numFmtId="173" fontId="0" fillId="0" borderId="0" xfId="0" applyNumberFormat="1" applyAlignment="1">
      <alignment horizontal="center"/>
    </xf>
    <xf numFmtId="173" fontId="7" fillId="0" borderId="0" xfId="0" applyNumberFormat="1" applyFont="1" applyAlignment="1">
      <alignment horizontal="center"/>
    </xf>
    <xf numFmtId="0" fontId="211" fillId="0" borderId="0" xfId="0" applyFont="1"/>
    <xf numFmtId="0" fontId="195" fillId="11" borderId="0" xfId="0" applyFont="1" applyFill="1"/>
    <xf numFmtId="0" fontId="196" fillId="11" borderId="0" xfId="0" applyFont="1" applyFill="1" applyAlignment="1">
      <alignment horizontal="center"/>
    </xf>
    <xf numFmtId="0" fontId="196" fillId="11" borderId="0" xfId="0" applyFont="1" applyFill="1" applyAlignment="1">
      <alignment horizontal="left"/>
    </xf>
    <xf numFmtId="0" fontId="105" fillId="11" borderId="0" xfId="0" applyFont="1" applyFill="1"/>
    <xf numFmtId="0" fontId="160" fillId="11" borderId="0" xfId="0" applyFont="1" applyFill="1"/>
    <xf numFmtId="0" fontId="193" fillId="11" borderId="0" xfId="0" applyFont="1" applyFill="1" applyAlignment="1">
      <alignment horizontal="left" indent="1"/>
    </xf>
    <xf numFmtId="0" fontId="196" fillId="11" borderId="0" xfId="0" quotePrefix="1" applyFont="1" applyFill="1" applyAlignment="1">
      <alignment horizontal="left"/>
    </xf>
    <xf numFmtId="0" fontId="0" fillId="11" borderId="0" xfId="0" applyFill="1"/>
    <xf numFmtId="0" fontId="198" fillId="11" borderId="0" xfId="0" applyFont="1" applyFill="1" applyAlignment="1">
      <alignment horizontal="center"/>
    </xf>
    <xf numFmtId="0" fontId="199" fillId="11" borderId="0" xfId="0" applyFont="1" applyFill="1"/>
    <xf numFmtId="0" fontId="194" fillId="11" borderId="0" xfId="0" applyFont="1" applyFill="1" applyAlignment="1">
      <alignment horizontal="center"/>
    </xf>
    <xf numFmtId="0" fontId="193" fillId="11" borderId="0" xfId="0" applyFont="1" applyFill="1" applyAlignment="1">
      <alignment horizontal="left"/>
    </xf>
    <xf numFmtId="0" fontId="214" fillId="0" borderId="0" xfId="0" applyFont="1"/>
    <xf numFmtId="0" fontId="217" fillId="0" borderId="0" xfId="0" applyFont="1"/>
    <xf numFmtId="0" fontId="220" fillId="0" borderId="0" xfId="0" applyFont="1"/>
    <xf numFmtId="0" fontId="221" fillId="0" borderId="0" xfId="0" applyFont="1"/>
    <xf numFmtId="0" fontId="222" fillId="0" borderId="0" xfId="0" applyFont="1"/>
    <xf numFmtId="0" fontId="223" fillId="0" borderId="0" xfId="0" applyFont="1"/>
    <xf numFmtId="0" fontId="219" fillId="0" borderId="0" xfId="0" applyFont="1" applyAlignment="1">
      <alignment horizontal="left"/>
    </xf>
    <xf numFmtId="0" fontId="219" fillId="0" borderId="0" xfId="0" applyFont="1" applyAlignment="1">
      <alignment horizontal="center"/>
    </xf>
    <xf numFmtId="0" fontId="224" fillId="0" borderId="0" xfId="0" applyFont="1"/>
    <xf numFmtId="0" fontId="221" fillId="0" borderId="0" xfId="0" applyFont="1" applyAlignment="1">
      <alignment horizontal="left" indent="8"/>
    </xf>
    <xf numFmtId="0" fontId="219" fillId="0" borderId="0" xfId="0" applyFont="1" applyAlignment="1">
      <alignment horizontal="left" indent="1"/>
    </xf>
    <xf numFmtId="0" fontId="219" fillId="0" borderId="0" xfId="0" quotePrefix="1" applyFont="1" applyAlignment="1">
      <alignment horizontal="left"/>
    </xf>
    <xf numFmtId="0" fontId="225" fillId="0" borderId="0" xfId="0" applyFont="1" applyAlignment="1">
      <alignment horizontal="left"/>
    </xf>
    <xf numFmtId="0" fontId="226" fillId="0" borderId="0" xfId="0" applyFont="1" applyAlignment="1">
      <alignment horizontal="left"/>
    </xf>
    <xf numFmtId="0" fontId="225" fillId="0" borderId="0" xfId="0" applyFont="1" applyAlignment="1">
      <alignment horizontal="left" indent="1"/>
    </xf>
    <xf numFmtId="0" fontId="99" fillId="0" borderId="223" xfId="0" applyFont="1" applyBorder="1"/>
    <xf numFmtId="0" fontId="99" fillId="0" borderId="224" xfId="0" applyFont="1" applyBorder="1"/>
    <xf numFmtId="0" fontId="99" fillId="0" borderId="225" xfId="0" applyFont="1" applyBorder="1"/>
    <xf numFmtId="0" fontId="99" fillId="0" borderId="226" xfId="0" applyFont="1" applyBorder="1"/>
    <xf numFmtId="0" fontId="99" fillId="0" borderId="227" xfId="0" applyFont="1" applyBorder="1"/>
    <xf numFmtId="0" fontId="99" fillId="0" borderId="228" xfId="0" applyFont="1" applyBorder="1"/>
    <xf numFmtId="0" fontId="227" fillId="0" borderId="228" xfId="0" applyFont="1" applyBorder="1"/>
    <xf numFmtId="0" fontId="216" fillId="0" borderId="228" xfId="0" applyFont="1" applyBorder="1" applyAlignment="1">
      <alignment horizontal="center" vertical="center" wrapText="1"/>
    </xf>
    <xf numFmtId="0" fontId="105" fillId="0" borderId="227" xfId="0" applyFont="1" applyBorder="1"/>
    <xf numFmtId="0" fontId="103" fillId="0" borderId="227" xfId="0" applyFont="1" applyBorder="1"/>
    <xf numFmtId="0" fontId="103" fillId="0" borderId="228" xfId="0" applyFont="1" applyBorder="1"/>
    <xf numFmtId="0" fontId="229" fillId="0" borderId="228" xfId="0" applyFont="1" applyBorder="1" applyAlignment="1">
      <alignment horizontal="center"/>
    </xf>
    <xf numFmtId="165" fontId="230" fillId="0" borderId="228" xfId="0" applyNumberFormat="1" applyFont="1" applyBorder="1" applyAlignment="1">
      <alignment horizontal="center"/>
    </xf>
    <xf numFmtId="0" fontId="99" fillId="0" borderId="229" xfId="0" applyFont="1" applyBorder="1"/>
    <xf numFmtId="0" fontId="99" fillId="0" borderId="230" xfId="0" applyFont="1" applyBorder="1"/>
    <xf numFmtId="0" fontId="231" fillId="0" borderId="0" xfId="0" applyFont="1"/>
    <xf numFmtId="0" fontId="0" fillId="0" borderId="142" xfId="0" applyBorder="1"/>
    <xf numFmtId="0" fontId="0" fillId="0" borderId="170" xfId="0" applyBorder="1"/>
    <xf numFmtId="0" fontId="7" fillId="0" borderId="170" xfId="0" applyFont="1" applyBorder="1" applyAlignment="1">
      <alignment horizontal="center"/>
    </xf>
    <xf numFmtId="0" fontId="7" fillId="0" borderId="171" xfId="0" applyFont="1" applyBorder="1" applyAlignment="1">
      <alignment horizontal="center"/>
    </xf>
    <xf numFmtId="173" fontId="0" fillId="0" borderId="6" xfId="0" applyNumberFormat="1" applyBorder="1"/>
    <xf numFmtId="173" fontId="7" fillId="0" borderId="6" xfId="0" applyNumberFormat="1" applyFont="1" applyBorder="1"/>
    <xf numFmtId="0" fontId="0" fillId="0" borderId="7" xfId="0" applyBorder="1" applyAlignment="1">
      <alignment horizontal="center"/>
    </xf>
    <xf numFmtId="173" fontId="7" fillId="0" borderId="222" xfId="0" applyNumberFormat="1" applyFont="1" applyBorder="1"/>
    <xf numFmtId="0" fontId="0" fillId="0" borderId="172" xfId="0" applyBorder="1"/>
    <xf numFmtId="0" fontId="7" fillId="0" borderId="172" xfId="0" applyFont="1" applyBorder="1" applyAlignment="1">
      <alignment horizontal="center"/>
    </xf>
    <xf numFmtId="40" fontId="0" fillId="0" borderId="6" xfId="0" applyNumberFormat="1" applyBorder="1"/>
    <xf numFmtId="40" fontId="7" fillId="0" borderId="6" xfId="0" applyNumberFormat="1" applyFont="1" applyBorder="1"/>
    <xf numFmtId="0" fontId="0" fillId="32" borderId="0" xfId="0" applyFill="1" applyAlignment="1">
      <alignment horizontal="center"/>
    </xf>
    <xf numFmtId="173" fontId="0" fillId="32" borderId="0" xfId="0" applyNumberFormat="1" applyFill="1" applyAlignment="1">
      <alignment horizontal="center"/>
    </xf>
    <xf numFmtId="0" fontId="4" fillId="0" borderId="0" xfId="0" applyFont="1"/>
    <xf numFmtId="0" fontId="0" fillId="0" borderId="24" xfId="0" applyBorder="1" applyAlignment="1" applyProtection="1">
      <alignment vertical="top"/>
      <protection locked="0"/>
    </xf>
    <xf numFmtId="0" fontId="0" fillId="0" borderId="25" xfId="0" applyBorder="1" applyAlignment="1" applyProtection="1">
      <alignment vertical="top"/>
      <protection locked="0"/>
    </xf>
    <xf numFmtId="0" fontId="0" fillId="0" borderId="1" xfId="0" applyBorder="1" applyAlignment="1" applyProtection="1">
      <alignment vertical="top"/>
      <protection locked="0"/>
    </xf>
    <xf numFmtId="0" fontId="0" fillId="0" borderId="26" xfId="0" applyBorder="1" applyAlignment="1" applyProtection="1">
      <alignment vertical="top"/>
      <protection locked="0"/>
    </xf>
    <xf numFmtId="0" fontId="14" fillId="3" borderId="29" xfId="0" applyFont="1" applyFill="1" applyBorder="1" applyAlignment="1">
      <alignment horizontal="left" indent="1"/>
    </xf>
    <xf numFmtId="9" fontId="83" fillId="0" borderId="22" xfId="0" applyNumberFormat="1" applyFont="1" applyBorder="1" applyProtection="1">
      <protection locked="0"/>
    </xf>
    <xf numFmtId="173" fontId="77" fillId="21" borderId="22" xfId="0" applyNumberFormat="1" applyFont="1" applyFill="1" applyBorder="1" applyAlignment="1">
      <alignment horizontal="right"/>
    </xf>
    <xf numFmtId="9" fontId="49" fillId="10" borderId="6" xfId="10" applyFont="1" applyFill="1" applyBorder="1" applyAlignment="1">
      <alignment horizontal="center"/>
    </xf>
    <xf numFmtId="0" fontId="14" fillId="3" borderId="28" xfId="0" applyFont="1" applyFill="1" applyBorder="1" applyAlignment="1">
      <alignment horizontal="left" indent="1"/>
    </xf>
    <xf numFmtId="173" fontId="51" fillId="3" borderId="37" xfId="0" applyNumberFormat="1" applyFont="1" applyFill="1" applyBorder="1" applyAlignment="1">
      <alignment horizontal="right"/>
    </xf>
    <xf numFmtId="173" fontId="0" fillId="0" borderId="0" xfId="0" applyNumberFormat="1" applyAlignment="1" applyProtection="1">
      <alignment horizontal="right"/>
      <protection locked="0"/>
    </xf>
    <xf numFmtId="173" fontId="0" fillId="0" borderId="237" xfId="0" applyNumberFormat="1" applyBorder="1" applyAlignment="1" applyProtection="1">
      <alignment horizontal="right"/>
      <protection locked="0"/>
    </xf>
    <xf numFmtId="173" fontId="0" fillId="0" borderId="238" xfId="0" applyNumberFormat="1" applyBorder="1" applyAlignment="1" applyProtection="1">
      <alignment horizontal="right"/>
      <protection locked="0"/>
    </xf>
    <xf numFmtId="173" fontId="0" fillId="0" borderId="239" xfId="0" applyNumberFormat="1" applyBorder="1" applyAlignment="1" applyProtection="1">
      <alignment horizontal="right"/>
      <protection locked="0"/>
    </xf>
    <xf numFmtId="173" fontId="0" fillId="22" borderId="240" xfId="0" applyNumberFormat="1" applyFill="1" applyBorder="1" applyAlignment="1" applyProtection="1">
      <alignment horizontal="right"/>
      <protection locked="0"/>
    </xf>
    <xf numFmtId="173" fontId="0" fillId="22" borderId="241" xfId="0" applyNumberFormat="1" applyFill="1" applyBorder="1" applyAlignment="1" applyProtection="1">
      <alignment horizontal="right"/>
      <protection locked="0"/>
    </xf>
    <xf numFmtId="173" fontId="0" fillId="22" borderId="242" xfId="0" applyNumberFormat="1" applyFill="1" applyBorder="1" applyAlignment="1" applyProtection="1">
      <alignment horizontal="right"/>
      <protection locked="0"/>
    </xf>
    <xf numFmtId="173" fontId="0" fillId="0" borderId="79" xfId="0" applyNumberFormat="1" applyBorder="1" applyAlignment="1" applyProtection="1">
      <alignment horizontal="right"/>
      <protection locked="0"/>
    </xf>
    <xf numFmtId="173" fontId="0" fillId="0" borderId="80" xfId="0" applyNumberFormat="1" applyBorder="1" applyAlignment="1" applyProtection="1">
      <alignment horizontal="right"/>
      <protection locked="0"/>
    </xf>
    <xf numFmtId="173" fontId="0" fillId="22" borderId="79" xfId="0" applyNumberFormat="1" applyFill="1" applyBorder="1" applyAlignment="1" applyProtection="1">
      <alignment horizontal="right"/>
      <protection locked="0"/>
    </xf>
    <xf numFmtId="173" fontId="0" fillId="22" borderId="80" xfId="0" applyNumberFormat="1" applyFill="1" applyBorder="1" applyAlignment="1" applyProtection="1">
      <alignment horizontal="right"/>
      <protection locked="0"/>
    </xf>
    <xf numFmtId="173" fontId="0" fillId="19" borderId="79" xfId="0" applyNumberFormat="1" applyFill="1" applyBorder="1" applyAlignment="1">
      <alignment horizontal="right"/>
    </xf>
    <xf numFmtId="173" fontId="0" fillId="19" borderId="80" xfId="0" applyNumberFormat="1" applyFill="1" applyBorder="1" applyAlignment="1">
      <alignment horizontal="right"/>
    </xf>
    <xf numFmtId="173" fontId="0" fillId="19" borderId="249" xfId="0" applyNumberFormat="1" applyFill="1" applyBorder="1" applyAlignment="1">
      <alignment horizontal="right"/>
    </xf>
    <xf numFmtId="173" fontId="0" fillId="0" borderId="253" xfId="0" applyNumberFormat="1" applyBorder="1" applyAlignment="1" applyProtection="1">
      <alignment horizontal="right"/>
      <protection locked="0"/>
    </xf>
    <xf numFmtId="173" fontId="0" fillId="0" borderId="254" xfId="0" applyNumberFormat="1" applyBorder="1" applyAlignment="1" applyProtection="1">
      <alignment horizontal="right"/>
      <protection locked="0"/>
    </xf>
    <xf numFmtId="173" fontId="0" fillId="22" borderId="253" xfId="0" applyNumberFormat="1" applyFill="1" applyBorder="1" applyAlignment="1" applyProtection="1">
      <alignment horizontal="right"/>
      <protection locked="0"/>
    </xf>
    <xf numFmtId="173" fontId="0" fillId="22" borderId="254" xfId="0" applyNumberFormat="1" applyFill="1" applyBorder="1" applyAlignment="1" applyProtection="1">
      <alignment horizontal="right"/>
      <protection locked="0"/>
    </xf>
    <xf numFmtId="173" fontId="0" fillId="19" borderId="253" xfId="0" applyNumberFormat="1" applyFill="1" applyBorder="1" applyAlignment="1">
      <alignment horizontal="right"/>
    </xf>
    <xf numFmtId="10" fontId="0" fillId="0" borderId="35" xfId="0" applyNumberFormat="1" applyBorder="1" applyProtection="1">
      <protection locked="0"/>
    </xf>
    <xf numFmtId="173" fontId="0" fillId="19" borderId="255" xfId="0" applyNumberFormat="1" applyFill="1" applyBorder="1" applyAlignment="1">
      <alignment horizontal="right"/>
    </xf>
    <xf numFmtId="173" fontId="0" fillId="0" borderId="266" xfId="0" applyNumberFormat="1" applyBorder="1" applyAlignment="1" applyProtection="1">
      <alignment horizontal="right"/>
      <protection locked="0"/>
    </xf>
    <xf numFmtId="173" fontId="0" fillId="0" borderId="268" xfId="0" applyNumberFormat="1" applyBorder="1" applyAlignment="1" applyProtection="1">
      <alignment horizontal="right"/>
      <protection locked="0"/>
    </xf>
    <xf numFmtId="173" fontId="0" fillId="22" borderId="266" xfId="0" applyNumberFormat="1" applyFill="1" applyBorder="1" applyAlignment="1" applyProtection="1">
      <alignment horizontal="right"/>
      <protection locked="0"/>
    </xf>
    <xf numFmtId="173" fontId="0" fillId="22" borderId="268" xfId="0" applyNumberFormat="1" applyFill="1" applyBorder="1" applyAlignment="1" applyProtection="1">
      <alignment horizontal="right"/>
      <protection locked="0"/>
    </xf>
    <xf numFmtId="164" fontId="58" fillId="0" borderId="277" xfId="1" applyFont="1" applyBorder="1"/>
    <xf numFmtId="164" fontId="0" fillId="0" borderId="278" xfId="1" applyFont="1" applyBorder="1" applyProtection="1">
      <protection locked="0"/>
    </xf>
    <xf numFmtId="164" fontId="0" fillId="0" borderId="279" xfId="1" applyFont="1" applyBorder="1" applyProtection="1">
      <protection locked="0"/>
    </xf>
    <xf numFmtId="164" fontId="0" fillId="0" borderId="278" xfId="1" applyFont="1" applyBorder="1"/>
    <xf numFmtId="173" fontId="0" fillId="0" borderId="278" xfId="1" applyNumberFormat="1" applyFont="1" applyBorder="1"/>
    <xf numFmtId="173" fontId="0" fillId="0" borderId="280" xfId="1" applyNumberFormat="1" applyFont="1" applyBorder="1"/>
    <xf numFmtId="164" fontId="58" fillId="0" borderId="281" xfId="1" applyFont="1" applyBorder="1"/>
    <xf numFmtId="173" fontId="0" fillId="0" borderId="282" xfId="1" applyNumberFormat="1" applyFont="1" applyBorder="1"/>
    <xf numFmtId="164" fontId="58" fillId="0" borderId="262" xfId="1" applyFont="1" applyBorder="1"/>
    <xf numFmtId="164" fontId="0" fillId="0" borderId="283" xfId="1" applyFont="1" applyBorder="1" applyProtection="1">
      <protection locked="0"/>
    </xf>
    <xf numFmtId="164" fontId="0" fillId="0" borderId="243" xfId="1" applyFont="1" applyBorder="1" applyProtection="1">
      <protection locked="0"/>
    </xf>
    <xf numFmtId="164" fontId="0" fillId="0" borderId="283" xfId="1" applyFont="1" applyBorder="1"/>
    <xf numFmtId="173" fontId="0" fillId="0" borderId="283" xfId="1" applyNumberFormat="1" applyFont="1" applyBorder="1"/>
    <xf numFmtId="173" fontId="0" fillId="0" borderId="181" xfId="1" applyNumberFormat="1" applyFont="1" applyBorder="1"/>
    <xf numFmtId="0" fontId="58" fillId="0" borderId="278" xfId="0" applyFont="1" applyBorder="1"/>
    <xf numFmtId="0" fontId="58" fillId="0" borderId="142" xfId="0" applyFont="1" applyBorder="1"/>
    <xf numFmtId="177" fontId="51" fillId="3" borderId="271" xfId="1" applyNumberFormat="1" applyFont="1" applyFill="1" applyBorder="1"/>
    <xf numFmtId="177" fontId="51" fillId="3" borderId="272" xfId="1" applyNumberFormat="1" applyFont="1" applyFill="1" applyBorder="1"/>
    <xf numFmtId="177" fontId="51" fillId="3" borderId="150" xfId="1" applyNumberFormat="1" applyFont="1" applyFill="1" applyBorder="1"/>
    <xf numFmtId="0" fontId="234" fillId="11" borderId="28" xfId="2" applyFont="1" applyFill="1" applyBorder="1"/>
    <xf numFmtId="0" fontId="234" fillId="11" borderId="28" xfId="2" applyFont="1" applyFill="1" applyBorder="1" applyAlignment="1">
      <alignment horizontal="center"/>
    </xf>
    <xf numFmtId="1" fontId="56" fillId="11" borderId="43" xfId="6" applyNumberFormat="1" applyFont="1" applyFill="1" applyBorder="1"/>
    <xf numFmtId="168" fontId="56" fillId="11" borderId="43" xfId="6" applyFont="1" applyFill="1" applyBorder="1"/>
    <xf numFmtId="168" fontId="56" fillId="5" borderId="52" xfId="6" applyFont="1" applyFill="1" applyBorder="1" applyProtection="1">
      <protection locked="0"/>
    </xf>
    <xf numFmtId="168" fontId="56" fillId="5" borderId="39" xfId="6" applyFont="1" applyFill="1" applyBorder="1" applyProtection="1">
      <protection locked="0"/>
    </xf>
    <xf numFmtId="168" fontId="56" fillId="11" borderId="48" xfId="6" applyFont="1" applyFill="1" applyBorder="1"/>
    <xf numFmtId="168" fontId="56" fillId="11" borderId="44" xfId="6" applyFont="1" applyFill="1" applyBorder="1"/>
    <xf numFmtId="168" fontId="56" fillId="5" borderId="38" xfId="6" applyFont="1" applyFill="1" applyBorder="1"/>
    <xf numFmtId="168" fontId="56" fillId="5" borderId="44" xfId="6" applyFont="1" applyFill="1" applyBorder="1"/>
    <xf numFmtId="168" fontId="56" fillId="11" borderId="38" xfId="6" applyFont="1" applyFill="1" applyBorder="1"/>
    <xf numFmtId="168" fontId="26" fillId="0" borderId="0" xfId="6" applyFont="1"/>
    <xf numFmtId="171" fontId="26" fillId="0" borderId="20" xfId="6" applyNumberFormat="1" applyFont="1" applyBorder="1"/>
    <xf numFmtId="168" fontId="26" fillId="0" borderId="21" xfId="6" applyFont="1" applyBorder="1"/>
    <xf numFmtId="168" fontId="26" fillId="0" borderId="22" xfId="6" applyFont="1" applyBorder="1"/>
    <xf numFmtId="1" fontId="56" fillId="11" borderId="42" xfId="6" applyNumberFormat="1" applyFont="1" applyFill="1" applyBorder="1"/>
    <xf numFmtId="168" fontId="56" fillId="11" borderId="42" xfId="6" applyFont="1" applyFill="1" applyBorder="1"/>
    <xf numFmtId="168" fontId="56" fillId="5" borderId="49" xfId="6" applyFont="1" applyFill="1" applyBorder="1" applyProtection="1">
      <protection locked="0"/>
    </xf>
    <xf numFmtId="168" fontId="56" fillId="5" borderId="45" xfId="6" applyFont="1" applyFill="1" applyBorder="1" applyProtection="1">
      <protection locked="0"/>
    </xf>
    <xf numFmtId="168" fontId="56" fillId="11" borderId="49" xfId="6" applyFont="1" applyFill="1" applyBorder="1"/>
    <xf numFmtId="168" fontId="56" fillId="11" borderId="45" xfId="6" applyFont="1" applyFill="1" applyBorder="1"/>
    <xf numFmtId="168" fontId="56" fillId="5" borderId="49" xfId="6" applyFont="1" applyFill="1" applyBorder="1"/>
    <xf numFmtId="168" fontId="56" fillId="5" borderId="45" xfId="6" applyFont="1" applyFill="1" applyBorder="1"/>
    <xf numFmtId="171" fontId="26" fillId="0" borderId="23" xfId="6" applyNumberFormat="1" applyFont="1" applyBorder="1"/>
    <xf numFmtId="168" fontId="26" fillId="0" borderId="24" xfId="6" applyFont="1" applyBorder="1"/>
    <xf numFmtId="1" fontId="56" fillId="11" borderId="40" xfId="6" applyNumberFormat="1" applyFont="1" applyFill="1" applyBorder="1"/>
    <xf numFmtId="168" fontId="56" fillId="11" borderId="40" xfId="6" applyFont="1" applyFill="1" applyBorder="1"/>
    <xf numFmtId="168" fontId="56" fillId="5" borderId="50" xfId="6" applyFont="1" applyFill="1" applyBorder="1" applyProtection="1">
      <protection locked="0"/>
    </xf>
    <xf numFmtId="168" fontId="56" fillId="5" borderId="46" xfId="6" applyFont="1" applyFill="1" applyBorder="1" applyProtection="1">
      <protection locked="0"/>
    </xf>
    <xf numFmtId="168" fontId="56" fillId="11" borderId="50" xfId="6" applyFont="1" applyFill="1" applyBorder="1"/>
    <xf numFmtId="168" fontId="56" fillId="11" borderId="46" xfId="6" applyFont="1" applyFill="1" applyBorder="1"/>
    <xf numFmtId="168" fontId="56" fillId="5" borderId="50" xfId="6" applyFont="1" applyFill="1" applyBorder="1"/>
    <xf numFmtId="168" fontId="56" fillId="5" borderId="46" xfId="6" applyFont="1" applyFill="1" applyBorder="1"/>
    <xf numFmtId="1" fontId="56" fillId="9" borderId="40" xfId="6" applyNumberFormat="1" applyFont="1" applyFill="1" applyBorder="1"/>
    <xf numFmtId="168" fontId="56" fillId="9" borderId="40" xfId="6" applyFont="1" applyFill="1" applyBorder="1"/>
    <xf numFmtId="168" fontId="56" fillId="9" borderId="50" xfId="6" applyFont="1" applyFill="1" applyBorder="1" applyProtection="1">
      <protection locked="0"/>
    </xf>
    <xf numFmtId="168" fontId="56" fillId="9" borderId="46" xfId="6" applyFont="1" applyFill="1" applyBorder="1" applyProtection="1">
      <protection locked="0"/>
    </xf>
    <xf numFmtId="168" fontId="56" fillId="9" borderId="50" xfId="6" applyFont="1" applyFill="1" applyBorder="1"/>
    <xf numFmtId="168" fontId="56" fillId="9" borderId="46" xfId="6" applyFont="1" applyFill="1" applyBorder="1"/>
    <xf numFmtId="168" fontId="26" fillId="9" borderId="0" xfId="6" applyFont="1" applyFill="1"/>
    <xf numFmtId="171" fontId="26" fillId="9" borderId="23" xfId="6" applyNumberFormat="1" applyFont="1" applyFill="1" applyBorder="1"/>
    <xf numFmtId="168" fontId="26" fillId="9" borderId="24" xfId="6" applyFont="1" applyFill="1" applyBorder="1"/>
    <xf numFmtId="168" fontId="23" fillId="0" borderId="0" xfId="6" applyFont="1"/>
    <xf numFmtId="1" fontId="56" fillId="11" borderId="41" xfId="6" applyNumberFormat="1" applyFont="1" applyFill="1" applyBorder="1"/>
    <xf numFmtId="168" fontId="56" fillId="11" borderId="41" xfId="6" applyFont="1" applyFill="1" applyBorder="1"/>
    <xf numFmtId="168" fontId="56" fillId="5" borderId="51" xfId="6" applyFont="1" applyFill="1" applyBorder="1" applyProtection="1">
      <protection locked="0"/>
    </xf>
    <xf numFmtId="168" fontId="56" fillId="5" borderId="47" xfId="6" applyFont="1" applyFill="1" applyBorder="1" applyProtection="1">
      <protection locked="0"/>
    </xf>
    <xf numFmtId="168" fontId="56" fillId="11" borderId="51" xfId="6" applyFont="1" applyFill="1" applyBorder="1"/>
    <xf numFmtId="168" fontId="56" fillId="11" borderId="47" xfId="6" applyFont="1" applyFill="1" applyBorder="1"/>
    <xf numFmtId="168" fontId="56" fillId="5" borderId="51" xfId="6" applyFont="1" applyFill="1" applyBorder="1"/>
    <xf numFmtId="168" fontId="56" fillId="5" borderId="47" xfId="6" applyFont="1" applyFill="1" applyBorder="1"/>
    <xf numFmtId="171" fontId="26" fillId="0" borderId="25" xfId="6" applyNumberFormat="1" applyFont="1" applyBorder="1"/>
    <xf numFmtId="168" fontId="26" fillId="0" borderId="1" xfId="6" applyFont="1" applyBorder="1"/>
    <xf numFmtId="168" fontId="26" fillId="0" borderId="26" xfId="6" applyFont="1" applyBorder="1"/>
    <xf numFmtId="1" fontId="26" fillId="0" borderId="0" xfId="6" applyNumberFormat="1" applyFont="1"/>
    <xf numFmtId="168" fontId="205" fillId="0" borderId="0" xfId="6" applyFont="1"/>
    <xf numFmtId="0" fontId="12" fillId="0" borderId="0" xfId="2"/>
    <xf numFmtId="0" fontId="81" fillId="0" borderId="0" xfId="2" applyFont="1" applyAlignment="1">
      <alignment horizontal="left" indent="1"/>
    </xf>
    <xf numFmtId="0" fontId="78" fillId="3" borderId="28" xfId="2" applyFont="1" applyFill="1" applyBorder="1" applyAlignment="1">
      <alignment horizontal="center"/>
    </xf>
    <xf numFmtId="0" fontId="14" fillId="3" borderId="28" xfId="2" applyFont="1" applyFill="1" applyBorder="1" applyAlignment="1">
      <alignment horizontal="left" indent="1"/>
    </xf>
    <xf numFmtId="0" fontId="14" fillId="3" borderId="28" xfId="2" applyFont="1" applyFill="1" applyBorder="1" applyAlignment="1">
      <alignment horizontal="center"/>
    </xf>
    <xf numFmtId="0" fontId="8" fillId="3" borderId="28" xfId="2" applyFont="1" applyFill="1" applyBorder="1" applyAlignment="1">
      <alignment horizontal="center"/>
    </xf>
    <xf numFmtId="0" fontId="14" fillId="27" borderId="28" xfId="2" applyFont="1" applyFill="1" applyBorder="1" applyAlignment="1">
      <alignment horizontal="center"/>
    </xf>
    <xf numFmtId="0" fontId="8" fillId="27" borderId="28" xfId="2" applyFont="1" applyFill="1" applyBorder="1" applyAlignment="1">
      <alignment horizontal="center"/>
    </xf>
    <xf numFmtId="183" fontId="64" fillId="0" borderId="70" xfId="6" applyNumberFormat="1" applyFont="1" applyBorder="1" applyProtection="1">
      <protection locked="0"/>
    </xf>
    <xf numFmtId="0" fontId="75" fillId="11" borderId="66" xfId="2" applyFont="1" applyFill="1" applyBorder="1" applyAlignment="1">
      <alignment horizontal="left" indent="5"/>
    </xf>
    <xf numFmtId="168" fontId="64" fillId="0" borderId="70" xfId="6" applyFont="1" applyBorder="1" applyProtection="1">
      <protection locked="0"/>
    </xf>
    <xf numFmtId="168" fontId="68" fillId="0" borderId="69" xfId="6" applyFont="1" applyBorder="1" applyProtection="1">
      <protection locked="0"/>
    </xf>
    <xf numFmtId="168" fontId="64" fillId="19" borderId="70" xfId="6" applyFont="1" applyFill="1" applyBorder="1" applyProtection="1">
      <protection locked="0"/>
    </xf>
    <xf numFmtId="168" fontId="68" fillId="19" borderId="69" xfId="6" applyFont="1" applyFill="1" applyBorder="1" applyProtection="1">
      <protection locked="0"/>
    </xf>
    <xf numFmtId="0" fontId="75" fillId="11" borderId="67" xfId="2" applyFont="1" applyFill="1" applyBorder="1" applyAlignment="1">
      <alignment horizontal="left" indent="5"/>
    </xf>
    <xf numFmtId="183" fontId="70" fillId="5" borderId="70" xfId="6" applyNumberFormat="1" applyFont="1" applyFill="1" applyBorder="1" applyProtection="1">
      <protection locked="0"/>
    </xf>
    <xf numFmtId="0" fontId="75" fillId="5" borderId="67" xfId="2" applyFont="1" applyFill="1" applyBorder="1" applyAlignment="1">
      <alignment horizontal="left" indent="5"/>
    </xf>
    <xf numFmtId="168" fontId="68" fillId="0" borderId="26" xfId="6" applyFont="1" applyBorder="1" applyProtection="1">
      <protection locked="0"/>
    </xf>
    <xf numFmtId="168" fontId="64" fillId="0" borderId="35" xfId="6" applyFont="1" applyBorder="1" applyProtection="1">
      <protection locked="0"/>
    </xf>
    <xf numFmtId="168" fontId="64" fillId="19" borderId="35" xfId="6" applyFont="1" applyFill="1" applyBorder="1" applyProtection="1">
      <protection locked="0"/>
    </xf>
    <xf numFmtId="168" fontId="68" fillId="19" borderId="26" xfId="6" applyFont="1" applyFill="1" applyBorder="1" applyProtection="1">
      <protection locked="0"/>
    </xf>
    <xf numFmtId="168" fontId="58" fillId="0" borderId="0" xfId="6" applyFont="1"/>
    <xf numFmtId="168" fontId="0" fillId="0" borderId="0" xfId="6" applyFont="1"/>
    <xf numFmtId="0" fontId="51" fillId="27" borderId="28" xfId="2" applyFont="1" applyFill="1" applyBorder="1" applyAlignment="1">
      <alignment horizontal="left" indent="1"/>
    </xf>
    <xf numFmtId="168" fontId="70" fillId="11" borderId="28" xfId="6" applyFont="1" applyFill="1" applyBorder="1"/>
    <xf numFmtId="168" fontId="8" fillId="27" borderId="28" xfId="6" applyFont="1" applyFill="1" applyBorder="1"/>
    <xf numFmtId="168" fontId="70" fillId="19" borderId="28" xfId="6" applyFont="1" applyFill="1" applyBorder="1"/>
    <xf numFmtId="0" fontId="6" fillId="0" borderId="0" xfId="2" applyFont="1"/>
    <xf numFmtId="0" fontId="51" fillId="20" borderId="28" xfId="2" applyFont="1" applyFill="1" applyBorder="1" applyAlignment="1">
      <alignment horizontal="left" indent="1"/>
    </xf>
    <xf numFmtId="168" fontId="70" fillId="11" borderId="28" xfId="6" applyFont="1" applyFill="1" applyBorder="1" applyProtection="1">
      <protection locked="0"/>
    </xf>
    <xf numFmtId="168" fontId="8" fillId="20" borderId="28" xfId="6" applyFont="1" applyFill="1" applyBorder="1" applyProtection="1">
      <protection locked="0"/>
    </xf>
    <xf numFmtId="168" fontId="70" fillId="19" borderId="28" xfId="6" applyFont="1" applyFill="1" applyBorder="1" applyProtection="1">
      <protection locked="0"/>
    </xf>
    <xf numFmtId="0" fontId="70" fillId="11" borderId="28" xfId="2" applyFont="1" applyFill="1" applyBorder="1" applyAlignment="1">
      <alignment horizontal="left" indent="1"/>
    </xf>
    <xf numFmtId="167" fontId="64" fillId="11" borderId="28" xfId="6" applyNumberFormat="1" applyFont="1" applyFill="1" applyBorder="1"/>
    <xf numFmtId="167" fontId="64" fillId="19" borderId="28" xfId="6" applyNumberFormat="1" applyFont="1" applyFill="1" applyBorder="1"/>
    <xf numFmtId="0" fontId="70" fillId="11" borderId="0" xfId="2" applyFont="1" applyFill="1" applyAlignment="1">
      <alignment horizontal="left" indent="1"/>
    </xf>
    <xf numFmtId="167" fontId="64" fillId="11" borderId="0" xfId="6" applyNumberFormat="1" applyFont="1" applyFill="1"/>
    <xf numFmtId="167" fontId="64" fillId="11" borderId="28" xfId="6" applyNumberFormat="1" applyFont="1" applyFill="1" applyBorder="1" applyProtection="1">
      <protection locked="0"/>
    </xf>
    <xf numFmtId="0" fontId="12" fillId="0" borderId="291" xfId="2" applyBorder="1"/>
    <xf numFmtId="0" fontId="81" fillId="0" borderId="291" xfId="2" applyFont="1" applyBorder="1" applyAlignment="1">
      <alignment horizontal="left" indent="1"/>
    </xf>
    <xf numFmtId="0" fontId="75" fillId="11" borderId="25" xfId="2" applyFont="1" applyFill="1" applyBorder="1" applyAlignment="1">
      <alignment horizontal="left" indent="5"/>
    </xf>
    <xf numFmtId="0" fontId="235" fillId="11" borderId="28" xfId="2" applyFont="1" applyFill="1" applyBorder="1" applyAlignment="1">
      <alignment horizontal="left" indent="1"/>
    </xf>
    <xf numFmtId="168" fontId="70" fillId="0" borderId="28" xfId="6" applyFont="1" applyBorder="1" applyProtection="1">
      <protection locked="0"/>
    </xf>
    <xf numFmtId="0" fontId="12" fillId="0" borderId="0" xfId="2" applyAlignment="1">
      <alignment horizontal="center"/>
    </xf>
    <xf numFmtId="0" fontId="51" fillId="3" borderId="28" xfId="2" applyFont="1" applyFill="1" applyBorder="1" applyAlignment="1">
      <alignment horizontal="center"/>
    </xf>
    <xf numFmtId="176" fontId="58" fillId="0" borderId="70" xfId="6" applyNumberFormat="1" applyFont="1" applyBorder="1" applyAlignment="1">
      <alignment horizontal="left" indent="1" readingOrder="1"/>
    </xf>
    <xf numFmtId="168" fontId="58" fillId="0" borderId="69" xfId="6" applyFont="1" applyBorder="1"/>
    <xf numFmtId="176" fontId="58" fillId="0" borderId="70" xfId="6" applyNumberFormat="1" applyFont="1" applyBorder="1" applyAlignment="1">
      <alignment horizontal="left" indent="1"/>
    </xf>
    <xf numFmtId="168" fontId="58" fillId="0" borderId="69" xfId="6" applyFont="1" applyBorder="1" applyProtection="1">
      <protection locked="0"/>
    </xf>
    <xf numFmtId="168" fontId="58" fillId="34" borderId="69" xfId="6" applyFont="1" applyFill="1" applyBorder="1"/>
    <xf numFmtId="0" fontId="51" fillId="3" borderId="28" xfId="2" applyFont="1" applyFill="1" applyBorder="1" applyAlignment="1">
      <alignment horizontal="left" indent="1"/>
    </xf>
    <xf numFmtId="164" fontId="51" fillId="3" borderId="28" xfId="2" applyNumberFormat="1" applyFont="1" applyFill="1" applyBorder="1" applyAlignment="1">
      <alignment horizontal="center"/>
    </xf>
    <xf numFmtId="176" fontId="58" fillId="0" borderId="293" xfId="6" applyNumberFormat="1" applyFont="1" applyBorder="1" applyAlignment="1">
      <alignment horizontal="left" indent="1" readingOrder="1"/>
    </xf>
    <xf numFmtId="168" fontId="58" fillId="0" borderId="294" xfId="6" applyFont="1" applyBorder="1"/>
    <xf numFmtId="176" fontId="58" fillId="0" borderId="295" xfId="6" applyNumberFormat="1" applyFont="1" applyBorder="1" applyAlignment="1">
      <alignment horizontal="left" indent="1"/>
    </xf>
    <xf numFmtId="0" fontId="51" fillId="3" borderId="262" xfId="2" applyFont="1" applyFill="1" applyBorder="1" applyAlignment="1">
      <alignment horizontal="left" indent="1"/>
    </xf>
    <xf numFmtId="164" fontId="51" fillId="3" borderId="243" xfId="2" applyNumberFormat="1" applyFont="1" applyFill="1" applyBorder="1" applyAlignment="1">
      <alignment horizontal="center"/>
    </xf>
    <xf numFmtId="176" fontId="58" fillId="0" borderId="154" xfId="6" applyNumberFormat="1" applyFont="1" applyBorder="1" applyAlignment="1">
      <alignment horizontal="left" indent="1"/>
    </xf>
    <xf numFmtId="168" fontId="58" fillId="19" borderId="234" xfId="6" applyFont="1" applyFill="1" applyBorder="1"/>
    <xf numFmtId="168" fontId="58" fillId="0" borderId="234" xfId="6" applyFont="1" applyBorder="1" applyProtection="1">
      <protection locked="0"/>
    </xf>
    <xf numFmtId="0" fontId="236" fillId="0" borderId="7" xfId="0" applyFont="1" applyBorder="1"/>
    <xf numFmtId="164" fontId="236" fillId="0" borderId="8" xfId="0" applyNumberFormat="1" applyFont="1" applyBorder="1"/>
    <xf numFmtId="168" fontId="64" fillId="0" borderId="71" xfId="6" applyFont="1" applyBorder="1" applyProtection="1">
      <protection locked="0"/>
    </xf>
    <xf numFmtId="168" fontId="68" fillId="0" borderId="72" xfId="6" applyFont="1" applyBorder="1" applyProtection="1">
      <protection locked="0"/>
    </xf>
    <xf numFmtId="168" fontId="64" fillId="19" borderId="71" xfId="6" applyFont="1" applyFill="1" applyBorder="1" applyProtection="1">
      <protection locked="0"/>
    </xf>
    <xf numFmtId="168" fontId="68" fillId="19" borderId="72" xfId="6" applyFont="1" applyFill="1" applyBorder="1" applyProtection="1">
      <protection locked="0"/>
    </xf>
    <xf numFmtId="168" fontId="51" fillId="20" borderId="28" xfId="6" applyFont="1" applyFill="1" applyBorder="1"/>
    <xf numFmtId="0" fontId="68" fillId="11" borderId="66" xfId="2" applyFont="1" applyFill="1" applyBorder="1" applyAlignment="1">
      <alignment horizontal="left" indent="5"/>
    </xf>
    <xf numFmtId="168" fontId="68" fillId="0" borderId="71" xfId="6" applyFont="1" applyBorder="1" applyProtection="1">
      <protection locked="0"/>
    </xf>
    <xf numFmtId="168" fontId="68" fillId="19" borderId="71" xfId="6" applyFont="1" applyFill="1" applyBorder="1" applyProtection="1">
      <protection locked="0"/>
    </xf>
    <xf numFmtId="0" fontId="68" fillId="11" borderId="67" xfId="2" applyFont="1" applyFill="1" applyBorder="1" applyAlignment="1">
      <alignment horizontal="left" indent="5"/>
    </xf>
    <xf numFmtId="168" fontId="68" fillId="0" borderId="70" xfId="6" applyFont="1" applyBorder="1" applyProtection="1">
      <protection locked="0"/>
    </xf>
    <xf numFmtId="168" fontId="68" fillId="19" borderId="70" xfId="6" applyFont="1" applyFill="1" applyBorder="1" applyProtection="1">
      <protection locked="0"/>
    </xf>
    <xf numFmtId="0" fontId="68" fillId="11" borderId="25" xfId="2" applyFont="1" applyFill="1" applyBorder="1" applyAlignment="1">
      <alignment horizontal="left" indent="5"/>
    </xf>
    <xf numFmtId="168" fontId="68" fillId="0" borderId="35" xfId="6" applyFont="1" applyBorder="1" applyProtection="1">
      <protection locked="0"/>
    </xf>
    <xf numFmtId="168" fontId="68" fillId="19" borderId="35" xfId="6" applyFont="1" applyFill="1" applyBorder="1" applyProtection="1">
      <protection locked="0"/>
    </xf>
    <xf numFmtId="0" fontId="12" fillId="0" borderId="0" xfId="2" applyProtection="1">
      <protection locked="0"/>
    </xf>
    <xf numFmtId="176" fontId="58" fillId="0" borderId="71" xfId="6" applyNumberFormat="1" applyFont="1" applyBorder="1" applyAlignment="1">
      <alignment horizontal="left" indent="1" readingOrder="1"/>
    </xf>
    <xf numFmtId="168" fontId="58" fillId="0" borderId="72" xfId="6" applyFont="1" applyBorder="1"/>
    <xf numFmtId="168" fontId="58" fillId="0" borderId="72" xfId="6" applyFont="1" applyBorder="1" applyProtection="1">
      <protection locked="0"/>
    </xf>
    <xf numFmtId="168" fontId="58" fillId="0" borderId="136" xfId="6" applyFont="1" applyBorder="1" applyAlignment="1" applyProtection="1">
      <alignment vertical="top" wrapText="1"/>
      <protection locked="0"/>
    </xf>
    <xf numFmtId="168" fontId="58" fillId="0" borderId="137" xfId="6" applyFont="1" applyBorder="1" applyAlignment="1" applyProtection="1">
      <alignment vertical="top" wrapText="1"/>
      <protection locked="0"/>
    </xf>
    <xf numFmtId="168" fontId="58" fillId="0" borderId="138" xfId="6" applyFont="1" applyBorder="1" applyAlignment="1" applyProtection="1">
      <alignment vertical="top" wrapText="1"/>
      <protection locked="0"/>
    </xf>
    <xf numFmtId="168" fontId="58" fillId="0" borderId="139" xfId="6" applyFont="1" applyBorder="1" applyAlignment="1" applyProtection="1">
      <alignment vertical="top" wrapText="1"/>
      <protection locked="0"/>
    </xf>
    <xf numFmtId="168" fontId="58" fillId="0" borderId="0" xfId="6" applyFont="1" applyAlignment="1" applyProtection="1">
      <alignment vertical="top" wrapText="1"/>
      <protection locked="0"/>
    </xf>
    <xf numFmtId="168" fontId="58" fillId="0" borderId="140" xfId="6" applyFont="1" applyBorder="1" applyAlignment="1" applyProtection="1">
      <alignment vertical="top" wrapText="1"/>
      <protection locked="0"/>
    </xf>
    <xf numFmtId="164" fontId="51" fillId="3" borderId="29" xfId="2" applyNumberFormat="1" applyFont="1" applyFill="1" applyBorder="1" applyAlignment="1">
      <alignment horizontal="center"/>
    </xf>
    <xf numFmtId="0" fontId="29" fillId="0" borderId="0" xfId="2" applyFont="1"/>
    <xf numFmtId="176" fontId="82" fillId="20" borderId="35" xfId="6" applyNumberFormat="1" applyFont="1" applyFill="1" applyBorder="1" applyAlignment="1">
      <alignment horizontal="left" indent="2"/>
    </xf>
    <xf numFmtId="168" fontId="82" fillId="20" borderId="26" xfId="6" applyFont="1" applyFill="1" applyBorder="1"/>
    <xf numFmtId="176" fontId="58" fillId="0" borderId="71" xfId="6" applyNumberFormat="1" applyFont="1" applyBorder="1" applyAlignment="1">
      <alignment horizontal="left" indent="1"/>
    </xf>
    <xf numFmtId="168" fontId="58" fillId="0" borderId="297" xfId="6" applyFont="1" applyBorder="1"/>
    <xf numFmtId="176" fontId="58" fillId="0" borderId="28" xfId="6" applyNumberFormat="1" applyFont="1" applyBorder="1" applyAlignment="1">
      <alignment horizontal="left" indent="1"/>
    </xf>
    <xf numFmtId="168" fontId="58" fillId="19" borderId="31" xfId="6" applyFont="1" applyFill="1" applyBorder="1"/>
    <xf numFmtId="168" fontId="58" fillId="0" borderId="31" xfId="6" applyFont="1" applyBorder="1"/>
    <xf numFmtId="168" fontId="58" fillId="0" borderId="31" xfId="6" applyFont="1" applyBorder="1" applyProtection="1">
      <protection locked="0"/>
    </xf>
    <xf numFmtId="168" fontId="58" fillId="0" borderId="141" xfId="6" applyFont="1" applyBorder="1" applyAlignment="1" applyProtection="1">
      <alignment vertical="top" wrapText="1"/>
      <protection locked="0"/>
    </xf>
    <xf numFmtId="168" fontId="58" fillId="0" borderId="142" xfId="6" applyFont="1" applyBorder="1" applyAlignment="1" applyProtection="1">
      <alignment vertical="top" wrapText="1"/>
      <protection locked="0"/>
    </xf>
    <xf numFmtId="168" fontId="58" fillId="0" borderId="143" xfId="6" applyFont="1" applyBorder="1" applyAlignment="1" applyProtection="1">
      <alignment vertical="top" wrapText="1"/>
      <protection locked="0"/>
    </xf>
    <xf numFmtId="168" fontId="64" fillId="5" borderId="70" xfId="6" applyFont="1" applyFill="1" applyBorder="1"/>
    <xf numFmtId="168" fontId="64" fillId="5" borderId="35" xfId="6" applyFont="1" applyFill="1" applyBorder="1"/>
    <xf numFmtId="168" fontId="51" fillId="3" borderId="28" xfId="6" applyFont="1" applyFill="1" applyBorder="1"/>
    <xf numFmtId="168" fontId="8" fillId="3" borderId="28" xfId="6" applyFont="1" applyFill="1" applyBorder="1"/>
    <xf numFmtId="168" fontId="51" fillId="20" borderId="28" xfId="6" applyFont="1" applyFill="1" applyBorder="1" applyProtection="1">
      <protection locked="0"/>
    </xf>
    <xf numFmtId="168" fontId="8" fillId="20" borderId="28" xfId="6" applyFont="1" applyFill="1" applyBorder="1"/>
    <xf numFmtId="183" fontId="70" fillId="5" borderId="298" xfId="6" applyNumberFormat="1" applyFont="1" applyFill="1" applyBorder="1" applyProtection="1">
      <protection locked="0"/>
    </xf>
    <xf numFmtId="0" fontId="75" fillId="5" borderId="299" xfId="2" applyFont="1" applyFill="1" applyBorder="1" applyAlignment="1">
      <alignment horizontal="left" indent="5"/>
    </xf>
    <xf numFmtId="168" fontId="64" fillId="0" borderId="298" xfId="6" applyFont="1" applyBorder="1" applyProtection="1">
      <protection locked="0"/>
    </xf>
    <xf numFmtId="168" fontId="68" fillId="0" borderId="300" xfId="6" applyFont="1" applyBorder="1" applyProtection="1">
      <protection locked="0"/>
    </xf>
    <xf numFmtId="168" fontId="64" fillId="5" borderId="298" xfId="6" applyFont="1" applyFill="1" applyBorder="1"/>
    <xf numFmtId="168" fontId="235" fillId="11" borderId="28" xfId="6" applyFont="1" applyFill="1" applyBorder="1"/>
    <xf numFmtId="173" fontId="58" fillId="0" borderId="72" xfId="6" applyNumberFormat="1" applyFont="1" applyBorder="1"/>
    <xf numFmtId="176" fontId="58" fillId="0" borderId="35" xfId="6" applyNumberFormat="1" applyFont="1" applyBorder="1" applyAlignment="1">
      <alignment horizontal="left" indent="1"/>
    </xf>
    <xf numFmtId="168" fontId="58" fillId="0" borderId="26" xfId="6" applyFont="1" applyBorder="1"/>
    <xf numFmtId="0" fontId="21" fillId="0" borderId="0" xfId="2" applyFont="1" applyAlignment="1">
      <alignment horizontal="left" indent="1"/>
    </xf>
    <xf numFmtId="0" fontId="68" fillId="11" borderId="66" xfId="2" applyFont="1" applyFill="1" applyBorder="1" applyAlignment="1" applyProtection="1">
      <alignment horizontal="left" indent="5"/>
      <protection locked="0"/>
    </xf>
    <xf numFmtId="0" fontId="68" fillId="11" borderId="67" xfId="2" applyFont="1" applyFill="1" applyBorder="1" applyAlignment="1" applyProtection="1">
      <alignment horizontal="left" indent="5"/>
      <protection locked="0"/>
    </xf>
    <xf numFmtId="0" fontId="68" fillId="11" borderId="25" xfId="2" applyFont="1" applyFill="1" applyBorder="1" applyAlignment="1" applyProtection="1">
      <alignment horizontal="left" indent="5"/>
      <protection locked="0"/>
    </xf>
    <xf numFmtId="0" fontId="78" fillId="3" borderId="37" xfId="2" applyFont="1" applyFill="1" applyBorder="1" applyAlignment="1">
      <alignment horizontal="center"/>
    </xf>
    <xf numFmtId="0" fontId="14" fillId="3" borderId="37" xfId="2" applyFont="1" applyFill="1" applyBorder="1" applyAlignment="1">
      <alignment horizontal="left" indent="1"/>
    </xf>
    <xf numFmtId="0" fontId="14" fillId="3" borderId="37" xfId="2" applyFont="1" applyFill="1" applyBorder="1" applyAlignment="1">
      <alignment horizontal="center"/>
    </xf>
    <xf numFmtId="183" fontId="64" fillId="0" borderId="293" xfId="6" applyNumberFormat="1" applyFont="1" applyBorder="1" applyProtection="1">
      <protection locked="0"/>
    </xf>
    <xf numFmtId="0" fontId="75" fillId="11" borderId="301" xfId="2" applyFont="1" applyFill="1" applyBorder="1" applyAlignment="1">
      <alignment horizontal="left" indent="5"/>
    </xf>
    <xf numFmtId="168" fontId="64" fillId="0" borderId="302" xfId="6" applyFont="1" applyBorder="1" applyProtection="1">
      <protection locked="0"/>
    </xf>
    <xf numFmtId="168" fontId="68" fillId="0" borderId="294" xfId="6" applyFont="1" applyBorder="1" applyProtection="1">
      <protection locked="0"/>
    </xf>
    <xf numFmtId="183" fontId="64" fillId="0" borderId="295" xfId="6" applyNumberFormat="1" applyFont="1" applyBorder="1" applyProtection="1">
      <protection locked="0"/>
    </xf>
    <xf numFmtId="183" fontId="70" fillId="10" borderId="295" xfId="6" applyNumberFormat="1" applyFont="1" applyFill="1" applyBorder="1" applyProtection="1">
      <protection locked="0"/>
    </xf>
    <xf numFmtId="0" fontId="75" fillId="10" borderId="67" xfId="2" applyFont="1" applyFill="1" applyBorder="1" applyAlignment="1">
      <alignment horizontal="left" indent="5"/>
    </xf>
    <xf numFmtId="168" fontId="64" fillId="10" borderId="70" xfId="6" applyFont="1" applyFill="1" applyBorder="1" applyProtection="1">
      <protection locked="0"/>
    </xf>
    <xf numFmtId="168" fontId="68" fillId="10" borderId="69" xfId="6" applyFont="1" applyFill="1" applyBorder="1" applyProtection="1">
      <protection locked="0"/>
    </xf>
    <xf numFmtId="183" fontId="70" fillId="10" borderId="262" xfId="6" applyNumberFormat="1" applyFont="1" applyFill="1" applyBorder="1" applyProtection="1">
      <protection locked="0"/>
    </xf>
    <xf numFmtId="0" fontId="75" fillId="10" borderId="283" xfId="2" applyFont="1" applyFill="1" applyBorder="1" applyAlignment="1">
      <alignment horizontal="left" indent="5"/>
    </xf>
    <xf numFmtId="168" fontId="64" fillId="10" borderId="243" xfId="6" applyFont="1" applyFill="1" applyBorder="1" applyProtection="1">
      <protection locked="0"/>
    </xf>
    <xf numFmtId="168" fontId="68" fillId="10" borderId="270" xfId="6" applyFont="1" applyFill="1" applyBorder="1" applyProtection="1">
      <protection locked="0"/>
    </xf>
    <xf numFmtId="0" fontId="78" fillId="3" borderId="263" xfId="2" applyFont="1" applyFill="1" applyBorder="1" applyAlignment="1">
      <alignment horizontal="center"/>
    </xf>
    <xf numFmtId="0" fontId="14" fillId="3" borderId="263" xfId="2" applyFont="1" applyFill="1" applyBorder="1" applyAlignment="1">
      <alignment horizontal="left" indent="1"/>
    </xf>
    <xf numFmtId="0" fontId="14" fillId="3" borderId="263" xfId="2" applyFont="1" applyFill="1" applyBorder="1" applyAlignment="1">
      <alignment horizontal="center"/>
    </xf>
    <xf numFmtId="176" fontId="58" fillId="0" borderId="54" xfId="6" applyNumberFormat="1" applyFont="1" applyBorder="1" applyAlignment="1" applyProtection="1">
      <alignment horizontal="left" indent="1" readingOrder="1"/>
      <protection locked="0"/>
    </xf>
    <xf numFmtId="168" fontId="58" fillId="0" borderId="54" xfId="6" applyFont="1" applyBorder="1" applyProtection="1">
      <protection locked="0"/>
    </xf>
    <xf numFmtId="168" fontId="58" fillId="0" borderId="54" xfId="6" applyFont="1" applyBorder="1"/>
    <xf numFmtId="176" fontId="58" fillId="0" borderId="40" xfId="6" applyNumberFormat="1" applyFont="1" applyBorder="1" applyAlignment="1" applyProtection="1">
      <alignment horizontal="left" indent="1" readingOrder="1"/>
      <protection locked="0"/>
    </xf>
    <xf numFmtId="168" fontId="58" fillId="0" borderId="40" xfId="6" applyFont="1" applyBorder="1" applyProtection="1">
      <protection locked="0"/>
    </xf>
    <xf numFmtId="168" fontId="58" fillId="0" borderId="40" xfId="6" applyFont="1" applyBorder="1"/>
    <xf numFmtId="176" fontId="58" fillId="0" borderId="307" xfId="6" applyNumberFormat="1" applyFont="1" applyBorder="1" applyAlignment="1" applyProtection="1">
      <alignment horizontal="left" indent="1" readingOrder="1"/>
      <protection locked="0"/>
    </xf>
    <xf numFmtId="168" fontId="58" fillId="0" borderId="307" xfId="6" applyFont="1" applyBorder="1" applyProtection="1">
      <protection locked="0"/>
    </xf>
    <xf numFmtId="168" fontId="58" fillId="0" borderId="307" xfId="6" applyFont="1" applyBorder="1"/>
    <xf numFmtId="0" fontId="67" fillId="10" borderId="28" xfId="2" applyFont="1" applyFill="1" applyBorder="1" applyAlignment="1">
      <alignment horizontal="center"/>
    </xf>
    <xf numFmtId="0" fontId="84" fillId="0" borderId="0" xfId="2" applyFont="1"/>
    <xf numFmtId="0" fontId="58" fillId="0" borderId="0" xfId="2" applyFont="1"/>
    <xf numFmtId="0" fontId="14" fillId="3" borderId="20" xfId="2" applyFont="1" applyFill="1" applyBorder="1" applyAlignment="1">
      <alignment horizontal="center"/>
    </xf>
    <xf numFmtId="0" fontId="51" fillId="3" borderId="90" xfId="2" applyFont="1" applyFill="1" applyBorder="1" applyAlignment="1">
      <alignment horizontal="center"/>
    </xf>
    <xf numFmtId="0" fontId="51" fillId="3" borderId="18" xfId="2" applyFont="1" applyFill="1" applyBorder="1" applyAlignment="1">
      <alignment horizontal="center"/>
    </xf>
    <xf numFmtId="0" fontId="51" fillId="3" borderId="91" xfId="2" applyFont="1" applyFill="1" applyBorder="1" applyAlignment="1">
      <alignment horizontal="center"/>
    </xf>
    <xf numFmtId="0" fontId="51" fillId="21" borderId="88" xfId="2" applyFont="1" applyFill="1" applyBorder="1" applyAlignment="1">
      <alignment horizontal="center"/>
    </xf>
    <xf numFmtId="0" fontId="51" fillId="21" borderId="310" xfId="2" applyFont="1" applyFill="1" applyBorder="1" applyAlignment="1">
      <alignment horizontal="center"/>
    </xf>
    <xf numFmtId="0" fontId="51" fillId="21" borderId="311" xfId="2" applyFont="1" applyFill="1" applyBorder="1" applyAlignment="1">
      <alignment horizontal="center"/>
    </xf>
    <xf numFmtId="0" fontId="51" fillId="21" borderId="89" xfId="2" applyFont="1" applyFill="1" applyBorder="1" applyAlignment="1">
      <alignment horizontal="center"/>
    </xf>
    <xf numFmtId="0" fontId="83" fillId="0" borderId="0" xfId="2" applyFont="1"/>
    <xf numFmtId="9" fontId="83" fillId="0" borderId="31" xfId="2" applyNumberFormat="1" applyFont="1" applyBorder="1" applyProtection="1">
      <protection locked="0"/>
    </xf>
    <xf numFmtId="173" fontId="83" fillId="0" borderId="73" xfId="2" applyNumberFormat="1" applyFont="1" applyBorder="1" applyAlignment="1" applyProtection="1">
      <alignment horizontal="right"/>
      <protection locked="0"/>
    </xf>
    <xf numFmtId="173" fontId="83" fillId="0" borderId="74" xfId="2" applyNumberFormat="1" applyFont="1" applyBorder="1" applyAlignment="1" applyProtection="1">
      <alignment horizontal="right"/>
      <protection locked="0"/>
    </xf>
    <xf numFmtId="173" fontId="83" fillId="22" borderId="73" xfId="2" applyNumberFormat="1" applyFont="1" applyFill="1" applyBorder="1" applyAlignment="1" applyProtection="1">
      <alignment horizontal="right"/>
      <protection locked="0"/>
    </xf>
    <xf numFmtId="173" fontId="83" fillId="22" borderId="74" xfId="2" applyNumberFormat="1" applyFont="1" applyFill="1" applyBorder="1" applyAlignment="1" applyProtection="1">
      <alignment horizontal="right"/>
      <protection locked="0"/>
    </xf>
    <xf numFmtId="173" fontId="83" fillId="19" borderId="79" xfId="2" applyNumberFormat="1" applyFont="1" applyFill="1" applyBorder="1" applyAlignment="1">
      <alignment horizontal="right"/>
    </xf>
    <xf numFmtId="173" fontId="83" fillId="19" borderId="312" xfId="2" applyNumberFormat="1" applyFont="1" applyFill="1" applyBorder="1" applyAlignment="1">
      <alignment horizontal="right"/>
    </xf>
    <xf numFmtId="173" fontId="83" fillId="11" borderId="313" xfId="2" applyNumberFormat="1" applyFont="1" applyFill="1" applyBorder="1" applyAlignment="1">
      <alignment horizontal="right"/>
    </xf>
    <xf numFmtId="173" fontId="83" fillId="11" borderId="76" xfId="2" applyNumberFormat="1" applyFont="1" applyFill="1" applyBorder="1" applyAlignment="1">
      <alignment horizontal="right"/>
    </xf>
    <xf numFmtId="173" fontId="83" fillId="0" borderId="75" xfId="2" applyNumberFormat="1" applyFont="1" applyBorder="1" applyAlignment="1" applyProtection="1">
      <alignment horizontal="right"/>
      <protection locked="0"/>
    </xf>
    <xf numFmtId="173" fontId="83" fillId="0" borderId="76" xfId="2" applyNumberFormat="1" applyFont="1" applyBorder="1" applyAlignment="1" applyProtection="1">
      <alignment horizontal="right"/>
      <protection locked="0"/>
    </xf>
    <xf numFmtId="173" fontId="83" fillId="22" borderId="75" xfId="2" applyNumberFormat="1" applyFont="1" applyFill="1" applyBorder="1" applyAlignment="1" applyProtection="1">
      <alignment horizontal="right"/>
      <protection locked="0"/>
    </xf>
    <xf numFmtId="173" fontId="83" fillId="22" borderId="76" xfId="2" applyNumberFormat="1" applyFont="1" applyFill="1" applyBorder="1" applyAlignment="1" applyProtection="1">
      <alignment horizontal="right"/>
      <protection locked="0"/>
    </xf>
    <xf numFmtId="173" fontId="83" fillId="19" borderId="75" xfId="2" applyNumberFormat="1" applyFont="1" applyFill="1" applyBorder="1" applyAlignment="1">
      <alignment horizontal="right"/>
    </xf>
    <xf numFmtId="173" fontId="83" fillId="19" borderId="314" xfId="2" applyNumberFormat="1" applyFont="1" applyFill="1" applyBorder="1" applyAlignment="1">
      <alignment horizontal="right"/>
    </xf>
    <xf numFmtId="173" fontId="83" fillId="11" borderId="315" xfId="2" applyNumberFormat="1" applyFont="1" applyFill="1" applyBorder="1" applyAlignment="1">
      <alignment horizontal="right"/>
    </xf>
    <xf numFmtId="9" fontId="83" fillId="0" borderId="22" xfId="2" applyNumberFormat="1" applyFont="1" applyBorder="1" applyProtection="1">
      <protection locked="0"/>
    </xf>
    <xf numFmtId="173" fontId="6" fillId="0" borderId="81" xfId="2" applyNumberFormat="1" applyFont="1" applyBorder="1" applyAlignment="1" applyProtection="1">
      <alignment horizontal="right"/>
      <protection locked="0"/>
    </xf>
    <xf numFmtId="173" fontId="6" fillId="0" borderId="82" xfId="2" applyNumberFormat="1" applyFont="1" applyBorder="1" applyAlignment="1" applyProtection="1">
      <alignment horizontal="right"/>
      <protection locked="0"/>
    </xf>
    <xf numFmtId="173" fontId="6" fillId="22" borderId="81" xfId="2" applyNumberFormat="1" applyFont="1" applyFill="1" applyBorder="1" applyAlignment="1" applyProtection="1">
      <alignment horizontal="right"/>
      <protection locked="0"/>
    </xf>
    <xf numFmtId="173" fontId="6" fillId="22" borderId="82" xfId="2" applyNumberFormat="1" applyFont="1" applyFill="1" applyBorder="1" applyAlignment="1" applyProtection="1">
      <alignment horizontal="right"/>
      <protection locked="0"/>
    </xf>
    <xf numFmtId="173" fontId="6" fillId="19" borderId="81" xfId="2" applyNumberFormat="1" applyFont="1" applyFill="1" applyBorder="1" applyAlignment="1">
      <alignment horizontal="right"/>
    </xf>
    <xf numFmtId="173" fontId="6" fillId="19" borderId="316" xfId="2" applyNumberFormat="1" applyFont="1" applyFill="1" applyBorder="1" applyAlignment="1">
      <alignment horizontal="right"/>
    </xf>
    <xf numFmtId="173" fontId="6" fillId="11" borderId="317" xfId="2" applyNumberFormat="1" applyFont="1" applyFill="1" applyBorder="1" applyAlignment="1">
      <alignment horizontal="right"/>
    </xf>
    <xf numFmtId="173" fontId="6" fillId="11" borderId="82" xfId="2" applyNumberFormat="1" applyFont="1" applyFill="1" applyBorder="1" applyAlignment="1">
      <alignment horizontal="right"/>
    </xf>
    <xf numFmtId="173" fontId="6" fillId="0" borderId="235" xfId="2" applyNumberFormat="1" applyFont="1" applyBorder="1" applyAlignment="1" applyProtection="1">
      <alignment horizontal="right"/>
      <protection locked="0"/>
    </xf>
    <xf numFmtId="173" fontId="6" fillId="0" borderId="236" xfId="2" applyNumberFormat="1" applyFont="1" applyBorder="1" applyAlignment="1" applyProtection="1">
      <alignment horizontal="right"/>
      <protection locked="0"/>
    </xf>
    <xf numFmtId="173" fontId="6" fillId="22" borderId="235" xfId="2" applyNumberFormat="1" applyFont="1" applyFill="1" applyBorder="1" applyAlignment="1" applyProtection="1">
      <alignment horizontal="right"/>
      <protection locked="0"/>
    </xf>
    <xf numFmtId="173" fontId="6" fillId="22" borderId="236" xfId="2" applyNumberFormat="1" applyFont="1" applyFill="1" applyBorder="1" applyAlignment="1" applyProtection="1">
      <alignment horizontal="right"/>
      <protection locked="0"/>
    </xf>
    <xf numFmtId="173" fontId="6" fillId="19" borderId="235" xfId="2" applyNumberFormat="1" applyFont="1" applyFill="1" applyBorder="1" applyAlignment="1">
      <alignment horizontal="right"/>
    </xf>
    <xf numFmtId="173" fontId="6" fillId="19" borderId="318" xfId="2" applyNumberFormat="1" applyFont="1" applyFill="1" applyBorder="1" applyAlignment="1">
      <alignment horizontal="right"/>
    </xf>
    <xf numFmtId="173" fontId="6" fillId="11" borderId="319" xfId="2" applyNumberFormat="1" applyFont="1" applyFill="1" applyBorder="1" applyAlignment="1">
      <alignment horizontal="right"/>
    </xf>
    <xf numFmtId="173" fontId="6" fillId="11" borderId="236" xfId="2" applyNumberFormat="1" applyFont="1" applyFill="1" applyBorder="1" applyAlignment="1">
      <alignment horizontal="right"/>
    </xf>
    <xf numFmtId="173" fontId="6" fillId="0" borderId="231" xfId="2" applyNumberFormat="1" applyFont="1" applyBorder="1" applyAlignment="1" applyProtection="1">
      <alignment horizontal="right"/>
      <protection locked="0"/>
    </xf>
    <xf numFmtId="173" fontId="6" fillId="0" borderId="232" xfId="2" applyNumberFormat="1" applyFont="1" applyBorder="1" applyAlignment="1" applyProtection="1">
      <alignment horizontal="right"/>
      <protection locked="0"/>
    </xf>
    <xf numFmtId="173" fontId="6" fillId="22" borderId="231" xfId="2" applyNumberFormat="1" applyFont="1" applyFill="1" applyBorder="1" applyAlignment="1" applyProtection="1">
      <alignment horizontal="right"/>
      <protection locked="0"/>
    </xf>
    <xf numFmtId="173" fontId="6" fillId="22" borderId="232" xfId="2" applyNumberFormat="1" applyFont="1" applyFill="1" applyBorder="1" applyAlignment="1" applyProtection="1">
      <alignment horizontal="right"/>
      <protection locked="0"/>
    </xf>
    <xf numFmtId="173" fontId="6" fillId="19" borderId="231" xfId="2" applyNumberFormat="1" applyFont="1" applyFill="1" applyBorder="1" applyAlignment="1">
      <alignment horizontal="right"/>
    </xf>
    <xf numFmtId="173" fontId="6" fillId="19" borderId="320" xfId="2" applyNumberFormat="1" applyFont="1" applyFill="1" applyBorder="1" applyAlignment="1">
      <alignment horizontal="right"/>
    </xf>
    <xf numFmtId="173" fontId="6" fillId="11" borderId="321" xfId="2" applyNumberFormat="1" applyFont="1" applyFill="1" applyBorder="1" applyAlignment="1">
      <alignment horizontal="right"/>
    </xf>
    <xf numFmtId="173" fontId="6" fillId="11" borderId="232" xfId="2" applyNumberFormat="1" applyFont="1" applyFill="1" applyBorder="1" applyAlignment="1">
      <alignment horizontal="right"/>
    </xf>
    <xf numFmtId="10" fontId="6" fillId="0" borderId="28" xfId="2" applyNumberFormat="1" applyFont="1" applyBorder="1" applyProtection="1">
      <protection locked="0"/>
    </xf>
    <xf numFmtId="173" fontId="6" fillId="0" borderId="73" xfId="2" applyNumberFormat="1" applyFont="1" applyBorder="1" applyAlignment="1" applyProtection="1">
      <alignment horizontal="right"/>
      <protection locked="0"/>
    </xf>
    <xf numFmtId="173" fontId="6" fillId="0" borderId="74" xfId="2" applyNumberFormat="1" applyFont="1" applyBorder="1" applyAlignment="1" applyProtection="1">
      <alignment horizontal="right"/>
      <protection locked="0"/>
    </xf>
    <xf numFmtId="173" fontId="6" fillId="22" borderId="73" xfId="2" applyNumberFormat="1" applyFont="1" applyFill="1" applyBorder="1" applyAlignment="1" applyProtection="1">
      <alignment horizontal="right"/>
      <protection locked="0"/>
    </xf>
    <xf numFmtId="173" fontId="6" fillId="22" borderId="74" xfId="2" applyNumberFormat="1" applyFont="1" applyFill="1" applyBorder="1" applyAlignment="1" applyProtection="1">
      <alignment horizontal="right"/>
      <protection locked="0"/>
    </xf>
    <xf numFmtId="173" fontId="6" fillId="19" borderId="73" xfId="2" applyNumberFormat="1" applyFont="1" applyFill="1" applyBorder="1" applyAlignment="1">
      <alignment horizontal="right"/>
    </xf>
    <xf numFmtId="173" fontId="6" fillId="19" borderId="322" xfId="2" applyNumberFormat="1" applyFont="1" applyFill="1" applyBorder="1" applyAlignment="1">
      <alignment horizontal="right"/>
    </xf>
    <xf numFmtId="173" fontId="6" fillId="11" borderId="323" xfId="2" applyNumberFormat="1" applyFont="1" applyFill="1" applyBorder="1" applyAlignment="1">
      <alignment horizontal="right"/>
    </xf>
    <xf numFmtId="173" fontId="6" fillId="11" borderId="74" xfId="2" applyNumberFormat="1" applyFont="1" applyFill="1" applyBorder="1" applyAlignment="1">
      <alignment horizontal="right"/>
    </xf>
    <xf numFmtId="173" fontId="6" fillId="0" borderId="75" xfId="2" applyNumberFormat="1" applyFont="1" applyBorder="1" applyAlignment="1" applyProtection="1">
      <alignment horizontal="right"/>
      <protection locked="0"/>
    </xf>
    <xf numFmtId="173" fontId="6" fillId="0" borderId="76" xfId="2" applyNumberFormat="1" applyFont="1" applyBorder="1" applyAlignment="1" applyProtection="1">
      <alignment horizontal="right"/>
      <protection locked="0"/>
    </xf>
    <xf numFmtId="173" fontId="6" fillId="22" borderId="75" xfId="2" applyNumberFormat="1" applyFont="1" applyFill="1" applyBorder="1" applyAlignment="1" applyProtection="1">
      <alignment horizontal="right"/>
      <protection locked="0"/>
    </xf>
    <xf numFmtId="173" fontId="6" fillId="22" borderId="76" xfId="2" applyNumberFormat="1" applyFont="1" applyFill="1" applyBorder="1" applyAlignment="1" applyProtection="1">
      <alignment horizontal="right"/>
      <protection locked="0"/>
    </xf>
    <xf numFmtId="173" fontId="6" fillId="19" borderId="75" xfId="2" applyNumberFormat="1" applyFont="1" applyFill="1" applyBorder="1" applyAlignment="1">
      <alignment horizontal="right"/>
    </xf>
    <xf numFmtId="173" fontId="6" fillId="19" borderId="314" xfId="2" applyNumberFormat="1" applyFont="1" applyFill="1" applyBorder="1" applyAlignment="1">
      <alignment horizontal="right"/>
    </xf>
    <xf numFmtId="173" fontId="6" fillId="11" borderId="315" xfId="2" applyNumberFormat="1" applyFont="1" applyFill="1" applyBorder="1" applyAlignment="1">
      <alignment horizontal="right"/>
    </xf>
    <xf numFmtId="173" fontId="6" fillId="11" borderId="76" xfId="2" applyNumberFormat="1" applyFont="1" applyFill="1" applyBorder="1" applyAlignment="1">
      <alignment horizontal="right"/>
    </xf>
    <xf numFmtId="9" fontId="0" fillId="0" borderId="37" xfId="8" applyFont="1" applyBorder="1" applyProtection="1">
      <protection locked="0"/>
    </xf>
    <xf numFmtId="173" fontId="6" fillId="0" borderId="83" xfId="2" applyNumberFormat="1" applyFont="1" applyBorder="1" applyAlignment="1" applyProtection="1">
      <alignment horizontal="right"/>
      <protection locked="0"/>
    </xf>
    <xf numFmtId="173" fontId="6" fillId="0" borderId="84" xfId="2" applyNumberFormat="1" applyFont="1" applyBorder="1" applyAlignment="1" applyProtection="1">
      <alignment horizontal="right"/>
      <protection locked="0"/>
    </xf>
    <xf numFmtId="173" fontId="6" fillId="22" borderId="83" xfId="2" applyNumberFormat="1" applyFont="1" applyFill="1" applyBorder="1" applyAlignment="1" applyProtection="1">
      <alignment horizontal="right"/>
      <protection locked="0"/>
    </xf>
    <xf numFmtId="173" fontId="6" fillId="22" borderId="84" xfId="2" applyNumberFormat="1" applyFont="1" applyFill="1" applyBorder="1" applyAlignment="1" applyProtection="1">
      <alignment horizontal="right"/>
      <protection locked="0"/>
    </xf>
    <xf numFmtId="173" fontId="6" fillId="19" borderId="83" xfId="2" applyNumberFormat="1" applyFont="1" applyFill="1" applyBorder="1" applyAlignment="1">
      <alignment horizontal="right"/>
    </xf>
    <xf numFmtId="173" fontId="6" fillId="19" borderId="324" xfId="2" applyNumberFormat="1" applyFont="1" applyFill="1" applyBorder="1" applyAlignment="1">
      <alignment horizontal="right"/>
    </xf>
    <xf numFmtId="173" fontId="6" fillId="11" borderId="325" xfId="2" applyNumberFormat="1" applyFont="1" applyFill="1" applyBorder="1" applyAlignment="1">
      <alignment horizontal="right"/>
    </xf>
    <xf numFmtId="173" fontId="6" fillId="11" borderId="84" xfId="2" applyNumberFormat="1" applyFont="1" applyFill="1" applyBorder="1" applyAlignment="1">
      <alignment horizontal="right"/>
    </xf>
    <xf numFmtId="173" fontId="58" fillId="0" borderId="0" xfId="2" applyNumberFormat="1" applyFont="1" applyAlignment="1">
      <alignment horizontal="right"/>
    </xf>
    <xf numFmtId="173" fontId="51" fillId="3" borderId="28" xfId="2" applyNumberFormat="1" applyFont="1" applyFill="1" applyBorder="1" applyAlignment="1">
      <alignment horizontal="right"/>
    </xf>
    <xf numFmtId="173" fontId="77" fillId="21" borderId="28" xfId="2" applyNumberFormat="1" applyFont="1" applyFill="1" applyBorder="1" applyAlignment="1">
      <alignment horizontal="right"/>
    </xf>
    <xf numFmtId="173" fontId="6" fillId="0" borderId="0" xfId="2" applyNumberFormat="1" applyFont="1" applyAlignment="1">
      <alignment horizontal="right"/>
    </xf>
    <xf numFmtId="173" fontId="6" fillId="0" borderId="77" xfId="2" applyNumberFormat="1" applyFont="1" applyBorder="1" applyAlignment="1" applyProtection="1">
      <alignment horizontal="right"/>
      <protection locked="0"/>
    </xf>
    <xf numFmtId="173" fontId="6" fillId="0" borderId="78" xfId="2" applyNumberFormat="1" applyFont="1" applyBorder="1" applyAlignment="1" applyProtection="1">
      <alignment horizontal="right"/>
      <protection locked="0"/>
    </xf>
    <xf numFmtId="173" fontId="6" fillId="22" borderId="77" xfId="2" applyNumberFormat="1" applyFont="1" applyFill="1" applyBorder="1" applyAlignment="1" applyProtection="1">
      <alignment horizontal="right"/>
      <protection locked="0"/>
    </xf>
    <xf numFmtId="173" fontId="6" fillId="22" borderId="78" xfId="2" applyNumberFormat="1" applyFont="1" applyFill="1" applyBorder="1" applyAlignment="1" applyProtection="1">
      <alignment horizontal="right"/>
      <protection locked="0"/>
    </xf>
    <xf numFmtId="173" fontId="6" fillId="19" borderId="77" xfId="2" applyNumberFormat="1" applyFont="1" applyFill="1" applyBorder="1" applyAlignment="1">
      <alignment horizontal="right"/>
    </xf>
    <xf numFmtId="173" fontId="6" fillId="19" borderId="326" xfId="2" applyNumberFormat="1" applyFont="1" applyFill="1" applyBorder="1" applyAlignment="1">
      <alignment horizontal="right"/>
    </xf>
    <xf numFmtId="173" fontId="6" fillId="11" borderId="327" xfId="2" applyNumberFormat="1" applyFont="1" applyFill="1" applyBorder="1" applyAlignment="1">
      <alignment horizontal="right"/>
    </xf>
    <xf numFmtId="173" fontId="6" fillId="11" borderId="78" xfId="2" applyNumberFormat="1" applyFont="1" applyFill="1" applyBorder="1" applyAlignment="1">
      <alignment horizontal="right"/>
    </xf>
    <xf numFmtId="173" fontId="51" fillId="3" borderId="37" xfId="2" applyNumberFormat="1" applyFont="1" applyFill="1" applyBorder="1" applyAlignment="1">
      <alignment horizontal="right"/>
    </xf>
    <xf numFmtId="173" fontId="12" fillId="0" borderId="0" xfId="2" applyNumberFormat="1" applyAlignment="1">
      <alignment horizontal="right"/>
    </xf>
    <xf numFmtId="173" fontId="77" fillId="21" borderId="37" xfId="2" applyNumberFormat="1" applyFont="1" applyFill="1" applyBorder="1" applyAlignment="1">
      <alignment horizontal="right"/>
    </xf>
    <xf numFmtId="173" fontId="6" fillId="0" borderId="6" xfId="2" applyNumberFormat="1" applyFont="1" applyBorder="1" applyAlignment="1" applyProtection="1">
      <alignment horizontal="right"/>
      <protection locked="0"/>
    </xf>
    <xf numFmtId="173" fontId="6" fillId="22" borderId="6" xfId="2" applyNumberFormat="1" applyFont="1" applyFill="1" applyBorder="1" applyAlignment="1" applyProtection="1">
      <alignment horizontal="right"/>
      <protection locked="0"/>
    </xf>
    <xf numFmtId="173" fontId="6" fillId="19" borderId="6" xfId="2" applyNumberFormat="1" applyFont="1" applyFill="1" applyBorder="1" applyAlignment="1">
      <alignment horizontal="right"/>
    </xf>
    <xf numFmtId="173" fontId="6" fillId="11" borderId="6" xfId="2" applyNumberFormat="1" applyFont="1" applyFill="1" applyBorder="1" applyAlignment="1">
      <alignment horizontal="right"/>
    </xf>
    <xf numFmtId="173" fontId="51" fillId="3" borderId="35" xfId="2" applyNumberFormat="1" applyFont="1" applyFill="1" applyBorder="1" applyAlignment="1">
      <alignment horizontal="right"/>
    </xf>
    <xf numFmtId="173" fontId="77" fillId="21" borderId="35" xfId="2" applyNumberFormat="1" applyFont="1" applyFill="1" applyBorder="1" applyAlignment="1">
      <alignment horizontal="right"/>
    </xf>
    <xf numFmtId="0" fontId="14" fillId="3" borderId="29" xfId="2" applyFont="1" applyFill="1" applyBorder="1" applyAlignment="1">
      <alignment horizontal="left" indent="1"/>
    </xf>
    <xf numFmtId="9" fontId="49" fillId="10" borderId="6" xfId="8" applyFont="1" applyFill="1" applyBorder="1" applyAlignment="1">
      <alignment horizontal="center"/>
    </xf>
    <xf numFmtId="173" fontId="6" fillId="0" borderId="240" xfId="2" applyNumberFormat="1" applyFont="1" applyBorder="1" applyAlignment="1" applyProtection="1">
      <alignment horizontal="right"/>
      <protection locked="0"/>
    </xf>
    <xf numFmtId="173" fontId="6" fillId="22" borderId="240" xfId="2" applyNumberFormat="1" applyFont="1" applyFill="1" applyBorder="1" applyAlignment="1" applyProtection="1">
      <alignment horizontal="right"/>
      <protection locked="0"/>
    </xf>
    <xf numFmtId="173" fontId="6" fillId="19" borderId="240" xfId="2" applyNumberFormat="1" applyFont="1" applyFill="1" applyBorder="1" applyAlignment="1">
      <alignment horizontal="right"/>
    </xf>
    <xf numFmtId="173" fontId="6" fillId="11" borderId="240" xfId="2" applyNumberFormat="1" applyFont="1" applyFill="1" applyBorder="1" applyAlignment="1">
      <alignment horizontal="right"/>
    </xf>
    <xf numFmtId="173" fontId="6" fillId="0" borderId="148" xfId="2" applyNumberFormat="1" applyFont="1" applyBorder="1" applyAlignment="1" applyProtection="1">
      <alignment horizontal="right"/>
      <protection locked="0"/>
    </xf>
    <xf numFmtId="173" fontId="6" fillId="22" borderId="148" xfId="2" applyNumberFormat="1" applyFont="1" applyFill="1" applyBorder="1" applyAlignment="1" applyProtection="1">
      <alignment horizontal="right"/>
      <protection locked="0"/>
    </xf>
    <xf numFmtId="173" fontId="6" fillId="19" borderId="148" xfId="2" applyNumberFormat="1" applyFont="1" applyFill="1" applyBorder="1" applyAlignment="1">
      <alignment horizontal="right"/>
    </xf>
    <xf numFmtId="173" fontId="6" fillId="11" borderId="148" xfId="2" applyNumberFormat="1" applyFont="1" applyFill="1" applyBorder="1" applyAlignment="1">
      <alignment horizontal="right"/>
    </xf>
    <xf numFmtId="173" fontId="6" fillId="0" borderId="237" xfId="2" applyNumberFormat="1" applyFont="1" applyBorder="1" applyAlignment="1" applyProtection="1">
      <alignment horizontal="right"/>
      <protection locked="0"/>
    </xf>
    <xf numFmtId="173" fontId="6" fillId="11" borderId="328" xfId="2" applyNumberFormat="1" applyFont="1" applyFill="1" applyBorder="1" applyAlignment="1">
      <alignment horizontal="right"/>
    </xf>
    <xf numFmtId="173" fontId="6" fillId="0" borderId="238" xfId="2" applyNumberFormat="1" applyFont="1" applyBorder="1" applyAlignment="1" applyProtection="1">
      <alignment horizontal="right"/>
      <protection locked="0"/>
    </xf>
    <xf numFmtId="173" fontId="6" fillId="22" borderId="241" xfId="2" applyNumberFormat="1" applyFont="1" applyFill="1" applyBorder="1" applyAlignment="1" applyProtection="1">
      <alignment horizontal="right"/>
      <protection locked="0"/>
    </xf>
    <xf numFmtId="173" fontId="6" fillId="19" borderId="241" xfId="2" applyNumberFormat="1" applyFont="1" applyFill="1" applyBorder="1" applyAlignment="1">
      <alignment horizontal="right"/>
    </xf>
    <xf numFmtId="173" fontId="6" fillId="11" borderId="329" xfId="2" applyNumberFormat="1" applyFont="1" applyFill="1" applyBorder="1" applyAlignment="1">
      <alignment horizontal="right"/>
    </xf>
    <xf numFmtId="173" fontId="6" fillId="0" borderId="239" xfId="2" applyNumberFormat="1" applyFont="1" applyBorder="1" applyAlignment="1" applyProtection="1">
      <alignment horizontal="right"/>
      <protection locked="0"/>
    </xf>
    <xf numFmtId="173" fontId="6" fillId="0" borderId="0" xfId="2" applyNumberFormat="1" applyFont="1" applyAlignment="1" applyProtection="1">
      <alignment horizontal="right"/>
      <protection locked="0"/>
    </xf>
    <xf numFmtId="173" fontId="6" fillId="22" borderId="242" xfId="2" applyNumberFormat="1" applyFont="1" applyFill="1" applyBorder="1" applyAlignment="1" applyProtection="1">
      <alignment horizontal="right"/>
      <protection locked="0"/>
    </xf>
    <xf numFmtId="173" fontId="6" fillId="19" borderId="242" xfId="2" applyNumberFormat="1" applyFont="1" applyFill="1" applyBorder="1" applyAlignment="1">
      <alignment horizontal="right"/>
    </xf>
    <xf numFmtId="173" fontId="6" fillId="11" borderId="330" xfId="2" applyNumberFormat="1" applyFont="1" applyFill="1" applyBorder="1" applyAlignment="1">
      <alignment horizontal="right"/>
    </xf>
    <xf numFmtId="0" fontId="51" fillId="3" borderId="28" xfId="2" applyFont="1" applyFill="1" applyBorder="1" applyAlignment="1">
      <alignment horizontal="left" indent="2"/>
    </xf>
    <xf numFmtId="173" fontId="6" fillId="19" borderId="77" xfId="2" applyNumberFormat="1" applyFont="1" applyFill="1" applyBorder="1" applyAlignment="1" applyProtection="1">
      <alignment horizontal="right"/>
      <protection locked="0"/>
    </xf>
    <xf numFmtId="173" fontId="6" fillId="19" borderId="299" xfId="2" applyNumberFormat="1" applyFont="1" applyFill="1" applyBorder="1" applyAlignment="1">
      <alignment horizontal="right"/>
    </xf>
    <xf numFmtId="173" fontId="6" fillId="11" borderId="77" xfId="2" applyNumberFormat="1" applyFont="1" applyFill="1" applyBorder="1" applyAlignment="1">
      <alignment horizontal="right"/>
    </xf>
    <xf numFmtId="0" fontId="12" fillId="11" borderId="0" xfId="2" applyFill="1"/>
    <xf numFmtId="0" fontId="12" fillId="0" borderId="331" xfId="2" applyBorder="1"/>
    <xf numFmtId="173" fontId="83" fillId="11" borderId="336" xfId="2" applyNumberFormat="1" applyFont="1" applyFill="1" applyBorder="1" applyAlignment="1">
      <alignment horizontal="right"/>
    </xf>
    <xf numFmtId="173" fontId="83" fillId="11" borderId="80" xfId="2" applyNumberFormat="1" applyFont="1" applyFill="1" applyBorder="1" applyAlignment="1">
      <alignment horizontal="right"/>
    </xf>
    <xf numFmtId="0" fontId="58" fillId="0" borderId="136" xfId="2" applyFont="1" applyBorder="1"/>
    <xf numFmtId="0" fontId="58" fillId="0" borderId="137" xfId="2" applyFont="1" applyBorder="1"/>
    <xf numFmtId="0" fontId="58" fillId="0" borderId="137" xfId="2" applyFont="1" applyBorder="1" applyAlignment="1">
      <alignment horizontal="left"/>
    </xf>
    <xf numFmtId="0" fontId="238" fillId="0" borderId="136" xfId="2" applyFont="1" applyBorder="1" applyAlignment="1">
      <alignment horizontal="left"/>
    </xf>
    <xf numFmtId="0" fontId="238" fillId="0" borderId="138" xfId="2" applyFont="1" applyBorder="1" applyAlignment="1">
      <alignment horizontal="center"/>
    </xf>
    <xf numFmtId="0" fontId="239" fillId="0" borderId="139" xfId="2" applyFont="1" applyBorder="1" applyAlignment="1">
      <alignment horizontal="center"/>
    </xf>
    <xf numFmtId="0" fontId="239" fillId="0" borderId="0" xfId="2" applyFont="1" applyAlignment="1">
      <alignment horizontal="center"/>
    </xf>
    <xf numFmtId="0" fontId="239" fillId="0" borderId="0" xfId="2" applyFont="1" applyAlignment="1">
      <alignment horizontal="left"/>
    </xf>
    <xf numFmtId="0" fontId="209" fillId="0" borderId="141" xfId="2" applyFont="1" applyBorder="1" applyAlignment="1">
      <alignment horizontal="center"/>
    </xf>
    <xf numFmtId="0" fontId="238" fillId="0" borderId="143" xfId="2" applyFont="1" applyBorder="1" applyAlignment="1">
      <alignment horizontal="center"/>
    </xf>
    <xf numFmtId="0" fontId="58" fillId="0" borderId="139" xfId="2" applyFont="1" applyBorder="1"/>
    <xf numFmtId="173" fontId="58" fillId="0" borderId="0" xfId="2" applyNumberFormat="1" applyFont="1"/>
    <xf numFmtId="0" fontId="58" fillId="0" borderId="140" xfId="2" applyFont="1" applyBorder="1"/>
    <xf numFmtId="0" fontId="58" fillId="9" borderId="0" xfId="2" applyFont="1" applyFill="1"/>
    <xf numFmtId="0" fontId="238" fillId="9" borderId="0" xfId="2" applyFont="1" applyFill="1"/>
    <xf numFmtId="0" fontId="58" fillId="0" borderId="141" xfId="2" applyFont="1" applyBorder="1"/>
    <xf numFmtId="0" fontId="58" fillId="0" borderId="142" xfId="2" applyFont="1" applyBorder="1"/>
    <xf numFmtId="0" fontId="58" fillId="0" borderId="143" xfId="2" applyFont="1" applyBorder="1"/>
    <xf numFmtId="0" fontId="86" fillId="0" borderId="0" xfId="2" applyFont="1"/>
    <xf numFmtId="0" fontId="14" fillId="20" borderId="28" xfId="2" applyFont="1" applyFill="1" applyBorder="1" applyAlignment="1">
      <alignment horizontal="center"/>
    </xf>
    <xf numFmtId="9" fontId="86" fillId="33" borderId="26" xfId="2" applyNumberFormat="1" applyFont="1" applyFill="1" applyBorder="1"/>
    <xf numFmtId="173" fontId="84" fillId="0" borderId="79" xfId="2" applyNumberFormat="1" applyFont="1" applyBorder="1" applyAlignment="1">
      <alignment horizontal="right"/>
    </xf>
    <xf numFmtId="173" fontId="84" fillId="0" borderId="80" xfId="2" applyNumberFormat="1" applyFont="1" applyBorder="1" applyAlignment="1">
      <alignment horizontal="right"/>
    </xf>
    <xf numFmtId="173" fontId="84" fillId="22" borderId="79" xfId="2" applyNumberFormat="1" applyFont="1" applyFill="1" applyBorder="1" applyAlignment="1" applyProtection="1">
      <alignment horizontal="right"/>
      <protection locked="0"/>
    </xf>
    <xf numFmtId="173" fontId="84" fillId="22" borderId="80" xfId="2" applyNumberFormat="1" applyFont="1" applyFill="1" applyBorder="1" applyAlignment="1" applyProtection="1">
      <alignment horizontal="right"/>
      <protection locked="0"/>
    </xf>
    <xf numFmtId="173" fontId="84" fillId="5" borderId="79" xfId="2" applyNumberFormat="1" applyFont="1" applyFill="1" applyBorder="1" applyAlignment="1">
      <alignment horizontal="right"/>
    </xf>
    <xf numFmtId="173" fontId="84" fillId="5" borderId="80" xfId="2" applyNumberFormat="1" applyFont="1" applyFill="1" applyBorder="1" applyAlignment="1">
      <alignment horizontal="right"/>
    </xf>
    <xf numFmtId="168" fontId="84" fillId="5" borderId="80" xfId="6" applyFont="1" applyFill="1" applyBorder="1" applyAlignment="1">
      <alignment horizontal="right"/>
    </xf>
    <xf numFmtId="9" fontId="86" fillId="33" borderId="31" xfId="2" applyNumberFormat="1" applyFont="1" applyFill="1" applyBorder="1"/>
    <xf numFmtId="173" fontId="84" fillId="0" borderId="75" xfId="2" applyNumberFormat="1" applyFont="1" applyBorder="1" applyAlignment="1">
      <alignment horizontal="right"/>
    </xf>
    <xf numFmtId="173" fontId="84" fillId="0" borderId="76" xfId="2" applyNumberFormat="1" applyFont="1" applyBorder="1" applyAlignment="1">
      <alignment horizontal="right"/>
    </xf>
    <xf numFmtId="173" fontId="84" fillId="22" borderId="75" xfId="2" applyNumberFormat="1" applyFont="1" applyFill="1" applyBorder="1" applyAlignment="1" applyProtection="1">
      <alignment horizontal="right"/>
      <protection locked="0"/>
    </xf>
    <xf numFmtId="173" fontId="84" fillId="22" borderId="76" xfId="2" applyNumberFormat="1" applyFont="1" applyFill="1" applyBorder="1" applyAlignment="1" applyProtection="1">
      <alignment horizontal="right"/>
      <protection locked="0"/>
    </xf>
    <xf numFmtId="173" fontId="84" fillId="5" borderId="75" xfId="2" applyNumberFormat="1" applyFont="1" applyFill="1" applyBorder="1" applyAlignment="1">
      <alignment horizontal="right"/>
    </xf>
    <xf numFmtId="173" fontId="84" fillId="5" borderId="76" xfId="2" applyNumberFormat="1" applyFont="1" applyFill="1" applyBorder="1" applyAlignment="1">
      <alignment horizontal="right"/>
    </xf>
    <xf numFmtId="168" fontId="84" fillId="5" borderId="76" xfId="6" applyFont="1" applyFill="1" applyBorder="1" applyAlignment="1">
      <alignment horizontal="right"/>
    </xf>
    <xf numFmtId="9" fontId="86" fillId="33" borderId="22" xfId="2" applyNumberFormat="1" applyFont="1" applyFill="1" applyBorder="1"/>
    <xf numFmtId="173" fontId="58" fillId="0" borderId="81" xfId="2" applyNumberFormat="1" applyFont="1" applyBorder="1" applyAlignment="1">
      <alignment horizontal="right"/>
    </xf>
    <xf numFmtId="173" fontId="58" fillId="0" borderId="82" xfId="2" applyNumberFormat="1" applyFont="1" applyBorder="1" applyAlignment="1">
      <alignment horizontal="right"/>
    </xf>
    <xf numFmtId="173" fontId="58" fillId="22" borderId="81" xfId="2" applyNumberFormat="1" applyFont="1" applyFill="1" applyBorder="1" applyAlignment="1" applyProtection="1">
      <alignment horizontal="right"/>
      <protection locked="0"/>
    </xf>
    <xf numFmtId="173" fontId="58" fillId="22" borderId="82" xfId="2" applyNumberFormat="1" applyFont="1" applyFill="1" applyBorder="1" applyAlignment="1" applyProtection="1">
      <alignment horizontal="right"/>
      <protection locked="0"/>
    </xf>
    <xf numFmtId="173" fontId="58" fillId="5" borderId="81" xfId="2" applyNumberFormat="1" applyFont="1" applyFill="1" applyBorder="1" applyAlignment="1">
      <alignment horizontal="right"/>
    </xf>
    <xf numFmtId="173" fontId="58" fillId="5" borderId="82" xfId="2" applyNumberFormat="1" applyFont="1" applyFill="1" applyBorder="1" applyAlignment="1">
      <alignment horizontal="right"/>
    </xf>
    <xf numFmtId="168" fontId="58" fillId="5" borderId="82" xfId="6" applyFont="1" applyFill="1" applyBorder="1" applyAlignment="1">
      <alignment horizontal="right"/>
    </xf>
    <xf numFmtId="173" fontId="84" fillId="19" borderId="244" xfId="2" applyNumberFormat="1" applyFont="1" applyFill="1" applyBorder="1" applyAlignment="1">
      <alignment horizontal="right"/>
    </xf>
    <xf numFmtId="173" fontId="84" fillId="19" borderId="245" xfId="2" applyNumberFormat="1" applyFont="1" applyFill="1" applyBorder="1" applyAlignment="1">
      <alignment horizontal="right"/>
    </xf>
    <xf numFmtId="173" fontId="84" fillId="22" borderId="244" xfId="2" applyNumberFormat="1" applyFont="1" applyFill="1" applyBorder="1" applyAlignment="1" applyProtection="1">
      <alignment horizontal="right"/>
      <protection locked="0"/>
    </xf>
    <xf numFmtId="173" fontId="84" fillId="22" borderId="245" xfId="2" applyNumberFormat="1" applyFont="1" applyFill="1" applyBorder="1" applyAlignment="1" applyProtection="1">
      <alignment horizontal="right"/>
      <protection locked="0"/>
    </xf>
    <xf numFmtId="173" fontId="84" fillId="5" borderId="244" xfId="2" applyNumberFormat="1" applyFont="1" applyFill="1" applyBorder="1" applyAlignment="1">
      <alignment horizontal="right"/>
    </xf>
    <xf numFmtId="173" fontId="84" fillId="5" borderId="245" xfId="2" applyNumberFormat="1" applyFont="1" applyFill="1" applyBorder="1" applyAlignment="1">
      <alignment horizontal="right"/>
    </xf>
    <xf numFmtId="168" fontId="84" fillId="5" borderId="246" xfId="6" applyFont="1" applyFill="1" applyBorder="1" applyAlignment="1">
      <alignment horizontal="right"/>
    </xf>
    <xf numFmtId="173" fontId="84" fillId="19" borderId="75" xfId="2" applyNumberFormat="1" applyFont="1" applyFill="1" applyBorder="1" applyAlignment="1">
      <alignment horizontal="right"/>
    </xf>
    <xf numFmtId="173" fontId="84" fillId="19" borderId="76" xfId="2" applyNumberFormat="1" applyFont="1" applyFill="1" applyBorder="1" applyAlignment="1">
      <alignment horizontal="right"/>
    </xf>
    <xf numFmtId="168" fontId="84" fillId="5" borderId="247" xfId="6" applyFont="1" applyFill="1" applyBorder="1" applyAlignment="1">
      <alignment horizontal="right"/>
    </xf>
    <xf numFmtId="173" fontId="58" fillId="19" borderId="249" xfId="2" applyNumberFormat="1" applyFont="1" applyFill="1" applyBorder="1" applyAlignment="1">
      <alignment horizontal="right"/>
    </xf>
    <xf numFmtId="173" fontId="58" fillId="19" borderId="250" xfId="2" applyNumberFormat="1" applyFont="1" applyFill="1" applyBorder="1" applyAlignment="1">
      <alignment horizontal="right"/>
    </xf>
    <xf numFmtId="173" fontId="58" fillId="22" borderId="249" xfId="2" applyNumberFormat="1" applyFont="1" applyFill="1" applyBorder="1" applyAlignment="1" applyProtection="1">
      <alignment horizontal="right"/>
      <protection locked="0"/>
    </xf>
    <xf numFmtId="173" fontId="58" fillId="22" borderId="250" xfId="2" applyNumberFormat="1" applyFont="1" applyFill="1" applyBorder="1" applyAlignment="1" applyProtection="1">
      <alignment horizontal="right"/>
      <protection locked="0"/>
    </xf>
    <xf numFmtId="173" fontId="58" fillId="5" borderId="249" xfId="2" applyNumberFormat="1" applyFont="1" applyFill="1" applyBorder="1" applyAlignment="1">
      <alignment horizontal="right"/>
    </xf>
    <xf numFmtId="173" fontId="58" fillId="5" borderId="250" xfId="2" applyNumberFormat="1" applyFont="1" applyFill="1" applyBorder="1" applyAlignment="1">
      <alignment horizontal="right"/>
    </xf>
    <xf numFmtId="168" fontId="58" fillId="5" borderId="251" xfId="6" applyFont="1" applyFill="1" applyBorder="1" applyAlignment="1">
      <alignment horizontal="right"/>
    </xf>
    <xf numFmtId="173" fontId="58" fillId="0" borderId="253" xfId="2" applyNumberFormat="1" applyFont="1" applyBorder="1" applyAlignment="1">
      <alignment horizontal="right"/>
    </xf>
    <xf numFmtId="173" fontId="58" fillId="0" borderId="254" xfId="2" applyNumberFormat="1" applyFont="1" applyBorder="1" applyAlignment="1">
      <alignment horizontal="right"/>
    </xf>
    <xf numFmtId="173" fontId="58" fillId="22" borderId="253" xfId="2" applyNumberFormat="1" applyFont="1" applyFill="1" applyBorder="1" applyAlignment="1" applyProtection="1">
      <alignment horizontal="right"/>
      <protection locked="0"/>
    </xf>
    <xf numFmtId="173" fontId="58" fillId="22" borderId="254" xfId="2" applyNumberFormat="1" applyFont="1" applyFill="1" applyBorder="1" applyAlignment="1" applyProtection="1">
      <alignment horizontal="right"/>
      <protection locked="0"/>
    </xf>
    <xf numFmtId="173" fontId="58" fillId="5" borderId="253" xfId="2" applyNumberFormat="1" applyFont="1" applyFill="1" applyBorder="1" applyAlignment="1">
      <alignment horizontal="right"/>
    </xf>
    <xf numFmtId="173" fontId="58" fillId="5" borderId="254" xfId="2" applyNumberFormat="1" applyFont="1" applyFill="1" applyBorder="1" applyAlignment="1">
      <alignment horizontal="right"/>
    </xf>
    <xf numFmtId="168" fontId="58" fillId="33" borderId="255" xfId="6" applyFont="1" applyFill="1" applyBorder="1" applyAlignment="1">
      <alignment horizontal="right"/>
    </xf>
    <xf numFmtId="173" fontId="58" fillId="0" borderId="231" xfId="2" applyNumberFormat="1" applyFont="1" applyBorder="1" applyAlignment="1">
      <alignment horizontal="right"/>
    </xf>
    <xf numFmtId="173" fontId="58" fillId="0" borderId="232" xfId="2" applyNumberFormat="1" applyFont="1" applyBorder="1" applyAlignment="1">
      <alignment horizontal="right"/>
    </xf>
    <xf numFmtId="173" fontId="58" fillId="22" borderId="231" xfId="2" applyNumberFormat="1" applyFont="1" applyFill="1" applyBorder="1" applyAlignment="1" applyProtection="1">
      <alignment horizontal="right"/>
      <protection locked="0"/>
    </xf>
    <xf numFmtId="173" fontId="58" fillId="22" borderId="232" xfId="2" applyNumberFormat="1" applyFont="1" applyFill="1" applyBorder="1" applyAlignment="1" applyProtection="1">
      <alignment horizontal="right"/>
      <protection locked="0"/>
    </xf>
    <xf numFmtId="173" fontId="58" fillId="5" borderId="231" xfId="2" applyNumberFormat="1" applyFont="1" applyFill="1" applyBorder="1" applyAlignment="1">
      <alignment horizontal="right"/>
    </xf>
    <xf numFmtId="173" fontId="58" fillId="5" borderId="232" xfId="2" applyNumberFormat="1" applyFont="1" applyFill="1" applyBorder="1" applyAlignment="1">
      <alignment horizontal="right"/>
    </xf>
    <xf numFmtId="168" fontId="58" fillId="33" borderId="232" xfId="6" applyFont="1" applyFill="1" applyBorder="1" applyAlignment="1">
      <alignment horizontal="right"/>
    </xf>
    <xf numFmtId="10" fontId="6" fillId="0" borderId="35" xfId="2" applyNumberFormat="1" applyFont="1" applyBorder="1" applyProtection="1">
      <protection locked="0"/>
    </xf>
    <xf numFmtId="173" fontId="58" fillId="0" borderId="244" xfId="2" applyNumberFormat="1" applyFont="1" applyBorder="1" applyAlignment="1">
      <alignment horizontal="right"/>
    </xf>
    <xf numFmtId="173" fontId="58" fillId="0" borderId="245" xfId="2" applyNumberFormat="1" applyFont="1" applyBorder="1" applyAlignment="1">
      <alignment horizontal="right"/>
    </xf>
    <xf numFmtId="173" fontId="58" fillId="22" borderId="244" xfId="2" applyNumberFormat="1" applyFont="1" applyFill="1" applyBorder="1" applyAlignment="1" applyProtection="1">
      <alignment horizontal="right"/>
      <protection locked="0"/>
    </xf>
    <xf numFmtId="173" fontId="58" fillId="22" borderId="245" xfId="2" applyNumberFormat="1" applyFont="1" applyFill="1" applyBorder="1" applyAlignment="1" applyProtection="1">
      <alignment horizontal="right"/>
      <protection locked="0"/>
    </xf>
    <xf numFmtId="173" fontId="58" fillId="5" borderId="244" xfId="2" applyNumberFormat="1" applyFont="1" applyFill="1" applyBorder="1" applyAlignment="1">
      <alignment horizontal="right"/>
    </xf>
    <xf numFmtId="173" fontId="58" fillId="5" borderId="245" xfId="2" applyNumberFormat="1" applyFont="1" applyFill="1" applyBorder="1" applyAlignment="1">
      <alignment horizontal="right"/>
    </xf>
    <xf numFmtId="168" fontId="58" fillId="5" borderId="259" xfId="6" applyFont="1" applyFill="1" applyBorder="1" applyAlignment="1">
      <alignment horizontal="right"/>
    </xf>
    <xf numFmtId="173" fontId="58" fillId="0" borderId="75" xfId="2" applyNumberFormat="1" applyFont="1" applyBorder="1" applyAlignment="1">
      <alignment horizontal="right"/>
    </xf>
    <xf numFmtId="173" fontId="58" fillId="0" borderId="76" xfId="2" applyNumberFormat="1" applyFont="1" applyBorder="1" applyAlignment="1">
      <alignment horizontal="right"/>
    </xf>
    <xf numFmtId="173" fontId="58" fillId="22" borderId="75" xfId="2" applyNumberFormat="1" applyFont="1" applyFill="1" applyBorder="1" applyAlignment="1" applyProtection="1">
      <alignment horizontal="right"/>
      <protection locked="0"/>
    </xf>
    <xf numFmtId="173" fontId="58" fillId="22" borderId="76" xfId="2" applyNumberFormat="1" applyFont="1" applyFill="1" applyBorder="1" applyAlignment="1" applyProtection="1">
      <alignment horizontal="right"/>
      <protection locked="0"/>
    </xf>
    <xf numFmtId="173" fontId="58" fillId="5" borderId="75" xfId="2" applyNumberFormat="1" applyFont="1" applyFill="1" applyBorder="1" applyAlignment="1">
      <alignment horizontal="right"/>
    </xf>
    <xf numFmtId="173" fontId="58" fillId="5" borderId="76" xfId="2" applyNumberFormat="1" applyFont="1" applyFill="1" applyBorder="1" applyAlignment="1">
      <alignment horizontal="right"/>
    </xf>
    <xf numFmtId="168" fontId="58" fillId="5" borderId="261" xfId="6" applyFont="1" applyFill="1" applyBorder="1" applyAlignment="1">
      <alignment horizontal="right"/>
    </xf>
    <xf numFmtId="9" fontId="49" fillId="33" borderId="263" xfId="8" applyFont="1" applyFill="1" applyBorder="1"/>
    <xf numFmtId="173" fontId="58" fillId="0" borderId="249" xfId="2" applyNumberFormat="1" applyFont="1" applyBorder="1" applyAlignment="1">
      <alignment horizontal="right"/>
    </xf>
    <xf numFmtId="173" fontId="58" fillId="0" borderId="250" xfId="2" applyNumberFormat="1" applyFont="1" applyBorder="1" applyAlignment="1">
      <alignment horizontal="right"/>
    </xf>
    <xf numFmtId="168" fontId="58" fillId="5" borderId="264" xfId="6" applyFont="1" applyFill="1" applyBorder="1" applyAlignment="1">
      <alignment horizontal="right"/>
    </xf>
    <xf numFmtId="173" fontId="58" fillId="0" borderId="256" xfId="2" applyNumberFormat="1" applyFont="1" applyBorder="1" applyAlignment="1">
      <alignment horizontal="right"/>
    </xf>
    <xf numFmtId="173" fontId="58" fillId="0" borderId="257" xfId="2" applyNumberFormat="1" applyFont="1" applyBorder="1" applyAlignment="1">
      <alignment horizontal="right"/>
    </xf>
    <xf numFmtId="173" fontId="58" fillId="22" borderId="256" xfId="2" applyNumberFormat="1" applyFont="1" applyFill="1" applyBorder="1" applyAlignment="1" applyProtection="1">
      <alignment horizontal="right"/>
      <protection locked="0"/>
    </xf>
    <xf numFmtId="173" fontId="58" fillId="22" borderId="257" xfId="2" applyNumberFormat="1" applyFont="1" applyFill="1" applyBorder="1" applyAlignment="1" applyProtection="1">
      <alignment horizontal="right"/>
      <protection locked="0"/>
    </xf>
    <xf numFmtId="173" fontId="58" fillId="5" borderId="256" xfId="2" applyNumberFormat="1" applyFont="1" applyFill="1" applyBorder="1" applyAlignment="1">
      <alignment horizontal="right"/>
    </xf>
    <xf numFmtId="173" fontId="58" fillId="5" borderId="257" xfId="2" applyNumberFormat="1" applyFont="1" applyFill="1" applyBorder="1" applyAlignment="1">
      <alignment horizontal="right"/>
    </xf>
    <xf numFmtId="173" fontId="51" fillId="20" borderId="28" xfId="2" applyNumberFormat="1" applyFont="1" applyFill="1" applyBorder="1" applyAlignment="1">
      <alignment horizontal="right"/>
    </xf>
    <xf numFmtId="0" fontId="49" fillId="0" borderId="0" xfId="2" applyFont="1"/>
    <xf numFmtId="173" fontId="58" fillId="0" borderId="73" xfId="2" applyNumberFormat="1" applyFont="1" applyBorder="1" applyAlignment="1">
      <alignment horizontal="right"/>
    </xf>
    <xf numFmtId="173" fontId="58" fillId="0" borderId="74" xfId="2" applyNumberFormat="1" applyFont="1" applyBorder="1" applyAlignment="1">
      <alignment horizontal="right"/>
    </xf>
    <xf numFmtId="173" fontId="58" fillId="22" borderId="74" xfId="2" applyNumberFormat="1" applyFont="1" applyFill="1" applyBorder="1" applyAlignment="1" applyProtection="1">
      <alignment horizontal="right"/>
      <protection locked="0"/>
    </xf>
    <xf numFmtId="173" fontId="58" fillId="5" borderId="73" xfId="2" applyNumberFormat="1" applyFont="1" applyFill="1" applyBorder="1" applyAlignment="1">
      <alignment horizontal="right"/>
    </xf>
    <xf numFmtId="173" fontId="58" fillId="5" borderId="74" xfId="2" applyNumberFormat="1" applyFont="1" applyFill="1" applyBorder="1" applyAlignment="1">
      <alignment horizontal="right"/>
    </xf>
    <xf numFmtId="173" fontId="58" fillId="19" borderId="75" xfId="2" applyNumberFormat="1" applyFont="1" applyFill="1" applyBorder="1" applyAlignment="1">
      <alignment horizontal="right"/>
    </xf>
    <xf numFmtId="173" fontId="58" fillId="19" borderId="76" xfId="2" applyNumberFormat="1" applyFont="1" applyFill="1" applyBorder="1" applyAlignment="1">
      <alignment horizontal="right"/>
    </xf>
    <xf numFmtId="173" fontId="58" fillId="33" borderId="75" xfId="2" applyNumberFormat="1" applyFont="1" applyFill="1" applyBorder="1" applyAlignment="1">
      <alignment horizontal="right"/>
    </xf>
    <xf numFmtId="173" fontId="58" fillId="0" borderId="77" xfId="2" applyNumberFormat="1" applyFont="1" applyBorder="1" applyAlignment="1">
      <alignment horizontal="right"/>
    </xf>
    <xf numFmtId="173" fontId="58" fillId="0" borderId="78" xfId="2" applyNumberFormat="1" applyFont="1" applyBorder="1" applyAlignment="1">
      <alignment horizontal="right"/>
    </xf>
    <xf numFmtId="173" fontId="58" fillId="22" borderId="77" xfId="2" applyNumberFormat="1" applyFont="1" applyFill="1" applyBorder="1" applyAlignment="1" applyProtection="1">
      <alignment horizontal="right"/>
      <protection locked="0"/>
    </xf>
    <xf numFmtId="173" fontId="58" fillId="22" borderId="78" xfId="2" applyNumberFormat="1" applyFont="1" applyFill="1" applyBorder="1" applyAlignment="1" applyProtection="1">
      <alignment horizontal="right"/>
      <protection locked="0"/>
    </xf>
    <xf numFmtId="173" fontId="58" fillId="5" borderId="77" xfId="2" applyNumberFormat="1" applyFont="1" applyFill="1" applyBorder="1" applyAlignment="1">
      <alignment horizontal="right"/>
    </xf>
    <xf numFmtId="173" fontId="58" fillId="5" borderId="78" xfId="2" applyNumberFormat="1" applyFont="1" applyFill="1" applyBorder="1" applyAlignment="1">
      <alignment horizontal="right"/>
    </xf>
    <xf numFmtId="0" fontId="49" fillId="0" borderId="0" xfId="2" applyFont="1" applyAlignment="1">
      <alignment horizontal="left" indent="1"/>
    </xf>
    <xf numFmtId="173" fontId="49" fillId="0" borderId="0" xfId="2" applyNumberFormat="1" applyFont="1" applyAlignment="1">
      <alignment horizontal="right"/>
    </xf>
    <xf numFmtId="173" fontId="51" fillId="20" borderId="37" xfId="2" applyNumberFormat="1" applyFont="1" applyFill="1" applyBorder="1" applyAlignment="1">
      <alignment horizontal="right"/>
    </xf>
    <xf numFmtId="0" fontId="58" fillId="0" borderId="28" xfId="2" applyFont="1" applyBorder="1" applyAlignment="1">
      <alignment wrapText="1"/>
    </xf>
    <xf numFmtId="173" fontId="58" fillId="0" borderId="6" xfId="2" applyNumberFormat="1" applyFont="1" applyBorder="1" applyAlignment="1">
      <alignment horizontal="right"/>
    </xf>
    <xf numFmtId="173" fontId="58" fillId="22" borderId="6" xfId="2" applyNumberFormat="1" applyFont="1" applyFill="1" applyBorder="1" applyAlignment="1" applyProtection="1">
      <alignment horizontal="right"/>
      <protection locked="0"/>
    </xf>
    <xf numFmtId="173" fontId="58" fillId="5" borderId="6" xfId="2" applyNumberFormat="1" applyFont="1" applyFill="1" applyBorder="1" applyAlignment="1">
      <alignment horizontal="right"/>
    </xf>
    <xf numFmtId="173" fontId="51" fillId="20" borderId="35" xfId="2" applyNumberFormat="1" applyFont="1" applyFill="1" applyBorder="1" applyAlignment="1">
      <alignment horizontal="right"/>
    </xf>
    <xf numFmtId="173" fontId="58" fillId="0" borderId="240" xfId="2" applyNumberFormat="1" applyFont="1" applyBorder="1" applyAlignment="1">
      <alignment horizontal="right"/>
    </xf>
    <xf numFmtId="173" fontId="58" fillId="22" borderId="240" xfId="2" applyNumberFormat="1" applyFont="1" applyFill="1" applyBorder="1" applyAlignment="1" applyProtection="1">
      <alignment horizontal="right"/>
      <protection locked="0"/>
    </xf>
    <xf numFmtId="173" fontId="58" fillId="5" borderId="240" xfId="2" applyNumberFormat="1" applyFont="1" applyFill="1" applyBorder="1" applyAlignment="1">
      <alignment horizontal="right"/>
    </xf>
    <xf numFmtId="173" fontId="58" fillId="0" borderId="242" xfId="2" applyNumberFormat="1" applyFont="1" applyBorder="1" applyAlignment="1">
      <alignment horizontal="right"/>
    </xf>
    <xf numFmtId="173" fontId="58" fillId="22" borderId="242" xfId="2" applyNumberFormat="1" applyFont="1" applyFill="1" applyBorder="1" applyAlignment="1" applyProtection="1">
      <alignment horizontal="right"/>
      <protection locked="0"/>
    </xf>
    <xf numFmtId="173" fontId="58" fillId="5" borderId="242" xfId="2" applyNumberFormat="1" applyFont="1" applyFill="1" applyBorder="1" applyAlignment="1">
      <alignment horizontal="right"/>
    </xf>
    <xf numFmtId="173" fontId="58" fillId="0" borderId="241" xfId="2" applyNumberFormat="1" applyFont="1" applyBorder="1" applyAlignment="1">
      <alignment horizontal="right"/>
    </xf>
    <xf numFmtId="173" fontId="58" fillId="22" borderId="241" xfId="2" applyNumberFormat="1" applyFont="1" applyFill="1" applyBorder="1" applyAlignment="1" applyProtection="1">
      <alignment horizontal="right"/>
      <protection locked="0"/>
    </xf>
    <xf numFmtId="173" fontId="58" fillId="5" borderId="241" xfId="2" applyNumberFormat="1" applyFont="1" applyFill="1" applyBorder="1" applyAlignment="1">
      <alignment horizontal="right"/>
    </xf>
    <xf numFmtId="0" fontId="51" fillId="20" borderId="28" xfId="2" applyFont="1" applyFill="1" applyBorder="1" applyAlignment="1">
      <alignment horizontal="left" indent="2"/>
    </xf>
    <xf numFmtId="173" fontId="51" fillId="20" borderId="28" xfId="6" applyNumberFormat="1" applyFont="1" applyFill="1" applyBorder="1" applyAlignment="1">
      <alignment horizontal="right"/>
    </xf>
    <xf numFmtId="9" fontId="86" fillId="0" borderId="26" xfId="2" applyNumberFormat="1" applyFont="1" applyBorder="1"/>
    <xf numFmtId="168" fontId="84" fillId="5" borderId="71" xfId="6" applyFont="1" applyFill="1" applyBorder="1" applyAlignment="1">
      <alignment horizontal="right"/>
    </xf>
    <xf numFmtId="9" fontId="86" fillId="0" borderId="31" xfId="2" applyNumberFormat="1" applyFont="1" applyBorder="1"/>
    <xf numFmtId="168" fontId="84" fillId="5" borderId="206" xfId="6" applyFont="1" applyFill="1" applyBorder="1" applyAlignment="1">
      <alignment horizontal="right"/>
    </xf>
    <xf numFmtId="168" fontId="58" fillId="5" borderId="206" xfId="6" applyFont="1" applyFill="1" applyBorder="1" applyAlignment="1">
      <alignment horizontal="right"/>
    </xf>
    <xf numFmtId="173" fontId="84" fillId="19" borderId="79" xfId="2" applyNumberFormat="1" applyFont="1" applyFill="1" applyBorder="1" applyAlignment="1">
      <alignment horizontal="right"/>
    </xf>
    <xf numFmtId="173" fontId="84" fillId="19" borderId="80" xfId="2" applyNumberFormat="1" applyFont="1" applyFill="1" applyBorder="1" applyAlignment="1">
      <alignment horizontal="right"/>
    </xf>
    <xf numFmtId="168" fontId="84" fillId="5" borderId="70" xfId="6" applyFont="1" applyFill="1" applyBorder="1" applyAlignment="1">
      <alignment horizontal="right"/>
    </xf>
    <xf numFmtId="173" fontId="58" fillId="19" borderId="81" xfId="2" applyNumberFormat="1" applyFont="1" applyFill="1" applyBorder="1" applyAlignment="1">
      <alignment horizontal="right"/>
    </xf>
    <xf numFmtId="173" fontId="58" fillId="19" borderId="82" xfId="2" applyNumberFormat="1" applyFont="1" applyFill="1" applyBorder="1" applyAlignment="1">
      <alignment horizontal="right"/>
    </xf>
    <xf numFmtId="173" fontId="58" fillId="0" borderId="275" xfId="2" applyNumberFormat="1" applyFont="1" applyBorder="1" applyAlignment="1">
      <alignment horizontal="right"/>
    </xf>
    <xf numFmtId="173" fontId="58" fillId="0" borderId="255" xfId="2" applyNumberFormat="1" applyFont="1" applyBorder="1" applyAlignment="1">
      <alignment horizontal="right"/>
    </xf>
    <xf numFmtId="173" fontId="58" fillId="22" borderId="273" xfId="2" applyNumberFormat="1" applyFont="1" applyFill="1" applyBorder="1" applyAlignment="1" applyProtection="1">
      <alignment horizontal="right"/>
      <protection locked="0"/>
    </xf>
    <xf numFmtId="173" fontId="58" fillId="33" borderId="83" xfId="2" applyNumberFormat="1" applyFont="1" applyFill="1" applyBorder="1" applyAlignment="1">
      <alignment horizontal="right"/>
    </xf>
    <xf numFmtId="173" fontId="58" fillId="0" borderId="84" xfId="2" applyNumberFormat="1" applyFont="1" applyBorder="1" applyAlignment="1">
      <alignment horizontal="right"/>
    </xf>
    <xf numFmtId="173" fontId="58" fillId="0" borderId="83" xfId="2" applyNumberFormat="1" applyFont="1" applyBorder="1" applyAlignment="1">
      <alignment horizontal="right"/>
    </xf>
    <xf numFmtId="10" fontId="6" fillId="0" borderId="6" xfId="2" applyNumberFormat="1" applyFont="1" applyBorder="1" applyProtection="1">
      <protection locked="0"/>
    </xf>
    <xf numFmtId="173" fontId="58" fillId="0" borderId="276" xfId="2" applyNumberFormat="1" applyFont="1" applyBorder="1" applyAlignment="1">
      <alignment horizontal="right"/>
    </xf>
    <xf numFmtId="173" fontId="58" fillId="22" borderId="73" xfId="2" applyNumberFormat="1" applyFont="1" applyFill="1" applyBorder="1" applyAlignment="1" applyProtection="1">
      <alignment horizontal="right"/>
      <protection locked="0"/>
    </xf>
    <xf numFmtId="168" fontId="58" fillId="5" borderId="71" xfId="6" applyFont="1" applyFill="1" applyBorder="1" applyAlignment="1">
      <alignment horizontal="right"/>
    </xf>
    <xf numFmtId="168" fontId="58" fillId="5" borderId="274" xfId="6" applyFont="1" applyFill="1" applyBorder="1" applyAlignment="1">
      <alignment horizontal="right"/>
    </xf>
    <xf numFmtId="173" fontId="58" fillId="22" borderId="83" xfId="2" applyNumberFormat="1" applyFont="1" applyFill="1" applyBorder="1" applyAlignment="1" applyProtection="1">
      <alignment horizontal="right"/>
      <protection locked="0"/>
    </xf>
    <xf numFmtId="173" fontId="58" fillId="22" borderId="84" xfId="2" applyNumberFormat="1" applyFont="1" applyFill="1" applyBorder="1" applyAlignment="1" applyProtection="1">
      <alignment horizontal="right"/>
      <protection locked="0"/>
    </xf>
    <xf numFmtId="173" fontId="58" fillId="5" borderId="83" xfId="2" applyNumberFormat="1" applyFont="1" applyFill="1" applyBorder="1" applyAlignment="1">
      <alignment horizontal="right"/>
    </xf>
    <xf numFmtId="173" fontId="58" fillId="5" borderId="84" xfId="2" applyNumberFormat="1" applyFont="1" applyFill="1" applyBorder="1" applyAlignment="1">
      <alignment horizontal="right"/>
    </xf>
    <xf numFmtId="173" fontId="58" fillId="33" borderId="76" xfId="2" applyNumberFormat="1" applyFont="1" applyFill="1" applyBorder="1" applyAlignment="1">
      <alignment horizontal="right"/>
    </xf>
    <xf numFmtId="0" fontId="14" fillId="3" borderId="29" xfId="2" applyFont="1" applyFill="1" applyBorder="1" applyAlignment="1">
      <alignment horizontal="left" vertical="center" indent="1"/>
    </xf>
    <xf numFmtId="0" fontId="14" fillId="3" borderId="0" xfId="2" applyFont="1" applyFill="1" applyAlignment="1">
      <alignment horizontal="left" vertical="center" indent="1"/>
    </xf>
    <xf numFmtId="0" fontId="70" fillId="0" borderId="0" xfId="2" applyFont="1" applyAlignment="1">
      <alignment horizontal="left" indent="1"/>
    </xf>
    <xf numFmtId="0" fontId="64" fillId="0" borderId="0" xfId="2" applyFont="1"/>
    <xf numFmtId="0" fontId="58" fillId="0" borderId="278" xfId="2" applyFont="1" applyBorder="1"/>
    <xf numFmtId="168" fontId="0" fillId="0" borderId="278" xfId="6" applyFont="1" applyBorder="1" applyProtection="1">
      <protection locked="0"/>
    </xf>
    <xf numFmtId="168" fontId="0" fillId="0" borderId="279" xfId="6" applyFont="1" applyBorder="1" applyProtection="1">
      <protection locked="0"/>
    </xf>
    <xf numFmtId="168" fontId="0" fillId="0" borderId="278" xfId="6" applyFont="1" applyBorder="1"/>
    <xf numFmtId="168" fontId="0" fillId="0" borderId="279" xfId="6" applyFont="1" applyBorder="1"/>
    <xf numFmtId="173" fontId="0" fillId="0" borderId="278" xfId="6" applyNumberFormat="1" applyFont="1" applyBorder="1"/>
    <xf numFmtId="173" fontId="0" fillId="0" borderId="280" xfId="6" applyNumberFormat="1" applyFont="1" applyBorder="1"/>
    <xf numFmtId="168" fontId="58" fillId="0" borderId="277" xfId="6" applyFont="1" applyBorder="1"/>
    <xf numFmtId="0" fontId="58" fillId="0" borderId="49" xfId="2" applyFont="1" applyBorder="1"/>
    <xf numFmtId="168" fontId="0" fillId="0" borderId="49" xfId="6" applyFont="1" applyBorder="1" applyProtection="1">
      <protection locked="0"/>
    </xf>
    <xf numFmtId="168" fontId="0" fillId="0" borderId="42" xfId="6" applyFont="1" applyBorder="1" applyProtection="1">
      <protection locked="0"/>
    </xf>
    <xf numFmtId="168" fontId="0" fillId="0" borderId="49" xfId="6" applyFont="1" applyBorder="1"/>
    <xf numFmtId="168" fontId="0" fillId="0" borderId="42" xfId="6" applyFont="1" applyBorder="1"/>
    <xf numFmtId="173" fontId="0" fillId="0" borderId="49" xfId="6" applyNumberFormat="1" applyFont="1" applyBorder="1"/>
    <xf numFmtId="173" fontId="0" fillId="0" borderId="282" xfId="6" applyNumberFormat="1" applyFont="1" applyBorder="1"/>
    <xf numFmtId="168" fontId="58" fillId="0" borderId="281" xfId="6" applyFont="1" applyBorder="1"/>
    <xf numFmtId="168" fontId="0" fillId="0" borderId="283" xfId="6" applyFont="1" applyBorder="1" applyProtection="1">
      <protection locked="0"/>
    </xf>
    <xf numFmtId="168" fontId="0" fillId="0" borderId="243" xfId="6" applyFont="1" applyBorder="1" applyProtection="1">
      <protection locked="0"/>
    </xf>
    <xf numFmtId="168" fontId="0" fillId="0" borderId="283" xfId="6" applyFont="1" applyBorder="1"/>
    <xf numFmtId="173" fontId="0" fillId="0" borderId="283" xfId="6" applyNumberFormat="1" applyFont="1" applyBorder="1"/>
    <xf numFmtId="173" fontId="0" fillId="0" borderId="181" xfId="6" applyNumberFormat="1" applyFont="1" applyBorder="1"/>
    <xf numFmtId="168" fontId="58" fillId="0" borderId="262" xfId="6" applyFont="1" applyBorder="1"/>
    <xf numFmtId="0" fontId="68" fillId="0" borderId="0" xfId="2" applyFont="1"/>
    <xf numFmtId="177" fontId="51" fillId="3" borderId="25" xfId="6" applyNumberFormat="1" applyFont="1" applyFill="1" applyBorder="1"/>
    <xf numFmtId="177" fontId="51" fillId="3" borderId="35" xfId="6" applyNumberFormat="1" applyFont="1" applyFill="1" applyBorder="1"/>
    <xf numFmtId="177" fontId="51" fillId="3" borderId="285" xfId="6" applyNumberFormat="1" applyFont="1" applyFill="1" applyBorder="1"/>
    <xf numFmtId="168" fontId="68" fillId="0" borderId="0" xfId="6" applyFont="1"/>
    <xf numFmtId="177" fontId="51" fillId="3" borderId="284" xfId="6" applyNumberFormat="1" applyFont="1" applyFill="1" applyBorder="1"/>
    <xf numFmtId="0" fontId="58" fillId="0" borderId="92" xfId="2" applyFont="1" applyBorder="1"/>
    <xf numFmtId="168" fontId="0" fillId="0" borderId="92" xfId="6" applyFont="1" applyBorder="1" applyProtection="1">
      <protection locked="0"/>
    </xf>
    <xf numFmtId="168" fontId="0" fillId="0" borderId="54" xfId="6" applyFont="1" applyBorder="1" applyProtection="1">
      <protection locked="0"/>
    </xf>
    <xf numFmtId="168" fontId="0" fillId="0" borderId="92" xfId="6" applyFont="1" applyBorder="1"/>
    <xf numFmtId="168" fontId="0" fillId="0" borderId="54" xfId="6" applyFont="1" applyBorder="1"/>
    <xf numFmtId="173" fontId="0" fillId="0" borderId="92" xfId="6" applyNumberFormat="1" applyFont="1" applyBorder="1"/>
    <xf numFmtId="173" fontId="0" fillId="0" borderId="287" xfId="6" applyNumberFormat="1" applyFont="1" applyBorder="1"/>
    <xf numFmtId="0" fontId="58" fillId="0" borderId="1" xfId="2" applyFont="1" applyBorder="1"/>
    <xf numFmtId="168" fontId="0" fillId="0" borderId="25" xfId="6" applyFont="1" applyBorder="1" applyProtection="1">
      <protection locked="0"/>
    </xf>
    <xf numFmtId="168" fontId="0" fillId="0" borderId="35" xfId="6" applyFont="1" applyBorder="1" applyProtection="1">
      <protection locked="0"/>
    </xf>
    <xf numFmtId="173" fontId="0" fillId="0" borderId="25" xfId="6" applyNumberFormat="1" applyFont="1" applyBorder="1"/>
    <xf numFmtId="173" fontId="0" fillId="0" borderId="285" xfId="6" applyNumberFormat="1" applyFont="1" applyBorder="1"/>
    <xf numFmtId="177" fontId="51" fillId="3" borderId="288" xfId="6" applyNumberFormat="1" applyFont="1" applyFill="1" applyBorder="1"/>
    <xf numFmtId="177" fontId="51" fillId="3" borderId="29" xfId="6" applyNumberFormat="1" applyFont="1" applyFill="1" applyBorder="1"/>
    <xf numFmtId="177" fontId="51" fillId="3" borderId="28" xfId="6" applyNumberFormat="1" applyFont="1" applyFill="1" applyBorder="1"/>
    <xf numFmtId="177" fontId="51" fillId="3" borderId="289" xfId="6" applyNumberFormat="1" applyFont="1" applyFill="1" applyBorder="1"/>
    <xf numFmtId="177" fontId="51" fillId="3" borderId="283" xfId="6" applyNumberFormat="1" applyFont="1" applyFill="1" applyBorder="1"/>
    <xf numFmtId="177" fontId="51" fillId="3" borderId="243" xfId="6" applyNumberFormat="1" applyFont="1" applyFill="1" applyBorder="1"/>
    <xf numFmtId="177" fontId="51" fillId="3" borderId="181" xfId="6" applyNumberFormat="1" applyFont="1" applyFill="1" applyBorder="1"/>
    <xf numFmtId="177" fontId="51" fillId="3" borderId="290" xfId="6" applyNumberFormat="1" applyFont="1" applyFill="1" applyBorder="1"/>
    <xf numFmtId="177" fontId="51" fillId="3" borderId="28" xfId="6" applyNumberFormat="1" applyFont="1" applyFill="1" applyBorder="1" applyAlignment="1">
      <alignment horizontal="right"/>
    </xf>
    <xf numFmtId="0" fontId="58" fillId="0" borderId="111" xfId="2" applyFont="1" applyBorder="1" applyAlignment="1" applyProtection="1">
      <alignment horizontal="left" indent="1"/>
      <protection locked="0"/>
    </xf>
    <xf numFmtId="0" fontId="58" fillId="0" borderId="112" xfId="2" applyFont="1" applyBorder="1"/>
    <xf numFmtId="177" fontId="58" fillId="0" borderId="112" xfId="6" applyNumberFormat="1" applyFont="1" applyBorder="1"/>
    <xf numFmtId="177" fontId="58" fillId="0" borderId="113" xfId="6" applyNumberFormat="1" applyFont="1" applyBorder="1" applyProtection="1">
      <protection locked="0"/>
    </xf>
    <xf numFmtId="0" fontId="58" fillId="0" borderId="95" xfId="2" applyFont="1" applyBorder="1" applyAlignment="1">
      <alignment horizontal="left" indent="1"/>
    </xf>
    <xf numFmtId="0" fontId="58" fillId="0" borderId="114" xfId="2" applyFont="1" applyBorder="1" applyAlignment="1" applyProtection="1">
      <alignment horizontal="left" indent="1"/>
      <protection locked="0"/>
    </xf>
    <xf numFmtId="0" fontId="58" fillId="0" borderId="96" xfId="2" applyFont="1" applyBorder="1"/>
    <xf numFmtId="177" fontId="58" fillId="0" borderId="96" xfId="6" applyNumberFormat="1" applyFont="1" applyBorder="1"/>
    <xf numFmtId="177" fontId="58" fillId="0" borderId="104" xfId="6" applyNumberFormat="1" applyFont="1" applyBorder="1" applyProtection="1">
      <protection locked="0"/>
    </xf>
    <xf numFmtId="0" fontId="58" fillId="0" borderId="96" xfId="2" applyFont="1" applyBorder="1" applyAlignment="1">
      <alignment horizontal="left" indent="1"/>
    </xf>
    <xf numFmtId="0" fontId="58" fillId="19" borderId="114" xfId="2" applyFont="1" applyFill="1" applyBorder="1" applyAlignment="1" applyProtection="1">
      <alignment horizontal="left" indent="1"/>
      <protection locked="0"/>
    </xf>
    <xf numFmtId="0" fontId="58" fillId="0" borderId="96" xfId="2" applyFont="1" applyBorder="1" applyProtection="1">
      <protection locked="0"/>
    </xf>
    <xf numFmtId="177" fontId="58" fillId="0" borderId="96" xfId="6" applyNumberFormat="1" applyFont="1" applyBorder="1" applyProtection="1">
      <protection locked="0"/>
    </xf>
    <xf numFmtId="0" fontId="58" fillId="19" borderId="203" xfId="2" applyFont="1" applyFill="1" applyBorder="1" applyAlignment="1" applyProtection="1">
      <alignment horizontal="left" indent="1"/>
      <protection locked="0"/>
    </xf>
    <xf numFmtId="0" fontId="58" fillId="0" borderId="204" xfId="2" applyFont="1" applyBorder="1" applyProtection="1">
      <protection locked="0"/>
    </xf>
    <xf numFmtId="177" fontId="58" fillId="0" borderId="204" xfId="6" applyNumberFormat="1" applyFont="1" applyBorder="1" applyProtection="1">
      <protection locked="0"/>
    </xf>
    <xf numFmtId="177" fontId="58" fillId="0" borderId="205" xfId="6" applyNumberFormat="1" applyFont="1" applyBorder="1" applyProtection="1">
      <protection locked="0"/>
    </xf>
    <xf numFmtId="0" fontId="14" fillId="3" borderId="35" xfId="2" applyFont="1" applyFill="1" applyBorder="1" applyAlignment="1">
      <alignment horizontal="left" indent="2"/>
    </xf>
    <xf numFmtId="177" fontId="14" fillId="3" borderId="35" xfId="6" applyNumberFormat="1" applyFont="1" applyFill="1" applyBorder="1"/>
    <xf numFmtId="177" fontId="14" fillId="3" borderId="28" xfId="6" applyNumberFormat="1" applyFont="1" applyFill="1" applyBorder="1"/>
    <xf numFmtId="173" fontId="12" fillId="0" borderId="28" xfId="2" applyNumberFormat="1" applyBorder="1"/>
    <xf numFmtId="173" fontId="12" fillId="0" borderId="221" xfId="2" applyNumberFormat="1" applyBorder="1" applyAlignment="1">
      <alignment horizontal="center"/>
    </xf>
    <xf numFmtId="0" fontId="99" fillId="0" borderId="0" xfId="2" applyFont="1"/>
    <xf numFmtId="168" fontId="108" fillId="0" borderId="0" xfId="6" applyFont="1"/>
    <xf numFmtId="168" fontId="99" fillId="0" borderId="0" xfId="6" applyFont="1"/>
    <xf numFmtId="168" fontId="110" fillId="0" borderId="0" xfId="6" applyFont="1"/>
    <xf numFmtId="0" fontId="99" fillId="0" borderId="0" xfId="2" applyFont="1" applyAlignment="1">
      <alignment wrapText="1"/>
    </xf>
    <xf numFmtId="0" fontId="119" fillId="0" borderId="0" xfId="2" applyFont="1"/>
    <xf numFmtId="1" fontId="99" fillId="0" borderId="0" xfId="2" applyNumberFormat="1" applyFont="1"/>
    <xf numFmtId="164" fontId="99" fillId="0" borderId="0" xfId="2" applyNumberFormat="1" applyFont="1"/>
    <xf numFmtId="0" fontId="6" fillId="0" borderId="0" xfId="16"/>
    <xf numFmtId="0" fontId="3" fillId="0" borderId="0" xfId="16" applyFont="1"/>
    <xf numFmtId="0" fontId="10" fillId="0" borderId="28" xfId="16" applyFont="1" applyBorder="1"/>
    <xf numFmtId="0" fontId="60" fillId="0" borderId="0" xfId="16" applyFont="1"/>
    <xf numFmtId="165" fontId="11" fillId="0" borderId="0" xfId="16" applyNumberFormat="1" applyFont="1"/>
    <xf numFmtId="0" fontId="10" fillId="0" borderId="0" xfId="16" applyFont="1"/>
    <xf numFmtId="165" fontId="11" fillId="0" borderId="0" xfId="16" applyNumberFormat="1" applyFont="1" applyAlignment="1">
      <alignment horizontal="left" indent="1"/>
    </xf>
    <xf numFmtId="0" fontId="81" fillId="0" borderId="0" xfId="16" applyFont="1" applyAlignment="1">
      <alignment horizontal="left" indent="1"/>
    </xf>
    <xf numFmtId="0" fontId="78" fillId="3" borderId="37" xfId="16" applyFont="1" applyFill="1" applyBorder="1" applyAlignment="1">
      <alignment horizontal="center"/>
    </xf>
    <xf numFmtId="0" fontId="14" fillId="3" borderId="37" xfId="16" applyFont="1" applyFill="1" applyBorder="1" applyAlignment="1">
      <alignment horizontal="left" indent="1"/>
    </xf>
    <xf numFmtId="0" fontId="14" fillId="3" borderId="37" xfId="16" applyFont="1" applyFill="1" applyBorder="1" applyAlignment="1">
      <alignment horizontal="center"/>
    </xf>
    <xf numFmtId="183" fontId="64" fillId="0" borderId="293" xfId="17" applyNumberFormat="1" applyFont="1" applyBorder="1" applyProtection="1">
      <protection locked="0"/>
    </xf>
    <xf numFmtId="0" fontId="75" fillId="11" borderId="301" xfId="16" applyFont="1" applyFill="1" applyBorder="1" applyAlignment="1">
      <alignment horizontal="left" indent="5"/>
    </xf>
    <xf numFmtId="164" fontId="64" fillId="0" borderId="302" xfId="17" applyFont="1" applyBorder="1" applyProtection="1">
      <protection locked="0"/>
    </xf>
    <xf numFmtId="164" fontId="68" fillId="0" borderId="294" xfId="17" applyFont="1" applyBorder="1" applyProtection="1">
      <protection locked="0"/>
    </xf>
    <xf numFmtId="183" fontId="64" fillId="0" borderId="295" xfId="17" applyNumberFormat="1" applyFont="1" applyBorder="1" applyProtection="1">
      <protection locked="0"/>
    </xf>
    <xf numFmtId="0" fontId="75" fillId="11" borderId="67" xfId="16" applyFont="1" applyFill="1" applyBorder="1" applyAlignment="1">
      <alignment horizontal="left" indent="5"/>
    </xf>
    <xf numFmtId="164" fontId="64" fillId="0" borderId="70" xfId="17" applyFont="1" applyBorder="1" applyProtection="1">
      <protection locked="0"/>
    </xf>
    <xf numFmtId="164" fontId="68" fillId="0" borderId="69" xfId="17" applyFont="1" applyBorder="1" applyProtection="1">
      <protection locked="0"/>
    </xf>
    <xf numFmtId="183" fontId="70" fillId="10" borderId="295" xfId="17" applyNumberFormat="1" applyFont="1" applyFill="1" applyBorder="1" applyProtection="1">
      <protection locked="0"/>
    </xf>
    <xf numFmtId="0" fontId="75" fillId="10" borderId="67" xfId="16" applyFont="1" applyFill="1" applyBorder="1" applyAlignment="1">
      <alignment horizontal="left" indent="5"/>
    </xf>
    <xf numFmtId="164" fontId="64" fillId="10" borderId="70" xfId="17" applyFont="1" applyFill="1" applyBorder="1" applyProtection="1">
      <protection locked="0"/>
    </xf>
    <xf numFmtId="164" fontId="68" fillId="10" borderId="69" xfId="17" applyFont="1" applyFill="1" applyBorder="1" applyProtection="1">
      <protection locked="0"/>
    </xf>
    <xf numFmtId="183" fontId="70" fillId="10" borderId="262" xfId="17" applyNumberFormat="1" applyFont="1" applyFill="1" applyBorder="1" applyProtection="1">
      <protection locked="0"/>
    </xf>
    <xf numFmtId="0" fontId="75" fillId="10" borderId="283" xfId="16" applyFont="1" applyFill="1" applyBorder="1" applyAlignment="1">
      <alignment horizontal="left" indent="5"/>
    </xf>
    <xf numFmtId="164" fontId="64" fillId="10" borderId="243" xfId="17" applyFont="1" applyFill="1" applyBorder="1" applyProtection="1">
      <protection locked="0"/>
    </xf>
    <xf numFmtId="164" fontId="68" fillId="10" borderId="270" xfId="17" applyFont="1" applyFill="1" applyBorder="1" applyProtection="1">
      <protection locked="0"/>
    </xf>
    <xf numFmtId="164" fontId="58" fillId="0" borderId="0" xfId="17" applyFont="1"/>
    <xf numFmtId="164" fontId="0" fillId="0" borderId="0" xfId="17" applyFont="1"/>
    <xf numFmtId="0" fontId="51" fillId="3" borderId="28" xfId="16" applyFont="1" applyFill="1" applyBorder="1" applyAlignment="1">
      <alignment horizontal="left" indent="1"/>
    </xf>
    <xf numFmtId="164" fontId="51" fillId="3" borderId="28" xfId="17" applyFont="1" applyFill="1" applyBorder="1"/>
    <xf numFmtId="164" fontId="8" fillId="3" borderId="28" xfId="17" applyFont="1" applyFill="1" applyBorder="1"/>
    <xf numFmtId="0" fontId="51" fillId="20" borderId="28" xfId="16" applyFont="1" applyFill="1" applyBorder="1" applyAlignment="1">
      <alignment horizontal="left" indent="1"/>
    </xf>
    <xf numFmtId="164" fontId="51" fillId="20" borderId="28" xfId="17" applyFont="1" applyFill="1" applyBorder="1" applyProtection="1">
      <protection locked="0"/>
    </xf>
    <xf numFmtId="164" fontId="8" fillId="20" borderId="28" xfId="17" applyFont="1" applyFill="1" applyBorder="1" applyProtection="1">
      <protection locked="0"/>
    </xf>
    <xf numFmtId="0" fontId="6" fillId="0" borderId="0" xfId="16" applyProtection="1">
      <protection locked="0"/>
    </xf>
    <xf numFmtId="0" fontId="70" fillId="11" borderId="28" xfId="16" applyFont="1" applyFill="1" applyBorder="1" applyAlignment="1">
      <alignment horizontal="left" indent="1"/>
    </xf>
    <xf numFmtId="167" fontId="64" fillId="11" borderId="28" xfId="17" applyNumberFormat="1" applyFont="1" applyFill="1" applyBorder="1"/>
    <xf numFmtId="0" fontId="6" fillId="0" borderId="291" xfId="16" applyBorder="1"/>
    <xf numFmtId="0" fontId="81" fillId="0" borderId="291" xfId="16" applyFont="1" applyBorder="1" applyAlignment="1">
      <alignment horizontal="left" indent="1"/>
    </xf>
    <xf numFmtId="0" fontId="78" fillId="3" borderId="263" xfId="16" applyFont="1" applyFill="1" applyBorder="1" applyAlignment="1">
      <alignment horizontal="center"/>
    </xf>
    <xf numFmtId="0" fontId="14" fillId="3" borderId="263" xfId="16" applyFont="1" applyFill="1" applyBorder="1" applyAlignment="1">
      <alignment horizontal="left" indent="1"/>
    </xf>
    <xf numFmtId="0" fontId="14" fillId="3" borderId="263" xfId="16" applyFont="1" applyFill="1" applyBorder="1" applyAlignment="1">
      <alignment horizontal="center"/>
    </xf>
    <xf numFmtId="0" fontId="3" fillId="0" borderId="0" xfId="18"/>
    <xf numFmtId="0" fontId="235" fillId="11" borderId="28" xfId="16" applyFont="1" applyFill="1" applyBorder="1" applyAlignment="1">
      <alignment horizontal="left" indent="1"/>
    </xf>
    <xf numFmtId="0" fontId="6" fillId="0" borderId="0" xfId="16" applyAlignment="1">
      <alignment horizontal="center"/>
    </xf>
    <xf numFmtId="0" fontId="51" fillId="3" borderId="28" xfId="16" applyFont="1" applyFill="1" applyBorder="1" applyAlignment="1">
      <alignment horizontal="center"/>
    </xf>
    <xf numFmtId="176" fontId="58" fillId="0" borderId="54" xfId="17" applyNumberFormat="1" applyFont="1" applyBorder="1" applyAlignment="1" applyProtection="1">
      <alignment horizontal="left" indent="1" readingOrder="1"/>
      <protection locked="0"/>
    </xf>
    <xf numFmtId="164" fontId="58" fillId="0" borderId="54" xfId="17" applyFont="1" applyBorder="1" applyProtection="1">
      <protection locked="0"/>
    </xf>
    <xf numFmtId="164" fontId="58" fillId="0" borderId="54" xfId="17" applyFont="1" applyBorder="1"/>
    <xf numFmtId="176" fontId="58" fillId="0" borderId="40" xfId="17" applyNumberFormat="1" applyFont="1" applyBorder="1" applyAlignment="1" applyProtection="1">
      <alignment horizontal="left" indent="1" readingOrder="1"/>
      <protection locked="0"/>
    </xf>
    <xf numFmtId="164" fontId="58" fillId="0" borderId="40" xfId="17" applyFont="1" applyBorder="1" applyProtection="1">
      <protection locked="0"/>
    </xf>
    <xf numFmtId="164" fontId="58" fillId="0" borderId="40" xfId="17" applyFont="1" applyBorder="1"/>
    <xf numFmtId="176" fontId="58" fillId="0" borderId="307" xfId="17" applyNumberFormat="1" applyFont="1" applyBorder="1" applyAlignment="1" applyProtection="1">
      <alignment horizontal="left" indent="1" readingOrder="1"/>
      <protection locked="0"/>
    </xf>
    <xf numFmtId="164" fontId="58" fillId="0" borderId="307" xfId="17" applyFont="1" applyBorder="1" applyProtection="1">
      <protection locked="0"/>
    </xf>
    <xf numFmtId="164" fontId="58" fillId="0" borderId="307" xfId="17" applyFont="1" applyBorder="1"/>
    <xf numFmtId="176" fontId="58" fillId="0" borderId="35" xfId="17" applyNumberFormat="1" applyFont="1" applyBorder="1" applyAlignment="1">
      <alignment horizontal="left" indent="1"/>
    </xf>
    <xf numFmtId="164" fontId="58" fillId="0" borderId="26" xfId="17" applyFont="1" applyBorder="1"/>
    <xf numFmtId="0" fontId="21" fillId="0" borderId="0" xfId="16" applyFont="1" applyAlignment="1">
      <alignment horizontal="left" indent="1"/>
    </xf>
    <xf numFmtId="0" fontId="67" fillId="10" borderId="28" xfId="16" applyFont="1" applyFill="1" applyBorder="1" applyAlignment="1">
      <alignment horizontal="center"/>
    </xf>
    <xf numFmtId="0" fontId="68" fillId="11" borderId="66" xfId="16" applyFont="1" applyFill="1" applyBorder="1" applyAlignment="1" applyProtection="1">
      <alignment horizontal="left" indent="5"/>
      <protection locked="0"/>
    </xf>
    <xf numFmtId="164" fontId="68" fillId="0" borderId="71" xfId="17" applyFont="1" applyBorder="1" applyProtection="1">
      <protection locked="0"/>
    </xf>
    <xf numFmtId="0" fontId="68" fillId="11" borderId="67" xfId="16" applyFont="1" applyFill="1" applyBorder="1" applyAlignment="1" applyProtection="1">
      <alignment horizontal="left" indent="5"/>
      <protection locked="0"/>
    </xf>
    <xf numFmtId="164" fontId="68" fillId="0" borderId="70" xfId="17" applyFont="1" applyBorder="1" applyProtection="1">
      <protection locked="0"/>
    </xf>
    <xf numFmtId="0" fontId="68" fillId="11" borderId="25" xfId="16" applyFont="1" applyFill="1" applyBorder="1" applyAlignment="1" applyProtection="1">
      <alignment horizontal="left" indent="5"/>
      <protection locked="0"/>
    </xf>
    <xf numFmtId="164" fontId="68" fillId="0" borderId="35" xfId="17" applyFont="1" applyBorder="1" applyProtection="1">
      <protection locked="0"/>
    </xf>
    <xf numFmtId="0" fontId="240" fillId="0" borderId="6" xfId="0" applyFont="1" applyBorder="1" applyAlignment="1">
      <alignment horizontal="center" vertical="center"/>
    </xf>
    <xf numFmtId="0" fontId="51" fillId="3" borderId="6" xfId="0" applyFont="1" applyFill="1" applyBorder="1" applyAlignment="1">
      <alignment horizontal="left"/>
    </xf>
    <xf numFmtId="177" fontId="80" fillId="3" borderId="6" xfId="1" applyNumberFormat="1" applyFont="1" applyFill="1" applyBorder="1" applyAlignment="1">
      <alignment horizontal="right"/>
    </xf>
    <xf numFmtId="0" fontId="7" fillId="0" borderId="139" xfId="0" applyFont="1" applyBorder="1"/>
    <xf numFmtId="0" fontId="0" fillId="0" borderId="139" xfId="0" applyBorder="1"/>
    <xf numFmtId="0" fontId="0" fillId="0" borderId="136" xfId="0" applyBorder="1"/>
    <xf numFmtId="0" fontId="70" fillId="0" borderId="137" xfId="0" applyFont="1" applyBorder="1"/>
    <xf numFmtId="177" fontId="84" fillId="0" borderId="338" xfId="1" applyNumberFormat="1" applyFont="1" applyBorder="1" applyAlignment="1">
      <alignment horizontal="right"/>
    </xf>
    <xf numFmtId="177" fontId="84" fillId="0" borderId="269" xfId="1" applyNumberFormat="1" applyFont="1" applyBorder="1" applyAlignment="1">
      <alignment horizontal="right"/>
    </xf>
    <xf numFmtId="9" fontId="7" fillId="0" borderId="171" xfId="0" applyNumberFormat="1" applyFont="1" applyBorder="1"/>
    <xf numFmtId="0" fontId="7" fillId="0" borderId="136" xfId="0" applyFont="1" applyBorder="1"/>
    <xf numFmtId="0" fontId="0" fillId="0" borderId="137" xfId="0" applyBorder="1"/>
    <xf numFmtId="177" fontId="84" fillId="0" borderId="339" xfId="1" applyNumberFormat="1" applyFont="1" applyBorder="1" applyAlignment="1">
      <alignment horizontal="right"/>
    </xf>
    <xf numFmtId="177" fontId="84" fillId="0" borderId="152" xfId="1" applyNumberFormat="1" applyFont="1" applyBorder="1" applyAlignment="1">
      <alignment horizontal="right"/>
    </xf>
    <xf numFmtId="0" fontId="0" fillId="0" borderId="141" xfId="0" applyBorder="1"/>
    <xf numFmtId="0" fontId="7" fillId="0" borderId="142" xfId="0" applyFont="1" applyBorder="1"/>
    <xf numFmtId="177" fontId="84" fillId="0" borderId="263" xfId="1" applyNumberFormat="1" applyFont="1" applyBorder="1" applyAlignment="1">
      <alignment horizontal="right"/>
    </xf>
    <xf numFmtId="177" fontId="84" fillId="0" borderId="147" xfId="1" applyNumberFormat="1" applyFont="1" applyBorder="1" applyAlignment="1">
      <alignment horizontal="right"/>
    </xf>
    <xf numFmtId="9" fontId="7" fillId="0" borderId="7" xfId="0" applyNumberFormat="1" applyFont="1" applyBorder="1"/>
    <xf numFmtId="1" fontId="0" fillId="0" borderId="140" xfId="0" applyNumberFormat="1" applyBorder="1" applyAlignment="1">
      <alignment horizontal="left" indent="3"/>
    </xf>
    <xf numFmtId="177" fontId="7" fillId="0" borderId="172" xfId="1" applyNumberFormat="1" applyFont="1" applyBorder="1" applyAlignment="1">
      <alignment horizontal="left" indent="1"/>
    </xf>
    <xf numFmtId="177" fontId="58" fillId="0" borderId="172" xfId="1" applyNumberFormat="1" applyFont="1" applyBorder="1" applyAlignment="1">
      <alignment horizontal="right"/>
    </xf>
    <xf numFmtId="9" fontId="7" fillId="0" borderId="6" xfId="0" applyNumberFormat="1" applyFont="1" applyBorder="1"/>
    <xf numFmtId="0" fontId="208" fillId="0" borderId="142" xfId="0" applyFont="1" applyBorder="1"/>
    <xf numFmtId="0" fontId="83" fillId="0" borderId="142" xfId="0" applyFont="1" applyBorder="1"/>
    <xf numFmtId="0" fontId="83" fillId="0" borderId="143" xfId="0" applyFont="1" applyBorder="1"/>
    <xf numFmtId="9" fontId="7" fillId="0" borderId="141" xfId="0" applyNumberFormat="1" applyFont="1" applyBorder="1"/>
    <xf numFmtId="177" fontId="84" fillId="0" borderId="170" xfId="1" applyNumberFormat="1" applyFont="1" applyBorder="1" applyAlignment="1">
      <alignment horizontal="right"/>
    </xf>
    <xf numFmtId="0" fontId="51" fillId="3" borderId="172" xfId="0" applyFont="1" applyFill="1" applyBorder="1" applyAlignment="1">
      <alignment horizontal="center"/>
    </xf>
    <xf numFmtId="0" fontId="51" fillId="3" borderId="171" xfId="0" applyFont="1" applyFill="1" applyBorder="1" applyAlignment="1">
      <alignment horizontal="center"/>
    </xf>
    <xf numFmtId="0" fontId="51" fillId="3" borderId="6" xfId="0" applyFont="1" applyFill="1" applyBorder="1" applyAlignment="1">
      <alignment horizontal="center"/>
    </xf>
    <xf numFmtId="173" fontId="0" fillId="32" borderId="140" xfId="0" applyNumberFormat="1" applyFill="1" applyBorder="1" applyAlignment="1">
      <alignment horizontal="center"/>
    </xf>
    <xf numFmtId="173" fontId="0" fillId="0" borderId="142" xfId="0" applyNumberFormat="1" applyBorder="1" applyAlignment="1">
      <alignment horizontal="center"/>
    </xf>
    <xf numFmtId="173" fontId="0" fillId="32" borderId="142" xfId="0" applyNumberFormat="1" applyFill="1" applyBorder="1" applyAlignment="1">
      <alignment horizontal="center"/>
    </xf>
    <xf numFmtId="173" fontId="0" fillId="32" borderId="143" xfId="0" applyNumberFormat="1" applyFill="1" applyBorder="1" applyAlignment="1">
      <alignment horizontal="center"/>
    </xf>
    <xf numFmtId="0" fontId="0" fillId="32" borderId="140" xfId="0" applyFill="1" applyBorder="1" applyAlignment="1">
      <alignment horizontal="center"/>
    </xf>
    <xf numFmtId="0" fontId="51" fillId="3" borderId="142" xfId="0" applyFont="1" applyFill="1" applyBorder="1" applyAlignment="1">
      <alignment horizontal="center"/>
    </xf>
    <xf numFmtId="0" fontId="0" fillId="0" borderId="142" xfId="0" applyBorder="1" applyAlignment="1">
      <alignment horizontal="center"/>
    </xf>
    <xf numFmtId="0" fontId="0" fillId="32" borderId="142" xfId="0" applyFill="1" applyBorder="1" applyAlignment="1">
      <alignment horizontal="center"/>
    </xf>
    <xf numFmtId="0" fontId="0" fillId="32" borderId="143" xfId="0" applyFill="1" applyBorder="1" applyAlignment="1">
      <alignment horizontal="center"/>
    </xf>
    <xf numFmtId="177" fontId="58" fillId="35" borderId="337" xfId="19" applyNumberFormat="1" applyFont="1" applyAlignment="1">
      <alignment horizontal="right"/>
    </xf>
    <xf numFmtId="168" fontId="58" fillId="0" borderId="340" xfId="6" applyFont="1" applyBorder="1"/>
    <xf numFmtId="164" fontId="51" fillId="3" borderId="283" xfId="2" applyNumberFormat="1" applyFont="1" applyFill="1" applyBorder="1" applyAlignment="1">
      <alignment horizontal="center"/>
    </xf>
    <xf numFmtId="168" fontId="58" fillId="0" borderId="137" xfId="6" applyFont="1" applyBorder="1"/>
    <xf numFmtId="177" fontId="0" fillId="35" borderId="337" xfId="19" applyNumberFormat="1" applyFont="1" applyAlignment="1">
      <alignment horizontal="right"/>
    </xf>
    <xf numFmtId="177" fontId="6" fillId="35" borderId="337" xfId="19" applyNumberFormat="1" applyAlignment="1">
      <alignment horizontal="right"/>
    </xf>
    <xf numFmtId="164" fontId="58" fillId="0" borderId="296" xfId="17" applyFont="1" applyBorder="1" applyProtection="1">
      <protection locked="0"/>
    </xf>
    <xf numFmtId="164" fontId="58" fillId="0" borderId="297" xfId="17" applyFont="1" applyBorder="1" applyProtection="1">
      <protection locked="0"/>
    </xf>
    <xf numFmtId="164" fontId="51" fillId="3" borderId="29" xfId="16" applyNumberFormat="1" applyFont="1" applyFill="1" applyBorder="1" applyAlignment="1">
      <alignment horizontal="center"/>
    </xf>
    <xf numFmtId="164" fontId="58" fillId="0" borderId="72" xfId="17" applyFont="1" applyBorder="1"/>
    <xf numFmtId="164" fontId="58" fillId="0" borderId="72" xfId="17" applyFont="1" applyBorder="1" applyProtection="1">
      <protection locked="0"/>
    </xf>
    <xf numFmtId="164" fontId="58" fillId="0" borderId="297" xfId="17" applyFont="1" applyBorder="1"/>
    <xf numFmtId="164" fontId="58" fillId="0" borderId="30" xfId="17" applyFont="1" applyBorder="1" applyProtection="1">
      <protection locked="0"/>
    </xf>
    <xf numFmtId="0" fontId="0" fillId="0" borderId="20" xfId="0" quotePrefix="1" applyBorder="1" applyAlignment="1" applyProtection="1">
      <alignment vertical="top"/>
      <protection locked="0"/>
    </xf>
    <xf numFmtId="0" fontId="0" fillId="0" borderId="21" xfId="0" applyBorder="1" applyAlignment="1" applyProtection="1">
      <alignment vertical="top"/>
      <protection locked="0"/>
    </xf>
    <xf numFmtId="0" fontId="0" fillId="0" borderId="22" xfId="0" applyBorder="1" applyAlignment="1" applyProtection="1">
      <alignment vertical="top"/>
      <protection locked="0"/>
    </xf>
    <xf numFmtId="4" fontId="0" fillId="0" borderId="0" xfId="0" applyNumberFormat="1" applyAlignment="1" applyProtection="1">
      <alignment vertical="top"/>
      <protection locked="0"/>
    </xf>
    <xf numFmtId="0" fontId="7" fillId="0" borderId="23" xfId="0" applyFont="1" applyBorder="1" applyAlignment="1" applyProtection="1">
      <alignment vertical="top"/>
      <protection locked="0"/>
    </xf>
    <xf numFmtId="0" fontId="241" fillId="0" borderId="23" xfId="0" applyFont="1" applyBorder="1" applyAlignment="1" applyProtection="1">
      <alignment vertical="top"/>
      <protection locked="0"/>
    </xf>
    <xf numFmtId="0" fontId="211" fillId="0" borderId="23" xfId="0" applyFont="1" applyBorder="1" applyAlignment="1" applyProtection="1">
      <alignment vertical="top"/>
      <protection locked="0"/>
    </xf>
    <xf numFmtId="177" fontId="134" fillId="23" borderId="172" xfId="1" applyNumberFormat="1" applyFont="1" applyFill="1" applyBorder="1"/>
    <xf numFmtId="177" fontId="134" fillId="0" borderId="0" xfId="1" applyNumberFormat="1" applyFont="1" applyBorder="1"/>
    <xf numFmtId="0" fontId="159" fillId="36" borderId="201" xfId="0" applyFont="1" applyFill="1" applyBorder="1" applyAlignment="1">
      <alignment horizontal="left" indent="1"/>
    </xf>
    <xf numFmtId="177" fontId="134" fillId="36" borderId="217" xfId="1" applyNumberFormat="1" applyFont="1" applyFill="1" applyBorder="1"/>
    <xf numFmtId="177" fontId="134" fillId="36" borderId="218" xfId="1" applyNumberFormat="1" applyFont="1" applyFill="1" applyBorder="1"/>
    <xf numFmtId="0" fontId="7" fillId="0" borderId="0" xfId="0" applyFont="1" applyAlignment="1" applyProtection="1">
      <alignment vertical="top"/>
      <protection locked="0"/>
    </xf>
    <xf numFmtId="0" fontId="0" fillId="0" borderId="136" xfId="0" quotePrefix="1" applyBorder="1" applyAlignment="1" applyProtection="1">
      <alignment vertical="top"/>
      <protection locked="0"/>
    </xf>
    <xf numFmtId="0" fontId="0" fillId="0" borderId="137" xfId="0" applyBorder="1" applyAlignment="1" applyProtection="1">
      <alignment vertical="top"/>
      <protection locked="0"/>
    </xf>
    <xf numFmtId="0" fontId="0" fillId="0" borderId="138" xfId="0" applyBorder="1" applyAlignment="1" applyProtection="1">
      <alignment vertical="top"/>
      <protection locked="0"/>
    </xf>
    <xf numFmtId="0" fontId="0" fillId="0" borderId="140" xfId="0" applyBorder="1" applyAlignment="1" applyProtection="1">
      <alignment vertical="top"/>
      <protection locked="0"/>
    </xf>
    <xf numFmtId="0" fontId="0" fillId="0" borderId="139" xfId="0" applyBorder="1" applyAlignment="1" applyProtection="1">
      <alignment vertical="top"/>
      <protection locked="0"/>
    </xf>
    <xf numFmtId="0" fontId="0" fillId="0" borderId="141" xfId="0" applyBorder="1" applyAlignment="1" applyProtection="1">
      <alignment vertical="top"/>
      <protection locked="0"/>
    </xf>
    <xf numFmtId="0" fontId="0" fillId="0" borderId="142" xfId="0" applyBorder="1" applyAlignment="1" applyProtection="1">
      <alignment vertical="top"/>
      <protection locked="0"/>
    </xf>
    <xf numFmtId="0" fontId="0" fillId="0" borderId="143" xfId="0" applyBorder="1" applyAlignment="1" applyProtection="1">
      <alignment vertical="top"/>
      <protection locked="0"/>
    </xf>
    <xf numFmtId="0" fontId="7" fillId="0" borderId="342" xfId="0" applyFont="1" applyBorder="1" applyAlignment="1" applyProtection="1">
      <alignment vertical="top"/>
      <protection locked="0"/>
    </xf>
    <xf numFmtId="4" fontId="7" fillId="0" borderId="342" xfId="0" applyNumberFormat="1" applyFont="1" applyBorder="1" applyAlignment="1" applyProtection="1">
      <alignment vertical="top"/>
      <protection locked="0"/>
    </xf>
    <xf numFmtId="0" fontId="7" fillId="0" borderId="343" xfId="0" applyFont="1" applyBorder="1" applyAlignment="1" applyProtection="1">
      <alignment vertical="top"/>
      <protection locked="0"/>
    </xf>
    <xf numFmtId="0" fontId="0" fillId="0" borderId="345" xfId="0" applyBorder="1" applyAlignment="1" applyProtection="1">
      <alignment vertical="top"/>
      <protection locked="0"/>
    </xf>
    <xf numFmtId="4" fontId="0" fillId="0" borderId="345" xfId="0" applyNumberFormat="1" applyBorder="1" applyAlignment="1" applyProtection="1">
      <alignment vertical="top"/>
      <protection locked="0"/>
    </xf>
    <xf numFmtId="0" fontId="0" fillId="0" borderId="346" xfId="0" applyBorder="1" applyAlignment="1" applyProtection="1">
      <alignment vertical="top"/>
      <protection locked="0"/>
    </xf>
    <xf numFmtId="0" fontId="0" fillId="0" borderId="348" xfId="0" applyBorder="1" applyAlignment="1" applyProtection="1">
      <alignment vertical="top"/>
      <protection locked="0"/>
    </xf>
    <xf numFmtId="0" fontId="0" fillId="0" borderId="349" xfId="0" applyBorder="1" applyAlignment="1" applyProtection="1">
      <alignment vertical="top"/>
      <protection locked="0"/>
    </xf>
    <xf numFmtId="0" fontId="0" fillId="0" borderId="351" xfId="0" applyBorder="1" applyAlignment="1" applyProtection="1">
      <alignment vertical="top"/>
      <protection locked="0"/>
    </xf>
    <xf numFmtId="0" fontId="0" fillId="0" borderId="352" xfId="0" applyBorder="1" applyAlignment="1" applyProtection="1">
      <alignment vertical="top"/>
      <protection locked="0"/>
    </xf>
    <xf numFmtId="0" fontId="7" fillId="0" borderId="0" xfId="0" applyFont="1" applyAlignment="1" applyProtection="1">
      <alignment horizontal="right" vertical="top"/>
      <protection locked="0"/>
    </xf>
    <xf numFmtId="0" fontId="0" fillId="10" borderId="353" xfId="0" applyFill="1" applyBorder="1" applyAlignment="1" applyProtection="1">
      <alignment vertical="top"/>
      <protection locked="0"/>
    </xf>
    <xf numFmtId="0" fontId="0" fillId="0" borderId="6" xfId="0" applyBorder="1" applyAlignment="1" applyProtection="1">
      <alignment horizontal="center" vertical="top"/>
      <protection locked="0"/>
    </xf>
    <xf numFmtId="0" fontId="14" fillId="3" borderId="0" xfId="0" applyFont="1" applyFill="1" applyAlignment="1">
      <alignment horizontal="center" vertical="center" wrapText="1"/>
    </xf>
    <xf numFmtId="0" fontId="7" fillId="0" borderId="6" xfId="0" applyFont="1" applyBorder="1" applyAlignment="1">
      <alignment horizontal="center"/>
    </xf>
    <xf numFmtId="0" fontId="14" fillId="28" borderId="6" xfId="0" applyFont="1" applyFill="1" applyBorder="1" applyAlignment="1">
      <alignment horizontal="center" vertical="center" wrapText="1"/>
    </xf>
    <xf numFmtId="3" fontId="29" fillId="0" borderId="6" xfId="0" applyNumberFormat="1" applyFont="1" applyBorder="1" applyAlignment="1">
      <alignment horizontal="left"/>
    </xf>
    <xf numFmtId="0" fontId="0" fillId="0" borderId="354" xfId="0" applyBorder="1" applyAlignment="1">
      <alignment horizontal="left" indent="1"/>
    </xf>
    <xf numFmtId="0" fontId="0" fillId="0" borderId="355" xfId="0" applyBorder="1"/>
    <xf numFmtId="0" fontId="0" fillId="0" borderId="356" xfId="0" applyBorder="1"/>
    <xf numFmtId="0" fontId="0" fillId="0" borderId="32" xfId="0" applyBorder="1"/>
    <xf numFmtId="0" fontId="75" fillId="0" borderId="53" xfId="0" applyFont="1" applyBorder="1" applyAlignment="1">
      <alignment horizontal="left" indent="1"/>
    </xf>
    <xf numFmtId="0" fontId="75" fillId="0" borderId="0" xfId="0" applyFont="1"/>
    <xf numFmtId="0" fontId="0" fillId="0" borderId="17" xfId="0" applyBorder="1"/>
    <xf numFmtId="0" fontId="75" fillId="0" borderId="53" xfId="0" applyFont="1" applyBorder="1" applyAlignment="1">
      <alignment horizontal="left" indent="3"/>
    </xf>
    <xf numFmtId="0" fontId="75" fillId="0" borderId="0" xfId="0" applyFont="1" applyAlignment="1">
      <alignment horizontal="left" indent="2"/>
    </xf>
    <xf numFmtId="0" fontId="7" fillId="0" borderId="0" xfId="2" applyFont="1" applyAlignment="1">
      <alignment horizontal="center"/>
    </xf>
    <xf numFmtId="0" fontId="7" fillId="0" borderId="17" xfId="2" applyFont="1" applyBorder="1" applyAlignment="1">
      <alignment horizontal="center"/>
    </xf>
    <xf numFmtId="0" fontId="0" fillId="0" borderId="53" xfId="0" applyBorder="1" applyAlignment="1">
      <alignment horizontal="left" indent="1"/>
    </xf>
    <xf numFmtId="173" fontId="12" fillId="0" borderId="357" xfId="2" applyNumberFormat="1" applyBorder="1"/>
    <xf numFmtId="0" fontId="12" fillId="0" borderId="17" xfId="2" applyBorder="1"/>
    <xf numFmtId="173" fontId="12" fillId="0" borderId="0" xfId="2" applyNumberFormat="1"/>
    <xf numFmtId="0" fontId="75" fillId="0" borderId="0" xfId="0" applyFont="1" applyAlignment="1">
      <alignment horizontal="left" indent="1"/>
    </xf>
    <xf numFmtId="0" fontId="77" fillId="30" borderId="16" xfId="2" applyFont="1" applyFill="1" applyBorder="1" applyAlignment="1">
      <alignment horizontal="center"/>
    </xf>
    <xf numFmtId="0" fontId="8" fillId="0" borderId="0" xfId="0" applyFont="1" applyAlignment="1">
      <alignment horizontal="center"/>
    </xf>
    <xf numFmtId="0" fontId="8" fillId="0" borderId="17" xfId="0" applyFont="1" applyBorder="1" applyAlignment="1">
      <alignment horizontal="center"/>
    </xf>
    <xf numFmtId="0" fontId="75" fillId="0" borderId="358" xfId="0" applyFont="1" applyBorder="1" applyAlignment="1">
      <alignment horizontal="left" indent="3"/>
    </xf>
    <xf numFmtId="0" fontId="0" fillId="0" borderId="359" xfId="0" applyBorder="1"/>
    <xf numFmtId="0" fontId="0" fillId="0" borderId="360" xfId="0" applyBorder="1"/>
    <xf numFmtId="0" fontId="7" fillId="0" borderId="361" xfId="2" applyFont="1" applyBorder="1" applyAlignment="1">
      <alignment horizontal="center"/>
    </xf>
    <xf numFmtId="0" fontId="0" fillId="0" borderId="362" xfId="0" applyBorder="1"/>
    <xf numFmtId="173" fontId="242" fillId="0" borderId="0" xfId="2" applyNumberFormat="1" applyFont="1" applyAlignment="1">
      <alignment horizontal="center"/>
    </xf>
    <xf numFmtId="170" fontId="23" fillId="19" borderId="28" xfId="1" applyNumberFormat="1" applyFont="1" applyFill="1" applyBorder="1" applyAlignment="1">
      <alignment horizontal="center"/>
    </xf>
    <xf numFmtId="164" fontId="26" fillId="19" borderId="28" xfId="1" applyFont="1" applyFill="1" applyBorder="1" applyAlignment="1">
      <alignment horizontal="center"/>
    </xf>
    <xf numFmtId="164" fontId="26" fillId="19" borderId="0" xfId="1" applyFont="1" applyFill="1" applyBorder="1" applyAlignment="1">
      <alignment horizontal="center"/>
    </xf>
    <xf numFmtId="168" fontId="56" fillId="11" borderId="0" xfId="6" applyFont="1" applyFill="1" applyBorder="1" applyAlignment="1">
      <alignment horizontal="center"/>
    </xf>
    <xf numFmtId="168" fontId="56" fillId="9" borderId="0" xfId="6" applyFont="1" applyFill="1" applyBorder="1" applyAlignment="1">
      <alignment horizontal="center"/>
    </xf>
    <xf numFmtId="168" fontId="245" fillId="11" borderId="50" xfId="6" applyFont="1" applyFill="1" applyBorder="1"/>
    <xf numFmtId="168" fontId="245" fillId="11" borderId="46" xfId="6" applyFont="1" applyFill="1" applyBorder="1"/>
    <xf numFmtId="164" fontId="0" fillId="0" borderId="0" xfId="0" applyNumberFormat="1"/>
    <xf numFmtId="164" fontId="0" fillId="5" borderId="0" xfId="0" applyNumberFormat="1" applyFill="1"/>
    <xf numFmtId="0" fontId="29" fillId="0" borderId="0" xfId="0" applyFont="1" applyAlignment="1">
      <alignment horizontal="center"/>
    </xf>
    <xf numFmtId="10" fontId="29" fillId="0" borderId="0" xfId="0" applyNumberFormat="1" applyFont="1" applyAlignment="1">
      <alignment horizontal="center"/>
    </xf>
    <xf numFmtId="43" fontId="244" fillId="38" borderId="0" xfId="21" applyNumberFormat="1"/>
    <xf numFmtId="43" fontId="244" fillId="37" borderId="0" xfId="20" applyNumberFormat="1"/>
    <xf numFmtId="43" fontId="244" fillId="31" borderId="0" xfId="21" applyNumberFormat="1" applyFill="1"/>
    <xf numFmtId="164" fontId="25" fillId="30" borderId="0" xfId="1" applyFont="1" applyFill="1"/>
    <xf numFmtId="0" fontId="8" fillId="30" borderId="0" xfId="0" applyFont="1" applyFill="1"/>
    <xf numFmtId="164" fontId="8" fillId="30" borderId="0" xfId="0" applyNumberFormat="1" applyFont="1" applyFill="1"/>
    <xf numFmtId="0" fontId="8" fillId="30" borderId="0" xfId="0" applyFont="1" applyFill="1" applyAlignment="1">
      <alignment horizontal="center"/>
    </xf>
    <xf numFmtId="10" fontId="82" fillId="30" borderId="0" xfId="0" applyNumberFormat="1" applyFont="1" applyFill="1" applyAlignment="1">
      <alignment horizontal="center"/>
    </xf>
    <xf numFmtId="1" fontId="56" fillId="39" borderId="43" xfId="6" applyNumberFormat="1" applyFont="1" applyFill="1" applyBorder="1"/>
    <xf numFmtId="168" fontId="56" fillId="39" borderId="43" xfId="6" applyFont="1" applyFill="1" applyBorder="1"/>
    <xf numFmtId="168" fontId="56" fillId="39" borderId="38" xfId="6" applyFont="1" applyFill="1" applyBorder="1"/>
    <xf numFmtId="168" fontId="56" fillId="39" borderId="44" xfId="6" applyFont="1" applyFill="1" applyBorder="1"/>
    <xf numFmtId="168" fontId="56" fillId="39" borderId="0" xfId="6" applyFont="1" applyFill="1" applyBorder="1" applyAlignment="1">
      <alignment horizontal="center"/>
    </xf>
    <xf numFmtId="164" fontId="0" fillId="39" borderId="0" xfId="0" applyNumberFormat="1" applyFill="1"/>
    <xf numFmtId="1" fontId="56" fillId="39" borderId="42" xfId="6" applyNumberFormat="1" applyFont="1" applyFill="1" applyBorder="1"/>
    <xf numFmtId="168" fontId="56" fillId="39" borderId="42" xfId="6" applyFont="1" applyFill="1" applyBorder="1"/>
    <xf numFmtId="168" fontId="56" fillId="39" borderId="49" xfId="6" applyFont="1" applyFill="1" applyBorder="1"/>
    <xf numFmtId="168" fontId="56" fillId="39" borderId="45" xfId="6" applyFont="1" applyFill="1" applyBorder="1"/>
    <xf numFmtId="1" fontId="56" fillId="39" borderId="40" xfId="6" applyNumberFormat="1" applyFont="1" applyFill="1" applyBorder="1"/>
    <xf numFmtId="168" fontId="56" fillId="39" borderId="40" xfId="6" applyFont="1" applyFill="1" applyBorder="1"/>
    <xf numFmtId="168" fontId="56" fillId="39" borderId="50" xfId="6" applyFont="1" applyFill="1" applyBorder="1"/>
    <xf numFmtId="168" fontId="56" fillId="39" borderId="46" xfId="6" applyFont="1" applyFill="1" applyBorder="1"/>
    <xf numFmtId="173" fontId="0" fillId="19" borderId="0" xfId="0" applyNumberFormat="1" applyFill="1"/>
    <xf numFmtId="173" fontId="7" fillId="0" borderId="0" xfId="0" applyNumberFormat="1" applyFont="1"/>
    <xf numFmtId="49" fontId="23" fillId="0" borderId="0" xfId="1" applyNumberFormat="1" applyFont="1" applyAlignment="1">
      <alignment horizontal="center"/>
    </xf>
    <xf numFmtId="0" fontId="247" fillId="0" borderId="0" xfId="0" applyFont="1" applyAlignment="1">
      <alignment horizontal="right"/>
    </xf>
    <xf numFmtId="10" fontId="247" fillId="0" borderId="0" xfId="0" applyNumberFormat="1" applyFont="1" applyAlignment="1">
      <alignment horizontal="right"/>
    </xf>
    <xf numFmtId="1" fontId="56" fillId="0" borderId="40" xfId="6" applyNumberFormat="1" applyFont="1" applyFill="1" applyBorder="1"/>
    <xf numFmtId="168" fontId="56" fillId="0" borderId="40" xfId="6" applyFont="1" applyFill="1" applyBorder="1"/>
    <xf numFmtId="168" fontId="56" fillId="0" borderId="50" xfId="6" applyFont="1" applyFill="1" applyBorder="1"/>
    <xf numFmtId="168" fontId="56" fillId="0" borderId="46" xfId="6" applyFont="1" applyFill="1" applyBorder="1"/>
    <xf numFmtId="168" fontId="56" fillId="0" borderId="0" xfId="6" applyFont="1" applyFill="1" applyBorder="1" applyAlignment="1">
      <alignment horizontal="center"/>
    </xf>
    <xf numFmtId="1" fontId="56" fillId="31" borderId="40" xfId="6" applyNumberFormat="1" applyFont="1" applyFill="1" applyBorder="1"/>
    <xf numFmtId="168" fontId="56" fillId="31" borderId="40" xfId="6" applyFont="1" applyFill="1" applyBorder="1"/>
    <xf numFmtId="168" fontId="56" fillId="31" borderId="50" xfId="6" applyFont="1" applyFill="1" applyBorder="1"/>
    <xf numFmtId="168" fontId="56" fillId="31" borderId="46" xfId="6" applyFont="1" applyFill="1" applyBorder="1"/>
    <xf numFmtId="168" fontId="56" fillId="31" borderId="0" xfId="6" applyFont="1" applyFill="1" applyBorder="1" applyAlignment="1">
      <alignment horizontal="center"/>
    </xf>
    <xf numFmtId="164" fontId="0" fillId="31" borderId="0" xfId="0" applyNumberFormat="1" applyFill="1"/>
    <xf numFmtId="1" fontId="26" fillId="0" borderId="363" xfId="1" applyNumberFormat="1" applyFont="1" applyBorder="1"/>
    <xf numFmtId="164" fontId="26" fillId="0" borderId="364" xfId="1" applyFont="1" applyBorder="1"/>
    <xf numFmtId="0" fontId="0" fillId="0" borderId="364" xfId="0" applyBorder="1"/>
    <xf numFmtId="1" fontId="26" fillId="0" borderId="366" xfId="1" applyNumberFormat="1" applyFont="1" applyBorder="1"/>
    <xf numFmtId="164" fontId="26" fillId="0" borderId="0" xfId="1" applyFont="1" applyBorder="1"/>
    <xf numFmtId="1" fontId="26" fillId="0" borderId="368" xfId="1" applyNumberFormat="1" applyFont="1" applyBorder="1"/>
    <xf numFmtId="164" fontId="26" fillId="0" borderId="369" xfId="1" applyFont="1" applyBorder="1"/>
    <xf numFmtId="0" fontId="0" fillId="0" borderId="369" xfId="0" applyBorder="1"/>
    <xf numFmtId="0" fontId="38" fillId="40" borderId="366" xfId="0" applyFont="1" applyFill="1" applyBorder="1" applyAlignment="1">
      <alignment horizontal="right" vertical="top"/>
    </xf>
    <xf numFmtId="0" fontId="0" fillId="40" borderId="366" xfId="0" applyFill="1" applyBorder="1" applyAlignment="1">
      <alignment horizontal="right" vertical="top"/>
    </xf>
    <xf numFmtId="0" fontId="0" fillId="40" borderId="366" xfId="0" applyFill="1" applyBorder="1"/>
    <xf numFmtId="0" fontId="0" fillId="41" borderId="366" xfId="0" applyFill="1" applyBorder="1"/>
    <xf numFmtId="0" fontId="38" fillId="41" borderId="366" xfId="0" applyFont="1" applyFill="1" applyBorder="1" applyAlignment="1">
      <alignment horizontal="right"/>
    </xf>
    <xf numFmtId="0" fontId="0" fillId="41" borderId="368" xfId="0" applyFill="1" applyBorder="1"/>
    <xf numFmtId="10" fontId="0" fillId="0" borderId="364" xfId="0" applyNumberFormat="1" applyBorder="1" applyAlignment="1">
      <alignment horizontal="center"/>
    </xf>
    <xf numFmtId="10" fontId="0" fillId="0" borderId="0" xfId="0" applyNumberFormat="1" applyAlignment="1">
      <alignment horizontal="center"/>
    </xf>
    <xf numFmtId="10" fontId="26" fillId="0" borderId="0" xfId="1" applyNumberFormat="1" applyFont="1" applyBorder="1"/>
    <xf numFmtId="10" fontId="0" fillId="0" borderId="369" xfId="0" applyNumberFormat="1" applyBorder="1" applyAlignment="1">
      <alignment horizontal="center"/>
    </xf>
    <xf numFmtId="173" fontId="0" fillId="0" borderId="364" xfId="0" applyNumberFormat="1" applyBorder="1"/>
    <xf numFmtId="173" fontId="23" fillId="0" borderId="0" xfId="1" applyNumberFormat="1" applyFont="1" applyBorder="1"/>
    <xf numFmtId="173" fontId="0" fillId="0" borderId="369" xfId="0" applyNumberFormat="1" applyBorder="1"/>
    <xf numFmtId="1" fontId="23" fillId="0" borderId="374" xfId="1" applyNumberFormat="1" applyFont="1" applyBorder="1"/>
    <xf numFmtId="164" fontId="23" fillId="0" borderId="375" xfId="1" applyFont="1" applyBorder="1"/>
    <xf numFmtId="0" fontId="7" fillId="0" borderId="375" xfId="0" applyFont="1" applyBorder="1" applyAlignment="1">
      <alignment horizontal="center"/>
    </xf>
    <xf numFmtId="0" fontId="7" fillId="0" borderId="376" xfId="0" applyFont="1" applyBorder="1" applyAlignment="1">
      <alignment horizontal="center"/>
    </xf>
    <xf numFmtId="173" fontId="0" fillId="0" borderId="365" xfId="0" applyNumberFormat="1" applyBorder="1"/>
    <xf numFmtId="173" fontId="0" fillId="0" borderId="367" xfId="0" applyNumberFormat="1" applyBorder="1"/>
    <xf numFmtId="173" fontId="0" fillId="0" borderId="370" xfId="0" applyNumberFormat="1" applyBorder="1"/>
    <xf numFmtId="1" fontId="23" fillId="0" borderId="0" xfId="1" applyNumberFormat="1" applyFont="1" applyAlignment="1">
      <alignment horizontal="center"/>
    </xf>
    <xf numFmtId="0" fontId="0" fillId="0" borderId="388" xfId="0" applyBorder="1" applyAlignment="1" applyProtection="1">
      <alignment vertical="top"/>
      <protection locked="0"/>
    </xf>
    <xf numFmtId="0" fontId="0" fillId="0" borderId="389" xfId="0" applyBorder="1" applyAlignment="1" applyProtection="1">
      <alignment vertical="top"/>
      <protection locked="0"/>
    </xf>
    <xf numFmtId="0" fontId="0" fillId="0" borderId="390" xfId="0" applyBorder="1" applyAlignment="1" applyProtection="1">
      <alignment vertical="top"/>
      <protection locked="0"/>
    </xf>
    <xf numFmtId="0" fontId="0" fillId="0" borderId="394" xfId="0" applyBorder="1" applyAlignment="1" applyProtection="1">
      <alignment vertical="top"/>
      <protection locked="0"/>
    </xf>
    <xf numFmtId="0" fontId="0" fillId="0" borderId="395" xfId="0" applyBorder="1" applyAlignment="1" applyProtection="1">
      <alignment vertical="top"/>
      <protection locked="0"/>
    </xf>
    <xf numFmtId="0" fontId="0" fillId="0" borderId="396" xfId="0" applyBorder="1" applyAlignment="1" applyProtection="1">
      <alignment vertical="top"/>
      <protection locked="0"/>
    </xf>
    <xf numFmtId="0" fontId="0" fillId="0" borderId="397" xfId="0" applyBorder="1" applyAlignment="1" applyProtection="1">
      <alignment vertical="top"/>
      <protection locked="0"/>
    </xf>
    <xf numFmtId="0" fontId="7" fillId="0" borderId="398" xfId="0" applyFont="1" applyBorder="1" applyAlignment="1" applyProtection="1">
      <alignment vertical="top"/>
      <protection locked="0"/>
    </xf>
    <xf numFmtId="0" fontId="0" fillId="0" borderId="398" xfId="0" applyBorder="1" applyAlignment="1" applyProtection="1">
      <alignment vertical="top"/>
      <protection locked="0"/>
    </xf>
    <xf numFmtId="0" fontId="0" fillId="0" borderId="399" xfId="0" applyBorder="1" applyAlignment="1" applyProtection="1">
      <alignment vertical="top"/>
      <protection locked="0"/>
    </xf>
    <xf numFmtId="0" fontId="0" fillId="0" borderId="400" xfId="0" applyBorder="1" applyAlignment="1" applyProtection="1">
      <alignment vertical="top"/>
      <protection locked="0"/>
    </xf>
    <xf numFmtId="0" fontId="0" fillId="0" borderId="401" xfId="0" applyBorder="1" applyAlignment="1" applyProtection="1">
      <alignment vertical="top"/>
      <protection locked="0"/>
    </xf>
    <xf numFmtId="165" fontId="81" fillId="0" borderId="0" xfId="0" applyNumberFormat="1" applyFont="1" applyAlignment="1">
      <alignment horizontal="center"/>
    </xf>
    <xf numFmtId="164" fontId="23" fillId="19" borderId="0" xfId="1" applyFont="1" applyFill="1" applyBorder="1" applyAlignment="1">
      <alignment horizontal="center"/>
    </xf>
    <xf numFmtId="168" fontId="56" fillId="0" borderId="194" xfId="6" applyFont="1" applyFill="1" applyBorder="1"/>
    <xf numFmtId="168" fontId="56" fillId="9" borderId="194" xfId="6" applyFont="1" applyFill="1" applyBorder="1"/>
    <xf numFmtId="168" fontId="56" fillId="0" borderId="402" xfId="6" applyFont="1" applyFill="1" applyBorder="1"/>
    <xf numFmtId="168" fontId="56" fillId="0" borderId="403" xfId="6" applyFont="1" applyFill="1" applyBorder="1"/>
    <xf numFmtId="168" fontId="56" fillId="9" borderId="403" xfId="6" applyFont="1" applyFill="1" applyBorder="1"/>
    <xf numFmtId="0" fontId="59" fillId="0" borderId="0" xfId="0" applyFont="1" applyAlignment="1">
      <alignment horizontal="center"/>
    </xf>
    <xf numFmtId="0" fontId="7" fillId="0" borderId="396" xfId="0" applyFont="1" applyBorder="1" applyAlignment="1" applyProtection="1">
      <alignment vertical="top"/>
      <protection locked="0"/>
    </xf>
    <xf numFmtId="0" fontId="75" fillId="0" borderId="0" xfId="0" applyFont="1" applyAlignment="1">
      <alignment horizontal="left" indent="3"/>
    </xf>
    <xf numFmtId="173" fontId="12" fillId="0" borderId="37" xfId="2" applyNumberFormat="1" applyBorder="1"/>
    <xf numFmtId="0" fontId="59" fillId="0" borderId="169" xfId="0" applyFont="1" applyBorder="1" applyAlignment="1">
      <alignment horizontal="center"/>
    </xf>
    <xf numFmtId="10" fontId="0" fillId="0" borderId="0" xfId="10" applyNumberFormat="1" applyFont="1"/>
    <xf numFmtId="164" fontId="26" fillId="19" borderId="29" xfId="1" applyFont="1" applyFill="1" applyBorder="1" applyAlignment="1">
      <alignment horizontal="center"/>
    </xf>
    <xf numFmtId="10" fontId="19" fillId="0" borderId="0" xfId="10" applyNumberFormat="1" applyFont="1"/>
    <xf numFmtId="164" fontId="19" fillId="0" borderId="0" xfId="0" applyNumberFormat="1" applyFont="1"/>
    <xf numFmtId="10" fontId="19" fillId="0" borderId="0" xfId="0" applyNumberFormat="1" applyFont="1"/>
    <xf numFmtId="0" fontId="19" fillId="0" borderId="0" xfId="0" applyFont="1"/>
    <xf numFmtId="164" fontId="249" fillId="19" borderId="28" xfId="1" applyFont="1" applyFill="1" applyBorder="1" applyAlignment="1">
      <alignment horizontal="center"/>
    </xf>
    <xf numFmtId="0" fontId="250" fillId="30" borderId="0" xfId="0" applyFont="1" applyFill="1"/>
    <xf numFmtId="43" fontId="251" fillId="38" borderId="0" xfId="21" applyNumberFormat="1" applyFont="1"/>
    <xf numFmtId="164" fontId="249" fillId="0" borderId="0" xfId="1" applyFont="1"/>
    <xf numFmtId="164" fontId="249" fillId="19" borderId="406" xfId="1" applyFont="1" applyFill="1" applyBorder="1" applyAlignment="1">
      <alignment horizontal="center"/>
    </xf>
    <xf numFmtId="164" fontId="250" fillId="30" borderId="0" xfId="0" applyNumberFormat="1" applyFont="1" applyFill="1"/>
    <xf numFmtId="43" fontId="251" fillId="37" borderId="0" xfId="20" applyNumberFormat="1" applyFont="1"/>
    <xf numFmtId="10" fontId="0" fillId="0" borderId="0" xfId="0" applyNumberFormat="1"/>
    <xf numFmtId="0" fontId="7" fillId="0" borderId="0" xfId="0" applyFont="1" applyAlignment="1">
      <alignment horizontal="center"/>
    </xf>
    <xf numFmtId="1" fontId="56" fillId="0" borderId="386" xfId="6" applyNumberFormat="1" applyFont="1" applyFill="1" applyBorder="1"/>
    <xf numFmtId="168" fontId="56" fillId="0" borderId="386" xfId="6" applyFont="1" applyFill="1" applyBorder="1"/>
    <xf numFmtId="168" fontId="56" fillId="0" borderId="387" xfId="6" applyFont="1" applyFill="1" applyBorder="1"/>
    <xf numFmtId="168" fontId="56" fillId="0" borderId="201" xfId="6" applyFont="1" applyFill="1" applyBorder="1"/>
    <xf numFmtId="168" fontId="245" fillId="11" borderId="40" xfId="6" applyFont="1" applyFill="1" applyBorder="1"/>
    <xf numFmtId="168" fontId="245" fillId="11" borderId="0" xfId="6" applyFont="1" applyFill="1" applyBorder="1" applyAlignment="1">
      <alignment horizontal="center"/>
    </xf>
    <xf numFmtId="164" fontId="7" fillId="0" borderId="0" xfId="0" applyNumberFormat="1" applyFont="1"/>
    <xf numFmtId="10" fontId="252" fillId="0" borderId="0" xfId="0" applyNumberFormat="1" applyFont="1"/>
    <xf numFmtId="164" fontId="82" fillId="30" borderId="222" xfId="0" applyNumberFormat="1" applyFont="1" applyFill="1" applyBorder="1" applyAlignment="1">
      <alignment horizontal="center"/>
    </xf>
    <xf numFmtId="0" fontId="2" fillId="0" borderId="0" xfId="22"/>
    <xf numFmtId="4" fontId="2" fillId="0" borderId="0" xfId="22" applyNumberFormat="1"/>
    <xf numFmtId="173" fontId="93" fillId="0" borderId="407" xfId="2" applyNumberFormat="1" applyFont="1" applyBorder="1"/>
    <xf numFmtId="0" fontId="23" fillId="43" borderId="408" xfId="2" applyFont="1" applyFill="1" applyBorder="1" applyAlignment="1">
      <alignment horizontal="right"/>
    </xf>
    <xf numFmtId="173" fontId="83" fillId="0" borderId="79" xfId="2" applyNumberFormat="1" applyFont="1" applyBorder="1" applyAlignment="1" applyProtection="1">
      <alignment horizontal="right"/>
      <protection locked="0"/>
    </xf>
    <xf numFmtId="173" fontId="83" fillId="0" borderId="80" xfId="2" applyNumberFormat="1" applyFont="1" applyBorder="1" applyAlignment="1" applyProtection="1">
      <alignment horizontal="right"/>
      <protection locked="0"/>
    </xf>
    <xf numFmtId="173" fontId="83" fillId="22" borderId="79" xfId="2" applyNumberFormat="1" applyFont="1" applyFill="1" applyBorder="1" applyAlignment="1" applyProtection="1">
      <alignment horizontal="right"/>
      <protection locked="0"/>
    </xf>
    <xf numFmtId="173" fontId="83" fillId="22" borderId="80" xfId="2" applyNumberFormat="1" applyFont="1" applyFill="1" applyBorder="1" applyAlignment="1" applyProtection="1">
      <alignment horizontal="right"/>
      <protection locked="0"/>
    </xf>
    <xf numFmtId="49" fontId="83" fillId="0" borderId="31" xfId="2" applyNumberFormat="1" applyFont="1" applyBorder="1" applyAlignment="1" applyProtection="1">
      <alignment horizontal="right"/>
      <protection locked="0"/>
    </xf>
    <xf numFmtId="9" fontId="83" fillId="0" borderId="26" xfId="2" applyNumberFormat="1" applyFont="1" applyBorder="1" applyProtection="1">
      <protection locked="0"/>
    </xf>
    <xf numFmtId="173" fontId="83" fillId="0" borderId="411" xfId="2" applyNumberFormat="1" applyFont="1" applyBorder="1" applyAlignment="1" applyProtection="1">
      <alignment horizontal="right"/>
      <protection locked="0"/>
    </xf>
    <xf numFmtId="173" fontId="83" fillId="0" borderId="412" xfId="2" applyNumberFormat="1" applyFont="1" applyBorder="1" applyAlignment="1" applyProtection="1">
      <alignment horizontal="right"/>
      <protection locked="0"/>
    </xf>
    <xf numFmtId="173" fontId="83" fillId="22" borderId="411" xfId="2" applyNumberFormat="1" applyFont="1" applyFill="1" applyBorder="1" applyAlignment="1" applyProtection="1">
      <alignment horizontal="right"/>
      <protection locked="0"/>
    </xf>
    <xf numFmtId="173" fontId="83" fillId="22" borderId="412" xfId="2" applyNumberFormat="1" applyFont="1" applyFill="1" applyBorder="1" applyAlignment="1" applyProtection="1">
      <alignment horizontal="right"/>
      <protection locked="0"/>
    </xf>
    <xf numFmtId="49" fontId="86" fillId="33" borderId="26" xfId="2" applyNumberFormat="1" applyFont="1" applyFill="1" applyBorder="1" applyAlignment="1">
      <alignment horizontal="right"/>
    </xf>
    <xf numFmtId="49" fontId="83" fillId="0" borderId="31" xfId="0" applyNumberFormat="1" applyFont="1" applyBorder="1" applyAlignment="1" applyProtection="1">
      <alignment horizontal="right"/>
      <protection locked="0"/>
    </xf>
    <xf numFmtId="49" fontId="86" fillId="0" borderId="26" xfId="2" applyNumberFormat="1" applyFont="1" applyBorder="1" applyAlignment="1">
      <alignment horizontal="right"/>
    </xf>
    <xf numFmtId="168" fontId="84" fillId="5" borderId="413" xfId="6" applyFont="1" applyFill="1" applyBorder="1" applyAlignment="1">
      <alignment horizontal="right"/>
    </xf>
    <xf numFmtId="9" fontId="86" fillId="33" borderId="263" xfId="2" applyNumberFormat="1" applyFont="1" applyFill="1" applyBorder="1"/>
    <xf numFmtId="49" fontId="83" fillId="0" borderId="414" xfId="2" applyNumberFormat="1" applyFont="1" applyBorder="1" applyAlignment="1" applyProtection="1">
      <alignment horizontal="right"/>
      <protection locked="0"/>
    </xf>
    <xf numFmtId="184" fontId="83" fillId="0" borderId="31" xfId="0" applyNumberFormat="1" applyFont="1" applyBorder="1" applyProtection="1">
      <protection locked="0"/>
    </xf>
    <xf numFmtId="184" fontId="83" fillId="0" borderId="31" xfId="2" applyNumberFormat="1" applyFont="1" applyBorder="1" applyProtection="1">
      <protection locked="0"/>
    </xf>
    <xf numFmtId="49" fontId="83" fillId="0" borderId="24" xfId="2" applyNumberFormat="1" applyFont="1" applyBorder="1" applyAlignment="1" applyProtection="1">
      <alignment horizontal="right"/>
      <protection locked="0"/>
    </xf>
    <xf numFmtId="184" fontId="86" fillId="33" borderId="31" xfId="2" applyNumberFormat="1" applyFont="1" applyFill="1" applyBorder="1"/>
    <xf numFmtId="9" fontId="86" fillId="33" borderId="26" xfId="2" applyNumberFormat="1" applyFont="1" applyFill="1" applyBorder="1" applyAlignment="1">
      <alignment horizontal="right"/>
    </xf>
    <xf numFmtId="184" fontId="86" fillId="0" borderId="31" xfId="2" applyNumberFormat="1" applyFont="1" applyBorder="1"/>
    <xf numFmtId="9" fontId="86" fillId="0" borderId="26" xfId="2" applyNumberFormat="1" applyFont="1" applyBorder="1" applyAlignment="1">
      <alignment horizontal="right"/>
    </xf>
    <xf numFmtId="0" fontId="99" fillId="44" borderId="417" xfId="0" applyFont="1" applyFill="1" applyBorder="1"/>
    <xf numFmtId="164" fontId="99" fillId="44" borderId="418" xfId="1" applyFont="1" applyFill="1" applyBorder="1"/>
    <xf numFmtId="0" fontId="99" fillId="44" borderId="419" xfId="0" applyFont="1" applyFill="1" applyBorder="1"/>
    <xf numFmtId="164" fontId="99" fillId="44" borderId="420" xfId="1" applyFont="1" applyFill="1" applyBorder="1"/>
    <xf numFmtId="0" fontId="99" fillId="44" borderId="421" xfId="0" applyFont="1" applyFill="1" applyBorder="1"/>
    <xf numFmtId="164" fontId="99" fillId="44" borderId="422" xfId="1" applyFont="1" applyFill="1" applyBorder="1"/>
    <xf numFmtId="0" fontId="255" fillId="0" borderId="23" xfId="0" applyFont="1" applyBorder="1" applyAlignment="1" applyProtection="1">
      <alignment vertical="top"/>
      <protection locked="0"/>
    </xf>
    <xf numFmtId="0" fontId="0" fillId="0" borderId="0" xfId="0" applyAlignment="1" applyProtection="1">
      <alignment horizontal="right" vertical="top"/>
      <protection locked="0"/>
    </xf>
    <xf numFmtId="0" fontId="0" fillId="0" borderId="24" xfId="0" applyBorder="1" applyAlignment="1" applyProtection="1">
      <alignment horizontal="right" vertical="top"/>
      <protection locked="0"/>
    </xf>
    <xf numFmtId="0" fontId="7" fillId="19" borderId="23" xfId="0" applyFont="1" applyFill="1" applyBorder="1" applyAlignment="1" applyProtection="1">
      <alignment vertical="top"/>
      <protection locked="0"/>
    </xf>
    <xf numFmtId="0" fontId="0" fillId="19" borderId="0" xfId="0" applyFill="1" applyAlignment="1" applyProtection="1">
      <alignment vertical="top"/>
      <protection locked="0"/>
    </xf>
    <xf numFmtId="0" fontId="0" fillId="19" borderId="24" xfId="0" applyFill="1" applyBorder="1" applyAlignment="1" applyProtection="1">
      <alignment vertical="top"/>
      <protection locked="0"/>
    </xf>
    <xf numFmtId="0" fontId="0" fillId="0" borderId="23" xfId="0" quotePrefix="1" applyBorder="1" applyAlignment="1" applyProtection="1">
      <alignment vertical="top"/>
      <protection locked="0"/>
    </xf>
    <xf numFmtId="0" fontId="7" fillId="19" borderId="23" xfId="0" quotePrefix="1" applyFont="1" applyFill="1" applyBorder="1" applyAlignment="1" applyProtection="1">
      <alignment vertical="top"/>
      <protection locked="0"/>
    </xf>
    <xf numFmtId="0" fontId="242" fillId="30" borderId="434" xfId="13" applyFont="1" applyFill="1" applyBorder="1" applyAlignment="1" applyProtection="1">
      <alignment vertical="center"/>
    </xf>
    <xf numFmtId="0" fontId="269" fillId="30" borderId="431" xfId="13" applyFont="1" applyFill="1" applyBorder="1" applyAlignment="1" applyProtection="1">
      <alignment horizontal="center" vertical="center"/>
    </xf>
    <xf numFmtId="0" fontId="0" fillId="11" borderId="24" xfId="0" applyFill="1" applyBorder="1" applyAlignment="1" applyProtection="1">
      <alignment vertical="top"/>
      <protection locked="0"/>
    </xf>
    <xf numFmtId="0" fontId="7" fillId="11" borderId="23" xfId="0" applyFont="1" applyFill="1" applyBorder="1" applyAlignment="1" applyProtection="1">
      <alignment vertical="top"/>
      <protection locked="0"/>
    </xf>
    <xf numFmtId="4" fontId="0" fillId="0" borderId="460" xfId="0" applyNumberFormat="1" applyBorder="1" applyAlignment="1" applyProtection="1">
      <alignment vertical="top"/>
      <protection locked="0"/>
    </xf>
    <xf numFmtId="0" fontId="7" fillId="0" borderId="23" xfId="0" quotePrefix="1" applyFont="1" applyBorder="1" applyAlignment="1" applyProtection="1">
      <alignment vertical="top"/>
      <protection locked="0"/>
    </xf>
    <xf numFmtId="0" fontId="0" fillId="11" borderId="0" xfId="0" applyFill="1" applyAlignment="1" applyProtection="1">
      <alignment vertical="top"/>
      <protection locked="0"/>
    </xf>
    <xf numFmtId="0" fontId="2" fillId="9" borderId="0" xfId="22" applyFill="1"/>
    <xf numFmtId="173" fontId="0" fillId="0" borderId="81" xfId="2" applyNumberFormat="1" applyFont="1" applyBorder="1" applyAlignment="1" applyProtection="1">
      <alignment horizontal="right"/>
      <protection locked="0"/>
    </xf>
    <xf numFmtId="9" fontId="0" fillId="0" borderId="345" xfId="10" applyFont="1" applyBorder="1" applyAlignment="1" applyProtection="1">
      <alignment vertical="top"/>
      <protection locked="0"/>
    </xf>
    <xf numFmtId="164" fontId="0" fillId="0" borderId="345" xfId="0" applyNumberFormat="1" applyBorder="1" applyAlignment="1" applyProtection="1">
      <alignment vertical="top"/>
      <protection locked="0"/>
    </xf>
    <xf numFmtId="164" fontId="0" fillId="0" borderId="348" xfId="0" applyNumberFormat="1" applyBorder="1" applyAlignment="1" applyProtection="1">
      <alignment vertical="top"/>
      <protection locked="0"/>
    </xf>
    <xf numFmtId="164" fontId="0" fillId="0" borderId="351" xfId="0" applyNumberFormat="1" applyBorder="1" applyAlignment="1" applyProtection="1">
      <alignment vertical="top"/>
      <protection locked="0"/>
    </xf>
    <xf numFmtId="0" fontId="0" fillId="0" borderId="0" xfId="0" applyAlignment="1">
      <alignment wrapText="1"/>
    </xf>
    <xf numFmtId="173" fontId="12" fillId="9" borderId="28" xfId="2" applyNumberFormat="1" applyFill="1" applyBorder="1"/>
    <xf numFmtId="4" fontId="99" fillId="0" borderId="0" xfId="0" applyNumberFormat="1" applyFont="1"/>
    <xf numFmtId="0" fontId="11" fillId="0" borderId="29" xfId="0" applyFont="1" applyBorder="1" applyAlignment="1">
      <alignment horizontal="left" indent="2"/>
    </xf>
    <xf numFmtId="0" fontId="11" fillId="0" borderId="30" xfId="0" applyFont="1" applyBorder="1" applyAlignment="1">
      <alignment horizontal="left" indent="2"/>
    </xf>
    <xf numFmtId="0" fontId="11" fillId="0" borderId="31" xfId="0" applyFont="1" applyBorder="1" applyAlignment="1">
      <alignment horizontal="left" indent="2"/>
    </xf>
    <xf numFmtId="165" fontId="11" fillId="0" borderId="29" xfId="0" applyNumberFormat="1" applyFont="1" applyBorder="1" applyAlignment="1">
      <alignment horizontal="left" indent="2"/>
    </xf>
    <xf numFmtId="165" fontId="11" fillId="0" borderId="30" xfId="0" applyNumberFormat="1" applyFont="1" applyBorder="1" applyAlignment="1">
      <alignment horizontal="left" indent="2"/>
    </xf>
    <xf numFmtId="165" fontId="11" fillId="0" borderId="31" xfId="0" applyNumberFormat="1" applyFont="1" applyBorder="1" applyAlignment="1">
      <alignment horizontal="left" indent="2"/>
    </xf>
    <xf numFmtId="0" fontId="216" fillId="0" borderId="0" xfId="0" applyFont="1" applyAlignment="1">
      <alignment horizontal="center" vertical="center" wrapText="1"/>
    </xf>
    <xf numFmtId="0" fontId="228" fillId="0" borderId="0" xfId="0" applyFont="1" applyAlignment="1">
      <alignment horizontal="center"/>
    </xf>
    <xf numFmtId="165" fontId="230" fillId="0" borderId="0" xfId="0" applyNumberFormat="1" applyFont="1" applyAlignment="1">
      <alignment horizontal="center"/>
    </xf>
    <xf numFmtId="0" fontId="243" fillId="0" borderId="227" xfId="0" applyFont="1" applyBorder="1" applyAlignment="1">
      <alignment horizontal="center" vertical="center" wrapText="1"/>
    </xf>
    <xf numFmtId="0" fontId="243" fillId="0" borderId="0" xfId="0" applyFont="1" applyAlignment="1">
      <alignment horizontal="center" vertical="center" wrapText="1"/>
    </xf>
    <xf numFmtId="0" fontId="243" fillId="0" borderId="223" xfId="0" applyFont="1" applyBorder="1" applyAlignment="1">
      <alignment horizontal="center" vertical="center" wrapText="1"/>
    </xf>
    <xf numFmtId="0" fontId="215" fillId="0" borderId="0" xfId="0" applyFont="1" applyAlignment="1">
      <alignment horizontal="center" vertical="center" wrapText="1"/>
    </xf>
    <xf numFmtId="182" fontId="218" fillId="0" borderId="0" xfId="0" applyNumberFormat="1" applyFont="1" applyAlignment="1">
      <alignment horizontal="center"/>
    </xf>
    <xf numFmtId="0" fontId="219" fillId="0" borderId="0" xfId="0" applyFont="1" applyAlignment="1">
      <alignment horizontal="left" indent="10"/>
    </xf>
    <xf numFmtId="0" fontId="219" fillId="0" borderId="0" xfId="0" applyFont="1" applyAlignment="1">
      <alignment horizontal="left" indent="8"/>
    </xf>
    <xf numFmtId="165" fontId="46" fillId="0" borderId="29" xfId="0" applyNumberFormat="1" applyFont="1" applyBorder="1" applyAlignment="1">
      <alignment horizontal="center"/>
    </xf>
    <xf numFmtId="165" fontId="46" fillId="0" borderId="30" xfId="0" applyNumberFormat="1" applyFont="1" applyBorder="1" applyAlignment="1">
      <alignment horizontal="center"/>
    </xf>
    <xf numFmtId="165" fontId="46" fillId="0" borderId="31" xfId="0" applyNumberFormat="1" applyFont="1" applyBorder="1" applyAlignment="1">
      <alignment horizontal="center"/>
    </xf>
    <xf numFmtId="0" fontId="0" fillId="0" borderId="0" xfId="0" applyAlignment="1">
      <alignment horizontal="left" vertical="top" wrapText="1" indent="5"/>
    </xf>
    <xf numFmtId="164" fontId="23" fillId="0" borderId="37" xfId="1" applyFont="1" applyBorder="1" applyAlignment="1">
      <alignment horizontal="center" wrapText="1"/>
    </xf>
    <xf numFmtId="164" fontId="23" fillId="0" borderId="35" xfId="1" applyFont="1" applyBorder="1" applyAlignment="1">
      <alignment horizontal="center" wrapText="1"/>
    </xf>
    <xf numFmtId="164" fontId="63" fillId="0" borderId="28" xfId="1" applyFont="1" applyBorder="1" applyAlignment="1">
      <alignment horizontal="center"/>
    </xf>
    <xf numFmtId="164" fontId="26" fillId="0" borderId="28" xfId="1" applyFont="1" applyBorder="1" applyAlignment="1">
      <alignment horizontal="center"/>
    </xf>
    <xf numFmtId="165" fontId="190" fillId="0" borderId="208" xfId="0" applyNumberFormat="1" applyFont="1" applyBorder="1" applyAlignment="1">
      <alignment horizontal="center"/>
    </xf>
    <xf numFmtId="165" fontId="127" fillId="0" borderId="208" xfId="0" applyNumberFormat="1" applyFont="1" applyBorder="1" applyAlignment="1">
      <alignment horizontal="center"/>
    </xf>
    <xf numFmtId="0" fontId="0" fillId="0" borderId="28" xfId="0" applyBorder="1" applyAlignment="1" applyProtection="1">
      <alignment horizontal="left" vertical="top"/>
      <protection locked="0"/>
    </xf>
    <xf numFmtId="0" fontId="88" fillId="0" borderId="29" xfId="0" applyFont="1" applyBorder="1" applyAlignment="1">
      <alignment horizontal="left" indent="1"/>
    </xf>
    <xf numFmtId="0" fontId="88" fillId="0" borderId="31" xfId="0" applyFont="1" applyBorder="1" applyAlignment="1">
      <alignment horizontal="left" indent="1"/>
    </xf>
    <xf numFmtId="0" fontId="59" fillId="2" borderId="23" xfId="0" applyFont="1" applyFill="1" applyBorder="1" applyAlignment="1">
      <alignment horizontal="center"/>
    </xf>
    <xf numFmtId="0" fontId="59" fillId="2" borderId="0" xfId="0" applyFont="1" applyFill="1" applyAlignment="1">
      <alignment horizontal="center"/>
    </xf>
    <xf numFmtId="165" fontId="81" fillId="0" borderId="28" xfId="0" applyNumberFormat="1" applyFont="1" applyBorder="1" applyAlignment="1">
      <alignment horizontal="center"/>
    </xf>
    <xf numFmtId="177" fontId="58" fillId="0" borderId="106" xfId="1" applyNumberFormat="1" applyFont="1" applyBorder="1" applyAlignment="1" applyProtection="1">
      <alignment horizontal="left" vertical="top"/>
      <protection locked="0"/>
    </xf>
    <xf numFmtId="177" fontId="58" fillId="0" borderId="107" xfId="1" applyNumberFormat="1" applyFont="1" applyBorder="1" applyAlignment="1" applyProtection="1">
      <alignment horizontal="left" vertical="top"/>
      <protection locked="0"/>
    </xf>
    <xf numFmtId="177" fontId="58" fillId="0" borderId="108" xfId="1" applyNumberFormat="1" applyFont="1" applyBorder="1" applyAlignment="1" applyProtection="1">
      <alignment horizontal="left" vertical="top"/>
      <protection locked="0"/>
    </xf>
    <xf numFmtId="165" fontId="34" fillId="0" borderId="1" xfId="0" applyNumberFormat="1" applyFont="1" applyBorder="1" applyAlignment="1" applyProtection="1">
      <alignment horizontal="left" indent="1"/>
      <protection locked="0"/>
    </xf>
    <xf numFmtId="165" fontId="46" fillId="0" borderId="28" xfId="0" applyNumberFormat="1" applyFont="1" applyBorder="1" applyAlignment="1">
      <alignment horizontal="center"/>
    </xf>
    <xf numFmtId="0" fontId="14" fillId="3" borderId="53" xfId="0" applyFont="1" applyFill="1" applyBorder="1" applyAlignment="1">
      <alignment horizontal="left" indent="1"/>
    </xf>
    <xf numFmtId="0" fontId="14" fillId="3" borderId="0" xfId="0" applyFont="1" applyFill="1" applyAlignment="1">
      <alignment horizontal="left" indent="1"/>
    </xf>
    <xf numFmtId="0" fontId="38" fillId="41" borderId="363" xfId="0" applyFont="1" applyFill="1" applyBorder="1" applyAlignment="1">
      <alignment horizontal="center"/>
    </xf>
    <xf numFmtId="0" fontId="38" fillId="41" borderId="364" xfId="0" applyFont="1" applyFill="1" applyBorder="1" applyAlignment="1">
      <alignment horizontal="center"/>
    </xf>
    <xf numFmtId="0" fontId="38" fillId="41" borderId="365" xfId="0" applyFont="1" applyFill="1" applyBorder="1" applyAlignment="1">
      <alignment horizontal="center"/>
    </xf>
    <xf numFmtId="0" fontId="248" fillId="41" borderId="0" xfId="0" applyFont="1" applyFill="1" applyAlignment="1">
      <alignment horizontal="left"/>
    </xf>
    <xf numFmtId="0" fontId="248" fillId="41" borderId="367" xfId="0" applyFont="1" applyFill="1" applyBorder="1" applyAlignment="1">
      <alignment horizontal="left"/>
    </xf>
    <xf numFmtId="0" fontId="38" fillId="41" borderId="369" xfId="0" applyFont="1" applyFill="1" applyBorder="1" applyAlignment="1">
      <alignment horizontal="center"/>
    </xf>
    <xf numFmtId="0" fontId="38" fillId="41" borderId="370" xfId="0" applyFont="1" applyFill="1" applyBorder="1" applyAlignment="1">
      <alignment horizontal="center"/>
    </xf>
    <xf numFmtId="0" fontId="0" fillId="41" borderId="0" xfId="0" applyFill="1" applyAlignment="1">
      <alignment horizontal="left" wrapText="1"/>
    </xf>
    <xf numFmtId="0" fontId="0" fillId="41" borderId="367" xfId="0" applyFill="1" applyBorder="1" applyAlignment="1">
      <alignment horizontal="left" wrapText="1"/>
    </xf>
    <xf numFmtId="0" fontId="38" fillId="40" borderId="366" xfId="0" applyFont="1" applyFill="1" applyBorder="1" applyAlignment="1">
      <alignment horizontal="left"/>
    </xf>
    <xf numFmtId="0" fontId="38" fillId="40" borderId="0" xfId="0" applyFont="1" applyFill="1" applyAlignment="1">
      <alignment horizontal="left"/>
    </xf>
    <xf numFmtId="0" fontId="38" fillId="40" borderId="367" xfId="0" applyFont="1" applyFill="1" applyBorder="1" applyAlignment="1">
      <alignment horizontal="left"/>
    </xf>
    <xf numFmtId="0" fontId="38" fillId="41" borderId="366" xfId="0" applyFont="1" applyFill="1" applyBorder="1" applyAlignment="1">
      <alignment horizontal="left"/>
    </xf>
    <xf numFmtId="0" fontId="38" fillId="41" borderId="0" xfId="0" applyFont="1" applyFill="1" applyAlignment="1">
      <alignment horizontal="left"/>
    </xf>
    <xf numFmtId="0" fontId="38" fillId="41" borderId="367" xfId="0" applyFont="1" applyFill="1" applyBorder="1" applyAlignment="1">
      <alignment horizontal="left"/>
    </xf>
    <xf numFmtId="0" fontId="0" fillId="40" borderId="0" xfId="0" applyFill="1" applyAlignment="1">
      <alignment horizontal="justify" vertical="top" wrapText="1"/>
    </xf>
    <xf numFmtId="0" fontId="0" fillId="40" borderId="367" xfId="0" applyFill="1" applyBorder="1" applyAlignment="1">
      <alignment horizontal="justify" vertical="top" wrapText="1"/>
    </xf>
    <xf numFmtId="164" fontId="26" fillId="19" borderId="28" xfId="1" applyFont="1" applyFill="1" applyBorder="1" applyAlignment="1">
      <alignment horizontal="center"/>
    </xf>
    <xf numFmtId="1" fontId="23" fillId="0" borderId="371" xfId="1" applyNumberFormat="1" applyFont="1" applyBorder="1" applyAlignment="1">
      <alignment horizontal="justify" vertical="top" wrapText="1"/>
    </xf>
    <xf numFmtId="1" fontId="23" fillId="0" borderId="372" xfId="1" applyNumberFormat="1" applyFont="1" applyBorder="1" applyAlignment="1">
      <alignment horizontal="justify" vertical="top" wrapText="1"/>
    </xf>
    <xf numFmtId="1" fontId="23" fillId="0" borderId="373" xfId="1" applyNumberFormat="1" applyFont="1" applyBorder="1" applyAlignment="1">
      <alignment horizontal="justify" vertical="top" wrapText="1"/>
    </xf>
    <xf numFmtId="0" fontId="59" fillId="2" borderId="7" xfId="0" applyFont="1" applyFill="1" applyBorder="1" applyAlignment="1">
      <alignment horizontal="center"/>
    </xf>
    <xf numFmtId="0" fontId="59" fillId="2" borderId="8" xfId="0" applyFont="1" applyFill="1" applyBorder="1" applyAlignment="1">
      <alignment horizontal="center"/>
    </xf>
    <xf numFmtId="0" fontId="59" fillId="0" borderId="7" xfId="0" applyFont="1" applyBorder="1" applyAlignment="1">
      <alignment horizontal="center"/>
    </xf>
    <xf numFmtId="0" fontId="59" fillId="0" borderId="8" xfId="0" applyFont="1" applyBorder="1" applyAlignment="1">
      <alignment horizontal="center"/>
    </xf>
    <xf numFmtId="0" fontId="59" fillId="42" borderId="7" xfId="0" applyFont="1" applyFill="1" applyBorder="1" applyAlignment="1">
      <alignment horizontal="center"/>
    </xf>
    <xf numFmtId="0" fontId="59" fillId="42" borderId="8" xfId="0" applyFont="1" applyFill="1" applyBorder="1" applyAlignment="1">
      <alignment horizontal="center"/>
    </xf>
    <xf numFmtId="0" fontId="0" fillId="0" borderId="378" xfId="0" applyBorder="1" applyAlignment="1" applyProtection="1">
      <alignment horizontal="center" vertical="top"/>
      <protection locked="0"/>
    </xf>
    <xf numFmtId="0" fontId="0" fillId="0" borderId="379" xfId="0" applyBorder="1" applyAlignment="1" applyProtection="1">
      <alignment horizontal="center" vertical="top"/>
      <protection locked="0"/>
    </xf>
    <xf numFmtId="0" fontId="0" fillId="0" borderId="380" xfId="0" applyBorder="1" applyAlignment="1" applyProtection="1">
      <alignment horizontal="center" vertical="top"/>
      <protection locked="0"/>
    </xf>
    <xf numFmtId="0" fontId="14" fillId="3" borderId="283" xfId="0" applyFont="1" applyFill="1" applyBorder="1" applyAlignment="1">
      <alignment horizontal="center"/>
    </xf>
    <xf numFmtId="0" fontId="14" fillId="3" borderId="142" xfId="0" applyFont="1" applyFill="1" applyBorder="1" applyAlignment="1">
      <alignment horizontal="center"/>
    </xf>
    <xf numFmtId="0" fontId="88" fillId="0" borderId="29" xfId="0" applyFont="1" applyBorder="1" applyAlignment="1">
      <alignment horizontal="center"/>
    </xf>
    <xf numFmtId="0" fontId="88" fillId="0" borderId="30" xfId="0" applyFont="1" applyBorder="1" applyAlignment="1">
      <alignment horizontal="center"/>
    </xf>
    <xf numFmtId="0" fontId="88" fillId="0" borderId="207" xfId="0" applyFont="1" applyBorder="1" applyAlignment="1">
      <alignment horizontal="left" indent="1"/>
    </xf>
    <xf numFmtId="165" fontId="81" fillId="0" borderId="7" xfId="0" applyNumberFormat="1" applyFont="1" applyBorder="1" applyAlignment="1">
      <alignment horizontal="center"/>
    </xf>
    <xf numFmtId="165" fontId="81" fillId="0" borderId="8" xfId="0" applyNumberFormat="1" applyFont="1" applyBorder="1" applyAlignment="1">
      <alignment horizontal="center"/>
    </xf>
    <xf numFmtId="0" fontId="7" fillId="10" borderId="377" xfId="0" applyFont="1" applyFill="1" applyBorder="1" applyAlignment="1" applyProtection="1">
      <alignment horizontal="left" vertical="top"/>
      <protection locked="0"/>
    </xf>
    <xf numFmtId="0" fontId="7" fillId="10" borderId="0" xfId="0" applyFont="1" applyFill="1" applyAlignment="1" applyProtection="1">
      <alignment horizontal="left" vertical="top"/>
      <protection locked="0"/>
    </xf>
    <xf numFmtId="0" fontId="7" fillId="0" borderId="341" xfId="0" applyFont="1" applyBorder="1" applyAlignment="1" applyProtection="1">
      <alignment horizontal="left" vertical="top"/>
      <protection locked="0"/>
    </xf>
    <xf numFmtId="0" fontId="7" fillId="0" borderId="384" xfId="0" applyFont="1" applyBorder="1" applyAlignment="1" applyProtection="1">
      <alignment horizontal="left" vertical="top"/>
      <protection locked="0"/>
    </xf>
    <xf numFmtId="0" fontId="7" fillId="0" borderId="385" xfId="0" applyFont="1" applyBorder="1" applyAlignment="1" applyProtection="1">
      <alignment horizontal="left" vertical="top"/>
      <protection locked="0"/>
    </xf>
    <xf numFmtId="0" fontId="0" fillId="0" borderId="381" xfId="0" applyBorder="1" applyAlignment="1" applyProtection="1">
      <alignment horizontal="center" vertical="top"/>
      <protection locked="0"/>
    </xf>
    <xf numFmtId="0" fontId="0" fillId="0" borderId="382" xfId="0" applyBorder="1" applyAlignment="1" applyProtection="1">
      <alignment horizontal="center" vertical="top"/>
      <protection locked="0"/>
    </xf>
    <xf numFmtId="0" fontId="0" fillId="0" borderId="383" xfId="0" applyBorder="1" applyAlignment="1" applyProtection="1">
      <alignment horizontal="center" vertical="top"/>
      <protection locked="0"/>
    </xf>
    <xf numFmtId="0" fontId="0" fillId="0" borderId="391" xfId="0" applyBorder="1" applyAlignment="1" applyProtection="1">
      <alignment horizontal="center" vertical="top"/>
      <protection locked="0"/>
    </xf>
    <xf numFmtId="0" fontId="0" fillId="0" borderId="392" xfId="0" applyBorder="1" applyAlignment="1" applyProtection="1">
      <alignment horizontal="center" vertical="top"/>
      <protection locked="0"/>
    </xf>
    <xf numFmtId="0" fontId="0" fillId="0" borderId="393" xfId="0" applyBorder="1" applyAlignment="1" applyProtection="1">
      <alignment horizontal="center" vertical="top"/>
      <protection locked="0"/>
    </xf>
    <xf numFmtId="0" fontId="88" fillId="0" borderId="29" xfId="0" applyFont="1" applyBorder="1" applyAlignment="1">
      <alignment horizontal="right"/>
    </xf>
    <xf numFmtId="0" fontId="88" fillId="0" borderId="30" xfId="0" applyFont="1" applyBorder="1" applyAlignment="1">
      <alignment horizontal="right"/>
    </xf>
    <xf numFmtId="0" fontId="88" fillId="0" borderId="29" xfId="0" applyFont="1" applyBorder="1" applyAlignment="1">
      <alignment horizontal="right" indent="1"/>
    </xf>
    <xf numFmtId="0" fontId="88" fillId="0" borderId="207" xfId="0" applyFont="1" applyBorder="1" applyAlignment="1">
      <alignment horizontal="right" indent="1"/>
    </xf>
    <xf numFmtId="0" fontId="75" fillId="10" borderId="28" xfId="0" applyFont="1" applyFill="1" applyBorder="1" applyAlignment="1">
      <alignment horizontal="center"/>
    </xf>
    <xf numFmtId="0" fontId="75" fillId="0" borderId="28" xfId="0" applyFont="1" applyBorder="1" applyAlignment="1">
      <alignment horizontal="center"/>
    </xf>
    <xf numFmtId="0" fontId="14" fillId="3" borderId="29" xfId="2" applyFont="1" applyFill="1" applyBorder="1" applyAlignment="1">
      <alignment horizontal="left" indent="1"/>
    </xf>
    <xf numFmtId="0" fontId="14" fillId="3" borderId="31" xfId="2" applyFont="1" applyFill="1" applyBorder="1" applyAlignment="1">
      <alignment horizontal="left" indent="1"/>
    </xf>
    <xf numFmtId="0" fontId="51" fillId="3" borderId="20" xfId="2" applyFont="1" applyFill="1" applyBorder="1" applyAlignment="1">
      <alignment horizontal="center"/>
    </xf>
    <xf numFmtId="0" fontId="51" fillId="3" borderId="21" xfId="2" applyFont="1" applyFill="1" applyBorder="1" applyAlignment="1">
      <alignment horizontal="center"/>
    </xf>
    <xf numFmtId="0" fontId="51" fillId="3" borderId="22" xfId="2" applyFont="1" applyFill="1" applyBorder="1" applyAlignment="1">
      <alignment horizontal="center"/>
    </xf>
    <xf numFmtId="168" fontId="58" fillId="0" borderId="136" xfId="6" applyFont="1" applyBorder="1" applyAlignment="1" applyProtection="1">
      <alignment horizontal="left" vertical="top" wrapText="1"/>
      <protection locked="0"/>
    </xf>
    <xf numFmtId="168" fontId="58" fillId="0" borderId="137" xfId="6" applyFont="1" applyBorder="1" applyAlignment="1" applyProtection="1">
      <alignment horizontal="left" vertical="top" wrapText="1"/>
      <protection locked="0"/>
    </xf>
    <xf numFmtId="168" fontId="58" fillId="0" borderId="138" xfId="6" applyFont="1" applyBorder="1" applyAlignment="1" applyProtection="1">
      <alignment horizontal="left" vertical="top" wrapText="1"/>
      <protection locked="0"/>
    </xf>
    <xf numFmtId="168" fontId="58" fillId="0" borderId="139" xfId="6" applyFont="1" applyBorder="1" applyAlignment="1" applyProtection="1">
      <alignment horizontal="left" vertical="top" wrapText="1"/>
      <protection locked="0"/>
    </xf>
    <xf numFmtId="168" fontId="58" fillId="0" borderId="0" xfId="6" applyFont="1" applyAlignment="1" applyProtection="1">
      <alignment horizontal="left" vertical="top" wrapText="1"/>
      <protection locked="0"/>
    </xf>
    <xf numFmtId="168" fontId="58" fillId="0" borderId="140" xfId="6" applyFont="1" applyBorder="1" applyAlignment="1" applyProtection="1">
      <alignment horizontal="left" vertical="top" wrapText="1"/>
      <protection locked="0"/>
    </xf>
    <xf numFmtId="168" fontId="58" fillId="0" borderId="141" xfId="6" applyFont="1" applyBorder="1" applyAlignment="1" applyProtection="1">
      <alignment horizontal="left" vertical="top" wrapText="1"/>
      <protection locked="0"/>
    </xf>
    <xf numFmtId="168" fontId="58" fillId="0" borderId="142" xfId="6" applyFont="1" applyBorder="1" applyAlignment="1" applyProtection="1">
      <alignment horizontal="left" vertical="top" wrapText="1"/>
      <protection locked="0"/>
    </xf>
    <xf numFmtId="168" fontId="58" fillId="0" borderId="143" xfId="6" applyFont="1" applyBorder="1" applyAlignment="1" applyProtection="1">
      <alignment horizontal="left" vertical="top" wrapText="1"/>
      <protection locked="0"/>
    </xf>
    <xf numFmtId="0" fontId="14" fillId="27" borderId="28" xfId="2" applyFont="1" applyFill="1" applyBorder="1" applyAlignment="1">
      <alignment horizontal="center"/>
    </xf>
    <xf numFmtId="0" fontId="14" fillId="3" borderId="29" xfId="0" applyFont="1" applyFill="1" applyBorder="1" applyAlignment="1">
      <alignment horizontal="left" indent="1"/>
    </xf>
    <xf numFmtId="0" fontId="14" fillId="3" borderId="31" xfId="0" applyFont="1" applyFill="1" applyBorder="1" applyAlignment="1">
      <alignment horizontal="left" indent="1"/>
    </xf>
    <xf numFmtId="0" fontId="14" fillId="3" borderId="28" xfId="2" applyFont="1" applyFill="1" applyBorder="1" applyAlignment="1">
      <alignment horizontal="center"/>
    </xf>
    <xf numFmtId="0" fontId="14" fillId="3" borderId="292" xfId="2" applyFont="1" applyFill="1" applyBorder="1" applyAlignment="1">
      <alignment horizontal="center"/>
    </xf>
    <xf numFmtId="0" fontId="14" fillId="27" borderId="292" xfId="2" applyFont="1" applyFill="1" applyBorder="1" applyAlignment="1">
      <alignment horizontal="center"/>
    </xf>
    <xf numFmtId="0" fontId="0" fillId="0" borderId="347" xfId="0" applyBorder="1" applyAlignment="1" applyProtection="1">
      <alignment horizontal="center" vertical="top"/>
      <protection locked="0"/>
    </xf>
    <xf numFmtId="0" fontId="0" fillId="0" borderId="348" xfId="0" applyBorder="1" applyAlignment="1" applyProtection="1">
      <alignment horizontal="center" vertical="top"/>
      <protection locked="0"/>
    </xf>
    <xf numFmtId="0" fontId="0" fillId="0" borderId="350" xfId="0" applyBorder="1" applyAlignment="1" applyProtection="1">
      <alignment horizontal="center" vertical="top"/>
      <protection locked="0"/>
    </xf>
    <xf numFmtId="0" fontId="0" fillId="0" borderId="351" xfId="0" applyBorder="1" applyAlignment="1" applyProtection="1">
      <alignment horizontal="center" vertical="top"/>
      <protection locked="0"/>
    </xf>
    <xf numFmtId="0" fontId="88" fillId="0" borderId="30" xfId="0" applyFont="1" applyBorder="1" applyAlignment="1">
      <alignment horizontal="left" indent="1"/>
    </xf>
    <xf numFmtId="0" fontId="0" fillId="10" borderId="347" xfId="0" applyFill="1" applyBorder="1" applyAlignment="1" applyProtection="1">
      <alignment horizontal="center" vertical="top"/>
      <protection locked="0"/>
    </xf>
    <xf numFmtId="0" fontId="0" fillId="10" borderId="348" xfId="0" applyFill="1" applyBorder="1" applyAlignment="1" applyProtection="1">
      <alignment horizontal="center" vertical="top"/>
      <protection locked="0"/>
    </xf>
    <xf numFmtId="0" fontId="14" fillId="3" borderId="23" xfId="0" applyFont="1" applyFill="1" applyBorder="1" applyAlignment="1">
      <alignment horizontal="center"/>
    </xf>
    <xf numFmtId="0" fontId="14" fillId="3" borderId="0" xfId="0" applyFont="1" applyFill="1" applyAlignment="1">
      <alignment horizontal="center"/>
    </xf>
    <xf numFmtId="0" fontId="7" fillId="0" borderId="342" xfId="0" applyFont="1" applyBorder="1" applyAlignment="1" applyProtection="1">
      <alignment horizontal="left" vertical="top"/>
      <protection locked="0"/>
    </xf>
    <xf numFmtId="0" fontId="0" fillId="0" borderId="344" xfId="0" applyBorder="1" applyAlignment="1" applyProtection="1">
      <alignment horizontal="center" vertical="top"/>
      <protection locked="0"/>
    </xf>
    <xf numFmtId="0" fontId="0" fillId="0" borderId="345" xfId="0" applyBorder="1" applyAlignment="1" applyProtection="1">
      <alignment horizontal="center" vertical="top"/>
      <protection locked="0"/>
    </xf>
    <xf numFmtId="0" fontId="51" fillId="3" borderId="29" xfId="2" applyFont="1" applyFill="1" applyBorder="1" applyAlignment="1">
      <alignment horizontal="center"/>
    </xf>
    <xf numFmtId="0" fontId="51" fillId="3" borderId="31" xfId="2" applyFont="1" applyFill="1" applyBorder="1" applyAlignment="1">
      <alignment horizontal="center"/>
    </xf>
    <xf numFmtId="168" fontId="58" fillId="0" borderId="20" xfId="6" applyFont="1" applyBorder="1" applyAlignment="1" applyProtection="1">
      <alignment horizontal="center" vertical="top"/>
      <protection locked="0"/>
    </xf>
    <xf numFmtId="168" fontId="58" fillId="0" borderId="22" xfId="6" applyFont="1" applyBorder="1" applyAlignment="1" applyProtection="1">
      <alignment horizontal="center" vertical="top"/>
      <protection locked="0"/>
    </xf>
    <xf numFmtId="168" fontId="58" fillId="0" borderId="25" xfId="6" applyFont="1" applyBorder="1" applyAlignment="1" applyProtection="1">
      <alignment horizontal="center" vertical="top"/>
      <protection locked="0"/>
    </xf>
    <xf numFmtId="168" fontId="58" fillId="0" borderId="26" xfId="6" applyFont="1" applyBorder="1" applyAlignment="1" applyProtection="1">
      <alignment horizontal="center" vertical="top"/>
      <protection locked="0"/>
    </xf>
    <xf numFmtId="0" fontId="14" fillId="3" borderId="23" xfId="0" applyFont="1" applyFill="1" applyBorder="1" applyAlignment="1">
      <alignment horizontal="left" indent="2"/>
    </xf>
    <xf numFmtId="0" fontId="14" fillId="3" borderId="0" xfId="0" applyFont="1" applyFill="1" applyAlignment="1">
      <alignment horizontal="left" indent="2"/>
    </xf>
    <xf numFmtId="0" fontId="14" fillId="3" borderId="37" xfId="2" applyFont="1" applyFill="1" applyBorder="1" applyAlignment="1">
      <alignment horizontal="center" wrapText="1"/>
    </xf>
    <xf numFmtId="0" fontId="14" fillId="3" borderId="35" xfId="2" applyFont="1" applyFill="1" applyBorder="1" applyAlignment="1">
      <alignment horizontal="center" wrapText="1"/>
    </xf>
    <xf numFmtId="0" fontId="51" fillId="3" borderId="25" xfId="2" applyFont="1" applyFill="1" applyBorder="1" applyAlignment="1">
      <alignment horizontal="center"/>
    </xf>
    <xf numFmtId="0" fontId="51" fillId="3" borderId="26" xfId="2" applyFont="1" applyFill="1" applyBorder="1" applyAlignment="1">
      <alignment horizontal="center"/>
    </xf>
    <xf numFmtId="0" fontId="12" fillId="0" borderId="20" xfId="2" applyBorder="1" applyAlignment="1" applyProtection="1">
      <alignment horizontal="left" vertical="top" wrapText="1" indent="1"/>
      <protection locked="0"/>
    </xf>
    <xf numFmtId="0" fontId="12" fillId="0" borderId="22" xfId="2" applyBorder="1" applyAlignment="1" applyProtection="1">
      <alignment horizontal="left" vertical="top" wrapText="1" indent="1"/>
      <protection locked="0"/>
    </xf>
    <xf numFmtId="0" fontId="12" fillId="0" borderId="23" xfId="2" applyBorder="1" applyAlignment="1" applyProtection="1">
      <alignment horizontal="left" vertical="top" wrapText="1" indent="1"/>
      <protection locked="0"/>
    </xf>
    <xf numFmtId="0" fontId="12" fillId="0" borderId="24" xfId="2" applyBorder="1" applyAlignment="1" applyProtection="1">
      <alignment horizontal="left" vertical="top" wrapText="1" indent="1"/>
      <protection locked="0"/>
    </xf>
    <xf numFmtId="0" fontId="12" fillId="0" borderId="25" xfId="2" applyBorder="1" applyAlignment="1" applyProtection="1">
      <alignment horizontal="left" vertical="top" wrapText="1" indent="1"/>
      <protection locked="0"/>
    </xf>
    <xf numFmtId="0" fontId="12" fillId="0" borderId="26" xfId="2" applyBorder="1" applyAlignment="1" applyProtection="1">
      <alignment horizontal="left" vertical="top" wrapText="1" indent="1"/>
      <protection locked="0"/>
    </xf>
    <xf numFmtId="164" fontId="58" fillId="0" borderId="20" xfId="1" applyFont="1" applyBorder="1" applyAlignment="1" applyProtection="1">
      <alignment horizontal="left" vertical="top" wrapText="1" indent="1"/>
      <protection locked="0"/>
    </xf>
    <xf numFmtId="164" fontId="58" fillId="0" borderId="22" xfId="1" applyFont="1" applyBorder="1" applyAlignment="1" applyProtection="1">
      <alignment horizontal="left" vertical="top" wrapText="1" indent="1"/>
      <protection locked="0"/>
    </xf>
    <xf numFmtId="164" fontId="58" fillId="0" borderId="25" xfId="1" applyFont="1" applyBorder="1" applyAlignment="1" applyProtection="1">
      <alignment horizontal="left" vertical="top" wrapText="1" indent="1"/>
      <protection locked="0"/>
    </xf>
    <xf numFmtId="164" fontId="58" fillId="0" borderId="26" xfId="1" applyFont="1" applyBorder="1" applyAlignment="1" applyProtection="1">
      <alignment horizontal="left" vertical="top" wrapText="1" indent="1"/>
      <protection locked="0"/>
    </xf>
    <xf numFmtId="0" fontId="14" fillId="3" borderId="37" xfId="0" applyFont="1" applyFill="1" applyBorder="1" applyAlignment="1">
      <alignment horizontal="center" wrapText="1"/>
    </xf>
    <xf numFmtId="0" fontId="14" fillId="3" borderId="35" xfId="0" applyFont="1" applyFill="1" applyBorder="1" applyAlignment="1">
      <alignment horizontal="center" wrapText="1"/>
    </xf>
    <xf numFmtId="0" fontId="14" fillId="3" borderId="28" xfId="0" applyFont="1" applyFill="1" applyBorder="1" applyAlignment="1">
      <alignment horizontal="center"/>
    </xf>
    <xf numFmtId="0" fontId="51" fillId="3" borderId="20" xfId="0" applyFont="1" applyFill="1" applyBorder="1" applyAlignment="1">
      <alignment horizontal="center"/>
    </xf>
    <xf numFmtId="0" fontId="51" fillId="3" borderId="22" xfId="0" applyFont="1" applyFill="1" applyBorder="1" applyAlignment="1">
      <alignment horizontal="center"/>
    </xf>
    <xf numFmtId="0" fontId="51" fillId="3" borderId="25" xfId="0" applyFont="1" applyFill="1" applyBorder="1" applyAlignment="1">
      <alignment horizontal="center"/>
    </xf>
    <xf numFmtId="0" fontId="51" fillId="3" borderId="26" xfId="0" applyFont="1" applyFill="1" applyBorder="1" applyAlignment="1">
      <alignment horizontal="center"/>
    </xf>
    <xf numFmtId="0" fontId="0" fillId="0" borderId="20" xfId="0" applyBorder="1" applyAlignment="1" applyProtection="1">
      <alignment horizontal="left" vertical="top" wrapText="1" indent="1"/>
      <protection locked="0"/>
    </xf>
    <xf numFmtId="0" fontId="0" fillId="0" borderId="22" xfId="0" applyBorder="1" applyAlignment="1" applyProtection="1">
      <alignment horizontal="left" vertical="top" wrapText="1" indent="1"/>
      <protection locked="0"/>
    </xf>
    <xf numFmtId="0" fontId="0" fillId="0" borderId="23" xfId="0" applyBorder="1" applyAlignment="1" applyProtection="1">
      <alignment horizontal="left" vertical="top" wrapText="1" indent="1"/>
      <protection locked="0"/>
    </xf>
    <xf numFmtId="0" fontId="0" fillId="0" borderId="24" xfId="0" applyBorder="1" applyAlignment="1" applyProtection="1">
      <alignment horizontal="left" vertical="top" wrapText="1" indent="1"/>
      <protection locked="0"/>
    </xf>
    <xf numFmtId="0" fontId="0" fillId="0" borderId="25" xfId="0" applyBorder="1" applyAlignment="1" applyProtection="1">
      <alignment horizontal="left" vertical="top" wrapText="1" indent="1"/>
      <protection locked="0"/>
    </xf>
    <xf numFmtId="0" fontId="0" fillId="0" borderId="26" xfId="0" applyBorder="1" applyAlignment="1" applyProtection="1">
      <alignment horizontal="left" vertical="top" wrapText="1" indent="1"/>
      <protection locked="0"/>
    </xf>
    <xf numFmtId="0" fontId="51" fillId="3" borderId="29" xfId="0" applyFont="1" applyFill="1" applyBorder="1" applyAlignment="1">
      <alignment horizontal="center"/>
    </xf>
    <xf numFmtId="0" fontId="51" fillId="3" borderId="31" xfId="0" applyFont="1" applyFill="1" applyBorder="1" applyAlignment="1">
      <alignment horizontal="center"/>
    </xf>
    <xf numFmtId="0" fontId="6" fillId="0" borderId="303" xfId="16" applyBorder="1" applyAlignment="1" applyProtection="1">
      <alignment horizontal="left" vertical="top" wrapText="1" indent="1"/>
      <protection locked="0"/>
    </xf>
    <xf numFmtId="0" fontId="6" fillId="0" borderId="138" xfId="16" applyBorder="1" applyAlignment="1" applyProtection="1">
      <alignment horizontal="left" vertical="top" wrapText="1" indent="1"/>
      <protection locked="0"/>
    </xf>
    <xf numFmtId="0" fontId="6" fillId="0" borderId="23" xfId="16" applyBorder="1" applyAlignment="1" applyProtection="1">
      <alignment horizontal="left" vertical="top" wrapText="1" indent="1"/>
      <protection locked="0"/>
    </xf>
    <xf numFmtId="0" fontId="6" fillId="0" borderId="140" xfId="16" applyBorder="1" applyAlignment="1" applyProtection="1">
      <alignment horizontal="left" vertical="top" wrapText="1" indent="1"/>
      <protection locked="0"/>
    </xf>
    <xf numFmtId="0" fontId="6" fillId="0" borderId="283" xfId="16" applyBorder="1" applyAlignment="1" applyProtection="1">
      <alignment horizontal="left" vertical="top" wrapText="1" indent="1"/>
      <protection locked="0"/>
    </xf>
    <xf numFmtId="0" fontId="6" fillId="0" borderId="143" xfId="16" applyBorder="1" applyAlignment="1" applyProtection="1">
      <alignment horizontal="left" vertical="top" wrapText="1" indent="1"/>
      <protection locked="0"/>
    </xf>
    <xf numFmtId="0" fontId="14" fillId="3" borderId="29" xfId="16" applyFont="1" applyFill="1" applyBorder="1" applyAlignment="1">
      <alignment horizontal="left" indent="1"/>
    </xf>
    <xf numFmtId="0" fontId="14" fillId="3" borderId="31" xfId="16" applyFont="1" applyFill="1" applyBorder="1" applyAlignment="1">
      <alignment horizontal="left" indent="1"/>
    </xf>
    <xf numFmtId="0" fontId="51" fillId="3" borderId="29" xfId="16" applyFont="1" applyFill="1" applyBorder="1" applyAlignment="1">
      <alignment horizontal="center"/>
    </xf>
    <xf numFmtId="0" fontId="51" fillId="3" borderId="31" xfId="16" applyFont="1" applyFill="1" applyBorder="1" applyAlignment="1">
      <alignment horizontal="center"/>
    </xf>
    <xf numFmtId="164" fontId="58" fillId="0" borderId="20" xfId="17" applyFont="1" applyBorder="1" applyAlignment="1" applyProtection="1">
      <alignment horizontal="left" vertical="top" wrapText="1" indent="1"/>
      <protection locked="0"/>
    </xf>
    <xf numFmtId="164" fontId="58" fillId="0" borderId="22" xfId="17" applyFont="1" applyBorder="1" applyAlignment="1" applyProtection="1">
      <alignment horizontal="left" vertical="top" wrapText="1" indent="1"/>
      <protection locked="0"/>
    </xf>
    <xf numFmtId="164" fontId="58" fillId="0" borderId="23" xfId="17" applyFont="1" applyBorder="1" applyAlignment="1" applyProtection="1">
      <alignment horizontal="left" vertical="top" wrapText="1" indent="1"/>
      <protection locked="0"/>
    </xf>
    <xf numFmtId="164" fontId="58" fillId="0" borderId="24" xfId="17" applyFont="1" applyBorder="1" applyAlignment="1" applyProtection="1">
      <alignment horizontal="left" vertical="top" wrapText="1" indent="1"/>
      <protection locked="0"/>
    </xf>
    <xf numFmtId="164" fontId="58" fillId="0" borderId="25" xfId="17" applyFont="1" applyBorder="1" applyAlignment="1" applyProtection="1">
      <alignment horizontal="left" vertical="top" wrapText="1" indent="1"/>
      <protection locked="0"/>
    </xf>
    <xf numFmtId="164" fontId="58" fillId="0" borderId="26" xfId="17" applyFont="1" applyBorder="1" applyAlignment="1" applyProtection="1">
      <alignment horizontal="left" vertical="top" wrapText="1" indent="1"/>
      <protection locked="0"/>
    </xf>
    <xf numFmtId="0" fontId="51" fillId="3" borderId="20" xfId="16" applyFont="1" applyFill="1" applyBorder="1" applyAlignment="1">
      <alignment horizontal="center"/>
    </xf>
    <xf numFmtId="0" fontId="51" fillId="3" borderId="22" xfId="16" applyFont="1" applyFill="1" applyBorder="1" applyAlignment="1">
      <alignment horizontal="center"/>
    </xf>
    <xf numFmtId="0" fontId="51" fillId="3" borderId="23" xfId="16" applyFont="1" applyFill="1" applyBorder="1" applyAlignment="1">
      <alignment horizontal="center"/>
    </xf>
    <xf numFmtId="0" fontId="51" fillId="3" borderId="24" xfId="16" applyFont="1" applyFill="1" applyBorder="1" applyAlignment="1">
      <alignment horizontal="center"/>
    </xf>
    <xf numFmtId="0" fontId="14" fillId="3" borderId="304" xfId="16" applyFont="1" applyFill="1" applyBorder="1" applyAlignment="1">
      <alignment horizontal="center" wrapText="1"/>
    </xf>
    <xf numFmtId="0" fontId="14" fillId="3" borderId="243" xfId="16" applyFont="1" applyFill="1" applyBorder="1" applyAlignment="1">
      <alignment horizontal="center" wrapText="1"/>
    </xf>
    <xf numFmtId="0" fontId="14" fillId="3" borderId="292" xfId="16" applyFont="1" applyFill="1" applyBorder="1" applyAlignment="1">
      <alignment horizontal="center"/>
    </xf>
    <xf numFmtId="0" fontId="51" fillId="3" borderId="305" xfId="16" applyFont="1" applyFill="1" applyBorder="1" applyAlignment="1">
      <alignment horizontal="center"/>
    </xf>
    <xf numFmtId="0" fontId="51" fillId="3" borderId="306" xfId="16" applyFont="1" applyFill="1" applyBorder="1" applyAlignment="1">
      <alignment horizontal="center"/>
    </xf>
    <xf numFmtId="0" fontId="51" fillId="3" borderId="283" xfId="16" applyFont="1" applyFill="1" applyBorder="1" applyAlignment="1">
      <alignment horizontal="center"/>
    </xf>
    <xf numFmtId="0" fontId="51" fillId="3" borderId="270" xfId="16" applyFont="1" applyFill="1" applyBorder="1" applyAlignment="1">
      <alignment horizontal="center"/>
    </xf>
    <xf numFmtId="0" fontId="59" fillId="2" borderId="23" xfId="16" applyFont="1" applyFill="1" applyBorder="1" applyAlignment="1">
      <alignment horizontal="center"/>
    </xf>
    <xf numFmtId="0" fontId="59" fillId="2" borderId="0" xfId="16" applyFont="1" applyFill="1" applyAlignment="1">
      <alignment horizontal="center"/>
    </xf>
    <xf numFmtId="165" fontId="46" fillId="0" borderId="28" xfId="16" applyNumberFormat="1" applyFont="1" applyBorder="1" applyAlignment="1">
      <alignment horizontal="center"/>
    </xf>
    <xf numFmtId="0" fontId="14" fillId="3" borderId="23" xfId="16" applyFont="1" applyFill="1" applyBorder="1" applyAlignment="1">
      <alignment horizontal="left" indent="2"/>
    </xf>
    <xf numFmtId="0" fontId="14" fillId="3" borderId="0" xfId="16" applyFont="1" applyFill="1" applyAlignment="1">
      <alignment horizontal="left" indent="2"/>
    </xf>
    <xf numFmtId="0" fontId="14" fillId="3" borderId="37" xfId="16" applyFont="1" applyFill="1" applyBorder="1" applyAlignment="1">
      <alignment horizontal="center" wrapText="1"/>
    </xf>
    <xf numFmtId="0" fontId="14" fillId="3" borderId="34" xfId="16" applyFont="1" applyFill="1" applyBorder="1" applyAlignment="1">
      <alignment horizontal="center" wrapText="1"/>
    </xf>
    <xf numFmtId="0" fontId="14" fillId="3" borderId="28" xfId="16" applyFont="1" applyFill="1" applyBorder="1" applyAlignment="1">
      <alignment horizontal="center"/>
    </xf>
    <xf numFmtId="168" fontId="58" fillId="0" borderId="20" xfId="6" applyFont="1" applyBorder="1" applyAlignment="1" applyProtection="1">
      <alignment horizontal="left" vertical="top" wrapText="1" indent="1"/>
      <protection locked="0"/>
    </xf>
    <xf numFmtId="168" fontId="58" fillId="0" borderId="22" xfId="6" applyFont="1" applyBorder="1" applyAlignment="1" applyProtection="1">
      <alignment horizontal="left" vertical="top" wrapText="1" indent="1"/>
      <protection locked="0"/>
    </xf>
    <xf numFmtId="168" fontId="58" fillId="0" borderId="23" xfId="6" applyFont="1" applyBorder="1" applyAlignment="1" applyProtection="1">
      <alignment horizontal="left" vertical="top" wrapText="1" indent="1"/>
      <protection locked="0"/>
    </xf>
    <xf numFmtId="168" fontId="58" fillId="0" borderId="24" xfId="6" applyFont="1" applyBorder="1" applyAlignment="1" applyProtection="1">
      <alignment horizontal="left" vertical="top" wrapText="1" indent="1"/>
      <protection locked="0"/>
    </xf>
    <xf numFmtId="168" fontId="58" fillId="0" borderId="25" xfId="6" applyFont="1" applyBorder="1" applyAlignment="1" applyProtection="1">
      <alignment horizontal="left" vertical="top" wrapText="1" indent="1"/>
      <protection locked="0"/>
    </xf>
    <xf numFmtId="168" fontId="58" fillId="0" borderId="26" xfId="6" applyFont="1" applyBorder="1" applyAlignment="1" applyProtection="1">
      <alignment horizontal="left" vertical="top" wrapText="1" indent="1"/>
      <protection locked="0"/>
    </xf>
    <xf numFmtId="0" fontId="14" fillId="3" borderId="304" xfId="2" applyFont="1" applyFill="1" applyBorder="1" applyAlignment="1">
      <alignment horizontal="center" wrapText="1"/>
    </xf>
    <xf numFmtId="0" fontId="14" fillId="3" borderId="243" xfId="2" applyFont="1" applyFill="1" applyBorder="1" applyAlignment="1">
      <alignment horizontal="center" wrapText="1"/>
    </xf>
    <xf numFmtId="0" fontId="51" fillId="3" borderId="305" xfId="2" applyFont="1" applyFill="1" applyBorder="1" applyAlignment="1">
      <alignment horizontal="center"/>
    </xf>
    <xf numFmtId="0" fontId="51" fillId="3" borderId="306" xfId="2" applyFont="1" applyFill="1" applyBorder="1" applyAlignment="1">
      <alignment horizontal="center"/>
    </xf>
    <xf numFmtId="0" fontId="51" fillId="3" borderId="283" xfId="2" applyFont="1" applyFill="1" applyBorder="1" applyAlignment="1">
      <alignment horizontal="center"/>
    </xf>
    <xf numFmtId="0" fontId="51" fillId="3" borderId="270" xfId="2" applyFont="1" applyFill="1" applyBorder="1" applyAlignment="1">
      <alignment horizontal="center"/>
    </xf>
    <xf numFmtId="0" fontId="12" fillId="0" borderId="303" xfId="2" applyBorder="1" applyAlignment="1" applyProtection="1">
      <alignment horizontal="left" vertical="top" wrapText="1" indent="1"/>
      <protection locked="0"/>
    </xf>
    <xf numFmtId="0" fontId="12" fillId="0" borderId="138" xfId="2" applyBorder="1" applyAlignment="1" applyProtection="1">
      <alignment horizontal="left" vertical="top" wrapText="1" indent="1"/>
      <protection locked="0"/>
    </xf>
    <xf numFmtId="0" fontId="12" fillId="0" borderId="140" xfId="2" applyBorder="1" applyAlignment="1" applyProtection="1">
      <alignment horizontal="left" vertical="top" wrapText="1" indent="1"/>
      <protection locked="0"/>
    </xf>
    <xf numFmtId="0" fontId="12" fillId="0" borderId="283" xfId="2" applyBorder="1" applyAlignment="1" applyProtection="1">
      <alignment horizontal="left" vertical="top" wrapText="1" indent="1"/>
      <protection locked="0"/>
    </xf>
    <xf numFmtId="0" fontId="12" fillId="0" borderId="143" xfId="2" applyBorder="1" applyAlignment="1" applyProtection="1">
      <alignment horizontal="left" vertical="top" wrapText="1" indent="1"/>
      <protection locked="0"/>
    </xf>
    <xf numFmtId="0" fontId="51" fillId="3" borderId="23" xfId="2" applyFont="1" applyFill="1" applyBorder="1" applyAlignment="1">
      <alignment horizontal="center"/>
    </xf>
    <xf numFmtId="0" fontId="51" fillId="3" borderId="24" xfId="2" applyFont="1" applyFill="1" applyBorder="1" applyAlignment="1">
      <alignment horizontal="center"/>
    </xf>
    <xf numFmtId="0" fontId="14" fillId="3" borderId="34" xfId="2" applyFont="1" applyFill="1" applyBorder="1" applyAlignment="1">
      <alignment horizontal="center" wrapText="1"/>
    </xf>
    <xf numFmtId="0" fontId="6" fillId="0" borderId="29" xfId="2" applyFont="1" applyBorder="1" applyAlignment="1">
      <alignment horizontal="left" wrapText="1" indent="1"/>
    </xf>
    <xf numFmtId="0" fontId="6" fillId="0" borderId="207" xfId="2" applyFont="1" applyBorder="1" applyAlignment="1">
      <alignment horizontal="left" wrapText="1" indent="1"/>
    </xf>
    <xf numFmtId="0" fontId="6" fillId="0" borderId="31" xfId="2" applyFont="1" applyBorder="1" applyAlignment="1">
      <alignment horizontal="left" wrapText="1" indent="1"/>
    </xf>
    <xf numFmtId="0" fontId="6" fillId="0" borderId="25" xfId="2" applyFont="1" applyBorder="1" applyAlignment="1">
      <alignment horizontal="left" wrapText="1" indent="1"/>
    </xf>
    <xf numFmtId="0" fontId="6" fillId="0" borderId="26" xfId="2" applyFont="1" applyBorder="1" applyAlignment="1">
      <alignment horizontal="left" wrapText="1" indent="1"/>
    </xf>
    <xf numFmtId="0" fontId="49" fillId="0" borderId="29" xfId="2" applyFont="1" applyBorder="1" applyAlignment="1">
      <alignment horizontal="left" vertical="center"/>
    </xf>
    <xf numFmtId="0" fontId="49" fillId="0" borderId="31" xfId="2" applyFont="1" applyBorder="1" applyAlignment="1">
      <alignment horizontal="left" vertical="center"/>
    </xf>
    <xf numFmtId="0" fontId="49" fillId="0" borderId="233" xfId="2" applyFont="1" applyBorder="1" applyAlignment="1">
      <alignment horizontal="left" vertical="center"/>
    </xf>
    <xf numFmtId="0" fontId="49" fillId="0" borderId="234" xfId="2" applyFont="1" applyBorder="1" applyAlignment="1">
      <alignment horizontal="left" vertical="center"/>
    </xf>
    <xf numFmtId="0" fontId="49" fillId="0" borderId="409" xfId="2" applyFont="1" applyBorder="1" applyAlignment="1">
      <alignment horizontal="left" vertical="center" wrapText="1"/>
    </xf>
    <xf numFmtId="0" fontId="49" fillId="0" borderId="248" xfId="2" applyFont="1" applyBorder="1" applyAlignment="1">
      <alignment horizontal="left" vertical="center" wrapText="1"/>
    </xf>
    <xf numFmtId="0" fontId="49" fillId="0" borderId="233" xfId="2" applyFont="1" applyBorder="1" applyAlignment="1">
      <alignment horizontal="left" vertical="center" wrapText="1"/>
    </xf>
    <xf numFmtId="0" fontId="49" fillId="0" borderId="234" xfId="2" applyFont="1" applyBorder="1" applyAlignment="1">
      <alignment horizontal="left" vertical="center" wrapText="1"/>
    </xf>
    <xf numFmtId="0" fontId="49" fillId="0" borderId="37" xfId="2" applyFont="1" applyBorder="1" applyAlignment="1">
      <alignment horizontal="left" vertical="center" indent="1"/>
    </xf>
    <xf numFmtId="0" fontId="49" fillId="0" borderId="34" xfId="2" applyFont="1" applyBorder="1" applyAlignment="1">
      <alignment horizontal="left" vertical="center" indent="1"/>
    </xf>
    <xf numFmtId="0" fontId="49" fillId="0" borderId="35" xfId="2" applyFont="1" applyBorder="1" applyAlignment="1">
      <alignment horizontal="left" vertical="center" indent="1"/>
    </xf>
    <xf numFmtId="0" fontId="87" fillId="0" borderId="410" xfId="2" applyFont="1" applyBorder="1" applyAlignment="1">
      <alignment horizontal="left" vertical="center"/>
    </xf>
    <xf numFmtId="0" fontId="87" fillId="0" borderId="415" xfId="2" applyFont="1" applyBorder="1" applyAlignment="1">
      <alignment horizontal="left" vertical="center"/>
    </xf>
    <xf numFmtId="0" fontId="87" fillId="0" borderId="181" xfId="2" applyFont="1" applyBorder="1" applyAlignment="1">
      <alignment horizontal="left" vertical="center"/>
    </xf>
    <xf numFmtId="0" fontId="209" fillId="11" borderId="309" xfId="2" applyFont="1" applyFill="1" applyBorder="1" applyAlignment="1">
      <alignment horizontal="center"/>
    </xf>
    <xf numFmtId="0" fontId="209" fillId="11" borderId="87" xfId="2" applyFont="1" applyFill="1" applyBorder="1" applyAlignment="1">
      <alignment horizontal="center"/>
    </xf>
    <xf numFmtId="0" fontId="51" fillId="3" borderId="332" xfId="2" applyFont="1" applyFill="1" applyBorder="1" applyAlignment="1">
      <alignment horizontal="center"/>
    </xf>
    <xf numFmtId="0" fontId="51" fillId="3" borderId="333" xfId="2" applyFont="1" applyFill="1" applyBorder="1" applyAlignment="1">
      <alignment horizontal="center"/>
    </xf>
    <xf numFmtId="0" fontId="51" fillId="21" borderId="334" xfId="2" applyFont="1" applyFill="1" applyBorder="1" applyAlignment="1">
      <alignment horizontal="center"/>
    </xf>
    <xf numFmtId="0" fontId="51" fillId="21" borderId="335" xfId="2" applyFont="1" applyFill="1" applyBorder="1" applyAlignment="1">
      <alignment horizontal="center"/>
    </xf>
    <xf numFmtId="0" fontId="237" fillId="11" borderId="334" xfId="2" applyFont="1" applyFill="1" applyBorder="1" applyAlignment="1">
      <alignment horizontal="center"/>
    </xf>
    <xf numFmtId="0" fontId="237" fillId="11" borderId="335" xfId="2" applyFont="1" applyFill="1" applyBorder="1" applyAlignment="1">
      <alignment horizontal="center"/>
    </xf>
    <xf numFmtId="0" fontId="10" fillId="0" borderId="29" xfId="0" applyFont="1" applyBorder="1" applyAlignment="1">
      <alignment horizontal="left" indent="1"/>
    </xf>
    <xf numFmtId="0" fontId="10" fillId="0" borderId="31" xfId="0" applyFont="1" applyBorder="1" applyAlignment="1">
      <alignment horizontal="left" indent="1"/>
    </xf>
    <xf numFmtId="0" fontId="51" fillId="3" borderId="55" xfId="2" applyFont="1" applyFill="1" applyBorder="1" applyAlignment="1">
      <alignment horizontal="center"/>
    </xf>
    <xf numFmtId="0" fontId="51" fillId="3" borderId="85" xfId="2" applyFont="1" applyFill="1" applyBorder="1" applyAlignment="1">
      <alignment horizontal="center"/>
    </xf>
    <xf numFmtId="0" fontId="6" fillId="0" borderId="28" xfId="2" applyFont="1" applyBorder="1" applyAlignment="1">
      <alignment horizontal="left" wrapText="1" indent="1"/>
    </xf>
    <xf numFmtId="0" fontId="51" fillId="21" borderId="86" xfId="2" applyFont="1" applyFill="1" applyBorder="1" applyAlignment="1">
      <alignment horizontal="center"/>
    </xf>
    <xf numFmtId="0" fontId="51" fillId="21" borderId="308" xfId="2" applyFont="1" applyFill="1" applyBorder="1" applyAlignment="1">
      <alignment horizontal="center"/>
    </xf>
    <xf numFmtId="0" fontId="14" fillId="3" borderId="29" xfId="2" applyFont="1" applyFill="1" applyBorder="1" applyAlignment="1">
      <alignment horizontal="left" vertical="center" indent="1"/>
    </xf>
    <xf numFmtId="0" fontId="14" fillId="3" borderId="31" xfId="2" applyFont="1" applyFill="1" applyBorder="1" applyAlignment="1">
      <alignment horizontal="left" vertical="center" indent="1"/>
    </xf>
    <xf numFmtId="0" fontId="49" fillId="0" borderId="20" xfId="2" applyFont="1" applyBorder="1" applyAlignment="1">
      <alignment horizontal="left" vertical="center" wrapText="1"/>
    </xf>
    <xf numFmtId="0" fontId="49" fillId="0" borderId="22" xfId="2" applyFont="1" applyBorder="1" applyAlignment="1">
      <alignment horizontal="left" vertical="center" wrapText="1"/>
    </xf>
    <xf numFmtId="0" fontId="14" fillId="3" borderId="29" xfId="0" applyFont="1" applyFill="1" applyBorder="1" applyAlignment="1">
      <alignment horizontal="left" vertical="center" indent="1"/>
    </xf>
    <xf numFmtId="0" fontId="14" fillId="3" borderId="31" xfId="0" applyFont="1" applyFill="1" applyBorder="1" applyAlignment="1">
      <alignment horizontal="left" vertical="center" indent="1"/>
    </xf>
    <xf numFmtId="0" fontId="0" fillId="0" borderId="28" xfId="0" applyBorder="1" applyAlignment="1">
      <alignment horizontal="left" wrapText="1" indent="1"/>
    </xf>
    <xf numFmtId="0" fontId="51" fillId="21" borderId="86" xfId="0" applyFont="1" applyFill="1" applyBorder="1" applyAlignment="1">
      <alignment horizontal="center"/>
    </xf>
    <xf numFmtId="0" fontId="51" fillId="21" borderId="87" xfId="0" applyFont="1" applyFill="1" applyBorder="1" applyAlignment="1">
      <alignment horizontal="center"/>
    </xf>
    <xf numFmtId="0" fontId="51" fillId="3" borderId="55" xfId="0" applyFont="1" applyFill="1" applyBorder="1" applyAlignment="1">
      <alignment horizontal="center"/>
    </xf>
    <xf numFmtId="0" fontId="49" fillId="0" borderId="34" xfId="0" applyFont="1" applyBorder="1" applyAlignment="1">
      <alignment horizontal="left" vertical="center" indent="1"/>
    </xf>
    <xf numFmtId="0" fontId="49" fillId="0" borderId="35" xfId="0" applyFont="1" applyBorder="1" applyAlignment="1">
      <alignment horizontal="left" vertical="center" indent="1"/>
    </xf>
    <xf numFmtId="0" fontId="49" fillId="0" borderId="29" xfId="0" applyFont="1" applyBorder="1" applyAlignment="1">
      <alignment horizontal="left" vertical="center"/>
    </xf>
    <xf numFmtId="0" fontId="49" fillId="0" borderId="31" xfId="0" applyFont="1" applyBorder="1" applyAlignment="1">
      <alignment horizontal="left" vertical="center"/>
    </xf>
    <xf numFmtId="0" fontId="49" fillId="0" borderId="7" xfId="0" applyFont="1" applyBorder="1" applyAlignment="1">
      <alignment horizontal="left" vertical="center"/>
    </xf>
    <xf numFmtId="0" fontId="49" fillId="0" borderId="252" xfId="0" applyFont="1" applyBorder="1" applyAlignment="1">
      <alignment horizontal="left" vertical="center"/>
    </xf>
    <xf numFmtId="0" fontId="49" fillId="0" borderId="141" xfId="0" applyFont="1" applyBorder="1" applyAlignment="1">
      <alignment horizontal="left" vertical="center" wrapText="1"/>
    </xf>
    <xf numFmtId="0" fontId="49" fillId="0" borderId="270" xfId="0" applyFont="1" applyBorder="1" applyAlignment="1">
      <alignment horizontal="left" vertical="center" wrapText="1"/>
    </xf>
    <xf numFmtId="0" fontId="87" fillId="0" borderId="20" xfId="0" applyFont="1" applyBorder="1" applyAlignment="1">
      <alignment horizontal="left" vertical="center"/>
    </xf>
    <xf numFmtId="0" fontId="87" fillId="0" borderId="23" xfId="0" applyFont="1" applyBorder="1" applyAlignment="1">
      <alignment horizontal="left" vertical="center"/>
    </xf>
    <xf numFmtId="0" fontId="87" fillId="0" borderId="283" xfId="0" applyFont="1" applyBorder="1" applyAlignment="1">
      <alignment horizontal="left" vertical="center"/>
    </xf>
    <xf numFmtId="0" fontId="0" fillId="0" borderId="29" xfId="0" applyBorder="1" applyAlignment="1">
      <alignment horizontal="left" wrapText="1" indent="1"/>
    </xf>
    <xf numFmtId="0" fontId="0" fillId="0" borderId="31" xfId="0" applyBorder="1" applyAlignment="1">
      <alignment horizontal="left" wrapText="1" indent="1"/>
    </xf>
    <xf numFmtId="173" fontId="58" fillId="5" borderId="267" xfId="2" applyNumberFormat="1" applyFont="1" applyFill="1" applyBorder="1" applyAlignment="1">
      <alignment horizontal="center" vertical="center"/>
    </xf>
    <xf numFmtId="173" fontId="58" fillId="5" borderId="268" xfId="2" applyNumberFormat="1" applyFont="1" applyFill="1" applyBorder="1" applyAlignment="1">
      <alignment horizontal="center" vertical="center"/>
    </xf>
    <xf numFmtId="168" fontId="58" fillId="33" borderId="269" xfId="6" applyFont="1" applyFill="1" applyBorder="1" applyAlignment="1">
      <alignment horizontal="center" vertical="center"/>
    </xf>
    <xf numFmtId="168" fontId="58" fillId="33" borderId="181" xfId="6" applyFont="1" applyFill="1" applyBorder="1" applyAlignment="1">
      <alignment horizontal="center" vertical="center"/>
    </xf>
    <xf numFmtId="173" fontId="58" fillId="5" borderId="265" xfId="2" applyNumberFormat="1" applyFont="1" applyFill="1" applyBorder="1" applyAlignment="1">
      <alignment horizontal="center" vertical="center"/>
    </xf>
    <xf numFmtId="173" fontId="58" fillId="5" borderId="266" xfId="2" applyNumberFormat="1" applyFont="1" applyFill="1" applyBorder="1" applyAlignment="1">
      <alignment horizontal="center" vertical="center"/>
    </xf>
    <xf numFmtId="0" fontId="86" fillId="0" borderId="37" xfId="2" applyFont="1" applyBorder="1" applyAlignment="1">
      <alignment horizontal="left" vertical="center"/>
    </xf>
    <xf numFmtId="0" fontId="86" fillId="0" borderId="34" xfId="2" applyFont="1" applyBorder="1" applyAlignment="1">
      <alignment horizontal="left" vertical="center"/>
    </xf>
    <xf numFmtId="0" fontId="86" fillId="0" borderId="243" xfId="2" applyFont="1" applyBorder="1" applyAlignment="1">
      <alignment horizontal="left" vertical="center"/>
    </xf>
    <xf numFmtId="0" fontId="86" fillId="0" borderId="258" xfId="2" applyFont="1" applyBorder="1" applyAlignment="1">
      <alignment horizontal="left" vertical="center"/>
    </xf>
    <xf numFmtId="0" fontId="86" fillId="0" borderId="260" xfId="2" applyFont="1" applyBorder="1" applyAlignment="1">
      <alignment horizontal="left" vertical="center"/>
    </xf>
    <xf numFmtId="0" fontId="86" fillId="0" borderId="262" xfId="2" applyFont="1" applyBorder="1" applyAlignment="1">
      <alignment horizontal="left" vertical="center"/>
    </xf>
    <xf numFmtId="0" fontId="14" fillId="20" borderId="37" xfId="2" applyFont="1" applyFill="1" applyBorder="1" applyAlignment="1">
      <alignment horizontal="center" vertical="center"/>
    </xf>
    <xf numFmtId="0" fontId="14" fillId="20" borderId="35" xfId="2" applyFont="1" applyFill="1" applyBorder="1" applyAlignment="1">
      <alignment horizontal="center" vertical="center"/>
    </xf>
    <xf numFmtId="0" fontId="14" fillId="20" borderId="28" xfId="2" applyFont="1" applyFill="1" applyBorder="1" applyAlignment="1">
      <alignment horizontal="center"/>
    </xf>
    <xf numFmtId="0" fontId="14" fillId="20" borderId="29" xfId="2" applyFont="1" applyFill="1" applyBorder="1" applyAlignment="1">
      <alignment horizontal="center"/>
    </xf>
    <xf numFmtId="0" fontId="14" fillId="20" borderId="31" xfId="2" applyFont="1" applyFill="1" applyBorder="1" applyAlignment="1">
      <alignment horizontal="center"/>
    </xf>
    <xf numFmtId="0" fontId="58" fillId="0" borderId="28" xfId="2" applyFont="1" applyBorder="1" applyAlignment="1">
      <alignment horizontal="left" wrapText="1" indent="1"/>
    </xf>
    <xf numFmtId="0" fontId="49" fillId="0" borderId="260" xfId="2" applyFont="1" applyBorder="1" applyAlignment="1">
      <alignment horizontal="left" vertical="center" indent="1"/>
    </xf>
    <xf numFmtId="0" fontId="49" fillId="0" borderId="262" xfId="2" applyFont="1" applyBorder="1" applyAlignment="1">
      <alignment horizontal="left" vertical="center" indent="1"/>
    </xf>
    <xf numFmtId="0" fontId="49" fillId="0" borderId="25" xfId="2" applyFont="1" applyBorder="1" applyAlignment="1">
      <alignment horizontal="left" vertical="center"/>
    </xf>
    <xf numFmtId="0" fontId="49" fillId="0" borderId="26" xfId="2" applyFont="1" applyBorder="1" applyAlignment="1">
      <alignment horizontal="left" vertical="center"/>
    </xf>
    <xf numFmtId="0" fontId="49" fillId="0" borderId="7" xfId="2" applyFont="1" applyBorder="1" applyAlignment="1">
      <alignment horizontal="left" vertical="center"/>
    </xf>
    <xf numFmtId="0" fontId="49" fillId="0" borderId="252" xfId="2" applyFont="1" applyBorder="1" applyAlignment="1">
      <alignment horizontal="left" vertical="center"/>
    </xf>
    <xf numFmtId="0" fontId="49" fillId="0" borderId="7" xfId="2" applyFont="1" applyBorder="1" applyAlignment="1">
      <alignment horizontal="left" vertical="center" wrapText="1"/>
    </xf>
    <xf numFmtId="0" fontId="49" fillId="0" borderId="252" xfId="2" applyFont="1" applyBorder="1" applyAlignment="1">
      <alignment horizontal="left" vertical="center" wrapText="1"/>
    </xf>
    <xf numFmtId="0" fontId="49" fillId="0" borderId="271" xfId="2" applyFont="1" applyBorder="1" applyAlignment="1">
      <alignment horizontal="left" vertical="center" wrapText="1"/>
    </xf>
    <xf numFmtId="0" fontId="86" fillId="0" borderId="35" xfId="2" applyFont="1" applyBorder="1" applyAlignment="1">
      <alignment horizontal="left" vertical="center"/>
    </xf>
    <xf numFmtId="0" fontId="86" fillId="0" borderId="416" xfId="2" applyFont="1" applyBorder="1" applyAlignment="1">
      <alignment horizontal="left" vertical="center"/>
    </xf>
    <xf numFmtId="0" fontId="49" fillId="0" borderId="20" xfId="2" applyFont="1" applyBorder="1" applyAlignment="1">
      <alignment horizontal="left" vertical="center" indent="1"/>
    </xf>
    <xf numFmtId="0" fontId="49" fillId="0" borderId="243" xfId="2" applyFont="1" applyBorder="1" applyAlignment="1">
      <alignment horizontal="left" vertical="center" indent="1"/>
    </xf>
    <xf numFmtId="0" fontId="49" fillId="0" borderId="169" xfId="2" applyFont="1" applyBorder="1" applyAlignment="1">
      <alignment horizontal="left" vertical="center"/>
    </xf>
    <xf numFmtId="0" fontId="49" fillId="0" borderId="23" xfId="2" applyFont="1" applyBorder="1" applyAlignment="1">
      <alignment horizontal="left" vertical="center" wrapText="1"/>
    </xf>
    <xf numFmtId="0" fontId="49" fillId="0" borderId="24" xfId="2" applyFont="1" applyBorder="1" applyAlignment="1">
      <alignment horizontal="left" vertical="center" wrapText="1"/>
    </xf>
    <xf numFmtId="177" fontId="51" fillId="3" borderId="28" xfId="6" applyNumberFormat="1" applyFont="1" applyFill="1" applyBorder="1" applyAlignment="1">
      <alignment horizontal="left"/>
    </xf>
    <xf numFmtId="177" fontId="51" fillId="3" borderId="288" xfId="6" applyNumberFormat="1" applyFont="1" applyFill="1" applyBorder="1" applyAlignment="1">
      <alignment horizontal="left"/>
    </xf>
    <xf numFmtId="177" fontId="51" fillId="3" borderId="31" xfId="6" applyNumberFormat="1" applyFont="1" applyFill="1" applyBorder="1" applyAlignment="1">
      <alignment horizontal="left"/>
    </xf>
    <xf numFmtId="0" fontId="49" fillId="0" borderId="286" xfId="2" applyFont="1" applyBorder="1" applyAlignment="1">
      <alignment horizontal="center" vertical="center"/>
    </xf>
    <xf numFmtId="0" fontId="49" fillId="0" borderId="139" xfId="2" applyFont="1" applyBorder="1" applyAlignment="1">
      <alignment horizontal="center" vertical="center"/>
    </xf>
    <xf numFmtId="0" fontId="49" fillId="0" borderId="284" xfId="2" applyFont="1" applyBorder="1" applyAlignment="1">
      <alignment horizontal="center" vertical="center"/>
    </xf>
    <xf numFmtId="177" fontId="51" fillId="3" borderId="290" xfId="6" applyNumberFormat="1" applyFont="1" applyFill="1" applyBorder="1" applyAlignment="1">
      <alignment horizontal="left"/>
    </xf>
    <xf numFmtId="177" fontId="51" fillId="3" borderId="248" xfId="6" applyNumberFormat="1" applyFont="1" applyFill="1" applyBorder="1" applyAlignment="1">
      <alignment horizontal="left"/>
    </xf>
    <xf numFmtId="0" fontId="209" fillId="0" borderId="291" xfId="2" applyFont="1" applyBorder="1" applyAlignment="1">
      <alignment horizontal="center"/>
    </xf>
    <xf numFmtId="0" fontId="49" fillId="0" borderId="136" xfId="2" applyFont="1" applyBorder="1" applyAlignment="1">
      <alignment horizontal="center" vertical="center"/>
    </xf>
    <xf numFmtId="0" fontId="49" fillId="0" borderId="141" xfId="2" applyFont="1" applyBorder="1" applyAlignment="1">
      <alignment horizontal="center" vertical="center"/>
    </xf>
    <xf numFmtId="177" fontId="51" fillId="3" borderId="284" xfId="6" applyNumberFormat="1" applyFont="1" applyFill="1" applyBorder="1" applyAlignment="1">
      <alignment horizontal="left"/>
    </xf>
    <xf numFmtId="177" fontId="51" fillId="3" borderId="26" xfId="6" applyNumberFormat="1" applyFont="1" applyFill="1" applyBorder="1" applyAlignment="1">
      <alignment horizontal="left"/>
    </xf>
    <xf numFmtId="0" fontId="51" fillId="3" borderId="28" xfId="2" applyFont="1" applyFill="1" applyBorder="1" applyAlignment="1">
      <alignment horizontal="center"/>
    </xf>
    <xf numFmtId="0" fontId="51" fillId="3" borderId="28" xfId="0" applyFont="1" applyFill="1" applyBorder="1" applyAlignment="1">
      <alignment horizontal="center"/>
    </xf>
    <xf numFmtId="177" fontId="51" fillId="3" borderId="7" xfId="1" applyNumberFormat="1" applyFont="1" applyFill="1" applyBorder="1" applyAlignment="1">
      <alignment horizontal="left"/>
    </xf>
    <xf numFmtId="177" fontId="51" fillId="3" borderId="252" xfId="1" applyNumberFormat="1" applyFont="1" applyFill="1" applyBorder="1" applyAlignment="1">
      <alignment horizontal="left"/>
    </xf>
    <xf numFmtId="0" fontId="49" fillId="0" borderId="136" xfId="0" applyFont="1" applyBorder="1" applyAlignment="1">
      <alignment horizontal="center" vertical="center"/>
    </xf>
    <xf numFmtId="0" fontId="49" fillId="0" borderId="139" xfId="0" applyFont="1" applyBorder="1" applyAlignment="1">
      <alignment horizontal="center" vertical="center"/>
    </xf>
    <xf numFmtId="0" fontId="49" fillId="0" borderId="141" xfId="0" applyFont="1" applyBorder="1" applyAlignment="1">
      <alignment horizontal="center" vertical="center"/>
    </xf>
    <xf numFmtId="177" fontId="51" fillId="3" borderId="28" xfId="1" applyNumberFormat="1" applyFont="1" applyFill="1" applyBorder="1" applyAlignment="1">
      <alignment horizontal="left"/>
    </xf>
    <xf numFmtId="0" fontId="14" fillId="3" borderId="28" xfId="2" applyFont="1" applyFill="1" applyBorder="1" applyAlignment="1">
      <alignment horizontal="left" indent="2"/>
    </xf>
    <xf numFmtId="177" fontId="58" fillId="0" borderId="37" xfId="6" applyNumberFormat="1" applyFont="1" applyBorder="1" applyAlignment="1" applyProtection="1">
      <alignment horizontal="left" vertical="top" wrapText="1" indent="1"/>
      <protection locked="0"/>
    </xf>
    <xf numFmtId="177" fontId="58" fillId="0" borderId="34" xfId="6" applyNumberFormat="1" applyFont="1" applyBorder="1" applyAlignment="1" applyProtection="1">
      <alignment horizontal="left" vertical="top" wrapText="1" indent="1"/>
      <protection locked="0"/>
    </xf>
    <xf numFmtId="177" fontId="58" fillId="0" borderId="35" xfId="6" applyNumberFormat="1" applyFont="1" applyBorder="1" applyAlignment="1" applyProtection="1">
      <alignment horizontal="left" vertical="top" wrapText="1" indent="1"/>
      <protection locked="0"/>
    </xf>
    <xf numFmtId="0" fontId="14" fillId="3" borderId="28" xfId="0" applyFont="1" applyFill="1" applyBorder="1" applyAlignment="1">
      <alignment horizontal="left" indent="2"/>
    </xf>
    <xf numFmtId="177" fontId="58" fillId="0" borderId="37" xfId="1" applyNumberFormat="1" applyFont="1" applyBorder="1" applyAlignment="1" applyProtection="1">
      <alignment horizontal="left" vertical="top" wrapText="1" indent="1"/>
      <protection locked="0"/>
    </xf>
    <xf numFmtId="177" fontId="58" fillId="0" borderId="34" xfId="1" applyNumberFormat="1" applyFont="1" applyBorder="1" applyAlignment="1" applyProtection="1">
      <alignment horizontal="left" vertical="top" wrapText="1" indent="1"/>
      <protection locked="0"/>
    </xf>
    <xf numFmtId="177" fontId="58" fillId="0" borderId="35" xfId="1" applyNumberFormat="1" applyFont="1" applyBorder="1" applyAlignment="1" applyProtection="1">
      <alignment horizontal="left" vertical="top" wrapText="1" indent="1"/>
      <protection locked="0"/>
    </xf>
    <xf numFmtId="0" fontId="0" fillId="0" borderId="28" xfId="0" applyBorder="1" applyAlignment="1" applyProtection="1">
      <alignment horizontal="left" vertical="top" wrapText="1" indent="1"/>
      <protection locked="0"/>
    </xf>
    <xf numFmtId="0" fontId="58" fillId="0" borderId="147" xfId="0" applyFont="1" applyBorder="1" applyAlignment="1" applyProtection="1">
      <alignment horizontal="left" vertical="top" wrapText="1" indent="1"/>
      <protection locked="0"/>
    </xf>
    <xf numFmtId="0" fontId="58" fillId="0" borderId="148" xfId="0" applyFont="1" applyBorder="1" applyAlignment="1" applyProtection="1">
      <alignment horizontal="left" vertical="top" wrapText="1" indent="1"/>
      <protection locked="0"/>
    </xf>
    <xf numFmtId="0" fontId="58" fillId="0" borderId="149" xfId="0" applyFont="1" applyBorder="1" applyAlignment="1" applyProtection="1">
      <alignment horizontal="left" vertical="top" wrapText="1" indent="1"/>
      <protection locked="0"/>
    </xf>
    <xf numFmtId="0" fontId="58" fillId="0" borderId="150" xfId="0" applyFont="1" applyBorder="1" applyAlignment="1" applyProtection="1">
      <alignment horizontal="left" vertical="top" wrapText="1" indent="1"/>
      <protection locked="0"/>
    </xf>
    <xf numFmtId="0" fontId="58" fillId="0" borderId="6" xfId="0" applyFont="1" applyBorder="1" applyAlignment="1" applyProtection="1">
      <alignment horizontal="left" vertical="top" wrapText="1" indent="1"/>
      <protection locked="0"/>
    </xf>
    <xf numFmtId="0" fontId="58" fillId="0" borderId="151" xfId="0" applyFont="1" applyBorder="1" applyAlignment="1" applyProtection="1">
      <alignment horizontal="left" vertical="top" wrapText="1" indent="1"/>
      <protection locked="0"/>
    </xf>
    <xf numFmtId="0" fontId="58" fillId="0" borderId="152" xfId="0" applyFont="1" applyBorder="1" applyAlignment="1" applyProtection="1">
      <alignment horizontal="left" vertical="top" wrapText="1" indent="1"/>
      <protection locked="0"/>
    </xf>
    <xf numFmtId="0" fontId="58" fillId="0" borderId="153" xfId="0" applyFont="1" applyBorder="1" applyAlignment="1" applyProtection="1">
      <alignment horizontal="left" vertical="top" wrapText="1" indent="1"/>
      <protection locked="0"/>
    </xf>
    <xf numFmtId="0" fontId="58" fillId="0" borderId="154" xfId="0" applyFont="1" applyBorder="1" applyAlignment="1" applyProtection="1">
      <alignment horizontal="left" vertical="top" wrapText="1" indent="1"/>
      <protection locked="0"/>
    </xf>
    <xf numFmtId="164" fontId="58" fillId="0" borderId="144" xfId="1" applyFont="1" applyBorder="1" applyAlignment="1" applyProtection="1">
      <alignment horizontal="left" vertical="top" wrapText="1" indent="1"/>
      <protection locked="0"/>
    </xf>
    <xf numFmtId="164" fontId="58" fillId="0" borderId="145" xfId="1" applyFont="1" applyBorder="1" applyAlignment="1" applyProtection="1">
      <alignment horizontal="left" vertical="top" wrapText="1" indent="1"/>
      <protection locked="0"/>
    </xf>
    <xf numFmtId="164" fontId="58" fillId="0" borderId="146" xfId="1" applyFont="1" applyBorder="1" applyAlignment="1" applyProtection="1">
      <alignment horizontal="left" vertical="top" wrapText="1" indent="1"/>
      <protection locked="0"/>
    </xf>
    <xf numFmtId="0" fontId="189" fillId="0" borderId="0" xfId="0" applyFont="1" applyAlignment="1">
      <alignment horizontal="center"/>
    </xf>
    <xf numFmtId="0" fontId="157" fillId="24" borderId="7" xfId="0" applyFont="1" applyFill="1" applyBorder="1" applyAlignment="1">
      <alignment horizontal="center"/>
    </xf>
    <xf numFmtId="0" fontId="157" fillId="24" borderId="169" xfId="0" applyFont="1" applyFill="1" applyBorder="1" applyAlignment="1">
      <alignment horizontal="center"/>
    </xf>
    <xf numFmtId="0" fontId="157" fillId="24" borderId="8" xfId="0" applyFont="1" applyFill="1" applyBorder="1" applyAlignment="1">
      <alignment horizontal="center"/>
    </xf>
    <xf numFmtId="177" fontId="114" fillId="3" borderId="29" xfId="1" applyNumberFormat="1" applyFont="1" applyFill="1" applyBorder="1" applyAlignment="1">
      <alignment horizontal="center"/>
    </xf>
    <xf numFmtId="177" fontId="114" fillId="3" borderId="31" xfId="1" applyNumberFormat="1" applyFont="1" applyFill="1" applyBorder="1" applyAlignment="1">
      <alignment horizontal="center"/>
    </xf>
    <xf numFmtId="0" fontId="114" fillId="3" borderId="29" xfId="0" applyFont="1" applyFill="1" applyBorder="1" applyAlignment="1">
      <alignment horizontal="center"/>
    </xf>
    <xf numFmtId="0" fontId="114" fillId="3" borderId="31" xfId="0" applyFont="1" applyFill="1" applyBorder="1" applyAlignment="1">
      <alignment horizontal="center"/>
    </xf>
    <xf numFmtId="0" fontId="134" fillId="0" borderId="128" xfId="0" applyFont="1" applyBorder="1" applyAlignment="1" applyProtection="1">
      <alignment horizontal="left"/>
      <protection locked="0"/>
    </xf>
    <xf numFmtId="0" fontId="134" fillId="0" borderId="131" xfId="0" applyFont="1" applyBorder="1" applyAlignment="1" applyProtection="1">
      <alignment horizontal="left"/>
      <protection locked="0"/>
    </xf>
    <xf numFmtId="0" fontId="134" fillId="0" borderId="134" xfId="0" applyFont="1" applyBorder="1" applyAlignment="1" applyProtection="1">
      <alignment horizontal="left"/>
      <protection locked="0"/>
    </xf>
    <xf numFmtId="0" fontId="163" fillId="3" borderId="37" xfId="0" applyFont="1" applyFill="1" applyBorder="1" applyAlignment="1">
      <alignment horizontal="center" vertical="center"/>
    </xf>
    <xf numFmtId="0" fontId="163" fillId="3" borderId="34" xfId="0" applyFont="1" applyFill="1" applyBorder="1" applyAlignment="1">
      <alignment horizontal="center" vertical="center"/>
    </xf>
    <xf numFmtId="0" fontId="163" fillId="3" borderId="35" xfId="0" applyFont="1" applyFill="1" applyBorder="1" applyAlignment="1">
      <alignment horizontal="center" vertical="center"/>
    </xf>
    <xf numFmtId="0" fontId="51" fillId="3" borderId="6" xfId="0" applyFont="1" applyFill="1" applyBorder="1" applyAlignment="1">
      <alignment horizontal="center" readingOrder="1"/>
    </xf>
    <xf numFmtId="0" fontId="0" fillId="0" borderId="6" xfId="0" applyBorder="1"/>
    <xf numFmtId="0" fontId="59" fillId="2" borderId="28" xfId="0" applyFont="1" applyFill="1" applyBorder="1" applyAlignment="1">
      <alignment horizontal="center"/>
    </xf>
    <xf numFmtId="0" fontId="51" fillId="3" borderId="30" xfId="0" applyFont="1" applyFill="1" applyBorder="1" applyAlignment="1">
      <alignment horizontal="center"/>
    </xf>
    <xf numFmtId="0" fontId="0" fillId="0" borderId="0" xfId="0" applyAlignment="1">
      <alignment horizontal="center" vertical="center"/>
    </xf>
    <xf numFmtId="0" fontId="59" fillId="2" borderId="139" xfId="0" applyFont="1" applyFill="1" applyBorder="1" applyAlignment="1">
      <alignment horizontal="center"/>
    </xf>
    <xf numFmtId="0" fontId="0" fillId="9" borderId="20" xfId="0" quotePrefix="1" applyFill="1" applyBorder="1" applyAlignment="1" applyProtection="1">
      <alignment horizontal="center" vertical="top" wrapText="1"/>
      <protection locked="0"/>
    </xf>
    <xf numFmtId="0" fontId="0" fillId="9" borderId="21" xfId="0" quotePrefix="1" applyFill="1" applyBorder="1" applyAlignment="1" applyProtection="1">
      <alignment horizontal="center" vertical="top" wrapText="1"/>
      <protection locked="0"/>
    </xf>
    <xf numFmtId="0" fontId="0" fillId="9" borderId="22" xfId="0" quotePrefix="1" applyFill="1" applyBorder="1" applyAlignment="1" applyProtection="1">
      <alignment horizontal="center" vertical="top" wrapText="1"/>
      <protection locked="0"/>
    </xf>
    <xf numFmtId="0" fontId="0" fillId="9" borderId="23" xfId="0" applyFill="1" applyBorder="1" applyAlignment="1" applyProtection="1">
      <alignment horizontal="center" vertical="top"/>
      <protection locked="0"/>
    </xf>
    <xf numFmtId="0" fontId="0" fillId="9" borderId="0" xfId="0" applyFill="1" applyAlignment="1" applyProtection="1">
      <alignment horizontal="center" vertical="top"/>
      <protection locked="0"/>
    </xf>
    <xf numFmtId="0" fontId="0" fillId="9" borderId="24" xfId="0" applyFill="1" applyBorder="1" applyAlignment="1" applyProtection="1">
      <alignment horizontal="center" vertical="top"/>
      <protection locked="0"/>
    </xf>
    <xf numFmtId="0" fontId="14" fillId="3" borderId="20" xfId="0" applyFont="1" applyFill="1" applyBorder="1" applyAlignment="1">
      <alignment horizontal="left" indent="2"/>
    </xf>
    <xf numFmtId="0" fontId="14" fillId="3" borderId="21" xfId="0" applyFont="1" applyFill="1" applyBorder="1" applyAlignment="1">
      <alignment horizontal="left" indent="2"/>
    </xf>
    <xf numFmtId="0" fontId="14" fillId="3" borderId="22" xfId="0" applyFont="1" applyFill="1" applyBorder="1" applyAlignment="1">
      <alignment horizontal="left" indent="2"/>
    </xf>
    <xf numFmtId="0" fontId="77" fillId="3" borderId="7" xfId="0" applyFont="1" applyFill="1" applyBorder="1" applyAlignment="1">
      <alignment horizontal="center"/>
    </xf>
    <xf numFmtId="0" fontId="77" fillId="3" borderId="169" xfId="0" applyFont="1" applyFill="1" applyBorder="1" applyAlignment="1">
      <alignment horizontal="center"/>
    </xf>
    <xf numFmtId="0" fontId="77" fillId="3" borderId="8" xfId="0" applyFont="1" applyFill="1" applyBorder="1" applyAlignment="1">
      <alignment horizontal="center"/>
    </xf>
    <xf numFmtId="0" fontId="14" fillId="3" borderId="23" xfId="0" applyFont="1" applyFill="1" applyBorder="1" applyAlignment="1">
      <alignment horizontal="center" vertical="center"/>
    </xf>
    <xf numFmtId="0" fontId="14" fillId="3" borderId="0" xfId="0" applyFont="1" applyFill="1" applyAlignment="1">
      <alignment horizontal="center" vertical="center"/>
    </xf>
    <xf numFmtId="0" fontId="0" fillId="0" borderId="461" xfId="0" applyBorder="1" applyAlignment="1" applyProtection="1">
      <alignment horizontal="left" vertical="top"/>
      <protection locked="0"/>
    </xf>
    <xf numFmtId="0" fontId="0" fillId="0" borderId="463" xfId="0" applyBorder="1" applyAlignment="1" applyProtection="1">
      <alignment horizontal="left" vertical="top"/>
      <protection locked="0"/>
    </xf>
    <xf numFmtId="0" fontId="0" fillId="0" borderId="381" xfId="0" applyBorder="1" applyAlignment="1" applyProtection="1">
      <alignment horizontal="left" vertical="top"/>
      <protection locked="0"/>
    </xf>
    <xf numFmtId="0" fontId="0" fillId="0" borderId="382" xfId="0" applyBorder="1" applyAlignment="1" applyProtection="1">
      <alignment horizontal="left" vertical="top"/>
      <protection locked="0"/>
    </xf>
    <xf numFmtId="0" fontId="0" fillId="0" borderId="383" xfId="0" applyBorder="1" applyAlignment="1" applyProtection="1">
      <alignment horizontal="left" vertical="top"/>
      <protection locked="0"/>
    </xf>
    <xf numFmtId="0" fontId="0" fillId="0" borderId="378" xfId="0" applyBorder="1" applyAlignment="1" applyProtection="1">
      <alignment horizontal="left" vertical="top"/>
      <protection locked="0"/>
    </xf>
    <xf numFmtId="0" fontId="0" fillId="0" borderId="379" xfId="0" applyBorder="1" applyAlignment="1" applyProtection="1">
      <alignment horizontal="left" vertical="top"/>
      <protection locked="0"/>
    </xf>
    <xf numFmtId="0" fontId="0" fillId="0" borderId="380" xfId="0" applyBorder="1" applyAlignment="1" applyProtection="1">
      <alignment horizontal="left" vertical="top"/>
      <protection locked="0"/>
    </xf>
    <xf numFmtId="4" fontId="7" fillId="0" borderId="459" xfId="0" applyNumberFormat="1" applyFont="1" applyBorder="1" applyAlignment="1" applyProtection="1">
      <alignment horizontal="center" vertical="top"/>
      <protection locked="0"/>
    </xf>
    <xf numFmtId="4" fontId="7" fillId="0" borderId="462" xfId="0" applyNumberFormat="1" applyFont="1" applyBorder="1" applyAlignment="1" applyProtection="1">
      <alignment horizontal="center" vertical="top"/>
      <protection locked="0"/>
    </xf>
    <xf numFmtId="173" fontId="242" fillId="0" borderId="359" xfId="2" applyNumberFormat="1" applyFont="1" applyBorder="1" applyAlignment="1">
      <alignment horizontal="center"/>
    </xf>
    <xf numFmtId="173" fontId="242" fillId="0" borderId="404" xfId="2" applyNumberFormat="1" applyFont="1" applyBorder="1" applyAlignment="1">
      <alignment horizontal="center"/>
    </xf>
    <xf numFmtId="173" fontId="242" fillId="0" borderId="405" xfId="2" applyNumberFormat="1" applyFont="1" applyBorder="1" applyAlignment="1">
      <alignment horizontal="center"/>
    </xf>
    <xf numFmtId="0" fontId="88" fillId="0" borderId="29" xfId="0" applyFont="1" applyBorder="1" applyAlignment="1">
      <alignment horizontal="left"/>
    </xf>
    <xf numFmtId="0" fontId="88" fillId="0" borderId="207" xfId="0" applyFont="1" applyBorder="1" applyAlignment="1">
      <alignment horizontal="left"/>
    </xf>
    <xf numFmtId="0" fontId="14" fillId="3" borderId="20" xfId="0" applyFont="1" applyFill="1" applyBorder="1" applyAlignment="1">
      <alignment horizontal="center"/>
    </xf>
    <xf numFmtId="0" fontId="14" fillId="3" borderId="21" xfId="0" applyFont="1" applyFill="1" applyBorder="1" applyAlignment="1">
      <alignment horizontal="center"/>
    </xf>
    <xf numFmtId="0" fontId="14" fillId="3" borderId="22" xfId="0" applyFont="1" applyFill="1" applyBorder="1" applyAlignment="1">
      <alignment horizontal="center"/>
    </xf>
    <xf numFmtId="0" fontId="242" fillId="30" borderId="432" xfId="13" applyFont="1" applyFill="1" applyBorder="1" applyAlignment="1" applyProtection="1">
      <alignment horizontal="center" vertical="center"/>
    </xf>
    <xf numFmtId="0" fontId="242" fillId="30" borderId="433" xfId="13" applyFont="1" applyFill="1" applyBorder="1" applyAlignment="1" applyProtection="1">
      <alignment horizontal="center" vertical="center"/>
    </xf>
    <xf numFmtId="0" fontId="242" fillId="30" borderId="434" xfId="13" applyFont="1" applyFill="1" applyBorder="1" applyAlignment="1" applyProtection="1">
      <alignment horizontal="center" vertical="center"/>
    </xf>
    <xf numFmtId="0" fontId="169" fillId="0" borderId="0" xfId="0" applyFont="1" applyAlignment="1">
      <alignment horizontal="center" vertical="center"/>
    </xf>
    <xf numFmtId="0" fontId="179" fillId="2" borderId="139" xfId="0" applyFont="1" applyFill="1" applyBorder="1" applyAlignment="1">
      <alignment horizontal="center"/>
    </xf>
    <xf numFmtId="0" fontId="179" fillId="2" borderId="0" xfId="0" applyFont="1" applyFill="1" applyAlignment="1">
      <alignment horizontal="center"/>
    </xf>
    <xf numFmtId="0" fontId="100" fillId="0" borderId="0" xfId="13" applyFont="1" applyAlignment="1" applyProtection="1">
      <alignment horizontal="center"/>
    </xf>
    <xf numFmtId="0" fontId="113" fillId="0" borderId="0" xfId="0" applyFont="1" applyAlignment="1">
      <alignment horizontal="center"/>
    </xf>
    <xf numFmtId="165" fontId="125" fillId="0" borderId="0" xfId="0" applyNumberFormat="1" applyFont="1" applyAlignment="1">
      <alignment horizontal="left"/>
    </xf>
    <xf numFmtId="0" fontId="188" fillId="0" borderId="0" xfId="0" applyFont="1" applyAlignment="1">
      <alignment horizontal="center"/>
    </xf>
    <xf numFmtId="0" fontId="179" fillId="2" borderId="58" xfId="0" applyFont="1" applyFill="1" applyBorder="1" applyAlignment="1">
      <alignment horizontal="center"/>
    </xf>
    <xf numFmtId="164" fontId="170" fillId="0" borderId="28" xfId="1" applyFont="1" applyBorder="1" applyAlignment="1">
      <alignment horizontal="right" vertical="center" indent="1"/>
    </xf>
    <xf numFmtId="164" fontId="182" fillId="0" borderId="28" xfId="1" applyFont="1" applyBorder="1" applyAlignment="1">
      <alignment horizontal="right" vertical="center" indent="1"/>
    </xf>
    <xf numFmtId="0" fontId="113" fillId="0" borderId="64" xfId="0" applyFont="1" applyBorder="1" applyAlignment="1">
      <alignment horizontal="center" vertical="center" wrapText="1"/>
    </xf>
    <xf numFmtId="0" fontId="113" fillId="0" borderId="58" xfId="0" applyFont="1" applyBorder="1" applyAlignment="1">
      <alignment horizontal="center" vertical="center" wrapText="1"/>
    </xf>
    <xf numFmtId="0" fontId="110" fillId="10" borderId="58" xfId="0" applyFont="1" applyFill="1" applyBorder="1" applyAlignment="1">
      <alignment horizontal="center" vertical="center"/>
    </xf>
    <xf numFmtId="0" fontId="114" fillId="2" borderId="28" xfId="0" applyFont="1" applyFill="1" applyBorder="1" applyAlignment="1">
      <alignment horizontal="left" vertical="center" indent="1"/>
    </xf>
    <xf numFmtId="4" fontId="170" fillId="0" borderId="28" xfId="0" applyNumberFormat="1" applyFont="1" applyBorder="1" applyAlignment="1">
      <alignment horizontal="right" vertical="center" indent="1"/>
    </xf>
    <xf numFmtId="4" fontId="170" fillId="0" borderId="37" xfId="0" applyNumberFormat="1" applyFont="1" applyBorder="1" applyAlignment="1">
      <alignment horizontal="right" vertical="center" indent="1"/>
    </xf>
    <xf numFmtId="2" fontId="173" fillId="0" borderId="37" xfId="0" applyNumberFormat="1" applyFont="1" applyBorder="1" applyAlignment="1">
      <alignment horizontal="center" vertical="center"/>
    </xf>
    <xf numFmtId="2" fontId="173" fillId="0" borderId="35" xfId="0" applyNumberFormat="1" applyFont="1" applyBorder="1" applyAlignment="1">
      <alignment horizontal="center" vertical="center"/>
    </xf>
    <xf numFmtId="0" fontId="113" fillId="0" borderId="37" xfId="0" applyFont="1" applyBorder="1" applyAlignment="1">
      <alignment horizontal="center" vertical="center"/>
    </xf>
    <xf numFmtId="0" fontId="113" fillId="0" borderId="35" xfId="0" applyFont="1" applyBorder="1" applyAlignment="1">
      <alignment horizontal="center" vertical="center"/>
    </xf>
    <xf numFmtId="0" fontId="113" fillId="0" borderId="28" xfId="0" applyFont="1" applyBorder="1" applyAlignment="1">
      <alignment horizontal="center" vertical="center" wrapText="1"/>
    </xf>
    <xf numFmtId="0" fontId="114" fillId="2" borderId="28" xfId="0" applyFont="1" applyFill="1" applyBorder="1" applyAlignment="1">
      <alignment horizontal="left" vertical="center" wrapText="1" indent="1"/>
    </xf>
    <xf numFmtId="0" fontId="173" fillId="0" borderId="29" xfId="0" applyFont="1" applyBorder="1" applyAlignment="1">
      <alignment horizontal="center"/>
    </xf>
    <xf numFmtId="0" fontId="173" fillId="0" borderId="31" xfId="0" applyFont="1" applyBorder="1" applyAlignment="1">
      <alignment horizontal="center"/>
    </xf>
    <xf numFmtId="0" fontId="110" fillId="0" borderId="37" xfId="0" applyFont="1" applyBorder="1" applyAlignment="1">
      <alignment horizontal="center" vertical="center"/>
    </xf>
    <xf numFmtId="0" fontId="110" fillId="0" borderId="35" xfId="0" applyFont="1" applyBorder="1" applyAlignment="1">
      <alignment horizontal="center" vertical="center"/>
    </xf>
    <xf numFmtId="10" fontId="171" fillId="0" borderId="28" xfId="0" applyNumberFormat="1" applyFont="1" applyBorder="1" applyAlignment="1">
      <alignment vertical="center"/>
    </xf>
    <xf numFmtId="10" fontId="170" fillId="0" borderId="28" xfId="0" applyNumberFormat="1" applyFont="1" applyBorder="1" applyAlignment="1">
      <alignment vertical="center"/>
    </xf>
    <xf numFmtId="164" fontId="183" fillId="0" borderId="28" xfId="1" applyFont="1" applyBorder="1" applyAlignment="1">
      <alignment vertical="center"/>
    </xf>
    <xf numFmtId="10" fontId="183" fillId="0" borderId="28" xfId="0" applyNumberFormat="1" applyFont="1" applyBorder="1" applyAlignment="1">
      <alignment vertical="center"/>
    </xf>
    <xf numFmtId="2" fontId="171" fillId="0" borderId="28" xfId="0" applyNumberFormat="1" applyFont="1" applyBorder="1" applyAlignment="1">
      <alignment horizontal="right" vertical="center" indent="1"/>
    </xf>
    <xf numFmtId="2" fontId="171" fillId="0" borderId="37" xfId="0" applyNumberFormat="1" applyFont="1" applyBorder="1" applyAlignment="1">
      <alignment horizontal="right" vertical="center" indent="1"/>
    </xf>
    <xf numFmtId="2" fontId="170" fillId="0" borderId="28" xfId="0" applyNumberFormat="1" applyFont="1" applyBorder="1" applyAlignment="1">
      <alignment horizontal="right" vertical="center" indent="1"/>
    </xf>
    <xf numFmtId="164" fontId="170" fillId="0" borderId="28" xfId="1" applyFont="1" applyBorder="1" applyAlignment="1">
      <alignment vertical="center"/>
    </xf>
    <xf numFmtId="0" fontId="173" fillId="10" borderId="210" xfId="0" applyFont="1" applyFill="1" applyBorder="1" applyAlignment="1">
      <alignment horizontal="center" vertical="center"/>
    </xf>
    <xf numFmtId="0" fontId="173" fillId="10" borderId="211" xfId="0" applyFont="1" applyFill="1" applyBorder="1" applyAlignment="1">
      <alignment horizontal="center" vertical="center"/>
    </xf>
    <xf numFmtId="0" fontId="173" fillId="10" borderId="212" xfId="0" applyFont="1" applyFill="1" applyBorder="1" applyAlignment="1">
      <alignment horizontal="center" vertical="center"/>
    </xf>
    <xf numFmtId="0" fontId="173" fillId="10" borderId="213" xfId="0" applyFont="1" applyFill="1" applyBorder="1" applyAlignment="1">
      <alignment horizontal="center" vertical="center"/>
    </xf>
    <xf numFmtId="0" fontId="173" fillId="10" borderId="208" xfId="0" applyFont="1" applyFill="1" applyBorder="1" applyAlignment="1">
      <alignment horizontal="center" vertical="center"/>
    </xf>
    <xf numFmtId="0" fontId="173" fillId="10" borderId="214" xfId="0" applyFont="1" applyFill="1" applyBorder="1" applyAlignment="1">
      <alignment horizontal="center" vertical="center"/>
    </xf>
    <xf numFmtId="0" fontId="173" fillId="0" borderId="6" xfId="0" applyFont="1" applyBorder="1" applyAlignment="1">
      <alignment horizontal="center"/>
    </xf>
    <xf numFmtId="0" fontId="124" fillId="2" borderId="170" xfId="0" applyFont="1" applyFill="1" applyBorder="1" applyAlignment="1">
      <alignment horizontal="center" vertical="center" textRotation="90"/>
    </xf>
    <xf numFmtId="0" fontId="124" fillId="2" borderId="172" xfId="0" applyFont="1" applyFill="1" applyBorder="1" applyAlignment="1">
      <alignment horizontal="center" vertical="center" textRotation="90"/>
    </xf>
    <xf numFmtId="0" fontId="124" fillId="2" borderId="171" xfId="0" applyFont="1" applyFill="1" applyBorder="1" applyAlignment="1">
      <alignment horizontal="center" vertical="center" textRotation="90"/>
    </xf>
    <xf numFmtId="0" fontId="185" fillId="0" borderId="170" xfId="0" applyFont="1" applyBorder="1" applyAlignment="1">
      <alignment horizontal="center"/>
    </xf>
    <xf numFmtId="2" fontId="115" fillId="0" borderId="6" xfId="10" applyNumberFormat="1" applyFont="1" applyBorder="1" applyAlignment="1">
      <alignment horizontal="right" vertical="center" indent="1"/>
    </xf>
    <xf numFmtId="164" fontId="122" fillId="0" borderId="6" xfId="1" applyFont="1" applyBorder="1" applyAlignment="1">
      <alignment horizontal="right" vertical="center" indent="1"/>
    </xf>
    <xf numFmtId="0" fontId="115" fillId="0" borderId="171" xfId="0" applyFont="1" applyBorder="1" applyAlignment="1">
      <alignment horizontal="center"/>
    </xf>
    <xf numFmtId="0" fontId="185" fillId="0" borderId="136" xfId="0" applyFont="1" applyBorder="1" applyAlignment="1">
      <alignment horizontal="center"/>
    </xf>
    <xf numFmtId="0" fontId="185" fillId="0" borderId="137" xfId="0" applyFont="1" applyBorder="1" applyAlignment="1">
      <alignment horizontal="center"/>
    </xf>
    <xf numFmtId="0" fontId="185" fillId="0" borderId="138" xfId="0" applyFont="1" applyBorder="1" applyAlignment="1">
      <alignment horizontal="center"/>
    </xf>
    <xf numFmtId="2" fontId="115" fillId="0" borderId="170" xfId="10" applyNumberFormat="1" applyFont="1" applyBorder="1" applyAlignment="1">
      <alignment horizontal="right" vertical="center" indent="1"/>
    </xf>
    <xf numFmtId="2" fontId="115" fillId="0" borderId="171" xfId="10" applyNumberFormat="1" applyFont="1" applyBorder="1" applyAlignment="1">
      <alignment horizontal="right" vertical="center" indent="1"/>
    </xf>
    <xf numFmtId="164" fontId="122" fillId="0" borderId="170" xfId="1" applyFont="1" applyBorder="1" applyAlignment="1">
      <alignment horizontal="right" vertical="center" indent="1"/>
    </xf>
    <xf numFmtId="164" fontId="122" fillId="0" borderId="171" xfId="1" applyFont="1" applyBorder="1" applyAlignment="1">
      <alignment horizontal="right" vertical="center" indent="1"/>
    </xf>
    <xf numFmtId="0" fontId="115" fillId="0" borderId="141" xfId="0" applyFont="1" applyBorder="1" applyAlignment="1">
      <alignment horizontal="center"/>
    </xf>
    <xf numFmtId="0" fontId="115" fillId="0" borderId="142" xfId="0" applyFont="1" applyBorder="1" applyAlignment="1">
      <alignment horizontal="center"/>
    </xf>
    <xf numFmtId="0" fontId="115" fillId="0" borderId="143" xfId="0" applyFont="1" applyBorder="1" applyAlignment="1">
      <alignment horizontal="center"/>
    </xf>
    <xf numFmtId="0" fontId="115" fillId="0" borderId="137" xfId="0" applyFont="1" applyBorder="1" applyAlignment="1">
      <alignment horizontal="center" vertical="center"/>
    </xf>
    <xf numFmtId="0" fontId="115" fillId="0" borderId="142" xfId="0" applyFont="1" applyBorder="1" applyAlignment="1">
      <alignment horizontal="center" vertical="center"/>
    </xf>
    <xf numFmtId="164" fontId="122" fillId="0" borderId="170" xfId="1" applyFont="1" applyBorder="1" applyAlignment="1">
      <alignment horizontal="right" vertical="center"/>
    </xf>
    <xf numFmtId="164" fontId="122" fillId="0" borderId="171" xfId="1" applyFont="1" applyBorder="1" applyAlignment="1">
      <alignment vertical="center"/>
    </xf>
    <xf numFmtId="0" fontId="115" fillId="0" borderId="141" xfId="0" applyFont="1" applyBorder="1" applyAlignment="1">
      <alignment horizontal="center" vertical="center"/>
    </xf>
    <xf numFmtId="0" fontId="115" fillId="0" borderId="143" xfId="0" applyFont="1" applyBorder="1" applyAlignment="1">
      <alignment horizontal="center" vertical="center"/>
    </xf>
    <xf numFmtId="2" fontId="113" fillId="0" borderId="0" xfId="10" applyNumberFormat="1" applyFont="1" applyAlignment="1">
      <alignment horizontal="right" vertical="center" indent="1"/>
    </xf>
    <xf numFmtId="0" fontId="115" fillId="0" borderId="171" xfId="0" applyFont="1" applyBorder="1" applyAlignment="1">
      <alignment horizontal="right" vertical="center" indent="1"/>
    </xf>
    <xf numFmtId="0" fontId="185" fillId="0" borderId="136" xfId="0" applyFont="1" applyBorder="1" applyAlignment="1">
      <alignment horizontal="center" vertical="center"/>
    </xf>
    <xf numFmtId="0" fontId="185" fillId="0" borderId="137" xfId="0" applyFont="1" applyBorder="1" applyAlignment="1">
      <alignment horizontal="center" vertical="center"/>
    </xf>
    <xf numFmtId="0" fontId="185" fillId="0" borderId="138" xfId="0" applyFont="1" applyBorder="1" applyAlignment="1">
      <alignment horizontal="center" vertical="center"/>
    </xf>
    <xf numFmtId="10" fontId="115" fillId="0" borderId="170" xfId="10" applyNumberFormat="1" applyFont="1" applyBorder="1" applyAlignment="1">
      <alignment horizontal="right" vertical="center"/>
    </xf>
    <xf numFmtId="0" fontId="115" fillId="0" borderId="171" xfId="0" applyFont="1" applyBorder="1" applyAlignment="1">
      <alignment vertical="center"/>
    </xf>
    <xf numFmtId="0" fontId="212" fillId="11" borderId="0" xfId="0" applyFont="1" applyFill="1" applyAlignment="1">
      <alignment horizontal="center"/>
    </xf>
    <xf numFmtId="0" fontId="199" fillId="11" borderId="0" xfId="0" applyFont="1" applyFill="1" applyAlignment="1">
      <alignment horizontal="center" vertical="center"/>
    </xf>
    <xf numFmtId="0" fontId="213" fillId="11" borderId="0" xfId="0" applyFont="1" applyFill="1" applyAlignment="1">
      <alignment horizontal="center"/>
    </xf>
    <xf numFmtId="0" fontId="232" fillId="11" borderId="0" xfId="0" applyFont="1" applyFill="1" applyAlignment="1">
      <alignment horizontal="center" vertical="center"/>
    </xf>
    <xf numFmtId="0" fontId="233" fillId="11" borderId="0" xfId="0" applyFont="1" applyFill="1" applyAlignment="1">
      <alignment horizontal="center"/>
    </xf>
    <xf numFmtId="0" fontId="226" fillId="11" borderId="0" xfId="0" applyFont="1" applyFill="1" applyAlignment="1">
      <alignment horizontal="center"/>
    </xf>
  </cellXfs>
  <cellStyles count="1701">
    <cellStyle name="%" xfId="320" xr:uid="{175286F3-0604-4358-A92D-037A51CDA1F5}"/>
    <cellStyle name="% 2" xfId="321" xr:uid="{311093B4-E68F-4ADB-999B-2F1397699845}"/>
    <cellStyle name="% 3" xfId="470" xr:uid="{C5949B1D-FC81-4DC9-AFC2-121DD512C974}"/>
    <cellStyle name="%_7674596_1" xfId="471" xr:uid="{C98017D2-17E9-4E88-936A-07066FECDA88}"/>
    <cellStyle name="%_7912017_1" xfId="472" xr:uid="{7B832C65-5A58-4EF2-B989-318E03EC5B0C}"/>
    <cellStyle name="%_7935412_1" xfId="473" xr:uid="{4E499D14-BF68-4A1C-B983-C8C2420621F2}"/>
    <cellStyle name="%_Inversiones realizadas por Somafer y Evinca en 2010" xfId="474" xr:uid="{0075A72D-F139-4E49-B0CB-D487DA3C45D7}"/>
    <cellStyle name="%_Libert. Amort. 2010" xfId="475" xr:uid="{FCD88CB5-FB79-46CE-B6C7-5781638A0964}"/>
    <cellStyle name="%_Préstamos" xfId="476" xr:uid="{A5E5AC49-53C2-496C-8B44-9EBC840E46DF}"/>
    <cellStyle name="%_Tabla libertad amortizacion para primer PF 2011 (2)" xfId="477" xr:uid="{85DD1A0F-F5E4-4BD9-A20A-24ADE57A71A1}"/>
    <cellStyle name="%_Tabla libertad amortizacion para primer PF 2011 (5)" xfId="478" xr:uid="{E477BB97-3C81-4F67-A759-AEF36CE74061}"/>
    <cellStyle name="0,0_x000d__x000a_NA_x000d__x000a_" xfId="479" xr:uid="{7CA57F39-E95E-4255-B49B-D5020EBBFB9F}"/>
    <cellStyle name="00009" xfId="480" xr:uid="{3E4B19BE-970A-452C-9820-BE5A0C732878}"/>
    <cellStyle name="00015" xfId="481" xr:uid="{83A32C04-ED88-415C-B8FA-2E130FEA769A}"/>
    <cellStyle name="00019" xfId="482" xr:uid="{61986D1C-B84D-4289-B22A-2547B79D81C4}"/>
    <cellStyle name="00023" xfId="483" xr:uid="{D7134B04-5191-43D6-959E-750C3E636F31}"/>
    <cellStyle name="00035" xfId="484" xr:uid="{37D55CBE-E7D4-4723-83DD-C5D72667B55D}"/>
    <cellStyle name="00036" xfId="485" xr:uid="{4EE82D21-E60C-4FBD-8702-9AC57D8E1B90}"/>
    <cellStyle name="00056" xfId="486" xr:uid="{8C01664A-3479-4CF1-A16D-0DDC765372F6}"/>
    <cellStyle name="00060" xfId="487" xr:uid="{FCD2F104-0A78-4C1F-90C7-42C31E5BBA30}"/>
    <cellStyle name="00061" xfId="488" xr:uid="{14E7BE55-6284-4EF1-9714-CDEC75B4C103}"/>
    <cellStyle name="00062" xfId="489" xr:uid="{D9EBDA9D-D930-4AF0-9515-07CE19E86534}"/>
    <cellStyle name="00063" xfId="490" xr:uid="{763B3A77-75F9-461D-812B-4F8FBDA0A72B}"/>
    <cellStyle name="20% - Accent1 2" xfId="491" xr:uid="{24C7AC58-12FD-4516-8732-3B189B3B0E7A}"/>
    <cellStyle name="20% - Accent1 3" xfId="492" xr:uid="{8E62029C-4AC4-4714-9069-1148A123EC95}"/>
    <cellStyle name="20% - Accent1 3 2" xfId="1477" xr:uid="{A3E8E31A-6D7C-4908-A3A4-E553B2B4A41B}"/>
    <cellStyle name="20% - Accent1 4" xfId="821" xr:uid="{23B01BA4-0932-4A67-A35D-6C8797A85FB2}"/>
    <cellStyle name="20% - Accent2 2" xfId="493" xr:uid="{09037822-2126-4607-A1E0-A0FCFA44E0B4}"/>
    <cellStyle name="20% - Accent2 3" xfId="494" xr:uid="{D86709D4-6FC7-4805-902B-5EA2CFE7457F}"/>
    <cellStyle name="20% - Accent2 3 2" xfId="1478" xr:uid="{4FD66AB3-E7FE-4179-8ABD-82CDCB5042A8}"/>
    <cellStyle name="20% - Accent2 4" xfId="822" xr:uid="{8E941AAB-836C-4D74-AD74-0A960BBE53F0}"/>
    <cellStyle name="20% - Accent3 2" xfId="495" xr:uid="{AB113E00-74E9-41DD-8A18-F0253EF85E5A}"/>
    <cellStyle name="20% - Accent3 3" xfId="496" xr:uid="{38C9C417-51AC-4776-BBF4-B62D3D2C4969}"/>
    <cellStyle name="20% - Accent3 3 2" xfId="1479" xr:uid="{F35A23BD-B576-4564-8DA9-00C19002FCD9}"/>
    <cellStyle name="20% - Accent3 4" xfId="823" xr:uid="{612A20FF-5714-4FCE-AEF2-C545BB996F12}"/>
    <cellStyle name="20% - Accent4 2" xfId="497" xr:uid="{1A3CAD14-3358-442E-8109-FE5ADCC3C604}"/>
    <cellStyle name="20% - Accent4 3" xfId="498" xr:uid="{F1EE2DE3-876D-41FD-B8D5-4A681F6BDDAA}"/>
    <cellStyle name="20% - Accent4 3 2" xfId="1480" xr:uid="{6B4FD398-460C-452D-9114-452D7E060B2B}"/>
    <cellStyle name="20% - Accent4 4" xfId="824" xr:uid="{70C17E4E-4313-44A5-B656-F76A4B5EF77F}"/>
    <cellStyle name="20% - Accent5 2" xfId="499" xr:uid="{3342F4F2-C8FA-4CBD-BA0A-248A9067FDF0}"/>
    <cellStyle name="20% - Accent5 3" xfId="500" xr:uid="{99B854A9-19EC-48E7-B582-E183689C596F}"/>
    <cellStyle name="20% - Accent5 3 2" xfId="1481" xr:uid="{90C3AC31-B123-4982-BC16-944F64619182}"/>
    <cellStyle name="20% - Accent5 4" xfId="825" xr:uid="{A8B37129-EF85-4A9C-A70F-E67548A5A7E2}"/>
    <cellStyle name="20% - Accent6 2" xfId="501" xr:uid="{E1C4AE0B-4F7C-40B1-AE3C-61BC58B44B45}"/>
    <cellStyle name="20% - Accent6 3" xfId="502" xr:uid="{E9FAA7B3-76F8-4B6B-82E5-2EF65E11ADC5}"/>
    <cellStyle name="20% - Accent6 3 2" xfId="1482" xr:uid="{DFF1EB03-CDBA-4F6E-BB41-079D71ABC853}"/>
    <cellStyle name="20% - Accent6 4" xfId="826" xr:uid="{C7717F54-1C1D-445D-9040-8FB9FBA6EBF9}"/>
    <cellStyle name="20% - Énfasis1" xfId="38" builtinId="30" customBuiltin="1"/>
    <cellStyle name="20% - Énfasis1 2" xfId="215" xr:uid="{93DA382C-D108-44AD-AF4D-FE95CEB193F5}"/>
    <cellStyle name="20% - Énfasis1 2 2" xfId="933" xr:uid="{3A5985D8-05FB-454C-B416-EECA09F55237}"/>
    <cellStyle name="20% - Énfasis1 2 3" xfId="396" xr:uid="{34820525-30B9-4D33-92D8-A0E78A7F5E28}"/>
    <cellStyle name="20% - Énfasis1 2 3 2" xfId="1459" xr:uid="{B6850AD0-0AAB-45E2-B00B-7602FE2D658E}"/>
    <cellStyle name="20% - Énfasis1 2 4" xfId="1384" xr:uid="{32030A74-8358-421D-9FC0-2FFC04B59218}"/>
    <cellStyle name="20% - Énfasis1 3" xfId="503" xr:uid="{992AC625-B1C5-47B9-99E2-A7518CCE5683}"/>
    <cellStyle name="20% - Énfasis1 3 2" xfId="1483" xr:uid="{1A171155-F18F-4455-BCE5-74B3D428BD62}"/>
    <cellStyle name="20% - Énfasis1 4" xfId="504" xr:uid="{7212E00D-EB43-4099-8A0A-EDD00130701A}"/>
    <cellStyle name="20% - Énfasis1 4 2" xfId="1484" xr:uid="{E0867C6D-5955-48A8-A004-5A91CDB423D4}"/>
    <cellStyle name="20% - Énfasis1 5" xfId="505" xr:uid="{0B3D145A-147B-41D1-8086-73328D61315B}"/>
    <cellStyle name="20% - Énfasis1 5 2" xfId="1485" xr:uid="{497D36A5-160D-4E13-BC68-AE0C6265A919}"/>
    <cellStyle name="20% - Énfasis1 6" xfId="322" xr:uid="{046B3151-98A2-4CB8-8FEB-E6443DB91601}"/>
    <cellStyle name="20% - Énfasis1 7" xfId="1304" xr:uid="{42C90FBE-BF12-4908-8EE0-FC24A47D299A}"/>
    <cellStyle name="20% - Énfasis2" xfId="40" builtinId="34" customBuiltin="1"/>
    <cellStyle name="20% - Énfasis2 2" xfId="217" xr:uid="{305D404C-822C-4F42-B8B4-147C857DDC33}"/>
    <cellStyle name="20% - Énfasis2 2 2" xfId="934" xr:uid="{A400FC3B-BCC4-4902-BE26-3AE23F0A14AD}"/>
    <cellStyle name="20% - Énfasis2 2 3" xfId="397" xr:uid="{F76A3FE0-E52E-4889-B8D7-4A7A31EB0A21}"/>
    <cellStyle name="20% - Énfasis2 2 3 2" xfId="1460" xr:uid="{0BA1EE50-A352-4302-9ABB-B88AA915FABF}"/>
    <cellStyle name="20% - Énfasis2 2 4" xfId="1386" xr:uid="{1D8418A4-8EA0-47D0-B198-A4EFE4FE2F81}"/>
    <cellStyle name="20% - Énfasis2 3" xfId="506" xr:uid="{59941289-BFD1-4724-9AF1-D7603DEF252F}"/>
    <cellStyle name="20% - Énfasis2 3 2" xfId="1486" xr:uid="{3EEDCD0A-9335-4830-84BA-D83754CFB93A}"/>
    <cellStyle name="20% - Énfasis2 4" xfId="507" xr:uid="{925A7823-0915-4537-8F80-459941C67010}"/>
    <cellStyle name="20% - Énfasis2 4 2" xfId="1487" xr:uid="{8C10DE56-DF0F-492C-B627-0BE56864922E}"/>
    <cellStyle name="20% - Énfasis2 5" xfId="508" xr:uid="{6F058D73-C5E1-4ACE-B8DA-499ED5193BE9}"/>
    <cellStyle name="20% - Énfasis2 5 2" xfId="1488" xr:uid="{6E29F981-2820-4BCC-9180-52561B549323}"/>
    <cellStyle name="20% - Énfasis2 6" xfId="323" xr:uid="{E21DDA5C-3355-42FC-A526-2E15F70C964C}"/>
    <cellStyle name="20% - Énfasis2 7" xfId="1306" xr:uid="{2B57CA61-4851-4516-8DAA-DB5CEE593514}"/>
    <cellStyle name="20% - Énfasis3" xfId="43" builtinId="38" customBuiltin="1"/>
    <cellStyle name="20% - Énfasis3 2" xfId="219" xr:uid="{1DA9536E-9057-49E3-AE0B-8713619C7D6A}"/>
    <cellStyle name="20% - Énfasis3 2 2" xfId="935" xr:uid="{4AC36C78-F6F9-4006-A31C-8FBFB4787993}"/>
    <cellStyle name="20% - Énfasis3 2 3" xfId="398" xr:uid="{A19DCC67-AFD7-4C85-9E0C-3C586E6E2FCC}"/>
    <cellStyle name="20% - Énfasis3 2 3 2" xfId="1461" xr:uid="{D5FAD3AC-F532-4B6A-9F1A-04AA44712B53}"/>
    <cellStyle name="20% - Énfasis3 2 4" xfId="1388" xr:uid="{0B514F18-4344-4E31-9F14-7D2AE55B6F73}"/>
    <cellStyle name="20% - Énfasis3 3" xfId="509" xr:uid="{054BA62C-DA54-4230-81AD-EF92D6F95068}"/>
    <cellStyle name="20% - Énfasis3 3 2" xfId="1489" xr:uid="{B5E50BBF-2082-41E5-81C7-28FDF6BB887C}"/>
    <cellStyle name="20% - Énfasis3 4" xfId="510" xr:uid="{BF2DD0D1-99D9-4871-A559-CCD7AA0FE75E}"/>
    <cellStyle name="20% - Énfasis3 4 2" xfId="1490" xr:uid="{7999B985-E7A2-4BFC-973D-1FE358901440}"/>
    <cellStyle name="20% - Énfasis3 5" xfId="511" xr:uid="{4D750D1C-C434-45E0-9062-D58116CBC157}"/>
    <cellStyle name="20% - Énfasis3 5 2" xfId="1491" xr:uid="{726C9A65-31DF-40A7-AC17-9DE2B939680D}"/>
    <cellStyle name="20% - Énfasis3 6" xfId="324" xr:uid="{BCD6D149-E734-4D8B-9350-8661B880B189}"/>
    <cellStyle name="20% - Énfasis3 7" xfId="1308" xr:uid="{F0F6BA5D-14A9-425C-BC34-3AE8BFC750B9}"/>
    <cellStyle name="20% - Énfasis4" xfId="46" builtinId="42" customBuiltin="1"/>
    <cellStyle name="20% - Énfasis4 2" xfId="221" xr:uid="{6127AD9E-F305-4CF1-854F-CD2B4E93A4BB}"/>
    <cellStyle name="20% - Énfasis4 2 2" xfId="936" xr:uid="{5452F176-EAE8-4C2C-A66A-44C955E94198}"/>
    <cellStyle name="20% - Énfasis4 2 3" xfId="399" xr:uid="{980F9A16-60BD-477B-84B4-2B2BD24B5922}"/>
    <cellStyle name="20% - Énfasis4 2 3 2" xfId="1462" xr:uid="{AF2BAE81-D3CE-4F8D-85D3-9CDC0ED094B7}"/>
    <cellStyle name="20% - Énfasis4 2 4" xfId="1390" xr:uid="{6EF99399-7B4E-485E-9AE1-FDF9429E19E5}"/>
    <cellStyle name="20% - Énfasis4 3" xfId="512" xr:uid="{0D2C2E79-B131-4B32-84A0-C1D23ABF4716}"/>
    <cellStyle name="20% - Énfasis4 3 2" xfId="1492" xr:uid="{B680BB7C-44B9-4436-9ED5-D052E9C61885}"/>
    <cellStyle name="20% - Énfasis4 4" xfId="513" xr:uid="{83FFA361-5C09-4A74-8C03-F4FC411570A3}"/>
    <cellStyle name="20% - Énfasis4 4 2" xfId="1493" xr:uid="{50DC347A-6D14-474B-8081-B58DF55C403A}"/>
    <cellStyle name="20% - Énfasis4 5" xfId="514" xr:uid="{8EBFFD5E-F2AF-40AC-88FF-9F83CC19FD3A}"/>
    <cellStyle name="20% - Énfasis4 5 2" xfId="1494" xr:uid="{678FB60B-9603-446E-B7AB-0DCAB501CEB4}"/>
    <cellStyle name="20% - Énfasis4 6" xfId="325" xr:uid="{EF2F2F45-A48A-4C4D-9B72-436F738C13EE}"/>
    <cellStyle name="20% - Énfasis4 7" xfId="1310" xr:uid="{7C3275EE-99AD-4A24-8FD9-B5E44C2A53F9}"/>
    <cellStyle name="20% - Énfasis5" xfId="49" builtinId="46" customBuiltin="1"/>
    <cellStyle name="20% - Énfasis5 2" xfId="223" xr:uid="{6EBD7C66-FC17-45D7-8018-6E1A6A726DA5}"/>
    <cellStyle name="20% - Énfasis5 2 2" xfId="937" xr:uid="{723ED698-2199-4076-BE8E-188BE4101156}"/>
    <cellStyle name="20% - Énfasis5 2 3" xfId="400" xr:uid="{786FD891-D605-4A5D-9DE9-D5312233FA6C}"/>
    <cellStyle name="20% - Énfasis5 2 3 2" xfId="1463" xr:uid="{5B4CBBB1-FC58-437B-849A-1F480EF236BE}"/>
    <cellStyle name="20% - Énfasis5 2 4" xfId="1392" xr:uid="{95EC68A9-3DD4-4480-9DD6-425DC03CF2B6}"/>
    <cellStyle name="20% - Énfasis5 3" xfId="515" xr:uid="{A421C66B-77D4-449E-B63F-89FB010CBC3E}"/>
    <cellStyle name="20% - Énfasis5 3 2" xfId="1495" xr:uid="{E45B8E54-2825-4E75-B669-01B9C5E32088}"/>
    <cellStyle name="20% - Énfasis5 4" xfId="516" xr:uid="{D950F7E9-660A-4F56-948A-E5CEED6C3501}"/>
    <cellStyle name="20% - Énfasis5 4 2" xfId="1496" xr:uid="{9C4C9041-512E-42BD-95E5-4D30AF65DFE5}"/>
    <cellStyle name="20% - Énfasis5 5" xfId="517" xr:uid="{560A52DB-4DEE-4767-B6AC-1A390E06D1DC}"/>
    <cellStyle name="20% - Énfasis5 5 2" xfId="1497" xr:uid="{E75032A0-FC05-456F-A51C-E98B3F7561CC}"/>
    <cellStyle name="20% - Énfasis5 6" xfId="326" xr:uid="{8008E077-D388-4682-8007-D69EBF113787}"/>
    <cellStyle name="20% - Énfasis5 7" xfId="1312" xr:uid="{ECF86380-3217-4A46-99F6-C28B72EDCAF1}"/>
    <cellStyle name="20% - Énfasis6" xfId="51" builtinId="50" customBuiltin="1"/>
    <cellStyle name="20% - Énfasis6 2" xfId="225" xr:uid="{4296E8C5-0AA0-4B49-95AE-863A97C463C6}"/>
    <cellStyle name="20% - Énfasis6 2 2" xfId="938" xr:uid="{72244258-178C-4535-AF75-539216EAAEE6}"/>
    <cellStyle name="20% - Énfasis6 2 3" xfId="401" xr:uid="{00440FD7-66A8-4AB0-9950-A87ECEE78329}"/>
    <cellStyle name="20% - Énfasis6 2 3 2" xfId="1464" xr:uid="{A06CEEFB-F485-4C22-9727-AA77BFF59ACE}"/>
    <cellStyle name="20% - Énfasis6 2 4" xfId="1394" xr:uid="{35224388-5836-4900-B52C-9BBC60E61E75}"/>
    <cellStyle name="20% - Énfasis6 3" xfId="518" xr:uid="{5ED08856-76C2-46E9-8120-8BEFF61B625D}"/>
    <cellStyle name="20% - Énfasis6 3 2" xfId="1498" xr:uid="{C53739E1-ED98-4E21-8689-07EDFEBBC5DF}"/>
    <cellStyle name="20% - Énfasis6 4" xfId="519" xr:uid="{4870D759-C197-4060-84D8-25596EA1F18C}"/>
    <cellStyle name="20% - Énfasis6 4 2" xfId="1499" xr:uid="{7B4EF325-1397-420E-A40C-2D50FB297E38}"/>
    <cellStyle name="20% - Énfasis6 5" xfId="520" xr:uid="{E3A7BDD4-EC01-4A38-A8DF-513B510CC593}"/>
    <cellStyle name="20% - Énfasis6 5 2" xfId="1500" xr:uid="{4F129840-9E12-4CAF-A0D9-4A32732122A8}"/>
    <cellStyle name="20% - Énfasis6 6" xfId="327" xr:uid="{5B771FBF-4580-4E37-B258-44C9B9AE81A1}"/>
    <cellStyle name="20% - Énfasis6 7" xfId="1314" xr:uid="{E5E5EDC4-C981-4E0B-99F4-79C541721F7E}"/>
    <cellStyle name="40% - Accent1 2" xfId="521" xr:uid="{119CA1C8-44B8-43BD-81D9-F36E20E15391}"/>
    <cellStyle name="40% - Accent1 3" xfId="522" xr:uid="{5605B1C6-E092-4BA6-BE45-B126888E0CAD}"/>
    <cellStyle name="40% - Accent1 3 2" xfId="1501" xr:uid="{04A12379-8208-4A46-AB33-57FE61FD27EB}"/>
    <cellStyle name="40% - Accent1 4" xfId="827" xr:uid="{520AC608-7ADE-4CCC-9B39-F84A485FEF69}"/>
    <cellStyle name="40% - Accent2 2" xfId="523" xr:uid="{84853587-05CA-4BD7-8256-C45DA5C4A399}"/>
    <cellStyle name="40% - Accent2 3" xfId="524" xr:uid="{8F85E1EF-F1D6-4540-AF00-0FE202F6E81E}"/>
    <cellStyle name="40% - Accent2 3 2" xfId="1502" xr:uid="{C88715F0-DD8F-4C2A-B61A-0002C2FBA5B6}"/>
    <cellStyle name="40% - Accent2 4" xfId="828" xr:uid="{A09BF1FC-8C60-4E7F-A61C-701DF1C28129}"/>
    <cellStyle name="40% - Accent3 2" xfId="525" xr:uid="{43B57BF6-AEAC-4F6C-87F1-1EAFA1EE3B2D}"/>
    <cellStyle name="40% - Accent3 3" xfId="526" xr:uid="{D0968DE8-4A93-4AB6-AF76-F18A10F64869}"/>
    <cellStyle name="40% - Accent3 3 2" xfId="1503" xr:uid="{77A5048E-9274-45AF-8FF3-645C8FDB1D2A}"/>
    <cellStyle name="40% - Accent3 4" xfId="829" xr:uid="{0049E8C9-16FE-4319-9955-F6205637ED34}"/>
    <cellStyle name="40% - Accent4 2" xfId="527" xr:uid="{ED9F69DC-B92E-4A7E-BA04-974AA7ACEFCF}"/>
    <cellStyle name="40% - Accent4 3" xfId="528" xr:uid="{22142E2D-A3F3-4552-AD72-8732E5EB3CC1}"/>
    <cellStyle name="40% - Accent4 3 2" xfId="1504" xr:uid="{098FAC2A-9ACE-47FC-903C-1878B87449E2}"/>
    <cellStyle name="40% - Accent4 4" xfId="830" xr:uid="{441A1003-293E-4FA5-981A-628EB1DC9093}"/>
    <cellStyle name="40% - Accent5 2" xfId="529" xr:uid="{6F404091-BB31-48F7-A3B2-ADA60D6EC81D}"/>
    <cellStyle name="40% - Accent5 3" xfId="530" xr:uid="{AE771A12-CCF5-455F-95D2-25D6B8A793BC}"/>
    <cellStyle name="40% - Accent5 3 2" xfId="1505" xr:uid="{CA46CAAD-39D7-4508-9B71-4A097E261381}"/>
    <cellStyle name="40% - Accent5 4" xfId="831" xr:uid="{1564C8A5-992A-4B30-8E32-F8270142DA5F}"/>
    <cellStyle name="40% - Accent6 2" xfId="531" xr:uid="{B761F005-0626-40A3-9A91-D0FB14EDAA0F}"/>
    <cellStyle name="40% - Accent6 3" xfId="532" xr:uid="{348F2A7E-BA47-4278-BA50-7C4AB4BD041B}"/>
    <cellStyle name="40% - Accent6 3 2" xfId="1506" xr:uid="{959469D7-730A-422D-B051-C2E03A85FA43}"/>
    <cellStyle name="40% - Accent6 4" xfId="832" xr:uid="{24F1BBEB-5BA2-4027-968E-CA85DADDEA1F}"/>
    <cellStyle name="40% - Énfasis1" xfId="39" builtinId="31" customBuiltin="1"/>
    <cellStyle name="40% - Énfasis1 2" xfId="216" xr:uid="{F034D29E-5933-4E41-BCE6-2CCC7CD05856}"/>
    <cellStyle name="40% - Énfasis1 2 2" xfId="939" xr:uid="{43480BD0-E84F-44C4-8D17-A556C40AB21D}"/>
    <cellStyle name="40% - Énfasis1 2 3" xfId="402" xr:uid="{1832401F-FE17-42AB-B91C-ED835A20313A}"/>
    <cellStyle name="40% - Énfasis1 2 3 2" xfId="1465" xr:uid="{9E063831-14FE-440C-ACF2-81090E0E717C}"/>
    <cellStyle name="40% - Énfasis1 2 4" xfId="1385" xr:uid="{F03E4DD2-1C83-4522-9F72-F9A7AE727906}"/>
    <cellStyle name="40% - Énfasis1 3" xfId="533" xr:uid="{0C2A3A95-FC33-4CC0-A119-4712DFDD56D5}"/>
    <cellStyle name="40% - Énfasis1 3 2" xfId="1507" xr:uid="{29DE72A1-8BC8-41DE-B4C9-6AA9207BD4B0}"/>
    <cellStyle name="40% - Énfasis1 4" xfId="534" xr:uid="{E50376BF-FA9C-4E3A-AC6B-24A32D0AE640}"/>
    <cellStyle name="40% - Énfasis1 4 2" xfId="1508" xr:uid="{55BAEF9C-4749-404E-A8DC-CBD2E5C660AD}"/>
    <cellStyle name="40% - Énfasis1 5" xfId="535" xr:uid="{36546770-C5B9-498B-A6AA-F6BCB88AB469}"/>
    <cellStyle name="40% - Énfasis1 5 2" xfId="1509" xr:uid="{39A37504-661D-4A86-815C-2DA1EC2F403B}"/>
    <cellStyle name="40% - Énfasis1 6" xfId="328" xr:uid="{64BC223C-E42D-4331-880A-CFC97083029B}"/>
    <cellStyle name="40% - Énfasis1 7" xfId="1305" xr:uid="{F6C3A377-3C7D-4F79-B239-E1CDB8EF6A52}"/>
    <cellStyle name="40% - Énfasis2" xfId="41" builtinId="35" customBuiltin="1"/>
    <cellStyle name="40% - Énfasis2 2" xfId="218" xr:uid="{7893FAC4-FDEE-40DE-957A-7A889FBFCF50}"/>
    <cellStyle name="40% - Énfasis2 2 2" xfId="940" xr:uid="{79A5997B-CCF1-4DFC-8C70-F2827FAB46C3}"/>
    <cellStyle name="40% - Énfasis2 2 3" xfId="403" xr:uid="{FB7A516F-0722-4BC5-9B6B-2C2D406EA3A1}"/>
    <cellStyle name="40% - Énfasis2 2 3 2" xfId="1466" xr:uid="{B93EB0BC-BA75-4611-9AB7-2A97A409B8A7}"/>
    <cellStyle name="40% - Énfasis2 2 4" xfId="1387" xr:uid="{6BFC9DCC-2103-45C2-98BB-DAC411E6C0CA}"/>
    <cellStyle name="40% - Énfasis2 3" xfId="536" xr:uid="{023B68E8-2F9C-4066-972A-EBC1AE023B21}"/>
    <cellStyle name="40% - Énfasis2 3 2" xfId="1510" xr:uid="{334017FF-AFA6-47E1-88C4-B33AC55E8C32}"/>
    <cellStyle name="40% - Énfasis2 4" xfId="537" xr:uid="{4360D4B7-26CF-4298-8A35-3F618DB1A26C}"/>
    <cellStyle name="40% - Énfasis2 4 2" xfId="1511" xr:uid="{BD74C428-E137-4987-AF5D-D22CFA3324F9}"/>
    <cellStyle name="40% - Énfasis2 5" xfId="538" xr:uid="{E4F96A1A-8FAC-4413-A950-932CEB0F515B}"/>
    <cellStyle name="40% - Énfasis2 5 2" xfId="1512" xr:uid="{BAC432B3-BD48-44B1-9D0D-5FE7767323DC}"/>
    <cellStyle name="40% - Énfasis2 6" xfId="329" xr:uid="{653D7210-0FE5-40BF-A4BB-8542C7D78BA8}"/>
    <cellStyle name="40% - Énfasis2 7" xfId="1307" xr:uid="{0DEA0FA6-25EA-4F88-BD7F-3553B8807486}"/>
    <cellStyle name="40% - Énfasis3" xfId="44" builtinId="39" customBuiltin="1"/>
    <cellStyle name="40% - Énfasis3 2" xfId="220" xr:uid="{3552D269-EC84-4AD0-BC5B-011AC163A344}"/>
    <cellStyle name="40% - Énfasis3 2 2" xfId="941" xr:uid="{556BBED4-2622-496C-AA4A-495AC6A38558}"/>
    <cellStyle name="40% - Énfasis3 2 3" xfId="404" xr:uid="{7BE3977B-C8D5-48C3-9F10-B50B16A8160A}"/>
    <cellStyle name="40% - Énfasis3 2 3 2" xfId="1467" xr:uid="{C142481C-2A67-4556-BB0B-1CFE098606D3}"/>
    <cellStyle name="40% - Énfasis3 2 4" xfId="1389" xr:uid="{27B6347A-F49C-4331-906F-44CED1B8417B}"/>
    <cellStyle name="40% - Énfasis3 3" xfId="539" xr:uid="{F4279154-45DC-49ED-AC48-82CE5CE1D5A5}"/>
    <cellStyle name="40% - Énfasis3 3 2" xfId="1513" xr:uid="{1AF43CB9-04D2-4F5C-99DC-17F632181B3D}"/>
    <cellStyle name="40% - Énfasis3 4" xfId="540" xr:uid="{CC69F467-DB8B-4550-A25C-E0CC17AE388F}"/>
    <cellStyle name="40% - Énfasis3 4 2" xfId="1514" xr:uid="{43B8C2F4-FD9F-486D-BB0B-DD1F05E50916}"/>
    <cellStyle name="40% - Énfasis3 5" xfId="541" xr:uid="{BA32A2F7-6D97-47BC-87F8-D2ECF81AF8D9}"/>
    <cellStyle name="40% - Énfasis3 5 2" xfId="1515" xr:uid="{2DB1741F-3164-41FD-9634-B5D822726B6C}"/>
    <cellStyle name="40% - Énfasis3 6" xfId="330" xr:uid="{2B5FA26D-DF5D-4ABC-A33D-203134332BCC}"/>
    <cellStyle name="40% - Énfasis3 7" xfId="1309" xr:uid="{7D9F9957-FA83-4FFF-94DE-233EFF06BF5B}"/>
    <cellStyle name="40% - Énfasis4" xfId="47" builtinId="43" customBuiltin="1"/>
    <cellStyle name="40% - Énfasis4 2" xfId="222" xr:uid="{43B5692F-1933-4D5D-839D-BE1860C813E5}"/>
    <cellStyle name="40% - Énfasis4 2 2" xfId="942" xr:uid="{C10D7881-4E33-4D24-B5AA-FDE311D989E1}"/>
    <cellStyle name="40% - Énfasis4 2 3" xfId="405" xr:uid="{F44FD1EC-BF29-4561-944F-106DC9FD7B48}"/>
    <cellStyle name="40% - Énfasis4 2 3 2" xfId="1468" xr:uid="{ABC5D05F-2807-48A6-A283-F2D5638DBC56}"/>
    <cellStyle name="40% - Énfasis4 2 4" xfId="1391" xr:uid="{D53FB136-EC76-429D-A96B-7F4425AD2AAA}"/>
    <cellStyle name="40% - Énfasis4 3" xfId="542" xr:uid="{393F2740-80C9-4A4D-BCF7-9B11C61A044D}"/>
    <cellStyle name="40% - Énfasis4 3 2" xfId="1516" xr:uid="{FF436EDE-2E03-4A91-AF35-90E4450B4293}"/>
    <cellStyle name="40% - Énfasis4 4" xfId="543" xr:uid="{2B7706BE-DBF6-4CA8-8531-4086AEACF17F}"/>
    <cellStyle name="40% - Énfasis4 4 2" xfId="1517" xr:uid="{D04DF0C0-2D0F-427A-AC61-5CC61A5D53CC}"/>
    <cellStyle name="40% - Énfasis4 5" xfId="544" xr:uid="{E4831467-B360-40FB-829E-BEE3F0B4FCDE}"/>
    <cellStyle name="40% - Énfasis4 5 2" xfId="1518" xr:uid="{3ED0E59A-0625-4D5E-BD8F-A829D9522251}"/>
    <cellStyle name="40% - Énfasis4 6" xfId="331" xr:uid="{CC8E3DF7-1D79-4FDD-BECB-38969432FA4B}"/>
    <cellStyle name="40% - Énfasis4 7" xfId="1311" xr:uid="{6D6618EE-9325-45B4-AB0D-1079C3121993}"/>
    <cellStyle name="40% - Énfasis5" xfId="50" builtinId="47" customBuiltin="1"/>
    <cellStyle name="40% - Énfasis5 2" xfId="224" xr:uid="{BCE6DEBF-47FA-46D2-B032-FDAE40D29FF1}"/>
    <cellStyle name="40% - Énfasis5 2 2" xfId="943" xr:uid="{B80B65AB-B467-4A03-A0CA-E68DCC59A219}"/>
    <cellStyle name="40% - Énfasis5 2 3" xfId="406" xr:uid="{2453D8FE-B5BF-4F56-9D34-7772070DD889}"/>
    <cellStyle name="40% - Énfasis5 2 3 2" xfId="1469" xr:uid="{7E7D00CC-03C4-4495-950C-E0820DC2C2DC}"/>
    <cellStyle name="40% - Énfasis5 2 4" xfId="1393" xr:uid="{F6FB7706-AD44-42CF-AAD3-55F79A7BB310}"/>
    <cellStyle name="40% - Énfasis5 3" xfId="545" xr:uid="{EB79E872-504A-45E7-A032-EA2A5CF7DE64}"/>
    <cellStyle name="40% - Énfasis5 3 2" xfId="1519" xr:uid="{2016F104-82D5-452C-BF7D-20087582B45C}"/>
    <cellStyle name="40% - Énfasis5 4" xfId="546" xr:uid="{8752D1FE-D1DF-45AD-954B-399899906215}"/>
    <cellStyle name="40% - Énfasis5 4 2" xfId="1520" xr:uid="{19CD81B1-74CA-4FE8-A8A8-6086ABF4E975}"/>
    <cellStyle name="40% - Énfasis5 5" xfId="547" xr:uid="{8775CD66-4169-4B3A-BE21-33EBDB176B18}"/>
    <cellStyle name="40% - Énfasis5 5 2" xfId="1521" xr:uid="{25731820-28D9-4D01-A36B-44F58C56C7BF}"/>
    <cellStyle name="40% - Énfasis5 6" xfId="332" xr:uid="{16F30FF6-61BB-4BD4-B084-3DB4D33CB0F3}"/>
    <cellStyle name="40% - Énfasis5 7" xfId="1313" xr:uid="{813E7AD2-E405-428D-85F6-D9F17E1AAA85}"/>
    <cellStyle name="40% - Énfasis6" xfId="52" builtinId="51" customBuiltin="1"/>
    <cellStyle name="40% - Énfasis6 2" xfId="226" xr:uid="{772DE33A-1DEE-463F-84F0-6D09FB1AE578}"/>
    <cellStyle name="40% - Énfasis6 2 2" xfId="944" xr:uid="{785DC0D1-3B0A-4C80-9953-ABE2B9ED51D2}"/>
    <cellStyle name="40% - Énfasis6 2 3" xfId="407" xr:uid="{E98113A0-2886-480A-B802-A71734921EDF}"/>
    <cellStyle name="40% - Énfasis6 2 3 2" xfId="1470" xr:uid="{AF9A95D0-F45D-42E3-B3E0-5C45E323D1EF}"/>
    <cellStyle name="40% - Énfasis6 2 4" xfId="1395" xr:uid="{85229A0D-0FBA-4EE1-9CB7-138A6536B164}"/>
    <cellStyle name="40% - Énfasis6 3" xfId="548" xr:uid="{89DB18EA-5FAE-4E27-AB78-55E8F4526443}"/>
    <cellStyle name="40% - Énfasis6 3 2" xfId="1522" xr:uid="{3AA1F919-27BD-4A89-8CB3-FF7A550641F1}"/>
    <cellStyle name="40% - Énfasis6 4" xfId="549" xr:uid="{A8B8E9C4-6AA6-443D-B6E2-39C3ECBE41B6}"/>
    <cellStyle name="40% - Énfasis6 4 2" xfId="1523" xr:uid="{2011868C-8A9E-492E-9C01-3E6FB87B52E7}"/>
    <cellStyle name="40% - Énfasis6 5" xfId="550" xr:uid="{59A81B8B-01EB-4EFF-815C-371380F5DEB6}"/>
    <cellStyle name="40% - Énfasis6 5 2" xfId="1524" xr:uid="{FA2FBC13-4925-41BE-858E-C6B85D3144BD}"/>
    <cellStyle name="40% - Énfasis6 6" xfId="333" xr:uid="{205D4847-9217-4D5F-92A2-A17B5F40C27E}"/>
    <cellStyle name="40% - Énfasis6 7" xfId="1315" xr:uid="{265231DA-25A8-49E2-8488-26A0A7F7E98F}"/>
    <cellStyle name="60% - Accent1 2" xfId="551" xr:uid="{DB80FBAD-EEAC-441E-9007-133751F879E2}"/>
    <cellStyle name="60% - Accent1 3" xfId="552" xr:uid="{6733681D-7AC3-4E61-A547-3B373E55BEC3}"/>
    <cellStyle name="60% - Accent1 4" xfId="833" xr:uid="{27FF333F-1D5B-4E87-9370-BDFC351D1F64}"/>
    <cellStyle name="60% - Accent2 2" xfId="553" xr:uid="{5E9AD9E9-FA8D-4D30-AB98-006B7BBC3299}"/>
    <cellStyle name="60% - Accent2 3" xfId="554" xr:uid="{7116B4C7-E681-4C64-80F1-0C7DF0454BC4}"/>
    <cellStyle name="60% - Accent2 4" xfId="834" xr:uid="{2B07AA0F-97D9-40EA-B3BD-85B7BCBE176A}"/>
    <cellStyle name="60% - Accent3 2" xfId="555" xr:uid="{98B4A77E-2D3C-47A0-8836-5D9BD830F8AD}"/>
    <cellStyle name="60% - Accent3 3" xfId="556" xr:uid="{5B6E53AF-6898-401D-B226-A7A74FBB9D01}"/>
    <cellStyle name="60% - Accent3 4" xfId="835" xr:uid="{59A07017-85E3-4E4D-BE9A-6904111EDE97}"/>
    <cellStyle name="60% - Accent4 2" xfId="557" xr:uid="{6D455132-33B7-4DE2-82A9-78901121F34B}"/>
    <cellStyle name="60% - Accent4 3" xfId="558" xr:uid="{3F82004C-5682-47B7-AEE7-30D618C6D1A6}"/>
    <cellStyle name="60% - Accent4 4" xfId="836" xr:uid="{8F62E826-A11A-4961-81DE-4DC1B937123B}"/>
    <cellStyle name="60% - Accent5 2" xfId="559" xr:uid="{45F4887D-3AB3-4299-8F20-6FBED9CD1340}"/>
    <cellStyle name="60% - Accent5 3" xfId="560" xr:uid="{1B7BAAFA-B967-453E-B5DA-101BF7578789}"/>
    <cellStyle name="60% - Accent5 4" xfId="837" xr:uid="{7120BE92-9DEA-4882-9E54-F2FC04E8754F}"/>
    <cellStyle name="60% - Accent6 2" xfId="561" xr:uid="{68D9616E-801B-4F59-90C9-8485BFC40B9F}"/>
    <cellStyle name="60% - Accent6 3" xfId="562" xr:uid="{6891E55B-9A14-44ED-937F-C194950D40BC}"/>
    <cellStyle name="60% - Accent6 4" xfId="838" xr:uid="{A954FD02-FA66-467C-8D15-E49D533B711A}"/>
    <cellStyle name="60% - Énfasis1 2" xfId="99" xr:uid="{E7412EB9-6C2F-4346-AEE4-4251AB8759D1}"/>
    <cellStyle name="60% - Énfasis1 2 2" xfId="563" xr:uid="{E2666D55-AA0C-4808-A46F-95C286FFB422}"/>
    <cellStyle name="60% - Énfasis1 3" xfId="839" xr:uid="{7159D3AE-0301-4570-93AF-9817FFA2D602}"/>
    <cellStyle name="60% - Énfasis1 4" xfId="840" xr:uid="{6E0B013E-09C1-43E4-A52F-1F87E65ED9AF}"/>
    <cellStyle name="60% - Énfasis1 5" xfId="334" xr:uid="{714C9D2A-7C88-477A-BD0F-8192D9BCA4E1}"/>
    <cellStyle name="60% - Énfasis1 6" xfId="78" xr:uid="{905D4739-1397-466C-BF80-243DB98AA09A}"/>
    <cellStyle name="60% - Énfasis1 6 2" xfId="1316" xr:uid="{3438C7B7-D691-4AC5-B2D9-1DB612F55D17}"/>
    <cellStyle name="60% - Énfasis2 2" xfId="100" xr:uid="{034DEC27-8627-43BC-82BA-059F9E667281}"/>
    <cellStyle name="60% - Énfasis2 2 2" xfId="564" xr:uid="{C68EC005-2965-409E-969E-9EE35D5E361B}"/>
    <cellStyle name="60% - Énfasis2 3" xfId="841" xr:uid="{09A1280D-A25F-491C-B826-A7FA3C5E270B}"/>
    <cellStyle name="60% - Énfasis2 4" xfId="842" xr:uid="{5572DA3C-7D3B-41C1-9D87-43BCD4CEE7FB}"/>
    <cellStyle name="60% - Énfasis2 5" xfId="335" xr:uid="{5C0D1C70-DB98-4A1B-B52D-5BD446C3F950}"/>
    <cellStyle name="60% - Énfasis2 6" xfId="79" xr:uid="{FD6F631F-B13A-421F-A62D-0F35B375DAC0}"/>
    <cellStyle name="60% - Énfasis2 6 2" xfId="1317" xr:uid="{BDB89C92-6AC0-4BE0-9FA9-87740E61BAE8}"/>
    <cellStyle name="60% - Énfasis3 2" xfId="101" xr:uid="{0ED84066-5D63-4337-91F1-6925A1C36603}"/>
    <cellStyle name="60% - Énfasis3 2 2" xfId="565" xr:uid="{F528271C-6F7C-4814-95A6-26F370FF00C5}"/>
    <cellStyle name="60% - Énfasis3 3" xfId="843" xr:uid="{81ABF2AA-502A-4785-A3FD-27685602875E}"/>
    <cellStyle name="60% - Énfasis3 4" xfId="844" xr:uid="{23FE4B6B-5D17-46C5-9AFA-421E38FA0D94}"/>
    <cellStyle name="60% - Énfasis3 5" xfId="336" xr:uid="{5191C5FC-3345-43D0-9246-272A14317BA2}"/>
    <cellStyle name="60% - Énfasis3 6" xfId="80" xr:uid="{7ED1D45E-5DF2-4436-91E8-8CADC62D4E27}"/>
    <cellStyle name="60% - Énfasis3 6 2" xfId="1318" xr:uid="{1D777BAB-B00B-4A62-A5B8-D965A9634341}"/>
    <cellStyle name="60% - Énfasis4 2" xfId="102" xr:uid="{4EC154A2-A680-4BB6-9E86-1CA2E325B51F}"/>
    <cellStyle name="60% - Énfasis4 2 2" xfId="566" xr:uid="{8C7ED454-7FA2-4789-A326-2CD4FFFCCC7F}"/>
    <cellStyle name="60% - Énfasis4 3" xfId="845" xr:uid="{9C1981EB-8209-4363-B70D-524D81A539FD}"/>
    <cellStyle name="60% - Énfasis4 4" xfId="846" xr:uid="{6E72AD1A-9228-4A5B-B41F-A3C4EAE1E01B}"/>
    <cellStyle name="60% - Énfasis4 5" xfId="337" xr:uid="{3D5B7D8B-EE0C-4A7C-A354-F630FC911E22}"/>
    <cellStyle name="60% - Énfasis4 6" xfId="81" xr:uid="{9B38377A-17C3-4807-AE15-0C4C7C6995C8}"/>
    <cellStyle name="60% - Énfasis4 6 2" xfId="1319" xr:uid="{A18273DD-D993-4094-9FE9-DB0F7F71984C}"/>
    <cellStyle name="60% - Énfasis5 2" xfId="103" xr:uid="{03470F7B-DD8C-4D63-85A9-11BFD03725B6}"/>
    <cellStyle name="60% - Énfasis5 2 2" xfId="567" xr:uid="{9ABDF9A1-E13F-4D55-BB6E-34F4A2621193}"/>
    <cellStyle name="60% - Énfasis5 3" xfId="847" xr:uid="{F34098FB-609A-46D9-81A7-15B88623E354}"/>
    <cellStyle name="60% - Énfasis5 4" xfId="848" xr:uid="{69CD4120-72A6-4B0D-B1DF-2DFC8B321FD0}"/>
    <cellStyle name="60% - Énfasis5 5" xfId="338" xr:uid="{5D375D30-EC8F-46E8-A05D-E8CFCCC83369}"/>
    <cellStyle name="60% - Énfasis5 6" xfId="82" xr:uid="{3807D96E-AFA1-47BD-AF84-D1DE3E2BA423}"/>
    <cellStyle name="60% - Énfasis5 6 2" xfId="1320" xr:uid="{086FC89B-DE8D-41F2-9A58-7F7E16D8E242}"/>
    <cellStyle name="60% - Énfasis6 2" xfId="104" xr:uid="{02C6CEEE-E691-43A4-B222-2A74B478E037}"/>
    <cellStyle name="60% - Énfasis6 2 2" xfId="568" xr:uid="{4B20A613-8CB9-4E28-8326-B0040AF0F152}"/>
    <cellStyle name="60% - Énfasis6 3" xfId="849" xr:uid="{8F7B0C5F-2D7A-4902-87FD-B4F742BA6DA8}"/>
    <cellStyle name="60% - Énfasis6 4" xfId="850" xr:uid="{BC505E00-FFF5-493C-90CE-450E47E15695}"/>
    <cellStyle name="60% - Énfasis6 5" xfId="339" xr:uid="{E23860A2-05B8-46A2-92FE-23557E652985}"/>
    <cellStyle name="60% - Énfasis6 6" xfId="83" xr:uid="{A83DB669-60F8-4F5C-B85A-7515D61E597F}"/>
    <cellStyle name="60% - Énfasis6 6 2" xfId="1321" xr:uid="{BAB89F22-A446-4AB0-B374-3C73FD3D27CA}"/>
    <cellStyle name="Accent1 - 20%" xfId="569" xr:uid="{C30E836B-D3E3-4614-8E01-A89BEA4F4CC5}"/>
    <cellStyle name="Accent1 - 40%" xfId="570" xr:uid="{9ED35833-7D38-4FE4-AACF-ED8DF030A595}"/>
    <cellStyle name="Accent1 - 60%" xfId="571" xr:uid="{4F9A8CA9-C7DD-4303-993F-93A020A16BBD}"/>
    <cellStyle name="Accent1 2" xfId="572" xr:uid="{5FA03CB7-4FC5-4D52-A9D4-797B5E69C442}"/>
    <cellStyle name="Accent1 3" xfId="573" xr:uid="{D008024C-047E-4A28-9271-F651AEC6BE67}"/>
    <cellStyle name="Accent1 4" xfId="851" xr:uid="{BD523635-5505-42C0-9BB0-0B130F3731F4}"/>
    <cellStyle name="Accent2 - 20%" xfId="574" xr:uid="{E268FAD6-060A-408F-9A34-21AA33FC221E}"/>
    <cellStyle name="Accent2 - 40%" xfId="575" xr:uid="{E3C520CB-AC38-4860-A2F9-39FE603EB52C}"/>
    <cellStyle name="Accent2 - 60%" xfId="576" xr:uid="{F149324F-6E5C-4713-97DA-C7E530C113B0}"/>
    <cellStyle name="Accent2 2" xfId="577" xr:uid="{5F658480-B450-45DF-96DC-2CF13ABDB305}"/>
    <cellStyle name="Accent2 3" xfId="578" xr:uid="{79828FFC-F1F2-4535-AD2D-3316EF245A9F}"/>
    <cellStyle name="Accent2 4" xfId="852" xr:uid="{849120A4-DAC6-46DC-8A05-F6F31E7E5E33}"/>
    <cellStyle name="Accent3 - 20%" xfId="579" xr:uid="{D6A345D5-D38B-4DC4-B425-1CC63088BB1A}"/>
    <cellStyle name="Accent3 - 40%" xfId="580" xr:uid="{93F09DB3-F144-4CE0-946A-2B411820D111}"/>
    <cellStyle name="Accent3 - 60%" xfId="581" xr:uid="{DAF21C26-FEF8-4CF3-93F3-0BA745E1BF7B}"/>
    <cellStyle name="Accent3 2" xfId="582" xr:uid="{6BFF1556-29CA-466A-BEDE-BF4EC3CA924B}"/>
    <cellStyle name="Accent3 3" xfId="583" xr:uid="{2F0B5EB1-8934-417B-9743-04FF0B51063D}"/>
    <cellStyle name="Accent3 4" xfId="853" xr:uid="{E6CAB9A3-648A-4F0D-BA5E-EB116347EF90}"/>
    <cellStyle name="Accent4 - 20%" xfId="584" xr:uid="{84C7DC36-AE42-47F7-A59B-2ABF52C9115A}"/>
    <cellStyle name="Accent4 - 40%" xfId="585" xr:uid="{811E2447-1B07-47CD-81A9-98F42D94B7DA}"/>
    <cellStyle name="Accent4 - 60%" xfId="586" xr:uid="{2C3D859F-F438-461B-849E-ACA2FDE4CB90}"/>
    <cellStyle name="Accent4 2" xfId="587" xr:uid="{69E570C0-4B57-43CC-BF17-4102DFF55CD0}"/>
    <cellStyle name="Accent4 3" xfId="588" xr:uid="{FD5DECD7-75F5-4499-8DF7-02A14A9E1866}"/>
    <cellStyle name="Accent4 4" xfId="854" xr:uid="{8C1EECE2-29FC-415D-92A4-4A8E79838C78}"/>
    <cellStyle name="Accent5 - 20%" xfId="589" xr:uid="{1A11177A-32F7-4491-BE41-088B9724C7CC}"/>
    <cellStyle name="Accent5 - 40%" xfId="590" xr:uid="{83F29945-84B8-4C01-89D2-33785704F3F9}"/>
    <cellStyle name="Accent5 - 60%" xfId="591" xr:uid="{6A635377-9CE9-4CE0-999F-3D7AFDC7666E}"/>
    <cellStyle name="Accent5 2" xfId="592" xr:uid="{DBB4CFE7-7229-4833-85A1-51EB8DA2DDD3}"/>
    <cellStyle name="Accent5 3" xfId="593" xr:uid="{8D1B47C5-B098-48EF-B15B-E0CC13B4F0E8}"/>
    <cellStyle name="Accent5 4" xfId="855" xr:uid="{2A4468E9-6E66-4C94-A0FE-C8E0AB98CAA3}"/>
    <cellStyle name="Accent6 - 20%" xfId="594" xr:uid="{7D65B178-B645-4AB0-B7B7-DF428B3A6963}"/>
    <cellStyle name="Accent6 - 40%" xfId="595" xr:uid="{8686FC6C-2EC2-47D0-83DC-92CD299429AA}"/>
    <cellStyle name="Accent6 - 60%" xfId="596" xr:uid="{A5A9C732-4BF2-4611-ACF7-5BFC6D6667CB}"/>
    <cellStyle name="Accent6 2" xfId="597" xr:uid="{D7B1E7E6-D43A-4B66-A4BB-C6073836B317}"/>
    <cellStyle name="Accent6 3" xfId="598" xr:uid="{D5EBEF5E-CBE6-42D7-8FFA-AF1258BA7C3F}"/>
    <cellStyle name="Accent6 4" xfId="856" xr:uid="{24665CF4-D307-4DC7-A108-B80AF3EFC059}"/>
    <cellStyle name="Bad 2" xfId="599" xr:uid="{9223F70C-58F8-4834-B300-91F6EFC9180B}"/>
    <cellStyle name="Bad 3" xfId="600" xr:uid="{33E29EB6-CCA3-4A31-BA7B-22BE661A5495}"/>
    <cellStyle name="Bad 4" xfId="857" xr:uid="{3CD85C3D-3E09-4035-9958-6DFEFA363ABA}"/>
    <cellStyle name="Buena" xfId="340" xr:uid="{D5731CF4-8DE4-41D0-9F2A-6A61AA667C02}"/>
    <cellStyle name="Buena 2" xfId="601" xr:uid="{E902D7B6-A16B-4A33-9895-506DA79503EA}"/>
    <cellStyle name="Buena 3" xfId="858" xr:uid="{DDCEA808-1AB0-4453-978F-48437A2D497E}"/>
    <cellStyle name="Buena 4" xfId="859" xr:uid="{8E0E02C7-07EE-44A1-AF01-C4DD8D76D858}"/>
    <cellStyle name="Bueno" xfId="27" builtinId="26" customBuiltin="1"/>
    <cellStyle name="Cabecera 1" xfId="602" xr:uid="{E8A9798A-48E0-40BE-ADC0-A7B585722483}"/>
    <cellStyle name="Cabecera 2" xfId="603" xr:uid="{5CF68317-77E7-4234-AA77-57FFAC069251}"/>
    <cellStyle name="Calculation 2" xfId="604" xr:uid="{37DD66EA-6168-4A7B-B878-9F7D152DD011}"/>
    <cellStyle name="Calculation 2 2" xfId="1050" xr:uid="{30060267-31DE-42EE-9683-A96110A9AF12}"/>
    <cellStyle name="Calculation 3" xfId="605" xr:uid="{7F4F5243-433C-4A5A-A154-9B6B58AC874B}"/>
    <cellStyle name="Calculation 4" xfId="860" xr:uid="{C4B5C3CF-8CCE-4D6B-B974-9F17C9950074}"/>
    <cellStyle name="Calculation 4 2" xfId="1097" xr:uid="{B3CCC4D7-AAD1-426A-A939-6842E85122F1}"/>
    <cellStyle name="Cálculo" xfId="31" builtinId="22" customBuiltin="1"/>
    <cellStyle name="Cálculo 2" xfId="606" xr:uid="{D2D8889D-EF3A-47D0-BEEB-0E96AD777D0F}"/>
    <cellStyle name="Cálculo 2 2" xfId="1051" xr:uid="{D5DD2E94-7598-4E86-B82A-D573263B865F}"/>
    <cellStyle name="Cálculo 3" xfId="861" xr:uid="{2720FCDE-1C57-4441-BBF0-0EDAB75E8005}"/>
    <cellStyle name="Cálculo 3 2" xfId="1098" xr:uid="{0CE7B065-6067-4AE3-82E5-DA5F4479EEE9}"/>
    <cellStyle name="Cálculo 4" xfId="862" xr:uid="{F4AD3A86-8670-4A7E-B344-73935FC1EE5E}"/>
    <cellStyle name="Cálculo 4 2" xfId="1099" xr:uid="{DAF6F892-8B5C-4DEF-86C6-25BD7B3C0139}"/>
    <cellStyle name="Cálculo 5" xfId="341" xr:uid="{581DBB8C-59CA-4D2A-993D-7891CFDA7813}"/>
    <cellStyle name="Cálculo 5 2" xfId="1041" xr:uid="{01985746-E680-44D5-8A01-84AEFE39CFD6}"/>
    <cellStyle name="Celda de comprobación" xfId="33" builtinId="23" customBuiltin="1"/>
    <cellStyle name="Celda de comprobación 2" xfId="607" xr:uid="{B99FF7AD-BCE0-4889-8955-B0C68D748BEF}"/>
    <cellStyle name="Celda de comprobación 3" xfId="863" xr:uid="{15D5E40F-B8F0-4107-95A0-FA61F2187AE3}"/>
    <cellStyle name="Celda de comprobación 4" xfId="864" xr:uid="{C12A327D-C636-4CB1-A140-5CA7E3E583A2}"/>
    <cellStyle name="Celda de comprobación 5" xfId="342" xr:uid="{7A1DD62D-200D-4C6C-8A4B-0F0778DF44F9}"/>
    <cellStyle name="Celda vinculada" xfId="32" builtinId="24" customBuiltin="1"/>
    <cellStyle name="Celda vinculada 2" xfId="608" xr:uid="{DFEAD659-1F09-45F8-8516-8EAFC76B4182}"/>
    <cellStyle name="Celda vinculada 3" xfId="865" xr:uid="{4471E70D-5FD2-4B1F-829C-04797CFDCDEF}"/>
    <cellStyle name="Celda vinculada 4" xfId="866" xr:uid="{30029156-F60A-4795-8C6C-60E30BB1C990}"/>
    <cellStyle name="Celda vinculada 5" xfId="343" xr:uid="{3C662B12-6C67-44B9-8DD7-2C4669FEAE6C}"/>
    <cellStyle name="Check Cell 2" xfId="609" xr:uid="{EA7F60F0-66EE-4B16-8082-91597672C1F9}"/>
    <cellStyle name="Check Cell 3" xfId="610" xr:uid="{5DF27A4C-2A19-4000-BD58-8F3FF6323514}"/>
    <cellStyle name="Check Cell 4" xfId="867" xr:uid="{90EF56FA-9181-44ED-ADA8-50B9D6E8CBDF}"/>
    <cellStyle name="Comma [0] 2" xfId="611" xr:uid="{BEC0C28E-7C9B-46DA-9FD8-F906AF86726F}"/>
    <cellStyle name="Comma [0] 2 2" xfId="612" xr:uid="{3894E29D-5FD3-4986-BB5F-0A00A0F0BAFF}"/>
    <cellStyle name="Comma [0] 2 2 2" xfId="1023" xr:uid="{D30E85CD-86DF-4E12-9909-F2EB20074DFA}"/>
    <cellStyle name="Comma [0] 2 2 2 2" xfId="1618" xr:uid="{D0AC61F3-2185-49FC-BF89-E4A20BECAD7D}"/>
    <cellStyle name="Comma [0] 2 2 2 3" xfId="1266" xr:uid="{DC3CF8AF-EF76-4153-B5AC-63234DA0101E}"/>
    <cellStyle name="Comma [0] 2 2 3" xfId="1525" xr:uid="{9532D544-93FC-4AD3-ACBB-F216DBCDA0A0}"/>
    <cellStyle name="Comma [0] 2 2 4" xfId="1196" xr:uid="{7AFBAFDB-8D98-4867-BE37-5E1BEE5FC4D3}"/>
    <cellStyle name="Comma [0] 3" xfId="613" xr:uid="{A26CC1D1-25DF-4442-A10B-DE09DDD4BCC9}"/>
    <cellStyle name="Comma [0] 3 2" xfId="1024" xr:uid="{FFBBFC4C-35C4-4104-BF95-5B5E6FFFC16E}"/>
    <cellStyle name="Comma [0] 3 2 2" xfId="1619" xr:uid="{B8215F1B-944D-456C-92BA-52A26C17401D}"/>
    <cellStyle name="Comma [0] 3 2 3" xfId="1267" xr:uid="{358E1E11-0F70-4132-8BDE-46A312EEACD8}"/>
    <cellStyle name="Comma [0] 3 3" xfId="1526" xr:uid="{AF413B44-69B2-49C6-A076-F65E7E4004BB}"/>
    <cellStyle name="Comma [0] 3 4" xfId="1197" xr:uid="{4F6BFEF6-3296-4957-A7E0-2B00EDA89947}"/>
    <cellStyle name="Comma [0] 4" xfId="614" xr:uid="{ABB73F9A-7608-4CA3-9F9C-C5065967C6C3}"/>
    <cellStyle name="Comma [0]_1978732_1" xfId="259" xr:uid="{6B06F77D-1F62-480D-A359-15FAEC4DBEF5}"/>
    <cellStyle name="Comma 2" xfId="303" xr:uid="{20F6A981-F17A-4DC0-B48B-1D8C93F8B98C}"/>
    <cellStyle name="Comma 2 2" xfId="615" xr:uid="{E3261E81-236A-493A-950F-225907218733}"/>
    <cellStyle name="Comma 2 2 2" xfId="1025" xr:uid="{33B68678-7BF8-4024-89FB-63FDF33683AE}"/>
    <cellStyle name="Comma 2 2 2 2" xfId="1620" xr:uid="{8ACE9E3C-A1B5-4767-88A0-CCA40D0A4B58}"/>
    <cellStyle name="Comma 2 2 2 3" xfId="1268" xr:uid="{7D02F821-A652-41DE-B3CF-E02B814DA331}"/>
    <cellStyle name="Comma 2 2 3" xfId="1527" xr:uid="{5632E018-1221-42DD-92B0-1B7C79CD88A5}"/>
    <cellStyle name="Comma 2 2 4" xfId="1198" xr:uid="{B6F3DACE-9872-4A0A-A6B9-E3CBC237CAF9}"/>
    <cellStyle name="Comma 2 3" xfId="1018" xr:uid="{03CE7BB3-866B-4B48-BA05-D9D97428D8B8}"/>
    <cellStyle name="Comma 2 3 2" xfId="1613" xr:uid="{9AF39643-6020-4304-A65C-FCE0F5C52F4B}"/>
    <cellStyle name="Comma 2 3 3" xfId="1261" xr:uid="{9A2ABC84-FAC5-418D-9E5A-2C691AE2E39B}"/>
    <cellStyle name="Comma 2 4" xfId="1452" xr:uid="{BABAEAE6-F684-471D-8196-48674C70A2FB}"/>
    <cellStyle name="Comma 2 5" xfId="1191" xr:uid="{83E489DE-4095-4506-97BF-57C550F4A634}"/>
    <cellStyle name="Comma 3" xfId="393" xr:uid="{747B8ABE-066A-40DF-A274-26E3ECE8BC7E}"/>
    <cellStyle name="Comma 3 2" xfId="1020" xr:uid="{08933B8F-0C16-4827-AD04-EF9824E5FDEF}"/>
    <cellStyle name="Comma 3 2 2" xfId="1615" xr:uid="{2E9C4779-FE47-4149-997C-42B770E5938D}"/>
    <cellStyle name="Comma 3 2 3" xfId="1263" xr:uid="{D4B20B93-C85C-4B4C-B887-A9F49D4049BF}"/>
    <cellStyle name="Comma 3 3" xfId="1457" xr:uid="{0E19176D-E34C-4651-B0B0-FB33EB059686}"/>
    <cellStyle name="Comma 3 4" xfId="1193" xr:uid="{CC816F51-CFF1-4610-87A4-D946D84C1E23}"/>
    <cellStyle name="Comma 4" xfId="616" xr:uid="{0F404BDA-23C6-4DBB-A20D-DE54438A534A}"/>
    <cellStyle name="Comma 5" xfId="617" xr:uid="{88A6DBAF-AFCC-4C1D-9EE5-2424652FBF8C}"/>
    <cellStyle name="Credit" xfId="618" xr:uid="{A14D718C-A2C5-49CD-86DD-D2A36B933B6C}"/>
    <cellStyle name="Credit subtotal" xfId="619" xr:uid="{AF7378B9-CF39-47FF-A37E-35822E0D9404}"/>
    <cellStyle name="Credit subtotal 2" xfId="1052" xr:uid="{5F63A079-1DEE-4477-8A5D-95CB340ED13D}"/>
    <cellStyle name="Credit Total" xfId="620" xr:uid="{F31B67E0-889C-48AF-B61D-6AF436810E84}"/>
    <cellStyle name="CuotasClubNorte" xfId="621" xr:uid="{3EA915F6-CB18-4F9F-9F47-E115DBC27966}"/>
    <cellStyle name="Currency 2" xfId="622" xr:uid="{25AD48A4-6887-46B1-8DC8-81BAC5385B0D}"/>
    <cellStyle name="Currency 2 2" xfId="623" xr:uid="{51BBE9B9-FD87-4943-A099-76A97C81B3B4}"/>
    <cellStyle name="Currency 2 3" xfId="1026" xr:uid="{47558718-6EAE-4AB7-BC4A-3A935CFD3634}"/>
    <cellStyle name="Currency 2 3 2" xfId="1621" xr:uid="{9EC293E6-01F4-4C3B-B74A-4DA6460388DC}"/>
    <cellStyle name="Currency 2 3 3" xfId="1269" xr:uid="{DB4DE78E-1D8B-4F5E-ADB1-588D33C21071}"/>
    <cellStyle name="Currency 2 4" xfId="1528" xr:uid="{E2F73C15-7425-485B-8C21-2B4E0B17FB27}"/>
    <cellStyle name="Currency 2 5" xfId="1199" xr:uid="{B067DD41-7B14-47DD-BEB0-C107BDEDB03F}"/>
    <cellStyle name="Debit" xfId="624" xr:uid="{BCE8306A-CBFB-405C-91BF-CF2370B44D96}"/>
    <cellStyle name="Debit subtotal" xfId="625" xr:uid="{E51E2979-B7C6-4C75-BEF7-B028AE67E58A}"/>
    <cellStyle name="Debit subtotal 2" xfId="1053" xr:uid="{AF8699CB-7705-40D6-8EF0-2F02436C686E}"/>
    <cellStyle name="Debit Total" xfId="626" xr:uid="{AE3CEF55-12B1-4877-AE08-9323B902E775}"/>
    <cellStyle name="Decimal_0dp" xfId="627" xr:uid="{97CFF803-D5AB-47C6-9E43-E0971E9B11E6}"/>
    <cellStyle name="Decimales" xfId="628" xr:uid="{59CFEFED-27E0-4998-A1CD-A996DE146F09}"/>
    <cellStyle name="Emphasis 1" xfId="629" xr:uid="{BF79957E-B82C-4F50-8DE1-0EE7BE3E48B3}"/>
    <cellStyle name="Emphasis 2" xfId="630" xr:uid="{FAEF8A29-4CF3-42C7-8C06-62A16186659C}"/>
    <cellStyle name="Emphasis 3" xfId="631" xr:uid="{908DB96F-1C9D-4A2E-B206-0FC7421185E4}"/>
    <cellStyle name="ENCABEZ2" xfId="632" xr:uid="{9EF0424B-C61D-48BB-88CD-5220BBE21CD9}"/>
    <cellStyle name="Encabezado" xfId="344" xr:uid="{3142601D-4887-4BF5-8CF5-67DA3BA22F4A}"/>
    <cellStyle name="Encabezado 1" xfId="23" builtinId="16" customBuiltin="1"/>
    <cellStyle name="Encabezado 4" xfId="26" builtinId="19" customBuiltin="1"/>
    <cellStyle name="Encabezado 4 2" xfId="633" xr:uid="{9D48F5AF-E1E3-42C3-8380-A392BA9490CE}"/>
    <cellStyle name="Encabezado 4 3" xfId="868" xr:uid="{ECB6B405-4791-47B9-9F91-6B8502EAD178}"/>
    <cellStyle name="Encabezado 4 4" xfId="869" xr:uid="{87D1533E-C57B-4B47-A6B1-7300204A16BC}"/>
    <cellStyle name="Encabezado 4 5" xfId="345" xr:uid="{055108CA-F86A-4C85-A556-8C9432AD64D1}"/>
    <cellStyle name="Énfasis 1" xfId="634" xr:uid="{F2A1621F-0D84-44B3-8C5F-CD6AD99AA900}"/>
    <cellStyle name="Énfasis 2" xfId="635" xr:uid="{EDD493AB-A4EC-4B76-B2D5-00DD2A914B64}"/>
    <cellStyle name="Énfasis 3" xfId="636" xr:uid="{43AE6D76-F0BC-4A3F-8B1C-D811666F4F2C}"/>
    <cellStyle name="Énfasis1" xfId="37" builtinId="29" customBuiltin="1"/>
    <cellStyle name="Énfasis1 - 20%" xfId="637" xr:uid="{743DE70A-ED13-4103-A6DA-7F3941B77AC8}"/>
    <cellStyle name="Énfasis1 - 40%" xfId="638" xr:uid="{5F4FD558-50C3-436D-AD15-7FDE1BC532B6}"/>
    <cellStyle name="Énfasis1 - 60%" xfId="639" xr:uid="{4928A958-535E-4F87-94F7-D98FFEA79342}"/>
    <cellStyle name="Énfasis1 2" xfId="640" xr:uid="{F4E1C248-A04D-4368-9C0C-40DD8D047906}"/>
    <cellStyle name="Énfasis1 3" xfId="870" xr:uid="{09381145-5BAC-41B2-ABE0-FF2D86B0807D}"/>
    <cellStyle name="Énfasis1 4" xfId="871" xr:uid="{DE93F3F1-1B2A-49CD-B192-E3C9A70C9413}"/>
    <cellStyle name="Énfasis1 5" xfId="346" xr:uid="{D709A2C2-E41C-4313-8D02-71639F200267}"/>
    <cellStyle name="Énfasis1 6" xfId="947" xr:uid="{B5303E7F-1770-4905-A17C-FEDAF592AA31}"/>
    <cellStyle name="Énfasis2" xfId="20" builtinId="33" customBuiltin="1"/>
    <cellStyle name="Énfasis2 - 20%" xfId="641" xr:uid="{0340573E-0DDB-4254-87AD-1450761AED75}"/>
    <cellStyle name="Énfasis2 - 40%" xfId="642" xr:uid="{1480E82F-3B84-44C3-ABDC-810AB13EA8FF}"/>
    <cellStyle name="Énfasis2 - 60%" xfId="643" xr:uid="{863A7C81-BF31-4D23-B585-8030AFB74A2F}"/>
    <cellStyle name="Énfasis2 2" xfId="644" xr:uid="{0C87358C-716C-4716-BE77-76A961CE5475}"/>
    <cellStyle name="Énfasis2 3" xfId="872" xr:uid="{DB9AA844-8C6E-4D03-BC39-7A5739E0BC3E}"/>
    <cellStyle name="Énfasis2 4" xfId="873" xr:uid="{35267EC9-6E6C-4BA0-BF1F-9541C44AEDA8}"/>
    <cellStyle name="Énfasis2 5" xfId="347" xr:uid="{61BDDB5B-4698-4CE8-8270-5A6530E1DDEC}"/>
    <cellStyle name="Énfasis2 6" xfId="948" xr:uid="{28FD909A-E973-451C-ACD7-7914F41437A7}"/>
    <cellStyle name="Énfasis3" xfId="42" builtinId="37" customBuiltin="1"/>
    <cellStyle name="Énfasis3 - 20%" xfId="645" xr:uid="{A808C6A5-0C3A-4C00-94A3-EFE5D4DAAC97}"/>
    <cellStyle name="Énfasis3 - 40%" xfId="646" xr:uid="{DEDFA5F3-7205-46FB-A32A-2542E565251E}"/>
    <cellStyle name="Énfasis3 - 60%" xfId="647" xr:uid="{4E87976B-A223-4322-A422-BD1BE0C6E887}"/>
    <cellStyle name="Énfasis3 2" xfId="648" xr:uid="{DCC43B83-CD05-453C-8035-7980851C8A7A}"/>
    <cellStyle name="Énfasis3 3" xfId="874" xr:uid="{FB0D55EB-F9BD-4B82-B744-D572FBE820B5}"/>
    <cellStyle name="Énfasis3 4" xfId="875" xr:uid="{6FE452F9-ED61-411F-94FA-C7EF31BEBC26}"/>
    <cellStyle name="Énfasis3 5" xfId="348" xr:uid="{BBCD7FB5-D01E-45FF-8FCA-0FA06E0A0C98}"/>
    <cellStyle name="Énfasis3 6" xfId="949" xr:uid="{265EBEC2-D23C-4075-A019-B7B5157C5A0B}"/>
    <cellStyle name="Énfasis4" xfId="45" builtinId="41" customBuiltin="1"/>
    <cellStyle name="Énfasis4 - 20%" xfId="649" xr:uid="{58E90FBD-FEE1-4821-8EAA-CAEAF27E07CC}"/>
    <cellStyle name="Énfasis4 - 40%" xfId="650" xr:uid="{F5BC4B03-F737-460F-9B07-5A24ECA6C94B}"/>
    <cellStyle name="Énfasis4 - 60%" xfId="651" xr:uid="{9E98CD0A-72CB-44F3-9D0A-F0E2C8DB89A7}"/>
    <cellStyle name="Énfasis4 2" xfId="652" xr:uid="{260DF8D7-F043-4C7A-82DA-E1DD1BC14E99}"/>
    <cellStyle name="Énfasis4 3" xfId="876" xr:uid="{A808E424-D848-42E9-BC15-312C71949F71}"/>
    <cellStyle name="Énfasis4 4" xfId="877" xr:uid="{1DA3E3E8-CE5C-426A-8AED-741753DA7463}"/>
    <cellStyle name="Énfasis4 5" xfId="349" xr:uid="{9B9029C8-B9A1-4BAB-A908-8B0F11C20F6A}"/>
    <cellStyle name="Énfasis4 6" xfId="950" xr:uid="{BCCF9DBC-D1D3-4167-9281-FA80682F2F28}"/>
    <cellStyle name="Énfasis5" xfId="48" builtinId="45" customBuiltin="1"/>
    <cellStyle name="Énfasis5 - 20%" xfId="653" xr:uid="{212D3167-4953-4295-9F80-F4DF1A8C240E}"/>
    <cellStyle name="Énfasis5 - 40%" xfId="654" xr:uid="{8D487CB6-2A65-4293-9D45-604167EE070C}"/>
    <cellStyle name="Énfasis5 - 60%" xfId="655" xr:uid="{EFF50E71-DEBC-45A9-A1A8-F59AE2E72400}"/>
    <cellStyle name="Énfasis5 2" xfId="656" xr:uid="{BA2D09F9-A309-42EA-927B-BAE6FEF6F04A}"/>
    <cellStyle name="Énfasis5 3" xfId="878" xr:uid="{BC1B730F-9D8A-4437-BBC1-7F702C0FA95E}"/>
    <cellStyle name="Énfasis5 4" xfId="879" xr:uid="{0F417873-51E9-454D-940E-CC20032871B5}"/>
    <cellStyle name="Énfasis5 5" xfId="350" xr:uid="{4D074EF0-0672-40BA-9D0B-263C9BAD644B}"/>
    <cellStyle name="Énfasis5 6" xfId="951" xr:uid="{2A86E6C1-0209-4395-919E-E0A2A58C6202}"/>
    <cellStyle name="Énfasis6" xfId="21" builtinId="49" customBuiltin="1"/>
    <cellStyle name="Énfasis6 - 20%" xfId="657" xr:uid="{0430E488-5AC9-496A-A31F-997EF2F18882}"/>
    <cellStyle name="Énfasis6 - 40%" xfId="658" xr:uid="{3DA22C50-3196-4262-98E6-0E6D8AB0B6D8}"/>
    <cellStyle name="Énfasis6 - 60%" xfId="659" xr:uid="{EDEBDEC7-3C27-4BCA-9963-38DBDFC0EDF7}"/>
    <cellStyle name="Énfasis6 2" xfId="660" xr:uid="{A027D102-6D21-44A2-981C-0C767A3450EE}"/>
    <cellStyle name="Énfasis6 3" xfId="880" xr:uid="{54801205-A2A4-4AA7-BBEF-7006C720FEFC}"/>
    <cellStyle name="Énfasis6 4" xfId="881" xr:uid="{95C56253-1D13-4667-A9F5-73B62F15BC3B}"/>
    <cellStyle name="Énfasis6 5" xfId="351" xr:uid="{FEB3C55F-B2D6-46DE-8BE6-0AFA94AF679E}"/>
    <cellStyle name="Énfasis6 6" xfId="952" xr:uid="{6DCF7A11-0F55-4543-8B29-27847A7A8CEE}"/>
    <cellStyle name="Entrada" xfId="29" builtinId="20" customBuiltin="1"/>
    <cellStyle name="Entrada 2" xfId="661" xr:uid="{BFEB45CA-3C1B-46DB-914D-C1E28C1CB609}"/>
    <cellStyle name="Entrada 2 2" xfId="1054" xr:uid="{B1E63AC0-04AC-4DFF-B45A-B2D75A014BB8}"/>
    <cellStyle name="Entrada 3" xfId="882" xr:uid="{AC808E0F-520E-4234-9314-55EE523DBECC}"/>
    <cellStyle name="Entrada 3 2" xfId="1100" xr:uid="{92900C82-DC77-4F4D-B43F-FE2B56C6BCD0}"/>
    <cellStyle name="Entrada 4" xfId="883" xr:uid="{5906059D-6ADD-472C-B944-3724FEAF9A22}"/>
    <cellStyle name="Entrada 4 2" xfId="1101" xr:uid="{3CDBFBFC-67CD-491F-AA6A-A49483437944}"/>
    <cellStyle name="Entrada 5" xfId="352" xr:uid="{84B3EA22-52ED-40DE-8CD4-98C5D4AEEFF6}"/>
    <cellStyle name="Entrada 5 2" xfId="1042" xr:uid="{DA8D584B-D70A-4D36-9A1A-24AD31BE7D7F}"/>
    <cellStyle name="Estilo 1" xfId="353" xr:uid="{C022B432-D7BC-4D9B-9D9A-09C0B10C7548}"/>
    <cellStyle name="Euro" xfId="109" xr:uid="{6005E9FE-9A5B-4745-B8E2-D6CC2AD7FA62}"/>
    <cellStyle name="Euro 10" xfId="662" xr:uid="{FF56A3D0-7CA1-4C5F-9385-7903E18AE318}"/>
    <cellStyle name="Euro 10 2" xfId="1027" xr:uid="{12C98ED7-8505-4F92-A3DC-CBF94A7F5DAA}"/>
    <cellStyle name="Euro 10 2 2" xfId="1622" xr:uid="{B34D93F9-0C94-48B2-AB1C-AED54457E315}"/>
    <cellStyle name="Euro 10 2 3" xfId="1270" xr:uid="{B131E5CE-532C-4ECA-A09E-E0500261098F}"/>
    <cellStyle name="Euro 10 3" xfId="1529" xr:uid="{F0807C04-F759-4F99-B5A8-DA2D3B17CE27}"/>
    <cellStyle name="Euro 10 4" xfId="1200" xr:uid="{16EC8C3E-108A-4BD2-B4FD-86E19E145676}"/>
    <cellStyle name="Euro 11" xfId="663" xr:uid="{A9346496-DEF0-4241-8FB7-F4C2D8BA3601}"/>
    <cellStyle name="Euro 11 2" xfId="1028" xr:uid="{2754D2A2-F91F-4DF4-9558-BE657F8F6398}"/>
    <cellStyle name="Euro 11 2 2" xfId="1623" xr:uid="{68707F78-8828-4B49-AED9-A84995C08E2C}"/>
    <cellStyle name="Euro 11 2 3" xfId="1271" xr:uid="{014F5585-DCF9-4425-BF33-F08D1E27B5CC}"/>
    <cellStyle name="Euro 11 3" xfId="1530" xr:uid="{5E746759-59DF-4AEC-A133-3A8F56EFDD73}"/>
    <cellStyle name="Euro 11 4" xfId="1201" xr:uid="{487D81F4-BDFA-42E9-B7A0-9D6BD2923BCB}"/>
    <cellStyle name="Euro 12" xfId="664" xr:uid="{F80D72A8-0B6A-4688-9842-E99F192A7E7E}"/>
    <cellStyle name="Euro 12 2" xfId="1029" xr:uid="{257A11E3-4842-4E31-9F49-6934939D4DC2}"/>
    <cellStyle name="Euro 12 2 2" xfId="1624" xr:uid="{ADFA5C3B-D3A4-47F5-8846-40C4B5F69BDB}"/>
    <cellStyle name="Euro 12 2 3" xfId="1272" xr:uid="{108EF162-58AA-4FE2-9299-3814B59B9712}"/>
    <cellStyle name="Euro 12 3" xfId="1531" xr:uid="{4E17D3FB-A2C3-4B19-9E7B-20B3A748FB3D}"/>
    <cellStyle name="Euro 12 4" xfId="1202" xr:uid="{AD43B568-A54A-49A6-8DA4-C39C0D2A2699}"/>
    <cellStyle name="Euro 13" xfId="665" xr:uid="{B4C159C5-610C-4274-A0A1-4FFDCA3EFD76}"/>
    <cellStyle name="Euro 13 2" xfId="1030" xr:uid="{F285FAC7-CE80-46BC-9A99-C29034FD9BB0}"/>
    <cellStyle name="Euro 13 2 2" xfId="1625" xr:uid="{D28FF7FA-66EB-456C-90E5-04331EF50D6C}"/>
    <cellStyle name="Euro 13 2 3" xfId="1273" xr:uid="{AC04500D-5751-46E0-A6D8-1940E19A7F9E}"/>
    <cellStyle name="Euro 13 3" xfId="1532" xr:uid="{8E23C268-374E-4DA2-AF61-8789BFA227F2}"/>
    <cellStyle name="Euro 13 4" xfId="1203" xr:uid="{DC418D77-9806-4976-B119-4A04F5DEE637}"/>
    <cellStyle name="Euro 14" xfId="304" xr:uid="{8A117D6D-84D9-4D84-9C4E-D7BD770A2D43}"/>
    <cellStyle name="Euro 2" xfId="151" xr:uid="{5A3F2D87-7639-4BD8-A388-CB76D278030A}"/>
    <cellStyle name="Euro 2 2" xfId="666" xr:uid="{B78F8385-B4E6-423D-A2F4-671B8C8DD632}"/>
    <cellStyle name="Euro 2 2 2" xfId="1031" xr:uid="{06EBC354-F419-4417-8918-2DBC603C494E}"/>
    <cellStyle name="Euro 2 2 2 2" xfId="1626" xr:uid="{26556900-6837-47CA-B977-A25E3220F105}"/>
    <cellStyle name="Euro 2 2 2 3" xfId="1274" xr:uid="{AEF8EA46-5B11-49B3-BE2C-7BDA105EF4AE}"/>
    <cellStyle name="Euro 2 2 3" xfId="1533" xr:uid="{59D166CC-908F-4435-BDEC-E4F04FFF3FC4}"/>
    <cellStyle name="Euro 2 2 4" xfId="1204" xr:uid="{FF5BE6A6-6450-4448-833D-B1BA0B28B56D}"/>
    <cellStyle name="Euro 2 3" xfId="354" xr:uid="{517FBB3B-81DA-48D5-B1A1-42E0AECBBCA9}"/>
    <cellStyle name="Euro 2 3 2" xfId="1019" xr:uid="{FCDD0E9E-42A4-4703-A7AF-A07A1144AAE6}"/>
    <cellStyle name="Euro 2 3 2 2" xfId="1614" xr:uid="{622CFD96-3077-493E-9364-8C0935BA3C0B}"/>
    <cellStyle name="Euro 2 3 2 3" xfId="1262" xr:uid="{339CBAB4-0CD7-44C7-ADCC-B062A3025385}"/>
    <cellStyle name="Euro 2 3 3" xfId="1454" xr:uid="{2FC08684-20A9-46E9-8A57-82AD48298056}"/>
    <cellStyle name="Euro 2 3 4" xfId="1192" xr:uid="{90554DA2-95AA-4BC7-9E63-3E8E81311F49}"/>
    <cellStyle name="Euro 3" xfId="355" xr:uid="{E7AE1794-6A1A-4CC1-B7D0-765C70CFF044}"/>
    <cellStyle name="Euro 3 2" xfId="667" xr:uid="{3937AF5F-D56D-442D-AA98-9DAD9657E3CD}"/>
    <cellStyle name="Euro 4" xfId="668" xr:uid="{8BC06036-C50E-4DE8-81F3-BC48AA909E24}"/>
    <cellStyle name="Euro 4 2" xfId="669" xr:uid="{D40D4C9D-D41A-49AA-BDB7-77DE836909BD}"/>
    <cellStyle name="Euro 4 2 2" xfId="1033" xr:uid="{F98F254F-1149-4B1A-9C79-1BF7E3814FD2}"/>
    <cellStyle name="Euro 4 2 2 2" xfId="1628" xr:uid="{5D6DB3E1-9844-432F-BE50-78C12E6462E1}"/>
    <cellStyle name="Euro 4 2 2 3" xfId="1276" xr:uid="{4ABC1B2C-248A-4F2C-9ED1-70CEC618336B}"/>
    <cellStyle name="Euro 4 2 3" xfId="1535" xr:uid="{BA365ED3-63F5-4EDF-B7B1-12803F072772}"/>
    <cellStyle name="Euro 4 2 4" xfId="1206" xr:uid="{3EAF8445-0C8C-4E75-BE02-CBBCF13CD5E0}"/>
    <cellStyle name="Euro 4 3" xfId="1032" xr:uid="{B73E0305-96DD-4AF3-AC2B-FDA42940DA28}"/>
    <cellStyle name="Euro 4 3 2" xfId="1627" xr:uid="{F0378F85-605B-4624-8E5D-8EB9BC99B651}"/>
    <cellStyle name="Euro 4 3 3" xfId="1275" xr:uid="{D1C7F060-EE8E-49F3-A556-8077C47BFD6E}"/>
    <cellStyle name="Euro 4 4" xfId="1534" xr:uid="{5524D64F-D2DA-453F-84EF-50A0C16BF941}"/>
    <cellStyle name="Euro 4 5" xfId="1205" xr:uid="{49F956E2-5766-4FAF-B749-3180ADF14DDD}"/>
    <cellStyle name="Euro 5" xfId="670" xr:uid="{8013B55E-7A39-4FCF-88FC-20A872D926F3}"/>
    <cellStyle name="Euro 5 2" xfId="1034" xr:uid="{B8CF4101-0F30-4A9B-90E6-A9633503009C}"/>
    <cellStyle name="Euro 5 2 2" xfId="1629" xr:uid="{74D0207C-817B-41E5-A409-9FD03416A872}"/>
    <cellStyle name="Euro 5 2 3" xfId="1277" xr:uid="{E6E4FF1B-5E6D-4AEA-8CA4-23BCC0FBA416}"/>
    <cellStyle name="Euro 5 3" xfId="1536" xr:uid="{6952F4FA-1923-411D-95F4-2944E6065148}"/>
    <cellStyle name="Euro 5 4" xfId="1207" xr:uid="{146F012D-5F3C-415D-91FC-DE0164C50418}"/>
    <cellStyle name="Euro 6" xfId="671" xr:uid="{56AD1F4B-C985-4D83-99C9-5FE45A89D662}"/>
    <cellStyle name="Euro 6 2" xfId="1035" xr:uid="{2EAAFA38-D0E5-4735-B876-E9BA0C60EDF3}"/>
    <cellStyle name="Euro 6 2 2" xfId="1630" xr:uid="{6C6C5569-BB26-4A6D-B9A1-7EE07877655A}"/>
    <cellStyle name="Euro 6 2 3" xfId="1278" xr:uid="{6761F003-9684-4A12-9774-C138B5DE80A8}"/>
    <cellStyle name="Euro 6 3" xfId="1537" xr:uid="{F936E278-C7AF-4A43-9366-EBF50D4C6FB4}"/>
    <cellStyle name="Euro 6 4" xfId="1208" xr:uid="{EA2AEA8A-19E4-4095-A341-C68061F978A5}"/>
    <cellStyle name="Euro 7" xfId="672" xr:uid="{D3F211F1-B9D3-4980-8F30-119CF6A17125}"/>
    <cellStyle name="Euro 7 2" xfId="1036" xr:uid="{657929E6-FD95-4C88-8E14-C988CDDC4678}"/>
    <cellStyle name="Euro 7 2 2" xfId="1631" xr:uid="{28B5CD07-61F3-4460-AFA4-4451E0CA14B6}"/>
    <cellStyle name="Euro 7 2 3" xfId="1279" xr:uid="{1DE863F3-EBA1-4BAB-AB8F-740E9135A209}"/>
    <cellStyle name="Euro 7 3" xfId="1538" xr:uid="{C32E2BAF-76CF-40CC-A453-0A32F4D09364}"/>
    <cellStyle name="Euro 7 4" xfId="1209" xr:uid="{3339F48C-977C-49D3-A127-04BAE9063A65}"/>
    <cellStyle name="Euro 8" xfId="673" xr:uid="{DFA654B4-84E1-4E2E-ACF1-C3F19AC7DE40}"/>
    <cellStyle name="Euro 8 2" xfId="1037" xr:uid="{BCDC0293-A2B5-4E57-87B8-52AC11E78D66}"/>
    <cellStyle name="Euro 8 2 2" xfId="1632" xr:uid="{56B367D7-4A06-4588-938A-6A20F06E67D2}"/>
    <cellStyle name="Euro 8 2 3" xfId="1280" xr:uid="{DE197E8C-598A-4F43-AECA-4D44CAC5B7BA}"/>
    <cellStyle name="Euro 8 3" xfId="1539" xr:uid="{B7049441-2183-47B8-86E1-BFBD3BFB3DFE}"/>
    <cellStyle name="Euro 8 4" xfId="1210" xr:uid="{F1ACBB8E-983D-4166-B864-3B75059C91D4}"/>
    <cellStyle name="Euro 9" xfId="674" xr:uid="{D6FF957E-B3D8-4CBC-A7D8-2B18EA7B6FDB}"/>
    <cellStyle name="Euro 9 2" xfId="1038" xr:uid="{B98ACC2F-12BA-44A8-BD5F-74BC89F80A9B}"/>
    <cellStyle name="Euro 9 2 2" xfId="1633" xr:uid="{797EC83B-C58F-4772-88C9-79A440DBB045}"/>
    <cellStyle name="Euro 9 2 3" xfId="1281" xr:uid="{C1AE6A3F-0906-45F5-B183-54D7146DEE9B}"/>
    <cellStyle name="Euro 9 3" xfId="1540" xr:uid="{FFA3C70C-C9BE-41DF-B379-98A5F5074713}"/>
    <cellStyle name="Euro 9 4" xfId="1211" xr:uid="{3F1A91EE-CAC1-42EE-BBF7-5EF9F2756887}"/>
    <cellStyle name="Explanatory Text 2" xfId="675" xr:uid="{F03848F4-B31B-40EE-83D4-B23CC063E53F}"/>
    <cellStyle name="Explanatory Text 3" xfId="676" xr:uid="{A5B11801-9875-4AD6-93D8-3657798D5649}"/>
    <cellStyle name="Explanatory Text 4" xfId="884" xr:uid="{D46BECFF-FD1A-4989-B0E1-AEA6D39096B0}"/>
    <cellStyle name="F2" xfId="677" xr:uid="{48D4334B-21EC-48F8-91BD-0370EEB2AC9D}"/>
    <cellStyle name="F3" xfId="678" xr:uid="{7C09DD8A-4771-446F-86D0-9F104EACB6CB}"/>
    <cellStyle name="F4" xfId="679" xr:uid="{085DDBD2-BB1E-47E4-9D15-43B3C75790C1}"/>
    <cellStyle name="F5" xfId="680" xr:uid="{7039D420-B970-4A9A-A555-FC0797ACF657}"/>
    <cellStyle name="F6" xfId="681" xr:uid="{4A51B09A-12D0-40B7-96B8-F09D0E748350}"/>
    <cellStyle name="F7" xfId="682" xr:uid="{04912D2F-8DA2-450F-B5EB-A7CFB3B6BF93}"/>
    <cellStyle name="F8" xfId="683" xr:uid="{DC145FC7-C72C-4962-A001-DA1603FC8726}"/>
    <cellStyle name="Fecha" xfId="684" xr:uid="{EDC4C402-E1C0-47D9-B251-F560BAD605C9}"/>
    <cellStyle name="Fecha mes" xfId="685" xr:uid="{D17A2278-4AE5-4728-B15F-6C3229BE38EE}"/>
    <cellStyle name="Fecha_Informe 1 Situación comercial 20030708" xfId="686" xr:uid="{A7458DF3-4C53-4183-BAB9-3BE2BC150F3A}"/>
    <cellStyle name="Fechas" xfId="687" xr:uid="{B62D8620-AA8C-4E1C-B718-C6D247A333FD}"/>
    <cellStyle name="Fijo" xfId="688" xr:uid="{342B5957-4B09-4EF4-8DD5-9E8B4C83F8C3}"/>
    <cellStyle name="Good 2" xfId="689" xr:uid="{B2A13F33-0854-47F4-9FD8-20F75122780C}"/>
    <cellStyle name="Good 3" xfId="690" xr:uid="{667BB33E-1DB0-4F68-9543-DD3FD965BA87}"/>
    <cellStyle name="Good 4" xfId="885" xr:uid="{BC1A66E6-6B6B-4EAD-911B-94BFA66F7C5C}"/>
    <cellStyle name="Heading 1 2" xfId="691" xr:uid="{1945294C-168B-4D76-95FF-ACAD2E5A2454}"/>
    <cellStyle name="Heading 1 3" xfId="692" xr:uid="{88229F29-EDE2-46AB-8F11-1486710D8BC1}"/>
    <cellStyle name="Heading 1 4" xfId="886" xr:uid="{DE343A78-E542-40AD-9AD0-B72F07189E0E}"/>
    <cellStyle name="Heading 2 2" xfId="693" xr:uid="{F4901FE6-B878-4BBB-8463-D88ACD8FD547}"/>
    <cellStyle name="Heading 2 3" xfId="694" xr:uid="{18082267-A831-4A27-B63D-AD58BD11B78F}"/>
    <cellStyle name="Heading 2 4" xfId="887" xr:uid="{11FE1DAF-5273-4D38-A72C-C4A15C91D486}"/>
    <cellStyle name="Heading 3 2" xfId="695" xr:uid="{53AF25D4-4B51-48F1-9DF5-92D5AB3F6A3A}"/>
    <cellStyle name="Heading 3 3" xfId="696" xr:uid="{21A34C45-B9DD-42D4-BEDD-CCA83F061265}"/>
    <cellStyle name="Heading 3 4" xfId="888" xr:uid="{4DE444B5-AE16-425E-AA0E-6DCF29678117}"/>
    <cellStyle name="Heading 4 2" xfId="697" xr:uid="{AB420093-3D82-4736-945C-33FDEB1B3399}"/>
    <cellStyle name="Heading 4 3" xfId="698" xr:uid="{4D010D1C-CE26-4637-90B1-A9BE2DCE70AD}"/>
    <cellStyle name="Heading 4 4" xfId="889" xr:uid="{68870488-C1E0-4226-87E2-36DDB05DF4F1}"/>
    <cellStyle name="Hipervínculo" xfId="13" xr:uid="{00000000-0005-0000-0000-000000000000}"/>
    <cellStyle name="Hipervínculo 2" xfId="15" xr:uid="{00000000-0005-0000-0000-000001000000}"/>
    <cellStyle name="Hipervínculo 2 2" xfId="699" xr:uid="{18FF9BC4-0ECC-4E5C-9ECA-49EE1BBA5FFF}"/>
    <cellStyle name="Hipervínculo 3" xfId="175" xr:uid="{D6A63BF8-6B87-4CBF-935F-8C4FC839E60E}"/>
    <cellStyle name="Hipervínculo 4" xfId="73" xr:uid="{E0A103B7-16EB-46BE-B748-09C112DC56B2}"/>
    <cellStyle name="Incorrecto" xfId="28" builtinId="27" customBuiltin="1"/>
    <cellStyle name="Incorrecto 2" xfId="700" xr:uid="{56C49DF7-DC3E-45E2-B561-8E9BBB196401}"/>
    <cellStyle name="Incorrecto 3" xfId="890" xr:uid="{8E8A7C5F-62D4-4B52-936F-70FE556EC7FB}"/>
    <cellStyle name="Incorrecto 4" xfId="891" xr:uid="{204CA24C-F792-4EDA-B62B-F6A86E430548}"/>
    <cellStyle name="Incorrecto 5" xfId="356" xr:uid="{82CEBD40-75B5-477B-9E4E-9F0A33A6F9C1}"/>
    <cellStyle name="Input 2" xfId="701" xr:uid="{B28385B8-8220-4751-826B-C6489799ADBC}"/>
    <cellStyle name="Input 2 2" xfId="1055" xr:uid="{92EB0DA8-14EC-42D1-B080-7D3645DAA253}"/>
    <cellStyle name="Input 3" xfId="702" xr:uid="{B92AE6F5-0A8C-44C9-808A-3F639BDE3FE0}"/>
    <cellStyle name="Input 4" xfId="892" xr:uid="{9BA943A0-4A14-4919-B217-3ACC50E13766}"/>
    <cellStyle name="Input 4 2" xfId="1102" xr:uid="{C2CAAA7A-1BA3-4328-B3FA-AB1491AAE2DF}"/>
    <cellStyle name="Linked Cell 2" xfId="703" xr:uid="{8DB2C373-246D-46E3-8494-CA9FA7862FD2}"/>
    <cellStyle name="Linked Cell 3" xfId="704" xr:uid="{0BAB9082-7DA8-489D-A934-CBA06B8A656B}"/>
    <cellStyle name="Linked Cell 4" xfId="893" xr:uid="{BD42FF7C-B5C5-4C80-8EB9-878A15DC9A20}"/>
    <cellStyle name="Millares" xfId="1" builtinId="3"/>
    <cellStyle name="Millares [0] 2" xfId="3" xr:uid="{00000000-0005-0000-0000-000003000000}"/>
    <cellStyle name="Millares 10" xfId="170" xr:uid="{CF70ECA4-404F-498A-93C6-84CE8C8641AA}"/>
    <cellStyle name="Millares 10 2" xfId="273" xr:uid="{E30D5A83-E67E-4534-A581-A68FF66340AA}"/>
    <cellStyle name="Millares 10 2 2" xfId="992" xr:uid="{C972DC59-3BB3-4480-9F93-4292E8CD6F6B}"/>
    <cellStyle name="Millares 10 2 2 2" xfId="1587" xr:uid="{9D5194A3-A8D3-4F73-AE6E-FAA80D15325F}"/>
    <cellStyle name="Millares 10 2 2 3" xfId="1235" xr:uid="{78982257-BB6A-4759-9E33-98372838B97C}"/>
    <cellStyle name="Millares 10 2 3" xfId="1426" xr:uid="{B2B082FA-9EA5-4827-AC3E-FA9D3751C820}"/>
    <cellStyle name="Millares 10 2 4" xfId="1165" xr:uid="{CD50FFD9-7E51-49AF-8BD5-209CE4340E7F}"/>
    <cellStyle name="Millares 10 3" xfId="293" xr:uid="{85276F28-EE88-48EE-9B44-71F8BDD2BA64}"/>
    <cellStyle name="Millares 10 3 2" xfId="1008" xr:uid="{105211C7-CCF4-4BA9-BAAD-6E9570D20056}"/>
    <cellStyle name="Millares 10 3 2 2" xfId="1603" xr:uid="{7A3A514B-38D8-46E2-BAD9-94EADAF4C438}"/>
    <cellStyle name="Millares 10 3 2 3" xfId="1251" xr:uid="{6A3D8A14-9E45-47E8-939A-583AB2AF8E65}"/>
    <cellStyle name="Millares 10 3 3" xfId="1442" xr:uid="{C996A998-5967-408E-ADF5-2CB0CABEFF98}"/>
    <cellStyle name="Millares 10 3 4" xfId="1181" xr:uid="{E725E42C-57B5-4AFC-A8EA-C483B195C3EF}"/>
    <cellStyle name="Millares 10 4" xfId="975" xr:uid="{3AA046D4-BC5F-4ADF-9461-7067AF1F11FD}"/>
    <cellStyle name="Millares 10 4 2" xfId="1570" xr:uid="{A0DF9A38-D86B-4577-941B-C57FBE7DFBC1}"/>
    <cellStyle name="Millares 10 4 3" xfId="1219" xr:uid="{D9C5C80A-DC87-4116-B3C0-513D8D04D15F}"/>
    <cellStyle name="Millares 10 5" xfId="1364" xr:uid="{E3DEAAE4-77FE-4732-97F1-7F268F55F73D}"/>
    <cellStyle name="Millares 10 6" xfId="1149" xr:uid="{B64A00D6-AC31-421C-80C1-AFAECD29C461}"/>
    <cellStyle name="Millares 100" xfId="1689" xr:uid="{823F9449-ADF3-4AC4-B25C-206C2F0F4B21}"/>
    <cellStyle name="Millares 101" xfId="1690" xr:uid="{E1D3E000-6B39-4C3C-8DAB-FC92F7DEFF94}"/>
    <cellStyle name="Millares 102" xfId="1687" xr:uid="{18E18DE0-1498-4D90-B33A-7EF70899D478}"/>
    <cellStyle name="Millares 103" xfId="1691" xr:uid="{71C1D400-4B2B-4FE0-8484-65EA2F9D2B7F}"/>
    <cellStyle name="Millares 104" xfId="1692" xr:uid="{C97A7703-4840-474A-8162-D2A177512F27}"/>
    <cellStyle name="Millares 105" xfId="1693" xr:uid="{012B097C-78D6-4E42-90E6-E7F78F0E9276}"/>
    <cellStyle name="Millares 106" xfId="1694" xr:uid="{1A11D3DC-56C7-4660-8262-AC830FA56C9C}"/>
    <cellStyle name="Millares 107" xfId="1695" xr:uid="{20A978CC-E3EB-4CC9-91F9-F81EA65B2F12}"/>
    <cellStyle name="Millares 108" xfId="1696" xr:uid="{B90FA256-759D-479D-87EE-CAB0545CCDF4}"/>
    <cellStyle name="Millares 109" xfId="1697" xr:uid="{2A378052-2679-4BAD-B07F-CCCE01BDD40E}"/>
    <cellStyle name="Millares 11" xfId="174" xr:uid="{AF896904-C99B-4B29-9CCD-F6F6694E06E1}"/>
    <cellStyle name="Millares 11 2" xfId="275" xr:uid="{A2F4E677-F8C7-449A-B678-0B0EF29018EC}"/>
    <cellStyle name="Millares 11 2 2" xfId="994" xr:uid="{F7E08CFC-62D8-4863-9DA9-F820095F71AC}"/>
    <cellStyle name="Millares 11 2 2 2" xfId="1589" xr:uid="{DA4DB31B-6ABF-412A-8D38-76BB82886615}"/>
    <cellStyle name="Millares 11 2 2 3" xfId="1237" xr:uid="{14E06CF9-6088-4BEC-B07B-9A8F4004D393}"/>
    <cellStyle name="Millares 11 2 3" xfId="1428" xr:uid="{E497ED0E-6A36-42F4-A6C5-B47AB130A23F}"/>
    <cellStyle name="Millares 11 2 4" xfId="1167" xr:uid="{7B8B2971-5896-4E38-A4E2-35D1C69DC489}"/>
    <cellStyle name="Millares 11 3" xfId="295" xr:uid="{C8BAADFD-91D8-4394-8851-20396F415163}"/>
    <cellStyle name="Millares 11 3 2" xfId="1010" xr:uid="{248D4E60-5C83-4A3C-AAA7-B9FF9DD5E9B7}"/>
    <cellStyle name="Millares 11 3 2 2" xfId="1605" xr:uid="{D4828E74-E86D-4E6B-BD8F-5A7F27879298}"/>
    <cellStyle name="Millares 11 3 2 3" xfId="1253" xr:uid="{FD5EE5AF-9528-4933-AB89-58A605DBECC1}"/>
    <cellStyle name="Millares 11 3 3" xfId="1444" xr:uid="{5C70A8C3-7EC2-4148-8348-A71F5B5003F7}"/>
    <cellStyle name="Millares 11 3 4" xfId="1183" xr:uid="{6359D73F-6D50-4C53-AE19-7D1E873353C2}"/>
    <cellStyle name="Millares 11 4" xfId="977" xr:uid="{44B5A3F6-D291-4A31-A1D9-0FB9CD8EEB6C}"/>
    <cellStyle name="Millares 11 4 2" xfId="1572" xr:uid="{B33AF84F-741F-4DC4-9074-0C8BCE9BE5F9}"/>
    <cellStyle name="Millares 11 4 3" xfId="1221" xr:uid="{9EA1E7E5-363C-43F8-97F6-D95EA382B69C}"/>
    <cellStyle name="Millares 11 5" xfId="1366" xr:uid="{8BDDA3BF-C651-4020-AFF7-095BD09C2B51}"/>
    <cellStyle name="Millares 11 6" xfId="1151" xr:uid="{301402BE-C35D-4424-8ECE-DD65DE03397A}"/>
    <cellStyle name="Millares 110" xfId="1698" xr:uid="{5F2EC64C-FDD6-4CA4-B46A-72C444BDEF97}"/>
    <cellStyle name="Millares 111" xfId="1699" xr:uid="{43C9A5F3-F3C9-4CE6-A031-02390C5AEB1D}"/>
    <cellStyle name="Millares 112" xfId="1700" xr:uid="{9B5AA62D-8AB4-4AA0-8DA4-3B3725B655BD}"/>
    <cellStyle name="Millares 113" xfId="54" xr:uid="{B8FF0CD1-DDFB-48E5-B940-85D68CDB5164}"/>
    <cellStyle name="Millares 12" xfId="171" xr:uid="{F73AADCE-E4A3-481C-BDE1-BDB329749DA6}"/>
    <cellStyle name="Millares 12 2" xfId="274" xr:uid="{3CE6E11F-9C39-49DC-82AC-9C6410245F02}"/>
    <cellStyle name="Millares 12 2 2" xfId="993" xr:uid="{D45197CD-B7E1-4700-B42E-31326C0ECF0D}"/>
    <cellStyle name="Millares 12 2 2 2" xfId="1588" xr:uid="{09D7CFE0-45B1-4783-A810-B186CD36F47D}"/>
    <cellStyle name="Millares 12 2 2 3" xfId="1236" xr:uid="{1A3E4DDF-45E8-4DF3-9827-77570B23964B}"/>
    <cellStyle name="Millares 12 2 3" xfId="1427" xr:uid="{C03BD367-10C8-47E6-A2A2-299E32EAD8E3}"/>
    <cellStyle name="Millares 12 2 4" xfId="1166" xr:uid="{D1978449-A1D6-4A81-8C93-E9872D134FF4}"/>
    <cellStyle name="Millares 12 3" xfId="294" xr:uid="{BAE11169-D5FE-4CC7-9415-F4FD759D812E}"/>
    <cellStyle name="Millares 12 3 2" xfId="1009" xr:uid="{50461B2C-4105-4EC5-AF98-31775B4BF7A3}"/>
    <cellStyle name="Millares 12 3 2 2" xfId="1604" xr:uid="{1492FD30-4EE8-44FE-BB1B-FE30F732695F}"/>
    <cellStyle name="Millares 12 3 2 3" xfId="1252" xr:uid="{CD6587C9-B359-4CC7-8273-929C7E23D090}"/>
    <cellStyle name="Millares 12 3 3" xfId="1443" xr:uid="{2DA78D3B-4B17-4BED-A970-05A6245EF952}"/>
    <cellStyle name="Millares 12 3 4" xfId="1182" xr:uid="{1B465B13-5AB1-4816-8972-2AE05220907F}"/>
    <cellStyle name="Millares 12 4" xfId="976" xr:uid="{A8453CAE-9FB2-4C75-B5AF-40ADFC789187}"/>
    <cellStyle name="Millares 12 4 2" xfId="1571" xr:uid="{7BD10BDD-4F9D-4FE6-95AC-F83F685E2889}"/>
    <cellStyle name="Millares 12 4 3" xfId="1220" xr:uid="{5298EA72-4065-4FA9-8EF5-6B079DF62F07}"/>
    <cellStyle name="Millares 12 5" xfId="1365" xr:uid="{EC1B678A-670B-43DD-88D9-F4F8D74E9A56}"/>
    <cellStyle name="Millares 12 6" xfId="1150" xr:uid="{F7A14638-075B-48F9-88D4-03E07FEB873F}"/>
    <cellStyle name="Millares 13" xfId="176" xr:uid="{FAE79C45-A1FF-4473-9B63-1886C2CF2473}"/>
    <cellStyle name="Millares 13 2" xfId="276" xr:uid="{FD544E6B-C0E0-464D-9ABA-CAD4129C8CD5}"/>
    <cellStyle name="Millares 13 2 2" xfId="995" xr:uid="{15F79983-A3CC-44D8-8B12-4D602D217E03}"/>
    <cellStyle name="Millares 13 2 2 2" xfId="1590" xr:uid="{FE0E9689-CE43-430D-AEA4-FAA1A82F4DFC}"/>
    <cellStyle name="Millares 13 2 2 3" xfId="1238" xr:uid="{099BE02D-1F2E-434C-B28F-B903F6453109}"/>
    <cellStyle name="Millares 13 2 3" xfId="1429" xr:uid="{B5600788-1FF3-47F5-9314-48A9BF8415E3}"/>
    <cellStyle name="Millares 13 2 4" xfId="1168" xr:uid="{8E09A637-77BE-4FD2-9484-6F3DB990F2B2}"/>
    <cellStyle name="Millares 13 3" xfId="296" xr:uid="{F5DECC76-0173-4BE0-9406-42E114A23E34}"/>
    <cellStyle name="Millares 13 3 2" xfId="1011" xr:uid="{D4547191-50FB-45E4-847D-2C180790A78B}"/>
    <cellStyle name="Millares 13 3 2 2" xfId="1606" xr:uid="{FE3AE92E-8D4B-44F1-9469-43EC0149654A}"/>
    <cellStyle name="Millares 13 3 2 3" xfId="1254" xr:uid="{90B70FE8-893D-4983-A2FD-1F5923C3738A}"/>
    <cellStyle name="Millares 13 3 3" xfId="1445" xr:uid="{9C8EA307-590A-4180-97A3-99DEF8B2EE21}"/>
    <cellStyle name="Millares 13 3 4" xfId="1184" xr:uid="{89D38637-4F21-42A0-8EFD-DCCD4ABD3029}"/>
    <cellStyle name="Millares 13 4" xfId="978" xr:uid="{14DC67CC-27EE-4AEC-8D0F-9B19AE14062A}"/>
    <cellStyle name="Millares 13 4 2" xfId="1573" xr:uid="{C345FB50-73F7-494F-851D-FA757B4F2CB5}"/>
    <cellStyle name="Millares 13 4 3" xfId="1222" xr:uid="{21613A9E-F8A3-4670-83B5-8B19400553AA}"/>
    <cellStyle name="Millares 13 5" xfId="1367" xr:uid="{232F0E9E-C1E0-4358-B6CD-4F8227C2EA07}"/>
    <cellStyle name="Millares 13 6" xfId="1152" xr:uid="{D0FBCEBF-62DC-4C75-A694-D7B1F557430C}"/>
    <cellStyle name="Millares 14" xfId="177" xr:uid="{CE05C981-FE97-462F-B0F6-204984F55228}"/>
    <cellStyle name="Millares 14 2" xfId="277" xr:uid="{FDF74AD0-32BB-4A03-B60D-BC8BC0915FC4}"/>
    <cellStyle name="Millares 14 2 2" xfId="996" xr:uid="{440DE913-4479-439E-A7FF-57A96E74AC9E}"/>
    <cellStyle name="Millares 14 2 2 2" xfId="1591" xr:uid="{679C5B1E-AD5F-43DB-AC79-1EA6CFDED6CD}"/>
    <cellStyle name="Millares 14 2 2 3" xfId="1239" xr:uid="{291CAA13-C824-4274-925D-CC1B49599454}"/>
    <cellStyle name="Millares 14 2 3" xfId="1430" xr:uid="{36B61095-DD00-49D3-AD8D-C2CA010B9DA5}"/>
    <cellStyle name="Millares 14 2 4" xfId="1169" xr:uid="{1E00D242-A2DB-4200-85E1-11B2CE9C4336}"/>
    <cellStyle name="Millares 14 3" xfId="297" xr:uid="{60FBD2DA-FA68-442F-A27B-47DB2A221D3F}"/>
    <cellStyle name="Millares 14 3 2" xfId="1012" xr:uid="{C0C8DF9D-8DAE-41F8-B688-3798D23A825E}"/>
    <cellStyle name="Millares 14 3 2 2" xfId="1607" xr:uid="{A07BDC69-F69C-4558-80B1-434BF7D44F28}"/>
    <cellStyle name="Millares 14 3 2 3" xfId="1255" xr:uid="{3B119F69-B35F-4EFE-BE16-78D841A8C392}"/>
    <cellStyle name="Millares 14 3 3" xfId="1446" xr:uid="{1A3CD8C9-EF20-494B-85BC-AF00DF347E83}"/>
    <cellStyle name="Millares 14 3 4" xfId="1185" xr:uid="{5B94F9D7-BC96-4D33-8989-E49C42F50550}"/>
    <cellStyle name="Millares 14 4" xfId="979" xr:uid="{F3EF5878-1EAB-4C1E-B4CD-E4122B9A463C}"/>
    <cellStyle name="Millares 14 4 2" xfId="1574" xr:uid="{A7522F48-6355-4ED7-8027-1A58B50FE8F4}"/>
    <cellStyle name="Millares 14 4 3" xfId="1223" xr:uid="{40FB196C-30B3-4B0A-B774-F5326A519127}"/>
    <cellStyle name="Millares 14 5" xfId="1368" xr:uid="{96D123F4-AB71-432E-A269-FDB3621FE9AB}"/>
    <cellStyle name="Millares 14 6" xfId="1153" xr:uid="{2725726F-6F28-4A38-AE0D-D674E0EC0D2D}"/>
    <cellStyle name="Millares 15" xfId="178" xr:uid="{83FB91BF-F6DC-4F21-BD05-1FF18FF2EE63}"/>
    <cellStyle name="Millares 15 2" xfId="278" xr:uid="{1FE4C968-5D51-4168-A875-55C492FDFEB4}"/>
    <cellStyle name="Millares 15 2 2" xfId="997" xr:uid="{D4C88A38-FDF7-4757-BD54-0748C7D0B603}"/>
    <cellStyle name="Millares 15 2 2 2" xfId="1592" xr:uid="{A379ADA1-070D-4C2E-A68F-B48CD109E936}"/>
    <cellStyle name="Millares 15 2 2 3" xfId="1240" xr:uid="{1B0D1347-7948-451F-9607-1CB421079FE6}"/>
    <cellStyle name="Millares 15 2 3" xfId="1431" xr:uid="{9EFB0B95-AAC1-4513-A48F-95A95890BDBB}"/>
    <cellStyle name="Millares 15 2 4" xfId="1170" xr:uid="{7DE63169-C774-4EA9-B367-684B0776EED1}"/>
    <cellStyle name="Millares 15 3" xfId="298" xr:uid="{6F0813C7-C7E9-4921-B8DC-35F453694C83}"/>
    <cellStyle name="Millares 15 3 2" xfId="1013" xr:uid="{2D80B9F4-0048-4FD7-B900-ACBD4DA2BD5B}"/>
    <cellStyle name="Millares 15 3 2 2" xfId="1608" xr:uid="{558BFF87-BD60-48E0-80AF-363E112568AD}"/>
    <cellStyle name="Millares 15 3 2 3" xfId="1256" xr:uid="{2ECB2319-4DC0-40AA-9711-4F4C87D8BF88}"/>
    <cellStyle name="Millares 15 3 3" xfId="1447" xr:uid="{FED2691D-1C4F-4467-95A7-6D7D7FEE30FA}"/>
    <cellStyle name="Millares 15 3 4" xfId="1186" xr:uid="{8929B600-C400-478E-8BDF-0B91AAFA37CF}"/>
    <cellStyle name="Millares 15 4" xfId="980" xr:uid="{DE3F6BBC-B05D-4490-8C18-24AD3A45EC36}"/>
    <cellStyle name="Millares 15 4 2" xfId="1575" xr:uid="{F6FF2983-4DC8-45F2-B567-12C1761865DB}"/>
    <cellStyle name="Millares 15 4 3" xfId="1224" xr:uid="{7DBE62FF-DA1B-4775-8796-25DE5A24036D}"/>
    <cellStyle name="Millares 15 5" xfId="1369" xr:uid="{712BD0EA-4FF0-4154-9739-F06C0F60B579}"/>
    <cellStyle name="Millares 15 6" xfId="1154" xr:uid="{D3C54475-F404-40AC-A14E-9EE9EFDE5986}"/>
    <cellStyle name="Millares 16" xfId="179" xr:uid="{DD1AA6DC-9614-4F8E-A34A-2E8D41AB3B6C}"/>
    <cellStyle name="Millares 16 2" xfId="279" xr:uid="{2E78D627-ECFA-4300-9E79-2E59CB4BBC56}"/>
    <cellStyle name="Millares 16 2 2" xfId="998" xr:uid="{7B46B569-C1BB-4175-90F8-3C6D85936D01}"/>
    <cellStyle name="Millares 16 2 2 2" xfId="1593" xr:uid="{61A056B3-2172-40CE-A798-BA9E5B88DD1E}"/>
    <cellStyle name="Millares 16 2 2 3" xfId="1241" xr:uid="{9E6BA4D7-8FE7-4E72-BFDD-2EBD7A80161A}"/>
    <cellStyle name="Millares 16 2 3" xfId="1432" xr:uid="{A9EBCDA4-4422-430E-B6F1-C7D46B75E8C8}"/>
    <cellStyle name="Millares 16 2 4" xfId="1171" xr:uid="{142B9867-ADC1-4FF1-8909-0FDEE99D106B}"/>
    <cellStyle name="Millares 16 3" xfId="299" xr:uid="{FC0C083A-38EB-45B9-A1A9-C31211AEF63D}"/>
    <cellStyle name="Millares 16 3 2" xfId="1014" xr:uid="{615AD6BC-F42E-47ED-981C-08146B312F32}"/>
    <cellStyle name="Millares 16 3 2 2" xfId="1609" xr:uid="{317B83AC-FF4B-4EB9-A077-039B1693B0A6}"/>
    <cellStyle name="Millares 16 3 2 3" xfId="1257" xr:uid="{EA327C5C-307F-4F10-9A42-30FD442D31A5}"/>
    <cellStyle name="Millares 16 3 3" xfId="1448" xr:uid="{92DC6A4D-3AE3-4BC9-83AE-DF14C0740053}"/>
    <cellStyle name="Millares 16 3 4" xfId="1187" xr:uid="{586F927F-2175-42CB-B325-3D8886D3E67C}"/>
    <cellStyle name="Millares 16 4" xfId="981" xr:uid="{0112C6B7-9FAA-4DBE-B687-D66B3A133282}"/>
    <cellStyle name="Millares 16 4 2" xfId="1576" xr:uid="{40DAE9F6-7344-4F72-A3B9-BD38E2586ABB}"/>
    <cellStyle name="Millares 16 4 3" xfId="1225" xr:uid="{62028905-B982-4A3A-BCCC-B3D59DFAA91E}"/>
    <cellStyle name="Millares 16 5" xfId="1370" xr:uid="{BBAF8B4E-7689-4E0D-966C-910453C73196}"/>
    <cellStyle name="Millares 16 6" xfId="1155" xr:uid="{2FF70B30-05E8-4438-8148-D2958455CC8E}"/>
    <cellStyle name="Millares 17" xfId="180" xr:uid="{8C499840-5C4F-460E-B093-AA66F61D56FA}"/>
    <cellStyle name="Millares 17 2" xfId="280" xr:uid="{378B403A-3364-4C35-AD61-AA127AB61A6A}"/>
    <cellStyle name="Millares 17 2 2" xfId="999" xr:uid="{333351AA-AFCA-4E1C-AE40-BDDCE0482077}"/>
    <cellStyle name="Millares 17 2 2 2" xfId="1594" xr:uid="{8D8EC757-C88F-4741-BFE9-5CE6AAAE2A15}"/>
    <cellStyle name="Millares 17 2 2 3" xfId="1242" xr:uid="{88CA93C7-83DE-4995-93ED-DA51F3C65C91}"/>
    <cellStyle name="Millares 17 2 3" xfId="1433" xr:uid="{E91289F7-9070-484B-AFBF-875F7FF42B41}"/>
    <cellStyle name="Millares 17 2 4" xfId="1172" xr:uid="{2BD9853F-CE99-4B8E-B2FE-DB9924113609}"/>
    <cellStyle name="Millares 17 3" xfId="300" xr:uid="{DB99F0DA-5F90-42FD-88B0-0B20B465EA17}"/>
    <cellStyle name="Millares 17 3 2" xfId="1015" xr:uid="{F742ECDF-C22B-4450-B5F7-FD58BDBC7DA4}"/>
    <cellStyle name="Millares 17 3 2 2" xfId="1610" xr:uid="{DEEF2AA8-9612-4998-8C89-0F23A2B45994}"/>
    <cellStyle name="Millares 17 3 2 3" xfId="1258" xr:uid="{7AAC6AE3-7E9B-4220-93CC-0B2D6B16F2F1}"/>
    <cellStyle name="Millares 17 3 3" xfId="1449" xr:uid="{3FEFAB79-E2F0-4F35-A14D-20ADFF3A656F}"/>
    <cellStyle name="Millares 17 3 4" xfId="1188" xr:uid="{0307F9DE-B5B3-4A82-90DB-15C9BC3873E9}"/>
    <cellStyle name="Millares 17 4" xfId="982" xr:uid="{3C8DE70E-D547-4C83-8B8E-E9E929914EF2}"/>
    <cellStyle name="Millares 17 4 2" xfId="1577" xr:uid="{D3002CDF-9D41-46AB-B835-3F014B522CA3}"/>
    <cellStyle name="Millares 17 4 3" xfId="1226" xr:uid="{63CB3DED-8113-4F12-95BD-D850C8C8980E}"/>
    <cellStyle name="Millares 17 5" xfId="1371" xr:uid="{0982DCE8-9F57-4962-A4DF-56654F8255CE}"/>
    <cellStyle name="Millares 17 6" xfId="1156" xr:uid="{B6D32DDF-1501-469C-8344-0D11EB0519CE}"/>
    <cellStyle name="Millares 18" xfId="181" xr:uid="{A1124E47-41CB-4E1D-8900-F8B166A21174}"/>
    <cellStyle name="Millares 18 2" xfId="281" xr:uid="{C6D2A08D-EE25-45D3-99A5-E9275075941A}"/>
    <cellStyle name="Millares 18 2 2" xfId="1000" xr:uid="{424CCEE1-30CB-429C-8F36-CFC6E3A70CB0}"/>
    <cellStyle name="Millares 18 2 2 2" xfId="1595" xr:uid="{AACAE01C-3ED8-4411-B929-6472AEF722B3}"/>
    <cellStyle name="Millares 18 2 2 3" xfId="1243" xr:uid="{BE0EC40F-79CA-4C53-BD8B-6A9C9D539454}"/>
    <cellStyle name="Millares 18 2 3" xfId="1434" xr:uid="{74F40332-5ED0-41CA-9651-5C1E79906E0F}"/>
    <cellStyle name="Millares 18 2 4" xfId="1173" xr:uid="{E7D16530-8240-4B74-9115-19C6AA4FFBBE}"/>
    <cellStyle name="Millares 18 3" xfId="301" xr:uid="{37012A00-06D2-4957-93B2-9D11A9E51B4E}"/>
    <cellStyle name="Millares 18 3 2" xfId="1016" xr:uid="{114CCBDD-78EE-47BF-A046-A3839FDAB3F8}"/>
    <cellStyle name="Millares 18 3 2 2" xfId="1611" xr:uid="{1A4D9E8E-143C-4EE0-A1E8-8DCE778B00E0}"/>
    <cellStyle name="Millares 18 3 2 3" xfId="1259" xr:uid="{9DF90C18-A394-48A8-B382-2804B2A3E69A}"/>
    <cellStyle name="Millares 18 3 3" xfId="1450" xr:uid="{03E122B7-AFC6-44C8-9E37-443D9B0251DD}"/>
    <cellStyle name="Millares 18 3 4" xfId="1189" xr:uid="{3AAE3AEB-0ACD-4ADB-9975-722A1BC6B09D}"/>
    <cellStyle name="Millares 18 4" xfId="983" xr:uid="{EFAA598F-E969-4775-A747-904F57B547D0}"/>
    <cellStyle name="Millares 18 4 2" xfId="1578" xr:uid="{767A4D88-B054-4F4F-B1D3-AA9B44F27A7A}"/>
    <cellStyle name="Millares 18 4 3" xfId="1227" xr:uid="{D48D2937-B9AB-4F29-B3A6-84E163E5510A}"/>
    <cellStyle name="Millares 18 5" xfId="1372" xr:uid="{30CA6E93-CBB9-4EC6-A13D-CAFB7736B33C}"/>
    <cellStyle name="Millares 18 6" xfId="1157" xr:uid="{316C365A-8686-40D6-9B13-15E4C6B15349}"/>
    <cellStyle name="Millares 19" xfId="183" xr:uid="{386F7DBB-4100-42DB-AA03-90984C0173DF}"/>
    <cellStyle name="Millares 2" xfId="6" xr:uid="{00000000-0005-0000-0000-000004000000}"/>
    <cellStyle name="Millares 2 2" xfId="17" xr:uid="{1CFFFCBF-351E-482F-BE0D-9FD57D2117F2}"/>
    <cellStyle name="Millares 2 3" xfId="147" xr:uid="{4C565E47-2DFB-4795-B1F4-E5BCED8F5F05}"/>
    <cellStyle name="Millares 20" xfId="184" xr:uid="{BDDD3C3A-CA37-4AC1-8647-17CE3AAEFFB5}"/>
    <cellStyle name="Millares 21" xfId="195" xr:uid="{57DE9E08-7993-4542-83EB-FAF7CDC35347}"/>
    <cellStyle name="Millares 22" xfId="202" xr:uid="{FD219326-A8ED-41A8-8A10-06EDD845331B}"/>
    <cellStyle name="Millares 23" xfId="154" xr:uid="{FDA6E5BD-7D67-44DB-869D-B3AC3047DB10}"/>
    <cellStyle name="Millares 23 2" xfId="265" xr:uid="{30E1F02C-4AB4-46DB-8376-F3B3D83516F0}"/>
    <cellStyle name="Millares 23 2 2" xfId="986" xr:uid="{1CAB6590-38B5-475A-90C9-9C3AF6611E41}"/>
    <cellStyle name="Millares 23 2 2 2" xfId="1581" xr:uid="{899A31A1-FBFB-4EE4-870B-A1DA7B2A8768}"/>
    <cellStyle name="Millares 23 2 2 3" xfId="1229" xr:uid="{CBA1EA91-B990-4AFF-A693-CFFCDE0EDA8A}"/>
    <cellStyle name="Millares 23 2 3" xfId="1420" xr:uid="{1D5B144F-4219-453B-9319-70CBB0A2F667}"/>
    <cellStyle name="Millares 23 2 4" xfId="1159" xr:uid="{F0938A12-9ED0-4F4A-9C1E-0FAA3CF1C3EC}"/>
    <cellStyle name="Millares 23 3" xfId="287" xr:uid="{A87E090E-01E4-4D80-8062-4D2534AE306E}"/>
    <cellStyle name="Millares 23 3 2" xfId="1002" xr:uid="{C1AEAB8C-0FA1-4631-A0A7-109C2673DBF9}"/>
    <cellStyle name="Millares 23 3 2 2" xfId="1597" xr:uid="{4813DD79-C999-4E3E-B996-E577DBF8C77C}"/>
    <cellStyle name="Millares 23 3 2 3" xfId="1245" xr:uid="{8E8D2FC1-09E5-4B6B-87C5-EE0375F06907}"/>
    <cellStyle name="Millares 23 3 3" xfId="1436" xr:uid="{C5798D30-D62C-4BE9-BCCB-4C4FACCCA430}"/>
    <cellStyle name="Millares 23 3 4" xfId="1175" xr:uid="{BF431B4F-7EA0-4E40-A3AE-AB41AA7467C2}"/>
    <cellStyle name="Millares 23 4" xfId="969" xr:uid="{E927332E-A162-4485-B02D-15DCDAD59476}"/>
    <cellStyle name="Millares 23 4 2" xfId="1564" xr:uid="{1FB9BC55-3618-4A42-9F9E-772CD5AC6EA8}"/>
    <cellStyle name="Millares 23 4 3" xfId="1213" xr:uid="{F2552824-72A2-4FF9-B70C-1647A4F29677}"/>
    <cellStyle name="Millares 23 5" xfId="1355" xr:uid="{E91D8CCF-F112-43AE-B2FC-5E82B407C95A}"/>
    <cellStyle name="Millares 23 6" xfId="1143" xr:uid="{1A8EA649-0F07-4DED-8AFA-918D16B1A37E}"/>
    <cellStyle name="Millares 24" xfId="196" xr:uid="{0EF178E0-80B9-477A-BB65-4D11973B0404}"/>
    <cellStyle name="Millares 24 2" xfId="284" xr:uid="{22171E09-6382-4C26-B884-2D7A9A1F5C46}"/>
    <cellStyle name="Millares 24 2 2" xfId="1001" xr:uid="{7EA87C60-EF68-45E5-91E6-BAA4150C4795}"/>
    <cellStyle name="Millares 24 2 2 2" xfId="1596" xr:uid="{1225D09E-3C0D-4AFC-978B-D951708CE75B}"/>
    <cellStyle name="Millares 24 2 2 3" xfId="1244" xr:uid="{577ABA55-3DE6-490B-A1D0-A2481AE72B62}"/>
    <cellStyle name="Millares 24 2 3" xfId="1435" xr:uid="{ED414F8F-BA5A-40B5-B680-4F88FE5A1BE8}"/>
    <cellStyle name="Millares 24 2 4" xfId="1174" xr:uid="{1BC5555F-B171-4640-8DE6-82BA8F3F60C3}"/>
    <cellStyle name="Millares 24 3" xfId="302" xr:uid="{F941DD83-5FC7-461F-982D-D4A7B4F12775}"/>
    <cellStyle name="Millares 24 3 2" xfId="1017" xr:uid="{6F60FB3F-53EF-440B-BC98-513CF1C5987B}"/>
    <cellStyle name="Millares 24 3 2 2" xfId="1612" xr:uid="{B3848434-27ED-4F9C-AF1E-F8E2367FE65B}"/>
    <cellStyle name="Millares 24 3 2 3" xfId="1260" xr:uid="{779F1761-B7B9-4EEB-855B-34E8039F9E0C}"/>
    <cellStyle name="Millares 24 3 3" xfId="1451" xr:uid="{2F3E5D04-8CC3-4FDF-8502-BF87D1C39287}"/>
    <cellStyle name="Millares 24 3 4" xfId="1190" xr:uid="{6BBB8F8E-158D-428E-B67F-CB91352114A4}"/>
    <cellStyle name="Millares 24 4" xfId="984" xr:uid="{376C124F-D70F-4047-A0FC-9D9BF5591A94}"/>
    <cellStyle name="Millares 24 4 2" xfId="1579" xr:uid="{9F1EE649-3476-41F3-9112-A4996CCC9426}"/>
    <cellStyle name="Millares 24 4 3" xfId="1228" xr:uid="{746786A4-AB02-486E-B103-A7B31753101F}"/>
    <cellStyle name="Millares 24 5" xfId="1375" xr:uid="{2C0D531A-7ADD-423E-A856-361FF0072378}"/>
    <cellStyle name="Millares 24 6" xfId="1158" xr:uid="{3392C095-D9C2-4957-96BE-50FBF91AE6EF}"/>
    <cellStyle name="Millares 25" xfId="257" xr:uid="{C3052CE0-8F3D-4E4A-A948-4392178237ED}"/>
    <cellStyle name="Millares 26" xfId="258" xr:uid="{64B154D9-949B-46D1-85D0-CE81EF62B83F}"/>
    <cellStyle name="Millares 27" xfId="261" xr:uid="{C7516965-9116-479E-984D-C300E6871F04}"/>
    <cellStyle name="Millares 28" xfId="285" xr:uid="{33A04FFE-F4EB-49D3-ABB9-0D9CA72493D9}"/>
    <cellStyle name="Millares 29" xfId="953" xr:uid="{D82E3D21-039E-4741-8217-064D22642B2C}"/>
    <cellStyle name="Millares 3" xfId="5" xr:uid="{00000000-0005-0000-0000-000005000000}"/>
    <cellStyle name="Millares 3 2" xfId="165" xr:uid="{5326F37F-0D88-4A41-83B6-714FF2F98A64}"/>
    <cellStyle name="Millares 3 2 2" xfId="168" xr:uid="{7D8EA1F7-740B-44F1-9B2E-65C76A78893D}"/>
    <cellStyle name="Millares 3 2 2 2" xfId="271" xr:uid="{8535FBAA-F323-4DCF-997C-F7802729815D}"/>
    <cellStyle name="Millares 3 2 2 2 2" xfId="991" xr:uid="{38713EEC-5B08-480C-9E2C-EBB80D41C7C9}"/>
    <cellStyle name="Millares 3 2 2 2 2 2" xfId="1586" xr:uid="{7647CFC5-52F8-4A90-A475-883E600F2237}"/>
    <cellStyle name="Millares 3 2 2 2 2 3" xfId="1234" xr:uid="{D46ADFE2-31FD-4B60-9398-9595C79B6280}"/>
    <cellStyle name="Millares 3 2 2 2 3" xfId="1425" xr:uid="{E64029C6-93EF-42C4-840C-E24608B0F277}"/>
    <cellStyle name="Millares 3 2 2 2 4" xfId="1164" xr:uid="{1F24F890-0432-4980-877D-9789C3380345}"/>
    <cellStyle name="Millares 3 2 2 3" xfId="292" xr:uid="{58F7A215-A102-46FC-861E-F7FAE00DFC5A}"/>
    <cellStyle name="Millares 3 2 2 3 2" xfId="1007" xr:uid="{F010F9E7-8CCA-458B-8FC9-DDA1F73DA1FB}"/>
    <cellStyle name="Millares 3 2 2 3 2 2" xfId="1602" xr:uid="{5A9A899E-B9D4-4256-A138-832460E72B16}"/>
    <cellStyle name="Millares 3 2 2 3 2 3" xfId="1250" xr:uid="{B694D488-7D7F-4647-BD84-A64D19AFFDE7}"/>
    <cellStyle name="Millares 3 2 2 3 3" xfId="1441" xr:uid="{8B6880D4-13B3-4EE5-89CE-F2EFFCCD5BA2}"/>
    <cellStyle name="Millares 3 2 2 3 4" xfId="1180" xr:uid="{59FBEFBF-C4DB-4E24-9C19-6991CC1BE427}"/>
    <cellStyle name="Millares 3 2 2 4" xfId="974" xr:uid="{0EF507A2-0A76-4022-BFF6-63F10EF3B58B}"/>
    <cellStyle name="Millares 3 2 2 4 2" xfId="1569" xr:uid="{4402CE3A-3E27-4B77-A946-8D1AF9325C41}"/>
    <cellStyle name="Millares 3 2 2 4 3" xfId="1218" xr:uid="{DF74AEE7-3053-4C27-9F10-CA7857B543D2}"/>
    <cellStyle name="Millares 3 2 2 5" xfId="1363" xr:uid="{B7D8651A-C674-4FCF-B046-3837B7CDA94C}"/>
    <cellStyle name="Millares 3 2 2 6" xfId="1148" xr:uid="{66BC9F96-EA77-4A6F-BB6F-76ACE0AA0D63}"/>
    <cellStyle name="Millares 3 2 3" xfId="269" xr:uid="{8F501B37-9E4A-4B62-9C0D-8FF8D876A8C7}"/>
    <cellStyle name="Millares 3 2 3 2" xfId="989" xr:uid="{19510668-BDD7-43E6-8F3E-6BACA0FA7D17}"/>
    <cellStyle name="Millares 3 2 3 2 2" xfId="1584" xr:uid="{914AEBE5-DC40-4974-8F78-4A4877314A07}"/>
    <cellStyle name="Millares 3 2 3 2 3" xfId="1232" xr:uid="{F5853A11-7ECF-4BE8-98D0-05E293F6C80D}"/>
    <cellStyle name="Millares 3 2 3 3" xfId="1423" xr:uid="{61F8EBA9-3E2B-4A66-90F2-E884AA52D20A}"/>
    <cellStyle name="Millares 3 2 3 4" xfId="1162" xr:uid="{CD88E91D-F00D-4241-BD59-D87B52B3C0A0}"/>
    <cellStyle name="Millares 3 2 4" xfId="290" xr:uid="{51FF3E63-844D-42CA-9BB8-0CB7621106E1}"/>
    <cellStyle name="Millares 3 2 4 2" xfId="1005" xr:uid="{455FB434-0C93-4A8C-8954-4720D4E5474F}"/>
    <cellStyle name="Millares 3 2 4 2 2" xfId="1600" xr:uid="{917B2D99-4AC6-4FBF-B490-A15A3274E076}"/>
    <cellStyle name="Millares 3 2 4 2 3" xfId="1248" xr:uid="{E7AD4684-CB7E-4CE0-A9DA-D8C991548A5A}"/>
    <cellStyle name="Millares 3 2 4 3" xfId="1439" xr:uid="{389B7646-6192-4DD8-9B0E-6B93EE12493B}"/>
    <cellStyle name="Millares 3 2 4 4" xfId="1178" xr:uid="{C1F79FC2-E69D-4381-A89D-E53892A155FC}"/>
    <cellStyle name="Millares 3 2 5" xfId="972" xr:uid="{563D709C-8853-4BAC-99A9-9225294F796D}"/>
    <cellStyle name="Millares 3 2 5 2" xfId="1567" xr:uid="{41F5AA0B-AFA7-4679-838C-955A34F542F0}"/>
    <cellStyle name="Millares 3 2 5 3" xfId="1216" xr:uid="{C745615C-2115-4ECE-BA84-FB1580527768}"/>
    <cellStyle name="Millares 3 2 6" xfId="1360" xr:uid="{09ECB05F-5F45-437C-B769-0177C0426C3D}"/>
    <cellStyle name="Millares 3 2 7" xfId="1146" xr:uid="{5B3E2FB5-98B2-4CA0-BAD3-9261A3FC0F6A}"/>
    <cellStyle name="Millares 3 3" xfId="157" xr:uid="{47A68468-659C-437B-9540-2CD060E6BE08}"/>
    <cellStyle name="Millares 3 4" xfId="155" xr:uid="{F572AC38-A4FB-4C72-B292-A8A42E59310D}"/>
    <cellStyle name="Millares 3 4 2" xfId="266" xr:uid="{A702774C-8C53-4CF1-A661-836421816203}"/>
    <cellStyle name="Millares 3 4 2 2" xfId="987" xr:uid="{215D7367-AC81-4C31-8351-5D6EECF862DB}"/>
    <cellStyle name="Millares 3 4 2 2 2" xfId="1582" xr:uid="{6B54B3E8-CFB0-4C14-8015-D7B88224DA59}"/>
    <cellStyle name="Millares 3 4 2 2 3" xfId="1230" xr:uid="{20784A29-DB6B-415A-8956-BF4B7D05F805}"/>
    <cellStyle name="Millares 3 4 2 3" xfId="1421" xr:uid="{BE930760-4D78-4671-BAF1-BF68E099B209}"/>
    <cellStyle name="Millares 3 4 2 4" xfId="1160" xr:uid="{466D04CB-970E-46FB-9E30-63E5048F4AA6}"/>
    <cellStyle name="Millares 3 4 3" xfId="288" xr:uid="{FBED9BBB-D6E0-452D-A1F8-73E758BB20FA}"/>
    <cellStyle name="Millares 3 4 3 2" xfId="1003" xr:uid="{3251341D-27E9-48C0-A0A3-AB1F74D1B8E6}"/>
    <cellStyle name="Millares 3 4 3 2 2" xfId="1598" xr:uid="{124838FD-9A3F-4870-A2F7-B1409E088C0D}"/>
    <cellStyle name="Millares 3 4 3 2 3" xfId="1246" xr:uid="{022962E3-C0D8-4E87-8B00-A5BAA67E8DFA}"/>
    <cellStyle name="Millares 3 4 3 3" xfId="1437" xr:uid="{3D7D3541-BEDF-44B8-9F6A-F1310E9E60A7}"/>
    <cellStyle name="Millares 3 4 3 4" xfId="1176" xr:uid="{461E7286-36E0-4951-B06B-DBBDA58B1928}"/>
    <cellStyle name="Millares 3 4 4" xfId="970" xr:uid="{DDBA1649-CBAE-4D8A-85A0-0751D93CEB17}"/>
    <cellStyle name="Millares 3 4 4 2" xfId="1565" xr:uid="{64984A94-A0F4-45C9-A7D1-784A03C8C4F4}"/>
    <cellStyle name="Millares 3 4 4 3" xfId="1214" xr:uid="{4F737BBC-415E-419C-8FAA-D92522E3B5E1}"/>
    <cellStyle name="Millares 3 4 5" xfId="1356" xr:uid="{8C30C10C-A54A-469F-9194-3E511A411C86}"/>
    <cellStyle name="Millares 3 4 6" xfId="1144" xr:uid="{6DDF8622-1F86-4CB3-9A80-E8F5D96EB538}"/>
    <cellStyle name="Millares 3 5" xfId="408" xr:uid="{7F6A3520-CE34-49F9-82AE-30270539D1B6}"/>
    <cellStyle name="Millares 3 5 2" xfId="1021" xr:uid="{CD667E9A-C9EE-4389-A860-244685CBE31F}"/>
    <cellStyle name="Millares 3 5 2 2" xfId="1616" xr:uid="{57AB2CA7-680D-44DD-B29A-D6A303803CB5}"/>
    <cellStyle name="Millares 3 5 2 3" xfId="1264" xr:uid="{45335615-5F38-4E67-8D48-25D7826A05F6}"/>
    <cellStyle name="Millares 3 5 3" xfId="1471" xr:uid="{EDDB48F8-92A7-4FEE-9166-7049CB0BB502}"/>
    <cellStyle name="Millares 3 5 4" xfId="1194" xr:uid="{303E2290-73DB-44F6-ABCE-E9B392342E10}"/>
    <cellStyle name="Millares 30" xfId="954" xr:uid="{716F3FB0-22B9-4174-A3CC-8D3D9246D02D}"/>
    <cellStyle name="Millares 31" xfId="955" xr:uid="{0B5093D9-FD38-4347-86CF-0159EC6EF00B}"/>
    <cellStyle name="Millares 32" xfId="956" xr:uid="{E8226164-C883-47C3-975A-3D08AFE934DD}"/>
    <cellStyle name="Millares 33" xfId="957" xr:uid="{31ABC219-437A-4E61-BFE3-59E0C458DD7A}"/>
    <cellStyle name="Millares 34" xfId="959" xr:uid="{D6CAE100-432D-4CC6-9555-724DB8F11033}"/>
    <cellStyle name="Millares 35" xfId="958" xr:uid="{157936C4-B62E-4044-B538-998757EDF064}"/>
    <cellStyle name="Millares 36" xfId="1039" xr:uid="{125B2909-346F-4589-B2A9-034CEAD4907F}"/>
    <cellStyle name="Millares 37" xfId="1040" xr:uid="{D6C5DC09-E5AE-44D8-9E75-99DBC6F53034}"/>
    <cellStyle name="Millares 38" xfId="1109" xr:uid="{0471AC7A-52EF-4327-8DF5-CF6139087334}"/>
    <cellStyle name="Millares 39" xfId="71" xr:uid="{6689CD8C-F085-45C6-ADBA-8F32C86D8F1E}"/>
    <cellStyle name="Millares 4" xfId="57" xr:uid="{EABF4723-D42A-4874-92D7-031FE40FB841}"/>
    <cellStyle name="Millares 4 2" xfId="167" xr:uid="{278AD043-8E93-4313-A1FB-3403563B6D62}"/>
    <cellStyle name="Millares 4 2 2" xfId="270" xr:uid="{219D2BA1-642F-416A-9860-E1B0D861854E}"/>
    <cellStyle name="Millares 4 2 2 2" xfId="990" xr:uid="{CF0E405E-D276-48BA-8154-85ABCB964D2D}"/>
    <cellStyle name="Millares 4 2 2 2 2" xfId="1585" xr:uid="{D163DE0C-757D-46EB-BCFA-2A3D72F87AE4}"/>
    <cellStyle name="Millares 4 2 2 2 3" xfId="1233" xr:uid="{23B77BFC-3AA5-4808-AB0E-33E91D07F9DD}"/>
    <cellStyle name="Millares 4 2 2 3" xfId="1424" xr:uid="{16C67A5B-9EA1-4B58-8B10-A48A412F6E02}"/>
    <cellStyle name="Millares 4 2 2 4" xfId="1163" xr:uid="{4008A45F-6329-4FEE-8565-4316C9146025}"/>
    <cellStyle name="Millares 4 2 3" xfId="291" xr:uid="{A1775116-69A0-4D4D-A888-B5E257A8AE89}"/>
    <cellStyle name="Millares 4 2 3 2" xfId="1006" xr:uid="{ACEC695C-AADA-449C-9A34-33BF9A0DCFB7}"/>
    <cellStyle name="Millares 4 2 3 2 2" xfId="1601" xr:uid="{A391BCD2-B10C-43B7-A38C-7339D4082C64}"/>
    <cellStyle name="Millares 4 2 3 2 3" xfId="1249" xr:uid="{0871F455-9A66-4E2D-81ED-489156600DBA}"/>
    <cellStyle name="Millares 4 2 3 3" xfId="1440" xr:uid="{8AFAB703-1424-4E28-8BA1-2D5E39094557}"/>
    <cellStyle name="Millares 4 2 3 4" xfId="1179" xr:uid="{7DF77890-7DB1-4042-B2E4-396EF76EC960}"/>
    <cellStyle name="Millares 4 2 4" xfId="973" xr:uid="{87726AB0-B3C3-4820-B026-C66DCF943814}"/>
    <cellStyle name="Millares 4 2 4 2" xfId="1568" xr:uid="{01D45EAA-100B-42AC-B8BB-D974A9C9A385}"/>
    <cellStyle name="Millares 4 2 4 3" xfId="1217" xr:uid="{1D082037-0ED5-4E5B-8614-E97D377A22C5}"/>
    <cellStyle name="Millares 4 2 5" xfId="1362" xr:uid="{CEE670A0-F78A-45CD-8B50-5BF94BEA600E}"/>
    <cellStyle name="Millares 4 2 6" xfId="1147" xr:uid="{A2B2E265-4148-41C5-A70F-7E587650E55B}"/>
    <cellStyle name="Millares 4 3" xfId="173" xr:uid="{C2E2664A-4CF3-4070-9479-4CD5E4F5E7AA}"/>
    <cellStyle name="Millares 4 4" xfId="164" xr:uid="{BD172325-9D01-4020-A42A-D712CE664C53}"/>
    <cellStyle name="Millares 4 4 2" xfId="268" xr:uid="{DA2131CF-7FF4-43C7-8C52-E7515DB5E7E3}"/>
    <cellStyle name="Millares 4 4 2 2" xfId="988" xr:uid="{FE8F96CB-4751-4586-A57C-E2459707CD67}"/>
    <cellStyle name="Millares 4 4 2 2 2" xfId="1583" xr:uid="{FC4555DA-87B3-4AF9-B5EF-E6CF10289DE8}"/>
    <cellStyle name="Millares 4 4 2 2 3" xfId="1231" xr:uid="{3F21BE6F-85C1-4439-BD66-FCD96B97D768}"/>
    <cellStyle name="Millares 4 4 2 3" xfId="1422" xr:uid="{E972CE88-88A7-44B9-92F1-2286DC2286FD}"/>
    <cellStyle name="Millares 4 4 2 4" xfId="1161" xr:uid="{9DC0F3FF-D474-474F-808F-129273620280}"/>
    <cellStyle name="Millares 4 4 3" xfId="289" xr:uid="{2A1A3450-7712-481A-8D92-409F7C425A66}"/>
    <cellStyle name="Millares 4 4 3 2" xfId="1004" xr:uid="{8A9F6CDD-9F76-4D3D-BBEC-D96661CD3FC5}"/>
    <cellStyle name="Millares 4 4 3 2 2" xfId="1599" xr:uid="{F1B64087-51DB-43AD-B485-B162255E80B6}"/>
    <cellStyle name="Millares 4 4 3 2 3" xfId="1247" xr:uid="{9FA1D17E-BDCD-4AA9-82DE-B7E3BB1AA6CD}"/>
    <cellStyle name="Millares 4 4 3 3" xfId="1438" xr:uid="{CB9590BE-BA21-400E-A7EB-C565661DAE86}"/>
    <cellStyle name="Millares 4 4 3 4" xfId="1177" xr:uid="{3A5C16D6-9595-4201-8DAA-D7B99BDCC7B7}"/>
    <cellStyle name="Millares 4 4 4" xfId="971" xr:uid="{6CAF111C-B853-43CF-9DBF-1E0302222963}"/>
    <cellStyle name="Millares 4 4 4 2" xfId="1566" xr:uid="{F23BB474-9E09-419D-AB8D-E5910935C0A9}"/>
    <cellStyle name="Millares 4 4 4 3" xfId="1215" xr:uid="{95B6B414-1C2A-45C8-A226-869A0058089D}"/>
    <cellStyle name="Millares 4 4 5" xfId="1359" xr:uid="{7273E3F6-E5B3-478A-A2E4-D85B90D9545C}"/>
    <cellStyle name="Millares 4 4 6" xfId="1145" xr:uid="{CBE2419E-1D82-4549-AC42-B1EE80B1F798}"/>
    <cellStyle name="Millares 40" xfId="76" xr:uid="{0948C6B9-45E5-4B35-B0B9-9D85630FDD32}"/>
    <cellStyle name="Millares 41" xfId="69" xr:uid="{B5DC5CF2-69F7-4423-8FA4-9576610BC3DA}"/>
    <cellStyle name="Millares 41 2" xfId="1142" xr:uid="{D5CFE6A1-1B37-40DD-95F5-02B0DE47DA0B}"/>
    <cellStyle name="Millares 42" xfId="1110" xr:uid="{370192AC-7199-4E99-ABF2-FDFB6F0675E7}"/>
    <cellStyle name="Millares 43" xfId="1114" xr:uid="{DCB7B48C-514A-4BCC-9B55-270E0F34D164}"/>
    <cellStyle name="Millares 43 2" xfId="1636" xr:uid="{F374D6B9-78E2-4C15-87F7-93D93F0D0229}"/>
    <cellStyle name="Millares 43 3" xfId="1285" xr:uid="{87720B2B-AD72-4D0F-A52D-983290E01AE6}"/>
    <cellStyle name="Millares 44" xfId="1117" xr:uid="{4F94EE51-9233-4E35-B3EA-B668A741F59C}"/>
    <cellStyle name="Millares 44 2" xfId="1639" xr:uid="{EBF51649-62D5-4CAF-BDD4-7883051C0382}"/>
    <cellStyle name="Millares 44 3" xfId="1288" xr:uid="{D37D8769-5D75-474D-B3B5-EA4254A108F2}"/>
    <cellStyle name="Millares 45" xfId="1119" xr:uid="{A9808E52-6C4F-4862-946A-293528CFE11E}"/>
    <cellStyle name="Millares 45 2" xfId="1641" xr:uid="{F66603AF-354E-49FC-93FE-D42933BB2A79}"/>
    <cellStyle name="Millares 45 3" xfId="1290" xr:uid="{FE8482A8-C4DB-4276-8E19-02D7A0253906}"/>
    <cellStyle name="Millares 46" xfId="1116" xr:uid="{9A58CAA7-159D-423A-BD80-70BEF8686FE8}"/>
    <cellStyle name="Millares 46 2" xfId="1638" xr:uid="{4DDB4998-4A22-44E4-8FCD-D4B5C241966B}"/>
    <cellStyle name="Millares 46 3" xfId="1287" xr:uid="{A9259463-56B0-49A2-916D-8814018DD878}"/>
    <cellStyle name="Millares 47" xfId="1118" xr:uid="{5D25A802-312B-402A-8B82-5C0A4E36EBE2}"/>
    <cellStyle name="Millares 47 2" xfId="1640" xr:uid="{2333180D-5F78-4825-A8C7-5ABC09226F3C}"/>
    <cellStyle name="Millares 47 3" xfId="1289" xr:uid="{CEF37555-533C-42C7-9BAB-4ADF0E064027}"/>
    <cellStyle name="Millares 48" xfId="1120" xr:uid="{7C9B3316-2414-4AF9-8B24-43E4C0CF6961}"/>
    <cellStyle name="Millares 48 2" xfId="1642" xr:uid="{CEE6097A-0F7B-450B-AAC8-64B21CDD85B4}"/>
    <cellStyle name="Millares 48 3" xfId="1291" xr:uid="{8E1BE74D-96D6-41D8-89FF-EFD9D978CAF4}"/>
    <cellStyle name="Millares 49" xfId="1115" xr:uid="{F63B33B9-2807-4E7D-8A2A-47DE84D0C8AE}"/>
    <cellStyle name="Millares 49 2" xfId="1637" xr:uid="{8DCFA16A-9F07-4C27-9CC6-35DAD64BE29A}"/>
    <cellStyle name="Millares 49 3" xfId="1286" xr:uid="{A35693FB-57CE-43FF-9AE5-59E4789E7710}"/>
    <cellStyle name="Millares 5" xfId="65" xr:uid="{15BB4886-C539-485A-9C53-95B5A1EE5450}"/>
    <cellStyle name="Millares 50" xfId="1113" xr:uid="{FAA52508-0F4E-45FF-8272-5CCF0F43ECC7}"/>
    <cellStyle name="Millares 50 2" xfId="1635" xr:uid="{FEB14296-A048-4655-B924-7FEC72A4D6D4}"/>
    <cellStyle name="Millares 50 3" xfId="1284" xr:uid="{E877691B-AEEE-4A73-8D93-D1C6170054B7}"/>
    <cellStyle name="Millares 51" xfId="1121" xr:uid="{BDB8D9D3-962A-40E7-BEDF-B02D87959D3A}"/>
    <cellStyle name="Millares 51 2" xfId="1643" xr:uid="{3AB753CD-FBC6-4DA6-9BDB-B30BDFBAD1D1}"/>
    <cellStyle name="Millares 51 3" xfId="1292" xr:uid="{2A6DB92A-1990-4DEE-B41E-21D9C0941297}"/>
    <cellStyle name="Millares 52" xfId="1122" xr:uid="{B8F3CCE1-A101-40F2-BF8B-5EEE79E46634}"/>
    <cellStyle name="Millares 52 2" xfId="1644" xr:uid="{D6207C34-533A-4203-9B51-F1C5CE5002C0}"/>
    <cellStyle name="Millares 52 3" xfId="1293" xr:uid="{405DC8F9-6D4B-4B7B-BAD0-DCCE93CA7591}"/>
    <cellStyle name="Millares 53" xfId="1123" xr:uid="{5D402A72-93A5-4458-B214-A57031DD4A38}"/>
    <cellStyle name="Millares 53 2" xfId="1645" xr:uid="{60E52183-D304-4306-9657-46D92FFC5230}"/>
    <cellStyle name="Millares 53 3" xfId="1294" xr:uid="{DB52B02D-5098-438E-95CF-E777AFC2131A}"/>
    <cellStyle name="Millares 54" xfId="1124" xr:uid="{98D1D87F-BA38-452A-B5AA-AE721E1B7564}"/>
    <cellStyle name="Millares 54 2" xfId="1646" xr:uid="{E3E01EEF-A002-4CE0-BCD5-FD0B35944E90}"/>
    <cellStyle name="Millares 54 3" xfId="1295" xr:uid="{D44B0202-15A4-4E6B-8646-275938D2F8A9}"/>
    <cellStyle name="Millares 55" xfId="1125" xr:uid="{C3578EDB-F8CF-4425-BD14-8ACD01926D2F}"/>
    <cellStyle name="Millares 56" xfId="1127" xr:uid="{36A82DE5-8A6C-4C08-BD19-C78E432D6708}"/>
    <cellStyle name="Millares 57" xfId="1128" xr:uid="{221BED2A-7447-43D1-91E6-5670595E9E6F}"/>
    <cellStyle name="Millares 58" xfId="1129" xr:uid="{55F8F703-6AF9-4299-8C6F-C27ED0D7C929}"/>
    <cellStyle name="Millares 59" xfId="1132" xr:uid="{ED22EEF4-331F-405A-8F0F-6E765F2604D4}"/>
    <cellStyle name="Millares 6" xfId="96" xr:uid="{6E229459-6873-49E2-93C6-90BB44156BCB}"/>
    <cellStyle name="Millares 60" xfId="1298" xr:uid="{7550700A-3321-45D9-853E-6A26DEEB7CCC}"/>
    <cellStyle name="Millares 61" xfId="1130" xr:uid="{CA7A17CB-BFA7-4020-BE29-AA35186788B6}"/>
    <cellStyle name="Millares 62" xfId="1212" xr:uid="{16A6ACF2-31BC-45C6-9995-863AD5242D2C}"/>
    <cellStyle name="Millares 63" xfId="1648" xr:uid="{B09D20DA-BE78-4A14-A24F-F616863F4958}"/>
    <cellStyle name="Millares 64" xfId="1651" xr:uid="{0B3E3402-54F9-4E00-9991-D1F5173C3B36}"/>
    <cellStyle name="Millares 65" xfId="1650" xr:uid="{FE064DEF-27EE-44E5-B607-4AD4272C5BF8}"/>
    <cellStyle name="Millares 66" xfId="1649" xr:uid="{85FC7E20-A379-4F9D-B2D2-3D9F72178E6E}"/>
    <cellStyle name="Millares 67" xfId="1652" xr:uid="{404D8FE5-F08B-42F6-AC78-FBA06C79C058}"/>
    <cellStyle name="Millares 68" xfId="1653" xr:uid="{36433DA6-2484-45E8-9893-97F9BD3A5651}"/>
    <cellStyle name="Millares 69" xfId="1654" xr:uid="{B0446234-F9C9-44AA-943F-13F62E9FA940}"/>
    <cellStyle name="Millares 7" xfId="98" xr:uid="{C225A660-47C7-40C7-9DD1-95103FB6CFAD}"/>
    <cellStyle name="Millares 70" xfId="1655" xr:uid="{5DDAA6AE-8DE6-4C78-BEA7-994E0E27E0E1}"/>
    <cellStyle name="Millares 71" xfId="1657" xr:uid="{798490FD-2899-43AD-8E4B-AB9F255457D5}"/>
    <cellStyle name="Millares 72" xfId="1656" xr:uid="{6C6DC15F-6F2A-430C-9080-098E61FA991C}"/>
    <cellStyle name="Millares 73" xfId="1658" xr:uid="{4A6FE241-5206-4C0F-88C8-422E45BADA05}"/>
    <cellStyle name="Millares 74" xfId="1660" xr:uid="{7F8A18F5-5B5A-4A31-8E5E-EC2F0B5E4A73}"/>
    <cellStyle name="Millares 75" xfId="1662" xr:uid="{FD4B406C-783A-400F-B33B-EFDCB7929B22}"/>
    <cellStyle name="Millares 76" xfId="1663" xr:uid="{7513818D-532B-45E4-88C3-91922405D485}"/>
    <cellStyle name="Millares 77" xfId="1664" xr:uid="{DFAAE565-25D5-4D0D-A98F-3E953A5EE174}"/>
    <cellStyle name="Millares 78" xfId="1668" xr:uid="{A2C1BF97-F5EF-4543-BE39-FF0454EF77FE}"/>
    <cellStyle name="Millares 79" xfId="1661" xr:uid="{922539F9-0586-44FB-8EF3-C74E400F7FBF}"/>
    <cellStyle name="Millares 8" xfId="142" xr:uid="{4DE99E6F-32CB-4917-8997-21F1FEFE272E}"/>
    <cellStyle name="Millares 80" xfId="1666" xr:uid="{5C606BF4-0402-42C5-B8F6-51FE2CEF7AFD}"/>
    <cellStyle name="Millares 81" xfId="1667" xr:uid="{DA7EB266-FAB5-4CC1-B1C6-A41041A94711}"/>
    <cellStyle name="Millares 82" xfId="1669" xr:uid="{F9DA3529-ECC6-4BEB-95AE-88C2B002E5FA}"/>
    <cellStyle name="Millares 83" xfId="1670" xr:uid="{64F67081-FA40-4B5A-8306-C011F6FC5033}"/>
    <cellStyle name="Millares 84" xfId="1673" xr:uid="{46E2C89E-634D-4A8B-BBB9-66E3EC06337E}"/>
    <cellStyle name="Millares 85" xfId="1671" xr:uid="{CD45A8C3-6BA5-48D9-B593-BAC86E7A3EE0}"/>
    <cellStyle name="Millares 86" xfId="1674" xr:uid="{AC72B897-EAA1-47D3-9A3C-69D7C920466F}"/>
    <cellStyle name="Millares 87" xfId="1675" xr:uid="{4FC125FD-5160-42B7-A286-0DFB50AED607}"/>
    <cellStyle name="Millares 88" xfId="1676" xr:uid="{6534A195-F1EC-4D84-96EE-8560A0218FAF}"/>
    <cellStyle name="Millares 89" xfId="1672" xr:uid="{493FC8FD-7789-4C43-AB1C-76801D6910BE}"/>
    <cellStyle name="Millares 9" xfId="144" xr:uid="{7B89C044-3DCE-4C81-8EAF-3C86AE351E9B}"/>
    <cellStyle name="Millares 90" xfId="1677" xr:uid="{DF829BD1-7739-4820-972F-20335FC2B870}"/>
    <cellStyle name="Millares 91" xfId="1679" xr:uid="{63903AE8-11CC-49C2-9C37-377F8BCF1FF2}"/>
    <cellStyle name="Millares 92" xfId="1680" xr:uid="{52EFAEFC-1FF8-4C66-8D1C-3531766BF197}"/>
    <cellStyle name="Millares 93" xfId="1681" xr:uid="{43AA2ECC-2325-460D-9B25-6510F7E7FCD2}"/>
    <cellStyle name="Millares 94" xfId="1685" xr:uid="{AEF8622A-5578-4ED3-A46D-C488B1E25B1F}"/>
    <cellStyle name="Millares 95" xfId="1683" xr:uid="{5232C772-4107-40D2-9AD2-924DE0AF9D15}"/>
    <cellStyle name="Millares 96" xfId="1682" xr:uid="{A4A4DB24-5CE8-4DAC-B1CC-AC5B5AF4F881}"/>
    <cellStyle name="Millares 97" xfId="1684" xr:uid="{F844565C-B932-466B-9C8B-755DBC7B6597}"/>
    <cellStyle name="Millares 98" xfId="1686" xr:uid="{F77CBB8A-A4E2-4206-912B-E4552EEE28CC}"/>
    <cellStyle name="Millares 99" xfId="1688" xr:uid="{90309212-F1F0-4E78-9F4A-4EA81D0F5E27}"/>
    <cellStyle name="Moneda 2" xfId="67" xr:uid="{802D63F3-1CAF-468F-ADC5-3BDD924CE421}"/>
    <cellStyle name="Moneda 2 2" xfId="1022" xr:uid="{692FCA9D-8929-41A8-9DE0-2488FD2B0F76}"/>
    <cellStyle name="Moneda 2 2 2" xfId="1617" xr:uid="{13DC8246-0333-4CCC-B1F4-0324D6403C29}"/>
    <cellStyle name="Moneda 2 2 3" xfId="1265" xr:uid="{64031B0D-7D2B-4EAE-9D1C-7CDB4950072C}"/>
    <cellStyle name="Moneda 2 3" xfId="409" xr:uid="{47FD9374-1036-4D0A-82C6-3404EEA49803}"/>
    <cellStyle name="Moneda 2 3 2" xfId="1472" xr:uid="{016198F3-FAFB-4E56-BCC4-A6CDA384E64F}"/>
    <cellStyle name="Moneda 2 3 3" xfId="1195" xr:uid="{7E5167FA-D564-4C93-A57B-773322C4C705}"/>
    <cellStyle name="Moneda 2 4" xfId="1126" xr:uid="{44BA38E0-520F-4876-863C-AD70F1A14E3D}"/>
    <cellStyle name="Moneda 2 4 2" xfId="1647" xr:uid="{7786EAF2-AADB-43F6-8858-C7EA72457482}"/>
    <cellStyle name="Moneda 2 4 3" xfId="1296" xr:uid="{4B876971-28E0-4B00-9E27-4921CBDCC766}"/>
    <cellStyle name="Moneda 2 5" xfId="1303" xr:uid="{164048F3-34CF-4981-A685-885E8110D073}"/>
    <cellStyle name="Moneda 2 6" xfId="1140" xr:uid="{30B7DC33-1EE4-47E2-840C-A44303BDAA31}"/>
    <cellStyle name="Moneda 3" xfId="1112" xr:uid="{5C84A135-757C-4F4C-9FF0-33A3AD52A27F}"/>
    <cellStyle name="Moneda 3 2" xfId="1634" xr:uid="{DD75E8A4-E488-4C3A-BA8C-0642AA1C60D3}"/>
    <cellStyle name="Moneda 3 3" xfId="1283" xr:uid="{A70B7439-4CF3-4743-BCC7-65C91313F665}"/>
    <cellStyle name="Moneda 4" xfId="1659" xr:uid="{0237067C-05DB-44F6-97C1-8EBED1EA42E7}"/>
    <cellStyle name="Monetario" xfId="705" xr:uid="{4CF7509E-24ED-4703-B3E6-E1DC982F3176}"/>
    <cellStyle name="Monetario0" xfId="706" xr:uid="{E6FB370C-56BB-4F7A-B1B3-1A99DF024DF2}"/>
    <cellStyle name="Neutral 2" xfId="105" xr:uid="{BFF80ED8-FBE0-44A6-AFF2-69FBBDF34AFE}"/>
    <cellStyle name="Neutral 2 2" xfId="707" xr:uid="{A9C28DDF-4359-4A67-99AD-C707F9FCC943}"/>
    <cellStyle name="Neutral 2 3" xfId="357" xr:uid="{38395E22-2DA8-44B7-966A-6E5C1C736BA7}"/>
    <cellStyle name="Neutral 3" xfId="708" xr:uid="{26A88C19-4DB5-4863-AEDE-A5FBD3126536}"/>
    <cellStyle name="Neutral 4" xfId="894" xr:uid="{40DD1065-27C9-41DA-B89D-39C878E58CE2}"/>
    <cellStyle name="Neutral 5" xfId="77" xr:uid="{542D5FA8-F53B-4597-BA80-17E79BF0A4CB}"/>
    <cellStyle name="no decimales" xfId="709" xr:uid="{B69C38A7-B47B-43B8-BA34-C60AC5C1C021}"/>
    <cellStyle name="No-definido" xfId="358" xr:uid="{2D08B129-06C1-4708-BB50-76D99C4ECE24}"/>
    <cellStyle name="Non défini" xfId="359" xr:uid="{C60DEF09-4DED-42B0-80D5-A69A60ECE53D}"/>
    <cellStyle name="Normal" xfId="0" builtinId="0"/>
    <cellStyle name="Normal 10" xfId="89" xr:uid="{7DA57455-1BB8-42A9-8D55-EC4CC5D098E1}"/>
    <cellStyle name="Normal 10 2" xfId="143" xr:uid="{2449A3BD-7230-43A2-ABD2-60FD7DF80881}"/>
    <cellStyle name="Normal 10 2 2" xfId="253" xr:uid="{F169161D-51BD-497C-A3D0-956E43C96EDB}"/>
    <cellStyle name="Normal 10 2 2 2" xfId="1416" xr:uid="{C660DF41-6128-4D67-AE2E-CF0FAFE47912}"/>
    <cellStyle name="Normal 10 2 3" xfId="465" xr:uid="{317621A4-1698-481B-8A8B-3C3A7C955557}"/>
    <cellStyle name="Normal 10 2 4" xfId="1351" xr:uid="{0D2C4E02-ADA7-4788-9E3B-4DB4C2EB445E}"/>
    <cellStyle name="Normal 10 3" xfId="211" xr:uid="{DA2DB26E-6720-4437-BA07-50BD74F89A58}"/>
    <cellStyle name="Normal 10 3 2" xfId="282" xr:uid="{032EA0AF-B931-4CBB-B36B-6EA50AE244F9}"/>
    <cellStyle name="Normal 10 4" xfId="182" xr:uid="{B2EB4C06-499B-4FCD-B57A-D0E13F86D9F3}"/>
    <cellStyle name="Normal 10 4 2" xfId="395" xr:uid="{60A08614-E6F8-4F09-BDAE-57C4DDB546F0}"/>
    <cellStyle name="Normal 10 4 2 2" xfId="1458" xr:uid="{DC6B6C4E-24B0-4FC4-8EC6-3A933D084515}"/>
    <cellStyle name="Normal 11" xfId="135" xr:uid="{CA25B272-BF1B-4F7B-A293-910661B48B94}"/>
    <cellStyle name="Normal 11 2" xfId="247" xr:uid="{D352C514-C9F9-4871-A194-9618A550F805}"/>
    <cellStyle name="Normal 11 2 2" xfId="895" xr:uid="{7F1D2187-27A6-48D5-BEE7-1B97FDFD35D7}"/>
    <cellStyle name="Normal 11 2 2 2" xfId="1548" xr:uid="{959CB672-15DA-4321-9C50-5817A71FD2E3}"/>
    <cellStyle name="Normal 11 2 3" xfId="1411" xr:uid="{72945B87-105A-4FD9-9E18-6C6631B2B4D7}"/>
    <cellStyle name="Normal 11 3" xfId="190" xr:uid="{C65DB11E-A1B2-4FC9-A16F-67606C17909A}"/>
    <cellStyle name="Normal 11 3 2" xfId="464" xr:uid="{CD2B5F97-796F-4F92-A2AF-4776DAA4EBB9}"/>
    <cellStyle name="Normal 11 3 2 2" xfId="1473" xr:uid="{7FD2D5C7-D8E8-4823-9D8F-4CCF5D400F75}"/>
    <cellStyle name="Normal 11 4" xfId="1346" xr:uid="{A3595ECB-50DF-4986-84C9-081CC8B2332F}"/>
    <cellStyle name="Normal 12" xfId="86" xr:uid="{BDCCCE37-38C6-42C2-BF46-73742338A51F}"/>
    <cellStyle name="Normal 12 2" xfId="208" xr:uid="{DB49875F-B215-42DB-8468-A4E01321AB56}"/>
    <cellStyle name="Normal 12 2 2" xfId="896" xr:uid="{DBE8DD4B-F67F-4026-8179-1DBEA900C7D7}"/>
    <cellStyle name="Normal 12 2 2 2" xfId="1549" xr:uid="{D1BDCB14-477B-4C4E-BD4A-724961CE8483}"/>
    <cellStyle name="Normal 12 3" xfId="153" xr:uid="{B591F04B-02C6-4E30-849D-755586656112}"/>
    <cellStyle name="Normal 12 3 2" xfId="1354" xr:uid="{FEC282C4-8CDB-4814-B594-B0456CF75B12}"/>
    <cellStyle name="Normal 12 4" xfId="1665" xr:uid="{1F818ED8-9531-4EFB-93EF-81DED86E26F1}"/>
    <cellStyle name="Normal 13" xfId="108" xr:uid="{5F2481F5-EE40-44CB-B53F-5B7944CE2397}"/>
    <cellStyle name="Normal 13 2" xfId="466" xr:uid="{6CCE7FEA-D7CA-417C-B551-8204F1FB54EF}"/>
    <cellStyle name="Normal 13 2 2" xfId="1474" xr:uid="{30881DE6-4F76-4F30-8C7B-55BD8F062273}"/>
    <cellStyle name="Normal 14" xfId="206" xr:uid="{60D37694-345E-4985-B0B6-62AB730C415E}"/>
    <cellStyle name="Normal 14 2" xfId="305" xr:uid="{4CA1A680-4989-4C82-9FA1-CAAEDCD96AF6}"/>
    <cellStyle name="Normal 14 2 2" xfId="1453" xr:uid="{8F68A43F-742D-46CD-9663-911AEFF07550}"/>
    <cellStyle name="Normal 14 3" xfId="1379" xr:uid="{B15A3658-3A04-4BEA-8E65-CAA21258250D}"/>
    <cellStyle name="Normal 15" xfId="150" xr:uid="{815339BD-F379-41C8-88C7-A6901C4D1D7A}"/>
    <cellStyle name="Normal 15 2" xfId="467" xr:uid="{9C3E5A54-5B83-452B-B49E-25AD8A7DFB1E}"/>
    <cellStyle name="Normal 15 2 2" xfId="1475" xr:uid="{9430E9FD-5D22-48BD-B3C3-3541933D0F56}"/>
    <cellStyle name="Normal 15 3" xfId="968" xr:uid="{91DC3DFE-E0FF-452E-83DD-4551472BC03C}"/>
    <cellStyle name="Normal 16" xfId="469" xr:uid="{E60C2643-501C-4002-B54D-6E05A5B535A1}"/>
    <cellStyle name="Normal 16 2" xfId="1476" xr:uid="{8519F897-5A2D-4A44-816B-8FE91BE3FF4D}"/>
    <cellStyle name="Normal 17" xfId="931" xr:uid="{F505D244-0E1E-4BE6-9A8F-0A29D52FC20A}"/>
    <cellStyle name="Normal 17 2" xfId="1558" xr:uid="{F17879F1-6709-4C29-A4B9-A016C420F08F}"/>
    <cellStyle name="Normal 18" xfId="932" xr:uid="{7381360C-FBFB-4A17-824E-A34FAEA63965}"/>
    <cellStyle name="Normal 18 2" xfId="1559" xr:uid="{68045DEC-7C8E-4155-9C46-C55D2C6E6841}"/>
    <cellStyle name="Normal 19" xfId="960" xr:uid="{FFCEFAA8-61D1-41EE-928A-AB87ACF2074C}"/>
    <cellStyle name="Normal 19 2" xfId="1560" xr:uid="{93FBEA05-A0BF-4ABF-AAC9-7DFAAF5FCFDF}"/>
    <cellStyle name="Normal 2" xfId="2" xr:uid="{00000000-0005-0000-0000-000007000000}"/>
    <cellStyle name="Normal 2 10" xfId="88" xr:uid="{6BC4FCCB-AB69-446E-9AB5-42AC4AD02477}"/>
    <cellStyle name="Normal 2 2" xfId="7" xr:uid="{00000000-0005-0000-0000-000008000000}"/>
    <cellStyle name="Normal 2 2 10" xfId="963" xr:uid="{A58C9FFA-49E5-4051-8722-07EFC29F8EB7}"/>
    <cellStyle name="Normal 2 2 10 2" xfId="1562" xr:uid="{4E3ACB87-EDD1-4F3B-A1C5-1EB1DF539916}"/>
    <cellStyle name="Normal 2 2 11" xfId="91" xr:uid="{37A1D779-6D50-4F91-BFA0-BBF7A7DC059B}"/>
    <cellStyle name="Normal 2 2 11 2" xfId="1324" xr:uid="{B7EDB55C-4976-4EE3-8E62-AD856CD1C332}"/>
    <cellStyle name="Normal 2 2 12" xfId="1135" xr:uid="{9B57ECBF-8597-48B4-9530-D81320C9254C}"/>
    <cellStyle name="Normal 2 2 13" xfId="1300" xr:uid="{ADAFDAF8-B946-4B09-81A4-B787DD9E7ED2}"/>
    <cellStyle name="Normal 2 2 14" xfId="58" xr:uid="{2E28C910-E7E1-4AF8-B04A-E74DDAABBA72}"/>
    <cellStyle name="Normal 2 2 2" xfId="118" xr:uid="{A0833CBC-C3FD-4F85-81E5-1FCBB501EA3E}"/>
    <cellStyle name="Normal 2 2 2 2" xfId="124" xr:uid="{18B115B9-6C24-46A0-B153-72C4FAFFA3B4}"/>
    <cellStyle name="Normal 2 2 2 2 2" xfId="239" xr:uid="{DFF612D9-CD7B-48FA-A51C-7762C96C61E0}"/>
    <cellStyle name="Normal 2 2 2 2 2 2" xfId="1404" xr:uid="{EF5DFCAB-1A76-49F8-BB2C-E1668A72B15B}"/>
    <cellStyle name="Normal 2 2 2 2 3" xfId="1336" xr:uid="{072E3FB5-2969-4B74-901F-20CB6803DA4B}"/>
    <cellStyle name="Normal 2 2 2 3" xfId="128" xr:uid="{5F815F49-55F7-4D2F-A2E6-2E5C984E0CB5}"/>
    <cellStyle name="Normal 2 2 2 3 2" xfId="1339" xr:uid="{1FBB3A48-4CF7-4A8A-9859-BB57E8FF1109}"/>
    <cellStyle name="Normal 2 2 2 4" xfId="134" xr:uid="{B8357839-D660-4CD5-B1BD-C8DE7FE6E7F2}"/>
    <cellStyle name="Normal 2 2 2 4 2" xfId="1345" xr:uid="{1F765B9E-603D-4655-8711-212E3F8E0213}"/>
    <cellStyle name="Normal 2 2 2 5" xfId="233" xr:uid="{D32F3F0B-6BEC-414E-95B5-5F472839FAB8}"/>
    <cellStyle name="Normal 2 2 2 5 2" xfId="1398" xr:uid="{3CAC38BE-77EC-4C70-8AF6-B324339CAC05}"/>
    <cellStyle name="Normal 2 2 2 6" xfId="710" xr:uid="{AFA3D3AD-BB40-48A9-9EB6-26E8C5CC1A6E}"/>
    <cellStyle name="Normal 2 2 2 7" xfId="1330" xr:uid="{52DB5401-8A40-4465-BCA7-F14B4BBC64E2}"/>
    <cellStyle name="Normal 2 2 3" xfId="121" xr:uid="{3FC875EE-17BE-45E9-8236-904AFCC88885}"/>
    <cellStyle name="Normal 2 2 3 2" xfId="236" xr:uid="{AE920610-D952-44FE-944A-969D7CDE0373}"/>
    <cellStyle name="Normal 2 2 3 2 2" xfId="1401" xr:uid="{E82096F3-60A0-486A-A0DE-A354F2AC5A9A}"/>
    <cellStyle name="Normal 2 2 3 3" xfId="711" xr:uid="{29EF0C69-E32D-4900-B96C-C222D5B5F8B9}"/>
    <cellStyle name="Normal 2 2 3 4" xfId="1333" xr:uid="{0B6A8D3E-D957-45BB-A28F-7AAF6E6F9B3F}"/>
    <cellStyle name="Normal 2 2 4" xfId="125" xr:uid="{29D892D5-BEC6-4769-81A7-E93DE0763807}"/>
    <cellStyle name="Normal 2 2 4 2" xfId="240" xr:uid="{10326C5C-3DD1-4277-A1EE-C9747C58A36A}"/>
    <cellStyle name="Normal 2 2 4 2 2" xfId="1405" xr:uid="{8CDF7D61-8488-43B8-B79D-AF1979059BFA}"/>
    <cellStyle name="Normal 2 2 4 3" xfId="930" xr:uid="{F57AD8A1-5583-44C1-B696-1D4482EF4CCD}"/>
    <cellStyle name="Normal 2 2 4 4" xfId="1337" xr:uid="{639C7F22-67CB-4310-80E2-4F80BEC6A5DA}"/>
    <cellStyle name="Normal 2 2 5" xfId="131" xr:uid="{5E47CCCD-67A7-4F7F-A66A-13D413526898}"/>
    <cellStyle name="Normal 2 2 5 2" xfId="245" xr:uid="{E0C9E75D-AA1D-48D0-A9F7-E2B78A7F828A}"/>
    <cellStyle name="Normal 2 2 5 2 2" xfId="1409" xr:uid="{8F8AD879-3F63-4A4E-BF56-133EA20F98D2}"/>
    <cellStyle name="Normal 2 2 5 3" xfId="198" xr:uid="{6E932F8C-4120-4DB8-9668-60630F2758EA}"/>
    <cellStyle name="Normal 2 2 5 4" xfId="1342" xr:uid="{81AAE696-D397-4581-803E-8B0A00CCE8C9}"/>
    <cellStyle name="Normal 2 2 6" xfId="140" xr:uid="{2735F1F3-B703-4FC7-8392-DC4884C02FAA}"/>
    <cellStyle name="Normal 2 2 6 2" xfId="251" xr:uid="{BD4EA5B8-E1DD-40BC-916D-F598E8244116}"/>
    <cellStyle name="Normal 2 2 6 2 2" xfId="1414" xr:uid="{944E358F-CCD5-42AC-8D83-1D2BC739C1C0}"/>
    <cellStyle name="Normal 2 2 6 3" xfId="1349" xr:uid="{3CE5BDA8-5A09-4136-9481-A1C7840699EB}"/>
    <cellStyle name="Normal 2 2 7" xfId="145" xr:uid="{803519E1-314C-4417-BD5C-09443C79235D}"/>
    <cellStyle name="Normal 2 2 8" xfId="213" xr:uid="{F1C34E32-2125-4E37-926A-1D8B9E1668D0}"/>
    <cellStyle name="Normal 2 2 8 2" xfId="1382" xr:uid="{E7D8D1CC-2F4C-4177-9EC0-1AB728C45D19}"/>
    <cellStyle name="Normal 2 2 9" xfId="319" xr:uid="{BF92D093-7758-454F-8940-CE16774781BB}"/>
    <cellStyle name="Normal 2 3" xfId="16" xr:uid="{6238C3B6-5F52-4EBF-ABA0-7D6F1AD6E1DA}"/>
    <cellStyle name="Normal 2 3 2" xfId="126" xr:uid="{AA7BB35E-73B8-44E9-9FC6-22CA4F2D166F}"/>
    <cellStyle name="Normal 2 3 2 2" xfId="241" xr:uid="{2D6D8A3B-64C5-47A0-A4D0-ACA6BAC7BFA4}"/>
    <cellStyle name="Normal 2 3 2 3" xfId="193" xr:uid="{B678FAEC-F331-4235-9E21-AD7EE4910166}"/>
    <cellStyle name="Normal 2 3 2 3 2" xfId="713" xr:uid="{42410B07-B4F3-4503-BA18-8D7E523365BA}"/>
    <cellStyle name="Normal 2 3 3" xfId="113" xr:uid="{2EF9AC39-2D63-427E-9C87-CC2A6E5DBEBE}"/>
    <cellStyle name="Normal 2 3 3 2" xfId="230" xr:uid="{81CEAAA2-79D7-49DA-AFDA-E3C379051381}"/>
    <cellStyle name="Normal 2 3 3 3" xfId="201" xr:uid="{2061EA0B-6356-4474-A308-8DE2B915A96A}"/>
    <cellStyle name="Normal 2 3 4" xfId="158" xr:uid="{E8597FCF-2514-411E-AC84-2C936F9D3665}"/>
    <cellStyle name="Normal 2 3 5" xfId="264" xr:uid="{D8461215-7456-421E-B94B-6D8E021491BD}"/>
    <cellStyle name="Normal 2 3 5 2" xfId="712" xr:uid="{61D459C5-ABB5-400C-A4C0-0DF11F9162C4}"/>
    <cellStyle name="Normal 2 4" xfId="90" xr:uid="{32C9690E-4274-4C03-9C77-3BC3F02A0373}"/>
    <cellStyle name="Normal 2 4 2" xfId="122" xr:uid="{A9A90A01-728E-45A4-BA64-FCC499EB7F67}"/>
    <cellStyle name="Normal 2 4 2 2" xfId="237" xr:uid="{D0D21174-9075-4FBD-A843-A06B2DC568CC}"/>
    <cellStyle name="Normal 2 4 2 2 2" xfId="1402" xr:uid="{17089CBC-EC71-461B-B1E9-6B461F36D2C4}"/>
    <cellStyle name="Normal 2 4 2 3" xfId="1334" xr:uid="{3FA6B95E-7025-4201-8B8F-1E7C9F57BF03}"/>
    <cellStyle name="Normal 2 4 3" xfId="132" xr:uid="{4E10B190-DDF3-49FD-9CC5-E2CA15BA46AC}"/>
    <cellStyle name="Normal 2 4 3 2" xfId="1343" xr:uid="{1217E00E-C77B-4802-AFD0-5E04FBFF9DA9}"/>
    <cellStyle name="Normal 2 4 4" xfId="139" xr:uid="{D4892CA1-0F20-4584-BD47-97E7642EA4DB}"/>
    <cellStyle name="Normal 2 4 5" xfId="116" xr:uid="{E545D767-D275-4AA9-86E7-A5D2C097A0C6}"/>
    <cellStyle name="Normal 2 4 5 2" xfId="1328" xr:uid="{3BA2AAA9-2EA4-425F-9BD5-C295A4994195}"/>
    <cellStyle name="Normal 2 4 6" xfId="212" xr:uid="{81C44E99-DEC0-468E-A517-2A858AEF4CF8}"/>
    <cellStyle name="Normal 2 4 7" xfId="286" xr:uid="{F71C65CA-9736-49E7-8E3B-02CF1431E80E}"/>
    <cellStyle name="Normal 2 4 7 2" xfId="714" xr:uid="{1E6F518C-6FA4-4FC4-8B67-904037EAF5C3}"/>
    <cellStyle name="Normal 2 4 7 2 2" xfId="1541" xr:uid="{313CB5DB-7DA9-4613-8C2E-669E5C4EE6F5}"/>
    <cellStyle name="Normal 2 5" xfId="119" xr:uid="{EEA39139-EEE8-4D3F-A2AA-126922AB1E29}"/>
    <cellStyle name="Normal 2 5 2" xfId="234" xr:uid="{CFC56498-702E-4C0D-BC32-5FFAD07168E9}"/>
    <cellStyle name="Normal 2 5 2 2" xfId="1399" xr:uid="{5EDE62A2-6FDE-4933-AD35-45FCF5FDA364}"/>
    <cellStyle name="Normal 2 5 3" xfId="1331" xr:uid="{22459855-7ED1-4654-9732-A60C5F50041B}"/>
    <cellStyle name="Normal 2 6" xfId="129" xr:uid="{BF28E187-3338-4244-A87A-55354F359933}"/>
    <cellStyle name="Normal 2 6 2" xfId="243" xr:uid="{2C049A36-CCE7-43D7-86FF-FE44E8C0EBBE}"/>
    <cellStyle name="Normal 2 6 2 2" xfId="1407" xr:uid="{32233645-7339-4D05-BC06-E87FF159BF4D}"/>
    <cellStyle name="Normal 2 6 3" xfId="197" xr:uid="{40D944D5-8725-4437-B3FF-7749AFDEFDE0}"/>
    <cellStyle name="Normal 2 6 4" xfId="1340" xr:uid="{149A0EE7-9088-4D6E-8E25-4D65F4EE82DF}"/>
    <cellStyle name="Normal 2 7" xfId="137" xr:uid="{E9A2BD8E-4191-47C0-9B19-B95EE715C335}"/>
    <cellStyle name="Normal 2 7 2" xfId="249" xr:uid="{D3B9405A-8C8A-45B2-89D8-2AFF4D0883BE}"/>
    <cellStyle name="Normal 2 7 3" xfId="204" xr:uid="{46C84839-EFA4-416C-BE9C-117341D64575}"/>
    <cellStyle name="Normal 2 8" xfId="148" xr:uid="{55D091EA-E8C9-48D2-A441-19B58986DBFA}"/>
    <cellStyle name="Normal 2 9" xfId="962" xr:uid="{757A9401-9753-4187-98EF-E752B2689319}"/>
    <cellStyle name="Normal 2_9189162_1" xfId="360" xr:uid="{61E8436D-7A5B-44F6-B5C3-ADC5CB56F216}"/>
    <cellStyle name="Normal 20" xfId="84" xr:uid="{FB1B5C2B-69EE-48B5-BEFA-8A80A29290FD}"/>
    <cellStyle name="Normal 20 2" xfId="1322" xr:uid="{AC088A4C-5F95-48D3-93D9-CF77EF6CD835}"/>
    <cellStyle name="Normal 21" xfId="70" xr:uid="{29D69BF6-48CB-4EAD-9F2A-2C9B5AB3B404}"/>
    <cellStyle name="Normal 22" xfId="68" xr:uid="{1264F6BB-E5DE-4E0F-9C55-F1C8A00B3C17}"/>
    <cellStyle name="Normal 22 2" xfId="1141" xr:uid="{28566AD1-5164-42DD-BBE1-9552635387BC}"/>
    <cellStyle name="Normal 23" xfId="1111" xr:uid="{085E1B13-F623-432E-B9E4-13BC652A1CC4}"/>
    <cellStyle name="Normal 23 2" xfId="1282" xr:uid="{79032CA2-3E45-4B1C-A331-7533C9BBA9E0}"/>
    <cellStyle name="Normal 24" xfId="1131" xr:uid="{4203ACBE-5489-4A3B-B4AC-495905ADE876}"/>
    <cellStyle name="Normal 25" xfId="1297" xr:uid="{E1BE64D2-1A89-4BA3-B481-080ABF6D1DDD}"/>
    <cellStyle name="Normal 26" xfId="53" xr:uid="{D3A05DD0-DC45-4CAE-AE7A-C21B04E7DACB}"/>
    <cellStyle name="Normal 3" xfId="4" xr:uid="{00000000-0005-0000-0000-000009000000}"/>
    <cellStyle name="Normal 3 2" xfId="114" xr:uid="{179A242A-FAC7-46B6-90F1-793201DB3D1C}"/>
    <cellStyle name="Normal 3 2 2" xfId="715" xr:uid="{84D2DCA5-1798-4FBE-AF56-2C7C9ED330C1}"/>
    <cellStyle name="Normal 3 3" xfId="117" xr:uid="{A43FD95E-9558-44DA-AD11-2D3C191E3CBB}"/>
    <cellStyle name="Normal 3 3 2" xfId="123" xr:uid="{1EE38256-D7A5-4194-9704-1188A2CBCEE5}"/>
    <cellStyle name="Normal 3 3 2 2" xfId="238" xr:uid="{2A1734ED-FEBD-4AF1-90EF-CC4A3134E605}"/>
    <cellStyle name="Normal 3 3 2 2 2" xfId="1403" xr:uid="{98DF9913-DD15-448A-B829-B35FA81B35DF}"/>
    <cellStyle name="Normal 3 3 2 3" xfId="716" xr:uid="{6338AB3E-0929-4F16-A66E-EBFD5DECE128}"/>
    <cellStyle name="Normal 3 3 2 4" xfId="1335" xr:uid="{5A6BEFBC-A76C-4D9F-A304-0CE0A9A2EDCF}"/>
    <cellStyle name="Normal 3 3 3" xfId="133" xr:uid="{2AEFE30E-0907-4334-872D-8C5B1D916C39}"/>
    <cellStyle name="Normal 3 3 3 2" xfId="246" xr:uid="{4FAB53C8-C49F-4584-BB81-3EE7AE8E9D58}"/>
    <cellStyle name="Normal 3 3 3 2 2" xfId="1410" xr:uid="{B359436B-B22D-467C-8B89-805CF733BEFB}"/>
    <cellStyle name="Normal 3 3 3 3" xfId="1344" xr:uid="{4F063C7F-3298-438D-828B-00D711A4AC1E}"/>
    <cellStyle name="Normal 3 3 4" xfId="232" xr:uid="{CED87CB5-E652-4675-9F53-F7441D386490}"/>
    <cellStyle name="Normal 3 3 4 2" xfId="1397" xr:uid="{8E037E2D-52AB-465D-A756-79B00A2EC1C0}"/>
    <cellStyle name="Normal 3 3 5" xfId="468" xr:uid="{B2106B27-25F1-4591-948D-6DEBC573D7D6}"/>
    <cellStyle name="Normal 3 3 6" xfId="1329" xr:uid="{33D768FB-F049-4B7E-AEAF-794FCF72A78C}"/>
    <cellStyle name="Normal 3 4" xfId="120" xr:uid="{3C358244-DDAE-44AB-8273-E9DFEF64D18F}"/>
    <cellStyle name="Normal 3 4 2" xfId="235" xr:uid="{10DE2D55-1733-402D-AFDE-BCCDF67B4070}"/>
    <cellStyle name="Normal 3 4 2 2" xfId="1400" xr:uid="{493108AA-5A02-4B35-B3AB-D343AB26EB74}"/>
    <cellStyle name="Normal 3 4 3" xfId="717" xr:uid="{0F65B1D4-364E-41C4-B254-0001A446CC49}"/>
    <cellStyle name="Normal 3 4 3 2" xfId="1542" xr:uid="{453D9726-2C53-4329-8923-188BC840184A}"/>
    <cellStyle name="Normal 3 4 4" xfId="1332" xr:uid="{1013B0D0-716E-4D38-A1B4-A6D3C419A7FC}"/>
    <cellStyle name="Normal 3 5" xfId="130" xr:uid="{6EB7EB27-FC10-4B34-ADFE-D913914B57E4}"/>
    <cellStyle name="Normal 3 5 2" xfId="244" xr:uid="{B43822F5-11F2-4C5E-96F2-0C13D7C359D0}"/>
    <cellStyle name="Normal 3 5 2 2" xfId="1408" xr:uid="{2C73B637-9141-4DF0-BCC9-E120F710E3EC}"/>
    <cellStyle name="Normal 3 5 3" xfId="1341" xr:uid="{B8806790-720C-4AEA-A037-40CC4AA5CFD3}"/>
    <cellStyle name="Normal 3 6" xfId="111" xr:uid="{16F51349-C482-4CE7-8E4E-4F6364FE7391}"/>
    <cellStyle name="Normal 3 6 2" xfId="1327" xr:uid="{8D6970E7-089E-465D-97A7-57FE9E7586CF}"/>
    <cellStyle name="Normal 3 7" xfId="361" xr:uid="{01229625-0455-455D-BBBE-211916E32D10}"/>
    <cellStyle name="Normal 3_ALICANTE" xfId="718" xr:uid="{738AB32C-8759-4AD7-A9E3-93B1C27AC465}"/>
    <cellStyle name="Normal 31" xfId="410" xr:uid="{1728A46C-A767-4A16-AAD2-9D9DADE86AF6}"/>
    <cellStyle name="Normal 34" xfId="411" xr:uid="{F248105F-07E0-483D-BF78-BFB08779F659}"/>
    <cellStyle name="Normal 36" xfId="306" xr:uid="{08243C57-74B6-4DD8-ABE1-CBE7A1F55DB2}"/>
    <cellStyle name="Normal 38" xfId="412" xr:uid="{7B7BF010-4845-48E5-9CDC-9700FBDC5F90}"/>
    <cellStyle name="Normal 39" xfId="413" xr:uid="{CEB6F0BA-FD46-4231-8C42-53565E8D8EE6}"/>
    <cellStyle name="Normal 4" xfId="9" xr:uid="{00000000-0005-0000-0000-00000A000000}"/>
    <cellStyle name="Normal 4 2" xfId="146" xr:uid="{BE4A1BED-14F8-4044-91C8-35E16E016EF7}"/>
    <cellStyle name="Normal 4 2 2" xfId="254" xr:uid="{1353DC5D-41BC-4CEC-A459-0F4DCBAE4B14}"/>
    <cellStyle name="Normal 4 2 2 2" xfId="720" xr:uid="{01A783AE-591F-428C-9136-8D45DCA99F1E}"/>
    <cellStyle name="Normal 4 2 2 2 2" xfId="1543" xr:uid="{2B533AFD-340E-4E9E-A804-8F65B56EF2C3}"/>
    <cellStyle name="Normal 4 2 2 3" xfId="1417" xr:uid="{CF20CD69-60D3-4493-AC3C-BD57E600E837}"/>
    <cellStyle name="Normal 4 2 3" xfId="160" xr:uid="{B82324B6-645D-4522-B18C-B0A98A06BB7E}"/>
    <cellStyle name="Normal 4 2 3 2" xfId="719" xr:uid="{2997F484-42B4-4050-AA6C-4B8ACA7E7D42}"/>
    <cellStyle name="Normal 4 2 4" xfId="1352" xr:uid="{E23CD2C1-903D-47E7-BBC1-FC4E633FBA22}"/>
    <cellStyle name="Normal 4 3" xfId="185" xr:uid="{95D4DCE2-FDAC-4D2D-80E9-0069FEA1B3B8}"/>
    <cellStyle name="Normal 4 3 2" xfId="721" xr:uid="{B0AADCCD-C62D-48CE-BFDB-B70CB27FE7BF}"/>
    <cellStyle name="Normal 4 4" xfId="200" xr:uid="{29A17365-58AB-4D7A-A166-4A3E230AC025}"/>
    <cellStyle name="Normal 4 4 2" xfId="1376" xr:uid="{8BE14412-5EDA-4BA8-A434-8C8F8279C472}"/>
    <cellStyle name="Normal 4 5" xfId="362" xr:uid="{E4EEDB21-B3C8-4D38-8E4F-1F88202D784A}"/>
    <cellStyle name="Normal 4 6" xfId="964" xr:uid="{1325CCF7-B7EB-41E6-AB61-9B4EAB7931AE}"/>
    <cellStyle name="Normal 4 7" xfId="92" xr:uid="{AFBC45A8-C195-48F2-911C-2DC750A36BAE}"/>
    <cellStyle name="Normal 4 8" xfId="1136" xr:uid="{39AEB130-E7BF-4FDD-8C36-DE103AF1A799}"/>
    <cellStyle name="Normal 4 9" xfId="59" xr:uid="{501844D8-40D9-42C7-9CB5-E6CDB50CB662}"/>
    <cellStyle name="Normal 4_Plan de negocio y valoración" xfId="722" xr:uid="{AB50E702-652D-4B94-9230-790FF43FE4A0}"/>
    <cellStyle name="Normal 40" xfId="414" xr:uid="{19F7DFA3-ABBF-4FE6-A969-BE5125E3BC4F}"/>
    <cellStyle name="Normal 42" xfId="723" xr:uid="{6A8960A2-9B4C-4421-A107-28DDD16D8BDF}"/>
    <cellStyle name="Normal 44" xfId="724" xr:uid="{AD7D379E-9EAF-4CCF-ACEB-2E2E019631E0}"/>
    <cellStyle name="Normal 46" xfId="415" xr:uid="{AC017447-D058-4E5A-95CF-1538083F1D06}"/>
    <cellStyle name="Normal 48" xfId="416" xr:uid="{FEE2E09D-8E29-4B0E-8BD8-8B198579F227}"/>
    <cellStyle name="Normal 49" xfId="417" xr:uid="{33DE1139-700F-401D-B1BC-D0C65715FDED}"/>
    <cellStyle name="Normal 5" xfId="11" xr:uid="{00000000-0005-0000-0000-00000B000000}"/>
    <cellStyle name="Normal 5 2" xfId="149" xr:uid="{5DDFFE39-75CE-4332-A36F-67A370D062D3}"/>
    <cellStyle name="Normal 5 2 2" xfId="255" xr:uid="{ACB59810-FB55-4CB8-8ED7-2AC74B0155D6}"/>
    <cellStyle name="Normal 5 2 2 2" xfId="1418" xr:uid="{7EBF60A9-9FDF-4CE8-AC80-B21FA8484396}"/>
    <cellStyle name="Normal 5 2 3" xfId="161" xr:uid="{71F70FE5-9BF6-47B0-9FD9-980060E6A5FE}"/>
    <cellStyle name="Normal 5 2 3 2" xfId="364" xr:uid="{890CFD64-49C3-47A5-BC1B-49A2E2BC8FB5}"/>
    <cellStyle name="Normal 5 2 4" xfId="1353" xr:uid="{96F39E90-0370-47A8-9206-FBC96A72B736}"/>
    <cellStyle name="Normal 5 3" xfId="186" xr:uid="{5CE115D7-C2C3-4714-97AC-8BE2534BCCD3}"/>
    <cellStyle name="Normal 5 3 2" xfId="897" xr:uid="{1D5FA5BF-CE5F-4A5B-A0F1-40AEA4020A0D}"/>
    <cellStyle name="Normal 5 4" xfId="898" xr:uid="{4F8D2435-692A-44CC-82E9-308F31C9F240}"/>
    <cellStyle name="Normal 5 5" xfId="363" xr:uid="{C7CD78FC-BC63-4D27-A835-5D2C6B373892}"/>
    <cellStyle name="Normal 5 6" xfId="965" xr:uid="{57CB8F8C-FE19-4A87-ABF5-0269C2D146A0}"/>
    <cellStyle name="Normal 5 7" xfId="93" xr:uid="{2C4E8FDB-2208-4C66-A175-9A111951AD2A}"/>
    <cellStyle name="Normal 5 8" xfId="1137" xr:uid="{9C077286-397C-4514-A75B-A7DF52F0FCFB}"/>
    <cellStyle name="Normal 5 9" xfId="61" xr:uid="{C97D9305-CD2E-46E0-BF05-B2D4A93E46B1}"/>
    <cellStyle name="Normal 5_Plan de negocio y valoración" xfId="725" xr:uid="{7E265BC0-5E95-47A9-B1A6-D612A162A1DC}"/>
    <cellStyle name="Normal 50" xfId="418" xr:uid="{C9BD55B8-E0C4-4F3D-BB7A-E6A39FEC3DC1}"/>
    <cellStyle name="Normal 52" xfId="726" xr:uid="{1B3B12DF-82BC-4786-8FAB-883EE12ED58D}"/>
    <cellStyle name="Normal 53" xfId="727" xr:uid="{984B9CAE-C24F-40B2-A010-3B35233EFDC9}"/>
    <cellStyle name="Normal 6" xfId="14" xr:uid="{00000000-0005-0000-0000-00000C000000}"/>
    <cellStyle name="Normal 6 2" xfId="162" xr:uid="{C05B1E7C-23FE-47DE-B045-130B987437D6}"/>
    <cellStyle name="Normal 6 2 2" xfId="899" xr:uid="{07527EAD-1A3C-401E-8027-B44B2101EE3B}"/>
    <cellStyle name="Normal 6 2 2 2" xfId="900" xr:uid="{A63FCD51-C399-4A2B-93BA-4BC71270AF89}"/>
    <cellStyle name="Normal 6 2 2 2 2" xfId="1551" xr:uid="{8F30F59F-BE9A-41BB-9D1B-22AA26063C17}"/>
    <cellStyle name="Normal 6 2 2 3" xfId="1550" xr:uid="{F96ADAB4-286A-48D0-BD87-98A7244CC933}"/>
    <cellStyle name="Normal 6 2 3" xfId="901" xr:uid="{4FD34012-9269-452F-8472-2ABEB17B806D}"/>
    <cellStyle name="Normal 6 2 3 2" xfId="1552" xr:uid="{A95BCC21-5409-447D-BCFA-76824E47C64B}"/>
    <cellStyle name="Normal 6 2 4" xfId="728" xr:uid="{7886675B-7D9B-427A-A6E7-EA651F17F60D}"/>
    <cellStyle name="Normal 6 3" xfId="187" xr:uid="{3427454A-2398-46DB-8B15-1AE30452D14D}"/>
    <cellStyle name="Normal 6 3 2" xfId="902" xr:uid="{38EC4D79-3083-4A3F-A5B5-3A7679AD348A}"/>
    <cellStyle name="Normal 6 3 2 2" xfId="1553" xr:uid="{F55B5311-FE97-405D-A109-97F3174E79B4}"/>
    <cellStyle name="Normal 6 3 3" xfId="307" xr:uid="{C86780DD-DECA-49D1-87E7-E0C03BB90B8C}"/>
    <cellStyle name="Normal 6 4" xfId="903" xr:uid="{CD01FFDE-B31D-4050-BCAE-5D98D4B03134}"/>
    <cellStyle name="Normal 6 4 2" xfId="1554" xr:uid="{DB9AE53C-FAA8-4817-AC69-400E2E71CA0E}"/>
    <cellStyle name="Normal 6 5" xfId="365" xr:uid="{1DFF9B3D-13C7-408C-B432-13B4652D9EAB}"/>
    <cellStyle name="Normal 6 6" xfId="966" xr:uid="{6A0BF28C-3D3B-4795-96C5-9B5ACF1B608B}"/>
    <cellStyle name="Normal 6 7" xfId="94" xr:uid="{182B4C44-A9A9-4868-A1DB-8D75A97EBBBE}"/>
    <cellStyle name="Normal 6 8" xfId="1138" xr:uid="{721C386A-15B4-47FC-A089-50C91F946009}"/>
    <cellStyle name="Normal 6 9" xfId="62" xr:uid="{ACD84ED8-329E-495D-AB5B-887CF2351EF8}"/>
    <cellStyle name="Normal 7" xfId="18" xr:uid="{6F215162-BD6E-4966-90CD-E595364807FF}"/>
    <cellStyle name="Normal 7 10" xfId="95" xr:uid="{6F2FF710-0719-493E-A5FE-137D4DA48C2E}"/>
    <cellStyle name="Normal 7 10 2" xfId="1325" xr:uid="{FBCA1F79-799A-49F9-88FB-83341D65D2CE}"/>
    <cellStyle name="Normal 7 11" xfId="1139" xr:uid="{4744F4D1-DD37-4FEC-9D30-0EF9F771B4D7}"/>
    <cellStyle name="Normal 7 12" xfId="1301" xr:uid="{FE08FDEF-742B-4591-87C4-9BB1A1E8BF6D}"/>
    <cellStyle name="Normal 7 13" xfId="63" xr:uid="{3D9321FB-C2EA-4A2B-A78D-960B4FB028C3}"/>
    <cellStyle name="Normal 7 2" xfId="127" xr:uid="{8AD19691-F939-4BF3-B45D-6F9B55B9757B}"/>
    <cellStyle name="Normal 7 2 2" xfId="189" xr:uid="{514CCD28-496D-41B9-B227-2CFE17533C3D}"/>
    <cellStyle name="Normal 7 2 2 2" xfId="730" xr:uid="{732E0FF4-BC85-4F45-9320-6E1090D1AC60}"/>
    <cellStyle name="Normal 7 2 2 3" xfId="1374" xr:uid="{9E613236-0984-4806-9C7C-5F6A73D76468}"/>
    <cellStyle name="Normal 7 2 3" xfId="242" xr:uid="{B8BEBFB5-38FC-4A94-A416-CD0BF7F24CB1}"/>
    <cellStyle name="Normal 7 2 3 2" xfId="1406" xr:uid="{BAE6C943-379C-4108-A09C-4CCB3DFD68A8}"/>
    <cellStyle name="Normal 7 2 4" xfId="729" xr:uid="{B82FD505-DE71-49D4-BA7B-296B4AB31C3C}"/>
    <cellStyle name="Normal 7 2 5" xfId="1338" xr:uid="{685726DE-869C-4F88-8164-4A8070A8039E}"/>
    <cellStyle name="Normal 7 3" xfId="141" xr:uid="{BEBFFC65-4CAA-4F29-AAA4-16C381D59175}"/>
    <cellStyle name="Normal 7 3 2" xfId="252" xr:uid="{DF070B5C-F0F6-4E7C-8F4E-625C22F59D82}"/>
    <cellStyle name="Normal 7 3 2 2" xfId="1415" xr:uid="{616F8589-4709-4532-856C-D5BE9FD87C65}"/>
    <cellStyle name="Normal 7 3 3" xfId="731" xr:uid="{FA2280C0-9AB3-4D67-A09A-857BA118683F}"/>
    <cellStyle name="Normal 7 3 4" xfId="1350" xr:uid="{8780BEFA-01FE-4760-A795-FDB1B0D449B4}"/>
    <cellStyle name="Normal 7 4" xfId="112" xr:uid="{047BEF6A-D56D-4BD7-A828-BBE517117A63}"/>
    <cellStyle name="Normal 7 4 2" xfId="229" xr:uid="{6739877D-6C15-456D-AD4F-466C480F4C50}"/>
    <cellStyle name="Normal 7 4 3" xfId="188" xr:uid="{753B85B6-5599-49FF-8F0D-7CA81AA34C1D}"/>
    <cellStyle name="Normal 7 4 3 2" xfId="1373" xr:uid="{EF9952AC-764F-42DB-9608-6E4DABB95F9B}"/>
    <cellStyle name="Normal 7 5" xfId="192" xr:uid="{60ADCC5D-2820-4870-89E4-F38BA1251E5E}"/>
    <cellStyle name="Normal 7 6" xfId="159" xr:uid="{2A8853AE-C573-4107-9CFF-DF507BA21005}"/>
    <cellStyle name="Normal 7 6 2" xfId="1357" xr:uid="{A3639E29-C3E7-45B2-A90C-72D86ADD4BE3}"/>
    <cellStyle name="Normal 7 7" xfId="214" xr:uid="{6EBD2E7D-624B-4734-89FB-B20EAEE17298}"/>
    <cellStyle name="Normal 7 7 2" xfId="263" xr:uid="{1771FEED-502D-442B-A3E7-CBF814CEABCC}"/>
    <cellStyle name="Normal 7 7 3" xfId="1383" xr:uid="{AF9D561A-4B00-4448-A23A-8EE4FD165AD4}"/>
    <cellStyle name="Normal 7 8" xfId="366" xr:uid="{EB81C1A5-BEB2-4004-A33F-12C21DB1D96A}"/>
    <cellStyle name="Normal 7 8 2" xfId="1455" xr:uid="{03800DD8-A7BB-491A-AE38-5BA2F61A65B8}"/>
    <cellStyle name="Normal 7 9" xfId="967" xr:uid="{22E8DF21-7AC9-4ADB-BBCF-E44732E0A60E}"/>
    <cellStyle name="Normal 7 9 2" xfId="1563" xr:uid="{88948E64-5950-43D5-945D-A4D88518D3ED}"/>
    <cellStyle name="Normal 8" xfId="22" xr:uid="{43978C92-FFE1-4D4C-B161-948FAE5961A7}"/>
    <cellStyle name="Normal 8 2" xfId="66" xr:uid="{9DCCF0AE-4B01-4B66-B744-2898110C1768}"/>
    <cellStyle name="Normal 8 2 2" xfId="904" xr:uid="{B0F3FF82-39D8-457B-9CA6-75E8B10DCA8A}"/>
    <cellStyle name="Normal 8 2 2 2" xfId="1555" xr:uid="{0957DBD9-0739-4855-8371-8D267175FAB1}"/>
    <cellStyle name="Normal 8 2 3" xfId="732" xr:uid="{414F7DDC-7E48-499B-9A75-07A7661DFE97}"/>
    <cellStyle name="Normal 8 2 4" xfId="97" xr:uid="{1179ED45-2389-44FF-8642-95C653390C43}"/>
    <cellStyle name="Normal 8 2 5" xfId="1302" xr:uid="{4DCE4C12-A7FB-410A-A5BD-EB54B9484614}"/>
    <cellStyle name="Normal 8 3" xfId="138" xr:uid="{8318D6AD-3648-4504-AC00-DAE16F630D84}"/>
    <cellStyle name="Normal 8 3 2" xfId="250" xr:uid="{51836352-6680-46C2-9BF1-1AC68363A0B7}"/>
    <cellStyle name="Normal 8 3 2 2" xfId="272" xr:uid="{F7AD130D-9B8E-4F5C-B379-4E646E273AEC}"/>
    <cellStyle name="Normal 8 3 2 3" xfId="1413" xr:uid="{3DE9BC6F-E57F-4434-B251-4FA72EF01A0A}"/>
    <cellStyle name="Normal 8 3 3" xfId="169" xr:uid="{75B8560B-AE83-421C-95CA-139EFD8C4A71}"/>
    <cellStyle name="Normal 8 3 3 2" xfId="820" xr:uid="{D40FBCC0-7D98-4855-AE24-788C8DCB2D0B}"/>
    <cellStyle name="Normal 8 3 4" xfId="260" xr:uid="{DD55F663-D9AB-43AC-9CEA-23F3C92485EE}"/>
    <cellStyle name="Normal 8 3 5" xfId="1348" xr:uid="{9F43E837-AC9C-438D-B254-D93253B04FFF}"/>
    <cellStyle name="Normal 8 4" xfId="115" xr:uid="{971D9972-6551-439F-9E9C-A49B538304BF}"/>
    <cellStyle name="Normal 8 4 2" xfId="231" xr:uid="{F7D4C244-3E19-4EA6-9F2B-72A4DB66EE26}"/>
    <cellStyle name="Normal 8 4 3" xfId="172" xr:uid="{634CFB96-EBA4-436A-9103-97413C15D55A}"/>
    <cellStyle name="Normal 8 5" xfId="194" xr:uid="{62944E55-5D36-4D70-9800-3B6B0CE30AF0}"/>
    <cellStyle name="Normal 8 6" xfId="163" xr:uid="{F50ACCBB-B641-49E0-A7F4-75BA52E74FD2}"/>
    <cellStyle name="Normal 8 6 2" xfId="1358" xr:uid="{CA82DDE4-D099-4E7D-8F93-04DEE73E7B21}"/>
    <cellStyle name="Normal 8 7" xfId="210" xr:uid="{8F333F6F-EE4E-4966-8F7B-E9E2C7CEEA24}"/>
    <cellStyle name="Normal 8 7 2" xfId="1381" xr:uid="{A66528B5-2E73-4063-9ACB-16D220E0A70D}"/>
    <cellStyle name="Normal 8 8" xfId="1134" xr:uid="{B9775B7A-08E8-49C7-8AE0-24F2112DE568}"/>
    <cellStyle name="Normal 8 9" xfId="56" xr:uid="{3E7157EB-B0D6-4F65-ACEF-E72519F5C117}"/>
    <cellStyle name="Normal 9" xfId="87" xr:uid="{BB3C28E1-3F85-44C0-81C2-F8A1DE803FD1}"/>
    <cellStyle name="Normal 9 2" xfId="203" xr:uid="{689F5FB4-F288-4C94-A38C-6C0CE8244CF5}"/>
    <cellStyle name="Normal 9 2 2" xfId="905" xr:uid="{92574A5E-9E4A-40E0-AA0C-D30B6B3E00D1}"/>
    <cellStyle name="Normal 9 2 2 2" xfId="1556" xr:uid="{FE762CB4-9100-4F38-BFF0-07BE37CD8F31}"/>
    <cellStyle name="Normal 9 2 3" xfId="733" xr:uid="{29D0F0C0-F8A4-49D1-89E3-0F64800023C4}"/>
    <cellStyle name="Normal 9 2 4" xfId="1377" xr:uid="{70BE373A-8297-457C-BBC6-4ADE35C238F9}"/>
    <cellStyle name="Normal 9 3" xfId="209" xr:uid="{3C67C4F3-6EB8-4B8F-A44C-CE7BA9D36C1D}"/>
    <cellStyle name="Normal 9 3 2" xfId="267" xr:uid="{02B997DD-97F2-432C-9248-68F0A40EF6B1}"/>
    <cellStyle name="Normal 9 3 2 2" xfId="906" xr:uid="{199DF476-CC61-45BC-9AA3-29D9B380CCCC}"/>
    <cellStyle name="Normal 9 3 2 2 2" xfId="1557" xr:uid="{54F2E239-157D-4CF4-9C01-2CC29FA99F50}"/>
    <cellStyle name="Normal 9 4" xfId="156" xr:uid="{7811B768-641F-4F45-AEEB-10478918AE5D}"/>
    <cellStyle name="Normal 9 4 2" xfId="392" xr:uid="{45B9BC3C-1D57-4C74-AF7B-4EF86C478E06}"/>
    <cellStyle name="Normal 9 4 2 2" xfId="1456" xr:uid="{5E6E820A-5F81-42B5-8412-56C43C912BAA}"/>
    <cellStyle name="Normal 9 5" xfId="1678" xr:uid="{D925F84F-4EDE-4522-A844-4217CB0D93A6}"/>
    <cellStyle name="Normal_ASIENTOS" xfId="12" xr:uid="{00000000-0005-0000-0000-00000D000000}"/>
    <cellStyle name="Normale 3" xfId="734" xr:uid="{D8EA9DCF-B4E1-4FB8-B8B9-113F0D30A264}"/>
    <cellStyle name="Notas" xfId="19" builtinId="10"/>
    <cellStyle name="Notas 10" xfId="74" xr:uid="{F9E6230B-6B8B-4E77-9BD9-C811A90CA4D3}"/>
    <cellStyle name="Notas 2" xfId="64" xr:uid="{C8DE8065-A937-415E-BAD0-C84A1A8C3761}"/>
    <cellStyle name="Notas 2 2" xfId="106" xr:uid="{4BE60C76-44B1-4984-8E3B-4472CA6948F5}"/>
    <cellStyle name="Notas 2 2 2" xfId="227" xr:uid="{7FD5D4C5-18A3-4E01-B869-54DED9053130}"/>
    <cellStyle name="Notas 2 2 2 2" xfId="1396" xr:uid="{8582CF5C-132D-494D-A300-31E1C542645E}"/>
    <cellStyle name="Notas 2 2 3" xfId="199" xr:uid="{AF2F90E2-9B44-4A1C-AFBA-B0B3CFDF483A}"/>
    <cellStyle name="Notas 2 2 3 2" xfId="945" xr:uid="{55F35CE9-338F-4AA2-B2AF-30882165AD2E}"/>
    <cellStyle name="Notas 2 2 4" xfId="1326" xr:uid="{FF1E5855-FA2A-4DDD-A209-5F40F4AF30B5}"/>
    <cellStyle name="Notas 2 3" xfId="368" xr:uid="{66AEDCEC-6EFC-4555-8F36-DAF9D6C063F4}"/>
    <cellStyle name="Notas 2 3 2" xfId="1044" xr:uid="{79C0ABD9-8F05-4B81-A0FF-80ACD84B3260}"/>
    <cellStyle name="Notas 3" xfId="205" xr:uid="{FA41DC96-299A-40E7-AE9B-7CBF572949CE}"/>
    <cellStyle name="Notas 3 2" xfId="946" xr:uid="{181AA5D4-2799-4AA3-9611-64F9A5C05A21}"/>
    <cellStyle name="Notas 3 3" xfId="369" xr:uid="{642B0BAF-BB46-490A-BB3D-D42867A61FEC}"/>
    <cellStyle name="Notas 3 3 2" xfId="1045" xr:uid="{60CB49D9-EB6B-4EEA-AD98-418ACA0B2641}"/>
    <cellStyle name="Notas 3 4" xfId="1378" xr:uid="{784B4F86-F0AC-4930-ACC6-C1803B6CC376}"/>
    <cellStyle name="Notas 4" xfId="735" xr:uid="{D85B07EF-2603-4F85-9950-3CE6337DD59A}"/>
    <cellStyle name="Notas 4 2" xfId="1544" xr:uid="{B43628E6-E686-49EF-9B5D-3779449A9ACE}"/>
    <cellStyle name="Notas 5" xfId="736" xr:uid="{875890F6-A45E-499D-925B-41598ECF3E99}"/>
    <cellStyle name="Notas 5 2" xfId="1545" xr:uid="{8EA2DC48-644D-4750-80D7-E7008F3B27A3}"/>
    <cellStyle name="Notas 6" xfId="907" xr:uid="{113FA225-A4D7-4238-ABE7-E4A932F8C31F}"/>
    <cellStyle name="Notas 6 2" xfId="1103" xr:uid="{874786A9-DE65-453C-ADA6-FDDCF948DC76}"/>
    <cellStyle name="Notas 7" xfId="367" xr:uid="{8ED63248-CC4F-4F35-AA7D-BEBE04EFE68C}"/>
    <cellStyle name="Notas 7 2" xfId="1043" xr:uid="{AD0F623C-2FC0-4FC3-A35C-169847867FCD}"/>
    <cellStyle name="Notas 8" xfId="985" xr:uid="{DB8AD15E-93F4-482D-9F76-C0C744E3FC73}"/>
    <cellStyle name="Notas 8 2" xfId="1580" xr:uid="{633A8D32-E8F5-4CBA-ABBA-3B7D1DA3FE2F}"/>
    <cellStyle name="Notas 9" xfId="256" xr:uid="{F13138CC-6C5A-4FAB-8292-7A04B42E2BA8}"/>
    <cellStyle name="Notas 9 2" xfId="1419" xr:uid="{0407F530-B23E-4E38-A9AE-A02F452F5D4A}"/>
    <cellStyle name="Note 2" xfId="737" xr:uid="{B4D177D3-5395-47A1-B36C-3DB9BF038226}"/>
    <cellStyle name="Note 2 2" xfId="738" xr:uid="{002DEC10-8CEE-497B-BD8A-2C9666507CD2}"/>
    <cellStyle name="Note 2 2 2" xfId="1056" xr:uid="{45B22F1F-C3EC-41C5-9EF1-8C1948B112CE}"/>
    <cellStyle name="Note 2 3" xfId="1546" xr:uid="{F79B6F91-4BBA-4E13-A8F3-537867F0A3F9}"/>
    <cellStyle name="Note 3" xfId="739" xr:uid="{128149E5-142F-41F7-A0F1-1BA131FE8969}"/>
    <cellStyle name="Note 3 2" xfId="1547" xr:uid="{76BAD18E-5D56-4379-BBF4-DAE071917FB0}"/>
    <cellStyle name="Note 4" xfId="908" xr:uid="{2680D6FF-C8E5-4197-87DF-A46242D140ED}"/>
    <cellStyle name="Note 4 2" xfId="1104" xr:uid="{5769E18E-0181-4413-A610-D245A5E31601}"/>
    <cellStyle name="Número" xfId="740" xr:uid="{67300856-BCCB-46F4-819C-B50431728B6A}"/>
    <cellStyle name="Output 2" xfId="741" xr:uid="{B5C0C22D-9625-4E2F-AD2F-C185D69DA8C7}"/>
    <cellStyle name="Output 2 2" xfId="1057" xr:uid="{410FFB8E-6608-4F55-9BD5-46B1C5BCEF6D}"/>
    <cellStyle name="Output 3" xfId="742" xr:uid="{6578F750-8982-4E4A-B244-A0CFB15BF8A6}"/>
    <cellStyle name="Output 4" xfId="909" xr:uid="{1C6E6BE3-6A12-4DF1-B1B7-BA560AED95E0}"/>
    <cellStyle name="Output 4 2" xfId="1105" xr:uid="{D03BF16A-94AA-419E-875D-F68193850B8B}"/>
    <cellStyle name="OUTPUT AMOUNTS" xfId="370" xr:uid="{0AA83A01-1AD0-4171-BB69-4ABE98C21504}"/>
    <cellStyle name="OUTPUT COLUMN HEADINGS" xfId="371" xr:uid="{33369109-83D6-4367-8ECF-2A468573A371}"/>
    <cellStyle name="OUTPUT LINE ITEMS" xfId="372" xr:uid="{A736AA8B-08DA-4722-9BFB-40BEF44CFA0E}"/>
    <cellStyle name="OUTPUT REPORT HEADING" xfId="373" xr:uid="{08B4B134-B3D2-487F-B472-FD07BA8CC3E6}"/>
    <cellStyle name="OUTPUT REPORT TITLE" xfId="374" xr:uid="{A517F3F0-F363-4A13-AF84-8AC039AA8DF1}"/>
    <cellStyle name="Percent 10" xfId="283" xr:uid="{4B46CF36-4B9B-4FF4-B94D-C8619CF5C44B}"/>
    <cellStyle name="Percent 2" xfId="308" xr:uid="{287BA98D-4B43-4A8D-88DE-05C9500AB3FE}"/>
    <cellStyle name="Percent 2 2" xfId="394" xr:uid="{87E79377-6C42-4AD1-A610-824075581778}"/>
    <cellStyle name="Percent 2 3" xfId="910" xr:uid="{0E53D13F-11B6-4B45-A633-6FD2C53BC52D}"/>
    <cellStyle name="Percent 3" xfId="375" xr:uid="{BC4108B8-E229-457C-8DD6-8D011ED4CF43}"/>
    <cellStyle name="Percent 4" xfId="743" xr:uid="{17BF13C9-419D-4650-AF1E-5012EAE7D580}"/>
    <cellStyle name="Percent 4 2" xfId="744" xr:uid="{4523858A-53A1-4171-852A-577C003A32C4}"/>
    <cellStyle name="Percent 5" xfId="745" xr:uid="{6C7CBBA9-D4B2-44B5-A6EA-C5314D598B7A}"/>
    <cellStyle name="Percent 6" xfId="911" xr:uid="{F17E4EAE-1190-4867-BB19-5709FE120B80}"/>
    <cellStyle name="Percent 7" xfId="912" xr:uid="{E44F08F8-B393-4D75-8914-396F4B69F087}"/>
    <cellStyle name="Percent 8" xfId="913" xr:uid="{25E50B70-9DBA-4466-A8D2-AF3E74B25CF1}"/>
    <cellStyle name="Percent 9" xfId="914" xr:uid="{7699A766-B3A1-489F-8CE8-2804F42F1CDF}"/>
    <cellStyle name="Porcentaje" xfId="10" builtinId="5"/>
    <cellStyle name="Porcentaje 10" xfId="72" xr:uid="{DF68FEF4-B41F-4058-B193-CAD627B0B2C9}"/>
    <cellStyle name="Porcentaje 11" xfId="1133" xr:uid="{5B4521F7-8415-4B46-A488-324AA1F45CC7}"/>
    <cellStyle name="Porcentaje 12" xfId="1299" xr:uid="{491B4732-E686-4AE6-93E9-5104884AA34A}"/>
    <cellStyle name="Porcentaje 13" xfId="55" xr:uid="{6BFB8AE9-2F21-4B45-9630-EC98111003C6}"/>
    <cellStyle name="Porcentaje 2" xfId="8" xr:uid="{00000000-0005-0000-0000-00000F000000}"/>
    <cellStyle name="Porcentaje 3" xfId="60" xr:uid="{014EE12A-2544-406F-BCD9-8E37EA8E28E7}"/>
    <cellStyle name="Porcentaje 3 2" xfId="747" xr:uid="{E144C64E-BA6B-4285-B523-F7E84C26C191}"/>
    <cellStyle name="Porcentaje 4" xfId="136" xr:uid="{9D0B677E-ED4A-405E-951D-CA74D87F5C61}"/>
    <cellStyle name="Porcentaje 4 2" xfId="248" xr:uid="{80C536F9-65F8-44E8-9428-72AF5DE68E49}"/>
    <cellStyle name="Porcentaje 4 2 2" xfId="1412" xr:uid="{DAAFA9AC-A1ED-4C7C-B207-4E8AD0DC0DEB}"/>
    <cellStyle name="Porcentaje 4 3" xfId="191" xr:uid="{E52F16FB-FF3D-445C-9970-39C338EC266B}"/>
    <cellStyle name="Porcentaje 4 4" xfId="1347" xr:uid="{75917130-F94C-471D-9F56-3FFC04C98FAC}"/>
    <cellStyle name="Porcentaje 5" xfId="110" xr:uid="{626BB1E1-FB1D-4E09-8028-0C9A8E7AAA83}"/>
    <cellStyle name="Porcentaje 5 2" xfId="228" xr:uid="{1092A89E-7343-4FA2-AF77-947E0B1DD7C4}"/>
    <cellStyle name="Porcentaje 5 3" xfId="166" xr:uid="{3327FED3-8F8C-430C-BCFD-36A73E2288D9}"/>
    <cellStyle name="Porcentaje 5 3 2" xfId="1361" xr:uid="{6D98CC45-E12B-4591-98E5-ED7B80AD15ED}"/>
    <cellStyle name="Porcentaje 6" xfId="207" xr:uid="{3A36F100-7580-42DB-9091-BDE94195B5DB}"/>
    <cellStyle name="Porcentaje 6 2" xfId="262" xr:uid="{DB41452F-57AB-411F-8D21-46C2FA1A0F16}"/>
    <cellStyle name="Porcentaje 6 3" xfId="1380" xr:uid="{7F352D6B-B57D-4D23-AEF6-AEAD71B14001}"/>
    <cellStyle name="Porcentaje 7" xfId="152" xr:uid="{CA67F345-EB56-4C1B-8940-781B431B9DE4}"/>
    <cellStyle name="Porcentaje 7 2" xfId="746" xr:uid="{0A601A25-EAB2-4F05-892F-5E92FE571C8D}"/>
    <cellStyle name="Porcentaje 8" xfId="961" xr:uid="{23C47CC0-170E-486E-B773-E7C9D23C9962}"/>
    <cellStyle name="Porcentaje 8 2" xfId="1561" xr:uid="{C9C6FFFA-5C5A-4092-9D5A-142332331D14}"/>
    <cellStyle name="Porcentaje 9" xfId="85" xr:uid="{F9FBF749-BD86-48DB-BA26-CC787BE63BEF}"/>
    <cellStyle name="Porcentaje 9 2" xfId="1323" xr:uid="{08967C03-635E-41D8-A2BB-13303B1A49DA}"/>
    <cellStyle name="Porcentual 2" xfId="376" xr:uid="{FEAD54EB-8AE5-47E8-B4EF-34D851D6BA5A}"/>
    <cellStyle name="Porcentual 2 2" xfId="748" xr:uid="{DBFC5C61-7700-4E63-A12F-5ED64F589453}"/>
    <cellStyle name="Porcentual 3" xfId="749" xr:uid="{DB7C8061-0983-4D71-93B5-9EB8E5F3285A}"/>
    <cellStyle name="Porcentual 4" xfId="750" xr:uid="{60D92ED9-457D-40A8-8838-AA9E9A071C83}"/>
    <cellStyle name="Porcentual 5" xfId="751" xr:uid="{1F7E6D7C-70DC-4DC5-B84C-FA72AAC07642}"/>
    <cellStyle name="Porcentual 6" xfId="752" xr:uid="{5CEDFB01-A992-4D05-9893-163412215412}"/>
    <cellStyle name="Porcentual 7" xfId="753" xr:uid="{49BE5062-A037-4932-BC87-9BCF7646AF72}"/>
    <cellStyle name="Porcentual 8" xfId="754" xr:uid="{3C02D43D-220C-4B25-9BAB-DAC2D57FF28D}"/>
    <cellStyle name="Porcentual 9" xfId="755" xr:uid="{DA093C10-3ED7-4D13-B66A-30B9CC06004D}"/>
    <cellStyle name="PRESUPUESTOS" xfId="377" xr:uid="{66F583B2-74AD-496F-9703-F78D2D7700FE}"/>
    <cellStyle name="Punto" xfId="756" xr:uid="{B890308E-ADC6-4377-AC96-8FBC43FD9D28}"/>
    <cellStyle name="Punto0" xfId="757" xr:uid="{373E695B-33FF-42DD-B4BC-D4C2B5C99718}"/>
    <cellStyle name="Saldos" xfId="758" xr:uid="{DBB839D1-3B60-4A5B-B80F-F96962BA702E}"/>
    <cellStyle name="Salida" xfId="30" builtinId="21" customBuiltin="1"/>
    <cellStyle name="Salida 2" xfId="759" xr:uid="{2378B2CC-E2E0-482D-A87D-0FA066FD99AC}"/>
    <cellStyle name="Salida 2 2" xfId="1058" xr:uid="{C3195F3D-D4F0-4901-9EA3-041FBF2BA137}"/>
    <cellStyle name="Salida 3" xfId="915" xr:uid="{56D2546B-AF8D-48A4-8AAF-0B29EC8D268C}"/>
    <cellStyle name="Salida 3 2" xfId="1106" xr:uid="{99AA4A28-718D-4109-A184-C36BB99A530A}"/>
    <cellStyle name="Salida 4" xfId="916" xr:uid="{D4876ED1-53F5-4E97-9B59-2090AA1EB0AB}"/>
    <cellStyle name="Salida 4 2" xfId="1107" xr:uid="{7283AFB3-03DB-4301-B770-D0C1F6CDB301}"/>
    <cellStyle name="Salida 5" xfId="378" xr:uid="{7739BF73-B16F-4432-8DAC-E35888C325ED}"/>
    <cellStyle name="Salida 5 2" xfId="1046" xr:uid="{4865B009-FA7F-43E4-B607-0C2B67DDDBC2}"/>
    <cellStyle name="SAPBEXaggData" xfId="379" xr:uid="{E903B034-85BA-4817-92EC-2BDD17A264DB}"/>
    <cellStyle name="SAPBEXaggData 2" xfId="760" xr:uid="{3F3AFF7F-0C21-410F-963A-03DA1D76D99A}"/>
    <cellStyle name="SAPBEXaggData 2 2" xfId="1059" xr:uid="{E5B287CD-6ABD-4F18-B65D-CC890D99D34A}"/>
    <cellStyle name="SAPBEXaggData 3" xfId="1047" xr:uid="{B7878379-659F-4F0D-AB6E-7B1B75F12365}"/>
    <cellStyle name="SAPBEXaggDataEmph" xfId="761" xr:uid="{13076C8A-A781-4B51-B149-364DD548C25F}"/>
    <cellStyle name="SAPBEXaggDataEmph 2" xfId="1060" xr:uid="{CC12861B-2AD4-47BA-8918-0B550EECEF4A}"/>
    <cellStyle name="SAPBEXaggItem" xfId="380" xr:uid="{5725D8B6-6FAA-4FFE-A3C7-CEC37DB51865}"/>
    <cellStyle name="SAPBEXaggItem 2" xfId="762" xr:uid="{5B448A43-812C-457E-AF75-16B8AEC622BE}"/>
    <cellStyle name="SAPBEXaggItem 2 2" xfId="1061" xr:uid="{CE37EC97-4272-4325-8DE5-623A337A633A}"/>
    <cellStyle name="SAPBEXaggItem 3" xfId="1048" xr:uid="{ADDAA7E5-6118-4F13-9D44-4956A64DC7AE}"/>
    <cellStyle name="SAPBEXaggItemX" xfId="763" xr:uid="{0F6E590A-4C52-45FF-8C2B-EE75825038E7}"/>
    <cellStyle name="SAPBEXaggItemX 2" xfId="1062" xr:uid="{B2D2CADF-8172-46D0-B1D9-4668CDDA7E14}"/>
    <cellStyle name="SAPBEXchaText" xfId="381" xr:uid="{D07F7D0E-8962-462D-8F8B-9063D2C40CAE}"/>
    <cellStyle name="SAPBEXchaText 2" xfId="764" xr:uid="{9E7D5D35-D4CB-4AA0-9FE3-5EA89D783E9F}"/>
    <cellStyle name="SAPBEXexcBad7" xfId="765" xr:uid="{B59C2FFA-6342-401E-823D-740E2DF33127}"/>
    <cellStyle name="SAPBEXexcBad7 2" xfId="1063" xr:uid="{D7894ED1-EC73-4E8E-8B21-54FA369BCDFA}"/>
    <cellStyle name="SAPBEXexcBad8" xfId="766" xr:uid="{F2EF96B6-D66B-4DD1-8CE5-98FD29BDFFDB}"/>
    <cellStyle name="SAPBEXexcBad8 2" xfId="1064" xr:uid="{D6635009-EB06-4E6C-93E0-248AFAEC9A69}"/>
    <cellStyle name="SAPBEXexcBad9" xfId="767" xr:uid="{D5C43AFC-2063-456B-8559-C85EF600FFCE}"/>
    <cellStyle name="SAPBEXexcBad9 2" xfId="1065" xr:uid="{FC8578B8-F83C-475E-8F25-5E20287F25E3}"/>
    <cellStyle name="SAPBEXexcCritical4" xfId="768" xr:uid="{A0121FF2-4972-4EF3-A7F2-8B56140A076E}"/>
    <cellStyle name="SAPBEXexcCritical4 2" xfId="1066" xr:uid="{67B4C0F6-50E8-4F0E-986E-A86F0E9E01C7}"/>
    <cellStyle name="SAPBEXexcCritical5" xfId="769" xr:uid="{816B9D42-AB38-4FCF-BCB0-1D64593353E1}"/>
    <cellStyle name="SAPBEXexcCritical5 2" xfId="1067" xr:uid="{20988658-9586-4C9D-B7AA-E105A37146DB}"/>
    <cellStyle name="SAPBEXexcCritical6" xfId="770" xr:uid="{093E069F-A9FA-492B-8798-E98453E83508}"/>
    <cellStyle name="SAPBEXexcCritical6 2" xfId="1068" xr:uid="{3F74FCB5-E5BF-49FF-821B-F5FFF13A8450}"/>
    <cellStyle name="SAPBEXexcGood1" xfId="771" xr:uid="{20145EE4-32C4-42AD-A961-43782FB509B1}"/>
    <cellStyle name="SAPBEXexcGood1 2" xfId="1069" xr:uid="{75043243-690F-468E-8EFF-64EC8839A522}"/>
    <cellStyle name="SAPBEXexcGood2" xfId="772" xr:uid="{A2D2D9C6-2F5D-4EC9-8854-0F430C232DB4}"/>
    <cellStyle name="SAPBEXexcGood2 2" xfId="1070" xr:uid="{66B76E16-708A-47DE-BDD8-54BE91DFA2F8}"/>
    <cellStyle name="SAPBEXexcGood3" xfId="773" xr:uid="{B36501B8-423D-408B-A28A-FE3EC6EAA0EE}"/>
    <cellStyle name="SAPBEXexcGood3 2" xfId="1071" xr:uid="{512D68A7-FDEA-4359-A716-1120A1D2750A}"/>
    <cellStyle name="SAPBEXfilterDrill" xfId="774" xr:uid="{ED6C400B-A3A6-4918-91E5-9A3BAF5A5A29}"/>
    <cellStyle name="SAPBEXfilterDrill 2" xfId="1072" xr:uid="{F58452BF-036B-4FCB-BF6D-99F85DB87081}"/>
    <cellStyle name="SAPBEXfilterItem" xfId="775" xr:uid="{852446BF-CD7F-4688-8C5C-2591C329AED7}"/>
    <cellStyle name="SAPBEXfilterItem 2" xfId="1073" xr:uid="{8A98AF12-D828-4F21-93D5-992DEF624F80}"/>
    <cellStyle name="SAPBEXfilterText" xfId="776" xr:uid="{B8BA8D76-DEC7-49A0-97DB-A7ED51BB1406}"/>
    <cellStyle name="SAPBEXfilterText 2" xfId="1074" xr:uid="{5756F670-DF18-43B2-A709-A6476ED45C71}"/>
    <cellStyle name="SAPBEXformats" xfId="777" xr:uid="{D3C97774-5F11-4240-A069-038106A51301}"/>
    <cellStyle name="SAPBEXformats 2" xfId="1075" xr:uid="{BC338881-8260-4F1C-B625-BC1D98153E07}"/>
    <cellStyle name="SAPBEXheaderItem" xfId="778" xr:uid="{8FD1ACEB-B58C-4D28-8496-9B419C9D7D7E}"/>
    <cellStyle name="SAPBEXheaderItem 2" xfId="1076" xr:uid="{419741D4-5FC1-4D6A-B14E-24D31E2C2693}"/>
    <cellStyle name="SAPBEXheaderText" xfId="779" xr:uid="{13BD1656-BEBC-4CC1-8830-A0720D6D64B8}"/>
    <cellStyle name="SAPBEXheaderText 2" xfId="1077" xr:uid="{EC9D8C8A-28B2-4F6E-8FA4-20F8D6F91E57}"/>
    <cellStyle name="SAPBEXHLevel0" xfId="780" xr:uid="{073F7A02-5C91-4C0A-B0C2-041E31AF098F}"/>
    <cellStyle name="SAPBEXHLevel0 2" xfId="1078" xr:uid="{25E36BBC-ED79-4266-AD68-F81470CCAA15}"/>
    <cellStyle name="SAPBEXHLevel0X" xfId="781" xr:uid="{DCBDE167-7B89-405C-937C-2EBEAF3FE51E}"/>
    <cellStyle name="SAPBEXHLevel0X 2" xfId="1079" xr:uid="{DABA3430-4203-45FC-80E7-66DD3B841DAA}"/>
    <cellStyle name="SAPBEXHLevel1" xfId="782" xr:uid="{A05C92BB-BAFA-4735-B02A-3DD56D486DD4}"/>
    <cellStyle name="SAPBEXHLevel1 2" xfId="1080" xr:uid="{FA0B3420-E9C9-43F6-9536-CF8C76F6EF02}"/>
    <cellStyle name="SAPBEXHLevel1X" xfId="783" xr:uid="{8187CE67-2C1D-4BE3-8581-728046FC3A44}"/>
    <cellStyle name="SAPBEXHLevel1X 2" xfId="1081" xr:uid="{CAD97026-6E73-49AC-850E-BE6F837A06F9}"/>
    <cellStyle name="SAPBEXHLevel2" xfId="784" xr:uid="{75F64E7E-D6F4-4403-BA76-57AC8B89CC89}"/>
    <cellStyle name="SAPBEXHLevel2 2" xfId="1082" xr:uid="{C69B1EB8-A35D-4665-9671-CACC7E26847A}"/>
    <cellStyle name="SAPBEXHLevel2X" xfId="785" xr:uid="{3D0DA73A-D70B-4013-B7F1-052C234BD4CA}"/>
    <cellStyle name="SAPBEXHLevel2X 2" xfId="1083" xr:uid="{9F3039B9-6E50-4692-A1F6-D7275C4B980F}"/>
    <cellStyle name="SAPBEXHLevel3" xfId="786" xr:uid="{5F5E6BBA-06B8-46B3-8149-AFEC3BCC39C7}"/>
    <cellStyle name="SAPBEXHLevel3 2" xfId="1084" xr:uid="{E450D1BE-2479-4C82-BA9A-D2C77B64FBC6}"/>
    <cellStyle name="SAPBEXHLevel3X" xfId="787" xr:uid="{C40C8F4A-C950-49BF-BC5C-233AF5C619A3}"/>
    <cellStyle name="SAPBEXHLevel3X 2" xfId="1085" xr:uid="{E9C80AFA-E38B-401E-B43C-EC65F0727CE9}"/>
    <cellStyle name="SAPBEXinputData" xfId="788" xr:uid="{72A9BC97-83E9-4E2A-A945-03A0A21F753F}"/>
    <cellStyle name="SAPBEXItemHeader" xfId="789" xr:uid="{D15BB652-8D0E-4FBE-B408-31244429AEBC}"/>
    <cellStyle name="SAPBEXItemHeader 2" xfId="1086" xr:uid="{34D21EDE-C4C4-4629-A5D4-5537627491CE}"/>
    <cellStyle name="SAPBEXresData" xfId="790" xr:uid="{33174391-5B8A-491D-A8B8-34431DB2F0BE}"/>
    <cellStyle name="SAPBEXresData 2" xfId="1087" xr:uid="{87FA98BE-183C-4105-9A93-0434CA3F0AC2}"/>
    <cellStyle name="SAPBEXresDataEmph" xfId="791" xr:uid="{54C9EC7A-D106-4681-887F-CA6B8CD71E87}"/>
    <cellStyle name="SAPBEXresItem" xfId="792" xr:uid="{E538DCCE-F197-4F53-A7C8-C42BDB8F4EDF}"/>
    <cellStyle name="SAPBEXresItem 2" xfId="1088" xr:uid="{9195F4AB-30F0-49A7-9073-7C90CAE3E9E5}"/>
    <cellStyle name="SAPBEXresItemX" xfId="793" xr:uid="{8A6FC8A8-7564-4307-8363-57E258807AAF}"/>
    <cellStyle name="SAPBEXresItemX 2" xfId="1089" xr:uid="{A75432DA-38B2-4485-9121-9D613A8EBBB4}"/>
    <cellStyle name="SAPBEXstdData" xfId="794" xr:uid="{36B6E3CE-02BF-44F6-B904-240955EA6A99}"/>
    <cellStyle name="SAPBEXstdData 2" xfId="1090" xr:uid="{1F6482FE-119C-4498-B016-E01EDCD7B673}"/>
    <cellStyle name="SAPBEXstdDataEmph" xfId="795" xr:uid="{AB23036C-6D79-45AA-B53F-428904B81F09}"/>
    <cellStyle name="SAPBEXstdDataEmph 2" xfId="1091" xr:uid="{0D63D730-E80C-4FA5-A38D-7FEC01A371FA}"/>
    <cellStyle name="SAPBEXstdItem" xfId="796" xr:uid="{641894D8-E9D0-45D8-A6B9-DD5D883133A1}"/>
    <cellStyle name="SAPBEXstdItem 2" xfId="1092" xr:uid="{6DA29D54-704D-4410-9A0B-DBE5FEE0953C}"/>
    <cellStyle name="SAPBEXstdItemX" xfId="797" xr:uid="{911762F6-A9E5-48A6-AA9A-BDD64183D147}"/>
    <cellStyle name="SAPBEXstdItemX 2" xfId="1093" xr:uid="{FCC5535A-E8C4-4F6D-AAC8-3EF9A61D9B90}"/>
    <cellStyle name="SAPBEXtitle" xfId="798" xr:uid="{8F92F00D-E434-4724-991C-1E47949CE3FA}"/>
    <cellStyle name="SAPBEXtitle 2" xfId="1094" xr:uid="{75BA8862-86B8-4833-B8AA-ADB9B558CADC}"/>
    <cellStyle name="SAPBEXunassignedItem" xfId="799" xr:uid="{0B597E58-C1FB-4BA1-B7E1-A23EAE4E60E1}"/>
    <cellStyle name="SAPBEXundefined" xfId="800" xr:uid="{1231D1D2-F362-4355-BAF6-F93F188DA787}"/>
    <cellStyle name="SAPBEXundefined 2" xfId="1095" xr:uid="{ABC349D4-334D-49B4-83E1-3DFDA99AE77A}"/>
    <cellStyle name="SAPBorder" xfId="419" xr:uid="{BCAB6650-8B6C-4039-94F4-AFA48C97B89A}"/>
    <cellStyle name="SAPBorder 2" xfId="420" xr:uid="{12E99C6D-379A-4809-9605-F20C8E99667D}"/>
    <cellStyle name="SAPDataCell" xfId="309" xr:uid="{4E8F06F7-F7B4-4ECD-A54D-5F53C9811E6B}"/>
    <cellStyle name="SAPDataCell 2" xfId="421" xr:uid="{19B7911E-604E-45D9-8B77-BDFBD6862684}"/>
    <cellStyle name="SAPDataCell 3" xfId="422" xr:uid="{A2F3188B-8E3B-4D37-95D4-C20A58812BC5}"/>
    <cellStyle name="SAPDataTotalCell" xfId="310" xr:uid="{1D45C535-80B4-4CFF-895D-59F500EA7029}"/>
    <cellStyle name="SAPDataTotalCell 2" xfId="423" xr:uid="{C1F5BC1F-89B2-4763-87C8-76A33A44086A}"/>
    <cellStyle name="SAPDataTotalCell 3" xfId="424" xr:uid="{E19C3FBD-D69A-4BD0-AC7A-A125A9E0AAE0}"/>
    <cellStyle name="SAPDimensionCell" xfId="311" xr:uid="{01E3A40B-BD8A-4D54-A29A-9B75C7649ABD}"/>
    <cellStyle name="SAPDimensionCell 2" xfId="425" xr:uid="{76BA1D56-A18C-4492-A16C-2062F2E8B823}"/>
    <cellStyle name="SAPDimensionCell 3" xfId="426" xr:uid="{5FE3B300-D2FE-4991-8658-412D7A59B607}"/>
    <cellStyle name="SAPEditableDataCell" xfId="427" xr:uid="{1D633873-F4E7-4EB9-B353-7799E79B53E0}"/>
    <cellStyle name="SAPEditableDataCell 2" xfId="428" xr:uid="{5FDD466B-9560-4140-9747-3D3D315E94F2}"/>
    <cellStyle name="SAPEditableDataTotalCell" xfId="429" xr:uid="{641E98E9-F85E-4B5D-869A-050A44C857C5}"/>
    <cellStyle name="SAPEmphasized" xfId="430" xr:uid="{CEEE4A8D-3750-4EDE-AC15-3D5EE29F4EBB}"/>
    <cellStyle name="SAPExceptionLevel1" xfId="431" xr:uid="{41A312A3-1689-4DD5-A4A4-1BB6584A577F}"/>
    <cellStyle name="SAPExceptionLevel2" xfId="432" xr:uid="{79F7A0C2-DFDC-4076-AFA1-73B61AB08881}"/>
    <cellStyle name="SAPExceptionLevel2 2" xfId="433" xr:uid="{3BFDA1B5-E929-451B-B60F-087026D7E656}"/>
    <cellStyle name="SAPExceptionLevel3" xfId="434" xr:uid="{AB7E0FC4-1932-4539-ADD3-21B2097A7C97}"/>
    <cellStyle name="SAPExceptionLevel3 2" xfId="435" xr:uid="{326A2CB0-EEB1-463E-82F6-546C32F5BE35}"/>
    <cellStyle name="SAPExceptionLevel4" xfId="436" xr:uid="{4E15F45B-BF29-4F73-83BB-7FCA167E0B3D}"/>
    <cellStyle name="SAPExceptionLevel4 2" xfId="437" xr:uid="{C0258A98-99E5-46BC-AFB6-674C1F64AAF1}"/>
    <cellStyle name="SAPExceptionLevel5" xfId="438" xr:uid="{CBF69B4F-6E8B-4920-9701-5F052016E7AF}"/>
    <cellStyle name="SAPExceptionLevel5 2" xfId="439" xr:uid="{E7B09BCF-FA33-4357-9945-20FD04A447AF}"/>
    <cellStyle name="SAPExceptionLevel6" xfId="440" xr:uid="{F0FB1F4C-7A57-41C3-B1CB-1BCAB85EF56F}"/>
    <cellStyle name="SAPExceptionLevel6 2" xfId="441" xr:uid="{04F23319-E09D-4FA9-B825-5E6C2343FB50}"/>
    <cellStyle name="SAPExceptionLevel7" xfId="442" xr:uid="{194A7174-4CB5-48CC-957A-4534BF8DFF06}"/>
    <cellStyle name="SAPExceptionLevel8" xfId="443" xr:uid="{80E6200F-8935-4E2D-A9F2-770805A0DC42}"/>
    <cellStyle name="SAPExceptionLevel9" xfId="444" xr:uid="{2FE53E6E-AB2D-4201-B5B9-33F0F8601613}"/>
    <cellStyle name="SAPHierarchyCell" xfId="445" xr:uid="{4ABA4EC3-8A98-4546-88FE-82DF09E89ECF}"/>
    <cellStyle name="SAPHierarchyCell 2" xfId="446" xr:uid="{58732193-3FA3-4293-96F5-8017EA7F89C7}"/>
    <cellStyle name="SAPHierarchyCell0" xfId="312" xr:uid="{FF712F79-8D42-4D6E-8C45-1B7223D8D93A}"/>
    <cellStyle name="SAPHierarchyCell0 2" xfId="447" xr:uid="{11A0380D-0A41-44D4-AC40-2662934D1602}"/>
    <cellStyle name="SAPHierarchyCell1" xfId="313" xr:uid="{DD16B77A-CBB8-4DF2-AD0A-CFA77EE3F07C}"/>
    <cellStyle name="SAPHierarchyCell1 2" xfId="448" xr:uid="{219D0A8F-E1ED-40DB-AC14-F455119C95EA}"/>
    <cellStyle name="SAPHierarchyCell2" xfId="314" xr:uid="{B8F7873A-D14F-4889-B3A2-C563C6DC1359}"/>
    <cellStyle name="SAPHierarchyCell2 2" xfId="449" xr:uid="{484DBD54-4D49-4907-BC52-8FCCF98F2F2B}"/>
    <cellStyle name="SAPHierarchyCell3" xfId="315" xr:uid="{D8CB24A0-E1E1-49C5-95CC-2BAC46C19F43}"/>
    <cellStyle name="SAPHierarchyCell3 2" xfId="450" xr:uid="{1E4BF9B0-7880-4E12-BA56-690A42FE91BD}"/>
    <cellStyle name="SAPHierarchyCell4" xfId="316" xr:uid="{F0BC9B8F-3103-484F-8A20-E1401C53DED9}"/>
    <cellStyle name="SAPHierarchyOddCell" xfId="451" xr:uid="{E324E8C8-24A5-4B92-90D6-77F8C2E6AF8F}"/>
    <cellStyle name="SAPHierarchyOddCell 2" xfId="452" xr:uid="{53B83F9F-34DE-48BF-8F63-C51D3FCE1C3E}"/>
    <cellStyle name="SAPLockedDataCell" xfId="453" xr:uid="{3899ECD5-4F26-4BA0-AF93-6212A0C17687}"/>
    <cellStyle name="SAPLockedDataCell 2" xfId="454" xr:uid="{15B5F7C6-E87D-49EE-BD58-333E460395FF}"/>
    <cellStyle name="SAPLockedDataTotalCell" xfId="455" xr:uid="{23FE8F4F-6B44-474C-B2A9-90B7A56D5D47}"/>
    <cellStyle name="SAPLockedDataTotalCell 2" xfId="456" xr:uid="{175F75DC-2B75-4EE6-9791-9ABBE4C64BBA}"/>
    <cellStyle name="SAPMemberCell" xfId="317" xr:uid="{B6FD213D-7A74-47E0-A5CB-73A2A0875C84}"/>
    <cellStyle name="SAPMemberCell 2" xfId="457" xr:uid="{6B4E3399-7715-4640-AA71-608F9971C369}"/>
    <cellStyle name="SAPMemberTotalCell" xfId="318" xr:uid="{F1B00E5D-827A-489E-A989-D1472560D00D}"/>
    <cellStyle name="SAPMemberTotalCell 2" xfId="458" xr:uid="{A2FAC75E-B856-4E90-B827-EC50B55888A7}"/>
    <cellStyle name="SAPMemberTotalCell 3" xfId="459" xr:uid="{0D8E77C2-1560-44F8-8168-C7360E9F7033}"/>
    <cellStyle name="SAPReadonlyDataCell" xfId="460" xr:uid="{55921B29-9B19-457F-B156-EC61E0BAAA2D}"/>
    <cellStyle name="SAPReadonlyDataCell 2" xfId="461" xr:uid="{CE4A9168-6F98-4E19-AB78-28623720882D}"/>
    <cellStyle name="SAPReadonlyDataTotalCell" xfId="462" xr:uid="{6DE30222-0759-4AAE-A9EC-0BEE83615A6C}"/>
    <cellStyle name="SAPReadonlyDataTotalCell 2" xfId="463" xr:uid="{9C9C3A1D-6C35-4FA3-AAD5-494DDC4B739C}"/>
    <cellStyle name="Sheet Title" xfId="801" xr:uid="{CBA4968D-4BCD-4E36-92C3-47CBCBBCAE5C}"/>
    <cellStyle name="Style 1" xfId="382" xr:uid="{B15B438B-B214-4F4E-A6E2-4743A18C1100}"/>
    <cellStyle name="Sumatorio 0" xfId="802" xr:uid="{B39EEFD1-00C7-4CAB-A4DB-E043EDCC1104}"/>
    <cellStyle name="Texto de advertencia" xfId="34" builtinId="11" customBuiltin="1"/>
    <cellStyle name="Texto de advertencia 2" xfId="803" xr:uid="{B1561562-3A57-4F39-A3E7-0D543B719B59}"/>
    <cellStyle name="Texto de advertencia 3" xfId="917" xr:uid="{7700C535-2EE0-4035-8A5E-63901128BFD6}"/>
    <cellStyle name="Texto de advertencia 4" xfId="918" xr:uid="{7D7615F8-68C8-4490-B393-1D59103E034B}"/>
    <cellStyle name="Texto de advertencia 5" xfId="383" xr:uid="{67626860-CCB4-4A92-82A9-4FD96ACCAA4E}"/>
    <cellStyle name="Texto explicativo" xfId="35" builtinId="53" customBuiltin="1"/>
    <cellStyle name="Texto explicativo 2" xfId="804" xr:uid="{3C6471F4-5AF1-4C15-B041-CC00BD63C8F8}"/>
    <cellStyle name="Texto explicativo 3" xfId="919" xr:uid="{C23C7961-4FCF-4F77-AD5A-E601C6C92B16}"/>
    <cellStyle name="Texto explicativo 4" xfId="920" xr:uid="{0B194A75-D74A-4D71-9E36-1C471F236A14}"/>
    <cellStyle name="Texto explicativo 5" xfId="384" xr:uid="{42295877-0A8E-4706-A059-F8BB37182B0C}"/>
    <cellStyle name="þ_x001d_ð¢_x000c_äþ_x0012__x000d_ÝþU_x0001_÷_x001d_Ý+_x0007__x0001__x0001_" xfId="805" xr:uid="{785C1CF1-39EF-4FED-91A2-FAB4E3153740}"/>
    <cellStyle name="Title 2" xfId="806" xr:uid="{BB32E028-82C1-4E0B-AC0E-7CD648768F1F}"/>
    <cellStyle name="Title 3" xfId="807" xr:uid="{D24CEFBE-60D7-4ED4-BA49-4274FAB1326A}"/>
    <cellStyle name="Title 4" xfId="921" xr:uid="{02D9053F-0327-44C4-8896-1426F0DF183E}"/>
    <cellStyle name="Título 1" xfId="386" xr:uid="{5848D06B-831F-47CA-AFC1-70DFAEA9FCFB}"/>
    <cellStyle name="Título 1 2" xfId="808" xr:uid="{CD567B62-516D-4CCB-A8A8-A68DC0CA84D7}"/>
    <cellStyle name="Título 1 3" xfId="922" xr:uid="{B2FE20A8-90A4-4B3B-9DA1-C423DF9FD12D}"/>
    <cellStyle name="Título 1 4" xfId="923" xr:uid="{495D1A1A-2D7B-4EE4-8B0D-80826C29F187}"/>
    <cellStyle name="Título 2" xfId="24" builtinId="17" customBuiltin="1"/>
    <cellStyle name="Título 2 2" xfId="809" xr:uid="{D2E13204-B0B0-4DEA-89FF-FBE4AFFF9CD5}"/>
    <cellStyle name="Título 2 3" xfId="924" xr:uid="{2EB5E5D3-C462-4046-B1A4-DE53721F34EC}"/>
    <cellStyle name="Título 2 4" xfId="925" xr:uid="{C37D3C6F-7BE4-496C-8B99-78DE35D4F4BA}"/>
    <cellStyle name="Título 2 5" xfId="387" xr:uid="{9DFFC93B-CC9B-4D6A-BA0B-5D19F16A9891}"/>
    <cellStyle name="Título 3" xfId="25" builtinId="18" customBuiltin="1"/>
    <cellStyle name="Título 3 2" xfId="810" xr:uid="{BB83EBB5-47F0-4192-8B42-3D30ECA9A62A}"/>
    <cellStyle name="Título 3 3" xfId="926" xr:uid="{260527B1-78D4-4D39-A2B2-760B12A3F800}"/>
    <cellStyle name="Título 3 4" xfId="927" xr:uid="{98AA1693-46C3-444A-8ADB-4B652B8805FB}"/>
    <cellStyle name="Título 3 5" xfId="388" xr:uid="{27C49844-80F8-4886-A205-A19BCA7B4175}"/>
    <cellStyle name="Título 4" xfId="107" xr:uid="{7E67D694-CC88-4581-8191-E76AF237F178}"/>
    <cellStyle name="Título 4 2" xfId="811" xr:uid="{5EC3864C-3021-48B3-ACD5-FFEA143975AF}"/>
    <cellStyle name="Título 5" xfId="385" xr:uid="{FBD555A3-0C22-47B6-9AAD-D3AB2264D3F3}"/>
    <cellStyle name="Título 6" xfId="75" xr:uid="{C7A74C5D-D88B-4C4E-930F-431B23DDCE50}"/>
    <cellStyle name="Título de hoja" xfId="812" xr:uid="{9E8DA1BF-3078-4E57-9755-20315352AB71}"/>
    <cellStyle name="TítuloBordeGris" xfId="813" xr:uid="{695A84AC-FE1C-4A6F-84A8-47CBE321CB5B}"/>
    <cellStyle name="TítulocolSencillo" xfId="814" xr:uid="{A3C04C32-7848-42DD-8E94-D4E8ACFDEA71}"/>
    <cellStyle name="TítulocolSencillo 2" xfId="1096" xr:uid="{010957FB-1C49-4731-B93E-61D034EC60E3}"/>
    <cellStyle name="TítuloHoja" xfId="815" xr:uid="{A70FA133-4D82-44FA-B306-F67059438138}"/>
    <cellStyle name="Total" xfId="36" builtinId="25" customBuiltin="1"/>
    <cellStyle name="Total 2" xfId="389" xr:uid="{148C2163-9588-4704-A6D1-E556CE5437A7}"/>
    <cellStyle name="Total 2 2" xfId="816" xr:uid="{1D387EA7-6AC5-420C-80A7-38AFDF70EAF3}"/>
    <cellStyle name="Total 2 3" xfId="1049" xr:uid="{C99BFE02-7998-4F8E-A647-2E4E0F82BDA9}"/>
    <cellStyle name="Total 3" xfId="817" xr:uid="{95E9838E-3BE6-42EA-AF33-78F901C9D015}"/>
    <cellStyle name="Total 4" xfId="928" xr:uid="{9C4A297E-54D7-49D5-9445-3BB855155DD3}"/>
    <cellStyle name="Total 4 2" xfId="1108" xr:uid="{5737C9EC-9164-4B0E-8F3F-EED4DE5515CC}"/>
    <cellStyle name="Währung" xfId="390" xr:uid="{8415D738-0A12-4078-AABC-E91AD9D52D2F}"/>
    <cellStyle name="Währung 2" xfId="391" xr:uid="{8546E260-D559-4325-9EF7-9EE3859E57EF}"/>
    <cellStyle name="Warning Text 2" xfId="818" xr:uid="{B8646B94-F230-4FAF-9CD5-08693F846108}"/>
    <cellStyle name="Warning Text 3" xfId="819" xr:uid="{13A69D99-5792-4BD6-92CC-ACC8B05F0B3F}"/>
    <cellStyle name="Warning Text 4" xfId="929" xr:uid="{C4145DAB-0421-4DE8-99BB-B47C8534428C}"/>
  </cellStyles>
  <dxfs count="626">
    <dxf>
      <fill>
        <patternFill>
          <bgColor indexed="9"/>
        </patternFill>
      </fill>
      <border>
        <left style="thin">
          <color indexed="64"/>
        </left>
        <right style="thin">
          <color indexed="64"/>
        </right>
        <top style="thin">
          <color indexed="64"/>
        </top>
        <bottom style="thin">
          <color indexed="64"/>
        </bottom>
      </border>
    </dxf>
    <dxf>
      <fill>
        <patternFill>
          <bgColor indexed="9"/>
        </patternFill>
      </fill>
      <border>
        <left style="thin">
          <color indexed="64"/>
        </left>
        <right style="thin">
          <color indexed="64"/>
        </right>
        <top style="thin">
          <color indexed="64"/>
        </top>
        <bottom style="thin">
          <color indexed="64"/>
        </bottom>
      </border>
    </dxf>
    <dxf>
      <font>
        <b/>
        <i val="0"/>
        <strike val="0"/>
        <color theme="0"/>
      </font>
      <fill>
        <patternFill>
          <bgColor rgb="FF00B050"/>
        </patternFill>
      </fill>
    </dxf>
    <dxf>
      <font>
        <b/>
        <i val="0"/>
        <color theme="0"/>
      </font>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rgb="FFFF0000"/>
      </font>
      <fill>
        <patternFill>
          <bgColor theme="0"/>
        </patternFill>
      </fill>
    </dxf>
    <dxf>
      <font>
        <b/>
        <i val="0"/>
        <color theme="0"/>
      </font>
      <fill>
        <patternFill>
          <bgColor rgb="FFFF0000"/>
        </patternFill>
      </fill>
    </dxf>
    <dxf>
      <fill>
        <patternFill>
          <bgColor theme="0" tint="-0.14996795556505021"/>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theme="0" tint="-0.14996795556505021"/>
        </patternFill>
      </fill>
    </dxf>
    <dxf>
      <fill>
        <patternFill>
          <bgColor theme="0" tint="-0.14996795556505021"/>
        </patternFill>
      </fill>
    </dxf>
    <dxf>
      <font>
        <color theme="0"/>
      </font>
      <fill>
        <patternFill>
          <bgColor rgb="FFFF0000"/>
        </patternFill>
      </fill>
    </dxf>
    <dxf>
      <font>
        <color theme="0"/>
      </font>
      <fill>
        <patternFill>
          <bgColor rgb="FF92D050"/>
        </patternFill>
      </fill>
    </dxf>
    <dxf>
      <font>
        <color theme="0"/>
      </font>
      <fill>
        <patternFill>
          <bgColor rgb="FFFF0000"/>
        </patternFill>
      </fill>
    </dxf>
    <dxf>
      <font>
        <color theme="0"/>
      </font>
      <fill>
        <patternFill>
          <bgColor rgb="FF92D050"/>
        </patternFill>
      </fill>
    </dxf>
    <dxf>
      <font>
        <color theme="0"/>
      </font>
      <fill>
        <patternFill>
          <bgColor rgb="FF92D050"/>
        </patternFill>
      </fill>
    </dxf>
    <dxf>
      <font>
        <color theme="0"/>
      </font>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theme="0"/>
      </font>
      <fill>
        <patternFill>
          <bgColor rgb="FFFF0000"/>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FF0000"/>
      </font>
      <numFmt numFmtId="4" formatCode="#,##0.00"/>
      <fill>
        <patternFill>
          <bgColor rgb="FFFF0000"/>
        </patternFill>
      </fill>
    </dxf>
    <dxf>
      <font>
        <color rgb="FFFF0000"/>
      </font>
      <numFmt numFmtId="4" formatCode="#,##0.00"/>
      <fill>
        <patternFill>
          <bgColor rgb="FFFF0000"/>
        </patternFill>
      </fill>
    </dxf>
    <dxf>
      <font>
        <color rgb="FFFF0000"/>
      </font>
      <numFmt numFmtId="4" formatCode="#,##0.00"/>
      <fill>
        <patternFill>
          <bgColor rgb="FFFF0000"/>
        </patternFill>
      </fill>
    </dxf>
    <dxf>
      <font>
        <color rgb="FFFF0000"/>
      </font>
      <numFmt numFmtId="4" formatCode="#,##0.00"/>
      <fill>
        <patternFill>
          <bgColor rgb="FFFF0000"/>
        </patternFill>
      </fill>
    </dxf>
    <dxf>
      <font>
        <color rgb="FFFF0000"/>
      </font>
      <numFmt numFmtId="4" formatCode="#,##0.00"/>
      <fill>
        <patternFill>
          <bgColor rgb="FFFF0000"/>
        </patternFill>
      </fill>
    </dxf>
    <dxf>
      <font>
        <color rgb="FFFF0000"/>
      </font>
      <numFmt numFmtId="4" formatCode="#,##0.00"/>
      <fill>
        <patternFill>
          <bgColor rgb="FFFF0000"/>
        </patternFill>
      </fill>
    </dxf>
    <dxf>
      <font>
        <color rgb="FFFF0000"/>
      </font>
      <numFmt numFmtId="4" formatCode="#,##0.00"/>
      <fill>
        <patternFill>
          <bgColor rgb="FFFF0000"/>
        </patternFill>
      </fill>
    </dxf>
    <dxf>
      <font>
        <color rgb="FFFF0000"/>
      </font>
      <numFmt numFmtId="4" formatCode="#,##0.00"/>
      <fill>
        <patternFill>
          <bgColor rgb="FFFF0000"/>
        </patternFill>
      </fill>
    </dxf>
    <dxf>
      <font>
        <color rgb="FFFF0000"/>
      </font>
      <numFmt numFmtId="4" formatCode="#,##0.00"/>
      <fill>
        <patternFill>
          <bgColor rgb="FFFF0000"/>
        </patternFill>
      </fill>
    </dxf>
    <dxf>
      <font>
        <color rgb="FFFF0000"/>
      </font>
      <numFmt numFmtId="4" formatCode="#,##0.00"/>
      <fill>
        <patternFill>
          <bgColor rgb="FFFF0000"/>
        </patternFill>
      </fill>
    </dxf>
    <dxf>
      <font>
        <color rgb="FFFF0000"/>
      </font>
      <numFmt numFmtId="4" formatCode="#,##0.00"/>
      <fill>
        <patternFill>
          <bgColor rgb="FFFF0000"/>
        </patternFill>
      </fill>
    </dxf>
    <dxf>
      <font>
        <color rgb="FFFF0000"/>
      </font>
      <numFmt numFmtId="4" formatCode="#,##0.00"/>
      <fill>
        <patternFill>
          <bgColor rgb="FFFF0000"/>
        </patternFill>
      </fill>
    </dxf>
    <dxf>
      <font>
        <b/>
        <i val="0"/>
        <color theme="0"/>
      </font>
      <numFmt numFmtId="4" formatCode="#,##0.00"/>
      <fill>
        <patternFill>
          <bgColor rgb="FFFF0000"/>
        </patternFill>
      </fill>
      <border>
        <left style="thin">
          <color auto="1"/>
        </left>
        <right style="thin">
          <color auto="1"/>
        </right>
        <top style="thin">
          <color auto="1"/>
        </top>
        <bottom style="thin">
          <color auto="1"/>
        </bottom>
        <vertical/>
        <horizontal/>
      </border>
    </dxf>
    <dxf>
      <font>
        <color rgb="FFFF0000"/>
      </font>
      <numFmt numFmtId="4" formatCode="#,##0.00"/>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theme="0"/>
      </font>
      <fill>
        <patternFill>
          <bgColor rgb="FFFF0000"/>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b/>
        <i val="0"/>
        <color theme="0"/>
      </font>
      <fill>
        <patternFill>
          <bgColor rgb="FFFF0000"/>
        </patternFill>
      </fill>
    </dxf>
    <dxf>
      <font>
        <b/>
        <i val="0"/>
        <color theme="0"/>
      </font>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theme="0" tint="-0.14996795556505021"/>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border>
        <right/>
        <top/>
        <bottom/>
      </border>
    </dxf>
    <dxf>
      <numFmt numFmtId="173" formatCode="#,##0.00_ ;[Red]\-#,##0.00\ "/>
    </dxf>
    <dxf>
      <numFmt numFmtId="173" formatCode="#,##0.00_ ;[Red]\-#,##0.00\ "/>
    </dxf>
    <dxf>
      <numFmt numFmtId="173" formatCode="#,##0.00_ ;[Red]\-#,##0.00\ "/>
    </dxf>
    <dxf>
      <numFmt numFmtId="173" formatCode="#,##0.00_ ;[Red]\-#,##0.00\ "/>
    </dxf>
    <dxf>
      <numFmt numFmtId="173" formatCode="#,##0.00_ ;[Red]\-#,##0.00\ "/>
    </dxf>
    <dxf>
      <numFmt numFmtId="173" formatCode="#,##0.00_ ;[Red]\-#,##0.00\ "/>
    </dxf>
    <dxf>
      <numFmt numFmtId="173" formatCode="#,##0.00_ ;[Red]\-#,##0.00\ "/>
    </dxf>
    <dxf>
      <numFmt numFmtId="173" formatCode="#,##0.00_ ;[Red]\-#,##0.00\ "/>
    </dxf>
    <dxf>
      <numFmt numFmtId="173" formatCode="#,##0.00_ ;[Red]\-#,##0.00\ "/>
    </dxf>
    <dxf>
      <numFmt numFmtId="173" formatCode="#,##0.00_ ;[Red]\-#,##0.00\ "/>
    </dxf>
    <dxf>
      <numFmt numFmtId="173" formatCode="#,##0.00_ ;[Red]\-#,##0.00\ "/>
    </dxf>
    <dxf>
      <numFmt numFmtId="19" formatCode="dd/mm/yyyy"/>
    </dxf>
    <dxf>
      <numFmt numFmtId="19" formatCode="dd/mm/yyyy"/>
    </dxf>
    <dxf>
      <numFmt numFmtId="19" formatCode="dd/mm/yyyy"/>
    </dxf>
    <dxf>
      <numFmt numFmtId="3" formatCode="#,##0"/>
    </dxf>
  </dxfs>
  <tableStyles count="0" defaultTableStyle="TableStyleMedium9" defaultPivotStyle="PivotStyleLight16"/>
  <colors>
    <mruColors>
      <color rgb="FF996633"/>
      <color rgb="FFFF0000"/>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connections" Target="connection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100"/>
            </a:pPr>
            <a:r>
              <a:rPr lang="es-ES" sz="1100"/>
              <a:t>RATIOS: CUANTO MAYOR=MEJOR SITUACIÓN</a:t>
            </a:r>
          </a:p>
        </c:rich>
      </c:tx>
      <c:layout>
        <c:manualLayout>
          <c:xMode val="edge"/>
          <c:yMode val="edge"/>
          <c:x val="0.18357531225305765"/>
          <c:y val="2.3809616077691272E-2"/>
        </c:manualLayout>
      </c:layout>
      <c:overlay val="0"/>
    </c:title>
    <c:autoTitleDeleted val="0"/>
    <c:plotArea>
      <c:layout>
        <c:manualLayout>
          <c:layoutTarget val="inner"/>
          <c:xMode val="edge"/>
          <c:yMode val="edge"/>
          <c:x val="0.12560416101524988"/>
          <c:y val="0.1666673125438389"/>
          <c:w val="0.84782808685293731"/>
          <c:h val="0.60714520998112764"/>
        </c:manualLayout>
      </c:layout>
      <c:barChart>
        <c:barDir val="col"/>
        <c:grouping val="clustered"/>
        <c:varyColors val="0"/>
        <c:ser>
          <c:idx val="0"/>
          <c:order val="0"/>
          <c:tx>
            <c:strRef>
              <c:f>Financiero!$B$6</c:f>
              <c:strCache>
                <c:ptCount val="1"/>
                <c:pt idx="0">
                  <c:v>TESORERÍA</c:v>
                </c:pt>
              </c:strCache>
            </c:strRef>
          </c:tx>
          <c:invertIfNegative val="0"/>
          <c:cat>
            <c:numRef>
              <c:extLst>
                <c:ext xmlns:c15="http://schemas.microsoft.com/office/drawing/2012/chart" uri="{02D57815-91ED-43cb-92C2-25804820EDAC}">
                  <c15:fullRef>
                    <c15:sqref>Financiero!$C$4:$F$4</c15:sqref>
                  </c15:fullRef>
                </c:ext>
              </c:extLst>
              <c:f>Financiero!$C$4:$D$4</c:f>
              <c:numCache>
                <c:formatCode>General</c:formatCode>
                <c:ptCount val="2"/>
                <c:pt idx="0">
                  <c:v>2024</c:v>
                </c:pt>
                <c:pt idx="1">
                  <c:v>2023</c:v>
                </c:pt>
              </c:numCache>
            </c:numRef>
          </c:cat>
          <c:val>
            <c:numRef>
              <c:extLst>
                <c:ext xmlns:c15="http://schemas.microsoft.com/office/drawing/2012/chart" uri="{02D57815-91ED-43cb-92C2-25804820EDAC}">
                  <c15:fullRef>
                    <c15:sqref>Financiero!$C$6:$F$6</c15:sqref>
                  </c15:fullRef>
                </c:ext>
              </c:extLst>
              <c:f>Financiero!$C$6:$D$6</c:f>
              <c:numCache>
                <c:formatCode>#,##0.00</c:formatCode>
                <c:ptCount val="2"/>
                <c:pt idx="0">
                  <c:v>84.866729057621541</c:v>
                </c:pt>
                <c:pt idx="1">
                  <c:v>93.749073243757834</c:v>
                </c:pt>
              </c:numCache>
            </c:numRef>
          </c:val>
          <c:extLst>
            <c:ext xmlns:c16="http://schemas.microsoft.com/office/drawing/2014/chart" uri="{C3380CC4-5D6E-409C-BE32-E72D297353CC}">
              <c16:uniqueId val="{00000000-2FD0-4EC6-B4D7-501C1D495A6F}"/>
            </c:ext>
          </c:extLst>
        </c:ser>
        <c:ser>
          <c:idx val="1"/>
          <c:order val="1"/>
          <c:tx>
            <c:strRef>
              <c:f>Financiero!$B$13</c:f>
              <c:strCache>
                <c:ptCount val="1"/>
                <c:pt idx="0">
                  <c:v>LIQUIDEZ</c:v>
                </c:pt>
              </c:strCache>
            </c:strRef>
          </c:tx>
          <c:invertIfNegative val="0"/>
          <c:cat>
            <c:strLit>
              <c:ptCount val="2"/>
              <c:pt idx="0">
                <c:v>2024</c:v>
              </c:pt>
              <c:pt idx="1">
                <c:v>2023</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Financiero!$C$13:$F$13</c15:sqref>
                  </c15:fullRef>
                </c:ext>
              </c:extLst>
              <c:f>Financiero!$C$13:$D$13</c:f>
              <c:numCache>
                <c:formatCode>#,##0.00</c:formatCode>
                <c:ptCount val="2"/>
                <c:pt idx="0">
                  <c:v>119.17117206791008</c:v>
                </c:pt>
                <c:pt idx="1">
                  <c:v>133.97133331507843</c:v>
                </c:pt>
              </c:numCache>
            </c:numRef>
          </c:val>
          <c:extLst>
            <c:ext xmlns:c16="http://schemas.microsoft.com/office/drawing/2014/chart" uri="{C3380CC4-5D6E-409C-BE32-E72D297353CC}">
              <c16:uniqueId val="{00000001-2FD0-4EC6-B4D7-501C1D495A6F}"/>
            </c:ext>
          </c:extLst>
        </c:ser>
        <c:ser>
          <c:idx val="2"/>
          <c:order val="2"/>
          <c:tx>
            <c:strRef>
              <c:f>Financiero!$B$20:$B$21</c:f>
              <c:strCache>
                <c:ptCount val="1"/>
                <c:pt idx="0">
                  <c:v>AUTONOMÍA </c:v>
                </c:pt>
              </c:strCache>
            </c:strRef>
          </c:tx>
          <c:invertIfNegative val="0"/>
          <c:cat>
            <c:strLit>
              <c:ptCount val="2"/>
              <c:pt idx="0">
                <c:v>2024</c:v>
              </c:pt>
              <c:pt idx="1">
                <c:v>2023</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Financiero!$C$20:$F$20</c15:sqref>
                  </c15:fullRef>
                </c:ext>
              </c:extLst>
              <c:f>Financiero!$C$20:$D$20</c:f>
              <c:numCache>
                <c:formatCode>#,##0.00</c:formatCode>
                <c:ptCount val="2"/>
                <c:pt idx="0">
                  <c:v>0.96725487371416174</c:v>
                </c:pt>
                <c:pt idx="1">
                  <c:v>0.97709033578801863</c:v>
                </c:pt>
              </c:numCache>
            </c:numRef>
          </c:val>
          <c:extLst>
            <c:ext xmlns:c16="http://schemas.microsoft.com/office/drawing/2014/chart" uri="{C3380CC4-5D6E-409C-BE32-E72D297353CC}">
              <c16:uniqueId val="{00000002-2FD0-4EC6-B4D7-501C1D495A6F}"/>
            </c:ext>
          </c:extLst>
        </c:ser>
        <c:dLbls>
          <c:showLegendKey val="0"/>
          <c:showVal val="0"/>
          <c:showCatName val="0"/>
          <c:showSerName val="0"/>
          <c:showPercent val="0"/>
          <c:showBubbleSize val="0"/>
        </c:dLbls>
        <c:gapWidth val="150"/>
        <c:axId val="532097032"/>
        <c:axId val="532097816"/>
      </c:barChart>
      <c:catAx>
        <c:axId val="532097032"/>
        <c:scaling>
          <c:orientation val="minMax"/>
        </c:scaling>
        <c:delete val="0"/>
        <c:axPos val="b"/>
        <c:numFmt formatCode="General" sourceLinked="1"/>
        <c:majorTickMark val="out"/>
        <c:minorTickMark val="none"/>
        <c:tickLblPos val="nextTo"/>
        <c:txPr>
          <a:bodyPr rot="0" vert="horz"/>
          <a:lstStyle/>
          <a:p>
            <a:pPr>
              <a:defRPr/>
            </a:pPr>
            <a:endParaRPr lang="es-ES"/>
          </a:p>
        </c:txPr>
        <c:crossAx val="532097816"/>
        <c:crosses val="autoZero"/>
        <c:auto val="1"/>
        <c:lblAlgn val="ctr"/>
        <c:lblOffset val="100"/>
        <c:tickLblSkip val="1"/>
        <c:tickMarkSkip val="1"/>
        <c:noMultiLvlLbl val="0"/>
      </c:catAx>
      <c:valAx>
        <c:axId val="532097816"/>
        <c:scaling>
          <c:orientation val="minMax"/>
        </c:scaling>
        <c:delete val="0"/>
        <c:axPos val="l"/>
        <c:majorGridlines/>
        <c:numFmt formatCode="#,##0.00" sourceLinked="1"/>
        <c:majorTickMark val="out"/>
        <c:minorTickMark val="none"/>
        <c:tickLblPos val="nextTo"/>
        <c:txPr>
          <a:bodyPr rot="0" vert="horz"/>
          <a:lstStyle/>
          <a:p>
            <a:pPr>
              <a:defRPr/>
            </a:pPr>
            <a:endParaRPr lang="es-ES"/>
          </a:p>
        </c:txPr>
        <c:crossAx val="532097032"/>
        <c:crosses val="autoZero"/>
        <c:crossBetween val="between"/>
      </c:valAx>
    </c:plotArea>
    <c:legend>
      <c:legendPos val="r"/>
      <c:layout>
        <c:manualLayout>
          <c:xMode val="edge"/>
          <c:yMode val="edge"/>
          <c:x val="0.24637739276068271"/>
          <c:y val="0.88492406422085901"/>
          <c:w val="0.67285659160190003"/>
          <c:h val="8.730192561820134E-2"/>
        </c:manualLayout>
      </c:layout>
      <c:overlay val="0"/>
      <c:txPr>
        <a:bodyPr/>
        <a:lstStyle/>
        <a:p>
          <a:pPr>
            <a:defRPr sz="800"/>
          </a:pPr>
          <a:endParaRPr lang="es-ES"/>
        </a:p>
      </c:txPr>
    </c:legend>
    <c:plotVisOnly val="1"/>
    <c:dispBlanksAs val="gap"/>
    <c:showDLblsOverMax val="0"/>
  </c:chart>
  <c:printSettings>
    <c:headerFooter alignWithMargins="0"/>
    <c:pageMargins b="0.19685039370078738" l="0.78740157480314954" r="0.78740157480314954" t="0.39370078740157488" header="0" footer="0"/>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100"/>
            </a:pPr>
            <a:r>
              <a:rPr lang="es-ES" sz="1100"/>
              <a:t>RATIOS: CUANTO MAYOR=PEOR SITUACIÓN</a:t>
            </a:r>
          </a:p>
        </c:rich>
      </c:tx>
      <c:layout>
        <c:manualLayout>
          <c:xMode val="edge"/>
          <c:yMode val="edge"/>
          <c:x val="0.17647080861224301"/>
          <c:y val="1.9841346731409401E-2"/>
        </c:manualLayout>
      </c:layout>
      <c:overlay val="0"/>
    </c:title>
    <c:autoTitleDeleted val="0"/>
    <c:plotArea>
      <c:layout>
        <c:manualLayout>
          <c:layoutTarget val="inner"/>
          <c:xMode val="edge"/>
          <c:yMode val="edge"/>
          <c:x val="0.11764720574149549"/>
          <c:y val="0.15476250450499596"/>
          <c:w val="0.86700875535581134"/>
          <c:h val="0.63492309540511094"/>
        </c:manualLayout>
      </c:layout>
      <c:barChart>
        <c:barDir val="col"/>
        <c:grouping val="clustered"/>
        <c:varyColors val="0"/>
        <c:ser>
          <c:idx val="1"/>
          <c:order val="0"/>
          <c:tx>
            <c:strRef>
              <c:f>Financiero!$B$27:$B$28</c:f>
              <c:strCache>
                <c:ptCount val="1"/>
                <c:pt idx="0">
                  <c:v>ENDEUDAMIENTO</c:v>
                </c:pt>
              </c:strCache>
            </c:strRef>
          </c:tx>
          <c:invertIfNegative val="0"/>
          <c:cat>
            <c:numRef>
              <c:extLst>
                <c:ext xmlns:c15="http://schemas.microsoft.com/office/drawing/2012/chart" uri="{02D57815-91ED-43cb-92C2-25804820EDAC}">
                  <c15:fullRef>
                    <c15:sqref>Financiero!$C$4:$F$4</c15:sqref>
                  </c15:fullRef>
                </c:ext>
              </c:extLst>
              <c:f>Financiero!$C$4:$D$4</c:f>
              <c:numCache>
                <c:formatCode>General</c:formatCode>
                <c:ptCount val="2"/>
                <c:pt idx="0">
                  <c:v>2024</c:v>
                </c:pt>
                <c:pt idx="1">
                  <c:v>2023</c:v>
                </c:pt>
              </c:numCache>
            </c:numRef>
          </c:cat>
          <c:val>
            <c:numRef>
              <c:extLst>
                <c:ext xmlns:c15="http://schemas.microsoft.com/office/drawing/2012/chart" uri="{02D57815-91ED-43cb-92C2-25804820EDAC}">
                  <c15:fullRef>
                    <c15:sqref>Financiero!$C$27:$F$27</c15:sqref>
                  </c15:fullRef>
                </c:ext>
              </c:extLst>
              <c:f>Financiero!$C$27:$D$27</c:f>
              <c:numCache>
                <c:formatCode>#,##0.00</c:formatCode>
                <c:ptCount val="2"/>
                <c:pt idx="0">
                  <c:v>3.2745126285838262E-2</c:v>
                </c:pt>
                <c:pt idx="1">
                  <c:v>2.2909664211981491E-2</c:v>
                </c:pt>
              </c:numCache>
            </c:numRef>
          </c:val>
          <c:extLst>
            <c:ext xmlns:c16="http://schemas.microsoft.com/office/drawing/2014/chart" uri="{C3380CC4-5D6E-409C-BE32-E72D297353CC}">
              <c16:uniqueId val="{00000000-DA4D-4B0C-AA5E-3094805E6A7D}"/>
            </c:ext>
          </c:extLst>
        </c:ser>
        <c:ser>
          <c:idx val="2"/>
          <c:order val="1"/>
          <c:tx>
            <c:strRef>
              <c:f>Financiero!$B$34:$B$35</c:f>
              <c:strCache>
                <c:ptCount val="1"/>
                <c:pt idx="0">
                  <c:v>ESTABILIDAD</c:v>
                </c:pt>
              </c:strCache>
            </c:strRef>
          </c:tx>
          <c:invertIfNegative val="0"/>
          <c:cat>
            <c:strLit>
              <c:ptCount val="2"/>
              <c:pt idx="0">
                <c:v>2024</c:v>
              </c:pt>
              <c:pt idx="1">
                <c:v>2023</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Financiero!$C$34:$F$34</c15:sqref>
                  </c15:fullRef>
                </c:ext>
              </c:extLst>
              <c:f>Financiero!$C$34:$D$34</c:f>
              <c:numCache>
                <c:formatCode>#,##0.00</c:formatCode>
                <c:ptCount val="2"/>
                <c:pt idx="0">
                  <c:v>0.55098172649862487</c:v>
                </c:pt>
                <c:pt idx="1">
                  <c:v>0.56926075245658936</c:v>
                </c:pt>
              </c:numCache>
            </c:numRef>
          </c:val>
          <c:extLst>
            <c:ext xmlns:c16="http://schemas.microsoft.com/office/drawing/2014/chart" uri="{C3380CC4-5D6E-409C-BE32-E72D297353CC}">
              <c16:uniqueId val="{00000001-DA4D-4B0C-AA5E-3094805E6A7D}"/>
            </c:ext>
          </c:extLst>
        </c:ser>
        <c:dLbls>
          <c:showLegendKey val="0"/>
          <c:showVal val="0"/>
          <c:showCatName val="0"/>
          <c:showSerName val="0"/>
          <c:showPercent val="0"/>
          <c:showBubbleSize val="0"/>
        </c:dLbls>
        <c:gapWidth val="150"/>
        <c:axId val="532098600"/>
        <c:axId val="532098992"/>
      </c:barChart>
      <c:catAx>
        <c:axId val="532098600"/>
        <c:scaling>
          <c:orientation val="minMax"/>
        </c:scaling>
        <c:delete val="0"/>
        <c:axPos val="b"/>
        <c:numFmt formatCode="General" sourceLinked="1"/>
        <c:majorTickMark val="out"/>
        <c:minorTickMark val="none"/>
        <c:tickLblPos val="nextTo"/>
        <c:txPr>
          <a:bodyPr rot="0" vert="horz"/>
          <a:lstStyle/>
          <a:p>
            <a:pPr>
              <a:defRPr/>
            </a:pPr>
            <a:endParaRPr lang="es-ES"/>
          </a:p>
        </c:txPr>
        <c:crossAx val="532098992"/>
        <c:crosses val="autoZero"/>
        <c:auto val="1"/>
        <c:lblAlgn val="ctr"/>
        <c:lblOffset val="100"/>
        <c:tickLblSkip val="1"/>
        <c:tickMarkSkip val="1"/>
        <c:noMultiLvlLbl val="0"/>
      </c:catAx>
      <c:valAx>
        <c:axId val="532098992"/>
        <c:scaling>
          <c:orientation val="minMax"/>
        </c:scaling>
        <c:delete val="0"/>
        <c:axPos val="l"/>
        <c:majorGridlines/>
        <c:numFmt formatCode="#,##0.00" sourceLinked="1"/>
        <c:majorTickMark val="out"/>
        <c:minorTickMark val="none"/>
        <c:tickLblPos val="nextTo"/>
        <c:txPr>
          <a:bodyPr rot="0" vert="horz"/>
          <a:lstStyle/>
          <a:p>
            <a:pPr>
              <a:defRPr/>
            </a:pPr>
            <a:endParaRPr lang="es-ES"/>
          </a:p>
        </c:txPr>
        <c:crossAx val="532098600"/>
        <c:crosses val="autoZero"/>
        <c:crossBetween val="between"/>
      </c:valAx>
    </c:plotArea>
    <c:legend>
      <c:legendPos val="r"/>
      <c:layout>
        <c:manualLayout>
          <c:xMode val="edge"/>
          <c:yMode val="edge"/>
          <c:x val="0.2992331102555425"/>
          <c:y val="0.90079714160598645"/>
          <c:w val="0.47570391886778551"/>
          <c:h val="8.730192561820134E-2"/>
        </c:manualLayout>
      </c:layout>
      <c:overlay val="0"/>
      <c:txPr>
        <a:bodyPr/>
        <a:lstStyle/>
        <a:p>
          <a:pPr>
            <a:defRPr sz="800"/>
          </a:pPr>
          <a:endParaRPr lang="es-ES"/>
        </a:p>
      </c:txPr>
    </c:legend>
    <c:plotVisOnly val="1"/>
    <c:dispBlanksAs val="gap"/>
    <c:showDLblsOverMax val="0"/>
  </c:chart>
  <c:printSettings>
    <c:headerFooter alignWithMargins="0"/>
    <c:pageMargins b="1" l="0.75000000000000788" r="0.75000000000000788"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2"/>
    </mc:Choice>
    <mc:Fallback>
      <c:style val="42"/>
    </mc:Fallback>
  </mc:AlternateContent>
  <c:chart>
    <c:title>
      <c:layout>
        <c:manualLayout>
          <c:xMode val="edge"/>
          <c:yMode val="edge"/>
          <c:x val="0.40441224869342735"/>
          <c:y val="2.0325283938658928E-2"/>
        </c:manualLayout>
      </c:layout>
      <c:overlay val="0"/>
      <c:txPr>
        <a:bodyPr/>
        <a:lstStyle/>
        <a:p>
          <a:pPr>
            <a:defRPr sz="1100"/>
          </a:pPr>
          <a:endParaRPr lang="es-ES"/>
        </a:p>
      </c:txPr>
    </c:title>
    <c:autoTitleDeleted val="0"/>
    <c:plotArea>
      <c:layout>
        <c:manualLayout>
          <c:layoutTarget val="inner"/>
          <c:xMode val="edge"/>
          <c:yMode val="edge"/>
          <c:x val="7.1078516437026604E-2"/>
          <c:y val="0.17479744187247359"/>
          <c:w val="0.91911874703051644"/>
          <c:h val="0.66260425640030296"/>
        </c:manualLayout>
      </c:layout>
      <c:barChart>
        <c:barDir val="col"/>
        <c:grouping val="clustered"/>
        <c:varyColors val="0"/>
        <c:ser>
          <c:idx val="0"/>
          <c:order val="0"/>
          <c:tx>
            <c:strRef>
              <c:f>Financiero!$B$41:$B$42</c:f>
              <c:strCache>
                <c:ptCount val="1"/>
                <c:pt idx="0">
                  <c:v>FONDO DE MANIOBRA</c:v>
                </c:pt>
              </c:strCache>
            </c:strRef>
          </c:tx>
          <c:invertIfNegative val="0"/>
          <c:cat>
            <c:numRef>
              <c:extLst>
                <c:ext xmlns:c15="http://schemas.microsoft.com/office/drawing/2012/chart" uri="{02D57815-91ED-43cb-92C2-25804820EDAC}">
                  <c15:fullRef>
                    <c15:sqref>Financiero!$C$4:$F$4</c15:sqref>
                  </c15:fullRef>
                </c:ext>
              </c:extLst>
              <c:f>Financiero!$C$4:$D$4</c:f>
              <c:numCache>
                <c:formatCode>General</c:formatCode>
                <c:ptCount val="2"/>
                <c:pt idx="0">
                  <c:v>2024</c:v>
                </c:pt>
                <c:pt idx="1">
                  <c:v>2023</c:v>
                </c:pt>
              </c:numCache>
            </c:numRef>
          </c:cat>
          <c:val>
            <c:numRef>
              <c:extLst>
                <c:ext xmlns:c15="http://schemas.microsoft.com/office/drawing/2012/chart" uri="{02D57815-91ED-43cb-92C2-25804820EDAC}">
                  <c15:fullRef>
                    <c15:sqref>Financiero!$C$41:$F$41</c15:sqref>
                  </c15:fullRef>
                </c:ext>
              </c:extLst>
              <c:f>Financiero!$C$41:$D$41</c:f>
              <c:numCache>
                <c:formatCode>#,##0.00</c:formatCode>
                <c:ptCount val="2"/>
                <c:pt idx="0">
                  <c:v>157612184.53000003</c:v>
                </c:pt>
                <c:pt idx="1">
                  <c:v>137768062.74000001</c:v>
                </c:pt>
              </c:numCache>
            </c:numRef>
          </c:val>
          <c:extLst>
            <c:ext xmlns:c16="http://schemas.microsoft.com/office/drawing/2014/chart" uri="{C3380CC4-5D6E-409C-BE32-E72D297353CC}">
              <c16:uniqueId val="{00000000-91C3-49F6-9B8F-49C91F7E7900}"/>
            </c:ext>
          </c:extLst>
        </c:ser>
        <c:dLbls>
          <c:showLegendKey val="0"/>
          <c:showVal val="0"/>
          <c:showCatName val="0"/>
          <c:showSerName val="0"/>
          <c:showPercent val="0"/>
          <c:showBubbleSize val="0"/>
        </c:dLbls>
        <c:gapWidth val="150"/>
        <c:axId val="532099776"/>
        <c:axId val="532100168"/>
      </c:barChart>
      <c:catAx>
        <c:axId val="532099776"/>
        <c:scaling>
          <c:orientation val="minMax"/>
        </c:scaling>
        <c:delete val="0"/>
        <c:axPos val="b"/>
        <c:numFmt formatCode="General" sourceLinked="1"/>
        <c:majorTickMark val="out"/>
        <c:minorTickMark val="none"/>
        <c:tickLblPos val="nextTo"/>
        <c:txPr>
          <a:bodyPr rot="0" vert="horz"/>
          <a:lstStyle/>
          <a:p>
            <a:pPr>
              <a:defRPr/>
            </a:pPr>
            <a:endParaRPr lang="es-ES"/>
          </a:p>
        </c:txPr>
        <c:crossAx val="532100168"/>
        <c:crosses val="autoZero"/>
        <c:auto val="1"/>
        <c:lblAlgn val="ctr"/>
        <c:lblOffset val="100"/>
        <c:tickLblSkip val="1"/>
        <c:tickMarkSkip val="1"/>
        <c:noMultiLvlLbl val="0"/>
      </c:catAx>
      <c:valAx>
        <c:axId val="532100168"/>
        <c:scaling>
          <c:orientation val="minMax"/>
        </c:scaling>
        <c:delete val="0"/>
        <c:axPos val="l"/>
        <c:majorGridlines/>
        <c:numFmt formatCode="#,##0.00" sourceLinked="1"/>
        <c:majorTickMark val="out"/>
        <c:minorTickMark val="none"/>
        <c:tickLblPos val="nextTo"/>
        <c:txPr>
          <a:bodyPr rot="0" vert="horz"/>
          <a:lstStyle/>
          <a:p>
            <a:pPr>
              <a:defRPr/>
            </a:pPr>
            <a:endParaRPr lang="es-ES"/>
          </a:p>
        </c:txPr>
        <c:crossAx val="532099776"/>
        <c:crosses val="autoZero"/>
        <c:crossBetween val="between"/>
      </c:valAx>
    </c:plotArea>
    <c:plotVisOnly val="1"/>
    <c:dispBlanksAs val="gap"/>
    <c:showDLblsOverMax val="0"/>
  </c:chart>
  <c:printSettings>
    <c:headerFooter alignWithMargins="0"/>
    <c:pageMargins b="1" l="0.75000000000000788" r="0.75000000000000788" t="1" header="0" footer="0"/>
    <c:pageSetup paperSize="9" orientation="landscape" horizontalDpi="300"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050"/>
            </a:pPr>
            <a:r>
              <a:rPr lang="es-ES" sz="1050"/>
              <a:t>RENTABILIDAD DE LOS CAPITALES</a:t>
            </a:r>
          </a:p>
        </c:rich>
      </c:tx>
      <c:layout>
        <c:manualLayout>
          <c:xMode val="edge"/>
          <c:yMode val="edge"/>
          <c:x val="0.30635895795505669"/>
          <c:y val="3.8759836633344813E-2"/>
        </c:manualLayout>
      </c:layout>
      <c:overlay val="0"/>
    </c:title>
    <c:autoTitleDeleted val="0"/>
    <c:plotArea>
      <c:layout>
        <c:manualLayout>
          <c:layoutTarget val="inner"/>
          <c:xMode val="edge"/>
          <c:yMode val="edge"/>
          <c:x val="0.14450894243162904"/>
          <c:y val="0.1899231995033937"/>
          <c:w val="0.83237150840616803"/>
          <c:h val="0.56589361484683465"/>
        </c:manualLayout>
      </c:layout>
      <c:barChart>
        <c:barDir val="col"/>
        <c:grouping val="clustered"/>
        <c:varyColors val="0"/>
        <c:ser>
          <c:idx val="0"/>
          <c:order val="0"/>
          <c:tx>
            <c:strRef>
              <c:f>Rentabilidad!$B$6:$B$7</c:f>
              <c:strCache>
                <c:ptCount val="1"/>
                <c:pt idx="0">
                  <c:v>FINANCIERA</c:v>
                </c:pt>
              </c:strCache>
            </c:strRef>
          </c:tx>
          <c:invertIfNegative val="0"/>
          <c:cat>
            <c:numRef>
              <c:extLst>
                <c:ext xmlns:c15="http://schemas.microsoft.com/office/drawing/2012/chart" uri="{02D57815-91ED-43cb-92C2-25804820EDAC}">
                  <c15:fullRef>
                    <c15:sqref>Rentabilidad!$C$4:$F$4</c15:sqref>
                  </c15:fullRef>
                </c:ext>
              </c:extLst>
              <c:f>Rentabilidad!$C$4:$D$4</c:f>
              <c:numCache>
                <c:formatCode>General</c:formatCode>
                <c:ptCount val="2"/>
                <c:pt idx="0">
                  <c:v>2024</c:v>
                </c:pt>
                <c:pt idx="1">
                  <c:v>2023</c:v>
                </c:pt>
              </c:numCache>
            </c:numRef>
          </c:cat>
          <c:val>
            <c:numRef>
              <c:extLst>
                <c:ext xmlns:c15="http://schemas.microsoft.com/office/drawing/2012/chart" uri="{02D57815-91ED-43cb-92C2-25804820EDAC}">
                  <c15:fullRef>
                    <c15:sqref>Rentabilidad!$C$6:$F$6</c15:sqref>
                  </c15:fullRef>
                </c:ext>
              </c:extLst>
              <c:f>Rentabilidad!$C$6:$D$6</c:f>
              <c:numCache>
                <c:formatCode>0.00%</c:formatCode>
                <c:ptCount val="2"/>
                <c:pt idx="0">
                  <c:v>5.1242239901270687E-3</c:v>
                </c:pt>
                <c:pt idx="1">
                  <c:v>1.355877017006385E-2</c:v>
                </c:pt>
              </c:numCache>
            </c:numRef>
          </c:val>
          <c:extLst>
            <c:ext xmlns:c16="http://schemas.microsoft.com/office/drawing/2014/chart" uri="{C3380CC4-5D6E-409C-BE32-E72D297353CC}">
              <c16:uniqueId val="{00000000-5A88-43E9-A6A3-0D67ED2DA4DF}"/>
            </c:ext>
          </c:extLst>
        </c:ser>
        <c:ser>
          <c:idx val="1"/>
          <c:order val="1"/>
          <c:tx>
            <c:strRef>
              <c:f>Rentabilidad!$B$13:$B$14</c:f>
              <c:strCache>
                <c:ptCount val="1"/>
                <c:pt idx="0">
                  <c:v>RECURSOS PROPIOS (ROE)</c:v>
                </c:pt>
              </c:strCache>
            </c:strRef>
          </c:tx>
          <c:invertIfNegative val="0"/>
          <c:cat>
            <c:numRef>
              <c:extLst>
                <c:ext xmlns:c15="http://schemas.microsoft.com/office/drawing/2012/chart" uri="{02D57815-91ED-43cb-92C2-25804820EDAC}">
                  <c15:fullRef>
                    <c15:sqref>Rentabilidad!$C$4:$F$4</c15:sqref>
                  </c15:fullRef>
                </c:ext>
              </c:extLst>
              <c:f>Rentabilidad!$C$4:$D$4</c:f>
              <c:numCache>
                <c:formatCode>General</c:formatCode>
                <c:ptCount val="2"/>
                <c:pt idx="0">
                  <c:v>2024</c:v>
                </c:pt>
                <c:pt idx="1">
                  <c:v>2023</c:v>
                </c:pt>
              </c:numCache>
            </c:numRef>
          </c:cat>
          <c:val>
            <c:numRef>
              <c:extLst>
                <c:ext xmlns:c15="http://schemas.microsoft.com/office/drawing/2012/chart" uri="{02D57815-91ED-43cb-92C2-25804820EDAC}">
                  <c15:fullRef>
                    <c15:sqref>Rentabilidad!$C$13:$F$13</c15:sqref>
                  </c15:fullRef>
                </c:ext>
              </c:extLst>
              <c:f>Rentabilidad!$C$13:$D$13</c:f>
              <c:numCache>
                <c:formatCode>0.00%</c:formatCode>
                <c:ptCount val="2"/>
                <c:pt idx="0">
                  <c:v>4.2960745480454851E-2</c:v>
                </c:pt>
                <c:pt idx="1">
                  <c:v>3.446396177312875E-2</c:v>
                </c:pt>
              </c:numCache>
            </c:numRef>
          </c:val>
          <c:extLst>
            <c:ext xmlns:c16="http://schemas.microsoft.com/office/drawing/2014/chart" uri="{C3380CC4-5D6E-409C-BE32-E72D297353CC}">
              <c16:uniqueId val="{00000001-5A88-43E9-A6A3-0D67ED2DA4DF}"/>
            </c:ext>
          </c:extLst>
        </c:ser>
        <c:ser>
          <c:idx val="2"/>
          <c:order val="2"/>
          <c:tx>
            <c:strRef>
              <c:f>Rentabilidad!$B$20:$B$21</c:f>
              <c:strCache>
                <c:ptCount val="1"/>
                <c:pt idx="0">
                  <c:v>GLOBAL</c:v>
                </c:pt>
              </c:strCache>
            </c:strRef>
          </c:tx>
          <c:invertIfNegative val="0"/>
          <c:cat>
            <c:strLit>
              <c:ptCount val="2"/>
              <c:pt idx="0">
                <c:v>2024</c:v>
              </c:pt>
              <c:pt idx="1">
                <c:v>2023</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Rentabilidad!$C$20:$F$20</c15:sqref>
                  </c15:fullRef>
                </c:ext>
              </c:extLst>
              <c:f>Rentabilidad!$C$20:$D$20</c:f>
              <c:numCache>
                <c:formatCode>0.00%</c:formatCode>
                <c:ptCount val="2"/>
                <c:pt idx="0">
                  <c:v>4.15539904443636E-2</c:v>
                </c:pt>
                <c:pt idx="1">
                  <c:v>3.3674403981491803E-2</c:v>
                </c:pt>
              </c:numCache>
            </c:numRef>
          </c:val>
          <c:extLst>
            <c:ext xmlns:c16="http://schemas.microsoft.com/office/drawing/2014/chart" uri="{C3380CC4-5D6E-409C-BE32-E72D297353CC}">
              <c16:uniqueId val="{00000002-5A88-43E9-A6A3-0D67ED2DA4DF}"/>
            </c:ext>
          </c:extLst>
        </c:ser>
        <c:ser>
          <c:idx val="3"/>
          <c:order val="3"/>
          <c:tx>
            <c:strRef>
              <c:f>Rentabilidad!$B$27:$B$28</c:f>
              <c:strCache>
                <c:ptCount val="1"/>
                <c:pt idx="0">
                  <c:v>DEL CAPITAL</c:v>
                </c:pt>
              </c:strCache>
            </c:strRef>
          </c:tx>
          <c:invertIfNegative val="0"/>
          <c:cat>
            <c:strLit>
              <c:ptCount val="2"/>
              <c:pt idx="0">
                <c:v>2024</c:v>
              </c:pt>
              <c:pt idx="1">
                <c:v>2023</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Rentabilidad!$C$27:$F$27</c15:sqref>
                  </c15:fullRef>
                </c:ext>
              </c:extLst>
              <c:f>Rentabilidad!$C$27:$D$27</c:f>
              <c:numCache>
                <c:formatCode>0.00%</c:formatCode>
                <c:ptCount val="2"/>
                <c:pt idx="0">
                  <c:v>0.1045821414759364</c:v>
                </c:pt>
                <c:pt idx="1">
                  <c:v>7.7181022188405654E-2</c:v>
                </c:pt>
              </c:numCache>
            </c:numRef>
          </c:val>
          <c:extLst>
            <c:ext xmlns:c16="http://schemas.microsoft.com/office/drawing/2014/chart" uri="{C3380CC4-5D6E-409C-BE32-E72D297353CC}">
              <c16:uniqueId val="{00000003-5A88-43E9-A6A3-0D67ED2DA4DF}"/>
            </c:ext>
          </c:extLst>
        </c:ser>
        <c:dLbls>
          <c:showLegendKey val="0"/>
          <c:showVal val="0"/>
          <c:showCatName val="0"/>
          <c:showSerName val="0"/>
          <c:showPercent val="0"/>
          <c:showBubbleSize val="0"/>
        </c:dLbls>
        <c:gapWidth val="150"/>
        <c:axId val="517365280"/>
        <c:axId val="532100560"/>
      </c:barChart>
      <c:catAx>
        <c:axId val="517365280"/>
        <c:scaling>
          <c:orientation val="minMax"/>
        </c:scaling>
        <c:delete val="0"/>
        <c:axPos val="b"/>
        <c:numFmt formatCode="General" sourceLinked="1"/>
        <c:majorTickMark val="out"/>
        <c:minorTickMark val="none"/>
        <c:tickLblPos val="nextTo"/>
        <c:txPr>
          <a:bodyPr rot="0" vert="horz"/>
          <a:lstStyle/>
          <a:p>
            <a:pPr>
              <a:defRPr/>
            </a:pPr>
            <a:endParaRPr lang="es-ES"/>
          </a:p>
        </c:txPr>
        <c:crossAx val="532100560"/>
        <c:crosses val="autoZero"/>
        <c:auto val="1"/>
        <c:lblAlgn val="ctr"/>
        <c:lblOffset val="100"/>
        <c:tickLblSkip val="1"/>
        <c:tickMarkSkip val="1"/>
        <c:noMultiLvlLbl val="0"/>
      </c:catAx>
      <c:valAx>
        <c:axId val="532100560"/>
        <c:scaling>
          <c:orientation val="minMax"/>
        </c:scaling>
        <c:delete val="0"/>
        <c:axPos val="l"/>
        <c:majorGridlines/>
        <c:numFmt formatCode="0.00%" sourceLinked="1"/>
        <c:majorTickMark val="out"/>
        <c:minorTickMark val="none"/>
        <c:tickLblPos val="nextTo"/>
        <c:txPr>
          <a:bodyPr rot="0" vert="horz"/>
          <a:lstStyle/>
          <a:p>
            <a:pPr>
              <a:defRPr sz="800"/>
            </a:pPr>
            <a:endParaRPr lang="es-ES"/>
          </a:p>
        </c:txPr>
        <c:crossAx val="517365280"/>
        <c:crosses val="autoZero"/>
        <c:crossBetween val="between"/>
      </c:valAx>
    </c:plotArea>
    <c:legend>
      <c:legendPos val="b"/>
      <c:layout>
        <c:manualLayout>
          <c:xMode val="edge"/>
          <c:yMode val="edge"/>
          <c:x val="7.514465006444572E-2"/>
          <c:y val="0.88372427524026176"/>
          <c:w val="0.82659115070890288"/>
          <c:h val="8.9147624256693078E-2"/>
        </c:manualLayout>
      </c:layout>
      <c:overlay val="0"/>
      <c:txPr>
        <a:bodyPr/>
        <a:lstStyle/>
        <a:p>
          <a:pPr>
            <a:defRPr sz="700"/>
          </a:pPr>
          <a:endParaRPr lang="es-ES"/>
        </a:p>
      </c:txPr>
    </c:legend>
    <c:plotVisOnly val="1"/>
    <c:dispBlanksAs val="gap"/>
    <c:showDLblsOverMax val="0"/>
  </c:chart>
  <c:printSettings>
    <c:headerFooter alignWithMargins="0"/>
    <c:pageMargins b="1" l="0.75000000000000788" r="0.75000000000000788" t="1" header="0" footer="0"/>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100"/>
            </a:pPr>
            <a:r>
              <a:rPr lang="es-ES" sz="1100"/>
              <a:t>RENTABILIDAD DE LAS VENTAS</a:t>
            </a:r>
          </a:p>
        </c:rich>
      </c:tx>
      <c:layout>
        <c:manualLayout>
          <c:xMode val="edge"/>
          <c:yMode val="edge"/>
          <c:x val="0.32370002662239183"/>
          <c:y val="3.7174742965533691E-2"/>
        </c:manualLayout>
      </c:layout>
      <c:overlay val="0"/>
    </c:title>
    <c:autoTitleDeleted val="0"/>
    <c:plotArea>
      <c:layout>
        <c:manualLayout>
          <c:layoutTarget val="inner"/>
          <c:xMode val="edge"/>
          <c:yMode val="edge"/>
          <c:x val="0.14450894243162904"/>
          <c:y val="0.18215613382899859"/>
          <c:w val="0.82851793660799122"/>
          <c:h val="0.5464684014869885"/>
        </c:manualLayout>
      </c:layout>
      <c:barChart>
        <c:barDir val="col"/>
        <c:grouping val="clustered"/>
        <c:varyColors val="0"/>
        <c:ser>
          <c:idx val="0"/>
          <c:order val="0"/>
          <c:tx>
            <c:strRef>
              <c:f>Rentabilidad!$B$34</c:f>
              <c:strCache>
                <c:ptCount val="1"/>
                <c:pt idx="0">
                  <c:v>RENT. VENTAS</c:v>
                </c:pt>
              </c:strCache>
            </c:strRef>
          </c:tx>
          <c:invertIfNegative val="0"/>
          <c:cat>
            <c:numRef>
              <c:extLst>
                <c:ext xmlns:c15="http://schemas.microsoft.com/office/drawing/2012/chart" uri="{02D57815-91ED-43cb-92C2-25804820EDAC}">
                  <c15:fullRef>
                    <c15:sqref>Rentabilidad!$C$4:$F$4</c15:sqref>
                  </c15:fullRef>
                </c:ext>
              </c:extLst>
              <c:f>Rentabilidad!$C$4:$D$4</c:f>
              <c:numCache>
                <c:formatCode>General</c:formatCode>
                <c:ptCount val="2"/>
                <c:pt idx="0">
                  <c:v>2024</c:v>
                </c:pt>
                <c:pt idx="1">
                  <c:v>2023</c:v>
                </c:pt>
              </c:numCache>
            </c:numRef>
          </c:cat>
          <c:val>
            <c:numRef>
              <c:extLst>
                <c:ext xmlns:c15="http://schemas.microsoft.com/office/drawing/2012/chart" uri="{02D57815-91ED-43cb-92C2-25804820EDAC}">
                  <c15:fullRef>
                    <c15:sqref>Rentabilidad!$C$34:$F$34</c15:sqref>
                  </c15:fullRef>
                </c:ext>
              </c:extLst>
              <c:f>Rentabilidad!$C$34:$D$34</c:f>
              <c:numCache>
                <c:formatCode>0.00%</c:formatCode>
                <c:ptCount val="2"/>
                <c:pt idx="0">
                  <c:v>0.19843991636047037</c:v>
                </c:pt>
                <c:pt idx="1">
                  <c:v>0.16710382958618378</c:v>
                </c:pt>
              </c:numCache>
            </c:numRef>
          </c:val>
          <c:extLst>
            <c:ext xmlns:c16="http://schemas.microsoft.com/office/drawing/2014/chart" uri="{C3380CC4-5D6E-409C-BE32-E72D297353CC}">
              <c16:uniqueId val="{00000000-A83A-48B9-AB82-08AEF722000E}"/>
            </c:ext>
          </c:extLst>
        </c:ser>
        <c:ser>
          <c:idx val="1"/>
          <c:order val="1"/>
          <c:tx>
            <c:strRef>
              <c:f>Rentabilidad!$B$41</c:f>
              <c:strCache>
                <c:ptCount val="1"/>
                <c:pt idx="0">
                  <c:v>MARGEN SOBRE VENTAS</c:v>
                </c:pt>
              </c:strCache>
            </c:strRef>
          </c:tx>
          <c:invertIfNegative val="0"/>
          <c:cat>
            <c:strLit>
              <c:ptCount val="2"/>
              <c:pt idx="0">
                <c:v>2024</c:v>
              </c:pt>
              <c:pt idx="1">
                <c:v>2023</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Rentabilidad!$C$41:$F$41</c15:sqref>
                  </c15:fullRef>
                </c:ext>
              </c:extLst>
              <c:f>Rentabilidad!$C$41:$D$41</c:f>
              <c:numCache>
                <c:formatCode>0.00%</c:formatCode>
                <c:ptCount val="2"/>
                <c:pt idx="0">
                  <c:v>0.19336087707679947</c:v>
                </c:pt>
                <c:pt idx="1">
                  <c:v>0.22856221378687813</c:v>
                </c:pt>
              </c:numCache>
            </c:numRef>
          </c:val>
          <c:extLst>
            <c:ext xmlns:c16="http://schemas.microsoft.com/office/drawing/2014/chart" uri="{C3380CC4-5D6E-409C-BE32-E72D297353CC}">
              <c16:uniqueId val="{00000001-A83A-48B9-AB82-08AEF722000E}"/>
            </c:ext>
          </c:extLst>
        </c:ser>
        <c:dLbls>
          <c:showLegendKey val="0"/>
          <c:showVal val="0"/>
          <c:showCatName val="0"/>
          <c:showSerName val="0"/>
          <c:showPercent val="0"/>
          <c:showBubbleSize val="0"/>
        </c:dLbls>
        <c:gapWidth val="150"/>
        <c:axId val="532101344"/>
        <c:axId val="532101736"/>
      </c:barChart>
      <c:catAx>
        <c:axId val="532101344"/>
        <c:scaling>
          <c:orientation val="minMax"/>
        </c:scaling>
        <c:delete val="0"/>
        <c:axPos val="b"/>
        <c:numFmt formatCode="General" sourceLinked="1"/>
        <c:majorTickMark val="out"/>
        <c:minorTickMark val="none"/>
        <c:tickLblPos val="nextTo"/>
        <c:txPr>
          <a:bodyPr rot="0" vert="horz"/>
          <a:lstStyle/>
          <a:p>
            <a:pPr>
              <a:defRPr/>
            </a:pPr>
            <a:endParaRPr lang="es-ES"/>
          </a:p>
        </c:txPr>
        <c:crossAx val="532101736"/>
        <c:crosses val="autoZero"/>
        <c:auto val="1"/>
        <c:lblAlgn val="ctr"/>
        <c:lblOffset val="100"/>
        <c:tickLblSkip val="1"/>
        <c:tickMarkSkip val="1"/>
        <c:noMultiLvlLbl val="0"/>
      </c:catAx>
      <c:valAx>
        <c:axId val="532101736"/>
        <c:scaling>
          <c:orientation val="minMax"/>
        </c:scaling>
        <c:delete val="0"/>
        <c:axPos val="l"/>
        <c:majorGridlines/>
        <c:numFmt formatCode="0.00%" sourceLinked="1"/>
        <c:majorTickMark val="out"/>
        <c:minorTickMark val="none"/>
        <c:tickLblPos val="nextTo"/>
        <c:txPr>
          <a:bodyPr rot="0" vert="horz"/>
          <a:lstStyle/>
          <a:p>
            <a:pPr>
              <a:defRPr sz="800"/>
            </a:pPr>
            <a:endParaRPr lang="es-ES"/>
          </a:p>
        </c:txPr>
        <c:crossAx val="532101344"/>
        <c:crosses val="autoZero"/>
        <c:crossBetween val="between"/>
      </c:valAx>
    </c:plotArea>
    <c:legend>
      <c:legendPos val="b"/>
      <c:layout>
        <c:manualLayout>
          <c:xMode val="edge"/>
          <c:yMode val="edge"/>
          <c:x val="0.27938395536781979"/>
          <c:y val="0.8773234200743496"/>
          <c:w val="0.51830540685476667"/>
          <c:h val="8.5501858736061906E-2"/>
        </c:manualLayout>
      </c:layout>
      <c:overlay val="0"/>
      <c:txPr>
        <a:bodyPr/>
        <a:lstStyle/>
        <a:p>
          <a:pPr>
            <a:defRPr sz="700"/>
          </a:pPr>
          <a:endParaRPr lang="es-ES"/>
        </a:p>
      </c:txPr>
    </c:legend>
    <c:plotVisOnly val="1"/>
    <c:dispBlanksAs val="gap"/>
    <c:showDLblsOverMax val="0"/>
  </c:chart>
  <c:printSettings>
    <c:headerFooter alignWithMargins="0"/>
    <c:pageMargins b="1" l="0.75000000000000788" r="0.75000000000000788" t="1" header="0" footer="0"/>
    <c:pageSetup paperSize="9" orientation="landscape" horizontalDpi="300"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100"/>
            </a:pPr>
            <a:r>
              <a:rPr lang="es-ES" sz="1100"/>
              <a:t>NÚMERO DE DÍAS DE GESTIÓN</a:t>
            </a:r>
          </a:p>
        </c:rich>
      </c:tx>
      <c:layout>
        <c:manualLayout>
          <c:xMode val="edge"/>
          <c:yMode val="edge"/>
          <c:x val="0.33823559770975026"/>
          <c:y val="4.9833967883695943E-2"/>
        </c:manualLayout>
      </c:layout>
      <c:overlay val="0"/>
    </c:title>
    <c:autoTitleDeleted val="0"/>
    <c:plotArea>
      <c:layout>
        <c:manualLayout>
          <c:layoutTarget val="inner"/>
          <c:xMode val="edge"/>
          <c:yMode val="edge"/>
          <c:x val="0.106617742756334"/>
          <c:y val="0.1495019036510844"/>
          <c:w val="0.87500078537955372"/>
          <c:h val="0.60132987912991764"/>
        </c:manualLayout>
      </c:layout>
      <c:barChart>
        <c:barDir val="col"/>
        <c:grouping val="clustered"/>
        <c:varyColors val="0"/>
        <c:ser>
          <c:idx val="0"/>
          <c:order val="0"/>
          <c:tx>
            <c:strRef>
              <c:f>Operativos!$J$6</c:f>
              <c:strCache>
                <c:ptCount val="1"/>
                <c:pt idx="0">
                  <c:v>EXISTENCIAS</c:v>
                </c:pt>
              </c:strCache>
            </c:strRef>
          </c:tx>
          <c:invertIfNegative val="0"/>
          <c:cat>
            <c:numRef>
              <c:extLst>
                <c:ext xmlns:c15="http://schemas.microsoft.com/office/drawing/2012/chart" uri="{02D57815-91ED-43cb-92C2-25804820EDAC}">
                  <c15:fullRef>
                    <c15:sqref>Operativos!$C$4:$F$4</c15:sqref>
                  </c15:fullRef>
                </c:ext>
              </c:extLst>
              <c:f>Operativos!$C$4:$D$4</c:f>
              <c:numCache>
                <c:formatCode>General</c:formatCode>
                <c:ptCount val="2"/>
                <c:pt idx="0">
                  <c:v>2024</c:v>
                </c:pt>
                <c:pt idx="1">
                  <c:v>2023</c:v>
                </c:pt>
              </c:numCache>
            </c:numRef>
          </c:cat>
          <c:val>
            <c:numRef>
              <c:extLst>
                <c:ext xmlns:c15="http://schemas.microsoft.com/office/drawing/2012/chart" uri="{02D57815-91ED-43cb-92C2-25804820EDAC}">
                  <c15:fullRef>
                    <c15:sqref>Operativos!$C$6:$F$6</c15:sqref>
                  </c15:fullRef>
                </c:ext>
              </c:extLst>
              <c:f>Operativos!$C$6:$D$6</c:f>
              <c:numCache>
                <c:formatCode>0.00</c:formatCode>
                <c:ptCount val="2"/>
                <c:pt idx="0">
                  <c:v>280.59869929244502</c:v>
                </c:pt>
                <c:pt idx="1">
                  <c:v>304.92763127125016</c:v>
                </c:pt>
              </c:numCache>
            </c:numRef>
          </c:val>
          <c:extLst>
            <c:ext xmlns:c16="http://schemas.microsoft.com/office/drawing/2014/chart" uri="{C3380CC4-5D6E-409C-BE32-E72D297353CC}">
              <c16:uniqueId val="{00000000-A6BF-4A00-8464-EA8B604209F1}"/>
            </c:ext>
          </c:extLst>
        </c:ser>
        <c:ser>
          <c:idx val="1"/>
          <c:order val="1"/>
          <c:tx>
            <c:strRef>
              <c:f>Operativos!$J$13</c:f>
              <c:strCache>
                <c:ptCount val="1"/>
                <c:pt idx="0">
                  <c:v>PROVEEDORES</c:v>
                </c:pt>
              </c:strCache>
            </c:strRef>
          </c:tx>
          <c:invertIfNegative val="0"/>
          <c:cat>
            <c:strLit>
              <c:ptCount val="2"/>
              <c:pt idx="0">
                <c:v>2024</c:v>
              </c:pt>
              <c:pt idx="1">
                <c:v>2023</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Operativos!$C$13:$F$13</c15:sqref>
                  </c15:fullRef>
                </c:ext>
              </c:extLst>
              <c:f>Operativos!$C$13:$D$13</c:f>
              <c:numCache>
                <c:formatCode>0.00</c:formatCode>
                <c:ptCount val="2"/>
                <c:pt idx="0">
                  <c:v>1.0195341572887573</c:v>
                </c:pt>
                <c:pt idx="1">
                  <c:v>0.57030452022079625</c:v>
                </c:pt>
              </c:numCache>
            </c:numRef>
          </c:val>
          <c:extLst>
            <c:ext xmlns:c16="http://schemas.microsoft.com/office/drawing/2014/chart" uri="{C3380CC4-5D6E-409C-BE32-E72D297353CC}">
              <c16:uniqueId val="{00000001-A6BF-4A00-8464-EA8B604209F1}"/>
            </c:ext>
          </c:extLst>
        </c:ser>
        <c:ser>
          <c:idx val="2"/>
          <c:order val="2"/>
          <c:tx>
            <c:strRef>
              <c:f>Operativos!$J$20</c:f>
              <c:strCache>
                <c:ptCount val="1"/>
                <c:pt idx="0">
                  <c:v>CLIENTES</c:v>
                </c:pt>
              </c:strCache>
            </c:strRef>
          </c:tx>
          <c:invertIfNegative val="0"/>
          <c:cat>
            <c:strLit>
              <c:ptCount val="2"/>
              <c:pt idx="0">
                <c:v>2024</c:v>
              </c:pt>
              <c:pt idx="1">
                <c:v>2023</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Operativos!$C$20:$F$20</c15:sqref>
                  </c15:fullRef>
                </c:ext>
              </c:extLst>
              <c:f>Operativos!$C$20:$D$20</c:f>
              <c:numCache>
                <c:formatCode>0.00</c:formatCode>
                <c:ptCount val="2"/>
                <c:pt idx="0">
                  <c:v>120.39649933362659</c:v>
                </c:pt>
                <c:pt idx="1">
                  <c:v>115.31076273814918</c:v>
                </c:pt>
              </c:numCache>
            </c:numRef>
          </c:val>
          <c:extLst>
            <c:ext xmlns:c16="http://schemas.microsoft.com/office/drawing/2014/chart" uri="{C3380CC4-5D6E-409C-BE32-E72D297353CC}">
              <c16:uniqueId val="{00000002-A6BF-4A00-8464-EA8B604209F1}"/>
            </c:ext>
          </c:extLst>
        </c:ser>
        <c:ser>
          <c:idx val="4"/>
          <c:order val="3"/>
          <c:tx>
            <c:strRef>
              <c:f>Operativos!$J$27</c:f>
              <c:strCache>
                <c:ptCount val="1"/>
                <c:pt idx="0">
                  <c:v>TESORERÍA</c:v>
                </c:pt>
              </c:strCache>
            </c:strRef>
          </c:tx>
          <c:invertIfNegative val="0"/>
          <c:cat>
            <c:strLit>
              <c:ptCount val="2"/>
              <c:pt idx="0">
                <c:v>2024</c:v>
              </c:pt>
              <c:pt idx="1">
                <c:v>2023</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Operativos!$C$27:$F$27</c15:sqref>
                  </c15:fullRef>
                </c:ext>
              </c:extLst>
              <c:f>Operativos!$C$27:$D$27</c:f>
              <c:numCache>
                <c:formatCode>0.00</c:formatCode>
                <c:ptCount val="2"/>
                <c:pt idx="0">
                  <c:v>549.28590140216238</c:v>
                </c:pt>
                <c:pt idx="1">
                  <c:v>538.88118904267412</c:v>
                </c:pt>
              </c:numCache>
            </c:numRef>
          </c:val>
          <c:extLst>
            <c:ext xmlns:c16="http://schemas.microsoft.com/office/drawing/2014/chart" uri="{C3380CC4-5D6E-409C-BE32-E72D297353CC}">
              <c16:uniqueId val="{00000003-A6BF-4A00-8464-EA8B604209F1}"/>
            </c:ext>
          </c:extLst>
        </c:ser>
        <c:dLbls>
          <c:showLegendKey val="0"/>
          <c:showVal val="0"/>
          <c:showCatName val="0"/>
          <c:showSerName val="0"/>
          <c:showPercent val="0"/>
          <c:showBubbleSize val="0"/>
        </c:dLbls>
        <c:gapWidth val="150"/>
        <c:axId val="532102128"/>
        <c:axId val="532102912"/>
      </c:barChart>
      <c:catAx>
        <c:axId val="532102128"/>
        <c:scaling>
          <c:orientation val="minMax"/>
        </c:scaling>
        <c:delete val="0"/>
        <c:axPos val="b"/>
        <c:numFmt formatCode="General" sourceLinked="1"/>
        <c:majorTickMark val="out"/>
        <c:minorTickMark val="none"/>
        <c:tickLblPos val="nextTo"/>
        <c:txPr>
          <a:bodyPr rot="0" vert="horz"/>
          <a:lstStyle/>
          <a:p>
            <a:pPr>
              <a:defRPr/>
            </a:pPr>
            <a:endParaRPr lang="es-ES"/>
          </a:p>
        </c:txPr>
        <c:crossAx val="532102912"/>
        <c:crosses val="autoZero"/>
        <c:auto val="1"/>
        <c:lblAlgn val="ctr"/>
        <c:lblOffset val="100"/>
        <c:tickLblSkip val="1"/>
        <c:tickMarkSkip val="1"/>
        <c:noMultiLvlLbl val="0"/>
      </c:catAx>
      <c:valAx>
        <c:axId val="532102912"/>
        <c:scaling>
          <c:orientation val="minMax"/>
        </c:scaling>
        <c:delete val="0"/>
        <c:axPos val="l"/>
        <c:majorGridlines/>
        <c:numFmt formatCode="0.00" sourceLinked="1"/>
        <c:majorTickMark val="out"/>
        <c:minorTickMark val="none"/>
        <c:tickLblPos val="nextTo"/>
        <c:txPr>
          <a:bodyPr rot="0" vert="horz"/>
          <a:lstStyle/>
          <a:p>
            <a:pPr>
              <a:defRPr/>
            </a:pPr>
            <a:endParaRPr lang="es-ES"/>
          </a:p>
        </c:txPr>
        <c:crossAx val="532102128"/>
        <c:crosses val="autoZero"/>
        <c:crossBetween val="between"/>
      </c:valAx>
    </c:plotArea>
    <c:legend>
      <c:legendPos val="b"/>
      <c:layout>
        <c:manualLayout>
          <c:xMode val="edge"/>
          <c:yMode val="edge"/>
          <c:x val="0.21691195940081603"/>
          <c:y val="0.90365595095766549"/>
          <c:w val="0.56985345266317278"/>
          <c:h val="7.3089819562752345E-2"/>
        </c:manualLayout>
      </c:layout>
      <c:overlay val="0"/>
      <c:txPr>
        <a:bodyPr/>
        <a:lstStyle/>
        <a:p>
          <a:pPr>
            <a:defRPr sz="800"/>
          </a:pPr>
          <a:endParaRPr lang="es-ES"/>
        </a:p>
      </c:txPr>
    </c:legend>
    <c:plotVisOnly val="1"/>
    <c:dispBlanksAs val="gap"/>
    <c:showDLblsOverMax val="0"/>
  </c:chart>
  <c:printSettings>
    <c:headerFooter alignWithMargins="0"/>
    <c:pageMargins b="1" l="0.75000000000000788" r="0.75000000000000788" t="1" header="0" footer="0"/>
    <c:pageSetup paperSize="9" orientation="landscape" horizontalDpi="300" verticalDpi="30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100"/>
            </a:pPr>
            <a:r>
              <a:rPr lang="es-ES" sz="1100"/>
              <a:t>EVOLUCIÓN DE LA PRODUCTIVIDAD</a:t>
            </a:r>
          </a:p>
        </c:rich>
      </c:tx>
      <c:layout>
        <c:manualLayout>
          <c:xMode val="edge"/>
          <c:yMode val="edge"/>
          <c:x val="0.28148199052732681"/>
          <c:y val="2.2522621597962388E-2"/>
        </c:manualLayout>
      </c:layout>
      <c:overlay val="0"/>
    </c:title>
    <c:autoTitleDeleted val="0"/>
    <c:plotArea>
      <c:layout>
        <c:manualLayout>
          <c:layoutTarget val="inner"/>
          <c:xMode val="edge"/>
          <c:yMode val="edge"/>
          <c:x val="9.4444615242721436E-2"/>
          <c:y val="0.1711719241445116"/>
          <c:w val="0.87963122039790065"/>
          <c:h val="0.60811078314498501"/>
        </c:manualLayout>
      </c:layout>
      <c:barChart>
        <c:barDir val="col"/>
        <c:grouping val="clustered"/>
        <c:varyColors val="0"/>
        <c:ser>
          <c:idx val="0"/>
          <c:order val="0"/>
          <c:tx>
            <c:strRef>
              <c:f>Operativos!$B$35:$G$35</c:f>
              <c:strCache>
                <c:ptCount val="6"/>
                <c:pt idx="0">
                  <c:v>PRODUCTIVIDAD</c:v>
                </c:pt>
                <c:pt idx="1">
                  <c:v>1,36</c:v>
                </c:pt>
                <c:pt idx="2">
                  <c:v>1,80</c:v>
                </c:pt>
              </c:strCache>
            </c:strRef>
          </c:tx>
          <c:invertIfNegative val="0"/>
          <c:cat>
            <c:numRef>
              <c:extLst>
                <c:ext xmlns:c15="http://schemas.microsoft.com/office/drawing/2012/chart" uri="{02D57815-91ED-43cb-92C2-25804820EDAC}">
                  <c15:fullRef>
                    <c15:sqref>Operativos!$C$4:$F$4</c15:sqref>
                  </c15:fullRef>
                </c:ext>
              </c:extLst>
              <c:f>Operativos!$C$4:$D$4</c:f>
              <c:numCache>
                <c:formatCode>General</c:formatCode>
                <c:ptCount val="2"/>
                <c:pt idx="0">
                  <c:v>2024</c:v>
                </c:pt>
                <c:pt idx="1">
                  <c:v>2023</c:v>
                </c:pt>
              </c:numCache>
            </c:numRef>
          </c:cat>
          <c:val>
            <c:numRef>
              <c:extLst>
                <c:ext xmlns:c15="http://schemas.microsoft.com/office/drawing/2012/chart" uri="{02D57815-91ED-43cb-92C2-25804820EDAC}">
                  <c15:fullRef>
                    <c15:sqref>Operativos!$C$34:$F$34</c15:sqref>
                  </c15:fullRef>
                </c:ext>
              </c:extLst>
              <c:f>Operativos!$C$34:$D$34</c:f>
              <c:numCache>
                <c:formatCode>0.00</c:formatCode>
                <c:ptCount val="2"/>
                <c:pt idx="0">
                  <c:v>1.3601868248919839</c:v>
                </c:pt>
                <c:pt idx="1">
                  <c:v>1.8037630456753548</c:v>
                </c:pt>
              </c:numCache>
            </c:numRef>
          </c:val>
          <c:extLst>
            <c:ext xmlns:c16="http://schemas.microsoft.com/office/drawing/2014/chart" uri="{C3380CC4-5D6E-409C-BE32-E72D297353CC}">
              <c16:uniqueId val="{00000000-988E-45F8-AF72-A31465ADEA58}"/>
            </c:ext>
          </c:extLst>
        </c:ser>
        <c:dLbls>
          <c:showLegendKey val="0"/>
          <c:showVal val="0"/>
          <c:showCatName val="0"/>
          <c:showSerName val="0"/>
          <c:showPercent val="0"/>
          <c:showBubbleSize val="0"/>
        </c:dLbls>
        <c:gapWidth val="150"/>
        <c:axId val="532103696"/>
        <c:axId val="532104088"/>
      </c:barChart>
      <c:catAx>
        <c:axId val="532103696"/>
        <c:scaling>
          <c:orientation val="minMax"/>
        </c:scaling>
        <c:delete val="0"/>
        <c:axPos val="b"/>
        <c:numFmt formatCode="General" sourceLinked="1"/>
        <c:majorTickMark val="out"/>
        <c:minorTickMark val="none"/>
        <c:tickLblPos val="nextTo"/>
        <c:txPr>
          <a:bodyPr rot="0" vert="horz"/>
          <a:lstStyle/>
          <a:p>
            <a:pPr>
              <a:defRPr/>
            </a:pPr>
            <a:endParaRPr lang="es-ES"/>
          </a:p>
        </c:txPr>
        <c:crossAx val="532104088"/>
        <c:crosses val="autoZero"/>
        <c:auto val="1"/>
        <c:lblAlgn val="ctr"/>
        <c:lblOffset val="100"/>
        <c:tickLblSkip val="1"/>
        <c:tickMarkSkip val="1"/>
        <c:noMultiLvlLbl val="0"/>
      </c:catAx>
      <c:valAx>
        <c:axId val="532104088"/>
        <c:scaling>
          <c:orientation val="minMax"/>
        </c:scaling>
        <c:delete val="0"/>
        <c:axPos val="l"/>
        <c:majorGridlines/>
        <c:numFmt formatCode="0.00" sourceLinked="1"/>
        <c:majorTickMark val="out"/>
        <c:minorTickMark val="none"/>
        <c:tickLblPos val="nextTo"/>
        <c:txPr>
          <a:bodyPr rot="0" vert="horz"/>
          <a:lstStyle/>
          <a:p>
            <a:pPr>
              <a:defRPr/>
            </a:pPr>
            <a:endParaRPr lang="es-ES"/>
          </a:p>
        </c:txPr>
        <c:crossAx val="532103696"/>
        <c:crosses val="autoZero"/>
        <c:crossBetween val="between"/>
      </c:valAx>
    </c:plotArea>
    <c:plotVisOnly val="1"/>
    <c:dispBlanksAs val="gap"/>
    <c:showDLblsOverMax val="0"/>
  </c:chart>
  <c:printSettings>
    <c:headerFooter alignWithMargins="0"/>
    <c:pageMargins b="1" l="0.75000000000000788" r="0.75000000000000788" t="1" header="0" footer="0"/>
    <c:pageSetup paperSize="9" orientation="landscape" horizontalDpi="300"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instrucciones!C24"/><Relationship Id="rId13" Type="http://schemas.openxmlformats.org/officeDocument/2006/relationships/hyperlink" Target="#instrucciones!C74"/><Relationship Id="rId18" Type="http://schemas.openxmlformats.org/officeDocument/2006/relationships/image" Target="../media/image9.jpeg"/><Relationship Id="rId26" Type="http://schemas.openxmlformats.org/officeDocument/2006/relationships/hyperlink" Target="#INCIDENCIAS!A1"/><Relationship Id="rId3" Type="http://schemas.openxmlformats.org/officeDocument/2006/relationships/image" Target="../media/image3.png"/><Relationship Id="rId21" Type="http://schemas.openxmlformats.org/officeDocument/2006/relationships/image" Target="../media/image12.jpeg"/><Relationship Id="rId7" Type="http://schemas.openxmlformats.org/officeDocument/2006/relationships/image" Target="../media/image5.png"/><Relationship Id="rId12" Type="http://schemas.openxmlformats.org/officeDocument/2006/relationships/hyperlink" Target="#instrucciones!C63"/><Relationship Id="rId17" Type="http://schemas.openxmlformats.org/officeDocument/2006/relationships/image" Target="../media/image8.jpeg"/><Relationship Id="rId25" Type="http://schemas.openxmlformats.org/officeDocument/2006/relationships/image" Target="../media/image16.jpeg"/><Relationship Id="rId2" Type="http://schemas.openxmlformats.org/officeDocument/2006/relationships/image" Target="../media/image2.png"/><Relationship Id="rId16" Type="http://schemas.openxmlformats.org/officeDocument/2006/relationships/image" Target="../media/image7.jpeg"/><Relationship Id="rId20" Type="http://schemas.openxmlformats.org/officeDocument/2006/relationships/image" Target="../media/image11.jpeg"/><Relationship Id="rId1" Type="http://schemas.openxmlformats.org/officeDocument/2006/relationships/image" Target="../media/image1.jpeg"/><Relationship Id="rId6" Type="http://schemas.openxmlformats.org/officeDocument/2006/relationships/hyperlink" Target="#instrucciones!C14"/><Relationship Id="rId11" Type="http://schemas.openxmlformats.org/officeDocument/2006/relationships/hyperlink" Target="#instrucciones!C55"/><Relationship Id="rId24" Type="http://schemas.openxmlformats.org/officeDocument/2006/relationships/image" Target="../media/image15.jpeg"/><Relationship Id="rId5" Type="http://schemas.openxmlformats.org/officeDocument/2006/relationships/image" Target="../media/image4.png"/><Relationship Id="rId15" Type="http://schemas.openxmlformats.org/officeDocument/2006/relationships/image" Target="../media/image6.jpeg"/><Relationship Id="rId23" Type="http://schemas.openxmlformats.org/officeDocument/2006/relationships/image" Target="../media/image14.jpeg"/><Relationship Id="rId28" Type="http://schemas.openxmlformats.org/officeDocument/2006/relationships/image" Target="../media/image18.jpeg"/><Relationship Id="rId10" Type="http://schemas.openxmlformats.org/officeDocument/2006/relationships/hyperlink" Target="#instrucciones!C34"/><Relationship Id="rId19" Type="http://schemas.openxmlformats.org/officeDocument/2006/relationships/image" Target="../media/image10.jpeg"/><Relationship Id="rId4" Type="http://schemas.openxmlformats.org/officeDocument/2006/relationships/hyperlink" Target="#instrucciones!A1"/><Relationship Id="rId9" Type="http://schemas.openxmlformats.org/officeDocument/2006/relationships/hyperlink" Target="#instrucciones!C30"/><Relationship Id="rId14" Type="http://schemas.openxmlformats.org/officeDocument/2006/relationships/hyperlink" Target="#PENDIENTES!A1"/><Relationship Id="rId22" Type="http://schemas.openxmlformats.org/officeDocument/2006/relationships/image" Target="../media/image13.jpeg"/><Relationship Id="rId27" Type="http://schemas.openxmlformats.org/officeDocument/2006/relationships/image" Target="../media/image17.jpeg"/></Relationships>
</file>

<file path=xl/drawings/_rels/drawing2.xml.rels><?xml version="1.0" encoding="UTF-8" standalone="yes"?>
<Relationships xmlns="http://schemas.openxmlformats.org/package/2006/relationships"><Relationship Id="rId8" Type="http://schemas.openxmlformats.org/officeDocument/2006/relationships/image" Target="../media/image17.jpeg"/><Relationship Id="rId3" Type="http://schemas.openxmlformats.org/officeDocument/2006/relationships/image" Target="../media/image3.png"/><Relationship Id="rId7" Type="http://schemas.openxmlformats.org/officeDocument/2006/relationships/hyperlink" Target="#INCIDENCIAS!A1"/><Relationship Id="rId2" Type="http://schemas.openxmlformats.org/officeDocument/2006/relationships/hyperlink" Target="#MENU!A1"/><Relationship Id="rId1" Type="http://schemas.openxmlformats.org/officeDocument/2006/relationships/image" Target="../media/image19.PNG"/><Relationship Id="rId6" Type="http://schemas.openxmlformats.org/officeDocument/2006/relationships/image" Target="../media/image21.jpeg"/><Relationship Id="rId5" Type="http://schemas.openxmlformats.org/officeDocument/2006/relationships/image" Target="../media/image20.jpeg"/><Relationship Id="rId4" Type="http://schemas.openxmlformats.org/officeDocument/2006/relationships/hyperlink" Target="#PENDIENTES!A1"/><Relationship Id="rId9" Type="http://schemas.openxmlformats.org/officeDocument/2006/relationships/image" Target="../media/image22.png"/></Relationships>
</file>

<file path=xl/drawings/_rels/drawing3.xml.rels><?xml version="1.0" encoding="UTF-8" standalone="yes"?>
<Relationships xmlns="http://schemas.openxmlformats.org/package/2006/relationships"><Relationship Id="rId3" Type="http://schemas.openxmlformats.org/officeDocument/2006/relationships/hyperlink" Target="#PENDIENTES!A1"/><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INCIDENCIAS!A1"/><Relationship Id="rId5" Type="http://schemas.openxmlformats.org/officeDocument/2006/relationships/image" Target="../media/image21.jpeg"/><Relationship Id="rId4" Type="http://schemas.openxmlformats.org/officeDocument/2006/relationships/image" Target="../media/image20.jpeg"/></Relationships>
</file>

<file path=xl/drawings/_rels/drawing4.xml.rels><?xml version="1.0" encoding="UTF-8" standalone="yes"?>
<Relationships xmlns="http://schemas.openxmlformats.org/package/2006/relationships"><Relationship Id="rId8" Type="http://schemas.openxmlformats.org/officeDocument/2006/relationships/hyperlink" Target="#INCIDENCIAS!A1"/><Relationship Id="rId3" Type="http://schemas.openxmlformats.org/officeDocument/2006/relationships/image" Target="../media/image1.jpeg"/><Relationship Id="rId7" Type="http://schemas.openxmlformats.org/officeDocument/2006/relationships/image" Target="../media/image21.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20.jpeg"/><Relationship Id="rId5" Type="http://schemas.openxmlformats.org/officeDocument/2006/relationships/hyperlink" Target="#PENDIENTES!A1"/><Relationship Id="rId4" Type="http://schemas.openxmlformats.org/officeDocument/2006/relationships/image" Target="../media/image2.png"/><Relationship Id="rId9" Type="http://schemas.openxmlformats.org/officeDocument/2006/relationships/image" Target="../media/image17.jpeg"/></Relationships>
</file>

<file path=xl/drawings/_rels/drawing5.xml.rels><?xml version="1.0" encoding="UTF-8" standalone="yes"?>
<Relationships xmlns="http://schemas.openxmlformats.org/package/2006/relationships"><Relationship Id="rId3" Type="http://schemas.openxmlformats.org/officeDocument/2006/relationships/hyperlink" Target="#PENDIENTES!A1"/><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INCIDENCIAS!A1"/><Relationship Id="rId5" Type="http://schemas.openxmlformats.org/officeDocument/2006/relationships/image" Target="../media/image24.jpeg"/><Relationship Id="rId4" Type="http://schemas.openxmlformats.org/officeDocument/2006/relationships/image" Target="../media/image20.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7.jpeg"/><Relationship Id="rId3" Type="http://schemas.openxmlformats.org/officeDocument/2006/relationships/image" Target="../media/image3.png"/><Relationship Id="rId7" Type="http://schemas.openxmlformats.org/officeDocument/2006/relationships/hyperlink" Target="#INCIDENCIAS!A1"/><Relationship Id="rId2" Type="http://schemas.openxmlformats.org/officeDocument/2006/relationships/hyperlink" Target="#MENU!A1"/><Relationship Id="rId1" Type="http://schemas.openxmlformats.org/officeDocument/2006/relationships/image" Target="../media/image2.png"/><Relationship Id="rId6" Type="http://schemas.openxmlformats.org/officeDocument/2006/relationships/image" Target="../media/image25.jpeg"/><Relationship Id="rId5" Type="http://schemas.openxmlformats.org/officeDocument/2006/relationships/image" Target="../media/image20.jpeg"/><Relationship Id="rId4" Type="http://schemas.openxmlformats.org/officeDocument/2006/relationships/hyperlink" Target="#PENDIENTES!A1"/></Relationships>
</file>

<file path=xl/drawings/_rels/drawing7.xml.rels><?xml version="1.0" encoding="UTF-8" standalone="yes"?>
<Relationships xmlns="http://schemas.openxmlformats.org/package/2006/relationships"><Relationship Id="rId8" Type="http://schemas.openxmlformats.org/officeDocument/2006/relationships/image" Target="../media/image17.jpeg"/><Relationship Id="rId3" Type="http://schemas.openxmlformats.org/officeDocument/2006/relationships/image" Target="../media/image3.png"/><Relationship Id="rId7" Type="http://schemas.openxmlformats.org/officeDocument/2006/relationships/hyperlink" Target="#INCIDENCIAS!A1"/><Relationship Id="rId2" Type="http://schemas.openxmlformats.org/officeDocument/2006/relationships/hyperlink" Target="#MENU!A1"/><Relationship Id="rId1" Type="http://schemas.openxmlformats.org/officeDocument/2006/relationships/image" Target="../media/image2.png"/><Relationship Id="rId6" Type="http://schemas.openxmlformats.org/officeDocument/2006/relationships/image" Target="../media/image21.jpeg"/><Relationship Id="rId5" Type="http://schemas.openxmlformats.org/officeDocument/2006/relationships/image" Target="../media/image20.jpeg"/><Relationship Id="rId4" Type="http://schemas.openxmlformats.org/officeDocument/2006/relationships/hyperlink" Target="#PENDIENTES!A1"/></Relationships>
</file>

<file path=xl/drawings/_rels/drawing8.xml.rels><?xml version="1.0" encoding="UTF-8" standalone="yes"?>
<Relationships xmlns="http://schemas.openxmlformats.org/package/2006/relationships"><Relationship Id="rId3" Type="http://schemas.openxmlformats.org/officeDocument/2006/relationships/hyperlink" Target="#PENDIENTES!A1"/><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INCIDENCIAS!A1"/><Relationship Id="rId5" Type="http://schemas.openxmlformats.org/officeDocument/2006/relationships/image" Target="../media/image21.jpeg"/><Relationship Id="rId4" Type="http://schemas.openxmlformats.org/officeDocument/2006/relationships/image" Target="../media/image20.jpeg"/></Relationships>
</file>

<file path=xl/drawings/_rels/drawing9.xml.rels><?xml version="1.0" encoding="UTF-8" standalone="yes"?>
<Relationships xmlns="http://schemas.openxmlformats.org/package/2006/relationships"><Relationship Id="rId3" Type="http://schemas.openxmlformats.org/officeDocument/2006/relationships/hyperlink" Target="#PENDIENTES!A1"/><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INCIDENCIAS!A1"/><Relationship Id="rId5" Type="http://schemas.openxmlformats.org/officeDocument/2006/relationships/image" Target="../media/image26.jpeg"/><Relationship Id="rId4" Type="http://schemas.openxmlformats.org/officeDocument/2006/relationships/image" Target="../media/image20.jpeg"/></Relationships>
</file>

<file path=xl/drawings/_rels/drawing10.xml.rels><?xml version="1.0" encoding="UTF-8" standalone="yes"?>
<Relationships xmlns="http://schemas.openxmlformats.org/package/2006/relationships"><Relationship Id="rId3" Type="http://schemas.openxmlformats.org/officeDocument/2006/relationships/hyperlink" Target="#PENDIENTES!A1"/><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INCIDENCIAS!A1"/><Relationship Id="rId5" Type="http://schemas.openxmlformats.org/officeDocument/2006/relationships/image" Target="../media/image21.jpeg"/><Relationship Id="rId4" Type="http://schemas.openxmlformats.org/officeDocument/2006/relationships/image" Target="../media/image20.jpeg"/></Relationships>
</file>

<file path=xl/drawings/_rels/drawing11.xml.rels><?xml version="1.0" encoding="UTF-8" standalone="yes"?>
<Relationships xmlns="http://schemas.openxmlformats.org/package/2006/relationships"><Relationship Id="rId3" Type="http://schemas.openxmlformats.org/officeDocument/2006/relationships/hyperlink" Target="#PENDIENTES!A1"/><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INCIDENCIAS!A1"/><Relationship Id="rId5" Type="http://schemas.openxmlformats.org/officeDocument/2006/relationships/image" Target="../media/image21.jpeg"/><Relationship Id="rId4" Type="http://schemas.openxmlformats.org/officeDocument/2006/relationships/image" Target="../media/image20.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1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ENU!A1"/><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ENU!A1"/><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27.jpeg"/><Relationship Id="rId2" Type="http://schemas.openxmlformats.org/officeDocument/2006/relationships/image" Target="../media/image3.png"/><Relationship Id="rId1" Type="http://schemas.openxmlformats.org/officeDocument/2006/relationships/hyperlink" Target="#MENU!A1"/></Relationships>
</file>

<file path=xl/drawings/_rels/drawing18.xml.rels><?xml version="1.0" encoding="UTF-8" standalone="yes"?>
<Relationships xmlns="http://schemas.openxmlformats.org/package/2006/relationships"><Relationship Id="rId3" Type="http://schemas.openxmlformats.org/officeDocument/2006/relationships/image" Target="../media/image28.jpeg"/><Relationship Id="rId2" Type="http://schemas.openxmlformats.org/officeDocument/2006/relationships/image" Target="../media/image3.png"/><Relationship Id="rId1" Type="http://schemas.openxmlformats.org/officeDocument/2006/relationships/hyperlink" Target="#MENU!A1"/></Relationships>
</file>

<file path=xl/drawings/_rels/drawing19.xml.rels><?xml version="1.0" encoding="UTF-8" standalone="yes"?>
<Relationships xmlns="http://schemas.openxmlformats.org/package/2006/relationships"><Relationship Id="rId3" Type="http://schemas.openxmlformats.org/officeDocument/2006/relationships/image" Target="../media/image29.jpeg"/><Relationship Id="rId2" Type="http://schemas.openxmlformats.org/officeDocument/2006/relationships/image" Target="../media/image3.png"/><Relationship Id="rId1" Type="http://schemas.openxmlformats.org/officeDocument/2006/relationships/hyperlink" Target="#MENU!A1"/></Relationships>
</file>

<file path=xl/drawings/_rels/drawing20.xml.rels><?xml version="1.0" encoding="UTF-8" standalone="yes"?>
<Relationships xmlns="http://schemas.openxmlformats.org/package/2006/relationships"><Relationship Id="rId8" Type="http://schemas.openxmlformats.org/officeDocument/2006/relationships/image" Target="../media/image20.jpeg"/><Relationship Id="rId3" Type="http://schemas.openxmlformats.org/officeDocument/2006/relationships/image" Target="../media/image1.jpeg"/><Relationship Id="rId7" Type="http://schemas.openxmlformats.org/officeDocument/2006/relationships/hyperlink" Target="#PENDIENTE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4.png"/><Relationship Id="rId11" Type="http://schemas.openxmlformats.org/officeDocument/2006/relationships/image" Target="../media/image17.jpeg"/><Relationship Id="rId5" Type="http://schemas.openxmlformats.org/officeDocument/2006/relationships/hyperlink" Target="#instrucciones!C63"/><Relationship Id="rId10" Type="http://schemas.openxmlformats.org/officeDocument/2006/relationships/hyperlink" Target="#INCIDENCIAS!A1"/><Relationship Id="rId4" Type="http://schemas.openxmlformats.org/officeDocument/2006/relationships/image" Target="../media/image2.png"/><Relationship Id="rId9" Type="http://schemas.openxmlformats.org/officeDocument/2006/relationships/image" Target="../media/image21.jpeg"/></Relationships>
</file>

<file path=xl/drawings/_rels/drawing21.xml.rels><?xml version="1.0" encoding="UTF-8" standalone="yes"?>
<Relationships xmlns="http://schemas.openxmlformats.org/package/2006/relationships"><Relationship Id="rId8" Type="http://schemas.openxmlformats.org/officeDocument/2006/relationships/image" Target="../media/image20.jpeg"/><Relationship Id="rId3" Type="http://schemas.openxmlformats.org/officeDocument/2006/relationships/image" Target="../media/image1.jpeg"/><Relationship Id="rId7" Type="http://schemas.openxmlformats.org/officeDocument/2006/relationships/hyperlink" Target="#PENDIENTE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4.png"/><Relationship Id="rId11" Type="http://schemas.openxmlformats.org/officeDocument/2006/relationships/image" Target="../media/image17.jpeg"/><Relationship Id="rId5" Type="http://schemas.openxmlformats.org/officeDocument/2006/relationships/hyperlink" Target="#instrucciones!C55"/><Relationship Id="rId10" Type="http://schemas.openxmlformats.org/officeDocument/2006/relationships/hyperlink" Target="#INCIDENCIAS!A1"/><Relationship Id="rId4" Type="http://schemas.openxmlformats.org/officeDocument/2006/relationships/image" Target="../media/image2.png"/><Relationship Id="rId9" Type="http://schemas.openxmlformats.org/officeDocument/2006/relationships/image" Target="../media/image21.jpeg"/></Relationships>
</file>

<file path=xl/drawings/_rels/drawing22.xml.rels><?xml version="1.0" encoding="UTF-8" standalone="yes"?>
<Relationships xmlns="http://schemas.openxmlformats.org/package/2006/relationships"><Relationship Id="rId8" Type="http://schemas.openxmlformats.org/officeDocument/2006/relationships/image" Target="../media/image21.jpeg"/><Relationship Id="rId3" Type="http://schemas.openxmlformats.org/officeDocument/2006/relationships/image" Target="../media/image3.png"/><Relationship Id="rId7" Type="http://schemas.openxmlformats.org/officeDocument/2006/relationships/image" Target="../media/image20.jpeg"/><Relationship Id="rId2" Type="http://schemas.openxmlformats.org/officeDocument/2006/relationships/hyperlink" Target="#MENU!A1"/><Relationship Id="rId1" Type="http://schemas.openxmlformats.org/officeDocument/2006/relationships/image" Target="../media/image2.png"/><Relationship Id="rId6" Type="http://schemas.openxmlformats.org/officeDocument/2006/relationships/hyperlink" Target="#PENDIENTES!A1"/><Relationship Id="rId5" Type="http://schemas.openxmlformats.org/officeDocument/2006/relationships/image" Target="../media/image4.png"/><Relationship Id="rId10" Type="http://schemas.openxmlformats.org/officeDocument/2006/relationships/image" Target="../media/image17.jpeg"/><Relationship Id="rId4" Type="http://schemas.openxmlformats.org/officeDocument/2006/relationships/hyperlink" Target="#instrucciones!C74"/><Relationship Id="rId9" Type="http://schemas.openxmlformats.org/officeDocument/2006/relationships/hyperlink" Target="#INCIDENCIAS!A1"/></Relationships>
</file>

<file path=xl/drawings/_rels/drawing23.xml.rels><?xml version="1.0" encoding="UTF-8" standalone="yes"?>
<Relationships xmlns="http://schemas.openxmlformats.org/package/2006/relationships"><Relationship Id="rId3" Type="http://schemas.openxmlformats.org/officeDocument/2006/relationships/hyperlink" Target="#PENDIENTES!A1"/><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INCIDENCIAS!A1"/><Relationship Id="rId5" Type="http://schemas.openxmlformats.org/officeDocument/2006/relationships/image" Target="../media/image21.jpeg"/><Relationship Id="rId4" Type="http://schemas.openxmlformats.org/officeDocument/2006/relationships/image" Target="../media/image20.jpeg"/></Relationships>
</file>

<file path=xl/drawings/_rels/drawing24.xml.rels><?xml version="1.0" encoding="UTF-8" standalone="yes"?>
<Relationships xmlns="http://schemas.openxmlformats.org/package/2006/relationships"><Relationship Id="rId8" Type="http://schemas.openxmlformats.org/officeDocument/2006/relationships/hyperlink" Target="#INCIDENCIAS!A1"/><Relationship Id="rId3" Type="http://schemas.openxmlformats.org/officeDocument/2006/relationships/image" Target="../media/image1.jpeg"/><Relationship Id="rId7" Type="http://schemas.openxmlformats.org/officeDocument/2006/relationships/image" Target="../media/image21.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20.jpeg"/><Relationship Id="rId5" Type="http://schemas.openxmlformats.org/officeDocument/2006/relationships/hyperlink" Target="#PENDIENTES!A1"/><Relationship Id="rId4" Type="http://schemas.openxmlformats.org/officeDocument/2006/relationships/image" Target="../media/image2.png"/><Relationship Id="rId9" Type="http://schemas.openxmlformats.org/officeDocument/2006/relationships/image" Target="../media/image17.jpeg"/></Relationships>
</file>

<file path=xl/drawings/_rels/drawing25.xml.rels><?xml version="1.0" encoding="UTF-8" standalone="yes"?>
<Relationships xmlns="http://schemas.openxmlformats.org/package/2006/relationships"><Relationship Id="rId8" Type="http://schemas.openxmlformats.org/officeDocument/2006/relationships/hyperlink" Target="#INCIDENCIAS!A1"/><Relationship Id="rId3" Type="http://schemas.openxmlformats.org/officeDocument/2006/relationships/image" Target="../media/image1.jpeg"/><Relationship Id="rId7" Type="http://schemas.openxmlformats.org/officeDocument/2006/relationships/image" Target="../media/image30.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20.jpeg"/><Relationship Id="rId5" Type="http://schemas.openxmlformats.org/officeDocument/2006/relationships/hyperlink" Target="#PENDIENTES!A1"/><Relationship Id="rId4" Type="http://schemas.openxmlformats.org/officeDocument/2006/relationships/image" Target="../media/image2.png"/><Relationship Id="rId9" Type="http://schemas.openxmlformats.org/officeDocument/2006/relationships/image" Target="../media/image17.jpeg"/></Relationships>
</file>

<file path=xl/drawings/_rels/drawing26.xml.rels><?xml version="1.0" encoding="UTF-8" standalone="yes"?>
<Relationships xmlns="http://schemas.openxmlformats.org/package/2006/relationships"><Relationship Id="rId3" Type="http://schemas.openxmlformats.org/officeDocument/2006/relationships/image" Target="../media/image28.jpeg"/><Relationship Id="rId2" Type="http://schemas.openxmlformats.org/officeDocument/2006/relationships/image" Target="../media/image3.png"/><Relationship Id="rId1" Type="http://schemas.openxmlformats.org/officeDocument/2006/relationships/hyperlink" Target="#MENU!A1"/></Relationships>
</file>

<file path=xl/drawings/_rels/drawing27.xml.rels><?xml version="1.0" encoding="UTF-8" standalone="yes"?>
<Relationships xmlns="http://schemas.openxmlformats.org/package/2006/relationships"><Relationship Id="rId8" Type="http://schemas.openxmlformats.org/officeDocument/2006/relationships/hyperlink" Target="#INCIDENCIAS!A1"/><Relationship Id="rId3" Type="http://schemas.openxmlformats.org/officeDocument/2006/relationships/image" Target="../media/image1.jpeg"/><Relationship Id="rId7" Type="http://schemas.openxmlformats.org/officeDocument/2006/relationships/image" Target="../media/image21.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20.jpeg"/><Relationship Id="rId5" Type="http://schemas.openxmlformats.org/officeDocument/2006/relationships/hyperlink" Target="#PENDIENTES!A1"/><Relationship Id="rId4" Type="http://schemas.openxmlformats.org/officeDocument/2006/relationships/image" Target="../media/image2.png"/><Relationship Id="rId9" Type="http://schemas.openxmlformats.org/officeDocument/2006/relationships/image" Target="../media/image17.jpeg"/></Relationships>
</file>

<file path=xl/drawings/_rels/drawing28.xml.rels><?xml version="1.0" encoding="UTF-8" standalone="yes"?>
<Relationships xmlns="http://schemas.openxmlformats.org/package/2006/relationships"><Relationship Id="rId8" Type="http://schemas.openxmlformats.org/officeDocument/2006/relationships/hyperlink" Target="#INCIDENCIAS!A1"/><Relationship Id="rId3" Type="http://schemas.openxmlformats.org/officeDocument/2006/relationships/image" Target="../media/image1.jpeg"/><Relationship Id="rId7" Type="http://schemas.openxmlformats.org/officeDocument/2006/relationships/image" Target="../media/image21.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20.jpeg"/><Relationship Id="rId5" Type="http://schemas.openxmlformats.org/officeDocument/2006/relationships/hyperlink" Target="#PENDIENTES!A1"/><Relationship Id="rId4" Type="http://schemas.openxmlformats.org/officeDocument/2006/relationships/image" Target="../media/image2.png"/><Relationship Id="rId9" Type="http://schemas.openxmlformats.org/officeDocument/2006/relationships/image" Target="../media/image17.jpeg"/></Relationships>
</file>

<file path=xl/drawings/_rels/drawing2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0.xml.rels><?xml version="1.0" encoding="UTF-8" standalone="yes"?>
<Relationships xmlns="http://schemas.openxmlformats.org/package/2006/relationships"><Relationship Id="rId8" Type="http://schemas.openxmlformats.org/officeDocument/2006/relationships/hyperlink" Target="#INCIDENCIAS!A1"/><Relationship Id="rId3" Type="http://schemas.openxmlformats.org/officeDocument/2006/relationships/image" Target="../media/image1.jpeg"/><Relationship Id="rId7" Type="http://schemas.openxmlformats.org/officeDocument/2006/relationships/image" Target="../media/image21.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20.jpeg"/><Relationship Id="rId5" Type="http://schemas.openxmlformats.org/officeDocument/2006/relationships/hyperlink" Target="#PENDIENTES!A1"/><Relationship Id="rId4" Type="http://schemas.openxmlformats.org/officeDocument/2006/relationships/image" Target="../media/image2.png"/><Relationship Id="rId9" Type="http://schemas.openxmlformats.org/officeDocument/2006/relationships/image" Target="../media/image17.jpeg"/></Relationships>
</file>

<file path=xl/drawings/_rels/drawing3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17.jpeg"/><Relationship Id="rId3" Type="http://schemas.openxmlformats.org/officeDocument/2006/relationships/hyperlink" Target="#'MESIVA (check)'!A1"/><Relationship Id="rId7" Type="http://schemas.openxmlformats.org/officeDocument/2006/relationships/image" Target="../media/image1.jpeg"/><Relationship Id="rId12" Type="http://schemas.openxmlformats.org/officeDocument/2006/relationships/hyperlink" Target="#INCIDENCIA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32.jpeg"/><Relationship Id="rId11" Type="http://schemas.openxmlformats.org/officeDocument/2006/relationships/image" Target="../media/image33.jpeg"/><Relationship Id="rId5" Type="http://schemas.openxmlformats.org/officeDocument/2006/relationships/hyperlink" Target="#MESREGISTROIVA!A1"/><Relationship Id="rId10" Type="http://schemas.openxmlformats.org/officeDocument/2006/relationships/image" Target="../media/image20.jpeg"/><Relationship Id="rId4" Type="http://schemas.openxmlformats.org/officeDocument/2006/relationships/image" Target="../media/image31.gif"/><Relationship Id="rId9" Type="http://schemas.openxmlformats.org/officeDocument/2006/relationships/hyperlink" Target="#PENDIENTES!A1"/></Relationships>
</file>

<file path=xl/drawings/_rels/drawing3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17.jpeg"/><Relationship Id="rId3" Type="http://schemas.openxmlformats.org/officeDocument/2006/relationships/hyperlink" Target="#'IVA (check_TRIM)'!A1"/><Relationship Id="rId7" Type="http://schemas.openxmlformats.org/officeDocument/2006/relationships/image" Target="../media/image34.jpeg"/><Relationship Id="rId12" Type="http://schemas.openxmlformats.org/officeDocument/2006/relationships/hyperlink" Target="#INCIDENCIA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32.jpeg"/><Relationship Id="rId11" Type="http://schemas.openxmlformats.org/officeDocument/2006/relationships/image" Target="../media/image35.jpeg"/><Relationship Id="rId5" Type="http://schemas.openxmlformats.org/officeDocument/2006/relationships/hyperlink" Target="#'REGISTROIVA (TRIM)'!A1"/><Relationship Id="rId10" Type="http://schemas.openxmlformats.org/officeDocument/2006/relationships/image" Target="../media/image20.jpeg"/><Relationship Id="rId4" Type="http://schemas.openxmlformats.org/officeDocument/2006/relationships/image" Target="../media/image31.gif"/><Relationship Id="rId9" Type="http://schemas.openxmlformats.org/officeDocument/2006/relationships/hyperlink" Target="#PENDIENTES!A1"/></Relationships>
</file>

<file path=xl/drawings/_rels/drawing33.xml.rels><?xml version="1.0" encoding="UTF-8" standalone="yes"?>
<Relationships xmlns="http://schemas.openxmlformats.org/package/2006/relationships"><Relationship Id="rId8" Type="http://schemas.openxmlformats.org/officeDocument/2006/relationships/hyperlink" Target="#PENDIENTES!A1"/><Relationship Id="rId3" Type="http://schemas.openxmlformats.org/officeDocument/2006/relationships/hyperlink" Target="#MESIVA!A1"/><Relationship Id="rId7" Type="http://schemas.openxmlformats.org/officeDocument/2006/relationships/image" Target="../media/image32.jpeg"/><Relationship Id="rId12"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MESREGISTROIVA!A1"/><Relationship Id="rId11" Type="http://schemas.openxmlformats.org/officeDocument/2006/relationships/hyperlink" Target="#INCIDENCIAS!A1"/><Relationship Id="rId5" Type="http://schemas.openxmlformats.org/officeDocument/2006/relationships/image" Target="../media/image2.png"/><Relationship Id="rId10" Type="http://schemas.openxmlformats.org/officeDocument/2006/relationships/image" Target="../media/image36.jpeg"/><Relationship Id="rId4" Type="http://schemas.openxmlformats.org/officeDocument/2006/relationships/image" Target="../media/image31.gif"/><Relationship Id="rId9" Type="http://schemas.openxmlformats.org/officeDocument/2006/relationships/image" Target="../media/image20.jpeg"/></Relationships>
</file>

<file path=xl/drawings/_rels/drawing34.xml.rels><?xml version="1.0" encoding="UTF-8" standalone="yes"?>
<Relationships xmlns="http://schemas.openxmlformats.org/package/2006/relationships"><Relationship Id="rId8" Type="http://schemas.openxmlformats.org/officeDocument/2006/relationships/hyperlink" Target="#PENDIENTES!A1"/><Relationship Id="rId3" Type="http://schemas.openxmlformats.org/officeDocument/2006/relationships/hyperlink" Target="#'IVA (TRIM)'!A1"/><Relationship Id="rId7" Type="http://schemas.openxmlformats.org/officeDocument/2006/relationships/image" Target="../media/image32.jpeg"/><Relationship Id="rId12"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REGISTROIVA (TRIM)'!A1"/><Relationship Id="rId11" Type="http://schemas.openxmlformats.org/officeDocument/2006/relationships/hyperlink" Target="#INCIDENCIAS!A1"/><Relationship Id="rId5" Type="http://schemas.openxmlformats.org/officeDocument/2006/relationships/image" Target="../media/image2.png"/><Relationship Id="rId10" Type="http://schemas.openxmlformats.org/officeDocument/2006/relationships/image" Target="../media/image37.jpeg"/><Relationship Id="rId4" Type="http://schemas.openxmlformats.org/officeDocument/2006/relationships/image" Target="../media/image31.gif"/><Relationship Id="rId9" Type="http://schemas.openxmlformats.org/officeDocument/2006/relationships/image" Target="../media/image20.jpeg"/></Relationships>
</file>

<file path=xl/drawings/_rels/drawing35.xml.rels><?xml version="1.0" encoding="UTF-8" standalone="yes"?>
<Relationships xmlns="http://schemas.openxmlformats.org/package/2006/relationships"><Relationship Id="rId8" Type="http://schemas.openxmlformats.org/officeDocument/2006/relationships/image" Target="../media/image20.jpeg"/><Relationship Id="rId3" Type="http://schemas.openxmlformats.org/officeDocument/2006/relationships/hyperlink" Target="#MESIVA!A1"/><Relationship Id="rId7" Type="http://schemas.openxmlformats.org/officeDocument/2006/relationships/hyperlink" Target="#PENDIENTE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2.png"/><Relationship Id="rId11" Type="http://schemas.openxmlformats.org/officeDocument/2006/relationships/image" Target="../media/image17.jpeg"/><Relationship Id="rId5" Type="http://schemas.openxmlformats.org/officeDocument/2006/relationships/image" Target="../media/image38.jpeg"/><Relationship Id="rId10" Type="http://schemas.openxmlformats.org/officeDocument/2006/relationships/hyperlink" Target="#INCIDENCIAS!A1"/><Relationship Id="rId4" Type="http://schemas.openxmlformats.org/officeDocument/2006/relationships/image" Target="../media/image31.gif"/><Relationship Id="rId9" Type="http://schemas.openxmlformats.org/officeDocument/2006/relationships/image" Target="../media/image39.jpeg"/></Relationships>
</file>

<file path=xl/drawings/_rels/drawing36.xml.rels><?xml version="1.0" encoding="UTF-8" standalone="yes"?>
<Relationships xmlns="http://schemas.openxmlformats.org/package/2006/relationships"><Relationship Id="rId8" Type="http://schemas.openxmlformats.org/officeDocument/2006/relationships/image" Target="../media/image20.jpeg"/><Relationship Id="rId3" Type="http://schemas.openxmlformats.org/officeDocument/2006/relationships/hyperlink" Target="#MESIVA!A1"/><Relationship Id="rId7" Type="http://schemas.openxmlformats.org/officeDocument/2006/relationships/hyperlink" Target="#PENDIENTE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2.png"/><Relationship Id="rId11" Type="http://schemas.openxmlformats.org/officeDocument/2006/relationships/image" Target="../media/image17.jpeg"/><Relationship Id="rId5" Type="http://schemas.openxmlformats.org/officeDocument/2006/relationships/image" Target="../media/image1.jpeg"/><Relationship Id="rId10" Type="http://schemas.openxmlformats.org/officeDocument/2006/relationships/hyperlink" Target="#INCIDENCIAS!A1"/><Relationship Id="rId4" Type="http://schemas.openxmlformats.org/officeDocument/2006/relationships/image" Target="../media/image31.gif"/><Relationship Id="rId9" Type="http://schemas.openxmlformats.org/officeDocument/2006/relationships/image" Target="../media/image40.jpeg"/></Relationships>
</file>

<file path=xl/drawings/_rels/drawing37.xml.rels><?xml version="1.0" encoding="UTF-8" standalone="yes"?>
<Relationships xmlns="http://schemas.openxmlformats.org/package/2006/relationships"><Relationship Id="rId8" Type="http://schemas.openxmlformats.org/officeDocument/2006/relationships/hyperlink" Target="#PENDIENTES!A1"/><Relationship Id="rId3" Type="http://schemas.openxmlformats.org/officeDocument/2006/relationships/hyperlink" Target="#MESIVA!A1"/><Relationship Id="rId7" Type="http://schemas.openxmlformats.org/officeDocument/2006/relationships/image" Target="../media/image32.jpeg"/><Relationship Id="rId12"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MESREGISTROIVA!A1"/><Relationship Id="rId11" Type="http://schemas.openxmlformats.org/officeDocument/2006/relationships/hyperlink" Target="#INCIDENCIAS!A1"/><Relationship Id="rId5" Type="http://schemas.openxmlformats.org/officeDocument/2006/relationships/image" Target="../media/image2.png"/><Relationship Id="rId10" Type="http://schemas.openxmlformats.org/officeDocument/2006/relationships/image" Target="../media/image41.jpeg"/><Relationship Id="rId4" Type="http://schemas.openxmlformats.org/officeDocument/2006/relationships/image" Target="../media/image31.gif"/><Relationship Id="rId9" Type="http://schemas.openxmlformats.org/officeDocument/2006/relationships/image" Target="../media/image20.jpeg"/></Relationships>
</file>

<file path=xl/drawings/_rels/drawing38.xml.rels><?xml version="1.0" encoding="UTF-8" standalone="yes"?>
<Relationships xmlns="http://schemas.openxmlformats.org/package/2006/relationships"><Relationship Id="rId8" Type="http://schemas.openxmlformats.org/officeDocument/2006/relationships/hyperlink" Target="#PENDIENTES!A1"/><Relationship Id="rId3" Type="http://schemas.openxmlformats.org/officeDocument/2006/relationships/hyperlink" Target="#'IVA (TRIM)'!A1"/><Relationship Id="rId7" Type="http://schemas.openxmlformats.org/officeDocument/2006/relationships/image" Target="../media/image32.jpeg"/><Relationship Id="rId12"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REGISTROIVA (TRIM)'!A1"/><Relationship Id="rId11" Type="http://schemas.openxmlformats.org/officeDocument/2006/relationships/hyperlink" Target="#INCIDENCIAS!A1"/><Relationship Id="rId5" Type="http://schemas.openxmlformats.org/officeDocument/2006/relationships/image" Target="../media/image2.png"/><Relationship Id="rId10" Type="http://schemas.openxmlformats.org/officeDocument/2006/relationships/image" Target="../media/image42.jpeg"/><Relationship Id="rId4" Type="http://schemas.openxmlformats.org/officeDocument/2006/relationships/image" Target="../media/image31.gif"/><Relationship Id="rId9" Type="http://schemas.openxmlformats.org/officeDocument/2006/relationships/image" Target="../media/image20.jpeg"/></Relationships>
</file>

<file path=xl/drawings/_rels/drawing39.xml.rels><?xml version="1.0" encoding="UTF-8" standalone="yes"?>
<Relationships xmlns="http://schemas.openxmlformats.org/package/2006/relationships"><Relationship Id="rId8" Type="http://schemas.openxmlformats.org/officeDocument/2006/relationships/image" Target="../media/image17.jpeg"/><Relationship Id="rId3" Type="http://schemas.openxmlformats.org/officeDocument/2006/relationships/image" Target="../media/image2.png"/><Relationship Id="rId7" Type="http://schemas.openxmlformats.org/officeDocument/2006/relationships/hyperlink" Target="#INCIDENCIA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21.jpeg"/><Relationship Id="rId5" Type="http://schemas.openxmlformats.org/officeDocument/2006/relationships/image" Target="../media/image20.jpeg"/><Relationship Id="rId4" Type="http://schemas.openxmlformats.org/officeDocument/2006/relationships/hyperlink" Target="#PENDIENTES!A1"/></Relationships>
</file>

<file path=xl/drawings/_rels/drawing40.xml.rels><?xml version="1.0" encoding="UTF-8" standalone="yes"?>
<Relationships xmlns="http://schemas.openxmlformats.org/package/2006/relationships"><Relationship Id="rId8" Type="http://schemas.openxmlformats.org/officeDocument/2006/relationships/image" Target="../media/image17.jpeg"/><Relationship Id="rId3" Type="http://schemas.openxmlformats.org/officeDocument/2006/relationships/image" Target="../media/image2.png"/><Relationship Id="rId7" Type="http://schemas.openxmlformats.org/officeDocument/2006/relationships/hyperlink" Target="#INCIDENCIA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43.jpeg"/><Relationship Id="rId5" Type="http://schemas.openxmlformats.org/officeDocument/2006/relationships/image" Target="../media/image20.jpeg"/><Relationship Id="rId4" Type="http://schemas.openxmlformats.org/officeDocument/2006/relationships/hyperlink" Target="#PENDIENTES!A1"/></Relationships>
</file>

<file path=xl/drawings/_rels/drawing41.xml.rels><?xml version="1.0" encoding="UTF-8" standalone="yes"?>
<Relationships xmlns="http://schemas.openxmlformats.org/package/2006/relationships"><Relationship Id="rId8" Type="http://schemas.openxmlformats.org/officeDocument/2006/relationships/image" Target="../media/image17.jpeg"/><Relationship Id="rId3" Type="http://schemas.openxmlformats.org/officeDocument/2006/relationships/image" Target="../media/image2.png"/><Relationship Id="rId7" Type="http://schemas.openxmlformats.org/officeDocument/2006/relationships/hyperlink" Target="#INCIDENCIA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44.jpeg"/><Relationship Id="rId5" Type="http://schemas.openxmlformats.org/officeDocument/2006/relationships/image" Target="../media/image20.jpeg"/><Relationship Id="rId4" Type="http://schemas.openxmlformats.org/officeDocument/2006/relationships/hyperlink" Target="#PENDIENTES!A1"/></Relationships>
</file>

<file path=xl/drawings/_rels/drawing42.xml.rels><?xml version="1.0" encoding="UTF-8" standalone="yes"?>
<Relationships xmlns="http://schemas.openxmlformats.org/package/2006/relationships"><Relationship Id="rId3" Type="http://schemas.openxmlformats.org/officeDocument/2006/relationships/hyperlink" Target="#PENDIENTES!A1"/><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INCIDENCIAS!A1"/><Relationship Id="rId5" Type="http://schemas.openxmlformats.org/officeDocument/2006/relationships/image" Target="../media/image45.jpeg"/><Relationship Id="rId4" Type="http://schemas.openxmlformats.org/officeDocument/2006/relationships/image" Target="../media/image20.jpeg"/></Relationships>
</file>

<file path=xl/drawings/_rels/drawing43.xml.rels><?xml version="1.0" encoding="UTF-8" standalone="yes"?>
<Relationships xmlns="http://schemas.openxmlformats.org/package/2006/relationships"><Relationship Id="rId3" Type="http://schemas.openxmlformats.org/officeDocument/2006/relationships/hyperlink" Target="#PENDIENTES!A1"/><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INCIDENCIAS!A1"/><Relationship Id="rId5" Type="http://schemas.openxmlformats.org/officeDocument/2006/relationships/image" Target="../media/image46.jpeg"/><Relationship Id="rId4" Type="http://schemas.openxmlformats.org/officeDocument/2006/relationships/image" Target="../media/image20.jpeg"/></Relationships>
</file>

<file path=xl/drawings/_rels/drawing44.xml.rels><?xml version="1.0" encoding="UTF-8" standalone="yes"?>
<Relationships xmlns="http://schemas.openxmlformats.org/package/2006/relationships"><Relationship Id="rId3" Type="http://schemas.openxmlformats.org/officeDocument/2006/relationships/hyperlink" Target="#PENDIENTES!A1"/><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INCIDENCIAS!A1"/><Relationship Id="rId5" Type="http://schemas.openxmlformats.org/officeDocument/2006/relationships/image" Target="../media/image47.jpeg"/><Relationship Id="rId4" Type="http://schemas.openxmlformats.org/officeDocument/2006/relationships/image" Target="../media/image20.jpeg"/></Relationships>
</file>

<file path=xl/drawings/_rels/drawing45.xml.rels><?xml version="1.0" encoding="UTF-8" standalone="yes"?>
<Relationships xmlns="http://schemas.openxmlformats.org/package/2006/relationships"><Relationship Id="rId8" Type="http://schemas.openxmlformats.org/officeDocument/2006/relationships/image" Target="../media/image17.jpeg"/><Relationship Id="rId3" Type="http://schemas.openxmlformats.org/officeDocument/2006/relationships/image" Target="../media/image2.png"/><Relationship Id="rId7" Type="http://schemas.openxmlformats.org/officeDocument/2006/relationships/hyperlink" Target="#INCIDENCIA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47.jpeg"/><Relationship Id="rId5" Type="http://schemas.openxmlformats.org/officeDocument/2006/relationships/image" Target="../media/image20.jpeg"/><Relationship Id="rId4" Type="http://schemas.openxmlformats.org/officeDocument/2006/relationships/hyperlink" Target="#PENDIENTES!A1"/></Relationships>
</file>

<file path=xl/drawings/_rels/drawing46.xml.rels><?xml version="1.0" encoding="UTF-8" standalone="yes"?>
<Relationships xmlns="http://schemas.openxmlformats.org/package/2006/relationships"><Relationship Id="rId8" Type="http://schemas.openxmlformats.org/officeDocument/2006/relationships/image" Target="../media/image17.jpeg"/><Relationship Id="rId3" Type="http://schemas.openxmlformats.org/officeDocument/2006/relationships/image" Target="../media/image2.png"/><Relationship Id="rId7" Type="http://schemas.openxmlformats.org/officeDocument/2006/relationships/hyperlink" Target="#INCIDENCIA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47.jpeg"/><Relationship Id="rId5" Type="http://schemas.openxmlformats.org/officeDocument/2006/relationships/image" Target="../media/image20.jpeg"/><Relationship Id="rId4" Type="http://schemas.openxmlformats.org/officeDocument/2006/relationships/hyperlink" Target="#PENDIENTES!A1"/></Relationships>
</file>

<file path=xl/drawings/_rels/drawing47.xml.rels><?xml version="1.0" encoding="UTF-8" standalone="yes"?>
<Relationships xmlns="http://schemas.openxmlformats.org/package/2006/relationships"><Relationship Id="rId8" Type="http://schemas.openxmlformats.org/officeDocument/2006/relationships/image" Target="../media/image17.jpeg"/><Relationship Id="rId3" Type="http://schemas.openxmlformats.org/officeDocument/2006/relationships/image" Target="../media/image2.png"/><Relationship Id="rId7" Type="http://schemas.openxmlformats.org/officeDocument/2006/relationships/hyperlink" Target="#INCIDENCIA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48.jpeg"/><Relationship Id="rId5" Type="http://schemas.openxmlformats.org/officeDocument/2006/relationships/image" Target="../media/image20.jpeg"/><Relationship Id="rId4" Type="http://schemas.openxmlformats.org/officeDocument/2006/relationships/hyperlink" Target="#PENDIENTES!A1"/></Relationships>
</file>

<file path=xl/drawings/_rels/drawing48.xml.rels><?xml version="1.0" encoding="UTF-8" standalone="yes"?>
<Relationships xmlns="http://schemas.openxmlformats.org/package/2006/relationships"><Relationship Id="rId3" Type="http://schemas.openxmlformats.org/officeDocument/2006/relationships/hyperlink" Target="#PENDIENTES!A1"/><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INCIDENCIAS!A1"/><Relationship Id="rId5" Type="http://schemas.openxmlformats.org/officeDocument/2006/relationships/image" Target="../media/image47.jpeg"/><Relationship Id="rId4" Type="http://schemas.openxmlformats.org/officeDocument/2006/relationships/image" Target="../media/image20.jpeg"/></Relationships>
</file>

<file path=xl/drawings/_rels/drawing49.xml.rels><?xml version="1.0" encoding="UTF-8" standalone="yes"?>
<Relationships xmlns="http://schemas.openxmlformats.org/package/2006/relationships"><Relationship Id="rId8" Type="http://schemas.openxmlformats.org/officeDocument/2006/relationships/image" Target="../media/image28.jpeg"/><Relationship Id="rId3" Type="http://schemas.openxmlformats.org/officeDocument/2006/relationships/image" Target="../media/image2.png"/><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INCIDENCIAS!A1"/><Relationship Id="rId5" Type="http://schemas.openxmlformats.org/officeDocument/2006/relationships/image" Target="../media/image20.jpeg"/><Relationship Id="rId4" Type="http://schemas.openxmlformats.org/officeDocument/2006/relationships/hyperlink" Target="#PENDIENTES!A1"/></Relationships>
</file>

<file path=xl/drawings/_rels/drawing50.xml.rels><?xml version="1.0" encoding="UTF-8" standalone="yes"?>
<Relationships xmlns="http://schemas.openxmlformats.org/package/2006/relationships"><Relationship Id="rId3" Type="http://schemas.openxmlformats.org/officeDocument/2006/relationships/image" Target="../media/image49.jpeg"/><Relationship Id="rId2" Type="http://schemas.openxmlformats.org/officeDocument/2006/relationships/image" Target="../media/image3.png"/><Relationship Id="rId1" Type="http://schemas.openxmlformats.org/officeDocument/2006/relationships/hyperlink" Target="#MENU!A1"/></Relationships>
</file>

<file path=xl/drawings/_rels/drawing5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52.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50.jpeg"/><Relationship Id="rId5" Type="http://schemas.openxmlformats.org/officeDocument/2006/relationships/image" Target="../media/image20.jpeg"/><Relationship Id="rId4" Type="http://schemas.openxmlformats.org/officeDocument/2006/relationships/hyperlink" Target="#PENDIENTES!A1"/></Relationships>
</file>

<file path=xl/drawings/_rels/drawing53.xml.rels><?xml version="1.0" encoding="UTF-8" standalone="yes"?>
<Relationships xmlns="http://schemas.openxmlformats.org/package/2006/relationships"><Relationship Id="rId3" Type="http://schemas.openxmlformats.org/officeDocument/2006/relationships/hyperlink" Target="#PENDIENTES!A1"/><Relationship Id="rId7" Type="http://schemas.openxmlformats.org/officeDocument/2006/relationships/image" Target="../media/image52.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7.jpeg"/><Relationship Id="rId5" Type="http://schemas.openxmlformats.org/officeDocument/2006/relationships/hyperlink" Target="#INCIDENCIAS!A1"/><Relationship Id="rId4" Type="http://schemas.openxmlformats.org/officeDocument/2006/relationships/image" Target="../media/image51.jpeg"/></Relationships>
</file>

<file path=xl/drawings/_rels/drawing54.xml.rels><?xml version="1.0" encoding="UTF-8" standalone="yes"?>
<Relationships xmlns="http://schemas.openxmlformats.org/package/2006/relationships"><Relationship Id="rId3" Type="http://schemas.openxmlformats.org/officeDocument/2006/relationships/hyperlink" Target="#PENDIENTES!A1"/><Relationship Id="rId7" Type="http://schemas.openxmlformats.org/officeDocument/2006/relationships/image" Target="../media/image17.jpeg"/><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INCIDENCIAS!A1"/><Relationship Id="rId5" Type="http://schemas.openxmlformats.org/officeDocument/2006/relationships/image" Target="../media/image54.jpeg"/><Relationship Id="rId4" Type="http://schemas.openxmlformats.org/officeDocument/2006/relationships/image" Target="../media/image53.jpeg"/></Relationships>
</file>

<file path=xl/drawings/_rels/drawing55.xml.rels><?xml version="1.0" encoding="UTF-8" standalone="yes"?>
<Relationships xmlns="http://schemas.openxmlformats.org/package/2006/relationships"><Relationship Id="rId8" Type="http://schemas.openxmlformats.org/officeDocument/2006/relationships/image" Target="../media/image56.jpeg"/><Relationship Id="rId3" Type="http://schemas.openxmlformats.org/officeDocument/2006/relationships/chart" Target="../charts/chart3.xml"/><Relationship Id="rId7" Type="http://schemas.openxmlformats.org/officeDocument/2006/relationships/image" Target="../media/image55.jpe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PENDIENTES!A1"/><Relationship Id="rId5" Type="http://schemas.openxmlformats.org/officeDocument/2006/relationships/image" Target="../media/image3.png"/><Relationship Id="rId10" Type="http://schemas.openxmlformats.org/officeDocument/2006/relationships/image" Target="../media/image17.jpeg"/><Relationship Id="rId4" Type="http://schemas.openxmlformats.org/officeDocument/2006/relationships/hyperlink" Target="#MENU!A1"/><Relationship Id="rId9" Type="http://schemas.openxmlformats.org/officeDocument/2006/relationships/hyperlink" Target="#INCIDENCIAS!A1"/></Relationships>
</file>

<file path=xl/drawings/_rels/drawing56.xml.rels><?xml version="1.0" encoding="UTF-8" standalone="yes"?>
<Relationships xmlns="http://schemas.openxmlformats.org/package/2006/relationships"><Relationship Id="rId8" Type="http://schemas.openxmlformats.org/officeDocument/2006/relationships/image" Target="../media/image60.jpeg"/><Relationship Id="rId3" Type="http://schemas.openxmlformats.org/officeDocument/2006/relationships/image" Target="../media/image59.jpeg"/><Relationship Id="rId7" Type="http://schemas.openxmlformats.org/officeDocument/2006/relationships/image" Target="../media/image55.jpeg"/><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hyperlink" Target="#PENDIENTES!A1"/><Relationship Id="rId5" Type="http://schemas.openxmlformats.org/officeDocument/2006/relationships/image" Target="../media/image3.png"/><Relationship Id="rId10" Type="http://schemas.openxmlformats.org/officeDocument/2006/relationships/image" Target="../media/image17.jpeg"/><Relationship Id="rId4" Type="http://schemas.openxmlformats.org/officeDocument/2006/relationships/hyperlink" Target="#MENU!A1"/><Relationship Id="rId9" Type="http://schemas.openxmlformats.org/officeDocument/2006/relationships/hyperlink" Target="#INCIDENCIAS!A1"/></Relationships>
</file>

<file path=xl/drawings/_rels/drawing57.xml.rels><?xml version="1.0" encoding="UTF-8" standalone="yes"?>
<Relationships xmlns="http://schemas.openxmlformats.org/package/2006/relationships"><Relationship Id="rId8" Type="http://schemas.openxmlformats.org/officeDocument/2006/relationships/image" Target="../media/image61.jpeg"/><Relationship Id="rId3" Type="http://schemas.openxmlformats.org/officeDocument/2006/relationships/image" Target="../media/image59.jpeg"/><Relationship Id="rId7" Type="http://schemas.openxmlformats.org/officeDocument/2006/relationships/image" Target="../media/image55.jpe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hyperlink" Target="#PENDIENTES!A1"/><Relationship Id="rId5" Type="http://schemas.openxmlformats.org/officeDocument/2006/relationships/image" Target="../media/image3.png"/><Relationship Id="rId10" Type="http://schemas.openxmlformats.org/officeDocument/2006/relationships/image" Target="../media/image17.jpeg"/><Relationship Id="rId4" Type="http://schemas.openxmlformats.org/officeDocument/2006/relationships/hyperlink" Target="#MENU!A1"/><Relationship Id="rId9" Type="http://schemas.openxmlformats.org/officeDocument/2006/relationships/hyperlink" Target="#INCIDENCIAS!A1"/></Relationships>
</file>

<file path=xl/drawings/_rels/drawing58.xml.rels><?xml version="1.0" encoding="UTF-8" standalone="yes"?>
<Relationships xmlns="http://schemas.openxmlformats.org/package/2006/relationships"><Relationship Id="rId8" Type="http://schemas.openxmlformats.org/officeDocument/2006/relationships/image" Target="../media/image17.jpeg"/><Relationship Id="rId3" Type="http://schemas.openxmlformats.org/officeDocument/2006/relationships/image" Target="../media/image3.png"/><Relationship Id="rId7" Type="http://schemas.openxmlformats.org/officeDocument/2006/relationships/hyperlink" Target="#INCIDENCIAS!A1"/><Relationship Id="rId2" Type="http://schemas.openxmlformats.org/officeDocument/2006/relationships/hyperlink" Target="#MENU!A1"/><Relationship Id="rId1" Type="http://schemas.openxmlformats.org/officeDocument/2006/relationships/image" Target="../media/image59.jpeg"/><Relationship Id="rId6" Type="http://schemas.openxmlformats.org/officeDocument/2006/relationships/image" Target="../media/image62.jpeg"/><Relationship Id="rId5" Type="http://schemas.openxmlformats.org/officeDocument/2006/relationships/image" Target="../media/image55.jpeg"/><Relationship Id="rId4" Type="http://schemas.openxmlformats.org/officeDocument/2006/relationships/hyperlink" Target="#PENDIENTES!A1"/></Relationships>
</file>

<file path=xl/drawings/_rels/drawing59.xml.rels><?xml version="1.0" encoding="UTF-8" standalone="yes"?>
<Relationships xmlns="http://schemas.openxmlformats.org/package/2006/relationships"><Relationship Id="rId3" Type="http://schemas.openxmlformats.org/officeDocument/2006/relationships/image" Target="../media/image65.png"/><Relationship Id="rId2" Type="http://schemas.openxmlformats.org/officeDocument/2006/relationships/image" Target="../media/image64.jpeg"/><Relationship Id="rId1" Type="http://schemas.openxmlformats.org/officeDocument/2006/relationships/image" Target="../media/image63.png"/><Relationship Id="rId5" Type="http://schemas.openxmlformats.org/officeDocument/2006/relationships/image" Target="../media/image67.svg"/><Relationship Id="rId4" Type="http://schemas.openxmlformats.org/officeDocument/2006/relationships/image" Target="../media/image6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32.vml.rels><?xml version="1.0" encoding="UTF-8" standalone="yes"?>
<Relationships xmlns="http://schemas.openxmlformats.org/package/2006/relationships"><Relationship Id="rId2" Type="http://schemas.openxmlformats.org/officeDocument/2006/relationships/image" Target="../media/image58.jpeg"/><Relationship Id="rId1" Type="http://schemas.openxmlformats.org/officeDocument/2006/relationships/image" Target="../media/image57.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58.jpeg"/><Relationship Id="rId1" Type="http://schemas.openxmlformats.org/officeDocument/2006/relationships/image" Target="../media/image57.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58.jpeg"/><Relationship Id="rId1" Type="http://schemas.openxmlformats.org/officeDocument/2006/relationships/image" Target="../media/image57.png"/></Relationships>
</file>

<file path=xl/drawings/drawing1.xml><?xml version="1.0" encoding="utf-8"?>
<xdr:wsDr xmlns:xdr="http://schemas.openxmlformats.org/drawingml/2006/spreadsheetDrawing" xmlns:a="http://schemas.openxmlformats.org/drawingml/2006/main">
  <xdr:twoCellAnchor>
    <xdr:from>
      <xdr:col>14</xdr:col>
      <xdr:colOff>369794</xdr:colOff>
      <xdr:row>1</xdr:row>
      <xdr:rowOff>21291</xdr:rowOff>
    </xdr:from>
    <xdr:to>
      <xdr:col>17</xdr:col>
      <xdr:colOff>324970</xdr:colOff>
      <xdr:row>8</xdr:row>
      <xdr:rowOff>40341</xdr:rowOff>
    </xdr:to>
    <xdr:grpSp>
      <xdr:nvGrpSpPr>
        <xdr:cNvPr id="2" name="Grupo 1">
          <a:extLst>
            <a:ext uri="{FF2B5EF4-FFF2-40B4-BE49-F238E27FC236}">
              <a16:creationId xmlns:a16="http://schemas.microsoft.com/office/drawing/2014/main" id="{00000000-0008-0000-0000-000002000000}"/>
            </a:ext>
          </a:extLst>
        </xdr:cNvPr>
        <xdr:cNvGrpSpPr/>
      </xdr:nvGrpSpPr>
      <xdr:grpSpPr>
        <a:xfrm>
          <a:off x="9809545" y="196075"/>
          <a:ext cx="6823178" cy="1368266"/>
          <a:chOff x="6105525" y="133350"/>
          <a:chExt cx="5172074" cy="1447800"/>
        </a:xfrm>
      </xdr:grpSpPr>
      <xdr:pic>
        <xdr:nvPicPr>
          <xdr:cNvPr id="4" name="3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14527"/>
          <a:stretch/>
        </xdr:blipFill>
        <xdr:spPr>
          <a:xfrm>
            <a:off x="6105525" y="133350"/>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7" name="6 Imagen">
            <a:extLst>
              <a:ext uri="{FF2B5EF4-FFF2-40B4-BE49-F238E27FC236}">
                <a16:creationId xmlns:a16="http://schemas.microsoft.com/office/drawing/2014/main" id="{00000000-0008-0000-0000-000007000000}"/>
              </a:ext>
            </a:extLst>
          </xdr:cNvPr>
          <xdr:cNvPicPr/>
        </xdr:nvPicPr>
        <xdr:blipFill>
          <a:blip xmlns:r="http://schemas.openxmlformats.org/officeDocument/2006/relationships" r:embed="rId2" cstate="print"/>
          <a:srcRect/>
          <a:stretch>
            <a:fillRect/>
          </a:stretch>
        </xdr:blipFill>
        <xdr:spPr bwMode="auto">
          <a:xfrm>
            <a:off x="10039350" y="1190625"/>
            <a:ext cx="1116000" cy="2520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twoCellAnchor editAs="oneCell">
    <xdr:from>
      <xdr:col>2</xdr:col>
      <xdr:colOff>102844</xdr:colOff>
      <xdr:row>0</xdr:row>
      <xdr:rowOff>143809</xdr:rowOff>
    </xdr:from>
    <xdr:to>
      <xdr:col>2</xdr:col>
      <xdr:colOff>588338</xdr:colOff>
      <xdr:row>3</xdr:row>
      <xdr:rowOff>59036</xdr:rowOff>
    </xdr:to>
    <xdr:pic>
      <xdr:nvPicPr>
        <xdr:cNvPr id="6" name="5 Imagen">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7815" y="143809"/>
          <a:ext cx="480732" cy="476250"/>
        </a:xfrm>
        <a:prstGeom prst="rect">
          <a:avLst/>
        </a:prstGeom>
      </xdr:spPr>
    </xdr:pic>
    <xdr:clientData fPrintsWithSheet="0"/>
  </xdr:twoCellAnchor>
  <xdr:twoCellAnchor>
    <xdr:from>
      <xdr:col>2</xdr:col>
      <xdr:colOff>0</xdr:colOff>
      <xdr:row>9</xdr:row>
      <xdr:rowOff>0</xdr:rowOff>
    </xdr:from>
    <xdr:to>
      <xdr:col>3</xdr:col>
      <xdr:colOff>105833</xdr:colOff>
      <xdr:row>10</xdr:row>
      <xdr:rowOff>23283</xdr:rowOff>
    </xdr:to>
    <xdr:sp macro="[0]!ejercicioanterior" textlink="">
      <xdr:nvSpPr>
        <xdr:cNvPr id="5" name="4 Rectángulo">
          <a:extLst>
            <a:ext uri="{FF2B5EF4-FFF2-40B4-BE49-F238E27FC236}">
              <a16:creationId xmlns:a16="http://schemas.microsoft.com/office/drawing/2014/main" id="{00000000-0008-0000-0000-000005000000}"/>
            </a:ext>
          </a:extLst>
        </xdr:cNvPr>
        <xdr:cNvSpPr/>
      </xdr:nvSpPr>
      <xdr:spPr>
        <a:xfrm>
          <a:off x="1524000" y="2032000"/>
          <a:ext cx="1206500" cy="266700"/>
        </a:xfrm>
        <a:prstGeom prst="rect">
          <a:avLst/>
        </a:prstGeom>
        <a:solidFill>
          <a:schemeClr val="accent1">
            <a:lumMod val="75000"/>
          </a:schemeClr>
        </a:solidFill>
        <a:ln>
          <a:noFill/>
        </a:ln>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solidFill>
                <a:schemeClr val="bg1">
                  <a:lumMod val="95000"/>
                </a:schemeClr>
              </a:solidFill>
            </a:rPr>
            <a:t>EJ.</a:t>
          </a:r>
          <a:r>
            <a:rPr lang="es-ES" sz="1100" b="1" baseline="0">
              <a:solidFill>
                <a:schemeClr val="bg1">
                  <a:lumMod val="95000"/>
                </a:schemeClr>
              </a:solidFill>
            </a:rPr>
            <a:t> ANTERIOR</a:t>
          </a:r>
          <a:endParaRPr lang="es-ES" sz="1100" b="1">
            <a:solidFill>
              <a:schemeClr val="bg1">
                <a:lumMod val="95000"/>
              </a:schemeClr>
            </a:solidFill>
          </a:endParaRPr>
        </a:p>
      </xdr:txBody>
    </xdr:sp>
    <xdr:clientData/>
  </xdr:twoCellAnchor>
  <xdr:twoCellAnchor editAs="oneCell">
    <xdr:from>
      <xdr:col>4</xdr:col>
      <xdr:colOff>466725</xdr:colOff>
      <xdr:row>8</xdr:row>
      <xdr:rowOff>143933</xdr:rowOff>
    </xdr:from>
    <xdr:to>
      <xdr:col>5</xdr:col>
      <xdr:colOff>17609</xdr:colOff>
      <xdr:row>10</xdr:row>
      <xdr:rowOff>94459</xdr:rowOff>
    </xdr:to>
    <xdr:pic>
      <xdr:nvPicPr>
        <xdr:cNvPr id="8" name="Picture 12">
          <a:hlinkClick xmlns:r="http://schemas.openxmlformats.org/officeDocument/2006/relationships" r:id="rId4" tooltip="Instrucciones"/>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3419475" y="1763183"/>
          <a:ext cx="304312" cy="374390"/>
        </a:xfrm>
        <a:prstGeom prst="rect">
          <a:avLst/>
        </a:prstGeom>
        <a:noFill/>
      </xdr:spPr>
    </xdr:pic>
    <xdr:clientData/>
  </xdr:twoCellAnchor>
  <xdr:twoCellAnchor editAs="oneCell">
    <xdr:from>
      <xdr:col>6</xdr:col>
      <xdr:colOff>9526</xdr:colOff>
      <xdr:row>13</xdr:row>
      <xdr:rowOff>104775</xdr:rowOff>
    </xdr:from>
    <xdr:to>
      <xdr:col>6</xdr:col>
      <xdr:colOff>207689</xdr:colOff>
      <xdr:row>15</xdr:row>
      <xdr:rowOff>59049</xdr:rowOff>
    </xdr:to>
    <xdr:pic>
      <xdr:nvPicPr>
        <xdr:cNvPr id="9" name="Picture 12">
          <a:hlinkClick xmlns:r="http://schemas.openxmlformats.org/officeDocument/2006/relationships" r:id="rId6" tooltip="Instrucciones"/>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4486276" y="2771775"/>
          <a:ext cx="204831" cy="252000"/>
        </a:xfrm>
        <a:prstGeom prst="rect">
          <a:avLst/>
        </a:prstGeom>
        <a:noFill/>
      </xdr:spPr>
    </xdr:pic>
    <xdr:clientData/>
  </xdr:twoCellAnchor>
  <xdr:twoCellAnchor editAs="oneCell">
    <xdr:from>
      <xdr:col>6</xdr:col>
      <xdr:colOff>0</xdr:colOff>
      <xdr:row>15</xdr:row>
      <xdr:rowOff>123825</xdr:rowOff>
    </xdr:from>
    <xdr:to>
      <xdr:col>6</xdr:col>
      <xdr:colOff>211497</xdr:colOff>
      <xdr:row>16</xdr:row>
      <xdr:rowOff>173895</xdr:rowOff>
    </xdr:to>
    <xdr:pic>
      <xdr:nvPicPr>
        <xdr:cNvPr id="10" name="Picture 12">
          <a:hlinkClick xmlns:r="http://schemas.openxmlformats.org/officeDocument/2006/relationships" r:id="rId8" tooltip="Instrucciones"/>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4476750" y="3181350"/>
          <a:ext cx="204831" cy="252000"/>
        </a:xfrm>
        <a:prstGeom prst="rect">
          <a:avLst/>
        </a:prstGeom>
        <a:noFill/>
      </xdr:spPr>
    </xdr:pic>
    <xdr:clientData/>
  </xdr:twoCellAnchor>
  <xdr:twoCellAnchor editAs="oneCell">
    <xdr:from>
      <xdr:col>6</xdr:col>
      <xdr:colOff>0</xdr:colOff>
      <xdr:row>17</xdr:row>
      <xdr:rowOff>142875</xdr:rowOff>
    </xdr:from>
    <xdr:to>
      <xdr:col>6</xdr:col>
      <xdr:colOff>211497</xdr:colOff>
      <xdr:row>19</xdr:row>
      <xdr:rowOff>20859</xdr:rowOff>
    </xdr:to>
    <xdr:pic>
      <xdr:nvPicPr>
        <xdr:cNvPr id="11" name="Picture 12">
          <a:hlinkClick xmlns:r="http://schemas.openxmlformats.org/officeDocument/2006/relationships" r:id="rId9" tooltip="Instrucciones"/>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4476750" y="3590925"/>
          <a:ext cx="204831" cy="252000"/>
        </a:xfrm>
        <a:prstGeom prst="rect">
          <a:avLst/>
        </a:prstGeom>
        <a:noFill/>
      </xdr:spPr>
    </xdr:pic>
    <xdr:clientData/>
  </xdr:twoCellAnchor>
  <xdr:twoCellAnchor editAs="oneCell">
    <xdr:from>
      <xdr:col>6</xdr:col>
      <xdr:colOff>0</xdr:colOff>
      <xdr:row>19</xdr:row>
      <xdr:rowOff>161925</xdr:rowOff>
    </xdr:from>
    <xdr:to>
      <xdr:col>6</xdr:col>
      <xdr:colOff>211497</xdr:colOff>
      <xdr:row>21</xdr:row>
      <xdr:rowOff>18637</xdr:rowOff>
    </xdr:to>
    <xdr:pic>
      <xdr:nvPicPr>
        <xdr:cNvPr id="12" name="Picture 12">
          <a:hlinkClick xmlns:r="http://schemas.openxmlformats.org/officeDocument/2006/relationships" r:id="rId10" tooltip="Instrucciones"/>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4476750" y="4000500"/>
          <a:ext cx="204831" cy="252000"/>
        </a:xfrm>
        <a:prstGeom prst="rect">
          <a:avLst/>
        </a:prstGeom>
        <a:noFill/>
      </xdr:spPr>
    </xdr:pic>
    <xdr:clientData/>
  </xdr:twoCellAnchor>
  <xdr:twoCellAnchor editAs="oneCell">
    <xdr:from>
      <xdr:col>12</xdr:col>
      <xdr:colOff>314325</xdr:colOff>
      <xdr:row>13</xdr:row>
      <xdr:rowOff>85725</xdr:rowOff>
    </xdr:from>
    <xdr:to>
      <xdr:col>12</xdr:col>
      <xdr:colOff>516298</xdr:colOff>
      <xdr:row>15</xdr:row>
      <xdr:rowOff>54831</xdr:rowOff>
    </xdr:to>
    <xdr:pic>
      <xdr:nvPicPr>
        <xdr:cNvPr id="13" name="Picture 12">
          <a:hlinkClick xmlns:r="http://schemas.openxmlformats.org/officeDocument/2006/relationships" r:id="rId11" tooltip="Instrucciones"/>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8591550" y="2714625"/>
          <a:ext cx="209593" cy="256761"/>
        </a:xfrm>
        <a:prstGeom prst="rect">
          <a:avLst/>
        </a:prstGeom>
        <a:noFill/>
      </xdr:spPr>
    </xdr:pic>
    <xdr:clientData/>
  </xdr:twoCellAnchor>
  <xdr:twoCellAnchor editAs="oneCell">
    <xdr:from>
      <xdr:col>12</xdr:col>
      <xdr:colOff>273085</xdr:colOff>
      <xdr:row>16</xdr:row>
      <xdr:rowOff>40005</xdr:rowOff>
    </xdr:from>
    <xdr:to>
      <xdr:col>12</xdr:col>
      <xdr:colOff>475787</xdr:colOff>
      <xdr:row>17</xdr:row>
      <xdr:rowOff>94836</xdr:rowOff>
    </xdr:to>
    <xdr:pic>
      <xdr:nvPicPr>
        <xdr:cNvPr id="14" name="Picture 12">
          <a:hlinkClick xmlns:r="http://schemas.openxmlformats.org/officeDocument/2006/relationships" r:id="rId12" tooltip="Instrucciones"/>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8550310" y="3164205"/>
          <a:ext cx="212227" cy="249142"/>
        </a:xfrm>
        <a:prstGeom prst="rect">
          <a:avLst/>
        </a:prstGeom>
        <a:noFill/>
      </xdr:spPr>
    </xdr:pic>
    <xdr:clientData/>
  </xdr:twoCellAnchor>
  <xdr:oneCellAnchor>
    <xdr:from>
      <xdr:col>14</xdr:col>
      <xdr:colOff>4860268</xdr:colOff>
      <xdr:row>13</xdr:row>
      <xdr:rowOff>94689</xdr:rowOff>
    </xdr:from>
    <xdr:ext cx="204831" cy="252000"/>
    <xdr:pic>
      <xdr:nvPicPr>
        <xdr:cNvPr id="17" name="Picture 12">
          <a:hlinkClick xmlns:r="http://schemas.openxmlformats.org/officeDocument/2006/relationships" r:id="rId13" tooltip="Instrucciones"/>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4409081" y="2723589"/>
          <a:ext cx="204831" cy="252000"/>
        </a:xfrm>
        <a:prstGeom prst="rect">
          <a:avLst/>
        </a:prstGeom>
        <a:noFill/>
      </xdr:spPr>
    </xdr:pic>
    <xdr:clientData/>
  </xdr:oneCellAnchor>
  <xdr:twoCellAnchor editAs="absolute">
    <xdr:from>
      <xdr:col>9</xdr:col>
      <xdr:colOff>745453</xdr:colOff>
      <xdr:row>4</xdr:row>
      <xdr:rowOff>153796</xdr:rowOff>
    </xdr:from>
    <xdr:to>
      <xdr:col>10</xdr:col>
      <xdr:colOff>229833</xdr:colOff>
      <xdr:row>8</xdr:row>
      <xdr:rowOff>55154</xdr:rowOff>
    </xdr:to>
    <xdr:pic>
      <xdr:nvPicPr>
        <xdr:cNvPr id="15" name="Imagen 14">
          <a:hlinkClick xmlns:r="http://schemas.openxmlformats.org/officeDocument/2006/relationships" r:id="rId14" tooltip="Pendientes"/>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rot="20185735" flipH="1">
          <a:off x="6790971" y="852296"/>
          <a:ext cx="974725" cy="698918"/>
        </a:xfrm>
        <a:prstGeom prst="rect">
          <a:avLst/>
        </a:prstGeom>
      </xdr:spPr>
    </xdr:pic>
    <xdr:clientData fLocksWithSheet="0" fPrintsWithSheet="0"/>
  </xdr:twoCellAnchor>
  <xdr:twoCellAnchor editAs="oneCell">
    <xdr:from>
      <xdr:col>7</xdr:col>
      <xdr:colOff>299357</xdr:colOff>
      <xdr:row>66</xdr:row>
      <xdr:rowOff>40821</xdr:rowOff>
    </xdr:from>
    <xdr:to>
      <xdr:col>7</xdr:col>
      <xdr:colOff>745126</xdr:colOff>
      <xdr:row>68</xdr:row>
      <xdr:rowOff>97562</xdr:rowOff>
    </xdr:to>
    <xdr:pic>
      <xdr:nvPicPr>
        <xdr:cNvPr id="18" name="Imagen 17" descr="http://t0.gstatic.com/images?q=tbn:ANd9GcQt2p0KRKqgV3k8vxk7hwCr8NUsTQNc4MlWkzw-kmFzgj_o6Kl2uw">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4830536" y="12600214"/>
          <a:ext cx="447675" cy="454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516254</xdr:colOff>
      <xdr:row>19</xdr:row>
      <xdr:rowOff>54908</xdr:rowOff>
    </xdr:from>
    <xdr:to>
      <xdr:col>4</xdr:col>
      <xdr:colOff>136033</xdr:colOff>
      <xdr:row>21</xdr:row>
      <xdr:rowOff>39260</xdr:rowOff>
    </xdr:to>
    <xdr:pic>
      <xdr:nvPicPr>
        <xdr:cNvPr id="19" name="Imagen 18" descr="http://t0.gstatic.com/images?q=tbn:ANd9GcQt2p0KRKqgV3k8vxk7hwCr8NUsTQNc4MlWkzw-kmFzgj_o6Kl2uw">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933575" y="3895725"/>
          <a:ext cx="390351" cy="38916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absolute">
    <xdr:from>
      <xdr:col>3</xdr:col>
      <xdr:colOff>516254</xdr:colOff>
      <xdr:row>21</xdr:row>
      <xdr:rowOff>55543</xdr:rowOff>
    </xdr:from>
    <xdr:to>
      <xdr:col>4</xdr:col>
      <xdr:colOff>136033</xdr:colOff>
      <xdr:row>23</xdr:row>
      <xdr:rowOff>36085</xdr:rowOff>
    </xdr:to>
    <xdr:pic>
      <xdr:nvPicPr>
        <xdr:cNvPr id="20" name="Imagen 19" descr="http://t0.gstatic.com/images?q=tbn:ANd9GcQt2p0KRKqgV3k8vxk7hwCr8NUsTQNc4MlWkzw-kmFzgj_o6Kl2uw">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933575" y="4292600"/>
          <a:ext cx="390351" cy="38916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absolute">
    <xdr:from>
      <xdr:col>3</xdr:col>
      <xdr:colOff>516254</xdr:colOff>
      <xdr:row>23</xdr:row>
      <xdr:rowOff>39034</xdr:rowOff>
    </xdr:from>
    <xdr:to>
      <xdr:col>4</xdr:col>
      <xdr:colOff>136033</xdr:colOff>
      <xdr:row>24</xdr:row>
      <xdr:rowOff>191753</xdr:rowOff>
    </xdr:to>
    <xdr:pic>
      <xdr:nvPicPr>
        <xdr:cNvPr id="21" name="Imagen 20" descr="http://t0.gstatic.com/images?q=tbn:ANd9GcQt2p0KRKqgV3k8vxk7hwCr8NUsTQNc4MlWkzw-kmFzgj_o6Kl2uw">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1933575" y="4689475"/>
          <a:ext cx="390351" cy="38916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absolute">
    <xdr:from>
      <xdr:col>3</xdr:col>
      <xdr:colOff>516254</xdr:colOff>
      <xdr:row>25</xdr:row>
      <xdr:rowOff>20711</xdr:rowOff>
    </xdr:from>
    <xdr:to>
      <xdr:col>4</xdr:col>
      <xdr:colOff>136033</xdr:colOff>
      <xdr:row>26</xdr:row>
      <xdr:rowOff>188579</xdr:rowOff>
    </xdr:to>
    <xdr:pic>
      <xdr:nvPicPr>
        <xdr:cNvPr id="22" name="Imagen 21" descr="http://t0.gstatic.com/images?q=tbn:ANd9GcQt2p0KRKqgV3k8vxk7hwCr8NUsTQNc4MlWkzw-kmFzgj_o6Kl2uw">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1933575" y="5086350"/>
          <a:ext cx="390351" cy="38916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absolute">
    <xdr:from>
      <xdr:col>5</xdr:col>
      <xdr:colOff>98107</xdr:colOff>
      <xdr:row>52</xdr:row>
      <xdr:rowOff>113459</xdr:rowOff>
    </xdr:from>
    <xdr:to>
      <xdr:col>5</xdr:col>
      <xdr:colOff>476076</xdr:colOff>
      <xdr:row>54</xdr:row>
      <xdr:rowOff>97083</xdr:rowOff>
    </xdr:to>
    <xdr:pic>
      <xdr:nvPicPr>
        <xdr:cNvPr id="23" name="Imagen 22" descr="http://t0.gstatic.com/images?q=tbn:ANd9GcQt2p0KRKqgV3k8vxk7hwCr8NUsTQNc4MlWkzw-kmFzgj_o6Kl2uw">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3120390" y="10505234"/>
          <a:ext cx="384636" cy="38272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absolute">
    <xdr:from>
      <xdr:col>5</xdr:col>
      <xdr:colOff>207644</xdr:colOff>
      <xdr:row>48</xdr:row>
      <xdr:rowOff>131781</xdr:rowOff>
    </xdr:from>
    <xdr:to>
      <xdr:col>5</xdr:col>
      <xdr:colOff>588471</xdr:colOff>
      <xdr:row>50</xdr:row>
      <xdr:rowOff>135275</xdr:rowOff>
    </xdr:to>
    <xdr:pic>
      <xdr:nvPicPr>
        <xdr:cNvPr id="24" name="Imagen 23" descr="http://t0.gstatic.com/images?q=tbn:ANd9GcQt2p0KRKqgV3k8vxk7hwCr8NUsTQNc4MlWkzw-kmFzgj_o6Kl2uw">
          <a:extLst>
            <a:ext uri="{FF2B5EF4-FFF2-40B4-BE49-F238E27FC236}">
              <a16:creationId xmlns:a16="http://schemas.microsoft.com/office/drawing/2014/main" id="{00000000-0008-0000-0000-000018000000}"/>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3215640" y="9736791"/>
          <a:ext cx="384636" cy="389257"/>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absolute">
    <xdr:from>
      <xdr:col>3</xdr:col>
      <xdr:colOff>402403</xdr:colOff>
      <xdr:row>60</xdr:row>
      <xdr:rowOff>73846</xdr:rowOff>
    </xdr:from>
    <xdr:to>
      <xdr:col>4</xdr:col>
      <xdr:colOff>55519</xdr:colOff>
      <xdr:row>62</xdr:row>
      <xdr:rowOff>58198</xdr:rowOff>
    </xdr:to>
    <xdr:pic>
      <xdr:nvPicPr>
        <xdr:cNvPr id="25" name="Imagen 24" descr="http://t0.gstatic.com/images?q=tbn:ANd9GcQt2p0KRKqgV3k8vxk7hwCr8NUsTQNc4MlWkzw-kmFzgj_o6Kl2uw">
          <a:extLst>
            <a:ext uri="{FF2B5EF4-FFF2-40B4-BE49-F238E27FC236}">
              <a16:creationId xmlns:a16="http://schemas.microsoft.com/office/drawing/2014/main" id="{00000000-0008-0000-0000-000019000000}"/>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1866396" y="12070584"/>
          <a:ext cx="420831" cy="38821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absolute">
    <xdr:from>
      <xdr:col>7</xdr:col>
      <xdr:colOff>17593</xdr:colOff>
      <xdr:row>60</xdr:row>
      <xdr:rowOff>73846</xdr:rowOff>
    </xdr:from>
    <xdr:to>
      <xdr:col>7</xdr:col>
      <xdr:colOff>402229</xdr:colOff>
      <xdr:row>62</xdr:row>
      <xdr:rowOff>58198</xdr:rowOff>
    </xdr:to>
    <xdr:pic>
      <xdr:nvPicPr>
        <xdr:cNvPr id="26" name="Imagen 25" descr="http://t0.gstatic.com/images?q=tbn:ANd9GcQt2p0KRKqgV3k8vxk7hwCr8NUsTQNc4MlWkzw-kmFzgj_o6Kl2uw">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4649601" y="12070584"/>
          <a:ext cx="397971" cy="38821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absolute">
    <xdr:from>
      <xdr:col>10</xdr:col>
      <xdr:colOff>18228</xdr:colOff>
      <xdr:row>60</xdr:row>
      <xdr:rowOff>134806</xdr:rowOff>
    </xdr:from>
    <xdr:to>
      <xdr:col>10</xdr:col>
      <xdr:colOff>435249</xdr:colOff>
      <xdr:row>62</xdr:row>
      <xdr:rowOff>97251</xdr:rowOff>
    </xdr:to>
    <xdr:pic>
      <xdr:nvPicPr>
        <xdr:cNvPr id="27" name="Imagen 26" descr="http://t0.gstatic.com/images?q=tbn:ANd9GcQt2p0KRKqgV3k8vxk7hwCr8NUsTQNc4MlWkzw-kmFzgj_o6Kl2uw">
          <a:extLst>
            <a:ext uri="{FF2B5EF4-FFF2-40B4-BE49-F238E27FC236}">
              <a16:creationId xmlns:a16="http://schemas.microsoft.com/office/drawing/2014/main" id="{00000000-0008-0000-0000-00001B000000}"/>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7211826" y="12118209"/>
          <a:ext cx="396066" cy="38821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absolute">
    <xdr:from>
      <xdr:col>13</xdr:col>
      <xdr:colOff>250320</xdr:colOff>
      <xdr:row>60</xdr:row>
      <xdr:rowOff>150046</xdr:rowOff>
    </xdr:from>
    <xdr:to>
      <xdr:col>14</xdr:col>
      <xdr:colOff>326664</xdr:colOff>
      <xdr:row>62</xdr:row>
      <xdr:rowOff>134398</xdr:rowOff>
    </xdr:to>
    <xdr:pic>
      <xdr:nvPicPr>
        <xdr:cNvPr id="28" name="Imagen 27" descr="http://t0.gstatic.com/images?q=tbn:ANd9GcQt2p0KRKqgV3k8vxk7hwCr8NUsTQNc4MlWkzw-kmFzgj_o6Kl2uw">
          <a:extLst>
            <a:ext uri="{FF2B5EF4-FFF2-40B4-BE49-F238E27FC236}">
              <a16:creationId xmlns:a16="http://schemas.microsoft.com/office/drawing/2014/main" id="{00000000-0008-0000-0000-00001C000000}"/>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9370191" y="12146784"/>
          <a:ext cx="384636" cy="38821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0</xdr:colOff>
      <xdr:row>4</xdr:row>
      <xdr:rowOff>0</xdr:rowOff>
    </xdr:from>
    <xdr:to>
      <xdr:col>10</xdr:col>
      <xdr:colOff>304800</xdr:colOff>
      <xdr:row>5</xdr:row>
      <xdr:rowOff>55245</xdr:rowOff>
    </xdr:to>
    <xdr:sp macro="" textlink="">
      <xdr:nvSpPr>
        <xdr:cNvPr id="1027" name="AutoShape 3" descr="data:image/jpeg;base64,/9j/4AAQSkZJRgABAQAAAQABAAD/2wCEAAkGBhMQEBAUExQUEBAVEBUUFxYWFBQVFhQVFBIVGBgUFBQXHSYeFxojGhIXHy8gJCcpLS0sFR4xNTAqNSYrLCkBCQoKDgwOGg8PGi0kHyQ1MCosNS0qMi4sLiwsLCo1MC8uLS41NCosLDQ1LCksLCkyLCwsLyksLCksKSosLSkpKf/AABEIALsBDQMBIgACEQEDEQH/xAAbAAEAAgMBAQAAAAAAAAAAAAAABQYBAgQDB//EAEIQAAIBAgQEAgYHBQcEAwAAAAECAAMRBAUSIQYxQVETYSIycYGhsQcUQlJykcEjMzSy0RVic4KDwvAkU5KiFtLx/8QAGgEBAAMBAQEAAAAAAAAAAAAAAAECBAUGA//EAC4RAAICAQMCAwYHAQAAAAAAAAABAhEDEiExBBNBYfAFFFFxkcEiIzJCgaGx0f/aAAwDAQACEQMRAD8A+4xEQBERAEREAREQBERAEREAREQBESIzPPlpVqNEelUqBm520U1Ukue+9gB7e0AkqlcCeRxMjTiY+sQCVXE957XkJ9ZnXl+Yo5ZAymotiV1AsAeRI5iAd5acWOzyhQ/e1qVI9ndVP5Eyj/Sbxw2Gth6J01WUF2HNQ3JQehI3947ym8HcC1cyc1KjNTw4azPzaow5rTv8WPLzN5nlmevRFWzrYPZ0ez7xnlpj4fFn2zLc3o4gE0aiVVBsSjBrHnY25Ttkbk2TUcJSFOigpoN+5Y/eZjux8zJANPurrc5ctN/h48zaIiSVEREAREQBERAEREAREQBERAEREAREQBERAEREAREQAZ8or4rTn1W+rS1OpoLcjawIXyBVh7p9WMhM4yikxFWpSFU0w7IwF6lIslnKdwQL27jlysBF/WpqcVKXg+PsPU5koet7G3tsdpNfXhAO7N868ChUqfdQkebcgPzIlW+jrMf+tpu3p1KzOtyd+RufPcE28h2nRxDgquMoPRoDVVbTpF7A6WBNz0HnOzJcj/sfDoaipiM0rehSRfSCGxvpZgNuZZth05XJhuty0IOclGPJS/pALf2pi9f/AHQR+HSoX4CfTPoqz2nUwaUAQtWjcFerKWLBwOvPfzE+WcTZRiaVTXi/XqsWDhtYLcyNQ226rz3uLiQ612psCG0t0Ktv7iDOapSx5HKj2mTpsfV9LHHqW1U1xsj7vxnx3SwSFVIqYgiwQG+nzft7Jv8ARq1Z8EKtZmd69V6o1G9lJCrbsPRJ/wA0+U8J8EYjMKillenh73eqwK3HVaV/WY8rjYX90++YXDrTVVUBUVQqgcgAAAB7hNeJzm9UtkcDrY4OnxrBieqXMn9j2iImg5AiIgCIiAIiIAiIgCIiAIiIAiIgCIiAIiIAiIgCIiAJq7AC55TaRma1+S+8wCG4gwWFxJ9PDUqrjk7oupT3Btf4yFfJlHf8zOlswviQg5aSTOnGYlUVmYgKBcnsIJSt0jgw2cLl6VHIUrYXJ9Y25KD+kqfDHFbYzNK1Wra7UGFMf9tQ6eivu+XnK7xXxGcXUIFxRU+iO/8AeM48hpOteky+sDe17AIdmLeVibedpiebVNJcHpIezuz0s3L9TW/l5euT7BmNKniKbUqg1025+RHJlPRgeRnbwTkNKgrqgVlAAuQL6rsb3P2rHf2yqLmt9hzn0zJsv8Gii82tdj3Y8/6e6bKV2ec1S06b2O0LNoiSVEREAREQBERAEREAREQBERAEREAREQBERAEREAREQBERAMEyArVVqFvSsTfzk+0rNfhlqZd1qsygEimVF/Zqvv8AlAIankNVK7vdaitaxBsR5WMheL8hx2JGikKYpDcjxVDOfZytLdh62wN9pVuPqdYUlrYeoR4Z/aKFDMVNgGU78jzHnfpPnkVrc1dJklDKnGr8+EUPEcHYqgU8SlbW2lQHRrtYn0ipOkWBJPlL/hPo8tg6VWiS1creoDyqEMR6H3bcgO3nvOHI0qlFNdy9XttZAfsi3Xuf6T6Vwyb4ZB2LD/2J/WUxYox/EjR1nX5c6WOVUvhwz5rk+W1HxC09DhtQuCrDSL7lr8us+viLTM+5zRERAEREAREQBERAEREAREQBERAEREAREQBERAEREAREQBNKtQKCSbAbknYADqTNiZ87+mHiI0MMlBTZqxJb/DS1x7yR+RlJy0q2fbp8LzZFjXiY4h+l+jRYpQTxyObElU921z8JUs/+lqvisO9FUWgzbMyMTdCN1F+V57cK/RNVxVMVcQ5wyMLqmkNUYH7ThtkHlufZIXjngpsudN9dJ/VYC245gjofKY5PLWpno8GPoO52oK5Lxfqv6O7hXjb0Fo120lRZXY7MvQEn7QG3n7pYcVnoCnTuCLX6b7frPnvDuWpXrAPuFGrT0axGx8txPrnDGVLXXF02GzUUX2XZyCPYVB9004ZOUdzj+0sMMOaofMreBrE2tPo/Cj/smHZ7/mB/Qz57gMOVJVhZlYqw7MpsR+Yl34Wq2Yr3X4g/0Jn2OcWaIiAIiIAiIgCIiAIiIAiIgCIiAIiIAiIgCIiAIiIAiIgCJi8XgGGEgcx4Po4jGUsTVu7Uk0qhsUuHLByOpBPLlsO0nzNSZDVkxlKLuLowZ8h+l/iinW8PDUyH0OXdhYjVYgID7yT7ue8uvGmWY/EgU8LUpUqRX0yxdXJvyuFPo2/WVfKfoVGoNiq5qC9ylIFb+TVG3t7APdPhl1y/DFHT6F9PhazZZbrhL7lQ4HwRu9U8vUXz3BY/AD859W4KFqlf8CfzPKw2Xik7U1AVUYqAOQCkgCWrgqn6Vc+SD4uZ9YQ0Rox9VnfUZXkfpEXn+GCY2rb7YV/ewsfit/fO3Ja+mrT82t+Yt+si+K6lsbV/Cn8gnpwwpqYmmOikuf8AKNvjaXM59CiYvF4BmJi8XgGYi8xeAZiIgCIiAIiIAiIgCIiAIiIAiIgCIiAJgzMw3KAaF5qXmpmhEA9PEmDVnkwM8mUwDp8YTV8UACSbATjcGRuZUKroQlr7EXJtt3gEfmOC1VKji2lmJt13kjwtUCisNr6lPusf1BkN9TxnLTT9utv/AKz0weWYhCzFlBYW2HIXvYEwCMxVN61Wozm1UtZgehG1vIcvhLBwthRQZyxF2UKPLff5CcNfI67Pr8QFrW3Xn7bT1p5RiLi7oB5K1z+ZgFx8aZ8WRdMt1nurGAdwqTIqTkVjPQNAOjVGqeIabXgHuJmYXlMwBERAEREAREQBERAERNXqAC5IA7k2EA2iR757QBINRfifiJmlndBjYVFv7x8TPl3sd1qX1L9ufNP6HfE1VweW4m0+pQREQDGgTHhjtNogGvhjtMeEO03iAaeCvYTHgL2E9JxZlmiUApa51GwsOwgHT9XXsI+rL90TXB4oVUV1vpblfnzt+k9oB5/V1+6I+rr2E9IgHn4C9hM+CvYTeIBp4I7CPCHabxANfDHaNA7TaIAiIgCIiAIiIAiIgCImGNhAOHNs1Wglzux2Udz59hKfiMXVxL9WJ5KOQ90ZvjTWqs3MX0qOwHb285MkjA0VsAa7jmf+chPOZsz6qct6xx58/wDt+B28WNdPFbXOXByUeFahF2ZU8tzM1eE6lvRZH8rESKxGLeoSXYsfM7fl0ihinpkFGK+w/pMevpeNDr57/Tg1aOpq9a+VbfXk68PjK2EaxuO6tyPsluy3MlrpqX2EHmD5yIp1BjsOwIAqp1HfofYbSHyLMDSrL91iFYe3kfdN+HM+mnFXeOXHl68TFlxrPGTqpx58y9xeYlXwGZ1WxeguSniOLbWsNVunlPQHHLTESB4oxr0hT0MUuWva29gLc/bAJ6Jx5RVLUKbMdTFbk99zI3Ps/wDCOin6/U9F8h5wCeld4w9Wl+JvkJwUMFiqg1a2UHf0nK/AcpzZkayhUqkkA3UnfpbZusEWWnh7+Gpew/zGSMjuHv4al7D/ADGcue5/4PoJY1LXJO4W/l3gkm4lQp4LF1fSLst993K3/wAq8pr9dxOFYaiWU9GOoH2HmIBcYnNgMctamrr15jseoldxud1KWKf0i1NW9TYC1uht5wC1xKucNi8R6erw1O4XUVsOmwHznGmZYjDOFcsbG5VjcMPJuf8AzlALpEquvE4u7IfDp3NvS03943YzlrVcThXBZib9yWVrdN+UAukTly7GCrSVwLXHLseREjc+xFcMiUr2ccwLm/UXOwFjAJyJURlOMKk6m9nim5/Lb4zOBzyrSqBKxJW4B1AXXzuOYgFtiYBmYAiIgCc+PfTTqHsh+U6J51qepWHcEfmJSauLSJi6asoWUpevRB++Phv+k7eKKhNe3QILe+95xYU+DXTVsUqWPyMkOKqBFVW6Mlvev/7PKpP3Wa8U1fyPRya95i/CnR6Lh6OGpU2qIatRxcDttf3c5tWo0Hw1WpTp6GHfmDccvznnTx1CvSRKxKOgsGHX/luU68NUwzUnoU303F9TbXPlfnymyChJVHTprbi7r68mSTlHeWrVe/NVf0OXhNrVXHTR8jIjGLapUt0qNb3GT+GFPBI5LrUqsLADy5ASAw1E1airzZm395uTMmaLjihh/db/AIvg04ZKWSeX9tL+j6DQ9Vfwj5SoZb/Hf6tT/dLii2AHQACU7LjbG/61T/dPVrZHnWXOVvjHlR9r/JZZJWeMKg/ZC4uNRt5WG8kEplNXThKbHkKZP5XMrWT0/GxF39LdnPmb7fGWPLaWrBqvekR+YIlcyGtorgHa4K+/oPhBBbJCcU+pS/E3yEmryE4pPoU/xN8hBJKZE9sLTJ5BSfyJlUo41fH8SoNQ1FrC3PoflLXkK3wtMHkVYf8AsZWsqIpYkB+QZkNwNjyF7+0QQSn/AMqp/df4f1nLmOfU6tNk0tfoTbYjrLQMKn3V/wDETP1VPur/AOIgkgeD3OmqOgKke0g3/lE4MYL4/wAvGT5iW9KQHIADyAEqGM/j/wDWT5iAXG0rHGKDVSPWzC/lddvjLRKzxjzo+x/msAmcn/cUvwCcXFSDwL9Q62nbk37il+ATk4q/hz+NfnAPPhL9y3+Kf5VkljswSiLubdh1PsEjOEv3L/4p/kWQ+PY18WVJ216B0so7QDvrcXG/oU7j+8d/hykRmuP8dgxXQwSx59CdxLZh8OlMWQBQP+bmV7ij94v+HvJIZa8ExNOmTz0D5Ce88MD+6p/gX5Ce8gkREQBERAK1xLkpb9qgubekP9wmmAxdPFUhRqmzr6rd7ciD38pZ7SIzDhunUNx+zbuvL8pzM3SSjN5MSTvlPhm/H1CcFDJtXDXKK7j8jqUQSbMg+0Dy9oMjpZamR4kqU8ZWQ9GLcvynOvCVQkXdAPLUT8hOPl6LI5flwaXmdPF1cFH8yafyIKWzhvJTT/aOLORsDzUHv5zpy3h+nR39d/vHp7B0ktadLovZ3afcycmHq+u7i0Y+DEq+eZC4qGpSBYMbkD1g3ceUtBkdVzlVasNLfslDHlvfoN51pzjD9TObGDlwiDo5ti2IUKSbdafba5JmmYZLWsrNqq1GJ1W9LSNrCWWnmCtUCWNzTD+VibW9s86+bqrVVIY+Gms8txvy38pHehV2T25cUb5PSK0KYYFSF3B5jeQ+e8PsWNSkL33Zet+6yWpZqGqKmlgWTWCbWt25894r5qFaquliUQObW3B7b85HehV35fcduXFFap5jiU9CxLXsAyXb2TOOwOJqBWdWbc2UDltzKjlLJhs0V3VQGBan4gvble1jvzncJeE1JXErKLWzOHI6JXD01YFWANweY9Izgzzh/wAUl6dg/UHYNt8DO3Mc4FA7qzbX9HTtv2JvPSvmarR8Ug6dINuu8p3oW1fHJbtypOueCtpj8XRGizbcrpqNh2PUT014zEW5qvO/qDY8yeZ9kncNm6vUFMBgfDD72tY22589545nmpTWiq7OKeq4AsAb7m58pWXUY1HVe33JWKbemiTpg2F7Frb25X8pWMRgahxuoIxTxUOq21hbe8mcLjdOGWo1zanqPczXBZ0tV9AVlOnVvp5e4m0nvw2Te74HalvS4JOV7irCPUNLQjPYNewva+n+k7sVnYps66HbQAWIAsAfaZjC56rui6HTWpZSwFiAL32Mj3jFq03uT2Z1qrY6cqplaNIEWIQAg8xOXiSgz0LKCx1rsBcz3zDNBRtdS1wT6Ona3tInvg8UKqK4uARffnLrLBy0J7lHCSjq8CN4Yw7JSYOpQ+ITYixtpXf4ThzzJagqGrSBNzqIHMMLbjvLBi8SKaM5uQoubTlwubCo4TQ6EprGq242G1j5xLLGMtLe7ChJq1wQdLNMU1lCXYi99BG17X7WmmL4frFPEb06hbdRuQO/Y+wSbx2erRcoVdiFDG1rWN+5HadFfHfsfEVWa63AFri45n2Svfx70+OSzxS2tc8Hhw9iGaiAylSh0b9bAb/GSkjsnx7VUXUrA6QdRAsx/u7yRl4TU4qS8SsouL0sRES5URMRAMxMRAMxMRAMxMRAMyLx2Sio+rUVDCzgfbANwL9JJxPnkxxyKpItGcoO4kdluU+ESSxqMQACeijkomuYZIKrhtRW40uB9tQb28pJxKe749Giti3dnq13uR2W5MKTFixdraQSPVX7omMxyYVWDBihI0vb7a9jJFjMKY7GPTorYnuz1ar3I/LcmFElixc20rf7K9AJ1Ck/iE6/Qt6ukc+950RLRxRilFeBWU5Sdshsz4f8Zy2oC6gWK6rW6g32nVWyzVQ8LV9kDVbt5TviV93x3J1zyW706SvjgisBkzU6viM+s6NHq6dtvPymcblLPUZlqaNVMIRpDbb+fnJSJC6fGo6K255Y70r1fxwji/s7/p/B1fY06rfpPDK8lFBibqTptsgU+dzffpJSJfswtSrdcEdyVNfEjsRlOtqx1W8RAvL1bdfOYp5RY0CWuKdMra1tVxa53klEjsY7uvV3/o7sqq/VV/hE5pkfjOG1AWTTYrq63uN9jOvD4MpRFNWswWwa3XvadcQsMFJyS3YeSTio+COXE4M1KLU2a5K2LW+NprTwFqiPf1aXh2tz3Bvf3TsiWeOLdv1RVTaVEPmOQ+LUL6gPRC2Kaht15+ckRh/2ejpp08rdLcp7xIjhhFtpc8kyySkkm+DhyvAvSXSX1qAAo0gWt59Z3zES0IKC0oiUnJ2zMTEwTLlT/9k=">
          <a:extLst>
            <a:ext uri="{FF2B5EF4-FFF2-40B4-BE49-F238E27FC236}">
              <a16:creationId xmlns:a16="http://schemas.microsoft.com/office/drawing/2014/main" id="{00000000-0008-0000-0000-000003040000}"/>
            </a:ext>
          </a:extLst>
        </xdr:cNvPr>
        <xdr:cNvSpPr>
          <a:spLocks noChangeAspect="1" noChangeArrowheads="1"/>
        </xdr:cNvSpPr>
      </xdr:nvSpPr>
      <xdr:spPr bwMode="auto">
        <a:xfrm>
          <a:off x="6743700"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xdr:row>
      <xdr:rowOff>0</xdr:rowOff>
    </xdr:from>
    <xdr:to>
      <xdr:col>10</xdr:col>
      <xdr:colOff>304800</xdr:colOff>
      <xdr:row>5</xdr:row>
      <xdr:rowOff>55245</xdr:rowOff>
    </xdr:to>
    <xdr:sp macro="" textlink="">
      <xdr:nvSpPr>
        <xdr:cNvPr id="1028" name="AutoShape 4" descr="data:image/jpeg;base64,/9j/4AAQSkZJRgABAQAAAQABAAD/2wCEAAkGBhMQEBAUExQUEBAVEBUUFxYWFBQVFhQVFBIVGBgUFBQXHSYeFxojGhIXHy8gJCcpLS0sFR4xNTAqNSYrLCkBCQoKDgwOGg8PGi0kHyQ1MCosNS0qMi4sLiwsLCo1MC8uLS41NCosLDQ1LCksLCkyLCwsLyksLCksKSosLSkpKf/AABEIALsBDQMBIgACEQEDEQH/xAAbAAEAAgMBAQAAAAAAAAAAAAAABQYBAgQDB//EAEIQAAIBAgQEAgYHBQcEAwAAAAECAAMRBAUSIQYxQVETYSIycYGhsQcUQlJykcEjMzSy0RVic4KDwvAkU5KiFtLx/8QAGgEBAAMBAQEAAAAAAAAAAAAAAAECBAUGA//EAC4RAAICAQMCAwYHAQAAAAAAAAABAhEDEiExBBNBYfAFFFFxkcEiIzJCgaGx0f/aAAwDAQACEQMRAD8A+4xEQBERAEREAREQBERAEREAREQBESIzPPlpVqNEelUqBm520U1Ukue+9gB7e0AkqlcCeRxMjTiY+sQCVXE957XkJ9ZnXl+Yo5ZAymotiV1AsAeRI5iAd5acWOzyhQ/e1qVI9ndVP5Eyj/Sbxw2Gth6J01WUF2HNQ3JQehI3947ym8HcC1cyc1KjNTw4azPzaow5rTv8WPLzN5nlmevRFWzrYPZ0ez7xnlpj4fFn2zLc3o4gE0aiVVBsSjBrHnY25Ttkbk2TUcJSFOigpoN+5Y/eZjux8zJANPurrc5ctN/h48zaIiSVEREAREQBERAEREAREQBERAEREAREQBERAEREAREQAZ8or4rTn1W+rS1OpoLcjawIXyBVh7p9WMhM4yikxFWpSFU0w7IwF6lIslnKdwQL27jlysBF/WpqcVKXg+PsPU5koet7G3tsdpNfXhAO7N868ChUqfdQkebcgPzIlW+jrMf+tpu3p1KzOtyd+RufPcE28h2nRxDgquMoPRoDVVbTpF7A6WBNz0HnOzJcj/sfDoaipiM0rehSRfSCGxvpZgNuZZth05XJhuty0IOclGPJS/pALf2pi9f/AHQR+HSoX4CfTPoqz2nUwaUAQtWjcFerKWLBwOvPfzE+WcTZRiaVTXi/XqsWDhtYLcyNQ226rz3uLiQ612psCG0t0Ktv7iDOapSx5HKj2mTpsfV9LHHqW1U1xsj7vxnx3SwSFVIqYgiwQG+nzft7Jv8ARq1Z8EKtZmd69V6o1G9lJCrbsPRJ/wA0+U8J8EYjMKillenh73eqwK3HVaV/WY8rjYX90++YXDrTVVUBUVQqgcgAAAB7hNeJzm9UtkcDrY4OnxrBieqXMn9j2iImg5AiIgCIiAIiIAiIgCIiAIiIAiIgCIiAIiIAiIgCIiAJq7AC55TaRma1+S+8wCG4gwWFxJ9PDUqrjk7oupT3Btf4yFfJlHf8zOlswviQg5aSTOnGYlUVmYgKBcnsIJSt0jgw2cLl6VHIUrYXJ9Y25KD+kqfDHFbYzNK1Wra7UGFMf9tQ6eivu+XnK7xXxGcXUIFxRU+iO/8AeM48hpOteky+sDe17AIdmLeVibedpiebVNJcHpIezuz0s3L9TW/l5euT7BmNKniKbUqg1025+RHJlPRgeRnbwTkNKgrqgVlAAuQL6rsb3P2rHf2yqLmt9hzn0zJsv8Gii82tdj3Y8/6e6bKV2ec1S06b2O0LNoiSVEREAREQBERAEREAREQBERAEREAREQBERAEREAREQBERAMEyArVVqFvSsTfzk+0rNfhlqZd1qsygEimVF/Zqvv8AlAIankNVK7vdaitaxBsR5WMheL8hx2JGikKYpDcjxVDOfZytLdh62wN9pVuPqdYUlrYeoR4Z/aKFDMVNgGU78jzHnfpPnkVrc1dJklDKnGr8+EUPEcHYqgU8SlbW2lQHRrtYn0ipOkWBJPlL/hPo8tg6VWiS1creoDyqEMR6H3bcgO3nvOHI0qlFNdy9XttZAfsi3Xuf6T6Vwyb4ZB2LD/2J/WUxYox/EjR1nX5c6WOVUvhwz5rk+W1HxC09DhtQuCrDSL7lr8us+viLTM+5zRERAEREAREQBERAEREAREQBERAEREAREQBERAEREAREQBNKtQKCSbAbknYADqTNiZ87+mHiI0MMlBTZqxJb/DS1x7yR+RlJy0q2fbp8LzZFjXiY4h+l+jRYpQTxyObElU921z8JUs/+lqvisO9FUWgzbMyMTdCN1F+V57cK/RNVxVMVcQ5wyMLqmkNUYH7ThtkHlufZIXjngpsudN9dJ/VYC245gjofKY5PLWpno8GPoO52oK5Lxfqv6O7hXjb0Fo120lRZXY7MvQEn7QG3n7pYcVnoCnTuCLX6b7frPnvDuWpXrAPuFGrT0axGx8txPrnDGVLXXF02GzUUX2XZyCPYVB9004ZOUdzj+0sMMOaofMreBrE2tPo/Cj/smHZ7/mB/Qz57gMOVJVhZlYqw7MpsR+Yl34Wq2Yr3X4g/0Jn2OcWaIiAIiIAiIgCIiAIiIAiIgCIiAIiIAiIgCIiAIiIAiIgCJi8XgGGEgcx4Po4jGUsTVu7Uk0qhsUuHLByOpBPLlsO0nzNSZDVkxlKLuLowZ8h+l/iinW8PDUyH0OXdhYjVYgID7yT7ue8uvGmWY/EgU8LUpUqRX0yxdXJvyuFPo2/WVfKfoVGoNiq5qC9ylIFb+TVG3t7APdPhl1y/DFHT6F9PhazZZbrhL7lQ4HwRu9U8vUXz3BY/AD859W4KFqlf8CfzPKw2Xik7U1AVUYqAOQCkgCWrgqn6Vc+SD4uZ9YQ0Rox9VnfUZXkfpEXn+GCY2rb7YV/ewsfit/fO3Ja+mrT82t+Yt+si+K6lsbV/Cn8gnpwwpqYmmOikuf8AKNvjaXM59CiYvF4BmJi8XgGYi8xeAZiIgCIiAIiIAiIgCIiAIiIAiIgCIiAJgzMw3KAaF5qXmpmhEA9PEmDVnkwM8mUwDp8YTV8UACSbATjcGRuZUKroQlr7EXJtt3gEfmOC1VKji2lmJt13kjwtUCisNr6lPusf1BkN9TxnLTT9utv/AKz0weWYhCzFlBYW2HIXvYEwCMxVN61Wozm1UtZgehG1vIcvhLBwthRQZyxF2UKPLff5CcNfI67Pr8QFrW3Xn7bT1p5RiLi7oB5K1z+ZgFx8aZ8WRdMt1nurGAdwqTIqTkVjPQNAOjVGqeIabXgHuJmYXlMwBERAEREAREQBERAERNXqAC5IA7k2EA2iR757QBINRfifiJmlndBjYVFv7x8TPl3sd1qX1L9ufNP6HfE1VweW4m0+pQREQDGgTHhjtNogGvhjtMeEO03iAaeCvYTHgL2E9JxZlmiUApa51GwsOwgHT9XXsI+rL90TXB4oVUV1vpblfnzt+k9oB5/V1+6I+rr2E9IgHn4C9hM+CvYTeIBp4I7CPCHabxANfDHaNA7TaIAiIgCIiAIiIAiIgCImGNhAOHNs1Wglzux2Udz59hKfiMXVxL9WJ5KOQ90ZvjTWqs3MX0qOwHb285MkjA0VsAa7jmf+chPOZsz6qct6xx58/wDt+B28WNdPFbXOXByUeFahF2ZU8tzM1eE6lvRZH8rESKxGLeoSXYsfM7fl0ihinpkFGK+w/pMevpeNDr57/Tg1aOpq9a+VbfXk68PjK2EaxuO6tyPsluy3MlrpqX2EHmD5yIp1BjsOwIAqp1HfofYbSHyLMDSrL91iFYe3kfdN+HM+mnFXeOXHl68TFlxrPGTqpx58y9xeYlXwGZ1WxeguSniOLbWsNVunlPQHHLTESB4oxr0hT0MUuWva29gLc/bAJ6Jx5RVLUKbMdTFbk99zI3Ps/wDCOin6/U9F8h5wCeld4w9Wl+JvkJwUMFiqg1a2UHf0nK/AcpzZkayhUqkkA3UnfpbZusEWWnh7+Gpew/zGSMjuHv4al7D/ADGcue5/4PoJY1LXJO4W/l3gkm4lQp4LF1fSLst993K3/wAq8pr9dxOFYaiWU9GOoH2HmIBcYnNgMctamrr15jseoldxud1KWKf0i1NW9TYC1uht5wC1xKucNi8R6erw1O4XUVsOmwHznGmZYjDOFcsbG5VjcMPJuf8AzlALpEquvE4u7IfDp3NvS03943YzlrVcThXBZib9yWVrdN+UAukTly7GCrSVwLXHLseREjc+xFcMiUr2ccwLm/UXOwFjAJyJURlOMKk6m9nim5/Lb4zOBzyrSqBKxJW4B1AXXzuOYgFtiYBmYAiIgCc+PfTTqHsh+U6J51qepWHcEfmJSauLSJi6asoWUpevRB++Phv+k7eKKhNe3QILe+95xYU+DXTVsUqWPyMkOKqBFVW6Mlvev/7PKpP3Wa8U1fyPRya95i/CnR6Lh6OGpU2qIatRxcDttf3c5tWo0Hw1WpTp6GHfmDccvznnTx1CvSRKxKOgsGHX/luU68NUwzUnoU303F9TbXPlfnymyChJVHTprbi7r68mSTlHeWrVe/NVf0OXhNrVXHTR8jIjGLapUt0qNb3GT+GFPBI5LrUqsLADy5ASAw1E1airzZm395uTMmaLjihh/db/AIvg04ZKWSeX9tL+j6DQ9Vfwj5SoZb/Hf6tT/dLii2AHQACU7LjbG/61T/dPVrZHnWXOVvjHlR9r/JZZJWeMKg/ZC4uNRt5WG8kEplNXThKbHkKZP5XMrWT0/GxF39LdnPmb7fGWPLaWrBqvekR+YIlcyGtorgHa4K+/oPhBBbJCcU+pS/E3yEmryE4pPoU/xN8hBJKZE9sLTJ5BSfyJlUo41fH8SoNQ1FrC3PoflLXkK3wtMHkVYf8AsZWsqIpYkB+QZkNwNjyF7+0QQSn/AMqp/df4f1nLmOfU6tNk0tfoTbYjrLQMKn3V/wDETP1VPur/AOIgkgeD3OmqOgKke0g3/lE4MYL4/wAvGT5iW9KQHIADyAEqGM/j/wDWT5iAXG0rHGKDVSPWzC/lddvjLRKzxjzo+x/msAmcn/cUvwCcXFSDwL9Q62nbk37il+ATk4q/hz+NfnAPPhL9y3+Kf5VkljswSiLubdh1PsEjOEv3L/4p/kWQ+PY18WVJ216B0so7QDvrcXG/oU7j+8d/hykRmuP8dgxXQwSx59CdxLZh8OlMWQBQP+bmV7ij94v+HvJIZa8ExNOmTz0D5Ce88MD+6p/gX5Ce8gkREQBERAK1xLkpb9qgubekP9wmmAxdPFUhRqmzr6rd7ciD38pZ7SIzDhunUNx+zbuvL8pzM3SSjN5MSTvlPhm/H1CcFDJtXDXKK7j8jqUQSbMg+0Dy9oMjpZamR4kqU8ZWQ9GLcvynOvCVQkXdAPLUT8hOPl6LI5flwaXmdPF1cFH8yafyIKWzhvJTT/aOLORsDzUHv5zpy3h+nR39d/vHp7B0ktadLovZ3afcycmHq+u7i0Y+DEq+eZC4qGpSBYMbkD1g3ceUtBkdVzlVasNLfslDHlvfoN51pzjD9TObGDlwiDo5ti2IUKSbdafba5JmmYZLWsrNqq1GJ1W9LSNrCWWnmCtUCWNzTD+VibW9s86+bqrVVIY+Gms8txvy38pHehV2T25cUb5PSK0KYYFSF3B5jeQ+e8PsWNSkL33Zet+6yWpZqGqKmlgWTWCbWt25894r5qFaquliUQObW3B7b85HehV35fcduXFFap5jiU9CxLXsAyXb2TOOwOJqBWdWbc2UDltzKjlLJhs0V3VQGBan4gvble1jvzncJeE1JXErKLWzOHI6JXD01YFWANweY9Izgzzh/wAUl6dg/UHYNt8DO3Mc4FA7qzbX9HTtv2JvPSvmarR8Ug6dINuu8p3oW1fHJbtypOueCtpj8XRGizbcrpqNh2PUT014zEW5qvO/qDY8yeZ9kncNm6vUFMBgfDD72tY22589545nmpTWiq7OKeq4AsAb7m58pWXUY1HVe33JWKbemiTpg2F7Frb25X8pWMRgahxuoIxTxUOq21hbe8mcLjdOGWo1zanqPczXBZ0tV9AVlOnVvp5e4m0nvw2Te74HalvS4JOV7irCPUNLQjPYNewva+n+k7sVnYps66HbQAWIAsAfaZjC56rui6HTWpZSwFiAL32Mj3jFq03uT2Z1qrY6cqplaNIEWIQAg8xOXiSgz0LKCx1rsBcz3zDNBRtdS1wT6Ona3tInvg8UKqK4uARffnLrLBy0J7lHCSjq8CN4Yw7JSYOpQ+ITYixtpXf4ThzzJagqGrSBNzqIHMMLbjvLBi8SKaM5uQoubTlwubCo4TQ6EprGq242G1j5xLLGMtLe7ChJq1wQdLNMU1lCXYi99BG17X7WmmL4frFPEb06hbdRuQO/Y+wSbx2erRcoVdiFDG1rWN+5HadFfHfsfEVWa63AFri45n2Svfx70+OSzxS2tc8Hhw9iGaiAylSh0b9bAb/GSkjsnx7VUXUrA6QdRAsx/u7yRl4TU4qS8SsouL0sRES5URMRAMxMRAMxMRAMxMRAMyLx2Sio+rUVDCzgfbANwL9JJxPnkxxyKpItGcoO4kdluU+ESSxqMQACeijkomuYZIKrhtRW40uB9tQb28pJxKe749Giti3dnq13uR2W5MKTFixdraQSPVX7omMxyYVWDBihI0vb7a9jJFjMKY7GPTorYnuz1ar3I/LcmFElixc20rf7K9AJ1Ck/iE6/Qt6ukc+950RLRxRilFeBWU5Sdshsz4f8Zy2oC6gWK6rW6g32nVWyzVQ8LV9kDVbt5TviV93x3J1zyW706SvjgisBkzU6viM+s6NHq6dtvPymcblLPUZlqaNVMIRpDbb+fnJSJC6fGo6K255Y70r1fxwji/s7/p/B1fY06rfpPDK8lFBibqTptsgU+dzffpJSJfswtSrdcEdyVNfEjsRlOtqx1W8RAvL1bdfOYp5RY0CWuKdMra1tVxa53klEjsY7uvV3/o7sqq/VV/hE5pkfjOG1AWTTYrq63uN9jOvD4MpRFNWswWwa3XvadcQsMFJyS3YeSTio+COXE4M1KLU2a5K2LW+NprTwFqiPf1aXh2tz3Bvf3TsiWeOLdv1RVTaVEPmOQ+LUL6gPRC2Kaht15+ckRh/2ejpp08rdLcp7xIjhhFtpc8kyySkkm+DhyvAvSXSX1qAAo0gWt59Z3zES0IKC0oiUnJ2zMTEwTLlT/9k=">
          <a:extLst>
            <a:ext uri="{FF2B5EF4-FFF2-40B4-BE49-F238E27FC236}">
              <a16:creationId xmlns:a16="http://schemas.microsoft.com/office/drawing/2014/main" id="{00000000-0008-0000-0000-000004040000}"/>
            </a:ext>
          </a:extLst>
        </xdr:cNvPr>
        <xdr:cNvSpPr>
          <a:spLocks noChangeAspect="1" noChangeArrowheads="1"/>
        </xdr:cNvSpPr>
      </xdr:nvSpPr>
      <xdr:spPr bwMode="auto">
        <a:xfrm>
          <a:off x="6743700"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638174</xdr:colOff>
      <xdr:row>3</xdr:row>
      <xdr:rowOff>171449</xdr:rowOff>
    </xdr:from>
    <xdr:to>
      <xdr:col>12</xdr:col>
      <xdr:colOff>250506</xdr:colOff>
      <xdr:row>8</xdr:row>
      <xdr:rowOff>688</xdr:rowOff>
    </xdr:to>
    <xdr:pic>
      <xdr:nvPicPr>
        <xdr:cNvPr id="30" name="Imagen 29" descr="http://t0.gstatic.com/images?q=tbn:ANd9GcSOcaZYp0sCkZBRwsB3QOGfBLQf9_qr6Tcm-TdXlorb0v3BiCQ6">
          <a:hlinkClick xmlns:r="http://schemas.openxmlformats.org/officeDocument/2006/relationships" r:id="rId26" tooltip="INCIDENCIAS"/>
          <a:extLst>
            <a:ext uri="{FF2B5EF4-FFF2-40B4-BE49-F238E27FC236}">
              <a16:creationId xmlns:a16="http://schemas.microsoft.com/office/drawing/2014/main" id="{00000000-0008-0000-0000-00001E000000}"/>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7381874" y="742949"/>
          <a:ext cx="942975" cy="8660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17</xdr:col>
      <xdr:colOff>249591</xdr:colOff>
      <xdr:row>4</xdr:row>
      <xdr:rowOff>0</xdr:rowOff>
    </xdr:from>
    <xdr:to>
      <xdr:col>18</xdr:col>
      <xdr:colOff>573033</xdr:colOff>
      <xdr:row>6</xdr:row>
      <xdr:rowOff>55277</xdr:rowOff>
    </xdr:to>
    <xdr:pic macro="[0]!VOLVER.VOLVER">
      <xdr:nvPicPr>
        <xdr:cNvPr id="31" name="Imagen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16069235" y="762000"/>
          <a:ext cx="627289" cy="483959"/>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4</xdr:col>
          <xdr:colOff>792480</xdr:colOff>
          <xdr:row>0</xdr:row>
          <xdr:rowOff>114300</xdr:rowOff>
        </xdr:from>
        <xdr:to>
          <xdr:col>7</xdr:col>
          <xdr:colOff>30480</xdr:colOff>
          <xdr:row>3</xdr:row>
          <xdr:rowOff>68580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3366FF"/>
                  </a:solidFill>
                  <a:latin typeface="Calibri"/>
                  <a:cs typeface="Calibri"/>
                </a:rPr>
                <a:t>Generar informe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480058</xdr:colOff>
      <xdr:row>0</xdr:row>
      <xdr:rowOff>0</xdr:rowOff>
    </xdr:from>
    <xdr:to>
      <xdr:col>10</xdr:col>
      <xdr:colOff>79671</xdr:colOff>
      <xdr:row>52</xdr:row>
      <xdr:rowOff>106951</xdr:rowOff>
    </xdr:to>
    <xdr:pic>
      <xdr:nvPicPr>
        <xdr:cNvPr id="15" name="Imagen 14">
          <a:extLst>
            <a:ext uri="{FF2B5EF4-FFF2-40B4-BE49-F238E27FC236}">
              <a16:creationId xmlns:a16="http://schemas.microsoft.com/office/drawing/2014/main" id="{E6E11A37-0398-8F90-798D-F8CCE1A4CB2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0058" y="0"/>
          <a:ext cx="12635256" cy="17945915"/>
        </a:xfrm>
        <a:prstGeom prst="rect">
          <a:avLst/>
        </a:prstGeom>
      </xdr:spPr>
    </xdr:pic>
    <xdr:clientData/>
  </xdr:twoCellAnchor>
  <xdr:oneCellAnchor>
    <xdr:from>
      <xdr:col>14</xdr:col>
      <xdr:colOff>755196</xdr:colOff>
      <xdr:row>0</xdr:row>
      <xdr:rowOff>95560</xdr:rowOff>
    </xdr:from>
    <xdr:ext cx="480732" cy="468828"/>
    <xdr:pic>
      <xdr:nvPicPr>
        <xdr:cNvPr id="2" name="5 Imagen">
          <a:hlinkClick xmlns:r="http://schemas.openxmlformats.org/officeDocument/2006/relationships" r:id="rId2"/>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528596" y="95560"/>
          <a:ext cx="480732" cy="468828"/>
        </a:xfrm>
        <a:prstGeom prst="rect">
          <a:avLst/>
        </a:prstGeom>
      </xdr:spPr>
    </xdr:pic>
    <xdr:clientData fPrintsWithSheet="0"/>
  </xdr:oneCellAnchor>
  <xdr:absoluteAnchor>
    <xdr:pos x="15472478" y="139474"/>
    <xdr:ext cx="570798" cy="527558"/>
    <xdr:pic>
      <xdr:nvPicPr>
        <xdr:cNvPr id="3" name="Imagen 2">
          <a:hlinkClick xmlns:r="http://schemas.openxmlformats.org/officeDocument/2006/relationships" r:id="rId4" tooltip="Pendientes"/>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472478" y="139474"/>
          <a:ext cx="570798" cy="527558"/>
        </a:xfrm>
        <a:prstGeom prst="rect">
          <a:avLst/>
        </a:prstGeom>
      </xdr:spPr>
    </xdr:pic>
    <xdr:clientData fLocksWithSheet="0" fPrintsWithSheet="0"/>
  </xdr:absoluteAnchor>
  <xdr:absoluteAnchor>
    <xdr:pos x="13365845" y="108857"/>
    <xdr:ext cx="763121" cy="573974"/>
    <xdr:pic macro="[0]!Módulo14.VOLVER">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365845" y="108857"/>
          <a:ext cx="763121" cy="573974"/>
        </a:xfrm>
        <a:prstGeom prst="rect">
          <a:avLst/>
        </a:prstGeom>
      </xdr:spPr>
    </xdr:pic>
    <xdr:clientData fPrintsWithSheet="0"/>
  </xdr:absoluteAnchor>
  <xdr:absoluteAnchor>
    <xdr:pos x="14440808" y="0"/>
    <xdr:ext cx="721769" cy="658217"/>
    <xdr:pic>
      <xdr:nvPicPr>
        <xdr:cNvPr id="5" name="Imagen 4" descr="http://t0.gstatic.com/images?q=tbn:ANd9GcSOcaZYp0sCkZBRwsB3QOGfBLQf9_qr6Tcm-TdXlorb0v3BiCQ6">
          <a:hlinkClick xmlns:r="http://schemas.openxmlformats.org/officeDocument/2006/relationships" r:id="rId7" tooltip="Incidencias"/>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4440808" y="0"/>
          <a:ext cx="721769" cy="658217"/>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absoluteAnchor>
  <xdr:twoCellAnchor>
    <xdr:from>
      <xdr:col>6</xdr:col>
      <xdr:colOff>177164</xdr:colOff>
      <xdr:row>38</xdr:row>
      <xdr:rowOff>304391</xdr:rowOff>
    </xdr:from>
    <xdr:to>
      <xdr:col>7</xdr:col>
      <xdr:colOff>1726202</xdr:colOff>
      <xdr:row>40</xdr:row>
      <xdr:rowOff>37012</xdr:rowOff>
    </xdr:to>
    <xdr:sp macro="" textlink="">
      <xdr:nvSpPr>
        <xdr:cNvPr id="11" name="Cuadro de texto 8">
          <a:extLst>
            <a:ext uri="{FF2B5EF4-FFF2-40B4-BE49-F238E27FC236}">
              <a16:creationId xmlns:a16="http://schemas.microsoft.com/office/drawing/2014/main" id="{00000000-0008-0000-0100-00000B000000}"/>
            </a:ext>
          </a:extLst>
        </xdr:cNvPr>
        <xdr:cNvSpPr txBox="1"/>
      </xdr:nvSpPr>
      <xdr:spPr>
        <a:xfrm>
          <a:off x="8572771" y="15367498"/>
          <a:ext cx="3467645" cy="467407"/>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algn="r"/>
          <a:r>
            <a:rPr lang="es-ES" sz="2700" b="1">
              <a:solidFill>
                <a:schemeClr val="bg1"/>
              </a:solidFill>
              <a:effectLst/>
              <a:latin typeface="Arial" panose="020B0604020202020204" pitchFamily="34" charset="0"/>
              <a:ea typeface="+mn-ea"/>
              <a:cs typeface="Arial" panose="020B0604020202020204" pitchFamily="34" charset="0"/>
            </a:rPr>
            <a:t>Informe de cierre</a:t>
          </a:r>
        </a:p>
        <a:p>
          <a:pPr algn="ctr"/>
          <a:endParaRPr lang="es-ES" sz="2000" b="1" baseline="0">
            <a:solidFill>
              <a:schemeClr val="bg1"/>
            </a:solidFill>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6</xdr:col>
      <xdr:colOff>69941</xdr:colOff>
      <xdr:row>40</xdr:row>
      <xdr:rowOff>47081</xdr:rowOff>
    </xdr:from>
    <xdr:to>
      <xdr:col>7</xdr:col>
      <xdr:colOff>1761310</xdr:colOff>
      <xdr:row>43</xdr:row>
      <xdr:rowOff>42998</xdr:rowOff>
    </xdr:to>
    <xdr:sp macro="" textlink="MENU!D7">
      <xdr:nvSpPr>
        <xdr:cNvPr id="6" name="CuadroTexto 5">
          <a:extLst>
            <a:ext uri="{FF2B5EF4-FFF2-40B4-BE49-F238E27FC236}">
              <a16:creationId xmlns:a16="http://schemas.microsoft.com/office/drawing/2014/main" id="{00000000-0008-0000-0100-000006000000}"/>
            </a:ext>
          </a:extLst>
        </xdr:cNvPr>
        <xdr:cNvSpPr txBox="1"/>
      </xdr:nvSpPr>
      <xdr:spPr>
        <a:xfrm>
          <a:off x="8465548" y="15844974"/>
          <a:ext cx="3609976" cy="526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131199B-E329-497F-87FC-93CBD8EB2BB2}" type="TxLink">
            <a:rPr lang="en-US" sz="2400" b="0" i="0" u="none" strike="noStrike">
              <a:solidFill>
                <a:schemeClr val="bg1"/>
              </a:solidFill>
              <a:latin typeface="Arial" panose="020B0604020202020204" pitchFamily="34" charset="0"/>
              <a:cs typeface="Arial" panose="020B0604020202020204" pitchFamily="34" charset="0"/>
            </a:rPr>
            <a:pPr algn="ctr"/>
            <a:t>31 de diciembre de 2024</a:t>
          </a:fld>
          <a:endParaRPr lang="es-ES" sz="2400" b="0">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3</xdr:col>
      <xdr:colOff>501559</xdr:colOff>
      <xdr:row>3</xdr:row>
      <xdr:rowOff>254726</xdr:rowOff>
    </xdr:from>
    <xdr:to>
      <xdr:col>7</xdr:col>
      <xdr:colOff>843642</xdr:colOff>
      <xdr:row>4</xdr:row>
      <xdr:rowOff>217403</xdr:rowOff>
    </xdr:to>
    <xdr:pic>
      <xdr:nvPicPr>
        <xdr:cNvPr id="12" name="Imagen 11" descr="Imagen que contiene dibujo, medidor, reloj&#10;&#10;Descripción generada automáticamente">
          <a:extLst>
            <a:ext uri="{FF2B5EF4-FFF2-40B4-BE49-F238E27FC236}">
              <a16:creationId xmlns:a16="http://schemas.microsoft.com/office/drawing/2014/main" id="{04D4AAE4-B46D-F9F0-7ED1-70CADD22AD7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100523" y="1778726"/>
          <a:ext cx="8057333" cy="1119284"/>
        </a:xfrm>
        <a:prstGeom prst="rect">
          <a:avLst/>
        </a:prstGeom>
      </xdr:spPr>
    </xdr:pic>
    <xdr:clientData/>
  </xdr:twoCellAnchor>
  <xdr:twoCellAnchor>
    <xdr:from>
      <xdr:col>5</xdr:col>
      <xdr:colOff>188593</xdr:colOff>
      <xdr:row>19</xdr:row>
      <xdr:rowOff>208187</xdr:rowOff>
    </xdr:from>
    <xdr:to>
      <xdr:col>7</xdr:col>
      <xdr:colOff>2041071</xdr:colOff>
      <xdr:row>22</xdr:row>
      <xdr:rowOff>421821</xdr:rowOff>
    </xdr:to>
    <xdr:sp macro="" textlink="">
      <xdr:nvSpPr>
        <xdr:cNvPr id="13" name="Terminador 2">
          <a:extLst>
            <a:ext uri="{FF2B5EF4-FFF2-40B4-BE49-F238E27FC236}">
              <a16:creationId xmlns:a16="http://schemas.microsoft.com/office/drawing/2014/main" id="{E03C4AA8-A56E-3B65-3373-E82E1D726F06}"/>
            </a:ext>
          </a:extLst>
        </xdr:cNvPr>
        <xdr:cNvSpPr/>
      </xdr:nvSpPr>
      <xdr:spPr>
        <a:xfrm>
          <a:off x="6624772" y="9243330"/>
          <a:ext cx="5730513" cy="1329420"/>
        </a:xfrm>
        <a:prstGeom prst="flowChartTerminator">
          <a:avLst/>
        </a:prstGeom>
        <a:solidFill>
          <a:schemeClr val="bg1"/>
        </a:solidFill>
        <a:ln>
          <a:noFill/>
        </a:ln>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ES"/>
        </a:p>
      </xdr:txBody>
    </xdr:sp>
    <xdr:clientData/>
  </xdr:twoCellAnchor>
  <xdr:twoCellAnchor>
    <xdr:from>
      <xdr:col>5</xdr:col>
      <xdr:colOff>382904</xdr:colOff>
      <xdr:row>19</xdr:row>
      <xdr:rowOff>345893</xdr:rowOff>
    </xdr:from>
    <xdr:to>
      <xdr:col>7</xdr:col>
      <xdr:colOff>1823356</xdr:colOff>
      <xdr:row>23</xdr:row>
      <xdr:rowOff>190501</xdr:rowOff>
    </xdr:to>
    <xdr:sp macro="" textlink="MENU!E5">
      <xdr:nvSpPr>
        <xdr:cNvPr id="8" name="Cuadro de texto 8">
          <a:extLst>
            <a:ext uri="{FF2B5EF4-FFF2-40B4-BE49-F238E27FC236}">
              <a16:creationId xmlns:a16="http://schemas.microsoft.com/office/drawing/2014/main" id="{00000000-0008-0000-0100-000008000000}"/>
            </a:ext>
          </a:extLst>
        </xdr:cNvPr>
        <xdr:cNvSpPr txBox="1"/>
      </xdr:nvSpPr>
      <xdr:spPr>
        <a:xfrm>
          <a:off x="6819083" y="9381036"/>
          <a:ext cx="5318487" cy="1395822"/>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algn="ctr"/>
          <a:fld id="{5F9CCCA3-42C1-4F96-B4B3-7D076F096B47}" type="TxLink">
            <a:rPr lang="en-US" sz="3200" b="1" i="0" u="none" strike="noStrike">
              <a:solidFill>
                <a:sysClr val="windowText" lastClr="000000"/>
              </a:solidFill>
              <a:effectLst/>
              <a:latin typeface="Arial Narrow" panose="020B0606020202030204" pitchFamily="34" charset="0"/>
              <a:ea typeface="Calibri" panose="020F0502020204030204" pitchFamily="34" charset="0"/>
              <a:cs typeface="Calibri"/>
            </a:rPr>
            <a:pPr algn="ctr"/>
            <a:t>MARIO PILATO BLAT, S.A.</a:t>
          </a:fld>
          <a:endParaRPr lang="es-ES" sz="3200" b="1">
            <a:solidFill>
              <a:sysClr val="windowText" lastClr="000000"/>
            </a:solidFill>
            <a:effectLst/>
            <a:latin typeface="Arial Narrow" panose="020B0606020202030204" pitchFamily="34" charset="0"/>
            <a:ea typeface="Calibri" panose="020F050202020403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10</xdr:col>
      <xdr:colOff>136072</xdr:colOff>
      <xdr:row>2</xdr:row>
      <xdr:rowOff>13608</xdr:rowOff>
    </xdr:from>
    <xdr:ext cx="480732" cy="468828"/>
    <xdr:pic>
      <xdr:nvPicPr>
        <xdr:cNvPr id="2" name="5 Imagen">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194722" y="404133"/>
          <a:ext cx="480732" cy="468828"/>
        </a:xfrm>
        <a:prstGeom prst="rect">
          <a:avLst/>
        </a:prstGeom>
      </xdr:spPr>
    </xdr:pic>
    <xdr:clientData fPrintsWithSheet="0"/>
  </xdr:oneCellAnchor>
  <xdr:absoluteAnchor>
    <xdr:pos x="13702417" y="438520"/>
    <xdr:ext cx="570798" cy="527558"/>
    <xdr:pic>
      <xdr:nvPicPr>
        <xdr:cNvPr id="3" name="Imagen 2">
          <a:hlinkClick xmlns:r="http://schemas.openxmlformats.org/officeDocument/2006/relationships" r:id="rId3" tooltip="Pendientes"/>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702417" y="438520"/>
          <a:ext cx="570798" cy="527558"/>
        </a:xfrm>
        <a:prstGeom prst="rect">
          <a:avLst/>
        </a:prstGeom>
      </xdr:spPr>
    </xdr:pic>
    <xdr:clientData fLocksWithSheet="0" fPrintsWithSheet="0"/>
  </xdr:absoluteAnchor>
  <xdr:absoluteAnchor>
    <xdr:pos x="13524595" y="1193717"/>
    <xdr:ext cx="763121" cy="566037"/>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524595" y="1193717"/>
          <a:ext cx="763121" cy="566037"/>
        </a:xfrm>
        <a:prstGeom prst="rect">
          <a:avLst/>
        </a:prstGeom>
      </xdr:spPr>
    </xdr:pic>
    <xdr:clientData fPrintsWithSheet="0"/>
  </xdr:absoluteAnchor>
  <xdr:absoluteAnchor>
    <xdr:pos x="12432621" y="1108672"/>
    <xdr:ext cx="721769" cy="650280"/>
    <xdr:pic>
      <xdr:nvPicPr>
        <xdr:cNvPr id="5" name="Imagen 4" descr="http://t0.gstatic.com/images?q=tbn:ANd9GcSOcaZYp0sCkZBRwsB3QOGfBLQf9_qr6Tcm-TdXlorb0v3BiCQ6">
          <a:hlinkClick xmlns:r="http://schemas.openxmlformats.org/officeDocument/2006/relationships" r:id="rId6" tooltip="Incidencias"/>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2432621" y="1108672"/>
          <a:ext cx="721769" cy="65028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absoluteAnchor>
</xdr:wsDr>
</file>

<file path=xl/drawings/drawing4.xml><?xml version="1.0" encoding="utf-8"?>
<xdr:wsDr xmlns:xdr="http://schemas.openxmlformats.org/drawingml/2006/spreadsheetDrawing" xmlns:a="http://schemas.openxmlformats.org/drawingml/2006/main">
  <xdr:twoCellAnchor editAs="oneCell">
    <xdr:from>
      <xdr:col>2</xdr:col>
      <xdr:colOff>10060</xdr:colOff>
      <xdr:row>8</xdr:row>
      <xdr:rowOff>19050</xdr:rowOff>
    </xdr:from>
    <xdr:to>
      <xdr:col>2</xdr:col>
      <xdr:colOff>467777</xdr:colOff>
      <xdr:row>10</xdr:row>
      <xdr:rowOff>95767</xdr:rowOff>
    </xdr:to>
    <xdr:pic>
      <xdr:nvPicPr>
        <xdr:cNvPr id="5" name="4 Imagen">
          <a:hlinkClick xmlns:r="http://schemas.openxmlformats.org/officeDocument/2006/relationships" r:id="rId1" tooltip="MENU"/>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8660" y="1400175"/>
          <a:ext cx="457717" cy="457717"/>
        </a:xfrm>
        <a:prstGeom prst="rect">
          <a:avLst/>
        </a:prstGeom>
      </xdr:spPr>
    </xdr:pic>
    <xdr:clientData fPrintsWithSheet="0"/>
  </xdr:twoCellAnchor>
  <xdr:twoCellAnchor>
    <xdr:from>
      <xdr:col>10</xdr:col>
      <xdr:colOff>830032</xdr:colOff>
      <xdr:row>1</xdr:row>
      <xdr:rowOff>81643</xdr:rowOff>
    </xdr:from>
    <xdr:to>
      <xdr:col>17</xdr:col>
      <xdr:colOff>96606</xdr:colOff>
      <xdr:row>10</xdr:row>
      <xdr:rowOff>59871</xdr:rowOff>
    </xdr:to>
    <xdr:grpSp>
      <xdr:nvGrpSpPr>
        <xdr:cNvPr id="6" name="Grupo 5">
          <a:extLst>
            <a:ext uri="{FF2B5EF4-FFF2-40B4-BE49-F238E27FC236}">
              <a16:creationId xmlns:a16="http://schemas.microsoft.com/office/drawing/2014/main" id="{00000000-0008-0000-0300-000006000000}"/>
            </a:ext>
          </a:extLst>
        </xdr:cNvPr>
        <xdr:cNvGrpSpPr/>
      </xdr:nvGrpSpPr>
      <xdr:grpSpPr>
        <a:xfrm>
          <a:off x="9680774" y="206813"/>
          <a:ext cx="5539963" cy="1395660"/>
          <a:chOff x="6105525" y="133350"/>
          <a:chExt cx="5172074" cy="1447800"/>
        </a:xfrm>
      </xdr:grpSpPr>
      <xdr:pic>
        <xdr:nvPicPr>
          <xdr:cNvPr id="7" name="3 Imagen">
            <a:extLst>
              <a:ext uri="{FF2B5EF4-FFF2-40B4-BE49-F238E27FC236}">
                <a16:creationId xmlns:a16="http://schemas.microsoft.com/office/drawing/2014/main" id="{00000000-0008-0000-0300-000007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14527"/>
          <a:stretch/>
        </xdr:blipFill>
        <xdr:spPr>
          <a:xfrm>
            <a:off x="6105525" y="133350"/>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8" name="6 Imagen">
            <a:extLst>
              <a:ext uri="{FF2B5EF4-FFF2-40B4-BE49-F238E27FC236}">
                <a16:creationId xmlns:a16="http://schemas.microsoft.com/office/drawing/2014/main" id="{00000000-0008-0000-0300-000008000000}"/>
              </a:ext>
            </a:extLst>
          </xdr:cNvPr>
          <xdr:cNvPicPr/>
        </xdr:nvPicPr>
        <xdr:blipFill>
          <a:blip xmlns:r="http://schemas.openxmlformats.org/officeDocument/2006/relationships" r:embed="rId4" cstate="print"/>
          <a:srcRect/>
          <a:stretch>
            <a:fillRect/>
          </a:stretch>
        </xdr:blipFill>
        <xdr:spPr bwMode="auto">
          <a:xfrm>
            <a:off x="10039350" y="1190625"/>
            <a:ext cx="1116000" cy="2520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twoCellAnchor editAs="absolute">
    <xdr:from>
      <xdr:col>2</xdr:col>
      <xdr:colOff>661147</xdr:colOff>
      <xdr:row>8</xdr:row>
      <xdr:rowOff>11206</xdr:rowOff>
    </xdr:from>
    <xdr:to>
      <xdr:col>2</xdr:col>
      <xdr:colOff>1231945</xdr:colOff>
      <xdr:row>10</xdr:row>
      <xdr:rowOff>168897</xdr:rowOff>
    </xdr:to>
    <xdr:pic>
      <xdr:nvPicPr>
        <xdr:cNvPr id="9" name="Imagen 8">
          <a:hlinkClick xmlns:r="http://schemas.openxmlformats.org/officeDocument/2006/relationships" r:id="rId5" tooltip="Pendientes"/>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85265" y="1210235"/>
          <a:ext cx="570798" cy="538691"/>
        </a:xfrm>
        <a:prstGeom prst="rect">
          <a:avLst/>
        </a:prstGeom>
      </xdr:spPr>
    </xdr:pic>
    <xdr:clientData fLocksWithSheet="0" fPrintsWithSheet="0"/>
  </xdr:twoCellAnchor>
  <xdr:twoCellAnchor editAs="absolute">
    <xdr:from>
      <xdr:col>2</xdr:col>
      <xdr:colOff>1322294</xdr:colOff>
      <xdr:row>7</xdr:row>
      <xdr:rowOff>123264</xdr:rowOff>
    </xdr:from>
    <xdr:to>
      <xdr:col>2</xdr:col>
      <xdr:colOff>2085415</xdr:colOff>
      <xdr:row>10</xdr:row>
      <xdr:rowOff>123264</xdr:rowOff>
    </xdr:to>
    <xdr:pic macro="[0]!VOLVER.VOLVER">
      <xdr:nvPicPr>
        <xdr:cNvPr id="10" name="Imagen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46412" y="1131793"/>
          <a:ext cx="763121" cy="571500"/>
        </a:xfrm>
        <a:prstGeom prst="rect">
          <a:avLst/>
        </a:prstGeom>
      </xdr:spPr>
    </xdr:pic>
    <xdr:clientData fPrintsWithSheet="0"/>
  </xdr:twoCellAnchor>
  <xdr:twoCellAnchor editAs="absolute">
    <xdr:from>
      <xdr:col>3</xdr:col>
      <xdr:colOff>156883</xdr:colOff>
      <xdr:row>7</xdr:row>
      <xdr:rowOff>44823</xdr:rowOff>
    </xdr:from>
    <xdr:to>
      <xdr:col>4</xdr:col>
      <xdr:colOff>27005</xdr:colOff>
      <xdr:row>10</xdr:row>
      <xdr:rowOff>125355</xdr:rowOff>
    </xdr:to>
    <xdr:pic>
      <xdr:nvPicPr>
        <xdr:cNvPr id="12" name="Imagen 11" descr="http://t0.gstatic.com/images?q=tbn:ANd9GcSOcaZYp0sCkZBRwsB3QOGfBLQf9_qr6Tcm-TdXlorb0v3BiCQ6">
          <a:hlinkClick xmlns:r="http://schemas.openxmlformats.org/officeDocument/2006/relationships" r:id="rId8" tooltip="Incidencias"/>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622177" y="1053352"/>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4</xdr:col>
      <xdr:colOff>571500</xdr:colOff>
      <xdr:row>0</xdr:row>
      <xdr:rowOff>66675</xdr:rowOff>
    </xdr:from>
    <xdr:to>
      <xdr:col>5</xdr:col>
      <xdr:colOff>267217</xdr:colOff>
      <xdr:row>3</xdr:row>
      <xdr:rowOff>38617</xdr:rowOff>
    </xdr:to>
    <xdr:pic>
      <xdr:nvPicPr>
        <xdr:cNvPr id="2" name="4 Imagen">
          <a:hlinkClick xmlns:r="http://schemas.openxmlformats.org/officeDocument/2006/relationships" r:id="rId1" tooltip="MENU"/>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15025" y="66675"/>
          <a:ext cx="457717" cy="457717"/>
        </a:xfrm>
        <a:prstGeom prst="rect">
          <a:avLst/>
        </a:prstGeom>
      </xdr:spPr>
    </xdr:pic>
    <xdr:clientData fPrintsWithSheet="0"/>
  </xdr:twoCellAnchor>
  <xdr:twoCellAnchor editAs="absolute">
    <xdr:from>
      <xdr:col>5</xdr:col>
      <xdr:colOff>704850</xdr:colOff>
      <xdr:row>0</xdr:row>
      <xdr:rowOff>66675</xdr:rowOff>
    </xdr:from>
    <xdr:to>
      <xdr:col>6</xdr:col>
      <xdr:colOff>494598</xdr:colOff>
      <xdr:row>3</xdr:row>
      <xdr:rowOff>119591</xdr:rowOff>
    </xdr:to>
    <xdr:pic>
      <xdr:nvPicPr>
        <xdr:cNvPr id="3" name="Imagen 2">
          <a:hlinkClick xmlns:r="http://schemas.openxmlformats.org/officeDocument/2006/relationships" r:id="rId3" tooltip="Pendientes"/>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810375" y="66675"/>
          <a:ext cx="570798" cy="538691"/>
        </a:xfrm>
        <a:prstGeom prst="rect">
          <a:avLst/>
        </a:prstGeom>
      </xdr:spPr>
    </xdr:pic>
    <xdr:clientData fLocksWithSheet="0" fPrintsWithSheet="0"/>
  </xdr:twoCellAnchor>
  <xdr:twoCellAnchor editAs="absolute">
    <xdr:from>
      <xdr:col>6</xdr:col>
      <xdr:colOff>723900</xdr:colOff>
      <xdr:row>0</xdr:row>
      <xdr:rowOff>0</xdr:rowOff>
    </xdr:from>
    <xdr:to>
      <xdr:col>7</xdr:col>
      <xdr:colOff>667871</xdr:colOff>
      <xdr:row>3</xdr:row>
      <xdr:rowOff>85725</xdr:rowOff>
    </xdr:to>
    <xdr:pic macro="[0]!VOLVER.VOLVER">
      <xdr:nvPicPr>
        <xdr:cNvPr id="4" name="Imagen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610475" y="0"/>
          <a:ext cx="763121" cy="571500"/>
        </a:xfrm>
        <a:prstGeom prst="rect">
          <a:avLst/>
        </a:prstGeom>
      </xdr:spPr>
    </xdr:pic>
    <xdr:clientData fPrintsWithSheet="0"/>
  </xdr:twoCellAnchor>
  <xdr:twoCellAnchor editAs="absolute">
    <xdr:from>
      <xdr:col>8</xdr:col>
      <xdr:colOff>19050</xdr:colOff>
      <xdr:row>0</xdr:row>
      <xdr:rowOff>19050</xdr:rowOff>
    </xdr:from>
    <xdr:to>
      <xdr:col>8</xdr:col>
      <xdr:colOff>740819</xdr:colOff>
      <xdr:row>4</xdr:row>
      <xdr:rowOff>23382</xdr:rowOff>
    </xdr:to>
    <xdr:pic>
      <xdr:nvPicPr>
        <xdr:cNvPr id="6" name="Imagen 5" descr="http://t0.gstatic.com/images?q=tbn:ANd9GcSOcaZYp0sCkZBRwsB3QOGfBLQf9_qr6Tcm-TdXlorb0v3BiCQ6">
          <a:hlinkClick xmlns:r="http://schemas.openxmlformats.org/officeDocument/2006/relationships" r:id="rId6" tooltip="Incidencias"/>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486775" y="19050"/>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5</xdr:col>
          <xdr:colOff>807720</xdr:colOff>
          <xdr:row>8</xdr:row>
          <xdr:rowOff>160020</xdr:rowOff>
        </xdr:from>
        <xdr:to>
          <xdr:col>8</xdr:col>
          <xdr:colOff>30480</xdr:colOff>
          <xdr:row>10</xdr:row>
          <xdr:rowOff>144780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1" i="0" u="none" strike="noStrike" baseline="0">
                  <a:solidFill>
                    <a:srgbClr val="3366FF"/>
                  </a:solidFill>
                  <a:latin typeface="Calibri"/>
                  <a:cs typeface="Calibri"/>
                </a:rPr>
                <a:t>Traspaso plantilla A3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770283</xdr:colOff>
      <xdr:row>0</xdr:row>
      <xdr:rowOff>115957</xdr:rowOff>
    </xdr:from>
    <xdr:to>
      <xdr:col>3</xdr:col>
      <xdr:colOff>1764168</xdr:colOff>
      <xdr:row>1</xdr:row>
      <xdr:rowOff>66035</xdr:rowOff>
    </xdr:to>
    <xdr:pic>
      <xdr:nvPicPr>
        <xdr:cNvPr id="2" name="1 Imagen">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srcRect/>
        <a:stretch>
          <a:fillRect/>
        </a:stretch>
      </xdr:blipFill>
      <xdr:spPr bwMode="auto">
        <a:xfrm>
          <a:off x="7719392" y="115957"/>
          <a:ext cx="985630" cy="217026"/>
        </a:xfrm>
        <a:prstGeom prst="rect">
          <a:avLst/>
        </a:prstGeom>
        <a:noFill/>
        <a:ln w="9525">
          <a:noFill/>
          <a:miter lim="800000"/>
          <a:headEnd/>
          <a:tailEnd/>
        </a:ln>
      </xdr:spPr>
    </xdr:pic>
    <xdr:clientData/>
  </xdr:twoCellAnchor>
  <xdr:twoCellAnchor editAs="oneCell">
    <xdr:from>
      <xdr:col>0</xdr:col>
      <xdr:colOff>235485</xdr:colOff>
      <xdr:row>0</xdr:row>
      <xdr:rowOff>58219</xdr:rowOff>
    </xdr:from>
    <xdr:to>
      <xdr:col>0</xdr:col>
      <xdr:colOff>695107</xdr:colOff>
      <xdr:row>2</xdr:row>
      <xdr:rowOff>59371</xdr:rowOff>
    </xdr:to>
    <xdr:pic>
      <xdr:nvPicPr>
        <xdr:cNvPr id="3" name="2 Imagen">
          <a:hlinkClick xmlns:r="http://schemas.openxmlformats.org/officeDocument/2006/relationships" r:id="rId2" tooltip="MENU"/>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35485" y="58219"/>
          <a:ext cx="457717" cy="457717"/>
        </a:xfrm>
        <a:prstGeom prst="rect">
          <a:avLst/>
        </a:prstGeom>
      </xdr:spPr>
    </xdr:pic>
    <xdr:clientData fPrintsWithSheet="0"/>
  </xdr:twoCellAnchor>
  <xdr:twoCellAnchor editAs="absolute">
    <xdr:from>
      <xdr:col>1</xdr:col>
      <xdr:colOff>3406140</xdr:colOff>
      <xdr:row>0</xdr:row>
      <xdr:rowOff>101632</xdr:rowOff>
    </xdr:from>
    <xdr:to>
      <xdr:col>1</xdr:col>
      <xdr:colOff>3912870</xdr:colOff>
      <xdr:row>2</xdr:row>
      <xdr:rowOff>124671</xdr:rowOff>
    </xdr:to>
    <xdr:pic>
      <xdr:nvPicPr>
        <xdr:cNvPr id="5" name="Imagen 4">
          <a:hlinkClick xmlns:r="http://schemas.openxmlformats.org/officeDocument/2006/relationships" r:id="rId4" tooltip="Pendientes"/>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410075" y="109887"/>
          <a:ext cx="504825" cy="476429"/>
        </a:xfrm>
        <a:prstGeom prst="rect">
          <a:avLst/>
        </a:prstGeom>
      </xdr:spPr>
    </xdr:pic>
    <xdr:clientData fLocksWithSheet="0" fPrintsWithSheet="0"/>
  </xdr:twoCellAnchor>
  <xdr:twoCellAnchor editAs="absolute">
    <xdr:from>
      <xdr:col>2</xdr:col>
      <xdr:colOff>190500</xdr:colOff>
      <xdr:row>0</xdr:row>
      <xdr:rowOff>0</xdr:rowOff>
    </xdr:from>
    <xdr:to>
      <xdr:col>2</xdr:col>
      <xdr:colOff>773430</xdr:colOff>
      <xdr:row>1</xdr:row>
      <xdr:rowOff>172239</xdr:rowOff>
    </xdr:to>
    <xdr:pic macro="[0]!VOLVER.VOLVER">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314950" y="0"/>
          <a:ext cx="581025" cy="435129"/>
        </a:xfrm>
        <a:prstGeom prst="rect">
          <a:avLst/>
        </a:prstGeom>
      </xdr:spPr>
    </xdr:pic>
    <xdr:clientData fPrintsWithSheet="0"/>
  </xdr:twoCellAnchor>
  <xdr:twoCellAnchor editAs="absolute">
    <xdr:from>
      <xdr:col>2</xdr:col>
      <xdr:colOff>1497330</xdr:colOff>
      <xdr:row>0</xdr:row>
      <xdr:rowOff>0</xdr:rowOff>
    </xdr:from>
    <xdr:to>
      <xdr:col>3</xdr:col>
      <xdr:colOff>135029</xdr:colOff>
      <xdr:row>1</xdr:row>
      <xdr:rowOff>142495</xdr:rowOff>
    </xdr:to>
    <xdr:pic>
      <xdr:nvPicPr>
        <xdr:cNvPr id="8" name="Imagen 7" descr="http://t0.gstatic.com/images?q=tbn:ANd9GcSOcaZYp0sCkZBRwsB3QOGfBLQf9_qr6Tcm-TdXlorb0v3BiCQ6">
          <a:hlinkClick xmlns:r="http://schemas.openxmlformats.org/officeDocument/2006/relationships" r:id="rId7" tooltip="Incidencias"/>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6619875" y="0"/>
          <a:ext cx="455069" cy="4111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1</xdr:col>
          <xdr:colOff>1828800</xdr:colOff>
          <xdr:row>0</xdr:row>
          <xdr:rowOff>190500</xdr:rowOff>
        </xdr:from>
        <xdr:to>
          <xdr:col>1</xdr:col>
          <xdr:colOff>3086100</xdr:colOff>
          <xdr:row>2</xdr:row>
          <xdr:rowOff>7620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8</xdr:col>
      <xdr:colOff>495300</xdr:colOff>
      <xdr:row>0</xdr:row>
      <xdr:rowOff>22714</xdr:rowOff>
    </xdr:from>
    <xdr:to>
      <xdr:col>9</xdr:col>
      <xdr:colOff>974072</xdr:colOff>
      <xdr:row>1</xdr:row>
      <xdr:rowOff>139045</xdr:rowOff>
    </xdr:to>
    <xdr:pic>
      <xdr:nvPicPr>
        <xdr:cNvPr id="2" name="1 Imagen">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cstate="print"/>
        <a:srcRect/>
        <a:stretch>
          <a:fillRect/>
        </a:stretch>
      </xdr:blipFill>
      <xdr:spPr bwMode="auto">
        <a:xfrm>
          <a:off x="10620375" y="22714"/>
          <a:ext cx="1532237" cy="374459"/>
        </a:xfrm>
        <a:prstGeom prst="rect">
          <a:avLst/>
        </a:prstGeom>
        <a:noFill/>
        <a:ln w="9525">
          <a:noFill/>
          <a:miter lim="800000"/>
          <a:headEnd/>
          <a:tailEnd/>
        </a:ln>
      </xdr:spPr>
    </xdr:pic>
    <xdr:clientData/>
  </xdr:twoCellAnchor>
  <xdr:twoCellAnchor editAs="oneCell">
    <xdr:from>
      <xdr:col>1</xdr:col>
      <xdr:colOff>10060</xdr:colOff>
      <xdr:row>0</xdr:row>
      <xdr:rowOff>123825</xdr:rowOff>
    </xdr:from>
    <xdr:to>
      <xdr:col>1</xdr:col>
      <xdr:colOff>477302</xdr:colOff>
      <xdr:row>2</xdr:row>
      <xdr:rowOff>76717</xdr:rowOff>
    </xdr:to>
    <xdr:pic>
      <xdr:nvPicPr>
        <xdr:cNvPr id="3" name="2 Imagen">
          <a:hlinkClick xmlns:r="http://schemas.openxmlformats.org/officeDocument/2006/relationships" r:id="rId2" tooltip="MENU"/>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210" y="123825"/>
          <a:ext cx="457717" cy="457717"/>
        </a:xfrm>
        <a:prstGeom prst="rect">
          <a:avLst/>
        </a:prstGeom>
      </xdr:spPr>
    </xdr:pic>
    <xdr:clientData fPrintsWithSheet="0"/>
  </xdr:twoCellAnchor>
  <xdr:twoCellAnchor editAs="absolute">
    <xdr:from>
      <xdr:col>1</xdr:col>
      <xdr:colOff>781050</xdr:colOff>
      <xdr:row>0</xdr:row>
      <xdr:rowOff>140970</xdr:rowOff>
    </xdr:from>
    <xdr:to>
      <xdr:col>1</xdr:col>
      <xdr:colOff>1280160</xdr:colOff>
      <xdr:row>2</xdr:row>
      <xdr:rowOff>114479</xdr:rowOff>
    </xdr:to>
    <xdr:pic>
      <xdr:nvPicPr>
        <xdr:cNvPr id="4" name="Imagen 3">
          <a:hlinkClick xmlns:r="http://schemas.openxmlformats.org/officeDocument/2006/relationships" r:id="rId4" tooltip="Pendientes"/>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09675" y="142875"/>
          <a:ext cx="504825" cy="476429"/>
        </a:xfrm>
        <a:prstGeom prst="rect">
          <a:avLst/>
        </a:prstGeom>
      </xdr:spPr>
    </xdr:pic>
    <xdr:clientData fLocksWithSheet="0" fPrintsWithSheet="0"/>
  </xdr:twoCellAnchor>
  <xdr:twoCellAnchor editAs="absolute">
    <xdr:from>
      <xdr:col>1</xdr:col>
      <xdr:colOff>1390650</xdr:colOff>
      <xdr:row>0</xdr:row>
      <xdr:rowOff>60960</xdr:rowOff>
    </xdr:from>
    <xdr:to>
      <xdr:col>1</xdr:col>
      <xdr:colOff>2153771</xdr:colOff>
      <xdr:row>2</xdr:row>
      <xdr:rowOff>133350</xdr:rowOff>
    </xdr:to>
    <xdr:pic macro="[0]!VOLVER.VOLVER">
      <xdr:nvPicPr>
        <xdr:cNvPr id="5" name="Imagen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19275" y="57150"/>
          <a:ext cx="763121" cy="571500"/>
        </a:xfrm>
        <a:prstGeom prst="rect">
          <a:avLst/>
        </a:prstGeom>
      </xdr:spPr>
    </xdr:pic>
    <xdr:clientData fPrintsWithSheet="0"/>
  </xdr:twoCellAnchor>
  <xdr:twoCellAnchor editAs="oneCell">
    <xdr:from>
      <xdr:col>1</xdr:col>
      <xdr:colOff>2314575</xdr:colOff>
      <xdr:row>0</xdr:row>
      <xdr:rowOff>85725</xdr:rowOff>
    </xdr:from>
    <xdr:to>
      <xdr:col>1</xdr:col>
      <xdr:colOff>2933172</xdr:colOff>
      <xdr:row>2</xdr:row>
      <xdr:rowOff>139899</xdr:rowOff>
    </xdr:to>
    <xdr:pic>
      <xdr:nvPicPr>
        <xdr:cNvPr id="6" name="Imagen 5" descr="http://t0.gstatic.com/images?q=tbn:ANd9GcSOcaZYp0sCkZBRwsB3QOGfBLQf9_qr6Tcm-TdXlorb0v3BiCQ6">
          <a:hlinkClick xmlns:r="http://schemas.openxmlformats.org/officeDocument/2006/relationships" r:id="rId7" tooltip="INCIDENCIAS"/>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752725" y="85725"/>
          <a:ext cx="613835" cy="5609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10060</xdr:colOff>
      <xdr:row>8</xdr:row>
      <xdr:rowOff>68959</xdr:rowOff>
    </xdr:from>
    <xdr:to>
      <xdr:col>2</xdr:col>
      <xdr:colOff>481112</xdr:colOff>
      <xdr:row>10</xdr:row>
      <xdr:rowOff>150438</xdr:rowOff>
    </xdr:to>
    <xdr:pic>
      <xdr:nvPicPr>
        <xdr:cNvPr id="5" name="4 Imagen">
          <a:hlinkClick xmlns:r="http://schemas.openxmlformats.org/officeDocument/2006/relationships" r:id="rId1" tooltip="MENU"/>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7774" y="1538530"/>
          <a:ext cx="457717" cy="457717"/>
        </a:xfrm>
        <a:prstGeom prst="rect">
          <a:avLst/>
        </a:prstGeom>
      </xdr:spPr>
    </xdr:pic>
    <xdr:clientData fPrintsWithSheet="0"/>
  </xdr:twoCellAnchor>
  <xdr:twoCellAnchor editAs="absolute">
    <xdr:from>
      <xdr:col>2</xdr:col>
      <xdr:colOff>725826</xdr:colOff>
      <xdr:row>7</xdr:row>
      <xdr:rowOff>188792</xdr:rowOff>
    </xdr:from>
    <xdr:to>
      <xdr:col>2</xdr:col>
      <xdr:colOff>1245891</xdr:colOff>
      <xdr:row>10</xdr:row>
      <xdr:rowOff>101341</xdr:rowOff>
    </xdr:to>
    <xdr:pic>
      <xdr:nvPicPr>
        <xdr:cNvPr id="7" name="Imagen 6">
          <a:hlinkClick xmlns:r="http://schemas.openxmlformats.org/officeDocument/2006/relationships" r:id="rId3" tooltip="Pendientes"/>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38778" y="1519818"/>
          <a:ext cx="504825" cy="476429"/>
        </a:xfrm>
        <a:prstGeom prst="rect">
          <a:avLst/>
        </a:prstGeom>
      </xdr:spPr>
    </xdr:pic>
    <xdr:clientData fLocksWithSheet="0" fPrintsWithSheet="0"/>
  </xdr:twoCellAnchor>
  <xdr:twoCellAnchor editAs="absolute">
    <xdr:from>
      <xdr:col>2</xdr:col>
      <xdr:colOff>1483939</xdr:colOff>
      <xdr:row>7</xdr:row>
      <xdr:rowOff>101341</xdr:rowOff>
    </xdr:from>
    <xdr:to>
      <xdr:col>2</xdr:col>
      <xdr:colOff>2247060</xdr:colOff>
      <xdr:row>10</xdr:row>
      <xdr:rowOff>101341</xdr:rowOff>
    </xdr:to>
    <xdr:pic macro="[0]!VOLVER.VOLVER">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96891" y="1424747"/>
          <a:ext cx="763121" cy="571500"/>
        </a:xfrm>
        <a:prstGeom prst="rect">
          <a:avLst/>
        </a:prstGeom>
      </xdr:spPr>
    </xdr:pic>
    <xdr:clientData fPrintsWithSheet="0"/>
  </xdr:twoCellAnchor>
  <xdr:twoCellAnchor editAs="absolute">
    <xdr:from>
      <xdr:col>2</xdr:col>
      <xdr:colOff>2389346</xdr:colOff>
      <xdr:row>7</xdr:row>
      <xdr:rowOff>27112</xdr:rowOff>
    </xdr:from>
    <xdr:to>
      <xdr:col>2</xdr:col>
      <xdr:colOff>3111115</xdr:colOff>
      <xdr:row>10</xdr:row>
      <xdr:rowOff>101341</xdr:rowOff>
    </xdr:to>
    <xdr:pic>
      <xdr:nvPicPr>
        <xdr:cNvPr id="12" name="Imagen 11" descr="http://t0.gstatic.com/images?q=tbn:ANd9GcSOcaZYp0sCkZBRwsB3QOGfBLQf9_qr6Tcm-TdXlorb0v3BiCQ6">
          <a:hlinkClick xmlns:r="http://schemas.openxmlformats.org/officeDocument/2006/relationships" r:id="rId6" tooltip="Incidencias"/>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10870" y="1350518"/>
          <a:ext cx="721769" cy="645729"/>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4</xdr:col>
      <xdr:colOff>224730</xdr:colOff>
      <xdr:row>4</xdr:row>
      <xdr:rowOff>135345</xdr:rowOff>
    </xdr:from>
    <xdr:to>
      <xdr:col>4</xdr:col>
      <xdr:colOff>748723</xdr:colOff>
      <xdr:row>7</xdr:row>
      <xdr:rowOff>18233</xdr:rowOff>
    </xdr:to>
    <xdr:pic>
      <xdr:nvPicPr>
        <xdr:cNvPr id="3" name="2 Imagen">
          <a:hlinkClick xmlns:r="http://schemas.openxmlformats.org/officeDocument/2006/relationships" r:id="rId1" tooltip="MENU"/>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613159" y="1210309"/>
          <a:ext cx="531613" cy="543651"/>
        </a:xfrm>
        <a:prstGeom prst="rect">
          <a:avLst/>
        </a:prstGeom>
      </xdr:spPr>
    </xdr:pic>
    <xdr:clientData fPrintsWithSheet="0"/>
  </xdr:twoCellAnchor>
  <xdr:twoCellAnchor editAs="absolute">
    <xdr:from>
      <xdr:col>6</xdr:col>
      <xdr:colOff>78994</xdr:colOff>
      <xdr:row>5</xdr:row>
      <xdr:rowOff>58476</xdr:rowOff>
    </xdr:from>
    <xdr:to>
      <xdr:col>6</xdr:col>
      <xdr:colOff>588149</xdr:colOff>
      <xdr:row>7</xdr:row>
      <xdr:rowOff>50038</xdr:rowOff>
    </xdr:to>
    <xdr:pic>
      <xdr:nvPicPr>
        <xdr:cNvPr id="7" name="Imagen 6">
          <a:hlinkClick xmlns:r="http://schemas.openxmlformats.org/officeDocument/2006/relationships" r:id="rId3" tooltip="Pendientes"/>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52581" y="1309813"/>
          <a:ext cx="503440" cy="480235"/>
        </a:xfrm>
        <a:prstGeom prst="rect">
          <a:avLst/>
        </a:prstGeom>
      </xdr:spPr>
    </xdr:pic>
    <xdr:clientData fLocksWithSheet="0" fPrintsWithSheet="0"/>
  </xdr:twoCellAnchor>
  <xdr:twoCellAnchor editAs="absolute">
    <xdr:from>
      <xdr:col>7</xdr:col>
      <xdr:colOff>97495</xdr:colOff>
      <xdr:row>4</xdr:row>
      <xdr:rowOff>131408</xdr:rowOff>
    </xdr:from>
    <xdr:to>
      <xdr:col>7</xdr:col>
      <xdr:colOff>858114</xdr:colOff>
      <xdr:row>7</xdr:row>
      <xdr:rowOff>50038</xdr:rowOff>
    </xdr:to>
    <xdr:pic macro="[0]!VOLVER.VOLVER">
      <xdr:nvPicPr>
        <xdr:cNvPr id="8" name="Imagen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856104" y="1215767"/>
          <a:ext cx="760619" cy="574281"/>
        </a:xfrm>
        <a:prstGeom prst="rect">
          <a:avLst/>
        </a:prstGeom>
      </xdr:spPr>
    </xdr:pic>
    <xdr:clientData fPrintsWithSheet="0"/>
  </xdr:twoCellAnchor>
  <xdr:twoCellAnchor editAs="absolute">
    <xdr:from>
      <xdr:col>9</xdr:col>
      <xdr:colOff>148590</xdr:colOff>
      <xdr:row>1</xdr:row>
      <xdr:rowOff>22073</xdr:rowOff>
    </xdr:from>
    <xdr:to>
      <xdr:col>9</xdr:col>
      <xdr:colOff>855946</xdr:colOff>
      <xdr:row>3</xdr:row>
      <xdr:rowOff>101059</xdr:rowOff>
    </xdr:to>
    <xdr:pic>
      <xdr:nvPicPr>
        <xdr:cNvPr id="10" name="Imagen 9" descr="http://t0.gstatic.com/images?q=tbn:ANd9GcSOcaZYp0sCkZBRwsB3QOGfBLQf9_qr6Tcm-TdXlorb0v3BiCQ6">
          <a:hlinkClick xmlns:r="http://schemas.openxmlformats.org/officeDocument/2006/relationships" r:id="rId6" tooltip="Incidencias"/>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9797829" y="278834"/>
          <a:ext cx="714976" cy="649823"/>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7</xdr:col>
          <xdr:colOff>1676400</xdr:colOff>
          <xdr:row>3</xdr:row>
          <xdr:rowOff>114300</xdr:rowOff>
        </xdr:from>
        <xdr:to>
          <xdr:col>8</xdr:col>
          <xdr:colOff>495300</xdr:colOff>
          <xdr:row>7</xdr:row>
          <xdr:rowOff>38100</xdr:rowOff>
        </xdr:to>
        <xdr:sp macro="" textlink="">
          <xdr:nvSpPr>
            <xdr:cNvPr id="21516" name="Button 12" hidden="1">
              <a:extLst>
                <a:ext uri="{63B3BB69-23CF-44E3-9099-C40C66FF867C}">
                  <a14:compatExt spid="_x0000_s21516"/>
                </a:ext>
                <a:ext uri="{FF2B5EF4-FFF2-40B4-BE49-F238E27FC236}">
                  <a16:creationId xmlns:a16="http://schemas.microsoft.com/office/drawing/2014/main" id="{00000000-0008-0000-0800-00000C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Primero leer 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1074420</xdr:colOff>
          <xdr:row>3</xdr:row>
          <xdr:rowOff>228600</xdr:rowOff>
        </xdr:from>
        <xdr:to>
          <xdr:col>9</xdr:col>
          <xdr:colOff>1066800</xdr:colOff>
          <xdr:row>7</xdr:row>
          <xdr:rowOff>38100</xdr:rowOff>
        </xdr:to>
        <xdr:sp macro="" textlink="">
          <xdr:nvSpPr>
            <xdr:cNvPr id="21518" name="Button 14" hidden="1">
              <a:extLst>
                <a:ext uri="{63B3BB69-23CF-44E3-9099-C40C66FF867C}">
                  <a14:compatExt spid="_x0000_s21518"/>
                </a:ext>
                <a:ext uri="{FF2B5EF4-FFF2-40B4-BE49-F238E27FC236}">
                  <a16:creationId xmlns:a16="http://schemas.microsoft.com/office/drawing/2014/main" id="{00000000-0008-0000-0800-00000E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Ordenar listado de cuentas (ascendente)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160020</xdr:colOff>
          <xdr:row>5</xdr:row>
          <xdr:rowOff>114300</xdr:rowOff>
        </xdr:from>
        <xdr:to>
          <xdr:col>3</xdr:col>
          <xdr:colOff>1409700</xdr:colOff>
          <xdr:row>6</xdr:row>
          <xdr:rowOff>228600</xdr:rowOff>
        </xdr:to>
        <xdr:sp macro="" textlink="">
          <xdr:nvSpPr>
            <xdr:cNvPr id="21520" name="Button 16" hidden="1">
              <a:extLst>
                <a:ext uri="{63B3BB69-23CF-44E3-9099-C40C66FF867C}">
                  <a14:compatExt spid="_x0000_s21520"/>
                </a:ext>
                <a:ext uri="{FF2B5EF4-FFF2-40B4-BE49-F238E27FC236}">
                  <a16:creationId xmlns:a16="http://schemas.microsoft.com/office/drawing/2014/main" id="{00000000-0008-0000-0800-000010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2</xdr:col>
      <xdr:colOff>23819</xdr:colOff>
      <xdr:row>8</xdr:row>
      <xdr:rowOff>113783</xdr:rowOff>
    </xdr:from>
    <xdr:to>
      <xdr:col>2</xdr:col>
      <xdr:colOff>482488</xdr:colOff>
      <xdr:row>11</xdr:row>
      <xdr:rowOff>0</xdr:rowOff>
    </xdr:to>
    <xdr:pic>
      <xdr:nvPicPr>
        <xdr:cNvPr id="5" name="4 Imagen">
          <a:hlinkClick xmlns:r="http://schemas.openxmlformats.org/officeDocument/2006/relationships" r:id="rId1" tooltip="MENU"/>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7937" y="1492107"/>
          <a:ext cx="457717" cy="457717"/>
        </a:xfrm>
        <a:prstGeom prst="rect">
          <a:avLst/>
        </a:prstGeom>
      </xdr:spPr>
    </xdr:pic>
    <xdr:clientData fPrintsWithSheet="0"/>
  </xdr:twoCellAnchor>
  <xdr:twoCellAnchor editAs="absolute">
    <xdr:from>
      <xdr:col>2</xdr:col>
      <xdr:colOff>610282</xdr:colOff>
      <xdr:row>8</xdr:row>
      <xdr:rowOff>102691</xdr:rowOff>
    </xdr:from>
    <xdr:to>
      <xdr:col>2</xdr:col>
      <xdr:colOff>1128442</xdr:colOff>
      <xdr:row>11</xdr:row>
      <xdr:rowOff>0</xdr:rowOff>
    </xdr:to>
    <xdr:pic>
      <xdr:nvPicPr>
        <xdr:cNvPr id="6" name="Imagen 5">
          <a:hlinkClick xmlns:r="http://schemas.openxmlformats.org/officeDocument/2006/relationships" r:id="rId3" tooltip="Pendientes"/>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34400" y="1473395"/>
          <a:ext cx="504825" cy="476429"/>
        </a:xfrm>
        <a:prstGeom prst="rect">
          <a:avLst/>
        </a:prstGeom>
      </xdr:spPr>
    </xdr:pic>
    <xdr:clientData fLocksWithSheet="0" fPrintsWithSheet="0"/>
  </xdr:twoCellAnchor>
  <xdr:twoCellAnchor editAs="absolute">
    <xdr:from>
      <xdr:col>2</xdr:col>
      <xdr:colOff>1244805</xdr:colOff>
      <xdr:row>8</xdr:row>
      <xdr:rowOff>0</xdr:rowOff>
    </xdr:from>
    <xdr:to>
      <xdr:col>2</xdr:col>
      <xdr:colOff>2007926</xdr:colOff>
      <xdr:row>11</xdr:row>
      <xdr:rowOff>0</xdr:rowOff>
    </xdr:to>
    <xdr:pic macro="[0]!VOLVER.VOLVER">
      <xdr:nvPicPr>
        <xdr:cNvPr id="7" name="Imagen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67971" y="1378324"/>
          <a:ext cx="763121" cy="571500"/>
        </a:xfrm>
        <a:prstGeom prst="rect">
          <a:avLst/>
        </a:prstGeom>
      </xdr:spPr>
    </xdr:pic>
    <xdr:clientData fPrintsWithSheet="0"/>
  </xdr:twoCellAnchor>
  <xdr:twoCellAnchor editAs="absolute">
    <xdr:from>
      <xdr:col>2</xdr:col>
      <xdr:colOff>2120040</xdr:colOff>
      <xdr:row>7</xdr:row>
      <xdr:rowOff>114730</xdr:rowOff>
    </xdr:from>
    <xdr:to>
      <xdr:col>2</xdr:col>
      <xdr:colOff>2845619</xdr:colOff>
      <xdr:row>11</xdr:row>
      <xdr:rowOff>0</xdr:rowOff>
    </xdr:to>
    <xdr:pic>
      <xdr:nvPicPr>
        <xdr:cNvPr id="12" name="Imagen 11" descr="http://t0.gstatic.com/images?q=tbn:ANd9GcSOcaZYp0sCkZBRwsB3QOGfBLQf9_qr6Tcm-TdXlorb0v3BiCQ6">
          <a:hlinkClick xmlns:r="http://schemas.openxmlformats.org/officeDocument/2006/relationships" r:id="rId6" tooltip="Incidencias"/>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30823" y="1297792"/>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2</xdr:col>
      <xdr:colOff>76735</xdr:colOff>
      <xdr:row>0</xdr:row>
      <xdr:rowOff>201419</xdr:rowOff>
    </xdr:from>
    <xdr:to>
      <xdr:col>2</xdr:col>
      <xdr:colOff>534452</xdr:colOff>
      <xdr:row>3</xdr:row>
      <xdr:rowOff>103049</xdr:rowOff>
    </xdr:to>
    <xdr:pic>
      <xdr:nvPicPr>
        <xdr:cNvPr id="3" name="2 Imagen">
          <a:hlinkClick xmlns:r="http://schemas.openxmlformats.org/officeDocument/2006/relationships" r:id="rId1" tooltip="MENU"/>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335" y="201419"/>
          <a:ext cx="457717" cy="455985"/>
        </a:xfrm>
        <a:prstGeom prst="rect">
          <a:avLst/>
        </a:prstGeom>
      </xdr:spPr>
    </xdr:pic>
    <xdr:clientData fPrintsWithSheet="0"/>
  </xdr:twoCellAnchor>
  <xdr:twoCellAnchor editAs="absolute">
    <xdr:from>
      <xdr:col>2</xdr:col>
      <xdr:colOff>674896</xdr:colOff>
      <xdr:row>0</xdr:row>
      <xdr:rowOff>179070</xdr:rowOff>
    </xdr:from>
    <xdr:to>
      <xdr:col>2</xdr:col>
      <xdr:colOff>1181626</xdr:colOff>
      <xdr:row>3</xdr:row>
      <xdr:rowOff>103049</xdr:rowOff>
    </xdr:to>
    <xdr:pic>
      <xdr:nvPicPr>
        <xdr:cNvPr id="4" name="Imagen 3">
          <a:hlinkClick xmlns:r="http://schemas.openxmlformats.org/officeDocument/2006/relationships" r:id="rId3" tooltip="Pendientes"/>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5401" y="180975"/>
          <a:ext cx="504825" cy="476429"/>
        </a:xfrm>
        <a:prstGeom prst="rect">
          <a:avLst/>
        </a:prstGeom>
      </xdr:spPr>
    </xdr:pic>
    <xdr:clientData fLocksWithSheet="0" fPrintsWithSheet="0"/>
  </xdr:twoCellAnchor>
  <xdr:twoCellAnchor editAs="absolute">
    <xdr:from>
      <xdr:col>2</xdr:col>
      <xdr:colOff>1322070</xdr:colOff>
      <xdr:row>0</xdr:row>
      <xdr:rowOff>95429</xdr:rowOff>
    </xdr:from>
    <xdr:to>
      <xdr:col>2</xdr:col>
      <xdr:colOff>2085191</xdr:colOff>
      <xdr:row>3</xdr:row>
      <xdr:rowOff>103049</xdr:rowOff>
    </xdr:to>
    <xdr:pic macro="[0]!VOLVER.VOLVER">
      <xdr:nvPicPr>
        <xdr:cNvPr id="5" name="Imagen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52575" y="85904"/>
          <a:ext cx="763121" cy="571500"/>
        </a:xfrm>
        <a:prstGeom prst="rect">
          <a:avLst/>
        </a:prstGeom>
      </xdr:spPr>
    </xdr:pic>
    <xdr:clientData fPrintsWithSheet="0"/>
  </xdr:twoCellAnchor>
  <xdr:twoCellAnchor editAs="absolute">
    <xdr:from>
      <xdr:col>2</xdr:col>
      <xdr:colOff>2266950</xdr:colOff>
      <xdr:row>0</xdr:row>
      <xdr:rowOff>57150</xdr:rowOff>
    </xdr:from>
    <xdr:to>
      <xdr:col>2</xdr:col>
      <xdr:colOff>2981099</xdr:colOff>
      <xdr:row>3</xdr:row>
      <xdr:rowOff>151969</xdr:rowOff>
    </xdr:to>
    <xdr:pic>
      <xdr:nvPicPr>
        <xdr:cNvPr id="7" name="Imagen 6" descr="http://t0.gstatic.com/images?q=tbn:ANd9GcSOcaZYp0sCkZBRwsB3QOGfBLQf9_qr6Tcm-TdXlorb0v3BiCQ6">
          <a:hlinkClick xmlns:r="http://schemas.openxmlformats.org/officeDocument/2006/relationships" r:id="rId6" tooltip="Incidencias"/>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86025" y="47625"/>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2</xdr:col>
      <xdr:colOff>76736</xdr:colOff>
      <xdr:row>7</xdr:row>
      <xdr:rowOff>138855</xdr:rowOff>
    </xdr:from>
    <xdr:to>
      <xdr:col>2</xdr:col>
      <xdr:colOff>457986</xdr:colOff>
      <xdr:row>11</xdr:row>
      <xdr:rowOff>14487</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336" y="1272330"/>
          <a:ext cx="381250" cy="389982"/>
        </a:xfrm>
        <a:prstGeom prst="rect">
          <a:avLst/>
        </a:prstGeom>
      </xdr:spPr>
    </xdr:pic>
    <xdr:clientData fPrintsWithSheet="0"/>
  </xdr:twoCellAnchor>
  <xdr:twoCellAnchor editAs="oneCell">
    <xdr:from>
      <xdr:col>7</xdr:col>
      <xdr:colOff>1984459</xdr:colOff>
      <xdr:row>4</xdr:row>
      <xdr:rowOff>232268</xdr:rowOff>
    </xdr:from>
    <xdr:to>
      <xdr:col>7</xdr:col>
      <xdr:colOff>3519912</xdr:colOff>
      <xdr:row>6</xdr:row>
      <xdr:rowOff>206284</xdr:rowOff>
    </xdr:to>
    <xdr:pic>
      <xdr:nvPicPr>
        <xdr:cNvPr id="4" name="3 Imagen">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3" cstate="print"/>
        <a:srcRect/>
        <a:stretch>
          <a:fillRect/>
        </a:stretch>
      </xdr:blipFill>
      <xdr:spPr bwMode="auto">
        <a:xfrm>
          <a:off x="11947609" y="670418"/>
          <a:ext cx="1535453" cy="402641"/>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4</xdr:col>
          <xdr:colOff>800100</xdr:colOff>
          <xdr:row>11</xdr:row>
          <xdr:rowOff>76200</xdr:rowOff>
        </xdr:from>
        <xdr:to>
          <xdr:col>5</xdr:col>
          <xdr:colOff>762000</xdr:colOff>
          <xdr:row>12</xdr:row>
          <xdr:rowOff>266700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B00-000003E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64829</xdr:colOff>
      <xdr:row>7</xdr:row>
      <xdr:rowOff>178593</xdr:rowOff>
    </xdr:from>
    <xdr:to>
      <xdr:col>2</xdr:col>
      <xdr:colOff>522546</xdr:colOff>
      <xdr:row>9</xdr:row>
      <xdr:rowOff>207685</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5360" y="1297781"/>
          <a:ext cx="457717" cy="457717"/>
        </a:xfrm>
        <a:prstGeom prst="rect">
          <a:avLst/>
        </a:prstGeom>
      </xdr:spPr>
    </xdr:pic>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2</xdr:col>
      <xdr:colOff>231517</xdr:colOff>
      <xdr:row>7</xdr:row>
      <xdr:rowOff>107156</xdr:rowOff>
    </xdr:from>
    <xdr:to>
      <xdr:col>2</xdr:col>
      <xdr:colOff>689234</xdr:colOff>
      <xdr:row>9</xdr:row>
      <xdr:rowOff>136248</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2048" y="1226344"/>
          <a:ext cx="457717" cy="457717"/>
        </a:xfrm>
        <a:prstGeom prst="rect">
          <a:avLst/>
        </a:prstGeom>
      </xdr:spPr>
    </xdr:pic>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7</xdr:col>
      <xdr:colOff>235322</xdr:colOff>
      <xdr:row>1</xdr:row>
      <xdr:rowOff>22411</xdr:rowOff>
    </xdr:from>
    <xdr:to>
      <xdr:col>8</xdr:col>
      <xdr:colOff>884536</xdr:colOff>
      <xdr:row>4</xdr:row>
      <xdr:rowOff>150341</xdr:rowOff>
    </xdr:to>
    <xdr:pic>
      <xdr:nvPicPr>
        <xdr:cNvPr id="8" name="7 Imagen">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cstate="print"/>
        <a:srcRect/>
        <a:stretch>
          <a:fillRect/>
        </a:stretch>
      </xdr:blipFill>
      <xdr:spPr bwMode="auto">
        <a:xfrm>
          <a:off x="10365440" y="212911"/>
          <a:ext cx="1532237" cy="374459"/>
        </a:xfrm>
        <a:prstGeom prst="rect">
          <a:avLst/>
        </a:prstGeom>
        <a:noFill/>
        <a:ln w="9525">
          <a:noFill/>
          <a:miter lim="800000"/>
          <a:headEnd/>
          <a:tailEnd/>
        </a:ln>
      </xdr:spPr>
    </xdr:pic>
    <xdr:clientData/>
  </xdr:twoCellAnchor>
  <xdr:twoCellAnchor editAs="oneCell">
    <xdr:from>
      <xdr:col>2</xdr:col>
      <xdr:colOff>76735</xdr:colOff>
      <xdr:row>8</xdr:row>
      <xdr:rowOff>0</xdr:rowOff>
    </xdr:from>
    <xdr:to>
      <xdr:col>2</xdr:col>
      <xdr:colOff>534452</xdr:colOff>
      <xdr:row>10</xdr:row>
      <xdr:rowOff>76717</xdr:rowOff>
    </xdr:to>
    <xdr:pic>
      <xdr:nvPicPr>
        <xdr:cNvPr id="4" name="3 Imagen">
          <a:hlinkClick xmlns:r="http://schemas.openxmlformats.org/officeDocument/2006/relationships" r:id="rId2" tooltip="MENU"/>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5335" y="1295400"/>
          <a:ext cx="457717" cy="457717"/>
        </a:xfrm>
        <a:prstGeom prst="rect">
          <a:avLst/>
        </a:prstGeom>
      </xdr:spPr>
    </xdr:pic>
    <xdr:clientData fPrintsWithSheet="0"/>
  </xdr:twoCellAnchor>
  <xdr:twoCellAnchor editAs="oneCell">
    <xdr:from>
      <xdr:col>2</xdr:col>
      <xdr:colOff>76735</xdr:colOff>
      <xdr:row>8</xdr:row>
      <xdr:rowOff>0</xdr:rowOff>
    </xdr:from>
    <xdr:to>
      <xdr:col>2</xdr:col>
      <xdr:colOff>534452</xdr:colOff>
      <xdr:row>10</xdr:row>
      <xdr:rowOff>76717</xdr:rowOff>
    </xdr:to>
    <xdr:pic>
      <xdr:nvPicPr>
        <xdr:cNvPr id="7" name="6 Imagen">
          <a:hlinkClick xmlns:r="http://schemas.openxmlformats.org/officeDocument/2006/relationships" r:id="rId2" tooltip="MENU"/>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5335" y="1295400"/>
          <a:ext cx="457717" cy="457717"/>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2</xdr:col>
          <xdr:colOff>2133600</xdr:colOff>
          <xdr:row>8</xdr:row>
          <xdr:rowOff>38100</xdr:rowOff>
        </xdr:from>
        <xdr:to>
          <xdr:col>3</xdr:col>
          <xdr:colOff>0</xdr:colOff>
          <xdr:row>10</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Informe Leasing (base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2133600</xdr:colOff>
          <xdr:row>8</xdr:row>
          <xdr:rowOff>38100</xdr:rowOff>
        </xdr:from>
        <xdr:to>
          <xdr:col>3</xdr:col>
          <xdr:colOff>0</xdr:colOff>
          <xdr:row>10</xdr:row>
          <xdr:rowOff>83820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E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Informe Leasing (base datos)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7</xdr:col>
      <xdr:colOff>235322</xdr:colOff>
      <xdr:row>1</xdr:row>
      <xdr:rowOff>22411</xdr:rowOff>
    </xdr:from>
    <xdr:to>
      <xdr:col>8</xdr:col>
      <xdr:colOff>8236</xdr:colOff>
      <xdr:row>4</xdr:row>
      <xdr:rowOff>150341</xdr:rowOff>
    </xdr:to>
    <xdr:pic>
      <xdr:nvPicPr>
        <xdr:cNvPr id="2" name="1 Imagen">
          <a:extLst>
            <a:ext uri="{FF2B5EF4-FFF2-40B4-BE49-F238E27FC236}">
              <a16:creationId xmlns:a16="http://schemas.microsoft.com/office/drawing/2014/main" id="{00000000-0008-0000-0F00-000002000000}"/>
            </a:ext>
          </a:extLst>
        </xdr:cNvPr>
        <xdr:cNvPicPr/>
      </xdr:nvPicPr>
      <xdr:blipFill>
        <a:blip xmlns:r="http://schemas.openxmlformats.org/officeDocument/2006/relationships" r:embed="rId1" cstate="print"/>
        <a:srcRect/>
        <a:stretch>
          <a:fillRect/>
        </a:stretch>
      </xdr:blipFill>
      <xdr:spPr bwMode="auto">
        <a:xfrm>
          <a:off x="10369922" y="212911"/>
          <a:ext cx="1535039" cy="375580"/>
        </a:xfrm>
        <a:prstGeom prst="rect">
          <a:avLst/>
        </a:prstGeom>
        <a:noFill/>
        <a:ln w="9525">
          <a:noFill/>
          <a:miter lim="800000"/>
          <a:headEnd/>
          <a:tailEnd/>
        </a:ln>
      </xdr:spPr>
    </xdr:pic>
    <xdr:clientData/>
  </xdr:twoCellAnchor>
  <xdr:twoCellAnchor editAs="oneCell">
    <xdr:from>
      <xdr:col>2</xdr:col>
      <xdr:colOff>76735</xdr:colOff>
      <xdr:row>8</xdr:row>
      <xdr:rowOff>0</xdr:rowOff>
    </xdr:from>
    <xdr:to>
      <xdr:col>2</xdr:col>
      <xdr:colOff>534452</xdr:colOff>
      <xdr:row>10</xdr:row>
      <xdr:rowOff>76717</xdr:rowOff>
    </xdr:to>
    <xdr:pic>
      <xdr:nvPicPr>
        <xdr:cNvPr id="3" name="2 Imagen">
          <a:hlinkClick xmlns:r="http://schemas.openxmlformats.org/officeDocument/2006/relationships" r:id="rId2" tooltip="MENU"/>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5335" y="1295400"/>
          <a:ext cx="457717" cy="457717"/>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2</xdr:col>
          <xdr:colOff>2133600</xdr:colOff>
          <xdr:row>8</xdr:row>
          <xdr:rowOff>38100</xdr:rowOff>
        </xdr:from>
        <xdr:to>
          <xdr:col>2</xdr:col>
          <xdr:colOff>3208020</xdr:colOff>
          <xdr:row>10</xdr:row>
          <xdr:rowOff>83820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F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Informe Leasing (base datos)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6</xdr:col>
      <xdr:colOff>355600</xdr:colOff>
      <xdr:row>0</xdr:row>
      <xdr:rowOff>25400</xdr:rowOff>
    </xdr:from>
    <xdr:to>
      <xdr:col>6</xdr:col>
      <xdr:colOff>741612</xdr:colOff>
      <xdr:row>1</xdr:row>
      <xdr:rowOff>160997</xdr:rowOff>
    </xdr:to>
    <xdr:pic>
      <xdr:nvPicPr>
        <xdr:cNvPr id="3" name="1 Imagen">
          <a:hlinkClick xmlns:r="http://schemas.openxmlformats.org/officeDocument/2006/relationships" r:id="rId1" tooltip="MENU"/>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01200" y="25400"/>
          <a:ext cx="381250" cy="392773"/>
        </a:xfrm>
        <a:prstGeom prst="rect">
          <a:avLst/>
        </a:prstGeom>
      </xdr:spPr>
    </xdr:pic>
    <xdr:clientData fPrintsWithSheet="0"/>
  </xdr:twoCellAnchor>
  <xdr:twoCellAnchor editAs="absolute">
    <xdr:from>
      <xdr:col>6</xdr:col>
      <xdr:colOff>1046162</xdr:colOff>
      <xdr:row>0</xdr:row>
      <xdr:rowOff>1</xdr:rowOff>
    </xdr:from>
    <xdr:to>
      <xdr:col>7</xdr:col>
      <xdr:colOff>219993</xdr:colOff>
      <xdr:row>1</xdr:row>
      <xdr:rowOff>131763</xdr:rowOff>
    </xdr:to>
    <xdr:pic macro="[0]!VOLVER.VOLVER">
      <xdr:nvPicPr>
        <xdr:cNvPr id="4" name="Imagen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287000" y="1"/>
          <a:ext cx="613693" cy="393700"/>
        </a:xfrm>
        <a:prstGeom prst="rect">
          <a:avLst/>
        </a:prstGeom>
      </xdr:spPr>
    </xdr:pic>
    <xdr:clientData fPrintsWithSheet="0"/>
  </xdr:twoCellAnchor>
</xdr:wsDr>
</file>

<file path=xl/drawings/drawing18.xml><?xml version="1.0" encoding="utf-8"?>
<xdr:wsDr xmlns:xdr="http://schemas.openxmlformats.org/drawingml/2006/spreadsheetDrawing" xmlns:a="http://schemas.openxmlformats.org/drawingml/2006/main">
  <xdr:oneCellAnchor>
    <xdr:from>
      <xdr:col>2</xdr:col>
      <xdr:colOff>76736</xdr:colOff>
      <xdr:row>8</xdr:row>
      <xdr:rowOff>1102</xdr:rowOff>
    </xdr:from>
    <xdr:ext cx="0" cy="256632"/>
    <xdr:pic>
      <xdr:nvPicPr>
        <xdr:cNvPr id="2" name="1 Imagen">
          <a:hlinkClick xmlns:r="http://schemas.openxmlformats.org/officeDocument/2006/relationships" r:id="rId1" tooltip="MENU"/>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3436" y="1325077"/>
          <a:ext cx="0" cy="266157"/>
        </a:xfrm>
        <a:prstGeom prst="rect">
          <a:avLst/>
        </a:prstGeom>
      </xdr:spPr>
    </xdr:pic>
    <xdr:clientData fPrintsWithSheet="0"/>
  </xdr:oneCellAnchor>
  <xdr:oneCellAnchor>
    <xdr:from>
      <xdr:col>2</xdr:col>
      <xdr:colOff>133350</xdr:colOff>
      <xdr:row>7</xdr:row>
      <xdr:rowOff>85725</xdr:rowOff>
    </xdr:from>
    <xdr:ext cx="0" cy="364198"/>
    <xdr:pic>
      <xdr:nvPicPr>
        <xdr:cNvPr id="3" name="1 Imagen">
          <a:hlinkClick xmlns:r="http://schemas.openxmlformats.org/officeDocument/2006/relationships" r:id="rId1" tooltip="MENU"/>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0050" y="1219200"/>
          <a:ext cx="381250" cy="392773"/>
        </a:xfrm>
        <a:prstGeom prst="rect">
          <a:avLst/>
        </a:prstGeom>
      </xdr:spPr>
    </xdr:pic>
    <xdr:clientData fPrintsWithSheet="0"/>
  </xdr:oneCellAnchor>
  <xdr:twoCellAnchor editAs="oneCell">
    <xdr:from>
      <xdr:col>2</xdr:col>
      <xdr:colOff>847725</xdr:colOff>
      <xdr:row>8</xdr:row>
      <xdr:rowOff>142875</xdr:rowOff>
    </xdr:from>
    <xdr:to>
      <xdr:col>3</xdr:col>
      <xdr:colOff>95500</xdr:colOff>
      <xdr:row>12</xdr:row>
      <xdr:rowOff>135598</xdr:rowOff>
    </xdr:to>
    <xdr:pic>
      <xdr:nvPicPr>
        <xdr:cNvPr id="4" name="1 Imagen">
          <a:hlinkClick xmlns:r="http://schemas.openxmlformats.org/officeDocument/2006/relationships" r:id="rId1" tooltip="MENU"/>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4425" y="1333500"/>
          <a:ext cx="381250" cy="392773"/>
        </a:xfrm>
        <a:prstGeom prst="rect">
          <a:avLst/>
        </a:prstGeom>
      </xdr:spPr>
    </xdr:pic>
    <xdr:clientData fPrintsWithSheet="0"/>
  </xdr:twoCellAnchor>
  <xdr:twoCellAnchor editAs="absolute">
    <xdr:from>
      <xdr:col>3</xdr:col>
      <xdr:colOff>285750</xdr:colOff>
      <xdr:row>8</xdr:row>
      <xdr:rowOff>85725</xdr:rowOff>
    </xdr:from>
    <xdr:to>
      <xdr:col>3</xdr:col>
      <xdr:colOff>988343</xdr:colOff>
      <xdr:row>12</xdr:row>
      <xdr:rowOff>198054</xdr:rowOff>
    </xdr:to>
    <xdr:pic macro="[0]!VOLVER.VOLVER">
      <xdr:nvPicPr>
        <xdr:cNvPr id="5" name="Imagen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85925" y="1276350"/>
          <a:ext cx="702593" cy="512379"/>
        </a:xfrm>
        <a:prstGeom prst="rect">
          <a:avLst/>
        </a:prstGeom>
      </xdr:spPr>
    </xdr:pic>
    <xdr:clientData fPrintsWithSheet="0"/>
  </xdr:twoCellAnchor>
</xdr:wsDr>
</file>

<file path=xl/drawings/drawing19.xml><?xml version="1.0" encoding="utf-8"?>
<xdr:wsDr xmlns:xdr="http://schemas.openxmlformats.org/drawingml/2006/spreadsheetDrawing" xmlns:a="http://schemas.openxmlformats.org/drawingml/2006/main">
  <xdr:oneCellAnchor>
    <xdr:from>
      <xdr:col>2</xdr:col>
      <xdr:colOff>76736</xdr:colOff>
      <xdr:row>8</xdr:row>
      <xdr:rowOff>0</xdr:rowOff>
    </xdr:from>
    <xdr:ext cx="0" cy="256632"/>
    <xdr:pic>
      <xdr:nvPicPr>
        <xdr:cNvPr id="2" name="1 Imagen">
          <a:hlinkClick xmlns:r="http://schemas.openxmlformats.org/officeDocument/2006/relationships" r:id="rId1" tooltip="MENU"/>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3436" y="1191727"/>
          <a:ext cx="0" cy="256632"/>
        </a:xfrm>
        <a:prstGeom prst="rect">
          <a:avLst/>
        </a:prstGeom>
      </xdr:spPr>
    </xdr:pic>
    <xdr:clientData fPrintsWithSheet="0"/>
  </xdr:oneCellAnchor>
  <xdr:oneCellAnchor>
    <xdr:from>
      <xdr:col>2</xdr:col>
      <xdr:colOff>133350</xdr:colOff>
      <xdr:row>8</xdr:row>
      <xdr:rowOff>0</xdr:rowOff>
    </xdr:from>
    <xdr:ext cx="0" cy="364198"/>
    <xdr:pic>
      <xdr:nvPicPr>
        <xdr:cNvPr id="3" name="1 Imagen">
          <a:hlinkClick xmlns:r="http://schemas.openxmlformats.org/officeDocument/2006/relationships" r:id="rId1" tooltip="MENU"/>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0050" y="971550"/>
          <a:ext cx="0" cy="364198"/>
        </a:xfrm>
        <a:prstGeom prst="rect">
          <a:avLst/>
        </a:prstGeom>
      </xdr:spPr>
    </xdr:pic>
    <xdr:clientData fPrintsWithSheet="0"/>
  </xdr:oneCellAnchor>
  <xdr:twoCellAnchor editAs="oneCell">
    <xdr:from>
      <xdr:col>2</xdr:col>
      <xdr:colOff>847725</xdr:colOff>
      <xdr:row>8</xdr:row>
      <xdr:rowOff>0</xdr:rowOff>
    </xdr:from>
    <xdr:to>
      <xdr:col>2</xdr:col>
      <xdr:colOff>847725</xdr:colOff>
      <xdr:row>10</xdr:row>
      <xdr:rowOff>40348</xdr:rowOff>
    </xdr:to>
    <xdr:pic>
      <xdr:nvPicPr>
        <xdr:cNvPr id="4" name="1 Imagen">
          <a:hlinkClick xmlns:r="http://schemas.openxmlformats.org/officeDocument/2006/relationships" r:id="rId1" tooltip="MENU"/>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4425" y="1333500"/>
          <a:ext cx="381250" cy="392773"/>
        </a:xfrm>
        <a:prstGeom prst="rect">
          <a:avLst/>
        </a:prstGeom>
      </xdr:spPr>
    </xdr:pic>
    <xdr:clientData fPrintsWithSheet="0"/>
  </xdr:twoCellAnchor>
  <xdr:twoCellAnchor editAs="oneCell">
    <xdr:from>
      <xdr:col>4</xdr:col>
      <xdr:colOff>695325</xdr:colOff>
      <xdr:row>1</xdr:row>
      <xdr:rowOff>39688</xdr:rowOff>
    </xdr:from>
    <xdr:to>
      <xdr:col>4</xdr:col>
      <xdr:colOff>1076575</xdr:colOff>
      <xdr:row>2</xdr:row>
      <xdr:rowOff>104776</xdr:rowOff>
    </xdr:to>
    <xdr:pic>
      <xdr:nvPicPr>
        <xdr:cNvPr id="5" name="1 Imagen">
          <a:hlinkClick xmlns:r="http://schemas.openxmlformats.org/officeDocument/2006/relationships" r:id="rId1" tooltip="MENU"/>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53325" y="220663"/>
          <a:ext cx="381250" cy="446088"/>
        </a:xfrm>
        <a:prstGeom prst="rect">
          <a:avLst/>
        </a:prstGeom>
      </xdr:spPr>
    </xdr:pic>
    <xdr:clientData fPrintsWithSheet="0"/>
  </xdr:twoCellAnchor>
  <xdr:oneCellAnchor>
    <xdr:from>
      <xdr:col>0</xdr:col>
      <xdr:colOff>133350</xdr:colOff>
      <xdr:row>4</xdr:row>
      <xdr:rowOff>85725</xdr:rowOff>
    </xdr:from>
    <xdr:ext cx="0" cy="364198"/>
    <xdr:pic>
      <xdr:nvPicPr>
        <xdr:cNvPr id="6" name="1 Imagen">
          <a:hlinkClick xmlns:r="http://schemas.openxmlformats.org/officeDocument/2006/relationships" r:id="rId1" tooltip="MENU"/>
          <a:extLst>
            <a:ext uri="{FF2B5EF4-FFF2-40B4-BE49-F238E27FC236}">
              <a16:creationId xmlns:a16="http://schemas.microsoft.com/office/drawing/2014/main" id="{00000000-0008-0000-1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0050" y="971550"/>
          <a:ext cx="0" cy="364198"/>
        </a:xfrm>
        <a:prstGeom prst="rect">
          <a:avLst/>
        </a:prstGeom>
      </xdr:spPr>
    </xdr:pic>
    <xdr:clientData fPrintsWithSheet="0"/>
  </xdr:oneCellAnchor>
  <xdr:oneCellAnchor>
    <xdr:from>
      <xdr:col>0</xdr:col>
      <xdr:colOff>133350</xdr:colOff>
      <xdr:row>4</xdr:row>
      <xdr:rowOff>85725</xdr:rowOff>
    </xdr:from>
    <xdr:ext cx="0" cy="364198"/>
    <xdr:pic>
      <xdr:nvPicPr>
        <xdr:cNvPr id="7" name="1 Imagen">
          <a:hlinkClick xmlns:r="http://schemas.openxmlformats.org/officeDocument/2006/relationships" r:id="rId1" tooltip="MENU"/>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0050" y="971550"/>
          <a:ext cx="0" cy="364198"/>
        </a:xfrm>
        <a:prstGeom prst="rect">
          <a:avLst/>
        </a:prstGeom>
      </xdr:spPr>
    </xdr:pic>
    <xdr:clientData fPrintsWithSheet="0"/>
  </xdr:oneCellAnchor>
  <xdr:twoCellAnchor editAs="absolute">
    <xdr:from>
      <xdr:col>4</xdr:col>
      <xdr:colOff>1219200</xdr:colOff>
      <xdr:row>0</xdr:row>
      <xdr:rowOff>142875</xdr:rowOff>
    </xdr:from>
    <xdr:to>
      <xdr:col>4</xdr:col>
      <xdr:colOff>1817018</xdr:colOff>
      <xdr:row>2</xdr:row>
      <xdr:rowOff>93279</xdr:rowOff>
    </xdr:to>
    <xdr:pic macro="[0]!VOLVER.VOLVER">
      <xdr:nvPicPr>
        <xdr:cNvPr id="9" name="Imagen 8">
          <a:extLst>
            <a:ext uri="{FF2B5EF4-FFF2-40B4-BE49-F238E27FC236}">
              <a16:creationId xmlns:a16="http://schemas.microsoft.com/office/drawing/2014/main" id="{00000000-0008-0000-12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077200" y="142875"/>
          <a:ext cx="702593" cy="512379"/>
        </a:xfrm>
        <a:prstGeom prst="rect">
          <a:avLst/>
        </a:prstGeom>
      </xdr:spPr>
    </xdr:pic>
    <xdr:clientData fPrintsWithSheet="0"/>
  </xdr:twoCellAnchor>
</xdr:wsDr>
</file>

<file path=xl/drawings/drawing20.xml><?xml version="1.0" encoding="utf-8"?>
<xdr:wsDr xmlns:xdr="http://schemas.openxmlformats.org/drawingml/2006/spreadsheetDrawing" xmlns:a="http://schemas.openxmlformats.org/drawingml/2006/main">
  <xdr:twoCellAnchor editAs="oneCell">
    <xdr:from>
      <xdr:col>2</xdr:col>
      <xdr:colOff>65528</xdr:colOff>
      <xdr:row>7</xdr:row>
      <xdr:rowOff>147400</xdr:rowOff>
    </xdr:from>
    <xdr:to>
      <xdr:col>2</xdr:col>
      <xdr:colOff>523245</xdr:colOff>
      <xdr:row>10</xdr:row>
      <xdr:rowOff>33617</xdr:rowOff>
    </xdr:to>
    <xdr:pic>
      <xdr:nvPicPr>
        <xdr:cNvPr id="6" name="5 Imagen">
          <a:hlinkClick xmlns:r="http://schemas.openxmlformats.org/officeDocument/2006/relationships" r:id="rId1" tooltip="MENU"/>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9646" y="1245576"/>
          <a:ext cx="457717" cy="457717"/>
        </a:xfrm>
        <a:prstGeom prst="rect">
          <a:avLst/>
        </a:prstGeom>
      </xdr:spPr>
    </xdr:pic>
    <xdr:clientData fPrintsWithSheet="0"/>
  </xdr:twoCellAnchor>
  <xdr:twoCellAnchor>
    <xdr:from>
      <xdr:col>7</xdr:col>
      <xdr:colOff>728383</xdr:colOff>
      <xdr:row>0</xdr:row>
      <xdr:rowOff>112059</xdr:rowOff>
    </xdr:from>
    <xdr:to>
      <xdr:col>11</xdr:col>
      <xdr:colOff>981074</xdr:colOff>
      <xdr:row>9</xdr:row>
      <xdr:rowOff>67875</xdr:rowOff>
    </xdr:to>
    <xdr:grpSp>
      <xdr:nvGrpSpPr>
        <xdr:cNvPr id="7" name="Grupo 6">
          <a:extLst>
            <a:ext uri="{FF2B5EF4-FFF2-40B4-BE49-F238E27FC236}">
              <a16:creationId xmlns:a16="http://schemas.microsoft.com/office/drawing/2014/main" id="{00000000-0008-0000-1300-000007000000}"/>
            </a:ext>
          </a:extLst>
        </xdr:cNvPr>
        <xdr:cNvGrpSpPr/>
      </xdr:nvGrpSpPr>
      <xdr:grpSpPr>
        <a:xfrm>
          <a:off x="10581859" y="112059"/>
          <a:ext cx="5324346" cy="1409875"/>
          <a:chOff x="6105525" y="133350"/>
          <a:chExt cx="5172074" cy="1447800"/>
        </a:xfrm>
      </xdr:grpSpPr>
      <xdr:pic>
        <xdr:nvPicPr>
          <xdr:cNvPr id="8" name="3 Imagen">
            <a:extLst>
              <a:ext uri="{FF2B5EF4-FFF2-40B4-BE49-F238E27FC236}">
                <a16:creationId xmlns:a16="http://schemas.microsoft.com/office/drawing/2014/main" id="{00000000-0008-0000-1300-000008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14527"/>
          <a:stretch/>
        </xdr:blipFill>
        <xdr:spPr>
          <a:xfrm>
            <a:off x="6105525" y="133350"/>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9" name="6 Imagen">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4" cstate="print"/>
          <a:srcRect/>
          <a:stretch>
            <a:fillRect/>
          </a:stretch>
        </xdr:blipFill>
        <xdr:spPr bwMode="auto">
          <a:xfrm>
            <a:off x="9829686" y="1190625"/>
            <a:ext cx="1325665" cy="241501"/>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twoCellAnchor editAs="oneCell">
    <xdr:from>
      <xdr:col>6</xdr:col>
      <xdr:colOff>938893</xdr:colOff>
      <xdr:row>7</xdr:row>
      <xdr:rowOff>79022</xdr:rowOff>
    </xdr:from>
    <xdr:to>
      <xdr:col>7</xdr:col>
      <xdr:colOff>122465</xdr:colOff>
      <xdr:row>10</xdr:row>
      <xdr:rowOff>33617</xdr:rowOff>
    </xdr:to>
    <xdr:pic>
      <xdr:nvPicPr>
        <xdr:cNvPr id="10" name="Picture 12">
          <a:hlinkClick xmlns:r="http://schemas.openxmlformats.org/officeDocument/2006/relationships" r:id="rId5" tooltip="Instrucciones"/>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8693364" y="1177198"/>
          <a:ext cx="438630" cy="526095"/>
        </a:xfrm>
        <a:prstGeom prst="rect">
          <a:avLst/>
        </a:prstGeom>
        <a:noFill/>
      </xdr:spPr>
    </xdr:pic>
    <xdr:clientData fLocksWithSheet="0" fPrintsWithSheet="0"/>
  </xdr:twoCellAnchor>
  <xdr:twoCellAnchor editAs="absolute">
    <xdr:from>
      <xdr:col>2</xdr:col>
      <xdr:colOff>2319617</xdr:colOff>
      <xdr:row>7</xdr:row>
      <xdr:rowOff>128688</xdr:rowOff>
    </xdr:from>
    <xdr:to>
      <xdr:col>2</xdr:col>
      <xdr:colOff>2824442</xdr:colOff>
      <xdr:row>10</xdr:row>
      <xdr:rowOff>33617</xdr:rowOff>
    </xdr:to>
    <xdr:pic>
      <xdr:nvPicPr>
        <xdr:cNvPr id="11" name="Imagen 10">
          <a:hlinkClick xmlns:r="http://schemas.openxmlformats.org/officeDocument/2006/relationships" r:id="rId7" tooltip="Pendientes"/>
          <a:extLst>
            <a:ext uri="{FF2B5EF4-FFF2-40B4-BE49-F238E27FC236}">
              <a16:creationId xmlns:a16="http://schemas.microsoft.com/office/drawing/2014/main" id="{00000000-0008-0000-1300-00000B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543735" y="1226864"/>
          <a:ext cx="504825" cy="476429"/>
        </a:xfrm>
        <a:prstGeom prst="rect">
          <a:avLst/>
        </a:prstGeom>
      </xdr:spPr>
    </xdr:pic>
    <xdr:clientData fLocksWithSheet="0" fPrintsWithSheet="0"/>
  </xdr:twoCellAnchor>
  <xdr:twoCellAnchor editAs="absolute">
    <xdr:from>
      <xdr:col>2</xdr:col>
      <xdr:colOff>2913529</xdr:colOff>
      <xdr:row>7</xdr:row>
      <xdr:rowOff>33617</xdr:rowOff>
    </xdr:from>
    <xdr:to>
      <xdr:col>2</xdr:col>
      <xdr:colOff>3676650</xdr:colOff>
      <xdr:row>10</xdr:row>
      <xdr:rowOff>33617</xdr:rowOff>
    </xdr:to>
    <xdr:pic macro="[0]!VOLVER.VOLVER">
      <xdr:nvPicPr>
        <xdr:cNvPr id="12" name="Imagen 11">
          <a:extLst>
            <a:ext uri="{FF2B5EF4-FFF2-40B4-BE49-F238E27FC236}">
              <a16:creationId xmlns:a16="http://schemas.microsoft.com/office/drawing/2014/main" id="{00000000-0008-0000-1300-00000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137647" y="1131793"/>
          <a:ext cx="763121" cy="571500"/>
        </a:xfrm>
        <a:prstGeom prst="rect">
          <a:avLst/>
        </a:prstGeom>
      </xdr:spPr>
    </xdr:pic>
    <xdr:clientData fPrintsWithSheet="0"/>
  </xdr:twoCellAnchor>
  <xdr:twoCellAnchor editAs="absolute">
    <xdr:from>
      <xdr:col>6</xdr:col>
      <xdr:colOff>775607</xdr:colOff>
      <xdr:row>0</xdr:row>
      <xdr:rowOff>190499</xdr:rowOff>
    </xdr:from>
    <xdr:to>
      <xdr:col>7</xdr:col>
      <xdr:colOff>245519</xdr:colOff>
      <xdr:row>5</xdr:row>
      <xdr:rowOff>134960</xdr:rowOff>
    </xdr:to>
    <xdr:pic>
      <xdr:nvPicPr>
        <xdr:cNvPr id="14" name="Imagen 13" descr="http://t0.gstatic.com/images?q=tbn:ANd9GcSOcaZYp0sCkZBRwsB3QOGfBLQf9_qr6Tcm-TdXlorb0v3BiCQ6">
          <a:hlinkClick xmlns:r="http://schemas.openxmlformats.org/officeDocument/2006/relationships" r:id="rId10" tooltip="Incidencias"/>
          <a:extLst>
            <a:ext uri="{FF2B5EF4-FFF2-40B4-BE49-F238E27FC236}">
              <a16:creationId xmlns:a16="http://schemas.microsoft.com/office/drawing/2014/main" id="{00000000-0008-0000-1300-00000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8967107" y="190499"/>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2</xdr:col>
          <xdr:colOff>723900</xdr:colOff>
          <xdr:row>7</xdr:row>
          <xdr:rowOff>190500</xdr:rowOff>
        </xdr:from>
        <xdr:to>
          <xdr:col>2</xdr:col>
          <xdr:colOff>1790700</xdr:colOff>
          <xdr:row>10</xdr:row>
          <xdr:rowOff>38100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3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Inversiones  Ejercicio</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2</xdr:col>
      <xdr:colOff>76735</xdr:colOff>
      <xdr:row>8</xdr:row>
      <xdr:rowOff>32140</xdr:rowOff>
    </xdr:from>
    <xdr:to>
      <xdr:col>2</xdr:col>
      <xdr:colOff>534452</xdr:colOff>
      <xdr:row>10</xdr:row>
      <xdr:rowOff>113619</xdr:rowOff>
    </xdr:to>
    <xdr:pic>
      <xdr:nvPicPr>
        <xdr:cNvPr id="5" name="4 Imagen">
          <a:hlinkClick xmlns:r="http://schemas.openxmlformats.org/officeDocument/2006/relationships" r:id="rId1" tooltip="MENU"/>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4449" y="1338426"/>
          <a:ext cx="457717" cy="457717"/>
        </a:xfrm>
        <a:prstGeom prst="rect">
          <a:avLst/>
        </a:prstGeom>
      </xdr:spPr>
    </xdr:pic>
    <xdr:clientData fPrintsWithSheet="0"/>
  </xdr:twoCellAnchor>
  <xdr:twoCellAnchor>
    <xdr:from>
      <xdr:col>10</xdr:col>
      <xdr:colOff>142476</xdr:colOff>
      <xdr:row>0</xdr:row>
      <xdr:rowOff>185697</xdr:rowOff>
    </xdr:from>
    <xdr:to>
      <xdr:col>11</xdr:col>
      <xdr:colOff>2204116</xdr:colOff>
      <xdr:row>9</xdr:row>
      <xdr:rowOff>162325</xdr:rowOff>
    </xdr:to>
    <xdr:grpSp>
      <xdr:nvGrpSpPr>
        <xdr:cNvPr id="7" name="Grupo 6">
          <a:extLst>
            <a:ext uri="{FF2B5EF4-FFF2-40B4-BE49-F238E27FC236}">
              <a16:creationId xmlns:a16="http://schemas.microsoft.com/office/drawing/2014/main" id="{00000000-0008-0000-1400-000007000000}"/>
            </a:ext>
          </a:extLst>
        </xdr:cNvPr>
        <xdr:cNvGrpSpPr/>
      </xdr:nvGrpSpPr>
      <xdr:grpSpPr>
        <a:xfrm>
          <a:off x="14237571" y="183792"/>
          <a:ext cx="5313747" cy="1436402"/>
          <a:chOff x="6105525" y="133350"/>
          <a:chExt cx="5172074" cy="1447800"/>
        </a:xfrm>
      </xdr:grpSpPr>
      <xdr:pic>
        <xdr:nvPicPr>
          <xdr:cNvPr id="8" name="3 Imagen">
            <a:extLst>
              <a:ext uri="{FF2B5EF4-FFF2-40B4-BE49-F238E27FC236}">
                <a16:creationId xmlns:a16="http://schemas.microsoft.com/office/drawing/2014/main" id="{00000000-0008-0000-1400-000008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14527"/>
          <a:stretch/>
        </xdr:blipFill>
        <xdr:spPr>
          <a:xfrm>
            <a:off x="6105525" y="133350"/>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9" name="6 Imagen">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4" cstate="print"/>
          <a:srcRect/>
          <a:stretch>
            <a:fillRect/>
          </a:stretch>
        </xdr:blipFill>
        <xdr:spPr bwMode="auto">
          <a:xfrm>
            <a:off x="10039350" y="1190625"/>
            <a:ext cx="1116000" cy="2520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twoCellAnchor editAs="oneCell">
    <xdr:from>
      <xdr:col>9</xdr:col>
      <xdr:colOff>820496</xdr:colOff>
      <xdr:row>6</xdr:row>
      <xdr:rowOff>204096</xdr:rowOff>
    </xdr:from>
    <xdr:to>
      <xdr:col>9</xdr:col>
      <xdr:colOff>1256935</xdr:colOff>
      <xdr:row>9</xdr:row>
      <xdr:rowOff>141571</xdr:rowOff>
    </xdr:to>
    <xdr:pic>
      <xdr:nvPicPr>
        <xdr:cNvPr id="10" name="Picture 12">
          <a:hlinkClick xmlns:r="http://schemas.openxmlformats.org/officeDocument/2006/relationships" r:id="rId5" tooltip="Instrucciones"/>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0576817" y="1074953"/>
          <a:ext cx="436439" cy="558642"/>
        </a:xfrm>
        <a:prstGeom prst="rect">
          <a:avLst/>
        </a:prstGeom>
        <a:noFill/>
      </xdr:spPr>
    </xdr:pic>
    <xdr:clientData/>
  </xdr:twoCellAnchor>
  <xdr:twoCellAnchor editAs="absolute">
    <xdr:from>
      <xdr:col>2</xdr:col>
      <xdr:colOff>742795</xdr:colOff>
      <xdr:row>8</xdr:row>
      <xdr:rowOff>18190</xdr:rowOff>
    </xdr:from>
    <xdr:to>
      <xdr:col>2</xdr:col>
      <xdr:colOff>1247620</xdr:colOff>
      <xdr:row>10</xdr:row>
      <xdr:rowOff>113619</xdr:rowOff>
    </xdr:to>
    <xdr:pic>
      <xdr:nvPicPr>
        <xdr:cNvPr id="11" name="Imagen 10">
          <a:hlinkClick xmlns:r="http://schemas.openxmlformats.org/officeDocument/2006/relationships" r:id="rId7" tooltip="Pendientes"/>
          <a:extLst>
            <a:ext uri="{FF2B5EF4-FFF2-40B4-BE49-F238E27FC236}">
              <a16:creationId xmlns:a16="http://schemas.microsoft.com/office/drawing/2014/main" id="{00000000-0008-0000-1400-00000B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60509" y="1319714"/>
          <a:ext cx="504825" cy="476429"/>
        </a:xfrm>
        <a:prstGeom prst="rect">
          <a:avLst/>
        </a:prstGeom>
      </xdr:spPr>
    </xdr:pic>
    <xdr:clientData fLocksWithSheet="0" fPrintsWithSheet="0"/>
  </xdr:twoCellAnchor>
  <xdr:twoCellAnchor editAs="absolute">
    <xdr:from>
      <xdr:col>2</xdr:col>
      <xdr:colOff>1455964</xdr:colOff>
      <xdr:row>7</xdr:row>
      <xdr:rowOff>113619</xdr:rowOff>
    </xdr:from>
    <xdr:to>
      <xdr:col>2</xdr:col>
      <xdr:colOff>2219085</xdr:colOff>
      <xdr:row>10</xdr:row>
      <xdr:rowOff>113619</xdr:rowOff>
    </xdr:to>
    <xdr:pic macro="[0]!VOLVER.VOLVER">
      <xdr:nvPicPr>
        <xdr:cNvPr id="12" name="Imagen 1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673678" y="1224643"/>
          <a:ext cx="763121" cy="571500"/>
        </a:xfrm>
        <a:prstGeom prst="rect">
          <a:avLst/>
        </a:prstGeom>
      </xdr:spPr>
    </xdr:pic>
    <xdr:clientData fPrintsWithSheet="0"/>
  </xdr:twoCellAnchor>
  <xdr:twoCellAnchor editAs="absolute">
    <xdr:from>
      <xdr:col>3</xdr:col>
      <xdr:colOff>312965</xdr:colOff>
      <xdr:row>8</xdr:row>
      <xdr:rowOff>0</xdr:rowOff>
    </xdr:from>
    <xdr:to>
      <xdr:col>4</xdr:col>
      <xdr:colOff>68627</xdr:colOff>
      <xdr:row>11</xdr:row>
      <xdr:rowOff>75769</xdr:rowOff>
    </xdr:to>
    <xdr:pic>
      <xdr:nvPicPr>
        <xdr:cNvPr id="14" name="Imagen 13" descr="http://t0.gstatic.com/images?q=tbn:ANd9GcSOcaZYp0sCkZBRwsB3QOGfBLQf9_qr6Tcm-TdXlorb0v3BiCQ6">
          <a:hlinkClick xmlns:r="http://schemas.openxmlformats.org/officeDocument/2006/relationships" r:id="rId10" tooltip="Incidencias"/>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3442608" y="1306286"/>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5</xdr:col>
          <xdr:colOff>342900</xdr:colOff>
          <xdr:row>8</xdr:row>
          <xdr:rowOff>121920</xdr:rowOff>
        </xdr:from>
        <xdr:to>
          <xdr:col>6</xdr:col>
          <xdr:colOff>0</xdr:colOff>
          <xdr:row>10</xdr:row>
          <xdr:rowOff>38100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1400-000003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7</xdr:col>
      <xdr:colOff>1130672</xdr:colOff>
      <xdr:row>1</xdr:row>
      <xdr:rowOff>70036</xdr:rowOff>
    </xdr:from>
    <xdr:to>
      <xdr:col>8</xdr:col>
      <xdr:colOff>1393121</xdr:colOff>
      <xdr:row>4</xdr:row>
      <xdr:rowOff>197966</xdr:rowOff>
    </xdr:to>
    <xdr:pic>
      <xdr:nvPicPr>
        <xdr:cNvPr id="2" name="1 Imagen">
          <a:extLst>
            <a:ext uri="{FF2B5EF4-FFF2-40B4-BE49-F238E27FC236}">
              <a16:creationId xmlns:a16="http://schemas.microsoft.com/office/drawing/2014/main" id="{00000000-0008-0000-1500-000002000000}"/>
            </a:ext>
          </a:extLst>
        </xdr:cNvPr>
        <xdr:cNvPicPr/>
      </xdr:nvPicPr>
      <xdr:blipFill>
        <a:blip xmlns:r="http://schemas.openxmlformats.org/officeDocument/2006/relationships" r:embed="rId1" cstate="print"/>
        <a:srcRect/>
        <a:stretch>
          <a:fillRect/>
        </a:stretch>
      </xdr:blipFill>
      <xdr:spPr bwMode="auto">
        <a:xfrm>
          <a:off x="9484097" y="260536"/>
          <a:ext cx="1533357" cy="375580"/>
        </a:xfrm>
        <a:prstGeom prst="rect">
          <a:avLst/>
        </a:prstGeom>
        <a:noFill/>
        <a:ln w="9525">
          <a:noFill/>
          <a:miter lim="800000"/>
          <a:headEnd/>
          <a:tailEnd/>
        </a:ln>
      </xdr:spPr>
    </xdr:pic>
    <xdr:clientData/>
  </xdr:twoCellAnchor>
  <xdr:twoCellAnchor editAs="oneCell">
    <xdr:from>
      <xdr:col>2</xdr:col>
      <xdr:colOff>76735</xdr:colOff>
      <xdr:row>8</xdr:row>
      <xdr:rowOff>45747</xdr:rowOff>
    </xdr:from>
    <xdr:to>
      <xdr:col>2</xdr:col>
      <xdr:colOff>534452</xdr:colOff>
      <xdr:row>10</xdr:row>
      <xdr:rowOff>122464</xdr:rowOff>
    </xdr:to>
    <xdr:pic>
      <xdr:nvPicPr>
        <xdr:cNvPr id="3" name="2 Imagen">
          <a:hlinkClick xmlns:r="http://schemas.openxmlformats.org/officeDocument/2006/relationships" r:id="rId2" tooltip="MENU"/>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4449" y="1352033"/>
          <a:ext cx="457717" cy="457717"/>
        </a:xfrm>
        <a:prstGeom prst="rect">
          <a:avLst/>
        </a:prstGeom>
      </xdr:spPr>
    </xdr:pic>
    <xdr:clientData fPrintsWithSheet="0"/>
  </xdr:twoCellAnchor>
  <xdr:oneCellAnchor>
    <xdr:from>
      <xdr:col>6</xdr:col>
      <xdr:colOff>1276349</xdr:colOff>
      <xdr:row>7</xdr:row>
      <xdr:rowOff>104773</xdr:rowOff>
    </xdr:from>
    <xdr:ext cx="438517" cy="561302"/>
    <xdr:pic>
      <xdr:nvPicPr>
        <xdr:cNvPr id="6" name="Picture 12">
          <a:hlinkClick xmlns:r="http://schemas.openxmlformats.org/officeDocument/2006/relationships" r:id="rId4" tooltip="Instrucciones"/>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934324" y="1209673"/>
          <a:ext cx="438517" cy="561302"/>
        </a:xfrm>
        <a:prstGeom prst="rect">
          <a:avLst/>
        </a:prstGeom>
        <a:noFill/>
      </xdr:spPr>
    </xdr:pic>
    <xdr:clientData/>
  </xdr:oneCellAnchor>
  <xdr:twoCellAnchor editAs="absolute">
    <xdr:from>
      <xdr:col>2</xdr:col>
      <xdr:colOff>742795</xdr:colOff>
      <xdr:row>8</xdr:row>
      <xdr:rowOff>27035</xdr:rowOff>
    </xdr:from>
    <xdr:to>
      <xdr:col>2</xdr:col>
      <xdr:colOff>1247620</xdr:colOff>
      <xdr:row>10</xdr:row>
      <xdr:rowOff>122464</xdr:rowOff>
    </xdr:to>
    <xdr:pic>
      <xdr:nvPicPr>
        <xdr:cNvPr id="7" name="Imagen 6">
          <a:hlinkClick xmlns:r="http://schemas.openxmlformats.org/officeDocument/2006/relationships" r:id="rId6" tooltip="Pendientes"/>
          <a:extLst>
            <a:ext uri="{FF2B5EF4-FFF2-40B4-BE49-F238E27FC236}">
              <a16:creationId xmlns:a16="http://schemas.microsoft.com/office/drawing/2014/main" id="{00000000-0008-0000-1500-00000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60509" y="1333321"/>
          <a:ext cx="504825" cy="476429"/>
        </a:xfrm>
        <a:prstGeom prst="rect">
          <a:avLst/>
        </a:prstGeom>
      </xdr:spPr>
    </xdr:pic>
    <xdr:clientData fLocksWithSheet="0" fPrintsWithSheet="0"/>
  </xdr:twoCellAnchor>
  <xdr:twoCellAnchor editAs="absolute">
    <xdr:from>
      <xdr:col>2</xdr:col>
      <xdr:colOff>1455964</xdr:colOff>
      <xdr:row>7</xdr:row>
      <xdr:rowOff>122464</xdr:rowOff>
    </xdr:from>
    <xdr:to>
      <xdr:col>2</xdr:col>
      <xdr:colOff>2219085</xdr:colOff>
      <xdr:row>10</xdr:row>
      <xdr:rowOff>122464</xdr:rowOff>
    </xdr:to>
    <xdr:pic macro="[0]!VOLVER.VOLVER">
      <xdr:nvPicPr>
        <xdr:cNvPr id="8" name="Imagen 7">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73678" y="1238250"/>
          <a:ext cx="763121" cy="571500"/>
        </a:xfrm>
        <a:prstGeom prst="rect">
          <a:avLst/>
        </a:prstGeom>
      </xdr:spPr>
    </xdr:pic>
    <xdr:clientData fPrintsWithSheet="0"/>
  </xdr:twoCellAnchor>
  <xdr:twoCellAnchor editAs="absolute">
    <xdr:from>
      <xdr:col>2</xdr:col>
      <xdr:colOff>2297206</xdr:colOff>
      <xdr:row>7</xdr:row>
      <xdr:rowOff>134471</xdr:rowOff>
    </xdr:from>
    <xdr:to>
      <xdr:col>2</xdr:col>
      <xdr:colOff>3018975</xdr:colOff>
      <xdr:row>11</xdr:row>
      <xdr:rowOff>24503</xdr:rowOff>
    </xdr:to>
    <xdr:pic>
      <xdr:nvPicPr>
        <xdr:cNvPr id="10" name="Imagen 9" descr="http://t0.gstatic.com/images?q=tbn:ANd9GcSOcaZYp0sCkZBRwsB3QOGfBLQf9_qr6Tcm-TdXlorb0v3BiCQ6">
          <a:hlinkClick xmlns:r="http://schemas.openxmlformats.org/officeDocument/2006/relationships" r:id="rId9" tooltip="Incidencias"/>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521324" y="1232647"/>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3</xdr:col>
          <xdr:colOff>190500</xdr:colOff>
          <xdr:row>8</xdr:row>
          <xdr:rowOff>76200</xdr:rowOff>
        </xdr:from>
        <xdr:to>
          <xdr:col>3</xdr:col>
          <xdr:colOff>1257300</xdr:colOff>
          <xdr:row>10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5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Informe Leasing (base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457200</xdr:colOff>
          <xdr:row>8</xdr:row>
          <xdr:rowOff>38100</xdr:rowOff>
        </xdr:from>
        <xdr:to>
          <xdr:col>8</xdr:col>
          <xdr:colOff>236220</xdr:colOff>
          <xdr:row>10</xdr:row>
          <xdr:rowOff>83820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500-000002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Actualizar      (base datos)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219076</xdr:colOff>
      <xdr:row>1</xdr:row>
      <xdr:rowOff>28058</xdr:rowOff>
    </xdr:from>
    <xdr:to>
      <xdr:col>1</xdr:col>
      <xdr:colOff>572018</xdr:colOff>
      <xdr:row>3</xdr:row>
      <xdr:rowOff>0</xdr:rowOff>
    </xdr:to>
    <xdr:pic>
      <xdr:nvPicPr>
        <xdr:cNvPr id="3" name="2 Imagen">
          <a:hlinkClick xmlns:r="http://schemas.openxmlformats.org/officeDocument/2006/relationships" r:id="rId1" tooltip="MENU"/>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9076" y="218558"/>
          <a:ext cx="352942" cy="352942"/>
        </a:xfrm>
        <a:prstGeom prst="rect">
          <a:avLst/>
        </a:prstGeom>
      </xdr:spPr>
    </xdr:pic>
    <xdr:clientData fPrintsWithSheet="0"/>
  </xdr:twoCellAnchor>
  <xdr:twoCellAnchor editAs="absolute">
    <xdr:from>
      <xdr:col>1</xdr:col>
      <xdr:colOff>735387</xdr:colOff>
      <xdr:row>0</xdr:row>
      <xdr:rowOff>152221</xdr:rowOff>
    </xdr:from>
    <xdr:to>
      <xdr:col>2</xdr:col>
      <xdr:colOff>497666</xdr:colOff>
      <xdr:row>3</xdr:row>
      <xdr:rowOff>0</xdr:rowOff>
    </xdr:to>
    <xdr:pic>
      <xdr:nvPicPr>
        <xdr:cNvPr id="4" name="Imagen 3">
          <a:hlinkClick xmlns:r="http://schemas.openxmlformats.org/officeDocument/2006/relationships" r:id="rId3" tooltip="Pendientes"/>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54437" y="152221"/>
          <a:ext cx="444269" cy="419279"/>
        </a:xfrm>
        <a:prstGeom prst="rect">
          <a:avLst/>
        </a:prstGeom>
      </xdr:spPr>
    </xdr:pic>
    <xdr:clientData fLocksWithSheet="0" fPrintsWithSheet="0"/>
  </xdr:twoCellAnchor>
  <xdr:twoCellAnchor editAs="absolute">
    <xdr:from>
      <xdr:col>2</xdr:col>
      <xdr:colOff>684847</xdr:colOff>
      <xdr:row>0</xdr:row>
      <xdr:rowOff>0</xdr:rowOff>
    </xdr:from>
    <xdr:to>
      <xdr:col>4</xdr:col>
      <xdr:colOff>685968</xdr:colOff>
      <xdr:row>3</xdr:row>
      <xdr:rowOff>0</xdr:rowOff>
    </xdr:to>
    <xdr:pic macro="[0]!VOLVER.VOLVER">
      <xdr:nvPicPr>
        <xdr:cNvPr id="5" name="Imagen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81125" y="0"/>
          <a:ext cx="763121" cy="571500"/>
        </a:xfrm>
        <a:prstGeom prst="rect">
          <a:avLst/>
        </a:prstGeom>
      </xdr:spPr>
    </xdr:pic>
    <xdr:clientData fPrintsWithSheet="0"/>
  </xdr:twoCellAnchor>
  <xdr:twoCellAnchor editAs="absolute">
    <xdr:from>
      <xdr:col>19</xdr:col>
      <xdr:colOff>332422</xdr:colOff>
      <xdr:row>0</xdr:row>
      <xdr:rowOff>0</xdr:rowOff>
    </xdr:from>
    <xdr:to>
      <xdr:col>23</xdr:col>
      <xdr:colOff>154079</xdr:colOff>
      <xdr:row>2</xdr:row>
      <xdr:rowOff>150566</xdr:rowOff>
    </xdr:to>
    <xdr:pic>
      <xdr:nvPicPr>
        <xdr:cNvPr id="7" name="Imagen 6" descr="http://t0.gstatic.com/images?q=tbn:ANd9GcSOcaZYp0sCkZBRwsB3QOGfBLQf9_qr6Tcm-TdXlorb0v3BiCQ6">
          <a:hlinkClick xmlns:r="http://schemas.openxmlformats.org/officeDocument/2006/relationships" r:id="rId6" tooltip="Incidencias"/>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552700" y="0"/>
          <a:ext cx="588419" cy="531566"/>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24.xml><?xml version="1.0" encoding="utf-8"?>
<xdr:wsDr xmlns:xdr="http://schemas.openxmlformats.org/drawingml/2006/spreadsheetDrawing" xmlns:a="http://schemas.openxmlformats.org/drawingml/2006/main">
  <xdr:twoCellAnchor editAs="oneCell">
    <xdr:from>
      <xdr:col>2</xdr:col>
      <xdr:colOff>76735</xdr:colOff>
      <xdr:row>8</xdr:row>
      <xdr:rowOff>43931</xdr:rowOff>
    </xdr:from>
    <xdr:to>
      <xdr:col>2</xdr:col>
      <xdr:colOff>534452</xdr:colOff>
      <xdr:row>10</xdr:row>
      <xdr:rowOff>120648</xdr:rowOff>
    </xdr:to>
    <xdr:pic>
      <xdr:nvPicPr>
        <xdr:cNvPr id="5" name="4 Imagen">
          <a:hlinkClick xmlns:r="http://schemas.openxmlformats.org/officeDocument/2006/relationships" r:id="rId1" tooltip="MENU"/>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335" y="1339331"/>
          <a:ext cx="457717" cy="457717"/>
        </a:xfrm>
        <a:prstGeom prst="rect">
          <a:avLst/>
        </a:prstGeom>
      </xdr:spPr>
    </xdr:pic>
    <xdr:clientData fPrintsWithSheet="0"/>
  </xdr:twoCellAnchor>
  <xdr:twoCellAnchor>
    <xdr:from>
      <xdr:col>9</xdr:col>
      <xdr:colOff>124284</xdr:colOff>
      <xdr:row>1</xdr:row>
      <xdr:rowOff>64179</xdr:rowOff>
    </xdr:from>
    <xdr:to>
      <xdr:col>12</xdr:col>
      <xdr:colOff>1293770</xdr:colOff>
      <xdr:row>10</xdr:row>
      <xdr:rowOff>27200</xdr:rowOff>
    </xdr:to>
    <xdr:grpSp>
      <xdr:nvGrpSpPr>
        <xdr:cNvPr id="6" name="Grupo 5">
          <a:extLst>
            <a:ext uri="{FF2B5EF4-FFF2-40B4-BE49-F238E27FC236}">
              <a16:creationId xmlns:a16="http://schemas.microsoft.com/office/drawing/2014/main" id="{00000000-0008-0000-1700-000006000000}"/>
            </a:ext>
          </a:extLst>
        </xdr:cNvPr>
        <xdr:cNvGrpSpPr/>
      </xdr:nvGrpSpPr>
      <xdr:grpSpPr>
        <a:xfrm>
          <a:off x="11918139" y="250869"/>
          <a:ext cx="5349056" cy="1422251"/>
          <a:chOff x="6105525" y="133350"/>
          <a:chExt cx="5172074" cy="1447800"/>
        </a:xfrm>
      </xdr:grpSpPr>
      <xdr:pic>
        <xdr:nvPicPr>
          <xdr:cNvPr id="7" name="3 Imagen">
            <a:extLst>
              <a:ext uri="{FF2B5EF4-FFF2-40B4-BE49-F238E27FC236}">
                <a16:creationId xmlns:a16="http://schemas.microsoft.com/office/drawing/2014/main" id="{00000000-0008-0000-1700-000007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14527"/>
          <a:stretch/>
        </xdr:blipFill>
        <xdr:spPr>
          <a:xfrm>
            <a:off x="6105525" y="133350"/>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8" name="6 Imagen">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4" cstate="print"/>
          <a:srcRect/>
          <a:stretch>
            <a:fillRect/>
          </a:stretch>
        </xdr:blipFill>
        <xdr:spPr bwMode="auto">
          <a:xfrm>
            <a:off x="10039350" y="1190625"/>
            <a:ext cx="1116000" cy="2520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twoCellAnchor editAs="absolute">
    <xdr:from>
      <xdr:col>2</xdr:col>
      <xdr:colOff>734960</xdr:colOff>
      <xdr:row>7</xdr:row>
      <xdr:rowOff>158460</xdr:rowOff>
    </xdr:from>
    <xdr:to>
      <xdr:col>2</xdr:col>
      <xdr:colOff>1300457</xdr:colOff>
      <xdr:row>10</xdr:row>
      <xdr:rowOff>120648</xdr:rowOff>
    </xdr:to>
    <xdr:pic>
      <xdr:nvPicPr>
        <xdr:cNvPr id="9" name="Imagen 8">
          <a:hlinkClick xmlns:r="http://schemas.openxmlformats.org/officeDocument/2006/relationships" r:id="rId5" tooltip="Pendientes"/>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54085" y="1277648"/>
          <a:ext cx="565497" cy="533688"/>
        </a:xfrm>
        <a:prstGeom prst="rect">
          <a:avLst/>
        </a:prstGeom>
      </xdr:spPr>
    </xdr:pic>
    <xdr:clientData fLocksWithSheet="0" fPrintsWithSheet="0"/>
  </xdr:twoCellAnchor>
  <xdr:twoCellAnchor editAs="absolute">
    <xdr:from>
      <xdr:col>2</xdr:col>
      <xdr:colOff>1500965</xdr:colOff>
      <xdr:row>7</xdr:row>
      <xdr:rowOff>120648</xdr:rowOff>
    </xdr:from>
    <xdr:to>
      <xdr:col>2</xdr:col>
      <xdr:colOff>2264086</xdr:colOff>
      <xdr:row>10</xdr:row>
      <xdr:rowOff>120648</xdr:rowOff>
    </xdr:to>
    <xdr:pic macro="[0]!VOLVER.VOLVER">
      <xdr:nvPicPr>
        <xdr:cNvPr id="10" name="Imagen 9">
          <a:extLst>
            <a:ext uri="{FF2B5EF4-FFF2-40B4-BE49-F238E27FC236}">
              <a16:creationId xmlns:a16="http://schemas.microsoft.com/office/drawing/2014/main" id="{00000000-0008-0000-17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120090" y="1239836"/>
          <a:ext cx="763121" cy="571500"/>
        </a:xfrm>
        <a:prstGeom prst="rect">
          <a:avLst/>
        </a:prstGeom>
      </xdr:spPr>
    </xdr:pic>
    <xdr:clientData fPrintsWithSheet="0"/>
  </xdr:twoCellAnchor>
  <xdr:twoCellAnchor editAs="absolute">
    <xdr:from>
      <xdr:col>2</xdr:col>
      <xdr:colOff>2464594</xdr:colOff>
      <xdr:row>7</xdr:row>
      <xdr:rowOff>83344</xdr:rowOff>
    </xdr:from>
    <xdr:to>
      <xdr:col>3</xdr:col>
      <xdr:colOff>352675</xdr:colOff>
      <xdr:row>10</xdr:row>
      <xdr:rowOff>163876</xdr:rowOff>
    </xdr:to>
    <xdr:pic>
      <xdr:nvPicPr>
        <xdr:cNvPr id="12" name="Imagen 11" descr="http://t0.gstatic.com/images?q=tbn:ANd9GcSOcaZYp0sCkZBRwsB3QOGfBLQf9_qr6Tcm-TdXlorb0v3BiCQ6">
          <a:hlinkClick xmlns:r="http://schemas.openxmlformats.org/officeDocument/2006/relationships" r:id="rId8" tooltip="Incidencias"/>
          <a:extLst>
            <a:ext uri="{FF2B5EF4-FFF2-40B4-BE49-F238E27FC236}">
              <a16:creationId xmlns:a16="http://schemas.microsoft.com/office/drawing/2014/main" id="{00000000-0008-0000-1700-00000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3083719" y="1202532"/>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25.xml><?xml version="1.0" encoding="utf-8"?>
<xdr:wsDr xmlns:xdr="http://schemas.openxmlformats.org/drawingml/2006/spreadsheetDrawing" xmlns:a="http://schemas.openxmlformats.org/drawingml/2006/main">
  <xdr:twoCellAnchor editAs="oneCell">
    <xdr:from>
      <xdr:col>2</xdr:col>
      <xdr:colOff>76735</xdr:colOff>
      <xdr:row>8</xdr:row>
      <xdr:rowOff>48756</xdr:rowOff>
    </xdr:from>
    <xdr:to>
      <xdr:col>2</xdr:col>
      <xdr:colOff>534452</xdr:colOff>
      <xdr:row>10</xdr:row>
      <xdr:rowOff>125473</xdr:rowOff>
    </xdr:to>
    <xdr:pic>
      <xdr:nvPicPr>
        <xdr:cNvPr id="5" name="4 Imagen">
          <a:hlinkClick xmlns:r="http://schemas.openxmlformats.org/officeDocument/2006/relationships" r:id="rId1" tooltip="MENU"/>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4449" y="1355042"/>
          <a:ext cx="457717" cy="457717"/>
        </a:xfrm>
        <a:prstGeom prst="rect">
          <a:avLst/>
        </a:prstGeom>
      </xdr:spPr>
    </xdr:pic>
    <xdr:clientData fPrintsWithSheet="0"/>
  </xdr:twoCellAnchor>
  <xdr:twoCellAnchor>
    <xdr:from>
      <xdr:col>9</xdr:col>
      <xdr:colOff>843644</xdr:colOff>
      <xdr:row>0</xdr:row>
      <xdr:rowOff>168088</xdr:rowOff>
    </xdr:from>
    <xdr:to>
      <xdr:col>12</xdr:col>
      <xdr:colOff>994203</xdr:colOff>
      <xdr:row>9</xdr:row>
      <xdr:rowOff>131109</xdr:rowOff>
    </xdr:to>
    <xdr:grpSp>
      <xdr:nvGrpSpPr>
        <xdr:cNvPr id="7" name="Grupo 6">
          <a:extLst>
            <a:ext uri="{FF2B5EF4-FFF2-40B4-BE49-F238E27FC236}">
              <a16:creationId xmlns:a16="http://schemas.microsoft.com/office/drawing/2014/main" id="{00000000-0008-0000-1800-000007000000}"/>
            </a:ext>
          </a:extLst>
        </xdr:cNvPr>
        <xdr:cNvGrpSpPr/>
      </xdr:nvGrpSpPr>
      <xdr:grpSpPr>
        <a:xfrm>
          <a:off x="12265307" y="171898"/>
          <a:ext cx="4296638" cy="1437860"/>
          <a:chOff x="6105525" y="133350"/>
          <a:chExt cx="5172074" cy="1447800"/>
        </a:xfrm>
      </xdr:grpSpPr>
      <xdr:pic>
        <xdr:nvPicPr>
          <xdr:cNvPr id="8" name="3 Imagen">
            <a:extLst>
              <a:ext uri="{FF2B5EF4-FFF2-40B4-BE49-F238E27FC236}">
                <a16:creationId xmlns:a16="http://schemas.microsoft.com/office/drawing/2014/main" id="{00000000-0008-0000-1800-000008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14527"/>
          <a:stretch/>
        </xdr:blipFill>
        <xdr:spPr>
          <a:xfrm>
            <a:off x="6105525" y="133350"/>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9" name="6 Imagen">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4" cstate="print"/>
          <a:srcRect/>
          <a:stretch>
            <a:fillRect/>
          </a:stretch>
        </xdr:blipFill>
        <xdr:spPr bwMode="auto">
          <a:xfrm>
            <a:off x="10039350" y="1190625"/>
            <a:ext cx="1116000" cy="2520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twoCellAnchor editAs="absolute">
    <xdr:from>
      <xdr:col>2</xdr:col>
      <xdr:colOff>896156</xdr:colOff>
      <xdr:row>7</xdr:row>
      <xdr:rowOff>163285</xdr:rowOff>
    </xdr:from>
    <xdr:to>
      <xdr:col>2</xdr:col>
      <xdr:colOff>1461653</xdr:colOff>
      <xdr:row>10</xdr:row>
      <xdr:rowOff>125473</xdr:rowOff>
    </xdr:to>
    <xdr:pic>
      <xdr:nvPicPr>
        <xdr:cNvPr id="10" name="Imagen 9">
          <a:hlinkClick xmlns:r="http://schemas.openxmlformats.org/officeDocument/2006/relationships" r:id="rId5" tooltip="Pendientes"/>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13870" y="1279071"/>
          <a:ext cx="565497" cy="533688"/>
        </a:xfrm>
        <a:prstGeom prst="rect">
          <a:avLst/>
        </a:prstGeom>
      </xdr:spPr>
    </xdr:pic>
    <xdr:clientData fLocksWithSheet="0" fPrintsWithSheet="0"/>
  </xdr:twoCellAnchor>
  <xdr:twoCellAnchor editAs="absolute">
    <xdr:from>
      <xdr:col>2</xdr:col>
      <xdr:colOff>1823357</xdr:colOff>
      <xdr:row>7</xdr:row>
      <xdr:rowOff>125473</xdr:rowOff>
    </xdr:from>
    <xdr:to>
      <xdr:col>2</xdr:col>
      <xdr:colOff>2586478</xdr:colOff>
      <xdr:row>10</xdr:row>
      <xdr:rowOff>125473</xdr:rowOff>
    </xdr:to>
    <xdr:pic macro="[0]!VOLVER.VOLVER">
      <xdr:nvPicPr>
        <xdr:cNvPr id="11" name="Imagen 10">
          <a:extLst>
            <a:ext uri="{FF2B5EF4-FFF2-40B4-BE49-F238E27FC236}">
              <a16:creationId xmlns:a16="http://schemas.microsoft.com/office/drawing/2014/main" id="{00000000-0008-0000-1800-00000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041071" y="1241259"/>
          <a:ext cx="763121" cy="571500"/>
        </a:xfrm>
        <a:prstGeom prst="rect">
          <a:avLst/>
        </a:prstGeom>
      </xdr:spPr>
    </xdr:pic>
    <xdr:clientData fPrintsWithSheet="0"/>
  </xdr:twoCellAnchor>
  <xdr:twoCellAnchor editAs="absolute">
    <xdr:from>
      <xdr:col>3</xdr:col>
      <xdr:colOff>273844</xdr:colOff>
      <xdr:row>7</xdr:row>
      <xdr:rowOff>59531</xdr:rowOff>
    </xdr:from>
    <xdr:to>
      <xdr:col>3</xdr:col>
      <xdr:colOff>995613</xdr:colOff>
      <xdr:row>10</xdr:row>
      <xdr:rowOff>140063</xdr:rowOff>
    </xdr:to>
    <xdr:pic>
      <xdr:nvPicPr>
        <xdr:cNvPr id="13" name="Imagen 12" descr="http://t0.gstatic.com/images?q=tbn:ANd9GcSOcaZYp0sCkZBRwsB3QOGfBLQf9_qr6Tcm-TdXlorb0v3BiCQ6">
          <a:hlinkClick xmlns:r="http://schemas.openxmlformats.org/officeDocument/2006/relationships" r:id="rId8" tooltip="Incidencias"/>
          <a:extLst>
            <a:ext uri="{FF2B5EF4-FFF2-40B4-BE49-F238E27FC236}">
              <a16:creationId xmlns:a16="http://schemas.microsoft.com/office/drawing/2014/main" id="{00000000-0008-0000-1800-00000D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3345657" y="1178719"/>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5</xdr:col>
          <xdr:colOff>114300</xdr:colOff>
          <xdr:row>8</xdr:row>
          <xdr:rowOff>114300</xdr:rowOff>
        </xdr:from>
        <xdr:to>
          <xdr:col>5</xdr:col>
          <xdr:colOff>1333500</xdr:colOff>
          <xdr:row>10</xdr:row>
          <xdr:rowOff>7620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1800-000001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2</xdr:col>
      <xdr:colOff>76736</xdr:colOff>
      <xdr:row>8</xdr:row>
      <xdr:rowOff>1102</xdr:rowOff>
    </xdr:from>
    <xdr:to>
      <xdr:col>2</xdr:col>
      <xdr:colOff>76736</xdr:colOff>
      <xdr:row>10</xdr:row>
      <xdr:rowOff>10084</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336" y="1325077"/>
          <a:ext cx="381250" cy="389982"/>
        </a:xfrm>
        <a:prstGeom prst="rect">
          <a:avLst/>
        </a:prstGeom>
      </xdr:spPr>
    </xdr:pic>
    <xdr:clientData fPrintsWithSheet="0"/>
  </xdr:twoCellAnchor>
  <xdr:twoCellAnchor editAs="oneCell">
    <xdr:from>
      <xdr:col>2</xdr:col>
      <xdr:colOff>133350</xdr:colOff>
      <xdr:row>7</xdr:row>
      <xdr:rowOff>85725</xdr:rowOff>
    </xdr:from>
    <xdr:to>
      <xdr:col>2</xdr:col>
      <xdr:colOff>514600</xdr:colOff>
      <xdr:row>10</xdr:row>
      <xdr:rowOff>26061</xdr:rowOff>
    </xdr:to>
    <xdr:pic>
      <xdr:nvPicPr>
        <xdr:cNvPr id="3" name="1 Imagen">
          <a:hlinkClick xmlns:r="http://schemas.openxmlformats.org/officeDocument/2006/relationships" r:id="rId1" tooltip="MENU"/>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0" y="1219200"/>
          <a:ext cx="381250" cy="388011"/>
        </a:xfrm>
        <a:prstGeom prst="rect">
          <a:avLst/>
        </a:prstGeom>
      </xdr:spPr>
    </xdr:pic>
    <xdr:clientData fPrintsWithSheet="0"/>
  </xdr:twoCellAnchor>
  <xdr:twoCellAnchor editAs="absolute">
    <xdr:from>
      <xdr:col>2</xdr:col>
      <xdr:colOff>704850</xdr:colOff>
      <xdr:row>7</xdr:row>
      <xdr:rowOff>28575</xdr:rowOff>
    </xdr:from>
    <xdr:to>
      <xdr:col>3</xdr:col>
      <xdr:colOff>273968</xdr:colOff>
      <xdr:row>11</xdr:row>
      <xdr:rowOff>26604</xdr:rowOff>
    </xdr:to>
    <xdr:pic macro="[0]!VOLVER.VOLVER">
      <xdr:nvPicPr>
        <xdr:cNvPr id="4" name="Imagen 3">
          <a:extLst>
            <a:ext uri="{FF2B5EF4-FFF2-40B4-BE49-F238E27FC236}">
              <a16:creationId xmlns:a16="http://schemas.microsoft.com/office/drawing/2014/main" id="{00000000-0008-0000-1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33450" y="1162050"/>
          <a:ext cx="616868" cy="512379"/>
        </a:xfrm>
        <a:prstGeom prst="rect">
          <a:avLst/>
        </a:prstGeom>
      </xdr:spPr>
    </xdr:pic>
    <xdr:clientData fPrintsWithSheet="0"/>
  </xdr:twoCellAnchor>
</xdr:wsDr>
</file>

<file path=xl/drawings/drawing27.xml><?xml version="1.0" encoding="utf-8"?>
<xdr:wsDr xmlns:xdr="http://schemas.openxmlformats.org/drawingml/2006/spreadsheetDrawing" xmlns:a="http://schemas.openxmlformats.org/drawingml/2006/main">
  <xdr:twoCellAnchor editAs="oneCell">
    <xdr:from>
      <xdr:col>2</xdr:col>
      <xdr:colOff>76735</xdr:colOff>
      <xdr:row>8</xdr:row>
      <xdr:rowOff>113783</xdr:rowOff>
    </xdr:from>
    <xdr:to>
      <xdr:col>2</xdr:col>
      <xdr:colOff>534452</xdr:colOff>
      <xdr:row>11</xdr:row>
      <xdr:rowOff>0</xdr:rowOff>
    </xdr:to>
    <xdr:pic>
      <xdr:nvPicPr>
        <xdr:cNvPr id="5" name="4 Imagen">
          <a:hlinkClick xmlns:r="http://schemas.openxmlformats.org/officeDocument/2006/relationships" r:id="rId1" tooltip="MENU"/>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0853" y="1402459"/>
          <a:ext cx="457717" cy="457717"/>
        </a:xfrm>
        <a:prstGeom prst="rect">
          <a:avLst/>
        </a:prstGeom>
      </xdr:spPr>
    </xdr:pic>
    <xdr:clientData fPrintsWithSheet="0"/>
  </xdr:twoCellAnchor>
  <xdr:twoCellAnchor>
    <xdr:from>
      <xdr:col>6</xdr:col>
      <xdr:colOff>649941</xdr:colOff>
      <xdr:row>0</xdr:row>
      <xdr:rowOff>156882</xdr:rowOff>
    </xdr:from>
    <xdr:to>
      <xdr:col>9</xdr:col>
      <xdr:colOff>1266265</xdr:colOff>
      <xdr:row>9</xdr:row>
      <xdr:rowOff>119903</xdr:rowOff>
    </xdr:to>
    <xdr:grpSp>
      <xdr:nvGrpSpPr>
        <xdr:cNvPr id="6" name="Grupo 5">
          <a:extLst>
            <a:ext uri="{FF2B5EF4-FFF2-40B4-BE49-F238E27FC236}">
              <a16:creationId xmlns:a16="http://schemas.microsoft.com/office/drawing/2014/main" id="{00000000-0008-0000-1A00-000006000000}"/>
            </a:ext>
          </a:extLst>
        </xdr:cNvPr>
        <xdr:cNvGrpSpPr/>
      </xdr:nvGrpSpPr>
      <xdr:grpSpPr>
        <a:xfrm>
          <a:off x="9147898" y="158787"/>
          <a:ext cx="5389011" cy="1429043"/>
          <a:chOff x="6105525" y="133350"/>
          <a:chExt cx="5172074" cy="1447800"/>
        </a:xfrm>
      </xdr:grpSpPr>
      <xdr:pic>
        <xdr:nvPicPr>
          <xdr:cNvPr id="7" name="3 Imagen">
            <a:extLst>
              <a:ext uri="{FF2B5EF4-FFF2-40B4-BE49-F238E27FC236}">
                <a16:creationId xmlns:a16="http://schemas.microsoft.com/office/drawing/2014/main" id="{00000000-0008-0000-1A00-000007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14527"/>
          <a:stretch/>
        </xdr:blipFill>
        <xdr:spPr>
          <a:xfrm>
            <a:off x="6105525" y="133350"/>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8" name="6 Imagen">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4" cstate="print"/>
          <a:srcRect/>
          <a:stretch>
            <a:fillRect/>
          </a:stretch>
        </xdr:blipFill>
        <xdr:spPr bwMode="auto">
          <a:xfrm>
            <a:off x="10039350" y="1190625"/>
            <a:ext cx="1116000" cy="2520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twoCellAnchor editAs="absolute">
    <xdr:from>
      <xdr:col>2</xdr:col>
      <xdr:colOff>836125</xdr:colOff>
      <xdr:row>8</xdr:row>
      <xdr:rowOff>37812</xdr:rowOff>
    </xdr:from>
    <xdr:to>
      <xdr:col>2</xdr:col>
      <xdr:colOff>1401622</xdr:colOff>
      <xdr:row>11</xdr:row>
      <xdr:rowOff>0</xdr:rowOff>
    </xdr:to>
    <xdr:pic>
      <xdr:nvPicPr>
        <xdr:cNvPr id="9" name="Imagen 8">
          <a:hlinkClick xmlns:r="http://schemas.openxmlformats.org/officeDocument/2006/relationships" r:id="rId5" tooltip="Pendientes"/>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60243" y="1326488"/>
          <a:ext cx="565497" cy="533688"/>
        </a:xfrm>
        <a:prstGeom prst="rect">
          <a:avLst/>
        </a:prstGeom>
      </xdr:spPr>
    </xdr:pic>
    <xdr:clientData fLocksWithSheet="0" fPrintsWithSheet="0"/>
  </xdr:twoCellAnchor>
  <xdr:twoCellAnchor editAs="absolute">
    <xdr:from>
      <xdr:col>2</xdr:col>
      <xdr:colOff>1703295</xdr:colOff>
      <xdr:row>8</xdr:row>
      <xdr:rowOff>0</xdr:rowOff>
    </xdr:from>
    <xdr:to>
      <xdr:col>2</xdr:col>
      <xdr:colOff>2466416</xdr:colOff>
      <xdr:row>11</xdr:row>
      <xdr:rowOff>0</xdr:rowOff>
    </xdr:to>
    <xdr:pic macro="[0]!VOLVER.VOLVER">
      <xdr:nvPicPr>
        <xdr:cNvPr id="10" name="Imagen 9">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927413" y="1288676"/>
          <a:ext cx="763121" cy="571500"/>
        </a:xfrm>
        <a:prstGeom prst="rect">
          <a:avLst/>
        </a:prstGeom>
      </xdr:spPr>
    </xdr:pic>
    <xdr:clientData fPrintsWithSheet="0"/>
  </xdr:twoCellAnchor>
  <xdr:twoCellAnchor editAs="absolute">
    <xdr:from>
      <xdr:col>5</xdr:col>
      <xdr:colOff>603250</xdr:colOff>
      <xdr:row>7</xdr:row>
      <xdr:rowOff>179917</xdr:rowOff>
    </xdr:from>
    <xdr:to>
      <xdr:col>5</xdr:col>
      <xdr:colOff>1325019</xdr:colOff>
      <xdr:row>11</xdr:row>
      <xdr:rowOff>69949</xdr:rowOff>
    </xdr:to>
    <xdr:pic>
      <xdr:nvPicPr>
        <xdr:cNvPr id="12" name="Imagen 11" descr="http://t0.gstatic.com/images?q=tbn:ANd9GcSOcaZYp0sCkZBRwsB3QOGfBLQf9_qr6Tcm-TdXlorb0v3BiCQ6">
          <a:hlinkClick xmlns:r="http://schemas.openxmlformats.org/officeDocument/2006/relationships" r:id="rId8" tooltip="Incidencias"/>
          <a:extLst>
            <a:ext uri="{FF2B5EF4-FFF2-40B4-BE49-F238E27FC236}">
              <a16:creationId xmlns:a16="http://schemas.microsoft.com/office/drawing/2014/main" id="{00000000-0008-0000-1A00-00000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006167" y="1280584"/>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4</xdr:col>
          <xdr:colOff>419100</xdr:colOff>
          <xdr:row>8</xdr:row>
          <xdr:rowOff>114300</xdr:rowOff>
        </xdr:from>
        <xdr:to>
          <xdr:col>5</xdr:col>
          <xdr:colOff>38100</xdr:colOff>
          <xdr:row>10</xdr:row>
          <xdr:rowOff>38100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A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2</xdr:col>
      <xdr:colOff>76735</xdr:colOff>
      <xdr:row>8</xdr:row>
      <xdr:rowOff>68960</xdr:rowOff>
    </xdr:from>
    <xdr:to>
      <xdr:col>2</xdr:col>
      <xdr:colOff>534452</xdr:colOff>
      <xdr:row>10</xdr:row>
      <xdr:rowOff>145677</xdr:rowOff>
    </xdr:to>
    <xdr:pic>
      <xdr:nvPicPr>
        <xdr:cNvPr id="5" name="4 Imagen">
          <a:hlinkClick xmlns:r="http://schemas.openxmlformats.org/officeDocument/2006/relationships" r:id="rId1" tooltip="MENU"/>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0853" y="1357636"/>
          <a:ext cx="457717" cy="457717"/>
        </a:xfrm>
        <a:prstGeom prst="rect">
          <a:avLst/>
        </a:prstGeom>
      </xdr:spPr>
    </xdr:pic>
    <xdr:clientData fPrintsWithSheet="0"/>
  </xdr:twoCellAnchor>
  <xdr:twoCellAnchor>
    <xdr:from>
      <xdr:col>6</xdr:col>
      <xdr:colOff>627529</xdr:colOff>
      <xdr:row>0</xdr:row>
      <xdr:rowOff>168089</xdr:rowOff>
    </xdr:from>
    <xdr:to>
      <xdr:col>9</xdr:col>
      <xdr:colOff>1243853</xdr:colOff>
      <xdr:row>9</xdr:row>
      <xdr:rowOff>131110</xdr:rowOff>
    </xdr:to>
    <xdr:grpSp>
      <xdr:nvGrpSpPr>
        <xdr:cNvPr id="6" name="Grupo 5">
          <a:extLst>
            <a:ext uri="{FF2B5EF4-FFF2-40B4-BE49-F238E27FC236}">
              <a16:creationId xmlns:a16="http://schemas.microsoft.com/office/drawing/2014/main" id="{00000000-0008-0000-1B00-000006000000}"/>
            </a:ext>
          </a:extLst>
        </xdr:cNvPr>
        <xdr:cNvGrpSpPr/>
      </xdr:nvGrpSpPr>
      <xdr:grpSpPr>
        <a:xfrm>
          <a:off x="9125398" y="171899"/>
          <a:ext cx="5359998" cy="1408580"/>
          <a:chOff x="6105525" y="133350"/>
          <a:chExt cx="5172074" cy="1447800"/>
        </a:xfrm>
      </xdr:grpSpPr>
      <xdr:pic>
        <xdr:nvPicPr>
          <xdr:cNvPr id="7" name="3 Imagen">
            <a:extLst>
              <a:ext uri="{FF2B5EF4-FFF2-40B4-BE49-F238E27FC236}">
                <a16:creationId xmlns:a16="http://schemas.microsoft.com/office/drawing/2014/main" id="{00000000-0008-0000-1B00-000007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14527"/>
          <a:stretch/>
        </xdr:blipFill>
        <xdr:spPr>
          <a:xfrm>
            <a:off x="6105525" y="133350"/>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8" name="6 Imagen">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4" cstate="print"/>
          <a:srcRect/>
          <a:stretch>
            <a:fillRect/>
          </a:stretch>
        </xdr:blipFill>
        <xdr:spPr bwMode="auto">
          <a:xfrm>
            <a:off x="10039350" y="1190625"/>
            <a:ext cx="1116000" cy="2520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twoCellAnchor editAs="absolute">
    <xdr:from>
      <xdr:col>2</xdr:col>
      <xdr:colOff>813712</xdr:colOff>
      <xdr:row>7</xdr:row>
      <xdr:rowOff>183489</xdr:rowOff>
    </xdr:from>
    <xdr:to>
      <xdr:col>2</xdr:col>
      <xdr:colOff>1379209</xdr:colOff>
      <xdr:row>10</xdr:row>
      <xdr:rowOff>145677</xdr:rowOff>
    </xdr:to>
    <xdr:pic>
      <xdr:nvPicPr>
        <xdr:cNvPr id="9" name="Imagen 8">
          <a:hlinkClick xmlns:r="http://schemas.openxmlformats.org/officeDocument/2006/relationships" r:id="rId5" tooltip="Pendientes"/>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37830" y="1281665"/>
          <a:ext cx="565497" cy="533688"/>
        </a:xfrm>
        <a:prstGeom prst="rect">
          <a:avLst/>
        </a:prstGeom>
      </xdr:spPr>
    </xdr:pic>
    <xdr:clientData fLocksWithSheet="0" fPrintsWithSheet="0"/>
  </xdr:twoCellAnchor>
  <xdr:twoCellAnchor editAs="absolute">
    <xdr:from>
      <xdr:col>2</xdr:col>
      <xdr:colOff>1658470</xdr:colOff>
      <xdr:row>7</xdr:row>
      <xdr:rowOff>145677</xdr:rowOff>
    </xdr:from>
    <xdr:to>
      <xdr:col>2</xdr:col>
      <xdr:colOff>2421591</xdr:colOff>
      <xdr:row>10</xdr:row>
      <xdr:rowOff>145677</xdr:rowOff>
    </xdr:to>
    <xdr:pic macro="[0]!VOLVER.VOLVER">
      <xdr:nvPicPr>
        <xdr:cNvPr id="10" name="Imagen 9">
          <a:extLst>
            <a:ext uri="{FF2B5EF4-FFF2-40B4-BE49-F238E27FC236}">
              <a16:creationId xmlns:a16="http://schemas.microsoft.com/office/drawing/2014/main" id="{00000000-0008-0000-1B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882588" y="1243853"/>
          <a:ext cx="763121" cy="571500"/>
        </a:xfrm>
        <a:prstGeom prst="rect">
          <a:avLst/>
        </a:prstGeom>
      </xdr:spPr>
    </xdr:pic>
    <xdr:clientData fPrintsWithSheet="0"/>
  </xdr:twoCellAnchor>
  <xdr:twoCellAnchor editAs="absolute">
    <xdr:from>
      <xdr:col>5</xdr:col>
      <xdr:colOff>683558</xdr:colOff>
      <xdr:row>8</xdr:row>
      <xdr:rowOff>0</xdr:rowOff>
    </xdr:from>
    <xdr:to>
      <xdr:col>5</xdr:col>
      <xdr:colOff>1405327</xdr:colOff>
      <xdr:row>12</xdr:row>
      <xdr:rowOff>2090</xdr:rowOff>
    </xdr:to>
    <xdr:pic>
      <xdr:nvPicPr>
        <xdr:cNvPr id="12" name="Imagen 11" descr="http://t0.gstatic.com/images?q=tbn:ANd9GcSOcaZYp0sCkZBRwsB3QOGfBLQf9_qr6Tcm-TdXlorb0v3BiCQ6">
          <a:hlinkClick xmlns:r="http://schemas.openxmlformats.org/officeDocument/2006/relationships" r:id="rId8" tooltip="Incidencias"/>
          <a:extLst>
            <a:ext uri="{FF2B5EF4-FFF2-40B4-BE49-F238E27FC236}">
              <a16:creationId xmlns:a16="http://schemas.microsoft.com/office/drawing/2014/main" id="{00000000-0008-0000-1B00-00000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082117" y="1288676"/>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4</xdr:col>
          <xdr:colOff>342900</xdr:colOff>
          <xdr:row>8</xdr:row>
          <xdr:rowOff>152400</xdr:rowOff>
        </xdr:from>
        <xdr:to>
          <xdr:col>4</xdr:col>
          <xdr:colOff>1600200</xdr:colOff>
          <xdr:row>10</xdr:row>
          <xdr:rowOff>76200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B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6</xdr:col>
      <xdr:colOff>246529</xdr:colOff>
      <xdr:row>0</xdr:row>
      <xdr:rowOff>156882</xdr:rowOff>
    </xdr:from>
    <xdr:to>
      <xdr:col>8</xdr:col>
      <xdr:colOff>1736911</xdr:colOff>
      <xdr:row>9</xdr:row>
      <xdr:rowOff>119903</xdr:rowOff>
    </xdr:to>
    <xdr:grpSp>
      <xdr:nvGrpSpPr>
        <xdr:cNvPr id="2" name="Grupo 1">
          <a:extLst>
            <a:ext uri="{FF2B5EF4-FFF2-40B4-BE49-F238E27FC236}">
              <a16:creationId xmlns:a16="http://schemas.microsoft.com/office/drawing/2014/main" id="{00000000-0008-0000-1C00-000002000000}"/>
            </a:ext>
          </a:extLst>
        </xdr:cNvPr>
        <xdr:cNvGrpSpPr/>
      </xdr:nvGrpSpPr>
      <xdr:grpSpPr>
        <a:xfrm>
          <a:off x="9685692" y="158787"/>
          <a:ext cx="5382409" cy="1408580"/>
          <a:chOff x="6105525" y="133350"/>
          <a:chExt cx="5172074" cy="1447800"/>
        </a:xfrm>
      </xdr:grpSpPr>
      <xdr:pic>
        <xdr:nvPicPr>
          <xdr:cNvPr id="3" name="3 Imagen">
            <a:extLst>
              <a:ext uri="{FF2B5EF4-FFF2-40B4-BE49-F238E27FC236}">
                <a16:creationId xmlns:a16="http://schemas.microsoft.com/office/drawing/2014/main" id="{00000000-0008-0000-1C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14527"/>
          <a:stretch/>
        </xdr:blipFill>
        <xdr:spPr>
          <a:xfrm>
            <a:off x="6105525" y="133350"/>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4" name="6 Imagen">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2" cstate="print"/>
          <a:srcRect/>
          <a:stretch>
            <a:fillRect/>
          </a:stretch>
        </xdr:blipFill>
        <xdr:spPr bwMode="auto">
          <a:xfrm>
            <a:off x="10039350" y="1190625"/>
            <a:ext cx="1116000" cy="2520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wsDr>
</file>

<file path=xl/drawings/drawing30.xml><?xml version="1.0" encoding="utf-8"?>
<xdr:wsDr xmlns:xdr="http://schemas.openxmlformats.org/drawingml/2006/spreadsheetDrawing" xmlns:a="http://schemas.openxmlformats.org/drawingml/2006/main">
  <xdr:twoCellAnchor editAs="oneCell">
    <xdr:from>
      <xdr:col>2</xdr:col>
      <xdr:colOff>76735</xdr:colOff>
      <xdr:row>8</xdr:row>
      <xdr:rowOff>80166</xdr:rowOff>
    </xdr:from>
    <xdr:to>
      <xdr:col>2</xdr:col>
      <xdr:colOff>534452</xdr:colOff>
      <xdr:row>10</xdr:row>
      <xdr:rowOff>156883</xdr:rowOff>
    </xdr:to>
    <xdr:pic>
      <xdr:nvPicPr>
        <xdr:cNvPr id="5" name="4 Imagen">
          <a:hlinkClick xmlns:r="http://schemas.openxmlformats.org/officeDocument/2006/relationships" r:id="rId1" tooltip="MENU"/>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0853" y="1368842"/>
          <a:ext cx="457717" cy="457717"/>
        </a:xfrm>
        <a:prstGeom prst="rect">
          <a:avLst/>
        </a:prstGeom>
      </xdr:spPr>
    </xdr:pic>
    <xdr:clientData fPrintsWithSheet="0"/>
  </xdr:twoCellAnchor>
  <xdr:twoCellAnchor>
    <xdr:from>
      <xdr:col>6</xdr:col>
      <xdr:colOff>246529</xdr:colOff>
      <xdr:row>0</xdr:row>
      <xdr:rowOff>156882</xdr:rowOff>
    </xdr:from>
    <xdr:to>
      <xdr:col>8</xdr:col>
      <xdr:colOff>1736911</xdr:colOff>
      <xdr:row>9</xdr:row>
      <xdr:rowOff>119903</xdr:rowOff>
    </xdr:to>
    <xdr:grpSp>
      <xdr:nvGrpSpPr>
        <xdr:cNvPr id="10" name="Grupo 9">
          <a:extLst>
            <a:ext uri="{FF2B5EF4-FFF2-40B4-BE49-F238E27FC236}">
              <a16:creationId xmlns:a16="http://schemas.microsoft.com/office/drawing/2014/main" id="{00000000-0008-0000-1D00-00000A000000}"/>
            </a:ext>
          </a:extLst>
        </xdr:cNvPr>
        <xdr:cNvGrpSpPr/>
      </xdr:nvGrpSpPr>
      <xdr:grpSpPr>
        <a:xfrm>
          <a:off x="9383133" y="158787"/>
          <a:ext cx="5382409" cy="1408580"/>
          <a:chOff x="6105525" y="133350"/>
          <a:chExt cx="5172074" cy="1447800"/>
        </a:xfrm>
      </xdr:grpSpPr>
      <xdr:pic>
        <xdr:nvPicPr>
          <xdr:cNvPr id="11" name="3 Imagen">
            <a:extLst>
              <a:ext uri="{FF2B5EF4-FFF2-40B4-BE49-F238E27FC236}">
                <a16:creationId xmlns:a16="http://schemas.microsoft.com/office/drawing/2014/main" id="{00000000-0008-0000-1D00-00000B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14527"/>
          <a:stretch/>
        </xdr:blipFill>
        <xdr:spPr>
          <a:xfrm>
            <a:off x="6105525" y="133350"/>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12" name="6 Imagen">
            <a:extLst>
              <a:ext uri="{FF2B5EF4-FFF2-40B4-BE49-F238E27FC236}">
                <a16:creationId xmlns:a16="http://schemas.microsoft.com/office/drawing/2014/main" id="{00000000-0008-0000-1D00-00000C000000}"/>
              </a:ext>
            </a:extLst>
          </xdr:cNvPr>
          <xdr:cNvPicPr/>
        </xdr:nvPicPr>
        <xdr:blipFill>
          <a:blip xmlns:r="http://schemas.openxmlformats.org/officeDocument/2006/relationships" r:embed="rId4" cstate="print"/>
          <a:srcRect/>
          <a:stretch>
            <a:fillRect/>
          </a:stretch>
        </xdr:blipFill>
        <xdr:spPr bwMode="auto">
          <a:xfrm>
            <a:off x="10039350" y="1190625"/>
            <a:ext cx="1116000" cy="2520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twoCellAnchor editAs="absolute">
    <xdr:from>
      <xdr:col>2</xdr:col>
      <xdr:colOff>892154</xdr:colOff>
      <xdr:row>8</xdr:row>
      <xdr:rowOff>4195</xdr:rowOff>
    </xdr:from>
    <xdr:to>
      <xdr:col>2</xdr:col>
      <xdr:colOff>1457651</xdr:colOff>
      <xdr:row>10</xdr:row>
      <xdr:rowOff>156883</xdr:rowOff>
    </xdr:to>
    <xdr:pic>
      <xdr:nvPicPr>
        <xdr:cNvPr id="7" name="Imagen 6">
          <a:hlinkClick xmlns:r="http://schemas.openxmlformats.org/officeDocument/2006/relationships" r:id="rId5" tooltip="Pendientes"/>
          <a:extLst>
            <a:ext uri="{FF2B5EF4-FFF2-40B4-BE49-F238E27FC236}">
              <a16:creationId xmlns:a16="http://schemas.microsoft.com/office/drawing/2014/main" id="{00000000-0008-0000-1D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16272" y="1292871"/>
          <a:ext cx="565497" cy="533688"/>
        </a:xfrm>
        <a:prstGeom prst="rect">
          <a:avLst/>
        </a:prstGeom>
      </xdr:spPr>
    </xdr:pic>
    <xdr:clientData fLocksWithSheet="0" fPrintsWithSheet="0"/>
  </xdr:twoCellAnchor>
  <xdr:twoCellAnchor editAs="absolute">
    <xdr:from>
      <xdr:col>2</xdr:col>
      <xdr:colOff>1815353</xdr:colOff>
      <xdr:row>7</xdr:row>
      <xdr:rowOff>156883</xdr:rowOff>
    </xdr:from>
    <xdr:to>
      <xdr:col>2</xdr:col>
      <xdr:colOff>2578474</xdr:colOff>
      <xdr:row>10</xdr:row>
      <xdr:rowOff>156883</xdr:rowOff>
    </xdr:to>
    <xdr:pic macro="[0]!VOLVER.VOLVER">
      <xdr:nvPicPr>
        <xdr:cNvPr id="8" name="Imagen 7">
          <a:extLst>
            <a:ext uri="{FF2B5EF4-FFF2-40B4-BE49-F238E27FC236}">
              <a16:creationId xmlns:a16="http://schemas.microsoft.com/office/drawing/2014/main" id="{00000000-0008-0000-1D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039471" y="1255059"/>
          <a:ext cx="763121" cy="571500"/>
        </a:xfrm>
        <a:prstGeom prst="rect">
          <a:avLst/>
        </a:prstGeom>
      </xdr:spPr>
    </xdr:pic>
    <xdr:clientData fPrintsWithSheet="0"/>
  </xdr:twoCellAnchor>
  <xdr:twoCellAnchor editAs="absolute">
    <xdr:from>
      <xdr:col>5</xdr:col>
      <xdr:colOff>728382</xdr:colOff>
      <xdr:row>8</xdr:row>
      <xdr:rowOff>22412</xdr:rowOff>
    </xdr:from>
    <xdr:to>
      <xdr:col>5</xdr:col>
      <xdr:colOff>1450151</xdr:colOff>
      <xdr:row>12</xdr:row>
      <xdr:rowOff>24502</xdr:rowOff>
    </xdr:to>
    <xdr:pic>
      <xdr:nvPicPr>
        <xdr:cNvPr id="13" name="Imagen 12" descr="http://t0.gstatic.com/images?q=tbn:ANd9GcSOcaZYp0sCkZBRwsB3QOGfBLQf9_qr6Tcm-TdXlorb0v3BiCQ6">
          <a:hlinkClick xmlns:r="http://schemas.openxmlformats.org/officeDocument/2006/relationships" r:id="rId8" tooltip="Incidencias"/>
          <a:extLst>
            <a:ext uri="{FF2B5EF4-FFF2-40B4-BE49-F238E27FC236}">
              <a16:creationId xmlns:a16="http://schemas.microsoft.com/office/drawing/2014/main" id="{00000000-0008-0000-1D00-00000D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698441" y="1311088"/>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4</xdr:col>
          <xdr:colOff>236220</xdr:colOff>
          <xdr:row>8</xdr:row>
          <xdr:rowOff>114300</xdr:rowOff>
        </xdr:from>
        <xdr:to>
          <xdr:col>4</xdr:col>
          <xdr:colOff>1676400</xdr:colOff>
          <xdr:row>10</xdr:row>
          <xdr:rowOff>38100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D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2</xdr:col>
      <xdr:colOff>76735</xdr:colOff>
      <xdr:row>7</xdr:row>
      <xdr:rowOff>101155</xdr:rowOff>
    </xdr:from>
    <xdr:to>
      <xdr:col>2</xdr:col>
      <xdr:colOff>534452</xdr:colOff>
      <xdr:row>11</xdr:row>
      <xdr:rowOff>59191</xdr:rowOff>
    </xdr:to>
    <xdr:pic>
      <xdr:nvPicPr>
        <xdr:cNvPr id="5" name="4 Imagen">
          <a:hlinkClick xmlns:r="http://schemas.openxmlformats.org/officeDocument/2006/relationships" r:id="rId1" tooltip="MENU"/>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4449" y="1216941"/>
          <a:ext cx="457717" cy="470345"/>
        </a:xfrm>
        <a:prstGeom prst="rect">
          <a:avLst/>
        </a:prstGeom>
      </xdr:spPr>
    </xdr:pic>
    <xdr:clientData fPrintsWithSheet="0"/>
  </xdr:twoCellAnchor>
  <xdr:twoCellAnchor editAs="oneCell">
    <xdr:from>
      <xdr:col>2</xdr:col>
      <xdr:colOff>788378</xdr:colOff>
      <xdr:row>8</xdr:row>
      <xdr:rowOff>10408</xdr:rowOff>
    </xdr:from>
    <xdr:to>
      <xdr:col>2</xdr:col>
      <xdr:colOff>1295680</xdr:colOff>
      <xdr:row>11</xdr:row>
      <xdr:rowOff>59191</xdr:rowOff>
    </xdr:to>
    <xdr:pic>
      <xdr:nvPicPr>
        <xdr:cNvPr id="3" name="2 Imagen" descr="Logotipo de la Agencia Tributaria">
          <a:hlinkClick xmlns:r="http://schemas.openxmlformats.org/officeDocument/2006/relationships" r:id="rId3" tooltip="MESIVA (check)"/>
          <a:extLst>
            <a:ext uri="{FF2B5EF4-FFF2-40B4-BE49-F238E27FC236}">
              <a16:creationId xmlns:a16="http://schemas.microsoft.com/office/drawing/2014/main" id="{00000000-0008-0000-1E00-000003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0524" t="-2713" r="68706" b="-3123"/>
        <a:stretch/>
      </xdr:blipFill>
      <xdr:spPr bwMode="auto">
        <a:xfrm>
          <a:off x="1006092" y="1316694"/>
          <a:ext cx="502540" cy="37059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xdr:col>
      <xdr:colOff>1544844</xdr:colOff>
      <xdr:row>7</xdr:row>
      <xdr:rowOff>63474</xdr:rowOff>
    </xdr:from>
    <xdr:to>
      <xdr:col>2</xdr:col>
      <xdr:colOff>2113379</xdr:colOff>
      <xdr:row>11</xdr:row>
      <xdr:rowOff>59191</xdr:rowOff>
    </xdr:to>
    <xdr:pic>
      <xdr:nvPicPr>
        <xdr:cNvPr id="8" name="7 Imagen">
          <a:hlinkClick xmlns:r="http://schemas.openxmlformats.org/officeDocument/2006/relationships" r:id="rId5" tooltip="MES REGISTRO IVA"/>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62558" y="1179260"/>
          <a:ext cx="568535" cy="508026"/>
        </a:xfrm>
        <a:prstGeom prst="rect">
          <a:avLst/>
        </a:prstGeom>
      </xdr:spPr>
    </xdr:pic>
    <xdr:clientData fPrintsWithSheet="0"/>
  </xdr:twoCellAnchor>
  <xdr:twoCellAnchor>
    <xdr:from>
      <xdr:col>22</xdr:col>
      <xdr:colOff>1034143</xdr:colOff>
      <xdr:row>0</xdr:row>
      <xdr:rowOff>136072</xdr:rowOff>
    </xdr:from>
    <xdr:to>
      <xdr:col>27</xdr:col>
      <xdr:colOff>1016533</xdr:colOff>
      <xdr:row>10</xdr:row>
      <xdr:rowOff>13448</xdr:rowOff>
    </xdr:to>
    <xdr:grpSp>
      <xdr:nvGrpSpPr>
        <xdr:cNvPr id="9" name="Grupo 8">
          <a:extLst>
            <a:ext uri="{FF2B5EF4-FFF2-40B4-BE49-F238E27FC236}">
              <a16:creationId xmlns:a16="http://schemas.microsoft.com/office/drawing/2014/main" id="{00000000-0008-0000-1E00-000009000000}"/>
            </a:ext>
          </a:extLst>
        </xdr:cNvPr>
        <xdr:cNvGrpSpPr/>
      </xdr:nvGrpSpPr>
      <xdr:grpSpPr>
        <a:xfrm>
          <a:off x="26922881" y="132262"/>
          <a:ext cx="5480009" cy="1387829"/>
          <a:chOff x="6105525" y="133350"/>
          <a:chExt cx="5172074" cy="1447800"/>
        </a:xfrm>
      </xdr:grpSpPr>
      <xdr:pic>
        <xdr:nvPicPr>
          <xdr:cNvPr id="10" name="3 Imagen">
            <a:extLst>
              <a:ext uri="{FF2B5EF4-FFF2-40B4-BE49-F238E27FC236}">
                <a16:creationId xmlns:a16="http://schemas.microsoft.com/office/drawing/2014/main" id="{00000000-0008-0000-1E00-00000A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b="14527"/>
          <a:stretch/>
        </xdr:blipFill>
        <xdr:spPr>
          <a:xfrm>
            <a:off x="6105525" y="133350"/>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11" name="6 Imagen">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8" cstate="print"/>
          <a:srcRect/>
          <a:stretch>
            <a:fillRect/>
          </a:stretch>
        </xdr:blipFill>
        <xdr:spPr bwMode="auto">
          <a:xfrm>
            <a:off x="10039350" y="1190625"/>
            <a:ext cx="1116000" cy="2520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twoCellAnchor editAs="absolute">
    <xdr:from>
      <xdr:col>2</xdr:col>
      <xdr:colOff>2377782</xdr:colOff>
      <xdr:row>7</xdr:row>
      <xdr:rowOff>132685</xdr:rowOff>
    </xdr:from>
    <xdr:to>
      <xdr:col>2</xdr:col>
      <xdr:colOff>2839658</xdr:colOff>
      <xdr:row>11</xdr:row>
      <xdr:rowOff>59191</xdr:rowOff>
    </xdr:to>
    <xdr:pic>
      <xdr:nvPicPr>
        <xdr:cNvPr id="12" name="Imagen 11">
          <a:hlinkClick xmlns:r="http://schemas.openxmlformats.org/officeDocument/2006/relationships" r:id="rId9" tooltip="Pendientes"/>
          <a:extLst>
            <a:ext uri="{FF2B5EF4-FFF2-40B4-BE49-F238E27FC236}">
              <a16:creationId xmlns:a16="http://schemas.microsoft.com/office/drawing/2014/main" id="{00000000-0008-0000-1E00-00000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585019" y="1248471"/>
          <a:ext cx="467591" cy="438815"/>
        </a:xfrm>
        <a:prstGeom prst="rect">
          <a:avLst/>
        </a:prstGeom>
      </xdr:spPr>
    </xdr:pic>
    <xdr:clientData fLocksWithSheet="0" fPrintsWithSheet="0"/>
  </xdr:twoCellAnchor>
  <xdr:twoCellAnchor editAs="absolute">
    <xdr:from>
      <xdr:col>2</xdr:col>
      <xdr:colOff>3103108</xdr:colOff>
      <xdr:row>7</xdr:row>
      <xdr:rowOff>0</xdr:rowOff>
    </xdr:from>
    <xdr:to>
      <xdr:col>2</xdr:col>
      <xdr:colOff>3868815</xdr:colOff>
      <xdr:row>11</xdr:row>
      <xdr:rowOff>59191</xdr:rowOff>
    </xdr:to>
    <xdr:pic macro="[0]!VOLVER.VOLVER">
      <xdr:nvPicPr>
        <xdr:cNvPr id="13" name="Imagen 12">
          <a:extLst>
            <a:ext uri="{FF2B5EF4-FFF2-40B4-BE49-F238E27FC236}">
              <a16:creationId xmlns:a16="http://schemas.microsoft.com/office/drawing/2014/main" id="{00000000-0008-0000-1E00-00000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306535" y="1115786"/>
          <a:ext cx="763121" cy="571500"/>
        </a:xfrm>
        <a:prstGeom prst="rect">
          <a:avLst/>
        </a:prstGeom>
      </xdr:spPr>
    </xdr:pic>
    <xdr:clientData fPrintsWithSheet="0"/>
  </xdr:twoCellAnchor>
  <xdr:twoCellAnchor editAs="absolute">
    <xdr:from>
      <xdr:col>20</xdr:col>
      <xdr:colOff>322984</xdr:colOff>
      <xdr:row>5</xdr:row>
      <xdr:rowOff>0</xdr:rowOff>
    </xdr:from>
    <xdr:to>
      <xdr:col>20</xdr:col>
      <xdr:colOff>1048649</xdr:colOff>
      <xdr:row>8</xdr:row>
      <xdr:rowOff>58079</xdr:rowOff>
    </xdr:to>
    <xdr:pic>
      <xdr:nvPicPr>
        <xdr:cNvPr id="15" name="Imagen 14" descr="http://t0.gstatic.com/images?q=tbn:ANd9GcSOcaZYp0sCkZBRwsB3QOGfBLQf9_qr6Tcm-TdXlorb0v3BiCQ6">
          <a:hlinkClick xmlns:r="http://schemas.openxmlformats.org/officeDocument/2006/relationships" r:id="rId12" tooltip="Incidencias"/>
          <a:extLst>
            <a:ext uri="{FF2B5EF4-FFF2-40B4-BE49-F238E27FC236}">
              <a16:creationId xmlns:a16="http://schemas.microsoft.com/office/drawing/2014/main" id="{00000000-0008-0000-1E00-00000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3145750" y="707571"/>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32.xml><?xml version="1.0" encoding="utf-8"?>
<xdr:wsDr xmlns:xdr="http://schemas.openxmlformats.org/drawingml/2006/spreadsheetDrawing" xmlns:a="http://schemas.openxmlformats.org/drawingml/2006/main">
  <xdr:twoCellAnchor editAs="oneCell">
    <xdr:from>
      <xdr:col>2</xdr:col>
      <xdr:colOff>76735</xdr:colOff>
      <xdr:row>7</xdr:row>
      <xdr:rowOff>97759</xdr:rowOff>
    </xdr:from>
    <xdr:to>
      <xdr:col>2</xdr:col>
      <xdr:colOff>534452</xdr:colOff>
      <xdr:row>11</xdr:row>
      <xdr:rowOff>55644</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0853" y="1195935"/>
          <a:ext cx="457717" cy="469546"/>
        </a:xfrm>
        <a:prstGeom prst="rect">
          <a:avLst/>
        </a:prstGeom>
      </xdr:spPr>
    </xdr:pic>
    <xdr:clientData fPrintsWithSheet="0"/>
  </xdr:twoCellAnchor>
  <xdr:twoCellAnchor editAs="oneCell">
    <xdr:from>
      <xdr:col>2</xdr:col>
      <xdr:colOff>753696</xdr:colOff>
      <xdr:row>8</xdr:row>
      <xdr:rowOff>7012</xdr:rowOff>
    </xdr:from>
    <xdr:to>
      <xdr:col>2</xdr:col>
      <xdr:colOff>1256236</xdr:colOff>
      <xdr:row>11</xdr:row>
      <xdr:rowOff>55644</xdr:rowOff>
    </xdr:to>
    <xdr:pic>
      <xdr:nvPicPr>
        <xdr:cNvPr id="3" name="2 Imagen" descr="Logotipo de la Agencia Tributaria">
          <a:hlinkClick xmlns:r="http://schemas.openxmlformats.org/officeDocument/2006/relationships" r:id="rId3" tooltip="IVA TRIMESTRAL CHECK"/>
          <a:extLst>
            <a:ext uri="{FF2B5EF4-FFF2-40B4-BE49-F238E27FC236}">
              <a16:creationId xmlns:a16="http://schemas.microsoft.com/office/drawing/2014/main" id="{00000000-0008-0000-1F00-000003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0524" t="-2713" r="68706" b="-3123"/>
        <a:stretch/>
      </xdr:blipFill>
      <xdr:spPr bwMode="auto">
        <a:xfrm>
          <a:off x="977814" y="1295688"/>
          <a:ext cx="502540" cy="369793"/>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xdr:col>
      <xdr:colOff>1475480</xdr:colOff>
      <xdr:row>7</xdr:row>
      <xdr:rowOff>60879</xdr:rowOff>
    </xdr:from>
    <xdr:to>
      <xdr:col>2</xdr:col>
      <xdr:colOff>2040205</xdr:colOff>
      <xdr:row>11</xdr:row>
      <xdr:rowOff>55644</xdr:rowOff>
    </xdr:to>
    <xdr:pic>
      <xdr:nvPicPr>
        <xdr:cNvPr id="7" name="6 Imagen">
          <a:hlinkClick xmlns:r="http://schemas.openxmlformats.org/officeDocument/2006/relationships" r:id="rId5" tooltip="TRIMESTRAL REGISTRO IVA"/>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699598" y="1159055"/>
          <a:ext cx="568535" cy="506426"/>
        </a:xfrm>
        <a:prstGeom prst="rect">
          <a:avLst/>
        </a:prstGeom>
      </xdr:spPr>
    </xdr:pic>
    <xdr:clientData fPrintsWithSheet="0"/>
  </xdr:twoCellAnchor>
  <xdr:twoCellAnchor>
    <xdr:from>
      <xdr:col>7</xdr:col>
      <xdr:colOff>1019736</xdr:colOff>
      <xdr:row>0</xdr:row>
      <xdr:rowOff>145677</xdr:rowOff>
    </xdr:from>
    <xdr:to>
      <xdr:col>11</xdr:col>
      <xdr:colOff>1009650</xdr:colOff>
      <xdr:row>10</xdr:row>
      <xdr:rowOff>41462</xdr:rowOff>
    </xdr:to>
    <xdr:grpSp>
      <xdr:nvGrpSpPr>
        <xdr:cNvPr id="11" name="Grupo 10">
          <a:extLst>
            <a:ext uri="{FF2B5EF4-FFF2-40B4-BE49-F238E27FC236}">
              <a16:creationId xmlns:a16="http://schemas.microsoft.com/office/drawing/2014/main" id="{00000000-0008-0000-1F00-00000B000000}"/>
            </a:ext>
          </a:extLst>
        </xdr:cNvPr>
        <xdr:cNvGrpSpPr/>
      </xdr:nvGrpSpPr>
      <xdr:grpSpPr>
        <a:xfrm>
          <a:off x="10677302" y="143772"/>
          <a:ext cx="4380714" cy="1399278"/>
          <a:chOff x="6105525" y="133350"/>
          <a:chExt cx="5172074" cy="1447800"/>
        </a:xfrm>
      </xdr:grpSpPr>
      <xdr:pic>
        <xdr:nvPicPr>
          <xdr:cNvPr id="12" name="3 Imagen">
            <a:extLst>
              <a:ext uri="{FF2B5EF4-FFF2-40B4-BE49-F238E27FC236}">
                <a16:creationId xmlns:a16="http://schemas.microsoft.com/office/drawing/2014/main" id="{00000000-0008-0000-1F00-00000C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b="14527"/>
          <a:stretch/>
        </xdr:blipFill>
        <xdr:spPr>
          <a:xfrm>
            <a:off x="6105525" y="133350"/>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13" name="6 Imagen">
            <a:extLst>
              <a:ext uri="{FF2B5EF4-FFF2-40B4-BE49-F238E27FC236}">
                <a16:creationId xmlns:a16="http://schemas.microsoft.com/office/drawing/2014/main" id="{00000000-0008-0000-1F00-00000D000000}"/>
              </a:ext>
            </a:extLst>
          </xdr:cNvPr>
          <xdr:cNvPicPr/>
        </xdr:nvPicPr>
        <xdr:blipFill>
          <a:blip xmlns:r="http://schemas.openxmlformats.org/officeDocument/2006/relationships" r:embed="rId8" cstate="print"/>
          <a:srcRect/>
          <a:stretch>
            <a:fillRect/>
          </a:stretch>
        </xdr:blipFill>
        <xdr:spPr bwMode="auto">
          <a:xfrm>
            <a:off x="10039350" y="1190625"/>
            <a:ext cx="1116000" cy="2520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twoCellAnchor editAs="absolute">
    <xdr:from>
      <xdr:col>2</xdr:col>
      <xdr:colOff>2267069</xdr:colOff>
      <xdr:row>7</xdr:row>
      <xdr:rowOff>22187</xdr:rowOff>
    </xdr:from>
    <xdr:to>
      <xdr:col>2</xdr:col>
      <xdr:colOff>2836376</xdr:colOff>
      <xdr:row>11</xdr:row>
      <xdr:rowOff>55644</xdr:rowOff>
    </xdr:to>
    <xdr:pic>
      <xdr:nvPicPr>
        <xdr:cNvPr id="9" name="Imagen 8">
          <a:hlinkClick xmlns:r="http://schemas.openxmlformats.org/officeDocument/2006/relationships" r:id="rId9" tooltip="Pendientes"/>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487377" y="1131793"/>
          <a:ext cx="565497" cy="533688"/>
        </a:xfrm>
        <a:prstGeom prst="rect">
          <a:avLst/>
        </a:prstGeom>
      </xdr:spPr>
    </xdr:pic>
    <xdr:clientData fLocksWithSheet="0" fPrintsWithSheet="0"/>
  </xdr:twoCellAnchor>
  <xdr:twoCellAnchor editAs="absolute">
    <xdr:from>
      <xdr:col>2</xdr:col>
      <xdr:colOff>3048000</xdr:colOff>
      <xdr:row>7</xdr:row>
      <xdr:rowOff>22187</xdr:rowOff>
    </xdr:from>
    <xdr:to>
      <xdr:col>2</xdr:col>
      <xdr:colOff>3751104</xdr:colOff>
      <xdr:row>11</xdr:row>
      <xdr:rowOff>55643</xdr:rowOff>
    </xdr:to>
    <xdr:pic macro="[0]!VOLVER.VOLVER">
      <xdr:nvPicPr>
        <xdr:cNvPr id="10" name="Imagen 9">
          <a:extLst>
            <a:ext uri="{FF2B5EF4-FFF2-40B4-BE49-F238E27FC236}">
              <a16:creationId xmlns:a16="http://schemas.microsoft.com/office/drawing/2014/main" id="{00000000-0008-0000-1F00-00000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272118" y="1131793"/>
          <a:ext cx="712629" cy="533687"/>
        </a:xfrm>
        <a:prstGeom prst="rect">
          <a:avLst/>
        </a:prstGeom>
      </xdr:spPr>
    </xdr:pic>
    <xdr:clientData fPrintsWithSheet="0"/>
  </xdr:twoCellAnchor>
  <xdr:twoCellAnchor editAs="absolute">
    <xdr:from>
      <xdr:col>4</xdr:col>
      <xdr:colOff>513342</xdr:colOff>
      <xdr:row>7</xdr:row>
      <xdr:rowOff>130885</xdr:rowOff>
    </xdr:from>
    <xdr:to>
      <xdr:col>5</xdr:col>
      <xdr:colOff>206523</xdr:colOff>
      <xdr:row>12</xdr:row>
      <xdr:rowOff>173765</xdr:rowOff>
    </xdr:to>
    <xdr:pic>
      <xdr:nvPicPr>
        <xdr:cNvPr id="15" name="Imagen 14" descr="http://t0.gstatic.com/images?q=tbn:ANd9GcSOcaZYp0sCkZBRwsB3QOGfBLQf9_qr6Tcm-TdXlorb0v3BiCQ6">
          <a:hlinkClick xmlns:r="http://schemas.openxmlformats.org/officeDocument/2006/relationships" r:id="rId12" tooltip="Incidencias"/>
          <a:extLst>
            <a:ext uri="{FF2B5EF4-FFF2-40B4-BE49-F238E27FC236}">
              <a16:creationId xmlns:a16="http://schemas.microsoft.com/office/drawing/2014/main" id="{00000000-0008-0000-1F00-00000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6678706" y="1221441"/>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5</xdr:col>
          <xdr:colOff>990600</xdr:colOff>
          <xdr:row>8</xdr:row>
          <xdr:rowOff>7620</xdr:rowOff>
        </xdr:from>
        <xdr:to>
          <xdr:col>7</xdr:col>
          <xdr:colOff>312420</xdr:colOff>
          <xdr:row>10</xdr:row>
          <xdr:rowOff>45720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F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2</xdr:col>
      <xdr:colOff>76736</xdr:colOff>
      <xdr:row>7</xdr:row>
      <xdr:rowOff>101597</xdr:rowOff>
    </xdr:from>
    <xdr:to>
      <xdr:col>2</xdr:col>
      <xdr:colOff>572964</xdr:colOff>
      <xdr:row>11</xdr:row>
      <xdr:rowOff>98988</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0854" y="1233391"/>
          <a:ext cx="496228" cy="509052"/>
        </a:xfrm>
        <a:prstGeom prst="rect">
          <a:avLst/>
        </a:prstGeom>
      </xdr:spPr>
    </xdr:pic>
    <xdr:clientData fPrintsWithSheet="0"/>
  </xdr:twoCellAnchor>
  <xdr:twoCellAnchor editAs="oneCell">
    <xdr:from>
      <xdr:col>2</xdr:col>
      <xdr:colOff>900203</xdr:colOff>
      <xdr:row>7</xdr:row>
      <xdr:rowOff>6419</xdr:rowOff>
    </xdr:from>
    <xdr:to>
      <xdr:col>2</xdr:col>
      <xdr:colOff>1729908</xdr:colOff>
      <xdr:row>11</xdr:row>
      <xdr:rowOff>98988</xdr:rowOff>
    </xdr:to>
    <xdr:pic>
      <xdr:nvPicPr>
        <xdr:cNvPr id="3" name="2 Imagen" descr="Logotipo de la Agencia Tributaria">
          <a:hlinkClick xmlns:r="http://schemas.openxmlformats.org/officeDocument/2006/relationships" r:id="rId3" tooltip="MESIVA"/>
          <a:extLst>
            <a:ext uri="{FF2B5EF4-FFF2-40B4-BE49-F238E27FC236}">
              <a16:creationId xmlns:a16="http://schemas.microsoft.com/office/drawing/2014/main" id="{00000000-0008-0000-2000-000003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0524" t="-2713" r="68706" b="-3123"/>
        <a:stretch/>
      </xdr:blipFill>
      <xdr:spPr bwMode="auto">
        <a:xfrm>
          <a:off x="1124321" y="1138213"/>
          <a:ext cx="821133" cy="60423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9</xdr:col>
      <xdr:colOff>649943</xdr:colOff>
      <xdr:row>4</xdr:row>
      <xdr:rowOff>78441</xdr:rowOff>
    </xdr:from>
    <xdr:to>
      <xdr:col>10</xdr:col>
      <xdr:colOff>1122518</xdr:colOff>
      <xdr:row>6</xdr:row>
      <xdr:rowOff>21405</xdr:rowOff>
    </xdr:to>
    <xdr:pic>
      <xdr:nvPicPr>
        <xdr:cNvPr id="4" name="3 Imagen">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5" cstate="print"/>
        <a:srcRect/>
        <a:stretch>
          <a:fillRect/>
        </a:stretch>
      </xdr:blipFill>
      <xdr:spPr bwMode="auto">
        <a:xfrm>
          <a:off x="12068737" y="515470"/>
          <a:ext cx="1535453" cy="376408"/>
        </a:xfrm>
        <a:prstGeom prst="rect">
          <a:avLst/>
        </a:prstGeom>
        <a:noFill/>
        <a:ln w="9525">
          <a:noFill/>
          <a:miter lim="800000"/>
          <a:headEnd/>
          <a:tailEnd/>
        </a:ln>
      </xdr:spPr>
    </xdr:pic>
    <xdr:clientData/>
  </xdr:twoCellAnchor>
  <xdr:twoCellAnchor editAs="oneCell">
    <xdr:from>
      <xdr:col>2</xdr:col>
      <xdr:colOff>2048575</xdr:colOff>
      <xdr:row>7</xdr:row>
      <xdr:rowOff>27242</xdr:rowOff>
    </xdr:from>
    <xdr:to>
      <xdr:col>2</xdr:col>
      <xdr:colOff>2706848</xdr:colOff>
      <xdr:row>11</xdr:row>
      <xdr:rowOff>98988</xdr:rowOff>
    </xdr:to>
    <xdr:pic>
      <xdr:nvPicPr>
        <xdr:cNvPr id="5" name="4 Imagen">
          <a:hlinkClick xmlns:r="http://schemas.openxmlformats.org/officeDocument/2006/relationships" r:id="rId6" tooltip="MES REGISTRO IVA"/>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272693" y="1159036"/>
          <a:ext cx="653511" cy="583407"/>
        </a:xfrm>
        <a:prstGeom prst="rect">
          <a:avLst/>
        </a:prstGeom>
      </xdr:spPr>
    </xdr:pic>
    <xdr:clientData fPrintsWithSheet="0"/>
  </xdr:twoCellAnchor>
  <xdr:twoCellAnchor editAs="absolute">
    <xdr:from>
      <xdr:col>2</xdr:col>
      <xdr:colOff>3025515</xdr:colOff>
      <xdr:row>7</xdr:row>
      <xdr:rowOff>76961</xdr:rowOff>
    </xdr:from>
    <xdr:to>
      <xdr:col>2</xdr:col>
      <xdr:colOff>3603394</xdr:colOff>
      <xdr:row>11</xdr:row>
      <xdr:rowOff>98988</xdr:rowOff>
    </xdr:to>
    <xdr:pic>
      <xdr:nvPicPr>
        <xdr:cNvPr id="7" name="Imagen 6">
          <a:hlinkClick xmlns:r="http://schemas.openxmlformats.org/officeDocument/2006/relationships" r:id="rId8" tooltip="Pendientes"/>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253443" y="1208755"/>
          <a:ext cx="565497" cy="533688"/>
        </a:xfrm>
        <a:prstGeom prst="rect">
          <a:avLst/>
        </a:prstGeom>
      </xdr:spPr>
    </xdr:pic>
    <xdr:clientData fLocksWithSheet="0" fPrintsWithSheet="0"/>
  </xdr:twoCellAnchor>
  <xdr:twoCellAnchor editAs="absolute">
    <xdr:from>
      <xdr:col>2</xdr:col>
      <xdr:colOff>3922059</xdr:colOff>
      <xdr:row>7</xdr:row>
      <xdr:rowOff>60583</xdr:rowOff>
    </xdr:from>
    <xdr:to>
      <xdr:col>2</xdr:col>
      <xdr:colOff>4670219</xdr:colOff>
      <xdr:row>11</xdr:row>
      <xdr:rowOff>98988</xdr:rowOff>
    </xdr:to>
    <xdr:pic macro="[0]!VOLVER.VOLVER">
      <xdr:nvPicPr>
        <xdr:cNvPr id="8" name="Imagen 7">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46177" y="1188567"/>
          <a:ext cx="739588" cy="553876"/>
        </a:xfrm>
        <a:prstGeom prst="rect">
          <a:avLst/>
        </a:prstGeom>
      </xdr:spPr>
    </xdr:pic>
    <xdr:clientData fPrintsWithSheet="0"/>
  </xdr:twoCellAnchor>
  <xdr:twoCellAnchor editAs="absolute">
    <xdr:from>
      <xdr:col>7</xdr:col>
      <xdr:colOff>268942</xdr:colOff>
      <xdr:row>7</xdr:row>
      <xdr:rowOff>130661</xdr:rowOff>
    </xdr:from>
    <xdr:to>
      <xdr:col>7</xdr:col>
      <xdr:colOff>990711</xdr:colOff>
      <xdr:row>12</xdr:row>
      <xdr:rowOff>134881</xdr:rowOff>
    </xdr:to>
    <xdr:pic>
      <xdr:nvPicPr>
        <xdr:cNvPr id="10" name="Imagen 9" descr="http://t0.gstatic.com/images?q=tbn:ANd9GcSOcaZYp0sCkZBRwsB3QOGfBLQf9_qr6Tcm-TdXlorb0v3BiCQ6">
          <a:hlinkClick xmlns:r="http://schemas.openxmlformats.org/officeDocument/2006/relationships" r:id="rId11" tooltip="Incidencias"/>
          <a:extLst>
            <a:ext uri="{FF2B5EF4-FFF2-40B4-BE49-F238E27FC236}">
              <a16:creationId xmlns:a16="http://schemas.microsoft.com/office/drawing/2014/main" id="{00000000-0008-0000-2000-00000A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9581030" y="1266265"/>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5</xdr:col>
          <xdr:colOff>228600</xdr:colOff>
          <xdr:row>8</xdr:row>
          <xdr:rowOff>190500</xdr:rowOff>
        </xdr:from>
        <xdr:to>
          <xdr:col>6</xdr:col>
          <xdr:colOff>609600</xdr:colOff>
          <xdr:row>12</xdr:row>
          <xdr:rowOff>76200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2000-000001B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2</xdr:col>
      <xdr:colOff>76736</xdr:colOff>
      <xdr:row>7</xdr:row>
      <xdr:rowOff>180397</xdr:rowOff>
    </xdr:from>
    <xdr:to>
      <xdr:col>2</xdr:col>
      <xdr:colOff>457986</xdr:colOff>
      <xdr:row>11</xdr:row>
      <xdr:rowOff>59839</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0854" y="1312191"/>
          <a:ext cx="381250" cy="391103"/>
        </a:xfrm>
        <a:prstGeom prst="rect">
          <a:avLst/>
        </a:prstGeom>
      </xdr:spPr>
    </xdr:pic>
    <xdr:clientData fPrintsWithSheet="0"/>
  </xdr:twoCellAnchor>
  <xdr:twoCellAnchor editAs="oneCell">
    <xdr:from>
      <xdr:col>2</xdr:col>
      <xdr:colOff>604329</xdr:colOff>
      <xdr:row>8</xdr:row>
      <xdr:rowOff>78441</xdr:rowOff>
    </xdr:from>
    <xdr:to>
      <xdr:col>2</xdr:col>
      <xdr:colOff>1011689</xdr:colOff>
      <xdr:row>11</xdr:row>
      <xdr:rowOff>59839</xdr:rowOff>
    </xdr:to>
    <xdr:pic>
      <xdr:nvPicPr>
        <xdr:cNvPr id="3" name="2 Imagen" descr="Logotipo de la Agencia Tributaria">
          <a:hlinkClick xmlns:r="http://schemas.openxmlformats.org/officeDocument/2006/relationships" r:id="rId3" tooltip="IVA TRIMESTRAL"/>
          <a:extLst>
            <a:ext uri="{FF2B5EF4-FFF2-40B4-BE49-F238E27FC236}">
              <a16:creationId xmlns:a16="http://schemas.microsoft.com/office/drawing/2014/main" id="{00000000-0008-0000-2100-000003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0524" t="-2713" r="68706" b="-3123"/>
        <a:stretch/>
      </xdr:blipFill>
      <xdr:spPr bwMode="auto">
        <a:xfrm>
          <a:off x="828447" y="1400735"/>
          <a:ext cx="411170" cy="302559"/>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9</xdr:col>
      <xdr:colOff>570101</xdr:colOff>
      <xdr:row>5</xdr:row>
      <xdr:rowOff>29416</xdr:rowOff>
    </xdr:from>
    <xdr:to>
      <xdr:col>10</xdr:col>
      <xdr:colOff>1067008</xdr:colOff>
      <xdr:row>6</xdr:row>
      <xdr:rowOff>250735</xdr:rowOff>
    </xdr:to>
    <xdr:pic>
      <xdr:nvPicPr>
        <xdr:cNvPr id="4" name="3 Imagen">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5" cstate="print"/>
        <a:srcRect/>
        <a:stretch>
          <a:fillRect/>
        </a:stretch>
      </xdr:blipFill>
      <xdr:spPr bwMode="auto">
        <a:xfrm>
          <a:off x="12023914" y="743791"/>
          <a:ext cx="1544657" cy="391817"/>
        </a:xfrm>
        <a:prstGeom prst="rect">
          <a:avLst/>
        </a:prstGeom>
        <a:noFill/>
        <a:ln w="9525">
          <a:noFill/>
          <a:miter lim="800000"/>
          <a:headEnd/>
          <a:tailEnd/>
        </a:ln>
      </xdr:spPr>
    </xdr:pic>
    <xdr:clientData/>
  </xdr:twoCellAnchor>
  <xdr:twoCellAnchor editAs="oneCell">
    <xdr:from>
      <xdr:col>2</xdr:col>
      <xdr:colOff>1161842</xdr:colOff>
      <xdr:row>7</xdr:row>
      <xdr:rowOff>63953</xdr:rowOff>
    </xdr:from>
    <xdr:to>
      <xdr:col>2</xdr:col>
      <xdr:colOff>1734187</xdr:colOff>
      <xdr:row>11</xdr:row>
      <xdr:rowOff>59839</xdr:rowOff>
    </xdr:to>
    <xdr:pic>
      <xdr:nvPicPr>
        <xdr:cNvPr id="5" name="4 Imagen">
          <a:hlinkClick xmlns:r="http://schemas.openxmlformats.org/officeDocument/2006/relationships" r:id="rId6" tooltip="TRIMESTRAL REGISTRO IVA"/>
          <a:extLst>
            <a:ext uri="{FF2B5EF4-FFF2-40B4-BE49-F238E27FC236}">
              <a16:creationId xmlns:a16="http://schemas.microsoft.com/office/drawing/2014/main" id="{00000000-0008-0000-2100-00000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85960" y="1195747"/>
          <a:ext cx="568535" cy="507547"/>
        </a:xfrm>
        <a:prstGeom prst="rect">
          <a:avLst/>
        </a:prstGeom>
      </xdr:spPr>
    </xdr:pic>
    <xdr:clientData fPrintsWithSheet="0"/>
  </xdr:twoCellAnchor>
  <xdr:twoCellAnchor editAs="absolute">
    <xdr:from>
      <xdr:col>2</xdr:col>
      <xdr:colOff>1886245</xdr:colOff>
      <xdr:row>7</xdr:row>
      <xdr:rowOff>37812</xdr:rowOff>
    </xdr:from>
    <xdr:to>
      <xdr:col>2</xdr:col>
      <xdr:colOff>2453647</xdr:colOff>
      <xdr:row>11</xdr:row>
      <xdr:rowOff>59839</xdr:rowOff>
    </xdr:to>
    <xdr:pic>
      <xdr:nvPicPr>
        <xdr:cNvPr id="7" name="Imagen 6">
          <a:hlinkClick xmlns:r="http://schemas.openxmlformats.org/officeDocument/2006/relationships" r:id="rId8" tooltip="Pendientes"/>
          <a:extLst>
            <a:ext uri="{FF2B5EF4-FFF2-40B4-BE49-F238E27FC236}">
              <a16:creationId xmlns:a16="http://schemas.microsoft.com/office/drawing/2014/main" id="{00000000-0008-0000-2100-00000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100838" y="1169606"/>
          <a:ext cx="565497" cy="533688"/>
        </a:xfrm>
        <a:prstGeom prst="rect">
          <a:avLst/>
        </a:prstGeom>
      </xdr:spPr>
    </xdr:pic>
    <xdr:clientData fLocksWithSheet="0" fPrintsWithSheet="0"/>
  </xdr:twoCellAnchor>
  <xdr:twoCellAnchor editAs="absolute">
    <xdr:from>
      <xdr:col>2</xdr:col>
      <xdr:colOff>2588560</xdr:colOff>
      <xdr:row>7</xdr:row>
      <xdr:rowOff>34408</xdr:rowOff>
    </xdr:from>
    <xdr:to>
      <xdr:col>2</xdr:col>
      <xdr:colOff>3298116</xdr:colOff>
      <xdr:row>11</xdr:row>
      <xdr:rowOff>59839</xdr:rowOff>
    </xdr:to>
    <xdr:pic macro="[0]!VOLVER.VOLVER">
      <xdr:nvPicPr>
        <xdr:cNvPr id="8" name="Imagen 7">
          <a:extLst>
            <a:ext uri="{FF2B5EF4-FFF2-40B4-BE49-F238E27FC236}">
              <a16:creationId xmlns:a16="http://schemas.microsoft.com/office/drawing/2014/main" id="{00000000-0008-0000-2100-000008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812678" y="1166202"/>
          <a:ext cx="717176" cy="537092"/>
        </a:xfrm>
        <a:prstGeom prst="rect">
          <a:avLst/>
        </a:prstGeom>
      </xdr:spPr>
    </xdr:pic>
    <xdr:clientData fPrintsWithSheet="0"/>
  </xdr:twoCellAnchor>
  <xdr:twoCellAnchor editAs="absolute">
    <xdr:from>
      <xdr:col>8</xdr:col>
      <xdr:colOff>0</xdr:colOff>
      <xdr:row>7</xdr:row>
      <xdr:rowOff>0</xdr:rowOff>
    </xdr:from>
    <xdr:to>
      <xdr:col>8</xdr:col>
      <xdr:colOff>721769</xdr:colOff>
      <xdr:row>12</xdr:row>
      <xdr:rowOff>54310</xdr:rowOff>
    </xdr:to>
    <xdr:pic>
      <xdr:nvPicPr>
        <xdr:cNvPr id="10" name="Imagen 9" descr="http://t0.gstatic.com/images?q=tbn:ANd9GcSOcaZYp0sCkZBRwsB3QOGfBLQf9_qr6Tcm-TdXlorb0v3BiCQ6">
          <a:hlinkClick xmlns:r="http://schemas.openxmlformats.org/officeDocument/2006/relationships" r:id="rId11" tooltip="Incidencias"/>
          <a:extLst>
            <a:ext uri="{FF2B5EF4-FFF2-40B4-BE49-F238E27FC236}">
              <a16:creationId xmlns:a16="http://schemas.microsoft.com/office/drawing/2014/main" id="{00000000-0008-0000-2100-00000A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365441" y="1131794"/>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5</xdr:col>
          <xdr:colOff>426720</xdr:colOff>
          <xdr:row>8</xdr:row>
          <xdr:rowOff>190500</xdr:rowOff>
        </xdr:from>
        <xdr:to>
          <xdr:col>6</xdr:col>
          <xdr:colOff>838200</xdr:colOff>
          <xdr:row>12</xdr:row>
          <xdr:rowOff>76200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2100-000001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2</xdr:col>
      <xdr:colOff>76736</xdr:colOff>
      <xdr:row>8</xdr:row>
      <xdr:rowOff>12309</xdr:rowOff>
    </xdr:from>
    <xdr:to>
      <xdr:col>2</xdr:col>
      <xdr:colOff>457986</xdr:colOff>
      <xdr:row>12</xdr:row>
      <xdr:rowOff>0</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0854" y="1334603"/>
          <a:ext cx="381250" cy="391103"/>
        </a:xfrm>
        <a:prstGeom prst="rect">
          <a:avLst/>
        </a:prstGeom>
      </xdr:spPr>
    </xdr:pic>
    <xdr:clientData fPrintsWithSheet="0"/>
  </xdr:twoCellAnchor>
  <xdr:twoCellAnchor editAs="oneCell">
    <xdr:from>
      <xdr:col>2</xdr:col>
      <xdr:colOff>730563</xdr:colOff>
      <xdr:row>8</xdr:row>
      <xdr:rowOff>100853</xdr:rowOff>
    </xdr:from>
    <xdr:to>
      <xdr:col>2</xdr:col>
      <xdr:colOff>1141733</xdr:colOff>
      <xdr:row>12</xdr:row>
      <xdr:rowOff>0</xdr:rowOff>
    </xdr:to>
    <xdr:pic>
      <xdr:nvPicPr>
        <xdr:cNvPr id="3" name="2 Imagen" descr="Logotipo de la Agencia Tributaria">
          <a:hlinkClick xmlns:r="http://schemas.openxmlformats.org/officeDocument/2006/relationships" r:id="rId3" tooltip="MESIVA"/>
          <a:extLst>
            <a:ext uri="{FF2B5EF4-FFF2-40B4-BE49-F238E27FC236}">
              <a16:creationId xmlns:a16="http://schemas.microsoft.com/office/drawing/2014/main" id="{00000000-0008-0000-2200-000003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0524" t="-2713" r="68706" b="-3123"/>
        <a:stretch/>
      </xdr:blipFill>
      <xdr:spPr bwMode="auto">
        <a:xfrm>
          <a:off x="954681" y="1423147"/>
          <a:ext cx="411170" cy="302559"/>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14</xdr:col>
      <xdr:colOff>1092284</xdr:colOff>
      <xdr:row>4</xdr:row>
      <xdr:rowOff>217716</xdr:rowOff>
    </xdr:from>
    <xdr:to>
      <xdr:col>17</xdr:col>
      <xdr:colOff>1368136</xdr:colOff>
      <xdr:row>12</xdr:row>
      <xdr:rowOff>155864</xdr:rowOff>
    </xdr:to>
    <xdr:grpSp>
      <xdr:nvGrpSpPr>
        <xdr:cNvPr id="9" name="Grupo 8">
          <a:extLst>
            <a:ext uri="{FF2B5EF4-FFF2-40B4-BE49-F238E27FC236}">
              <a16:creationId xmlns:a16="http://schemas.microsoft.com/office/drawing/2014/main" id="{00000000-0008-0000-2200-000009000000}"/>
            </a:ext>
          </a:extLst>
        </xdr:cNvPr>
        <xdr:cNvGrpSpPr/>
      </xdr:nvGrpSpPr>
      <xdr:grpSpPr>
        <a:xfrm>
          <a:off x="22138724" y="624025"/>
          <a:ext cx="5014948" cy="1219125"/>
          <a:chOff x="6105525" y="133350"/>
          <a:chExt cx="5172074" cy="1447800"/>
        </a:xfrm>
      </xdr:grpSpPr>
      <xdr:pic>
        <xdr:nvPicPr>
          <xdr:cNvPr id="10" name="3 Imagen">
            <a:extLst>
              <a:ext uri="{FF2B5EF4-FFF2-40B4-BE49-F238E27FC236}">
                <a16:creationId xmlns:a16="http://schemas.microsoft.com/office/drawing/2014/main" id="{00000000-0008-0000-2200-00000A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b="14527"/>
          <a:stretch/>
        </xdr:blipFill>
        <xdr:spPr>
          <a:xfrm>
            <a:off x="6105525" y="133350"/>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11" name="6 Imagen">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6" cstate="print"/>
          <a:srcRect/>
          <a:stretch>
            <a:fillRect/>
          </a:stretch>
        </xdr:blipFill>
        <xdr:spPr bwMode="auto">
          <a:xfrm>
            <a:off x="10039350" y="1190625"/>
            <a:ext cx="1116000" cy="2520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twoCellAnchor editAs="absolute">
    <xdr:from>
      <xdr:col>3</xdr:col>
      <xdr:colOff>800</xdr:colOff>
      <xdr:row>7</xdr:row>
      <xdr:rowOff>59103</xdr:rowOff>
    </xdr:from>
    <xdr:to>
      <xdr:col>3</xdr:col>
      <xdr:colOff>553074</xdr:colOff>
      <xdr:row>12</xdr:row>
      <xdr:rowOff>0</xdr:rowOff>
    </xdr:to>
    <xdr:pic>
      <xdr:nvPicPr>
        <xdr:cNvPr id="12" name="Imagen 11">
          <a:hlinkClick xmlns:r="http://schemas.openxmlformats.org/officeDocument/2006/relationships" r:id="rId7" tooltip="Pendientes"/>
          <a:extLst>
            <a:ext uri="{FF2B5EF4-FFF2-40B4-BE49-F238E27FC236}">
              <a16:creationId xmlns:a16="http://schemas.microsoft.com/office/drawing/2014/main" id="{00000000-0008-0000-2200-00000C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38428" y="1200422"/>
          <a:ext cx="565497" cy="525284"/>
        </a:xfrm>
        <a:prstGeom prst="rect">
          <a:avLst/>
        </a:prstGeom>
      </xdr:spPr>
    </xdr:pic>
    <xdr:clientData fLocksWithSheet="0" fPrintsWithSheet="0"/>
  </xdr:twoCellAnchor>
  <xdr:twoCellAnchor editAs="absolute">
    <xdr:from>
      <xdr:col>3</xdr:col>
      <xdr:colOff>818030</xdr:colOff>
      <xdr:row>7</xdr:row>
      <xdr:rowOff>56030</xdr:rowOff>
    </xdr:from>
    <xdr:to>
      <xdr:col>3</xdr:col>
      <xdr:colOff>1543881</xdr:colOff>
      <xdr:row>12</xdr:row>
      <xdr:rowOff>0</xdr:rowOff>
    </xdr:to>
    <xdr:pic macro="[0]!VOLVER.VOLVER">
      <xdr:nvPicPr>
        <xdr:cNvPr id="13" name="Imagen 12">
          <a:extLst>
            <a:ext uri="{FF2B5EF4-FFF2-40B4-BE49-F238E27FC236}">
              <a16:creationId xmlns:a16="http://schemas.microsoft.com/office/drawing/2014/main" id="{00000000-0008-0000-2200-00000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476501" y="1187824"/>
          <a:ext cx="718231" cy="537882"/>
        </a:xfrm>
        <a:prstGeom prst="rect">
          <a:avLst/>
        </a:prstGeom>
      </xdr:spPr>
    </xdr:pic>
    <xdr:clientData fPrintsWithSheet="0"/>
  </xdr:twoCellAnchor>
  <xdr:twoCellAnchor editAs="absolute">
    <xdr:from>
      <xdr:col>5</xdr:col>
      <xdr:colOff>325194</xdr:colOff>
      <xdr:row>7</xdr:row>
      <xdr:rowOff>78441</xdr:rowOff>
    </xdr:from>
    <xdr:to>
      <xdr:col>5</xdr:col>
      <xdr:colOff>1045058</xdr:colOff>
      <xdr:row>12</xdr:row>
      <xdr:rowOff>136561</xdr:rowOff>
    </xdr:to>
    <xdr:pic>
      <xdr:nvPicPr>
        <xdr:cNvPr id="15" name="Imagen 14" descr="http://t0.gstatic.com/images?q=tbn:ANd9GcSOcaZYp0sCkZBRwsB3QOGfBLQf9_qr6Tcm-TdXlorb0v3BiCQ6">
          <a:hlinkClick xmlns:r="http://schemas.openxmlformats.org/officeDocument/2006/relationships" r:id="rId10" tooltip="Incidencias"/>
          <a:extLst>
            <a:ext uri="{FF2B5EF4-FFF2-40B4-BE49-F238E27FC236}">
              <a16:creationId xmlns:a16="http://schemas.microsoft.com/office/drawing/2014/main" id="{00000000-0008-0000-2200-00000F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6712323" y="1210235"/>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7</xdr:col>
          <xdr:colOff>1257300</xdr:colOff>
          <xdr:row>10</xdr:row>
          <xdr:rowOff>0</xdr:rowOff>
        </xdr:from>
        <xdr:to>
          <xdr:col>8</xdr:col>
          <xdr:colOff>1333500</xdr:colOff>
          <xdr:row>12</xdr:row>
          <xdr:rowOff>152400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2200-000001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2</xdr:col>
      <xdr:colOff>76736</xdr:colOff>
      <xdr:row>8</xdr:row>
      <xdr:rowOff>12516</xdr:rowOff>
    </xdr:from>
    <xdr:to>
      <xdr:col>2</xdr:col>
      <xdr:colOff>457986</xdr:colOff>
      <xdr:row>12</xdr:row>
      <xdr:rowOff>3009</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336" y="1336491"/>
          <a:ext cx="381250" cy="390543"/>
        </a:xfrm>
        <a:prstGeom prst="rect">
          <a:avLst/>
        </a:prstGeom>
      </xdr:spPr>
    </xdr:pic>
    <xdr:clientData fPrintsWithSheet="0"/>
  </xdr:twoCellAnchor>
  <xdr:twoCellAnchor editAs="oneCell">
    <xdr:from>
      <xdr:col>2</xdr:col>
      <xdr:colOff>725894</xdr:colOff>
      <xdr:row>8</xdr:row>
      <xdr:rowOff>101060</xdr:rowOff>
    </xdr:from>
    <xdr:to>
      <xdr:col>2</xdr:col>
      <xdr:colOff>1127539</xdr:colOff>
      <xdr:row>12</xdr:row>
      <xdr:rowOff>3009</xdr:rowOff>
    </xdr:to>
    <xdr:pic>
      <xdr:nvPicPr>
        <xdr:cNvPr id="3" name="2 Imagen" descr="Logotipo de la Agencia Tributaria">
          <a:hlinkClick xmlns:r="http://schemas.openxmlformats.org/officeDocument/2006/relationships" r:id="rId3" tooltip="MESIVA"/>
          <a:extLst>
            <a:ext uri="{FF2B5EF4-FFF2-40B4-BE49-F238E27FC236}">
              <a16:creationId xmlns:a16="http://schemas.microsoft.com/office/drawing/2014/main" id="{00000000-0008-0000-2300-000003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0524" t="-2713" r="68706" b="-3123"/>
        <a:stretch/>
      </xdr:blipFill>
      <xdr:spPr bwMode="auto">
        <a:xfrm>
          <a:off x="954494" y="1425035"/>
          <a:ext cx="411170" cy="301999"/>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14</xdr:col>
      <xdr:colOff>925286</xdr:colOff>
      <xdr:row>4</xdr:row>
      <xdr:rowOff>190501</xdr:rowOff>
    </xdr:from>
    <xdr:to>
      <xdr:col>17</xdr:col>
      <xdr:colOff>1370319</xdr:colOff>
      <xdr:row>12</xdr:row>
      <xdr:rowOff>204108</xdr:rowOff>
    </xdr:to>
    <xdr:grpSp>
      <xdr:nvGrpSpPr>
        <xdr:cNvPr id="10" name="Grupo 9">
          <a:extLst>
            <a:ext uri="{FF2B5EF4-FFF2-40B4-BE49-F238E27FC236}">
              <a16:creationId xmlns:a16="http://schemas.microsoft.com/office/drawing/2014/main" id="{00000000-0008-0000-2300-00000A000000}"/>
            </a:ext>
          </a:extLst>
        </xdr:cNvPr>
        <xdr:cNvGrpSpPr/>
      </xdr:nvGrpSpPr>
      <xdr:grpSpPr>
        <a:xfrm>
          <a:off x="21345327" y="606137"/>
          <a:ext cx="5170992" cy="1247008"/>
          <a:chOff x="6012384" y="474851"/>
          <a:chExt cx="5172074" cy="1447800"/>
        </a:xfrm>
      </xdr:grpSpPr>
      <xdr:pic>
        <xdr:nvPicPr>
          <xdr:cNvPr id="11" name="3 Imagen">
            <a:extLst>
              <a:ext uri="{FF2B5EF4-FFF2-40B4-BE49-F238E27FC236}">
                <a16:creationId xmlns:a16="http://schemas.microsoft.com/office/drawing/2014/main" id="{00000000-0008-0000-2300-00000B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b="14527"/>
          <a:stretch/>
        </xdr:blipFill>
        <xdr:spPr>
          <a:xfrm>
            <a:off x="6012384" y="474851"/>
            <a:ext cx="5172074" cy="14478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pic>
        <xdr:nvPicPr>
          <xdr:cNvPr id="12" name="6 Imagen">
            <a:extLst>
              <a:ext uri="{FF2B5EF4-FFF2-40B4-BE49-F238E27FC236}">
                <a16:creationId xmlns:a16="http://schemas.microsoft.com/office/drawing/2014/main" id="{00000000-0008-0000-2300-00000C000000}"/>
              </a:ext>
            </a:extLst>
          </xdr:cNvPr>
          <xdr:cNvPicPr/>
        </xdr:nvPicPr>
        <xdr:blipFill>
          <a:blip xmlns:r="http://schemas.openxmlformats.org/officeDocument/2006/relationships" r:embed="rId6" cstate="print"/>
          <a:srcRect/>
          <a:stretch>
            <a:fillRect/>
          </a:stretch>
        </xdr:blipFill>
        <xdr:spPr bwMode="auto">
          <a:xfrm>
            <a:off x="9919596" y="1518465"/>
            <a:ext cx="1116000" cy="2520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grpSp>
    <xdr:clientData/>
  </xdr:twoCellAnchor>
  <xdr:twoCellAnchor editAs="absolute">
    <xdr:from>
      <xdr:col>2</xdr:col>
      <xdr:colOff>1389732</xdr:colOff>
      <xdr:row>7</xdr:row>
      <xdr:rowOff>54428</xdr:rowOff>
    </xdr:from>
    <xdr:to>
      <xdr:col>3</xdr:col>
      <xdr:colOff>553149</xdr:colOff>
      <xdr:row>12</xdr:row>
      <xdr:rowOff>3009</xdr:rowOff>
    </xdr:to>
    <xdr:pic>
      <xdr:nvPicPr>
        <xdr:cNvPr id="8" name="Imagen 7">
          <a:hlinkClick xmlns:r="http://schemas.openxmlformats.org/officeDocument/2006/relationships" r:id="rId7" tooltip="Pendientes"/>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33572" y="1187903"/>
          <a:ext cx="565497" cy="539131"/>
        </a:xfrm>
        <a:prstGeom prst="rect">
          <a:avLst/>
        </a:prstGeom>
      </xdr:spPr>
    </xdr:pic>
    <xdr:clientData fLocksWithSheet="0" fPrintsWithSheet="0"/>
  </xdr:twoCellAnchor>
  <xdr:twoCellAnchor editAs="absolute">
    <xdr:from>
      <xdr:col>3</xdr:col>
      <xdr:colOff>815341</xdr:colOff>
      <xdr:row>7</xdr:row>
      <xdr:rowOff>96354</xdr:rowOff>
    </xdr:from>
    <xdr:to>
      <xdr:col>3</xdr:col>
      <xdr:colOff>1483716</xdr:colOff>
      <xdr:row>12</xdr:row>
      <xdr:rowOff>3009</xdr:rowOff>
    </xdr:to>
    <xdr:pic macro="[0]!VOLVER.VOLVER">
      <xdr:nvPicPr>
        <xdr:cNvPr id="9" name="Imagen 8">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466976" y="1222209"/>
          <a:ext cx="674090" cy="504825"/>
        </a:xfrm>
        <a:prstGeom prst="rect">
          <a:avLst/>
        </a:prstGeom>
      </xdr:spPr>
    </xdr:pic>
    <xdr:clientData fPrintsWithSheet="0"/>
  </xdr:twoCellAnchor>
  <xdr:twoCellAnchor editAs="absolute">
    <xdr:from>
      <xdr:col>4</xdr:col>
      <xdr:colOff>514350</xdr:colOff>
      <xdr:row>7</xdr:row>
      <xdr:rowOff>131445</xdr:rowOff>
    </xdr:from>
    <xdr:to>
      <xdr:col>4</xdr:col>
      <xdr:colOff>1236119</xdr:colOff>
      <xdr:row>12</xdr:row>
      <xdr:rowOff>211977</xdr:rowOff>
    </xdr:to>
    <xdr:pic>
      <xdr:nvPicPr>
        <xdr:cNvPr id="14" name="Imagen 13" descr="http://t0.gstatic.com/images?q=tbn:ANd9GcSOcaZYp0sCkZBRwsB3QOGfBLQf9_qr6Tcm-TdXlorb0v3BiCQ6">
          <a:hlinkClick xmlns:r="http://schemas.openxmlformats.org/officeDocument/2006/relationships" r:id="rId10" tooltip="Incidencias"/>
          <a:extLst>
            <a:ext uri="{FF2B5EF4-FFF2-40B4-BE49-F238E27FC236}">
              <a16:creationId xmlns:a16="http://schemas.microsoft.com/office/drawing/2014/main" id="{00000000-0008-0000-2300-00000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5543550" y="1276350"/>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7</xdr:col>
          <xdr:colOff>350520</xdr:colOff>
          <xdr:row>8</xdr:row>
          <xdr:rowOff>152400</xdr:rowOff>
        </xdr:from>
        <xdr:to>
          <xdr:col>8</xdr:col>
          <xdr:colOff>419100</xdr:colOff>
          <xdr:row>12</xdr:row>
          <xdr:rowOff>7620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23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2</xdr:col>
      <xdr:colOff>76736</xdr:colOff>
      <xdr:row>7</xdr:row>
      <xdr:rowOff>186409</xdr:rowOff>
    </xdr:from>
    <xdr:to>
      <xdr:col>2</xdr:col>
      <xdr:colOff>457986</xdr:colOff>
      <xdr:row>11</xdr:row>
      <xdr:rowOff>58231</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0854" y="1318203"/>
          <a:ext cx="381250" cy="391103"/>
        </a:xfrm>
        <a:prstGeom prst="rect">
          <a:avLst/>
        </a:prstGeom>
      </xdr:spPr>
    </xdr:pic>
    <xdr:clientData fPrintsWithSheet="0"/>
  </xdr:twoCellAnchor>
  <xdr:twoCellAnchor editAs="oneCell">
    <xdr:from>
      <xdr:col>2</xdr:col>
      <xdr:colOff>693976</xdr:colOff>
      <xdr:row>8</xdr:row>
      <xdr:rowOff>84453</xdr:rowOff>
    </xdr:from>
    <xdr:to>
      <xdr:col>2</xdr:col>
      <xdr:colOff>1105146</xdr:colOff>
      <xdr:row>11</xdr:row>
      <xdr:rowOff>58231</xdr:rowOff>
    </xdr:to>
    <xdr:pic>
      <xdr:nvPicPr>
        <xdr:cNvPr id="3" name="2 Imagen" descr="Logotipo de la Agencia Tributaria">
          <a:hlinkClick xmlns:r="http://schemas.openxmlformats.org/officeDocument/2006/relationships" r:id="rId3" tooltip="MESIVA"/>
          <a:extLst>
            <a:ext uri="{FF2B5EF4-FFF2-40B4-BE49-F238E27FC236}">
              <a16:creationId xmlns:a16="http://schemas.microsoft.com/office/drawing/2014/main" id="{00000000-0008-0000-2400-000003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0524" t="-2713" r="68706" b="-3123"/>
        <a:stretch/>
      </xdr:blipFill>
      <xdr:spPr bwMode="auto">
        <a:xfrm>
          <a:off x="918094" y="1406747"/>
          <a:ext cx="411170" cy="302559"/>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7</xdr:col>
      <xdr:colOff>1984459</xdr:colOff>
      <xdr:row>4</xdr:row>
      <xdr:rowOff>232268</xdr:rowOff>
    </xdr:from>
    <xdr:to>
      <xdr:col>7</xdr:col>
      <xdr:colOff>3523722</xdr:colOff>
      <xdr:row>6</xdr:row>
      <xdr:rowOff>210094</xdr:rowOff>
    </xdr:to>
    <xdr:pic>
      <xdr:nvPicPr>
        <xdr:cNvPr id="7" name="6 Imagen">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5" cstate="print"/>
        <a:srcRect/>
        <a:stretch>
          <a:fillRect/>
        </a:stretch>
      </xdr:blipFill>
      <xdr:spPr bwMode="auto">
        <a:xfrm>
          <a:off x="11977050" y="682541"/>
          <a:ext cx="1535453" cy="389652"/>
        </a:xfrm>
        <a:prstGeom prst="rect">
          <a:avLst/>
        </a:prstGeom>
        <a:noFill/>
        <a:ln w="9525">
          <a:noFill/>
          <a:miter lim="800000"/>
          <a:headEnd/>
          <a:tailEnd/>
        </a:ln>
      </xdr:spPr>
    </xdr:pic>
    <xdr:clientData/>
  </xdr:twoCellAnchor>
  <xdr:twoCellAnchor editAs="oneCell">
    <xdr:from>
      <xdr:col>2</xdr:col>
      <xdr:colOff>1341136</xdr:colOff>
      <xdr:row>7</xdr:row>
      <xdr:rowOff>69965</xdr:rowOff>
    </xdr:from>
    <xdr:to>
      <xdr:col>3</xdr:col>
      <xdr:colOff>479128</xdr:colOff>
      <xdr:row>11</xdr:row>
      <xdr:rowOff>58231</xdr:rowOff>
    </xdr:to>
    <xdr:pic>
      <xdr:nvPicPr>
        <xdr:cNvPr id="8" name="7 Imagen">
          <a:hlinkClick xmlns:r="http://schemas.openxmlformats.org/officeDocument/2006/relationships" r:id="rId6" tooltip="MES REGISTRO IVA"/>
          <a:extLst>
            <a:ext uri="{FF2B5EF4-FFF2-40B4-BE49-F238E27FC236}">
              <a16:creationId xmlns:a16="http://schemas.microsoft.com/office/drawing/2014/main" id="{00000000-0008-0000-24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65254" y="1201759"/>
          <a:ext cx="568535" cy="507547"/>
        </a:xfrm>
        <a:prstGeom prst="rect">
          <a:avLst/>
        </a:prstGeom>
      </xdr:spPr>
    </xdr:pic>
    <xdr:clientData fPrintsWithSheet="0"/>
  </xdr:twoCellAnchor>
  <xdr:twoCellAnchor editAs="absolute">
    <xdr:from>
      <xdr:col>3</xdr:col>
      <xdr:colOff>707498</xdr:colOff>
      <xdr:row>7</xdr:row>
      <xdr:rowOff>22188</xdr:rowOff>
    </xdr:from>
    <xdr:to>
      <xdr:col>3</xdr:col>
      <xdr:colOff>1272995</xdr:colOff>
      <xdr:row>11</xdr:row>
      <xdr:rowOff>58231</xdr:rowOff>
    </xdr:to>
    <xdr:pic>
      <xdr:nvPicPr>
        <xdr:cNvPr id="9" name="Imagen 8">
          <a:hlinkClick xmlns:r="http://schemas.openxmlformats.org/officeDocument/2006/relationships" r:id="rId8" tooltip="Pendientes"/>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369779" y="1165412"/>
          <a:ext cx="565497" cy="543894"/>
        </a:xfrm>
        <a:prstGeom prst="rect">
          <a:avLst/>
        </a:prstGeom>
      </xdr:spPr>
    </xdr:pic>
    <xdr:clientData fLocksWithSheet="0" fPrintsWithSheet="0"/>
  </xdr:twoCellAnchor>
  <xdr:twoCellAnchor editAs="absolute">
    <xdr:from>
      <xdr:col>3</xdr:col>
      <xdr:colOff>1503269</xdr:colOff>
      <xdr:row>7</xdr:row>
      <xdr:rowOff>39630</xdr:rowOff>
    </xdr:from>
    <xdr:to>
      <xdr:col>3</xdr:col>
      <xdr:colOff>2227215</xdr:colOff>
      <xdr:row>11</xdr:row>
      <xdr:rowOff>58231</xdr:rowOff>
    </xdr:to>
    <xdr:pic macro="[0]!VOLVER.VOLVER">
      <xdr:nvPicPr>
        <xdr:cNvPr id="10" name="Imagen 9">
          <a:extLst>
            <a:ext uri="{FF2B5EF4-FFF2-40B4-BE49-F238E27FC236}">
              <a16:creationId xmlns:a16="http://schemas.microsoft.com/office/drawing/2014/main" id="{00000000-0008-0000-2400-00000A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171265" y="1171424"/>
          <a:ext cx="718231" cy="537882"/>
        </a:xfrm>
        <a:prstGeom prst="rect">
          <a:avLst/>
        </a:prstGeom>
      </xdr:spPr>
    </xdr:pic>
    <xdr:clientData fPrintsWithSheet="0"/>
  </xdr:twoCellAnchor>
  <xdr:twoCellAnchor editAs="absolute">
    <xdr:from>
      <xdr:col>4</xdr:col>
      <xdr:colOff>762001</xdr:colOff>
      <xdr:row>7</xdr:row>
      <xdr:rowOff>97043</xdr:rowOff>
    </xdr:from>
    <xdr:to>
      <xdr:col>4</xdr:col>
      <xdr:colOff>1483770</xdr:colOff>
      <xdr:row>12</xdr:row>
      <xdr:rowOff>172308</xdr:rowOff>
    </xdr:to>
    <xdr:pic>
      <xdr:nvPicPr>
        <xdr:cNvPr id="12" name="Imagen 11" descr="http://t0.gstatic.com/images?q=tbn:ANd9GcSOcaZYp0sCkZBRwsB3QOGfBLQf9_qr6Tcm-TdXlorb0v3BiCQ6">
          <a:hlinkClick xmlns:r="http://schemas.openxmlformats.org/officeDocument/2006/relationships" r:id="rId11" tooltip="Incidencias"/>
          <a:extLst>
            <a:ext uri="{FF2B5EF4-FFF2-40B4-BE49-F238E27FC236}">
              <a16:creationId xmlns:a16="http://schemas.microsoft.com/office/drawing/2014/main" id="{00000000-0008-0000-2400-00000C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6241677" y="1232647"/>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5</xdr:col>
          <xdr:colOff>914400</xdr:colOff>
          <xdr:row>8</xdr:row>
          <xdr:rowOff>152400</xdr:rowOff>
        </xdr:from>
        <xdr:to>
          <xdr:col>6</xdr:col>
          <xdr:colOff>723900</xdr:colOff>
          <xdr:row>12</xdr:row>
          <xdr:rowOff>7620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2400-000001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2</xdr:col>
      <xdr:colOff>76736</xdr:colOff>
      <xdr:row>7</xdr:row>
      <xdr:rowOff>186409</xdr:rowOff>
    </xdr:from>
    <xdr:to>
      <xdr:col>2</xdr:col>
      <xdr:colOff>457986</xdr:colOff>
      <xdr:row>11</xdr:row>
      <xdr:rowOff>54421</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0854" y="1318203"/>
          <a:ext cx="381250" cy="391103"/>
        </a:xfrm>
        <a:prstGeom prst="rect">
          <a:avLst/>
        </a:prstGeom>
      </xdr:spPr>
    </xdr:pic>
    <xdr:clientData fPrintsWithSheet="0"/>
  </xdr:twoCellAnchor>
  <xdr:twoCellAnchor editAs="oneCell">
    <xdr:from>
      <xdr:col>2</xdr:col>
      <xdr:colOff>713586</xdr:colOff>
      <xdr:row>8</xdr:row>
      <xdr:rowOff>84453</xdr:rowOff>
    </xdr:from>
    <xdr:to>
      <xdr:col>2</xdr:col>
      <xdr:colOff>1124756</xdr:colOff>
      <xdr:row>11</xdr:row>
      <xdr:rowOff>54421</xdr:rowOff>
    </xdr:to>
    <xdr:pic>
      <xdr:nvPicPr>
        <xdr:cNvPr id="3" name="2 Imagen" descr="Logotipo de la Agencia Tributaria">
          <a:hlinkClick xmlns:r="http://schemas.openxmlformats.org/officeDocument/2006/relationships" r:id="rId3" tooltip="IVA TRIMESTRAL"/>
          <a:extLst>
            <a:ext uri="{FF2B5EF4-FFF2-40B4-BE49-F238E27FC236}">
              <a16:creationId xmlns:a16="http://schemas.microsoft.com/office/drawing/2014/main" id="{00000000-0008-0000-2500-000003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0524" t="-2713" r="68706" b="-3123"/>
        <a:stretch/>
      </xdr:blipFill>
      <xdr:spPr bwMode="auto">
        <a:xfrm>
          <a:off x="937704" y="1406747"/>
          <a:ext cx="411170" cy="302559"/>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7</xdr:col>
      <xdr:colOff>1984459</xdr:colOff>
      <xdr:row>4</xdr:row>
      <xdr:rowOff>232268</xdr:rowOff>
    </xdr:from>
    <xdr:to>
      <xdr:col>7</xdr:col>
      <xdr:colOff>3527532</xdr:colOff>
      <xdr:row>6</xdr:row>
      <xdr:rowOff>206284</xdr:rowOff>
    </xdr:to>
    <xdr:pic>
      <xdr:nvPicPr>
        <xdr:cNvPr id="4" name="3 Imagen">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5" cstate="print"/>
        <a:srcRect/>
        <a:stretch>
          <a:fillRect/>
        </a:stretch>
      </xdr:blipFill>
      <xdr:spPr bwMode="auto">
        <a:xfrm>
          <a:off x="11947609" y="670418"/>
          <a:ext cx="1535453" cy="402641"/>
        </a:xfrm>
        <a:prstGeom prst="rect">
          <a:avLst/>
        </a:prstGeom>
        <a:noFill/>
        <a:ln w="9525">
          <a:noFill/>
          <a:miter lim="800000"/>
          <a:headEnd/>
          <a:tailEnd/>
        </a:ln>
      </xdr:spPr>
    </xdr:pic>
    <xdr:clientData/>
  </xdr:twoCellAnchor>
  <xdr:twoCellAnchor editAs="oneCell">
    <xdr:from>
      <xdr:col>2</xdr:col>
      <xdr:colOff>1380356</xdr:colOff>
      <xdr:row>7</xdr:row>
      <xdr:rowOff>69965</xdr:rowOff>
    </xdr:from>
    <xdr:to>
      <xdr:col>3</xdr:col>
      <xdr:colOff>514538</xdr:colOff>
      <xdr:row>11</xdr:row>
      <xdr:rowOff>54421</xdr:rowOff>
    </xdr:to>
    <xdr:pic>
      <xdr:nvPicPr>
        <xdr:cNvPr id="5" name="4 Imagen">
          <a:hlinkClick xmlns:r="http://schemas.openxmlformats.org/officeDocument/2006/relationships" r:id="rId6" tooltip="TRIMESTRAL REGISTRO IVA"/>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604474" y="1201759"/>
          <a:ext cx="568535" cy="507547"/>
        </a:xfrm>
        <a:prstGeom prst="rect">
          <a:avLst/>
        </a:prstGeom>
      </xdr:spPr>
    </xdr:pic>
    <xdr:clientData fPrintsWithSheet="0"/>
  </xdr:twoCellAnchor>
  <xdr:twoCellAnchor editAs="absolute">
    <xdr:from>
      <xdr:col>3</xdr:col>
      <xdr:colOff>781568</xdr:colOff>
      <xdr:row>7</xdr:row>
      <xdr:rowOff>18378</xdr:rowOff>
    </xdr:from>
    <xdr:to>
      <xdr:col>3</xdr:col>
      <xdr:colOff>1335635</xdr:colOff>
      <xdr:row>11</xdr:row>
      <xdr:rowOff>54421</xdr:rowOff>
    </xdr:to>
    <xdr:pic>
      <xdr:nvPicPr>
        <xdr:cNvPr id="7" name="Imagen 6">
          <a:hlinkClick xmlns:r="http://schemas.openxmlformats.org/officeDocument/2006/relationships" r:id="rId8" tooltip="Pendientes"/>
          <a:extLst>
            <a:ext uri="{FF2B5EF4-FFF2-40B4-BE49-F238E27FC236}">
              <a16:creationId xmlns:a16="http://schemas.microsoft.com/office/drawing/2014/main" id="{00000000-0008-0000-2500-00000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428609" y="1165412"/>
          <a:ext cx="565497" cy="543894"/>
        </a:xfrm>
        <a:prstGeom prst="rect">
          <a:avLst/>
        </a:prstGeom>
      </xdr:spPr>
    </xdr:pic>
    <xdr:clientData fLocksWithSheet="0" fPrintsWithSheet="0"/>
  </xdr:twoCellAnchor>
  <xdr:twoCellAnchor editAs="absolute">
    <xdr:from>
      <xdr:col>3</xdr:col>
      <xdr:colOff>1579805</xdr:colOff>
      <xdr:row>7</xdr:row>
      <xdr:rowOff>73248</xdr:rowOff>
    </xdr:from>
    <xdr:to>
      <xdr:col>3</xdr:col>
      <xdr:colOff>2264576</xdr:colOff>
      <xdr:row>11</xdr:row>
      <xdr:rowOff>54421</xdr:rowOff>
    </xdr:to>
    <xdr:pic macro="[0]!VOLVER.VOLVER">
      <xdr:nvPicPr>
        <xdr:cNvPr id="8" name="Imagen 7">
          <a:extLst>
            <a:ext uri="{FF2B5EF4-FFF2-40B4-BE49-F238E27FC236}">
              <a16:creationId xmlns:a16="http://schemas.microsoft.com/office/drawing/2014/main" id="{00000000-0008-0000-2500-000008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249706" y="1205042"/>
          <a:ext cx="673341" cy="504264"/>
        </a:xfrm>
        <a:prstGeom prst="rect">
          <a:avLst/>
        </a:prstGeom>
      </xdr:spPr>
    </xdr:pic>
    <xdr:clientData fPrintsWithSheet="0"/>
  </xdr:twoCellAnchor>
  <xdr:twoCellAnchor editAs="absolute">
    <xdr:from>
      <xdr:col>4</xdr:col>
      <xdr:colOff>1030942</xdr:colOff>
      <xdr:row>7</xdr:row>
      <xdr:rowOff>134470</xdr:rowOff>
    </xdr:from>
    <xdr:to>
      <xdr:col>5</xdr:col>
      <xdr:colOff>247088</xdr:colOff>
      <xdr:row>12</xdr:row>
      <xdr:rowOff>192590</xdr:rowOff>
    </xdr:to>
    <xdr:pic>
      <xdr:nvPicPr>
        <xdr:cNvPr id="10" name="Imagen 9" descr="http://t0.gstatic.com/images?q=tbn:ANd9GcSOcaZYp0sCkZBRwsB3QOGfBLQf9_qr6Tcm-TdXlorb0v3BiCQ6">
          <a:hlinkClick xmlns:r="http://schemas.openxmlformats.org/officeDocument/2006/relationships" r:id="rId11" tooltip="Incidencias"/>
          <a:extLst>
            <a:ext uri="{FF2B5EF4-FFF2-40B4-BE49-F238E27FC236}">
              <a16:creationId xmlns:a16="http://schemas.microsoft.com/office/drawing/2014/main" id="{00000000-0008-0000-2500-00000A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6510618" y="1266264"/>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5</xdr:col>
          <xdr:colOff>914400</xdr:colOff>
          <xdr:row>12</xdr:row>
          <xdr:rowOff>0</xdr:rowOff>
        </xdr:from>
        <xdr:to>
          <xdr:col>6</xdr:col>
          <xdr:colOff>723900</xdr:colOff>
          <xdr:row>12</xdr:row>
          <xdr:rowOff>266700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25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2</xdr:col>
      <xdr:colOff>76736</xdr:colOff>
      <xdr:row>8</xdr:row>
      <xdr:rowOff>1904</xdr:rowOff>
    </xdr:from>
    <xdr:to>
      <xdr:col>2</xdr:col>
      <xdr:colOff>457986</xdr:colOff>
      <xdr:row>11</xdr:row>
      <xdr:rowOff>68036</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4450" y="1335404"/>
          <a:ext cx="381250" cy="392703"/>
        </a:xfrm>
        <a:prstGeom prst="rect">
          <a:avLst/>
        </a:prstGeom>
      </xdr:spPr>
    </xdr:pic>
    <xdr:clientData fPrintsWithSheet="0"/>
  </xdr:twoCellAnchor>
  <xdr:twoCellAnchor editAs="oneCell">
    <xdr:from>
      <xdr:col>7</xdr:col>
      <xdr:colOff>1984459</xdr:colOff>
      <xdr:row>4</xdr:row>
      <xdr:rowOff>232268</xdr:rowOff>
    </xdr:from>
    <xdr:to>
      <xdr:col>7</xdr:col>
      <xdr:colOff>3524674</xdr:colOff>
      <xdr:row>6</xdr:row>
      <xdr:rowOff>211046</xdr:rowOff>
    </xdr:to>
    <xdr:pic>
      <xdr:nvPicPr>
        <xdr:cNvPr id="4" name="3 Imagen">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3" cstate="print"/>
        <a:srcRect/>
        <a:stretch>
          <a:fillRect/>
        </a:stretch>
      </xdr:blipFill>
      <xdr:spPr bwMode="auto">
        <a:xfrm>
          <a:off x="11947609" y="670418"/>
          <a:ext cx="1535453" cy="402641"/>
        </a:xfrm>
        <a:prstGeom prst="rect">
          <a:avLst/>
        </a:prstGeom>
        <a:noFill/>
        <a:ln w="9525">
          <a:noFill/>
          <a:miter lim="800000"/>
          <a:headEnd/>
          <a:tailEnd/>
        </a:ln>
      </xdr:spPr>
    </xdr:pic>
    <xdr:clientData/>
  </xdr:twoCellAnchor>
  <xdr:twoCellAnchor editAs="absolute">
    <xdr:from>
      <xdr:col>2</xdr:col>
      <xdr:colOff>1230077</xdr:colOff>
      <xdr:row>7</xdr:row>
      <xdr:rowOff>45975</xdr:rowOff>
    </xdr:from>
    <xdr:to>
      <xdr:col>3</xdr:col>
      <xdr:colOff>362062</xdr:colOff>
      <xdr:row>11</xdr:row>
      <xdr:rowOff>68036</xdr:rowOff>
    </xdr:to>
    <xdr:pic>
      <xdr:nvPicPr>
        <xdr:cNvPr id="5" name="Imagen 4">
          <a:hlinkClick xmlns:r="http://schemas.openxmlformats.org/officeDocument/2006/relationships" r:id="rId4" tooltip="Pendientes"/>
          <a:extLst>
            <a:ext uri="{FF2B5EF4-FFF2-40B4-BE49-F238E27FC236}">
              <a16:creationId xmlns:a16="http://schemas.microsoft.com/office/drawing/2014/main" id="{00000000-0008-0000-26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43029" y="1184213"/>
          <a:ext cx="565497" cy="543894"/>
        </a:xfrm>
        <a:prstGeom prst="rect">
          <a:avLst/>
        </a:prstGeom>
      </xdr:spPr>
    </xdr:pic>
    <xdr:clientData fLocksWithSheet="0" fPrintsWithSheet="0"/>
  </xdr:twoCellAnchor>
  <xdr:twoCellAnchor editAs="absolute">
    <xdr:from>
      <xdr:col>3</xdr:col>
      <xdr:colOff>1134154</xdr:colOff>
      <xdr:row>7</xdr:row>
      <xdr:rowOff>18369</xdr:rowOff>
    </xdr:from>
    <xdr:to>
      <xdr:col>3</xdr:col>
      <xdr:colOff>1897275</xdr:colOff>
      <xdr:row>11</xdr:row>
      <xdr:rowOff>68036</xdr:rowOff>
    </xdr:to>
    <xdr:pic macro="[0]!VOLVER.VOLVER">
      <xdr:nvPicPr>
        <xdr:cNvPr id="6" name="Imagen 5">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775856" y="1156607"/>
          <a:ext cx="763121" cy="571500"/>
        </a:xfrm>
        <a:prstGeom prst="rect">
          <a:avLst/>
        </a:prstGeom>
      </xdr:spPr>
    </xdr:pic>
    <xdr:clientData fPrintsWithSheet="0"/>
  </xdr:twoCellAnchor>
  <xdr:twoCellAnchor editAs="absolute">
    <xdr:from>
      <xdr:col>6</xdr:col>
      <xdr:colOff>1074964</xdr:colOff>
      <xdr:row>7</xdr:row>
      <xdr:rowOff>178602</xdr:rowOff>
    </xdr:from>
    <xdr:to>
      <xdr:col>7</xdr:col>
      <xdr:colOff>427173</xdr:colOff>
      <xdr:row>12</xdr:row>
      <xdr:rowOff>236682</xdr:rowOff>
    </xdr:to>
    <xdr:pic>
      <xdr:nvPicPr>
        <xdr:cNvPr id="8" name="Imagen 7" descr="http://t0.gstatic.com/images?q=tbn:ANd9GcSOcaZYp0sCkZBRwsB3QOGfBLQf9_qr6Tcm-TdXlorb0v3BiCQ6">
          <a:hlinkClick xmlns:r="http://schemas.openxmlformats.org/officeDocument/2006/relationships" r:id="rId7" tooltip="Incidencias"/>
          <a:extLst>
            <a:ext uri="{FF2B5EF4-FFF2-40B4-BE49-F238E27FC236}">
              <a16:creationId xmlns:a16="http://schemas.microsoft.com/office/drawing/2014/main" id="{00000000-0008-0000-2600-000008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9661071" y="1321602"/>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4</xdr:col>
          <xdr:colOff>655320</xdr:colOff>
          <xdr:row>10</xdr:row>
          <xdr:rowOff>76200</xdr:rowOff>
        </xdr:from>
        <xdr:to>
          <xdr:col>5</xdr:col>
          <xdr:colOff>609600</xdr:colOff>
          <xdr:row>12</xdr:row>
          <xdr:rowOff>190500</xdr:rowOff>
        </xdr:to>
        <xdr:sp macro="" textlink="">
          <xdr:nvSpPr>
            <xdr:cNvPr id="58377" name="Button 9" hidden="1">
              <a:extLst>
                <a:ext uri="{63B3BB69-23CF-44E3-9099-C40C66FF867C}">
                  <a14:compatExt spid="_x0000_s58377"/>
                </a:ext>
                <a:ext uri="{FF2B5EF4-FFF2-40B4-BE49-F238E27FC236}">
                  <a16:creationId xmlns:a16="http://schemas.microsoft.com/office/drawing/2014/main" id="{00000000-0008-0000-2600-000009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2</xdr:col>
      <xdr:colOff>76736</xdr:colOff>
      <xdr:row>7</xdr:row>
      <xdr:rowOff>164798</xdr:rowOff>
    </xdr:from>
    <xdr:to>
      <xdr:col>2</xdr:col>
      <xdr:colOff>457986</xdr:colOff>
      <xdr:row>11</xdr:row>
      <xdr:rowOff>40430</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4450" y="1307798"/>
          <a:ext cx="381250" cy="392703"/>
        </a:xfrm>
        <a:prstGeom prst="rect">
          <a:avLst/>
        </a:prstGeom>
      </xdr:spPr>
    </xdr:pic>
    <xdr:clientData fPrintsWithSheet="0"/>
  </xdr:twoCellAnchor>
  <xdr:twoCellAnchor editAs="oneCell">
    <xdr:from>
      <xdr:col>8</xdr:col>
      <xdr:colOff>0</xdr:colOff>
      <xdr:row>2</xdr:row>
      <xdr:rowOff>33617</xdr:rowOff>
    </xdr:from>
    <xdr:to>
      <xdr:col>8</xdr:col>
      <xdr:colOff>1535453</xdr:colOff>
      <xdr:row>5</xdr:row>
      <xdr:rowOff>39649</xdr:rowOff>
    </xdr:to>
    <xdr:pic>
      <xdr:nvPicPr>
        <xdr:cNvPr id="9" name="8 Imagen">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3" cstate="print"/>
        <a:srcRect/>
        <a:stretch>
          <a:fillRect/>
        </a:stretch>
      </xdr:blipFill>
      <xdr:spPr bwMode="auto">
        <a:xfrm>
          <a:off x="12965206" y="336176"/>
          <a:ext cx="1535453" cy="409444"/>
        </a:xfrm>
        <a:prstGeom prst="rect">
          <a:avLst/>
        </a:prstGeom>
        <a:noFill/>
        <a:ln w="9525">
          <a:noFill/>
          <a:miter lim="800000"/>
          <a:headEnd/>
          <a:tailEnd/>
        </a:ln>
      </xdr:spPr>
    </xdr:pic>
    <xdr:clientData/>
  </xdr:twoCellAnchor>
  <xdr:twoCellAnchor editAs="absolute">
    <xdr:from>
      <xdr:col>2</xdr:col>
      <xdr:colOff>1286548</xdr:colOff>
      <xdr:row>7</xdr:row>
      <xdr:rowOff>13607</xdr:rowOff>
    </xdr:from>
    <xdr:to>
      <xdr:col>3</xdr:col>
      <xdr:colOff>423295</xdr:colOff>
      <xdr:row>11</xdr:row>
      <xdr:rowOff>40430</xdr:rowOff>
    </xdr:to>
    <xdr:pic>
      <xdr:nvPicPr>
        <xdr:cNvPr id="5" name="Imagen 4">
          <a:hlinkClick xmlns:r="http://schemas.openxmlformats.org/officeDocument/2006/relationships" r:id="rId4" tooltip="Pendientes"/>
          <a:extLst>
            <a:ext uri="{FF2B5EF4-FFF2-40B4-BE49-F238E27FC236}">
              <a16:creationId xmlns:a16="http://schemas.microsoft.com/office/drawing/2014/main" id="{00000000-0008-0000-27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04262" y="1156607"/>
          <a:ext cx="565497" cy="543894"/>
        </a:xfrm>
        <a:prstGeom prst="rect">
          <a:avLst/>
        </a:prstGeom>
      </xdr:spPr>
    </xdr:pic>
    <xdr:clientData fLocksWithSheet="0" fPrintsWithSheet="0"/>
  </xdr:twoCellAnchor>
  <xdr:twoCellAnchor editAs="absolute">
    <xdr:from>
      <xdr:col>3</xdr:col>
      <xdr:colOff>1251858</xdr:colOff>
      <xdr:row>7</xdr:row>
      <xdr:rowOff>37793</xdr:rowOff>
    </xdr:from>
    <xdr:to>
      <xdr:col>3</xdr:col>
      <xdr:colOff>1945822</xdr:colOff>
      <xdr:row>11</xdr:row>
      <xdr:rowOff>40430</xdr:rowOff>
    </xdr:to>
    <xdr:pic macro="[0]!VOLVER.VOLVER">
      <xdr:nvPicPr>
        <xdr:cNvPr id="6" name="Imagen 5">
          <a:extLst>
            <a:ext uri="{FF2B5EF4-FFF2-40B4-BE49-F238E27FC236}">
              <a16:creationId xmlns:a16="http://schemas.microsoft.com/office/drawing/2014/main" id="{00000000-0008-0000-27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898322" y="1180793"/>
          <a:ext cx="693964" cy="519708"/>
        </a:xfrm>
        <a:prstGeom prst="rect">
          <a:avLst/>
        </a:prstGeom>
      </xdr:spPr>
    </xdr:pic>
    <xdr:clientData fPrintsWithSheet="0"/>
  </xdr:twoCellAnchor>
  <xdr:twoCellAnchor editAs="absolute">
    <xdr:from>
      <xdr:col>3</xdr:col>
      <xdr:colOff>2375647</xdr:colOff>
      <xdr:row>7</xdr:row>
      <xdr:rowOff>112059</xdr:rowOff>
    </xdr:from>
    <xdr:to>
      <xdr:col>3</xdr:col>
      <xdr:colOff>2798058</xdr:colOff>
      <xdr:row>10</xdr:row>
      <xdr:rowOff>45422</xdr:rowOff>
    </xdr:to>
    <xdr:pic>
      <xdr:nvPicPr>
        <xdr:cNvPr id="8" name="Imagen 7" descr="http://t0.gstatic.com/images?q=tbn:ANd9GcSOcaZYp0sCkZBRwsB3QOGfBLQf9_qr6Tcm-TdXlorb0v3BiCQ6">
          <a:hlinkClick xmlns:r="http://schemas.openxmlformats.org/officeDocument/2006/relationships" r:id="rId7" tooltip="Incidencias"/>
          <a:extLst>
            <a:ext uri="{FF2B5EF4-FFF2-40B4-BE49-F238E27FC236}">
              <a16:creationId xmlns:a16="http://schemas.microsoft.com/office/drawing/2014/main" id="{00000000-0008-0000-2700-000008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4034118" y="1243853"/>
          <a:ext cx="422411" cy="3815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4</xdr:col>
          <xdr:colOff>1028700</xdr:colOff>
          <xdr:row>11</xdr:row>
          <xdr:rowOff>76200</xdr:rowOff>
        </xdr:from>
        <xdr:to>
          <xdr:col>5</xdr:col>
          <xdr:colOff>914400</xdr:colOff>
          <xdr:row>12</xdr:row>
          <xdr:rowOff>266700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2700-000001F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2</xdr:col>
      <xdr:colOff>76736</xdr:colOff>
      <xdr:row>8</xdr:row>
      <xdr:rowOff>5654</xdr:rowOff>
    </xdr:from>
    <xdr:to>
      <xdr:col>2</xdr:col>
      <xdr:colOff>457986</xdr:colOff>
      <xdr:row>11</xdr:row>
      <xdr:rowOff>71786</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8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8649" y="1438545"/>
          <a:ext cx="381250" cy="389154"/>
        </a:xfrm>
        <a:prstGeom prst="rect">
          <a:avLst/>
        </a:prstGeom>
      </xdr:spPr>
    </xdr:pic>
    <xdr:clientData fPrintsWithSheet="0"/>
  </xdr:twoCellAnchor>
  <xdr:twoCellAnchor editAs="oneCell">
    <xdr:from>
      <xdr:col>5</xdr:col>
      <xdr:colOff>3193430</xdr:colOff>
      <xdr:row>1</xdr:row>
      <xdr:rowOff>81497</xdr:rowOff>
    </xdr:from>
    <xdr:to>
      <xdr:col>6</xdr:col>
      <xdr:colOff>829235</xdr:colOff>
      <xdr:row>3</xdr:row>
      <xdr:rowOff>63088</xdr:rowOff>
    </xdr:to>
    <xdr:pic>
      <xdr:nvPicPr>
        <xdr:cNvPr id="4" name="3 Imagen">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3" cstate="print"/>
        <a:srcRect/>
        <a:stretch>
          <a:fillRect/>
        </a:stretch>
      </xdr:blipFill>
      <xdr:spPr bwMode="auto">
        <a:xfrm>
          <a:off x="10640248" y="271997"/>
          <a:ext cx="1099442" cy="230230"/>
        </a:xfrm>
        <a:prstGeom prst="rect">
          <a:avLst/>
        </a:prstGeom>
        <a:noFill/>
        <a:ln w="9525">
          <a:noFill/>
          <a:miter lim="800000"/>
          <a:headEnd/>
          <a:tailEnd/>
        </a:ln>
      </xdr:spPr>
    </xdr:pic>
    <xdr:clientData/>
  </xdr:twoCellAnchor>
  <xdr:twoCellAnchor editAs="absolute">
    <xdr:from>
      <xdr:col>2</xdr:col>
      <xdr:colOff>1134799</xdr:colOff>
      <xdr:row>7</xdr:row>
      <xdr:rowOff>41414</xdr:rowOff>
    </xdr:from>
    <xdr:to>
      <xdr:col>3</xdr:col>
      <xdr:colOff>267405</xdr:colOff>
      <xdr:row>11</xdr:row>
      <xdr:rowOff>71786</xdr:rowOff>
    </xdr:to>
    <xdr:pic>
      <xdr:nvPicPr>
        <xdr:cNvPr id="6" name="Imagen 5">
          <a:hlinkClick xmlns:r="http://schemas.openxmlformats.org/officeDocument/2006/relationships" r:id="rId4" tooltip="Pendientes"/>
          <a:extLst>
            <a:ext uri="{FF2B5EF4-FFF2-40B4-BE49-F238E27FC236}">
              <a16:creationId xmlns:a16="http://schemas.microsoft.com/office/drawing/2014/main" id="{00000000-0008-0000-28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66712" y="1283805"/>
          <a:ext cx="565497" cy="543894"/>
        </a:xfrm>
        <a:prstGeom prst="rect">
          <a:avLst/>
        </a:prstGeom>
      </xdr:spPr>
    </xdr:pic>
    <xdr:clientData fLocksWithSheet="0" fPrintsWithSheet="0"/>
  </xdr:twoCellAnchor>
  <xdr:twoCellAnchor editAs="absolute">
    <xdr:from>
      <xdr:col>3</xdr:col>
      <xdr:colOff>944218</xdr:colOff>
      <xdr:row>7</xdr:row>
      <xdr:rowOff>82878</xdr:rowOff>
    </xdr:from>
    <xdr:to>
      <xdr:col>3</xdr:col>
      <xdr:colOff>1615110</xdr:colOff>
      <xdr:row>11</xdr:row>
      <xdr:rowOff>71786</xdr:rowOff>
    </xdr:to>
    <xdr:pic macro="[0]!VOLVER.VOLVER">
      <xdr:nvPicPr>
        <xdr:cNvPr id="7" name="Imagen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609022" y="1325269"/>
          <a:ext cx="670892" cy="502430"/>
        </a:xfrm>
        <a:prstGeom prst="rect">
          <a:avLst/>
        </a:prstGeom>
      </xdr:spPr>
    </xdr:pic>
    <xdr:clientData fPrintsWithSheet="0"/>
  </xdr:twoCellAnchor>
  <xdr:twoCellAnchor editAs="absolute">
    <xdr:from>
      <xdr:col>3</xdr:col>
      <xdr:colOff>1990725</xdr:colOff>
      <xdr:row>7</xdr:row>
      <xdr:rowOff>123825</xdr:rowOff>
    </xdr:from>
    <xdr:to>
      <xdr:col>3</xdr:col>
      <xdr:colOff>2413136</xdr:colOff>
      <xdr:row>10</xdr:row>
      <xdr:rowOff>57748</xdr:rowOff>
    </xdr:to>
    <xdr:pic>
      <xdr:nvPicPr>
        <xdr:cNvPr id="9" name="Imagen 8" descr="http://t0.gstatic.com/images?q=tbn:ANd9GcSOcaZYp0sCkZBRwsB3QOGfBLQf9_qr6Tcm-TdXlorb0v3BiCQ6">
          <a:hlinkClick xmlns:r="http://schemas.openxmlformats.org/officeDocument/2006/relationships" r:id="rId7" tooltip="Incidencias"/>
          <a:extLst>
            <a:ext uri="{FF2B5EF4-FFF2-40B4-BE49-F238E27FC236}">
              <a16:creationId xmlns:a16="http://schemas.microsoft.com/office/drawing/2014/main" id="{00000000-0008-0000-2800-000009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648075" y="1362075"/>
          <a:ext cx="422411" cy="3815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2.xml><?xml version="1.0" encoding="utf-8"?>
<xdr:wsDr xmlns:xdr="http://schemas.openxmlformats.org/drawingml/2006/spreadsheetDrawing" xmlns:a="http://schemas.openxmlformats.org/drawingml/2006/main">
  <xdr:twoCellAnchor editAs="oneCell">
    <xdr:from>
      <xdr:col>5</xdr:col>
      <xdr:colOff>199201</xdr:colOff>
      <xdr:row>17</xdr:row>
      <xdr:rowOff>27924</xdr:rowOff>
    </xdr:from>
    <xdr:to>
      <xdr:col>5</xdr:col>
      <xdr:colOff>582356</xdr:colOff>
      <xdr:row>18</xdr:row>
      <xdr:rowOff>189306</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9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213808" y="2395567"/>
          <a:ext cx="381250" cy="392703"/>
        </a:xfrm>
        <a:prstGeom prst="rect">
          <a:avLst/>
        </a:prstGeom>
      </xdr:spPr>
    </xdr:pic>
    <xdr:clientData fPrintsWithSheet="0"/>
  </xdr:twoCellAnchor>
  <xdr:twoCellAnchor editAs="absolute">
    <xdr:from>
      <xdr:col>5</xdr:col>
      <xdr:colOff>639956</xdr:colOff>
      <xdr:row>16</xdr:row>
      <xdr:rowOff>104550</xdr:rowOff>
    </xdr:from>
    <xdr:to>
      <xdr:col>5</xdr:col>
      <xdr:colOff>1211857</xdr:colOff>
      <xdr:row>18</xdr:row>
      <xdr:rowOff>189306</xdr:rowOff>
    </xdr:to>
    <xdr:pic>
      <xdr:nvPicPr>
        <xdr:cNvPr id="10" name="Imagen 9">
          <a:hlinkClick xmlns:r="http://schemas.openxmlformats.org/officeDocument/2006/relationships" r:id="rId3" tooltip="Pendientes"/>
          <a:extLst>
            <a:ext uri="{FF2B5EF4-FFF2-40B4-BE49-F238E27FC236}">
              <a16:creationId xmlns:a16="http://schemas.microsoft.com/office/drawing/2014/main" id="{00000000-0008-0000-29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656468" y="2242776"/>
          <a:ext cx="571901" cy="545494"/>
        </a:xfrm>
        <a:prstGeom prst="rect">
          <a:avLst/>
        </a:prstGeom>
      </xdr:spPr>
    </xdr:pic>
    <xdr:clientData fLocksWithSheet="0" fPrintsWithSheet="0"/>
  </xdr:twoCellAnchor>
  <xdr:twoCellAnchor editAs="absolute">
    <xdr:from>
      <xdr:col>5</xdr:col>
      <xdr:colOff>1278982</xdr:colOff>
      <xdr:row>16</xdr:row>
      <xdr:rowOff>177797</xdr:rowOff>
    </xdr:from>
    <xdr:to>
      <xdr:col>6</xdr:col>
      <xdr:colOff>527398</xdr:colOff>
      <xdr:row>18</xdr:row>
      <xdr:rowOff>189306</xdr:rowOff>
    </xdr:to>
    <xdr:pic macro="[0]!VOLVER.VOLVER">
      <xdr:nvPicPr>
        <xdr:cNvPr id="11" name="Imagen 10">
          <a:extLst>
            <a:ext uri="{FF2B5EF4-FFF2-40B4-BE49-F238E27FC236}">
              <a16:creationId xmlns:a16="http://schemas.microsoft.com/office/drawing/2014/main" id="{00000000-0008-0000-29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289779" y="2316023"/>
          <a:ext cx="628453" cy="472247"/>
        </a:xfrm>
        <a:prstGeom prst="rect">
          <a:avLst/>
        </a:prstGeom>
      </xdr:spPr>
    </xdr:pic>
    <xdr:clientData fPrintsWithSheet="0"/>
  </xdr:twoCellAnchor>
  <xdr:twoCellAnchor editAs="absolute">
    <xdr:from>
      <xdr:col>6</xdr:col>
      <xdr:colOff>586902</xdr:colOff>
      <xdr:row>16</xdr:row>
      <xdr:rowOff>127303</xdr:rowOff>
    </xdr:from>
    <xdr:to>
      <xdr:col>6</xdr:col>
      <xdr:colOff>1164454</xdr:colOff>
      <xdr:row>18</xdr:row>
      <xdr:rowOff>189306</xdr:rowOff>
    </xdr:to>
    <xdr:pic>
      <xdr:nvPicPr>
        <xdr:cNvPr id="12" name="Imagen 11" descr="http://t0.gstatic.com/images?q=tbn:ANd9GcSOcaZYp0sCkZBRwsB3QOGfBLQf9_qr6Tcm-TdXlorb0v3BiCQ6">
          <a:hlinkClick xmlns:r="http://schemas.openxmlformats.org/officeDocument/2006/relationships" r:id="rId6" tooltip="INCIDENCIAS"/>
          <a:extLst>
            <a:ext uri="{FF2B5EF4-FFF2-40B4-BE49-F238E27FC236}">
              <a16:creationId xmlns:a16="http://schemas.microsoft.com/office/drawing/2014/main" id="{00000000-0008-0000-2900-00000C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9979641" y="2261719"/>
          <a:ext cx="577552" cy="526551"/>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mc:AlternateContent xmlns:mc="http://schemas.openxmlformats.org/markup-compatibility/2006">
    <mc:Choice xmlns:a14="http://schemas.microsoft.com/office/drawing/2010/main" Requires="a14">
      <xdr:twoCellAnchor>
        <xdr:from>
          <xdr:col>4</xdr:col>
          <xdr:colOff>190500</xdr:colOff>
          <xdr:row>11</xdr:row>
          <xdr:rowOff>45720</xdr:rowOff>
        </xdr:from>
        <xdr:to>
          <xdr:col>6</xdr:col>
          <xdr:colOff>190500</xdr:colOff>
          <xdr:row>12</xdr:row>
          <xdr:rowOff>236220</xdr:rowOff>
        </xdr:to>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2900-0000021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BORRAR</a:t>
              </a:r>
            </a:p>
          </xdr:txBody>
        </xdr:sp>
        <xdr:clientData fLocksWithSheet="0"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3</xdr:col>
      <xdr:colOff>3960225</xdr:colOff>
      <xdr:row>4</xdr:row>
      <xdr:rowOff>81643</xdr:rowOff>
    </xdr:from>
    <xdr:to>
      <xdr:col>3</xdr:col>
      <xdr:colOff>4341475</xdr:colOff>
      <xdr:row>5</xdr:row>
      <xdr:rowOff>92347</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A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80761" y="612322"/>
          <a:ext cx="381250" cy="385989"/>
        </a:xfrm>
        <a:prstGeom prst="rect">
          <a:avLst/>
        </a:prstGeom>
      </xdr:spPr>
    </xdr:pic>
    <xdr:clientData fPrintsWithSheet="0"/>
  </xdr:twoCellAnchor>
  <xdr:twoCellAnchor editAs="absolute">
    <xdr:from>
      <xdr:col>3</xdr:col>
      <xdr:colOff>857250</xdr:colOff>
      <xdr:row>4</xdr:row>
      <xdr:rowOff>92120</xdr:rowOff>
    </xdr:from>
    <xdr:to>
      <xdr:col>3</xdr:col>
      <xdr:colOff>1393704</xdr:colOff>
      <xdr:row>6</xdr:row>
      <xdr:rowOff>59254</xdr:rowOff>
    </xdr:to>
    <xdr:pic>
      <xdr:nvPicPr>
        <xdr:cNvPr id="3" name="Imagen 2">
          <a:hlinkClick xmlns:r="http://schemas.openxmlformats.org/officeDocument/2006/relationships" r:id="rId3" tooltip="Pendientes"/>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77786" y="612322"/>
          <a:ext cx="537407" cy="522849"/>
        </a:xfrm>
        <a:prstGeom prst="rect">
          <a:avLst/>
        </a:prstGeom>
      </xdr:spPr>
    </xdr:pic>
    <xdr:clientData fLocksWithSheet="0" fPrintsWithSheet="0"/>
  </xdr:twoCellAnchor>
  <xdr:twoCellAnchor editAs="absolute">
    <xdr:from>
      <xdr:col>3</xdr:col>
      <xdr:colOff>1807233</xdr:colOff>
      <xdr:row>4</xdr:row>
      <xdr:rowOff>92120</xdr:rowOff>
    </xdr:from>
    <xdr:to>
      <xdr:col>3</xdr:col>
      <xdr:colOff>2423092</xdr:colOff>
      <xdr:row>6</xdr:row>
      <xdr:rowOff>19275</xdr:rowOff>
    </xdr:to>
    <xdr:pic macro="[0]!VOLVER.VOLVER">
      <xdr:nvPicPr>
        <xdr:cNvPr id="4" name="Imagen 3">
          <a:extLst>
            <a:ext uri="{FF2B5EF4-FFF2-40B4-BE49-F238E27FC236}">
              <a16:creationId xmlns:a16="http://schemas.microsoft.com/office/drawing/2014/main" id="{00000000-0008-0000-2A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822054" y="612322"/>
          <a:ext cx="627289" cy="477155"/>
        </a:xfrm>
        <a:prstGeom prst="rect">
          <a:avLst/>
        </a:prstGeom>
      </xdr:spPr>
    </xdr:pic>
    <xdr:clientData fPrintsWithSheet="0"/>
  </xdr:twoCellAnchor>
  <xdr:twoCellAnchor editAs="absolute">
    <xdr:from>
      <xdr:col>3</xdr:col>
      <xdr:colOff>2840430</xdr:colOff>
      <xdr:row>4</xdr:row>
      <xdr:rowOff>92120</xdr:rowOff>
    </xdr:from>
    <xdr:to>
      <xdr:col>3</xdr:col>
      <xdr:colOff>3559079</xdr:colOff>
      <xdr:row>6</xdr:row>
      <xdr:rowOff>174556</xdr:rowOff>
    </xdr:to>
    <xdr:pic>
      <xdr:nvPicPr>
        <xdr:cNvPr id="5" name="Imagen 4" descr="http://t0.gstatic.com/images?q=tbn:ANd9GcSOcaZYp0sCkZBRwsB3QOGfBLQf9_qr6Tcm-TdXlorb0v3BiCQ6">
          <a:hlinkClick xmlns:r="http://schemas.openxmlformats.org/officeDocument/2006/relationships" r:id="rId6" tooltip="Incidencias"/>
          <a:extLst>
            <a:ext uri="{FF2B5EF4-FFF2-40B4-BE49-F238E27FC236}">
              <a16:creationId xmlns:a16="http://schemas.microsoft.com/office/drawing/2014/main" id="{00000000-0008-0000-2A00-00000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3856204" y="612322"/>
          <a:ext cx="717696" cy="638151"/>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4.xml><?xml version="1.0" encoding="utf-8"?>
<xdr:wsDr xmlns:xdr="http://schemas.openxmlformats.org/drawingml/2006/spreadsheetDrawing" xmlns:a="http://schemas.openxmlformats.org/drawingml/2006/main">
  <xdr:twoCellAnchor editAs="oneCell">
    <xdr:from>
      <xdr:col>10</xdr:col>
      <xdr:colOff>226488</xdr:colOff>
      <xdr:row>4</xdr:row>
      <xdr:rowOff>360675</xdr:rowOff>
    </xdr:from>
    <xdr:to>
      <xdr:col>10</xdr:col>
      <xdr:colOff>607738</xdr:colOff>
      <xdr:row>6</xdr:row>
      <xdr:rowOff>218987</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B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348576" y="898557"/>
          <a:ext cx="381250" cy="396195"/>
        </a:xfrm>
        <a:prstGeom prst="rect">
          <a:avLst/>
        </a:prstGeom>
      </xdr:spPr>
    </xdr:pic>
    <xdr:clientData fPrintsWithSheet="0"/>
  </xdr:twoCellAnchor>
  <xdr:twoCellAnchor editAs="absolute">
    <xdr:from>
      <xdr:col>7</xdr:col>
      <xdr:colOff>193925</xdr:colOff>
      <xdr:row>4</xdr:row>
      <xdr:rowOff>360675</xdr:rowOff>
    </xdr:from>
    <xdr:to>
      <xdr:col>7</xdr:col>
      <xdr:colOff>731332</xdr:colOff>
      <xdr:row>7</xdr:row>
      <xdr:rowOff>128328</xdr:rowOff>
    </xdr:to>
    <xdr:pic>
      <xdr:nvPicPr>
        <xdr:cNvPr id="7" name="Imagen 6">
          <a:hlinkClick xmlns:r="http://schemas.openxmlformats.org/officeDocument/2006/relationships" r:id="rId3" tooltip="Pendientes"/>
          <a:extLst>
            <a:ext uri="{FF2B5EF4-FFF2-40B4-BE49-F238E27FC236}">
              <a16:creationId xmlns:a16="http://schemas.microsoft.com/office/drawing/2014/main" id="{00000000-0008-0000-2B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245601" y="898557"/>
          <a:ext cx="537407" cy="529653"/>
        </a:xfrm>
        <a:prstGeom prst="rect">
          <a:avLst/>
        </a:prstGeom>
      </xdr:spPr>
    </xdr:pic>
    <xdr:clientData fLocksWithSheet="0" fPrintsWithSheet="0"/>
  </xdr:twoCellAnchor>
  <xdr:twoCellAnchor editAs="absolute">
    <xdr:from>
      <xdr:col>8</xdr:col>
      <xdr:colOff>51222</xdr:colOff>
      <xdr:row>4</xdr:row>
      <xdr:rowOff>360675</xdr:rowOff>
    </xdr:from>
    <xdr:to>
      <xdr:col>8</xdr:col>
      <xdr:colOff>678511</xdr:colOff>
      <xdr:row>7</xdr:row>
      <xdr:rowOff>82634</xdr:rowOff>
    </xdr:to>
    <xdr:pic macro="[0]!VOLVER.VOLVER">
      <xdr:nvPicPr>
        <xdr:cNvPr id="8" name="Imagen 7">
          <a:extLst>
            <a:ext uri="{FF2B5EF4-FFF2-40B4-BE49-F238E27FC236}">
              <a16:creationId xmlns:a16="http://schemas.microsoft.com/office/drawing/2014/main" id="{00000000-0008-0000-2B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189869" y="898557"/>
          <a:ext cx="627289" cy="483959"/>
        </a:xfrm>
        <a:prstGeom prst="rect">
          <a:avLst/>
        </a:prstGeom>
      </xdr:spPr>
    </xdr:pic>
    <xdr:clientData fPrintsWithSheet="0"/>
  </xdr:twoCellAnchor>
  <xdr:twoCellAnchor editAs="absolute">
    <xdr:from>
      <xdr:col>9</xdr:col>
      <xdr:colOff>132872</xdr:colOff>
      <xdr:row>4</xdr:row>
      <xdr:rowOff>360675</xdr:rowOff>
    </xdr:from>
    <xdr:to>
      <xdr:col>9</xdr:col>
      <xdr:colOff>850568</xdr:colOff>
      <xdr:row>12</xdr:row>
      <xdr:rowOff>63335</xdr:rowOff>
    </xdr:to>
    <xdr:pic>
      <xdr:nvPicPr>
        <xdr:cNvPr id="13" name="Imagen 12" descr="http://t0.gstatic.com/images?q=tbn:ANd9GcSOcaZYp0sCkZBRwsB3QOGfBLQf9_qr6Tcm-TdXlorb0v3BiCQ6">
          <a:hlinkClick xmlns:r="http://schemas.openxmlformats.org/officeDocument/2006/relationships" r:id="rId6" tooltip="Incidencias"/>
          <a:extLst>
            <a:ext uri="{FF2B5EF4-FFF2-40B4-BE49-F238E27FC236}">
              <a16:creationId xmlns:a16="http://schemas.microsoft.com/office/drawing/2014/main" id="{00000000-0008-0000-2B00-00000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2224019" y="898557"/>
          <a:ext cx="717696" cy="65516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5.xml><?xml version="1.0" encoding="utf-8"?>
<xdr:wsDr xmlns:xdr="http://schemas.openxmlformats.org/drawingml/2006/spreadsheetDrawing" xmlns:a="http://schemas.openxmlformats.org/drawingml/2006/main">
  <xdr:twoCellAnchor editAs="oneCell">
    <xdr:from>
      <xdr:col>2</xdr:col>
      <xdr:colOff>76736</xdr:colOff>
      <xdr:row>7</xdr:row>
      <xdr:rowOff>175203</xdr:rowOff>
    </xdr:from>
    <xdr:to>
      <xdr:col>2</xdr:col>
      <xdr:colOff>76736</xdr:colOff>
      <xdr:row>12</xdr:row>
      <xdr:rowOff>60360</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C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336" y="1409643"/>
          <a:ext cx="381250" cy="378552"/>
        </a:xfrm>
        <a:prstGeom prst="rect">
          <a:avLst/>
        </a:prstGeom>
      </xdr:spPr>
    </xdr:pic>
    <xdr:clientData fPrintsWithSheet="0"/>
  </xdr:twoCellAnchor>
  <xdr:twoCellAnchor editAs="oneCell">
    <xdr:from>
      <xdr:col>8</xdr:col>
      <xdr:colOff>1387929</xdr:colOff>
      <xdr:row>4</xdr:row>
      <xdr:rowOff>40822</xdr:rowOff>
    </xdr:from>
    <xdr:to>
      <xdr:col>8</xdr:col>
      <xdr:colOff>1395549</xdr:colOff>
      <xdr:row>5</xdr:row>
      <xdr:rowOff>74857</xdr:rowOff>
    </xdr:to>
    <xdr:pic>
      <xdr:nvPicPr>
        <xdr:cNvPr id="3" name="6 Imagen">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3" cstate="print"/>
        <a:srcRect/>
        <a:stretch>
          <a:fillRect/>
        </a:stretch>
      </xdr:blipFill>
      <xdr:spPr bwMode="auto">
        <a:xfrm>
          <a:off x="12673149" y="581842"/>
          <a:ext cx="1137067" cy="216915"/>
        </a:xfrm>
        <a:prstGeom prst="rect">
          <a:avLst/>
        </a:prstGeom>
        <a:noFill/>
        <a:ln w="9525">
          <a:noFill/>
          <a:miter lim="800000"/>
          <a:headEnd/>
          <a:tailEnd/>
        </a:ln>
      </xdr:spPr>
    </xdr:pic>
    <xdr:clientData/>
  </xdr:twoCellAnchor>
  <xdr:twoCellAnchor editAs="oneCell">
    <xdr:from>
      <xdr:col>9</xdr:col>
      <xdr:colOff>1197975</xdr:colOff>
      <xdr:row>4</xdr:row>
      <xdr:rowOff>114300</xdr:rowOff>
    </xdr:from>
    <xdr:to>
      <xdr:col>10</xdr:col>
      <xdr:colOff>170795</xdr:colOff>
      <xdr:row>6</xdr:row>
      <xdr:rowOff>78695</xdr:rowOff>
    </xdr:to>
    <xdr:pic>
      <xdr:nvPicPr>
        <xdr:cNvPr id="4" name="1 Imagen">
          <a:hlinkClick xmlns:r="http://schemas.openxmlformats.org/officeDocument/2006/relationships" r:id="rId1" tooltip="MENU"/>
          <a:extLst>
            <a:ext uri="{FF2B5EF4-FFF2-40B4-BE49-F238E27FC236}">
              <a16:creationId xmlns:a16="http://schemas.microsoft.com/office/drawing/2014/main" id="{00000000-0008-0000-2C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605875" y="660400"/>
          <a:ext cx="381250" cy="396195"/>
        </a:xfrm>
        <a:prstGeom prst="rect">
          <a:avLst/>
        </a:prstGeom>
      </xdr:spPr>
    </xdr:pic>
    <xdr:clientData fPrintsWithSheet="0"/>
  </xdr:twoCellAnchor>
  <xdr:twoCellAnchor editAs="absolute">
    <xdr:from>
      <xdr:col>7</xdr:col>
      <xdr:colOff>631825</xdr:colOff>
      <xdr:row>4</xdr:row>
      <xdr:rowOff>114300</xdr:rowOff>
    </xdr:from>
    <xdr:to>
      <xdr:col>7</xdr:col>
      <xdr:colOff>1181932</xdr:colOff>
      <xdr:row>6</xdr:row>
      <xdr:rowOff>212153</xdr:rowOff>
    </xdr:to>
    <xdr:pic>
      <xdr:nvPicPr>
        <xdr:cNvPr id="5" name="Imagen 4">
          <a:hlinkClick xmlns:r="http://schemas.openxmlformats.org/officeDocument/2006/relationships" r:id="rId4" tooltip="Pendientes"/>
          <a:extLst>
            <a:ext uri="{FF2B5EF4-FFF2-40B4-BE49-F238E27FC236}">
              <a16:creationId xmlns:a16="http://schemas.microsoft.com/office/drawing/2014/main" id="{00000000-0008-0000-2C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502900" y="660400"/>
          <a:ext cx="537407" cy="529653"/>
        </a:xfrm>
        <a:prstGeom prst="rect">
          <a:avLst/>
        </a:prstGeom>
      </xdr:spPr>
    </xdr:pic>
    <xdr:clientData fLocksWithSheet="0" fPrintsWithSheet="0"/>
  </xdr:twoCellAnchor>
  <xdr:twoCellAnchor editAs="absolute">
    <xdr:from>
      <xdr:col>8</xdr:col>
      <xdr:colOff>188618</xdr:colOff>
      <xdr:row>4</xdr:row>
      <xdr:rowOff>114300</xdr:rowOff>
    </xdr:from>
    <xdr:to>
      <xdr:col>8</xdr:col>
      <xdr:colOff>815907</xdr:colOff>
      <xdr:row>6</xdr:row>
      <xdr:rowOff>174079</xdr:rowOff>
    </xdr:to>
    <xdr:pic macro="[0]!VOLVER.VOLVER">
      <xdr:nvPicPr>
        <xdr:cNvPr id="6" name="Imagen 5">
          <a:extLst>
            <a:ext uri="{FF2B5EF4-FFF2-40B4-BE49-F238E27FC236}">
              <a16:creationId xmlns:a16="http://schemas.microsoft.com/office/drawing/2014/main" id="{00000000-0008-0000-2C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447168" y="660400"/>
          <a:ext cx="627289" cy="483959"/>
        </a:xfrm>
        <a:prstGeom prst="rect">
          <a:avLst/>
        </a:prstGeom>
      </xdr:spPr>
    </xdr:pic>
    <xdr:clientData fPrintsWithSheet="0"/>
  </xdr:twoCellAnchor>
  <xdr:twoCellAnchor editAs="absolute">
    <xdr:from>
      <xdr:col>8</xdr:col>
      <xdr:colOff>1235468</xdr:colOff>
      <xdr:row>4</xdr:row>
      <xdr:rowOff>114300</xdr:rowOff>
    </xdr:from>
    <xdr:to>
      <xdr:col>9</xdr:col>
      <xdr:colOff>549179</xdr:colOff>
      <xdr:row>7</xdr:row>
      <xdr:rowOff>55720</xdr:rowOff>
    </xdr:to>
    <xdr:pic>
      <xdr:nvPicPr>
        <xdr:cNvPr id="7" name="Imagen 6" descr="http://t0.gstatic.com/images?q=tbn:ANd9GcSOcaZYp0sCkZBRwsB3QOGfBLQf9_qr6Tcm-TdXlorb0v3BiCQ6">
          <a:hlinkClick xmlns:r="http://schemas.openxmlformats.org/officeDocument/2006/relationships" r:id="rId7" tooltip="Incidencias"/>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481318" y="660400"/>
          <a:ext cx="717696" cy="65516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6.xml><?xml version="1.0" encoding="utf-8"?>
<xdr:wsDr xmlns:xdr="http://schemas.openxmlformats.org/drawingml/2006/spreadsheetDrawing" xmlns:a="http://schemas.openxmlformats.org/drawingml/2006/main">
  <xdr:twoCellAnchor editAs="oneCell">
    <xdr:from>
      <xdr:col>2</xdr:col>
      <xdr:colOff>76736</xdr:colOff>
      <xdr:row>7</xdr:row>
      <xdr:rowOff>175203</xdr:rowOff>
    </xdr:from>
    <xdr:to>
      <xdr:col>2</xdr:col>
      <xdr:colOff>76736</xdr:colOff>
      <xdr:row>12</xdr:row>
      <xdr:rowOff>47775</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D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336" y="1409643"/>
          <a:ext cx="0" cy="271872"/>
        </a:xfrm>
        <a:prstGeom prst="rect">
          <a:avLst/>
        </a:prstGeom>
      </xdr:spPr>
    </xdr:pic>
    <xdr:clientData fPrintsWithSheet="0"/>
  </xdr:twoCellAnchor>
  <xdr:twoCellAnchor editAs="oneCell">
    <xdr:from>
      <xdr:col>8</xdr:col>
      <xdr:colOff>1387929</xdr:colOff>
      <xdr:row>4</xdr:row>
      <xdr:rowOff>40822</xdr:rowOff>
    </xdr:from>
    <xdr:to>
      <xdr:col>8</xdr:col>
      <xdr:colOff>1387929</xdr:colOff>
      <xdr:row>5</xdr:row>
      <xdr:rowOff>158677</xdr:rowOff>
    </xdr:to>
    <xdr:pic>
      <xdr:nvPicPr>
        <xdr:cNvPr id="3" name="6 Imagen">
          <a:extLst>
            <a:ext uri="{FF2B5EF4-FFF2-40B4-BE49-F238E27FC236}">
              <a16:creationId xmlns:a16="http://schemas.microsoft.com/office/drawing/2014/main" id="{00000000-0008-0000-2D00-000003000000}"/>
            </a:ext>
          </a:extLst>
        </xdr:cNvPr>
        <xdr:cNvPicPr/>
      </xdr:nvPicPr>
      <xdr:blipFill>
        <a:blip xmlns:r="http://schemas.openxmlformats.org/officeDocument/2006/relationships" r:embed="rId3" cstate="print"/>
        <a:srcRect/>
        <a:stretch>
          <a:fillRect/>
        </a:stretch>
      </xdr:blipFill>
      <xdr:spPr bwMode="auto">
        <a:xfrm>
          <a:off x="12673149" y="581842"/>
          <a:ext cx="0" cy="300735"/>
        </a:xfrm>
        <a:prstGeom prst="rect">
          <a:avLst/>
        </a:prstGeom>
        <a:noFill/>
        <a:ln w="9525">
          <a:noFill/>
          <a:miter lim="800000"/>
          <a:headEnd/>
          <a:tailEnd/>
        </a:ln>
      </xdr:spPr>
    </xdr:pic>
    <xdr:clientData/>
  </xdr:twoCellAnchor>
  <xdr:twoCellAnchor editAs="oneCell">
    <xdr:from>
      <xdr:col>9</xdr:col>
      <xdr:colOff>1185275</xdr:colOff>
      <xdr:row>4</xdr:row>
      <xdr:rowOff>25400</xdr:rowOff>
    </xdr:from>
    <xdr:to>
      <xdr:col>10</xdr:col>
      <xdr:colOff>169525</xdr:colOff>
      <xdr:row>5</xdr:row>
      <xdr:rowOff>154895</xdr:rowOff>
    </xdr:to>
    <xdr:pic>
      <xdr:nvPicPr>
        <xdr:cNvPr id="4" name="1 Imagen">
          <a:hlinkClick xmlns:r="http://schemas.openxmlformats.org/officeDocument/2006/relationships" r:id="rId1" tooltip="MENU"/>
          <a:extLst>
            <a:ext uri="{FF2B5EF4-FFF2-40B4-BE49-F238E27FC236}">
              <a16:creationId xmlns:a16="http://schemas.microsoft.com/office/drawing/2014/main" id="{00000000-0008-0000-2D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3175" y="571500"/>
          <a:ext cx="381250" cy="396195"/>
        </a:xfrm>
        <a:prstGeom prst="rect">
          <a:avLst/>
        </a:prstGeom>
      </xdr:spPr>
    </xdr:pic>
    <xdr:clientData fPrintsWithSheet="0"/>
  </xdr:twoCellAnchor>
  <xdr:twoCellAnchor editAs="absolute">
    <xdr:from>
      <xdr:col>7</xdr:col>
      <xdr:colOff>677141</xdr:colOff>
      <xdr:row>4</xdr:row>
      <xdr:rowOff>25400</xdr:rowOff>
    </xdr:from>
    <xdr:to>
      <xdr:col>7</xdr:col>
      <xdr:colOff>1220320</xdr:colOff>
      <xdr:row>6</xdr:row>
      <xdr:rowOff>123253</xdr:rowOff>
    </xdr:to>
    <xdr:pic>
      <xdr:nvPicPr>
        <xdr:cNvPr id="5" name="Imagen 4">
          <a:hlinkClick xmlns:r="http://schemas.openxmlformats.org/officeDocument/2006/relationships" r:id="rId4" tooltip="Pendientes"/>
          <a:extLst>
            <a:ext uri="{FF2B5EF4-FFF2-40B4-BE49-F238E27FC236}">
              <a16:creationId xmlns:a16="http://schemas.microsoft.com/office/drawing/2014/main" id="{00000000-0008-0000-2D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490200" y="571500"/>
          <a:ext cx="537407" cy="529653"/>
        </a:xfrm>
        <a:prstGeom prst="rect">
          <a:avLst/>
        </a:prstGeom>
      </xdr:spPr>
    </xdr:pic>
    <xdr:clientData fLocksWithSheet="0" fPrintsWithSheet="0"/>
  </xdr:twoCellAnchor>
  <xdr:twoCellAnchor editAs="absolute">
    <xdr:from>
      <xdr:col>8</xdr:col>
      <xdr:colOff>224409</xdr:colOff>
      <xdr:row>4</xdr:row>
      <xdr:rowOff>25400</xdr:rowOff>
    </xdr:from>
    <xdr:to>
      <xdr:col>8</xdr:col>
      <xdr:colOff>851698</xdr:colOff>
      <xdr:row>6</xdr:row>
      <xdr:rowOff>77559</xdr:rowOff>
    </xdr:to>
    <xdr:pic macro="[0]!VOLVER.VOLVER">
      <xdr:nvPicPr>
        <xdr:cNvPr id="6" name="Imagen 5">
          <a:extLst>
            <a:ext uri="{FF2B5EF4-FFF2-40B4-BE49-F238E27FC236}">
              <a16:creationId xmlns:a16="http://schemas.microsoft.com/office/drawing/2014/main" id="{00000000-0008-0000-2D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434468" y="571500"/>
          <a:ext cx="627289" cy="483959"/>
        </a:xfrm>
        <a:prstGeom prst="rect">
          <a:avLst/>
        </a:prstGeom>
      </xdr:spPr>
    </xdr:pic>
    <xdr:clientData fPrintsWithSheet="0"/>
  </xdr:twoCellAnchor>
  <xdr:twoCellAnchor editAs="absolute">
    <xdr:from>
      <xdr:col>8</xdr:col>
      <xdr:colOff>1264332</xdr:colOff>
      <xdr:row>4</xdr:row>
      <xdr:rowOff>25400</xdr:rowOff>
    </xdr:from>
    <xdr:to>
      <xdr:col>9</xdr:col>
      <xdr:colOff>579255</xdr:colOff>
      <xdr:row>6</xdr:row>
      <xdr:rowOff>248760</xdr:rowOff>
    </xdr:to>
    <xdr:pic>
      <xdr:nvPicPr>
        <xdr:cNvPr id="7" name="Imagen 6" descr="http://t0.gstatic.com/images?q=tbn:ANd9GcSOcaZYp0sCkZBRwsB3QOGfBLQf9_qr6Tcm-TdXlorb0v3BiCQ6">
          <a:hlinkClick xmlns:r="http://schemas.openxmlformats.org/officeDocument/2006/relationships" r:id="rId7" tooltip="Incidencias"/>
          <a:extLst>
            <a:ext uri="{FF2B5EF4-FFF2-40B4-BE49-F238E27FC236}">
              <a16:creationId xmlns:a16="http://schemas.microsoft.com/office/drawing/2014/main" id="{00000000-0008-0000-2D00-00000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468618" y="571500"/>
          <a:ext cx="717696" cy="65516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7.xml><?xml version="1.0" encoding="utf-8"?>
<xdr:wsDr xmlns:xdr="http://schemas.openxmlformats.org/drawingml/2006/spreadsheetDrawing" xmlns:a="http://schemas.openxmlformats.org/drawingml/2006/main">
  <xdr:twoCellAnchor editAs="oneCell">
    <xdr:from>
      <xdr:col>2</xdr:col>
      <xdr:colOff>76736</xdr:colOff>
      <xdr:row>7</xdr:row>
      <xdr:rowOff>175203</xdr:rowOff>
    </xdr:from>
    <xdr:to>
      <xdr:col>2</xdr:col>
      <xdr:colOff>457986</xdr:colOff>
      <xdr:row>11</xdr:row>
      <xdr:rowOff>50835</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0854" y="1407850"/>
          <a:ext cx="381250" cy="391103"/>
        </a:xfrm>
        <a:prstGeom prst="rect">
          <a:avLst/>
        </a:prstGeom>
      </xdr:spPr>
    </xdr:pic>
    <xdr:clientData fPrintsWithSheet="0"/>
  </xdr:twoCellAnchor>
  <xdr:twoCellAnchor editAs="oneCell">
    <xdr:from>
      <xdr:col>8</xdr:col>
      <xdr:colOff>1387929</xdr:colOff>
      <xdr:row>4</xdr:row>
      <xdr:rowOff>40822</xdr:rowOff>
    </xdr:from>
    <xdr:to>
      <xdr:col>9</xdr:col>
      <xdr:colOff>1084816</xdr:colOff>
      <xdr:row>4</xdr:row>
      <xdr:rowOff>257737</xdr:rowOff>
    </xdr:to>
    <xdr:pic>
      <xdr:nvPicPr>
        <xdr:cNvPr id="10" name="6 Imagen">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3" cstate="print"/>
        <a:srcRect/>
        <a:stretch>
          <a:fillRect/>
        </a:stretch>
      </xdr:blipFill>
      <xdr:spPr bwMode="auto">
        <a:xfrm>
          <a:off x="12368893" y="571501"/>
          <a:ext cx="1098423" cy="216915"/>
        </a:xfrm>
        <a:prstGeom prst="rect">
          <a:avLst/>
        </a:prstGeom>
        <a:noFill/>
        <a:ln w="9525">
          <a:noFill/>
          <a:miter lim="800000"/>
          <a:headEnd/>
          <a:tailEnd/>
        </a:ln>
      </xdr:spPr>
    </xdr:pic>
    <xdr:clientData/>
  </xdr:twoCellAnchor>
  <xdr:twoCellAnchor editAs="absolute">
    <xdr:from>
      <xdr:col>2</xdr:col>
      <xdr:colOff>831509</xdr:colOff>
      <xdr:row>7</xdr:row>
      <xdr:rowOff>22412</xdr:rowOff>
    </xdr:from>
    <xdr:to>
      <xdr:col>3</xdr:col>
      <xdr:colOff>41095</xdr:colOff>
      <xdr:row>11</xdr:row>
      <xdr:rowOff>50835</xdr:rowOff>
    </xdr:to>
    <xdr:pic>
      <xdr:nvPicPr>
        <xdr:cNvPr id="4" name="Imagen 3">
          <a:hlinkClick xmlns:r="http://schemas.openxmlformats.org/officeDocument/2006/relationships" r:id="rId4" tooltip="Pendientes"/>
          <a:extLst>
            <a:ext uri="{FF2B5EF4-FFF2-40B4-BE49-F238E27FC236}">
              <a16:creationId xmlns:a16="http://schemas.microsoft.com/office/drawing/2014/main" id="{00000000-0008-0000-2E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55627" y="1255059"/>
          <a:ext cx="565497" cy="543894"/>
        </a:xfrm>
        <a:prstGeom prst="rect">
          <a:avLst/>
        </a:prstGeom>
      </xdr:spPr>
    </xdr:pic>
    <xdr:clientData fLocksWithSheet="0" fPrintsWithSheet="0"/>
  </xdr:twoCellAnchor>
  <xdr:twoCellAnchor editAs="absolute">
    <xdr:from>
      <xdr:col>3</xdr:col>
      <xdr:colOff>414617</xdr:colOff>
      <xdr:row>7</xdr:row>
      <xdr:rowOff>62042</xdr:rowOff>
    </xdr:from>
    <xdr:to>
      <xdr:col>3</xdr:col>
      <xdr:colOff>1087958</xdr:colOff>
      <xdr:row>11</xdr:row>
      <xdr:rowOff>50835</xdr:rowOff>
    </xdr:to>
    <xdr:pic macro="[0]!VOLVER.VOLVER">
      <xdr:nvPicPr>
        <xdr:cNvPr id="5" name="Imagen 4">
          <a:extLst>
            <a:ext uri="{FF2B5EF4-FFF2-40B4-BE49-F238E27FC236}">
              <a16:creationId xmlns:a16="http://schemas.microsoft.com/office/drawing/2014/main" id="{00000000-0008-0000-2E00-00000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94646" y="1294689"/>
          <a:ext cx="673341" cy="504264"/>
        </a:xfrm>
        <a:prstGeom prst="rect">
          <a:avLst/>
        </a:prstGeom>
      </xdr:spPr>
    </xdr:pic>
    <xdr:clientData fPrintsWithSheet="0"/>
  </xdr:twoCellAnchor>
  <xdr:twoCellAnchor editAs="absolute">
    <xdr:from>
      <xdr:col>7</xdr:col>
      <xdr:colOff>324970</xdr:colOff>
      <xdr:row>7</xdr:row>
      <xdr:rowOff>67235</xdr:rowOff>
    </xdr:from>
    <xdr:to>
      <xdr:col>7</xdr:col>
      <xdr:colOff>1046739</xdr:colOff>
      <xdr:row>12</xdr:row>
      <xdr:rowOff>125355</xdr:rowOff>
    </xdr:to>
    <xdr:pic>
      <xdr:nvPicPr>
        <xdr:cNvPr id="6" name="Imagen 5" descr="http://t0.gstatic.com/images?q=tbn:ANd9GcSOcaZYp0sCkZBRwsB3QOGfBLQf9_qr6Tcm-TdXlorb0v3BiCQ6">
          <a:hlinkClick xmlns:r="http://schemas.openxmlformats.org/officeDocument/2006/relationships" r:id="rId7" tooltip="Incidencias"/>
          <a:extLst>
            <a:ext uri="{FF2B5EF4-FFF2-40B4-BE49-F238E27FC236}">
              <a16:creationId xmlns:a16="http://schemas.microsoft.com/office/drawing/2014/main" id="{00000000-0008-0000-2E00-000006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9894794" y="1299882"/>
          <a:ext cx="721769" cy="65203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8.xml><?xml version="1.0" encoding="utf-8"?>
<xdr:wsDr xmlns:xdr="http://schemas.openxmlformats.org/drawingml/2006/spreadsheetDrawing" xmlns:a="http://schemas.openxmlformats.org/drawingml/2006/main">
  <xdr:twoCellAnchor editAs="oneCell">
    <xdr:from>
      <xdr:col>11</xdr:col>
      <xdr:colOff>416925</xdr:colOff>
      <xdr:row>1</xdr:row>
      <xdr:rowOff>76200</xdr:rowOff>
    </xdr:from>
    <xdr:to>
      <xdr:col>12</xdr:col>
      <xdr:colOff>36175</xdr:colOff>
      <xdr:row>3</xdr:row>
      <xdr:rowOff>91395</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2F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265650" y="342900"/>
          <a:ext cx="381250" cy="396195"/>
        </a:xfrm>
        <a:prstGeom prst="rect">
          <a:avLst/>
        </a:prstGeom>
      </xdr:spPr>
    </xdr:pic>
    <xdr:clientData fPrintsWithSheet="0"/>
  </xdr:twoCellAnchor>
  <xdr:twoCellAnchor editAs="absolute">
    <xdr:from>
      <xdr:col>7</xdr:col>
      <xdr:colOff>466725</xdr:colOff>
      <xdr:row>1</xdr:row>
      <xdr:rowOff>76200</xdr:rowOff>
    </xdr:from>
    <xdr:to>
      <xdr:col>8</xdr:col>
      <xdr:colOff>137357</xdr:colOff>
      <xdr:row>4</xdr:row>
      <xdr:rowOff>34353</xdr:rowOff>
    </xdr:to>
    <xdr:pic>
      <xdr:nvPicPr>
        <xdr:cNvPr id="3" name="Imagen 2">
          <a:hlinkClick xmlns:r="http://schemas.openxmlformats.org/officeDocument/2006/relationships" r:id="rId3" tooltip="Pendientes"/>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62675" y="342900"/>
          <a:ext cx="537407" cy="529653"/>
        </a:xfrm>
        <a:prstGeom prst="rect">
          <a:avLst/>
        </a:prstGeom>
      </xdr:spPr>
    </xdr:pic>
    <xdr:clientData fLocksWithSheet="0" fPrintsWithSheet="0"/>
  </xdr:twoCellAnchor>
  <xdr:twoCellAnchor editAs="absolute">
    <xdr:from>
      <xdr:col>8</xdr:col>
      <xdr:colOff>544218</xdr:colOff>
      <xdr:row>1</xdr:row>
      <xdr:rowOff>76200</xdr:rowOff>
    </xdr:from>
    <xdr:to>
      <xdr:col>9</xdr:col>
      <xdr:colOff>409507</xdr:colOff>
      <xdr:row>3</xdr:row>
      <xdr:rowOff>179159</xdr:rowOff>
    </xdr:to>
    <xdr:pic macro="[0]!VOLVER.VOLVER">
      <xdr:nvPicPr>
        <xdr:cNvPr id="4" name="Imagen 3">
          <a:extLst>
            <a:ext uri="{FF2B5EF4-FFF2-40B4-BE49-F238E27FC236}">
              <a16:creationId xmlns:a16="http://schemas.microsoft.com/office/drawing/2014/main" id="{00000000-0008-0000-2F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06943" y="342900"/>
          <a:ext cx="627289" cy="483959"/>
        </a:xfrm>
        <a:prstGeom prst="rect">
          <a:avLst/>
        </a:prstGeom>
      </xdr:spPr>
    </xdr:pic>
    <xdr:clientData fPrintsWithSheet="0"/>
  </xdr:twoCellAnchor>
  <xdr:twoCellAnchor editAs="absolute">
    <xdr:from>
      <xdr:col>10</xdr:col>
      <xdr:colOff>54368</xdr:colOff>
      <xdr:row>1</xdr:row>
      <xdr:rowOff>76200</xdr:rowOff>
    </xdr:from>
    <xdr:to>
      <xdr:col>11</xdr:col>
      <xdr:colOff>10064</xdr:colOff>
      <xdr:row>4</xdr:row>
      <xdr:rowOff>159860</xdr:rowOff>
    </xdr:to>
    <xdr:pic>
      <xdr:nvPicPr>
        <xdr:cNvPr id="5" name="Imagen 4" descr="http://t0.gstatic.com/images?q=tbn:ANd9GcSOcaZYp0sCkZBRwsB3QOGfBLQf9_qr6Tcm-TdXlorb0v3BiCQ6">
          <a:hlinkClick xmlns:r="http://schemas.openxmlformats.org/officeDocument/2006/relationships" r:id="rId6" tooltip="Incidencias"/>
          <a:extLst>
            <a:ext uri="{FF2B5EF4-FFF2-40B4-BE49-F238E27FC236}">
              <a16:creationId xmlns:a16="http://schemas.microsoft.com/office/drawing/2014/main" id="{00000000-0008-0000-2F00-00000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141093" y="342900"/>
          <a:ext cx="717696" cy="65516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9.xml><?xml version="1.0" encoding="utf-8"?>
<xdr:wsDr xmlns:xdr="http://schemas.openxmlformats.org/drawingml/2006/spreadsheetDrawing" xmlns:a="http://schemas.openxmlformats.org/drawingml/2006/main">
  <xdr:twoCellAnchor editAs="oneCell">
    <xdr:from>
      <xdr:col>2</xdr:col>
      <xdr:colOff>76736</xdr:colOff>
      <xdr:row>8</xdr:row>
      <xdr:rowOff>1102</xdr:rowOff>
    </xdr:from>
    <xdr:to>
      <xdr:col>2</xdr:col>
      <xdr:colOff>457986</xdr:colOff>
      <xdr:row>11</xdr:row>
      <xdr:rowOff>67234</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30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336" y="1325077"/>
          <a:ext cx="381250" cy="389982"/>
        </a:xfrm>
        <a:prstGeom prst="rect">
          <a:avLst/>
        </a:prstGeom>
      </xdr:spPr>
    </xdr:pic>
    <xdr:clientData fPrintsWithSheet="0"/>
  </xdr:twoCellAnchor>
  <xdr:twoCellAnchor editAs="oneCell">
    <xdr:from>
      <xdr:col>8</xdr:col>
      <xdr:colOff>0</xdr:colOff>
      <xdr:row>2</xdr:row>
      <xdr:rowOff>33617</xdr:rowOff>
    </xdr:from>
    <xdr:to>
      <xdr:col>16384</xdr:col>
      <xdr:colOff>230528</xdr:colOff>
      <xdr:row>5</xdr:row>
      <xdr:rowOff>39649</xdr:rowOff>
    </xdr:to>
    <xdr:pic>
      <xdr:nvPicPr>
        <xdr:cNvPr id="3" name="2 Imagen">
          <a:extLst>
            <a:ext uri="{FF2B5EF4-FFF2-40B4-BE49-F238E27FC236}">
              <a16:creationId xmlns:a16="http://schemas.microsoft.com/office/drawing/2014/main" id="{00000000-0008-0000-3000-000003000000}"/>
            </a:ext>
          </a:extLst>
        </xdr:cNvPr>
        <xdr:cNvPicPr/>
      </xdr:nvPicPr>
      <xdr:blipFill>
        <a:blip xmlns:r="http://schemas.openxmlformats.org/officeDocument/2006/relationships" r:embed="rId3" cstate="print"/>
        <a:srcRect/>
        <a:stretch>
          <a:fillRect/>
        </a:stretch>
      </xdr:blipFill>
      <xdr:spPr bwMode="auto">
        <a:xfrm>
          <a:off x="6686550" y="338417"/>
          <a:ext cx="1535453" cy="406082"/>
        </a:xfrm>
        <a:prstGeom prst="rect">
          <a:avLst/>
        </a:prstGeom>
        <a:noFill/>
        <a:ln w="9525">
          <a:noFill/>
          <a:miter lim="800000"/>
          <a:headEnd/>
          <a:tailEnd/>
        </a:ln>
      </xdr:spPr>
    </xdr:pic>
    <xdr:clientData/>
  </xdr:twoCellAnchor>
  <xdr:twoCellAnchor editAs="absolute">
    <xdr:from>
      <xdr:col>2</xdr:col>
      <xdr:colOff>764274</xdr:colOff>
      <xdr:row>7</xdr:row>
      <xdr:rowOff>38811</xdr:rowOff>
    </xdr:from>
    <xdr:to>
      <xdr:col>3</xdr:col>
      <xdr:colOff>286783</xdr:colOff>
      <xdr:row>11</xdr:row>
      <xdr:rowOff>67234</xdr:rowOff>
    </xdr:to>
    <xdr:pic>
      <xdr:nvPicPr>
        <xdr:cNvPr id="4" name="Imagen 3">
          <a:hlinkClick xmlns:r="http://schemas.openxmlformats.org/officeDocument/2006/relationships" r:id="rId4" tooltip="Pendientes"/>
          <a:extLst>
            <a:ext uri="{FF2B5EF4-FFF2-40B4-BE49-F238E27FC236}">
              <a16:creationId xmlns:a16="http://schemas.microsoft.com/office/drawing/2014/main" id="{00000000-0008-0000-30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2874" y="1172286"/>
          <a:ext cx="565497" cy="542773"/>
        </a:xfrm>
        <a:prstGeom prst="rect">
          <a:avLst/>
        </a:prstGeom>
      </xdr:spPr>
    </xdr:pic>
    <xdr:clientData fLocksWithSheet="0" fPrintsWithSheet="0"/>
  </xdr:twoCellAnchor>
  <xdr:twoCellAnchor editAs="absolute">
    <xdr:from>
      <xdr:col>7</xdr:col>
      <xdr:colOff>914679</xdr:colOff>
      <xdr:row>7</xdr:row>
      <xdr:rowOff>134470</xdr:rowOff>
    </xdr:from>
    <xdr:to>
      <xdr:col>8</xdr:col>
      <xdr:colOff>588698</xdr:colOff>
      <xdr:row>12</xdr:row>
      <xdr:rowOff>192590</xdr:rowOff>
    </xdr:to>
    <xdr:pic>
      <xdr:nvPicPr>
        <xdr:cNvPr id="6" name="Imagen 5" descr="http://t0.gstatic.com/images?q=tbn:ANd9GcSOcaZYp0sCkZBRwsB3QOGfBLQf9_qr6Tcm-TdXlorb0v3BiCQ6">
          <a:hlinkClick xmlns:r="http://schemas.openxmlformats.org/officeDocument/2006/relationships" r:id="rId6" tooltip="Incidencias"/>
          <a:extLst>
            <a:ext uri="{FF2B5EF4-FFF2-40B4-BE49-F238E27FC236}">
              <a16:creationId xmlns:a16="http://schemas.microsoft.com/office/drawing/2014/main" id="{00000000-0008-0000-3000-000006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548717" y="1267945"/>
          <a:ext cx="721769" cy="64867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absolute">
    <xdr:from>
      <xdr:col>3</xdr:col>
      <xdr:colOff>447675</xdr:colOff>
      <xdr:row>7</xdr:row>
      <xdr:rowOff>28575</xdr:rowOff>
    </xdr:from>
    <xdr:to>
      <xdr:col>4</xdr:col>
      <xdr:colOff>16793</xdr:colOff>
      <xdr:row>11</xdr:row>
      <xdr:rowOff>26604</xdr:rowOff>
    </xdr:to>
    <xdr:pic macro="[0]!VOLVER.VOLVER">
      <xdr:nvPicPr>
        <xdr:cNvPr id="7" name="Imagen 6">
          <a:extLst>
            <a:ext uri="{FF2B5EF4-FFF2-40B4-BE49-F238E27FC236}">
              <a16:creationId xmlns:a16="http://schemas.microsoft.com/office/drawing/2014/main" id="{00000000-0008-0000-3000-000007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19275" y="1162050"/>
          <a:ext cx="693068" cy="512379"/>
        </a:xfrm>
        <a:prstGeom prst="rect">
          <a:avLst/>
        </a:prstGeom>
      </xdr:spPr>
    </xdr:pic>
    <xdr:clientData fPrintsWithSheet="0"/>
  </xdr:twoCellAnchor>
</xdr:wsDr>
</file>

<file path=xl/drawings/drawing50.xml><?xml version="1.0" encoding="utf-8"?>
<xdr:wsDr xmlns:xdr="http://schemas.openxmlformats.org/drawingml/2006/spreadsheetDrawing" xmlns:a="http://schemas.openxmlformats.org/drawingml/2006/main">
  <xdr:twoCellAnchor editAs="oneCell">
    <xdr:from>
      <xdr:col>2</xdr:col>
      <xdr:colOff>76736</xdr:colOff>
      <xdr:row>8</xdr:row>
      <xdr:rowOff>1102</xdr:rowOff>
    </xdr:from>
    <xdr:to>
      <xdr:col>2</xdr:col>
      <xdr:colOff>76736</xdr:colOff>
      <xdr:row>10</xdr:row>
      <xdr:rowOff>29134</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31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24386" y="1325077"/>
          <a:ext cx="381250" cy="389982"/>
        </a:xfrm>
        <a:prstGeom prst="rect">
          <a:avLst/>
        </a:prstGeom>
      </xdr:spPr>
    </xdr:pic>
    <xdr:clientData fPrintsWithSheet="0"/>
  </xdr:twoCellAnchor>
  <xdr:twoCellAnchor editAs="oneCell">
    <xdr:from>
      <xdr:col>2</xdr:col>
      <xdr:colOff>571500</xdr:colOff>
      <xdr:row>7</xdr:row>
      <xdr:rowOff>85725</xdr:rowOff>
    </xdr:from>
    <xdr:to>
      <xdr:col>2</xdr:col>
      <xdr:colOff>952750</xdr:colOff>
      <xdr:row>10</xdr:row>
      <xdr:rowOff>28032</xdr:rowOff>
    </xdr:to>
    <xdr:pic>
      <xdr:nvPicPr>
        <xdr:cNvPr id="4" name="1 Imagen">
          <a:hlinkClick xmlns:r="http://schemas.openxmlformats.org/officeDocument/2006/relationships" r:id="rId1" tooltip="MENU"/>
          <a:extLst>
            <a:ext uri="{FF2B5EF4-FFF2-40B4-BE49-F238E27FC236}">
              <a16:creationId xmlns:a16="http://schemas.microsoft.com/office/drawing/2014/main" id="{00000000-0008-0000-3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19150" y="1219200"/>
          <a:ext cx="381250" cy="389982"/>
        </a:xfrm>
        <a:prstGeom prst="rect">
          <a:avLst/>
        </a:prstGeom>
      </xdr:spPr>
    </xdr:pic>
    <xdr:clientData fPrintsWithSheet="0"/>
  </xdr:twoCellAnchor>
  <xdr:twoCellAnchor editAs="absolute">
    <xdr:from>
      <xdr:col>3</xdr:col>
      <xdr:colOff>180975</xdr:colOff>
      <xdr:row>7</xdr:row>
      <xdr:rowOff>57150</xdr:rowOff>
    </xdr:from>
    <xdr:to>
      <xdr:col>3</xdr:col>
      <xdr:colOff>874043</xdr:colOff>
      <xdr:row>11</xdr:row>
      <xdr:rowOff>55179</xdr:rowOff>
    </xdr:to>
    <xdr:pic macro="[0]!VOLVER.VOLVER">
      <xdr:nvPicPr>
        <xdr:cNvPr id="6" name="Imagen 5">
          <a:extLst>
            <a:ext uri="{FF2B5EF4-FFF2-40B4-BE49-F238E27FC236}">
              <a16:creationId xmlns:a16="http://schemas.microsoft.com/office/drawing/2014/main" id="{00000000-0008-0000-31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52575" y="1190625"/>
          <a:ext cx="693068" cy="512379"/>
        </a:xfrm>
        <a:prstGeom prst="rect">
          <a:avLst/>
        </a:prstGeom>
      </xdr:spPr>
    </xdr:pic>
    <xdr:clientData fPrintsWithSheet="0"/>
  </xdr:twoCellAnchor>
</xdr:wsDr>
</file>

<file path=xl/drawings/drawing51.xml><?xml version="1.0" encoding="utf-8"?>
<xdr:wsDr xmlns:xdr="http://schemas.openxmlformats.org/drawingml/2006/spreadsheetDrawing" xmlns:a="http://schemas.openxmlformats.org/drawingml/2006/main">
  <xdr:twoCellAnchor editAs="oneCell">
    <xdr:from>
      <xdr:col>2</xdr:col>
      <xdr:colOff>76736</xdr:colOff>
      <xdr:row>8</xdr:row>
      <xdr:rowOff>1102</xdr:rowOff>
    </xdr:from>
    <xdr:to>
      <xdr:col>2</xdr:col>
      <xdr:colOff>76736</xdr:colOff>
      <xdr:row>10</xdr:row>
      <xdr:rowOff>559</xdr:rowOff>
    </xdr:to>
    <xdr:pic>
      <xdr:nvPicPr>
        <xdr:cNvPr id="2" name="1 Imagen">
          <a:hlinkClick xmlns:r="http://schemas.openxmlformats.org/officeDocument/2006/relationships" r:id="rId1" tooltip="MENU"/>
          <a:extLst>
            <a:ext uri="{FF2B5EF4-FFF2-40B4-BE49-F238E27FC236}">
              <a16:creationId xmlns:a16="http://schemas.microsoft.com/office/drawing/2014/main" id="{F17713FF-37D4-48EA-86A1-243DF146DCD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3436" y="1325077"/>
          <a:ext cx="0" cy="285207"/>
        </a:xfrm>
        <a:prstGeom prst="rect">
          <a:avLst/>
        </a:prstGeom>
      </xdr:spPr>
    </xdr:pic>
    <xdr:clientData fPrintsWithSheet="0"/>
  </xdr:twoCellAnchor>
  <xdr:twoCellAnchor editAs="oneCell">
    <xdr:from>
      <xdr:col>2</xdr:col>
      <xdr:colOff>571500</xdr:colOff>
      <xdr:row>7</xdr:row>
      <xdr:rowOff>85725</xdr:rowOff>
    </xdr:from>
    <xdr:to>
      <xdr:col>2</xdr:col>
      <xdr:colOff>571500</xdr:colOff>
      <xdr:row>9</xdr:row>
      <xdr:rowOff>66132</xdr:rowOff>
    </xdr:to>
    <xdr:pic>
      <xdr:nvPicPr>
        <xdr:cNvPr id="3" name="1 Imagen">
          <a:hlinkClick xmlns:r="http://schemas.openxmlformats.org/officeDocument/2006/relationships" r:id="rId1" tooltip="MENU"/>
          <a:extLst>
            <a:ext uri="{FF2B5EF4-FFF2-40B4-BE49-F238E27FC236}">
              <a16:creationId xmlns:a16="http://schemas.microsoft.com/office/drawing/2014/main" id="{D8AF1006-8E60-4D2D-97C0-1BA5A99538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8200" y="1219200"/>
          <a:ext cx="381250" cy="389982"/>
        </a:xfrm>
        <a:prstGeom prst="rect">
          <a:avLst/>
        </a:prstGeom>
      </xdr:spPr>
    </xdr:pic>
    <xdr:clientData fPrintsWithSheet="0"/>
  </xdr:twoCellAnchor>
  <xdr:twoCellAnchor>
    <xdr:from>
      <xdr:col>2</xdr:col>
      <xdr:colOff>9525</xdr:colOff>
      <xdr:row>14</xdr:row>
      <xdr:rowOff>266699</xdr:rowOff>
    </xdr:from>
    <xdr:to>
      <xdr:col>8</xdr:col>
      <xdr:colOff>1724025</xdr:colOff>
      <xdr:row>23</xdr:row>
      <xdr:rowOff>47624</xdr:rowOff>
    </xdr:to>
    <xdr:sp macro="" textlink="">
      <xdr:nvSpPr>
        <xdr:cNvPr id="4" name="CuadroTexto 3">
          <a:extLst>
            <a:ext uri="{FF2B5EF4-FFF2-40B4-BE49-F238E27FC236}">
              <a16:creationId xmlns:a16="http://schemas.microsoft.com/office/drawing/2014/main" id="{A23F26AD-A44F-8FF4-4EB9-EE2E1715EDC9}"/>
            </a:ext>
          </a:extLst>
        </xdr:cNvPr>
        <xdr:cNvSpPr txBox="1"/>
      </xdr:nvSpPr>
      <xdr:spPr>
        <a:xfrm>
          <a:off x="276225" y="2352674"/>
          <a:ext cx="8248650" cy="157162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s-ES" sz="1100" b="1" i="0" u="none" strike="noStrike" baseline="0">
              <a:solidFill>
                <a:schemeClr val="dk1"/>
              </a:solidFill>
              <a:latin typeface="+mn-lt"/>
              <a:ea typeface="+mn-ea"/>
              <a:cs typeface="+mn-cs"/>
            </a:rPr>
            <a:t>DA 3º LIS: </a:t>
          </a:r>
          <a:r>
            <a:rPr lang="es-ES" sz="1100" b="0" i="0" u="none" strike="noStrike" baseline="0">
              <a:solidFill>
                <a:schemeClr val="dk1"/>
              </a:solidFill>
              <a:latin typeface="+mn-lt"/>
              <a:ea typeface="+mn-ea"/>
              <a:cs typeface="+mn-cs"/>
            </a:rPr>
            <a:t>“No se integrarán en la base imponible del Impuesto sobre Sociedades las rentas positivas que se pongan de manifiesto como consecuencia de: …c) La percepción de ayudas públicas que tengan por objeto reparar la destrucción por incendio, inundación, hundimiento, erupción volcánica u otras causas naturales de elementos patrimoniales afectos al ejercicio de actividades económicas”</a:t>
          </a:r>
        </a:p>
        <a:p>
          <a:pPr rtl="0"/>
          <a:endParaRPr lang="es-ES" sz="1100" b="0" i="0" u="none" strike="noStrike" baseline="0">
            <a:solidFill>
              <a:schemeClr val="dk1"/>
            </a:solidFill>
            <a:latin typeface="+mn-lt"/>
            <a:ea typeface="+mn-ea"/>
            <a:cs typeface="+mn-cs"/>
          </a:endParaRPr>
        </a:p>
        <a:p>
          <a:pPr rtl="0"/>
          <a:r>
            <a:rPr lang="es-ES" sz="1100" b="0" i="0" u="none" strike="noStrike" baseline="0">
              <a:solidFill>
                <a:schemeClr val="dk1"/>
              </a:solidFill>
              <a:latin typeface="+mn-lt"/>
              <a:ea typeface="+mn-ea"/>
              <a:cs typeface="+mn-cs"/>
            </a:rPr>
            <a:t>Para calcular la renta que no se integrará en la base imponible se tendrá en cuenta tanto el importe de las ayudas percibidas como las pérdidas patrimoniales que, en su caso, se produzcan en los elementos patrimoniales. Cuando el importe de estas ayudas sea inferior al de las pérdidas producidas en los citados elementos, podrá integrarse en la base imponible la diferencia negativa. Cuando no existan pérdidas, sólo se excluirá de gravamen el importe de las ayudas.</a:t>
          </a:r>
        </a:p>
        <a:p>
          <a:endParaRPr lang="es-ES" sz="1100"/>
        </a:p>
      </xdr:txBody>
    </xdr:sp>
    <xdr:clientData/>
  </xdr:twoCellAnchor>
  <xdr:twoCellAnchor>
    <xdr:from>
      <xdr:col>2</xdr:col>
      <xdr:colOff>19050</xdr:colOff>
      <xdr:row>66</xdr:row>
      <xdr:rowOff>85724</xdr:rowOff>
    </xdr:from>
    <xdr:to>
      <xdr:col>9</xdr:col>
      <xdr:colOff>0</xdr:colOff>
      <xdr:row>72</xdr:row>
      <xdr:rowOff>142875</xdr:rowOff>
    </xdr:to>
    <xdr:sp macro="" textlink="">
      <xdr:nvSpPr>
        <xdr:cNvPr id="5" name="CuadroTexto 4">
          <a:extLst>
            <a:ext uri="{FF2B5EF4-FFF2-40B4-BE49-F238E27FC236}">
              <a16:creationId xmlns:a16="http://schemas.microsoft.com/office/drawing/2014/main" id="{6F2446BA-C481-48D7-A266-567B7DB7C088}"/>
            </a:ext>
          </a:extLst>
        </xdr:cNvPr>
        <xdr:cNvSpPr txBox="1"/>
      </xdr:nvSpPr>
      <xdr:spPr>
        <a:xfrm>
          <a:off x="285750" y="12382499"/>
          <a:ext cx="8448675" cy="1200151"/>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s-ES" sz="1100" b="1" i="0" u="none" strike="noStrike" baseline="0">
              <a:solidFill>
                <a:schemeClr val="dk1"/>
              </a:solidFill>
              <a:latin typeface="+mn-lt"/>
              <a:ea typeface="+mn-ea"/>
              <a:cs typeface="+mn-cs"/>
            </a:rPr>
            <a:t>Moratoria contable.</a:t>
          </a:r>
        </a:p>
        <a:p>
          <a:pPr rtl="0"/>
          <a:endParaRPr lang="es-ES" sz="1100" b="1" i="0" u="none" strike="noStrike" baseline="0">
            <a:solidFill>
              <a:schemeClr val="dk1"/>
            </a:solidFill>
            <a:latin typeface="+mn-lt"/>
            <a:ea typeface="+mn-ea"/>
            <a:cs typeface="+mn-cs"/>
          </a:endParaRPr>
        </a:p>
        <a:p>
          <a:pPr rtl="0"/>
          <a:r>
            <a:rPr lang="es-ES" sz="1100" b="0" i="0" u="none" strike="noStrike" baseline="0">
              <a:solidFill>
                <a:schemeClr val="dk1"/>
              </a:solidFill>
              <a:latin typeface="+mn-lt"/>
              <a:ea typeface="+mn-ea"/>
              <a:cs typeface="+mn-cs"/>
            </a:rPr>
            <a:t>El artículo 2 del RDL 1/2025, establece que las sociedades mercantiles que se hayan visto afectadas por pérdidas derivadas de los efectos causados por la DANA (según el Acuerdo del Consejo de Ministros de 5 de noviembre de 2024) no incluirán el importe de dichas pérdidas a efectos del cálculo de la causa de disolución por pérdidas prevista en el artículo 363.1e) de la LSC, hasta el cierre del ejercicio que se inicie en el año 2026.</a:t>
          </a:r>
        </a:p>
        <a:p>
          <a:endParaRPr lang="es-ES" sz="1100"/>
        </a:p>
      </xdr:txBody>
    </xdr:sp>
    <xdr:clientData/>
  </xdr:twoCellAnchor>
  <xdr:twoCellAnchor>
    <xdr:from>
      <xdr:col>2</xdr:col>
      <xdr:colOff>19050</xdr:colOff>
      <xdr:row>73</xdr:row>
      <xdr:rowOff>152400</xdr:rowOff>
    </xdr:from>
    <xdr:to>
      <xdr:col>8</xdr:col>
      <xdr:colOff>1714500</xdr:colOff>
      <xdr:row>80</xdr:row>
      <xdr:rowOff>19051</xdr:rowOff>
    </xdr:to>
    <xdr:sp macro="" textlink="">
      <xdr:nvSpPr>
        <xdr:cNvPr id="6" name="CuadroTexto 5">
          <a:extLst>
            <a:ext uri="{FF2B5EF4-FFF2-40B4-BE49-F238E27FC236}">
              <a16:creationId xmlns:a16="http://schemas.microsoft.com/office/drawing/2014/main" id="{969BA2B2-1117-41D9-A46E-AD26AD47C71D}"/>
            </a:ext>
          </a:extLst>
        </xdr:cNvPr>
        <xdr:cNvSpPr txBox="1"/>
      </xdr:nvSpPr>
      <xdr:spPr>
        <a:xfrm>
          <a:off x="285750" y="14163675"/>
          <a:ext cx="8429625" cy="1200151"/>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s-ES" sz="1100" b="1" i="0" u="none" strike="noStrike" baseline="0">
              <a:solidFill>
                <a:schemeClr val="dk1"/>
              </a:solidFill>
              <a:latin typeface="+mn-lt"/>
              <a:ea typeface="+mn-ea"/>
              <a:cs typeface="+mn-cs"/>
            </a:rPr>
            <a:t>Memoria (Cuentas Anuales)</a:t>
          </a:r>
        </a:p>
        <a:p>
          <a:pPr rtl="0"/>
          <a:endParaRPr lang="es-ES" sz="1100" b="1" i="0" u="none" strike="noStrike" baseline="0">
            <a:solidFill>
              <a:schemeClr val="dk1"/>
            </a:solidFill>
            <a:latin typeface="+mn-lt"/>
            <a:ea typeface="+mn-ea"/>
            <a:cs typeface="+mn-cs"/>
          </a:endParaRPr>
        </a:p>
        <a:p>
          <a:pPr rtl="0"/>
          <a:r>
            <a:rPr lang="es-ES" sz="1100" b="0" i="0" u="none" strike="noStrike" baseline="0">
              <a:solidFill>
                <a:schemeClr val="dk1"/>
              </a:solidFill>
              <a:latin typeface="+mn-lt"/>
              <a:ea typeface="+mn-ea"/>
              <a:cs typeface="+mn-cs"/>
            </a:rPr>
            <a:t>Se informará sobre las contingencias excepcionales derivadas de la DANA, tanto en ingresos como en gastos y pérdidas.</a:t>
          </a:r>
        </a:p>
        <a:p>
          <a:pPr rtl="0"/>
          <a:endParaRPr lang="es-ES" sz="1100" b="0" i="0" u="none" strike="noStrike" baseline="0">
            <a:solidFill>
              <a:schemeClr val="dk1"/>
            </a:solidFill>
            <a:latin typeface="+mn-lt"/>
            <a:ea typeface="+mn-ea"/>
            <a:cs typeface="+mn-cs"/>
          </a:endParaRPr>
        </a:p>
        <a:p>
          <a:pPr rtl="0"/>
          <a:r>
            <a:rPr lang="es-ES" sz="1100" b="0" i="0" u="none" strike="noStrike" baseline="0">
              <a:solidFill>
                <a:schemeClr val="dk1"/>
              </a:solidFill>
              <a:latin typeface="+mn-lt"/>
              <a:ea typeface="+mn-ea"/>
              <a:cs typeface="+mn-cs"/>
            </a:rPr>
            <a:t>Se presentará una explicación de las medidas previstas para sobrellevar estos efectos, y en su caso se planteará un plan de contingencia o viabilidad.</a:t>
          </a:r>
        </a:p>
        <a:p>
          <a:endParaRPr lang="es-ES" sz="1100"/>
        </a:p>
      </xdr:txBody>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2</xdr:col>
      <xdr:colOff>76736</xdr:colOff>
      <xdr:row>8</xdr:row>
      <xdr:rowOff>1102</xdr:rowOff>
    </xdr:from>
    <xdr:to>
      <xdr:col>2</xdr:col>
      <xdr:colOff>457986</xdr:colOff>
      <xdr:row>11</xdr:row>
      <xdr:rowOff>65329</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3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336" y="1325077"/>
          <a:ext cx="381250" cy="389982"/>
        </a:xfrm>
        <a:prstGeom prst="rect">
          <a:avLst/>
        </a:prstGeom>
      </xdr:spPr>
    </xdr:pic>
    <xdr:clientData fPrintsWithSheet="0"/>
  </xdr:twoCellAnchor>
  <xdr:twoCellAnchor editAs="oneCell">
    <xdr:from>
      <xdr:col>8</xdr:col>
      <xdr:colOff>0</xdr:colOff>
      <xdr:row>2</xdr:row>
      <xdr:rowOff>33617</xdr:rowOff>
    </xdr:from>
    <xdr:to>
      <xdr:col>9</xdr:col>
      <xdr:colOff>230528</xdr:colOff>
      <xdr:row>5</xdr:row>
      <xdr:rowOff>39649</xdr:rowOff>
    </xdr:to>
    <xdr:pic>
      <xdr:nvPicPr>
        <xdr:cNvPr id="3" name="2 Imagen">
          <a:extLst>
            <a:ext uri="{FF2B5EF4-FFF2-40B4-BE49-F238E27FC236}">
              <a16:creationId xmlns:a16="http://schemas.microsoft.com/office/drawing/2014/main" id="{00000000-0008-0000-3200-000003000000}"/>
            </a:ext>
          </a:extLst>
        </xdr:cNvPr>
        <xdr:cNvPicPr/>
      </xdr:nvPicPr>
      <xdr:blipFill>
        <a:blip xmlns:r="http://schemas.openxmlformats.org/officeDocument/2006/relationships" r:embed="rId3" cstate="print"/>
        <a:srcRect/>
        <a:stretch>
          <a:fillRect/>
        </a:stretch>
      </xdr:blipFill>
      <xdr:spPr bwMode="auto">
        <a:xfrm>
          <a:off x="12954000" y="338417"/>
          <a:ext cx="1535453" cy="406082"/>
        </a:xfrm>
        <a:prstGeom prst="rect">
          <a:avLst/>
        </a:prstGeom>
        <a:noFill/>
        <a:ln w="9525">
          <a:noFill/>
          <a:miter lim="800000"/>
          <a:headEnd/>
          <a:tailEnd/>
        </a:ln>
      </xdr:spPr>
    </xdr:pic>
    <xdr:clientData/>
  </xdr:twoCellAnchor>
  <xdr:twoCellAnchor editAs="absolute">
    <xdr:from>
      <xdr:col>2</xdr:col>
      <xdr:colOff>764274</xdr:colOff>
      <xdr:row>7</xdr:row>
      <xdr:rowOff>38811</xdr:rowOff>
    </xdr:from>
    <xdr:to>
      <xdr:col>2</xdr:col>
      <xdr:colOff>1334533</xdr:colOff>
      <xdr:row>11</xdr:row>
      <xdr:rowOff>65329</xdr:rowOff>
    </xdr:to>
    <xdr:pic>
      <xdr:nvPicPr>
        <xdr:cNvPr id="4" name="Imagen 3">
          <a:hlinkClick xmlns:r="http://schemas.openxmlformats.org/officeDocument/2006/relationships" r:id="rId4" tooltip="Pendientes"/>
          <a:extLst>
            <a:ext uri="{FF2B5EF4-FFF2-40B4-BE49-F238E27FC236}">
              <a16:creationId xmlns:a16="http://schemas.microsoft.com/office/drawing/2014/main" id="{00000000-0008-0000-32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2874" y="1172286"/>
          <a:ext cx="565497" cy="542773"/>
        </a:xfrm>
        <a:prstGeom prst="rect">
          <a:avLst/>
        </a:prstGeom>
      </xdr:spPr>
    </xdr:pic>
    <xdr:clientData fLocksWithSheet="0" fPrintsWithSheet="0"/>
  </xdr:twoCellAnchor>
  <xdr:twoCellAnchor editAs="absolute">
    <xdr:from>
      <xdr:col>3</xdr:col>
      <xdr:colOff>25270</xdr:colOff>
      <xdr:row>7</xdr:row>
      <xdr:rowOff>65329</xdr:rowOff>
    </xdr:from>
    <xdr:to>
      <xdr:col>3</xdr:col>
      <xdr:colOff>713576</xdr:colOff>
      <xdr:row>11</xdr:row>
      <xdr:rowOff>65329</xdr:rowOff>
    </xdr:to>
    <xdr:pic macro="[0]!VOLVER.VOLVER">
      <xdr:nvPicPr>
        <xdr:cNvPr id="5" name="Imagen 4">
          <a:extLst>
            <a:ext uri="{FF2B5EF4-FFF2-40B4-BE49-F238E27FC236}">
              <a16:creationId xmlns:a16="http://schemas.microsoft.com/office/drawing/2014/main" id="{00000000-0008-0000-3200-00000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59057" y="1200709"/>
          <a:ext cx="688306" cy="514350"/>
        </a:xfrm>
        <a:prstGeom prst="rect">
          <a:avLst/>
        </a:prstGeom>
      </xdr:spPr>
    </xdr:pic>
    <xdr:clientData fPrintsWithSheet="0"/>
  </xdr:twoCellAnchor>
  <xdr:twoCellAnchor editAs="absolute">
    <xdr:from>
      <xdr:col>9</xdr:col>
      <xdr:colOff>53900</xdr:colOff>
      <xdr:row>7</xdr:row>
      <xdr:rowOff>126785</xdr:rowOff>
    </xdr:from>
    <xdr:to>
      <xdr:col>9</xdr:col>
      <xdr:colOff>927230</xdr:colOff>
      <xdr:row>13</xdr:row>
      <xdr:rowOff>26159</xdr:rowOff>
    </xdr:to>
    <xdr:pic>
      <xdr:nvPicPr>
        <xdr:cNvPr id="6" name="Imagen 5" descr="http://t0.gstatic.com/images?q=tbn:ANd9GcSOcaZYp0sCkZBRwsB3QOGfBLQf9_qr6Tcm-TdXlorb0v3BiCQ6">
          <a:extLst>
            <a:ext uri="{FF2B5EF4-FFF2-40B4-BE49-F238E27FC236}">
              <a16:creationId xmlns:a16="http://schemas.microsoft.com/office/drawing/2014/main" id="{00000000-0008-0000-3200-000006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9984441" y="1256674"/>
          <a:ext cx="862853" cy="788449"/>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3.xml><?xml version="1.0" encoding="utf-8"?>
<xdr:wsDr xmlns:xdr="http://schemas.openxmlformats.org/drawingml/2006/spreadsheetDrawing" xmlns:a="http://schemas.openxmlformats.org/drawingml/2006/main">
  <xdr:twoCellAnchor editAs="oneCell">
    <xdr:from>
      <xdr:col>1</xdr:col>
      <xdr:colOff>300403</xdr:colOff>
      <xdr:row>7</xdr:row>
      <xdr:rowOff>305951</xdr:rowOff>
    </xdr:from>
    <xdr:to>
      <xdr:col>1</xdr:col>
      <xdr:colOff>549007</xdr:colOff>
      <xdr:row>8</xdr:row>
      <xdr:rowOff>154231</xdr:rowOff>
    </xdr:to>
    <xdr:pic>
      <xdr:nvPicPr>
        <xdr:cNvPr id="2" name="1 Imagen">
          <a:hlinkClick xmlns:r="http://schemas.openxmlformats.org/officeDocument/2006/relationships" r:id="rId1" tooltip="MENU"/>
          <a:extLst>
            <a:ext uri="{FF2B5EF4-FFF2-40B4-BE49-F238E27FC236}">
              <a16:creationId xmlns:a16="http://schemas.microsoft.com/office/drawing/2014/main" id="{00000000-0008-0000-33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4510" y="2034058"/>
          <a:ext cx="248604" cy="256494"/>
        </a:xfrm>
        <a:prstGeom prst="rect">
          <a:avLst/>
        </a:prstGeom>
      </xdr:spPr>
    </xdr:pic>
    <xdr:clientData fPrintsWithSheet="0"/>
  </xdr:twoCellAnchor>
  <xdr:twoCellAnchor editAs="absolute">
    <xdr:from>
      <xdr:col>1</xdr:col>
      <xdr:colOff>1422668</xdr:colOff>
      <xdr:row>7</xdr:row>
      <xdr:rowOff>211961</xdr:rowOff>
    </xdr:from>
    <xdr:to>
      <xdr:col>1</xdr:col>
      <xdr:colOff>1791416</xdr:colOff>
      <xdr:row>8</xdr:row>
      <xdr:rowOff>154231</xdr:rowOff>
    </xdr:to>
    <xdr:pic>
      <xdr:nvPicPr>
        <xdr:cNvPr id="4" name="Imagen 3">
          <a:hlinkClick xmlns:r="http://schemas.openxmlformats.org/officeDocument/2006/relationships" r:id="rId3" tooltip="Pendientes"/>
          <a:extLst>
            <a:ext uri="{FF2B5EF4-FFF2-40B4-BE49-F238E27FC236}">
              <a16:creationId xmlns:a16="http://schemas.microsoft.com/office/drawing/2014/main" id="{00000000-0008-0000-33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26775" y="1940068"/>
          <a:ext cx="368748" cy="350484"/>
        </a:xfrm>
        <a:prstGeom prst="rect">
          <a:avLst/>
        </a:prstGeom>
      </xdr:spPr>
    </xdr:pic>
    <xdr:clientData fLocksWithSheet="0" fPrintsWithSheet="0"/>
  </xdr:twoCellAnchor>
  <xdr:twoCellAnchor editAs="absolute">
    <xdr:from>
      <xdr:col>1</xdr:col>
      <xdr:colOff>750513</xdr:colOff>
      <xdr:row>7</xdr:row>
      <xdr:rowOff>141447</xdr:rowOff>
    </xdr:from>
    <xdr:to>
      <xdr:col>1</xdr:col>
      <xdr:colOff>1221162</xdr:colOff>
      <xdr:row>8</xdr:row>
      <xdr:rowOff>154231</xdr:rowOff>
    </xdr:to>
    <xdr:pic>
      <xdr:nvPicPr>
        <xdr:cNvPr id="6" name="Imagen 6" descr="http://t0.gstatic.com/images?q=tbn:ANd9GcSOcaZYp0sCkZBRwsB3QOGfBLQf9_qr6Tcm-TdXlorb0v3BiCQ6">
          <a:hlinkClick xmlns:r="http://schemas.openxmlformats.org/officeDocument/2006/relationships" r:id="rId5" tooltip="Incidencias"/>
          <a:extLst>
            <a:ext uri="{FF2B5EF4-FFF2-40B4-BE49-F238E27FC236}">
              <a16:creationId xmlns:a16="http://schemas.microsoft.com/office/drawing/2014/main" id="{00000000-0008-0000-3300-000006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954620" y="1869554"/>
          <a:ext cx="470649" cy="4209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absolute">
    <xdr:from>
      <xdr:col>1</xdr:col>
      <xdr:colOff>1992923</xdr:colOff>
      <xdr:row>7</xdr:row>
      <xdr:rowOff>308888</xdr:rowOff>
    </xdr:from>
    <xdr:to>
      <xdr:col>1</xdr:col>
      <xdr:colOff>2339884</xdr:colOff>
      <xdr:row>8</xdr:row>
      <xdr:rowOff>154231</xdr:rowOff>
    </xdr:to>
    <xdr:pic macro="[0]!VOLVER.VOLVER">
      <xdr:nvPicPr>
        <xdr:cNvPr id="8" name="Imagen 4">
          <a:extLst>
            <a:ext uri="{FF2B5EF4-FFF2-40B4-BE49-F238E27FC236}">
              <a16:creationId xmlns:a16="http://schemas.microsoft.com/office/drawing/2014/main" id="{00000000-0008-0000-33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197030" y="2036995"/>
          <a:ext cx="346961" cy="253557"/>
        </a:xfrm>
        <a:prstGeom prst="rect">
          <a:avLst/>
        </a:prstGeom>
      </xdr:spPr>
    </xdr:pic>
    <xdr:clientData fPrintsWithSheet="0"/>
  </xdr:twoCellAnchor>
</xdr:wsDr>
</file>

<file path=xl/drawings/drawing54.xml><?xml version="1.0" encoding="utf-8"?>
<xdr:wsDr xmlns:xdr="http://schemas.openxmlformats.org/drawingml/2006/spreadsheetDrawing" xmlns:a="http://schemas.openxmlformats.org/drawingml/2006/main">
  <xdr:twoCellAnchor editAs="oneCell">
    <xdr:from>
      <xdr:col>1</xdr:col>
      <xdr:colOff>127428</xdr:colOff>
      <xdr:row>4</xdr:row>
      <xdr:rowOff>120324</xdr:rowOff>
    </xdr:from>
    <xdr:to>
      <xdr:col>1</xdr:col>
      <xdr:colOff>408300</xdr:colOff>
      <xdr:row>5</xdr:row>
      <xdr:rowOff>187140</xdr:rowOff>
    </xdr:to>
    <xdr:pic>
      <xdr:nvPicPr>
        <xdr:cNvPr id="2" name="5 Imagen">
          <a:hlinkClick xmlns:r="http://schemas.openxmlformats.org/officeDocument/2006/relationships" r:id="rId1" tooltip="MENU"/>
          <a:extLst>
            <a:ext uri="{FF2B5EF4-FFF2-40B4-BE49-F238E27FC236}">
              <a16:creationId xmlns:a16="http://schemas.microsoft.com/office/drawing/2014/main" id="{00000000-0008-0000-3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0340" y="1521059"/>
          <a:ext cx="280872" cy="305342"/>
        </a:xfrm>
        <a:prstGeom prst="rect">
          <a:avLst/>
        </a:prstGeom>
      </xdr:spPr>
    </xdr:pic>
    <xdr:clientData fPrintsWithSheet="0"/>
  </xdr:twoCellAnchor>
  <xdr:twoCellAnchor editAs="absolute">
    <xdr:from>
      <xdr:col>1</xdr:col>
      <xdr:colOff>612109</xdr:colOff>
      <xdr:row>4</xdr:row>
      <xdr:rowOff>4465</xdr:rowOff>
    </xdr:from>
    <xdr:to>
      <xdr:col>1</xdr:col>
      <xdr:colOff>994100</xdr:colOff>
      <xdr:row>5</xdr:row>
      <xdr:rowOff>129710</xdr:rowOff>
    </xdr:to>
    <xdr:pic>
      <xdr:nvPicPr>
        <xdr:cNvPr id="4" name="Imagen 3">
          <a:hlinkClick xmlns:r="http://schemas.openxmlformats.org/officeDocument/2006/relationships" r:id="rId3" tooltip="Pendientes"/>
          <a:extLst>
            <a:ext uri="{FF2B5EF4-FFF2-40B4-BE49-F238E27FC236}">
              <a16:creationId xmlns:a16="http://schemas.microsoft.com/office/drawing/2014/main" id="{00000000-0008-0000-34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25021" y="1462630"/>
          <a:ext cx="381991" cy="363771"/>
        </a:xfrm>
        <a:prstGeom prst="rect">
          <a:avLst/>
        </a:prstGeom>
      </xdr:spPr>
    </xdr:pic>
    <xdr:clientData fLocksWithSheet="0" fPrintsWithSheet="0"/>
  </xdr:twoCellAnchor>
  <xdr:twoCellAnchor editAs="absolute">
    <xdr:from>
      <xdr:col>1</xdr:col>
      <xdr:colOff>1203096</xdr:colOff>
      <xdr:row>3</xdr:row>
      <xdr:rowOff>377791</xdr:rowOff>
    </xdr:from>
    <xdr:to>
      <xdr:col>1</xdr:col>
      <xdr:colOff>1709229</xdr:colOff>
      <xdr:row>5</xdr:row>
      <xdr:rowOff>129710</xdr:rowOff>
    </xdr:to>
    <xdr:pic macro="[0]!VOLVER.VOLVER">
      <xdr:nvPicPr>
        <xdr:cNvPr id="5" name="Imagen 4">
          <a:extLst>
            <a:ext uri="{FF2B5EF4-FFF2-40B4-BE49-F238E27FC236}">
              <a16:creationId xmlns:a16="http://schemas.microsoft.com/office/drawing/2014/main" id="{00000000-0008-0000-34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6008" y="1454956"/>
          <a:ext cx="506133" cy="371445"/>
        </a:xfrm>
        <a:prstGeom prst="rect">
          <a:avLst/>
        </a:prstGeom>
      </xdr:spPr>
    </xdr:pic>
    <xdr:clientData fPrintsWithSheet="0"/>
  </xdr:twoCellAnchor>
  <xdr:twoCellAnchor editAs="absolute">
    <xdr:from>
      <xdr:col>1</xdr:col>
      <xdr:colOff>1794302</xdr:colOff>
      <xdr:row>3</xdr:row>
      <xdr:rowOff>333774</xdr:rowOff>
    </xdr:from>
    <xdr:to>
      <xdr:col>1</xdr:col>
      <xdr:colOff>2269192</xdr:colOff>
      <xdr:row>5</xdr:row>
      <xdr:rowOff>129710</xdr:rowOff>
    </xdr:to>
    <xdr:pic>
      <xdr:nvPicPr>
        <xdr:cNvPr id="6" name="Imagen 5" descr="http://t0.gstatic.com/images?q=tbn:ANd9GcSOcaZYp0sCkZBRwsB3QOGfBLQf9_qr6Tcm-TdXlorb0v3BiCQ6">
          <a:hlinkClick xmlns:r="http://schemas.openxmlformats.org/officeDocument/2006/relationships" r:id="rId6" tooltip="Incidencias"/>
          <a:extLst>
            <a:ext uri="{FF2B5EF4-FFF2-40B4-BE49-F238E27FC236}">
              <a16:creationId xmlns:a16="http://schemas.microsoft.com/office/drawing/2014/main" id="{00000000-0008-0000-3400-000006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07214" y="1410939"/>
          <a:ext cx="474890" cy="41546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5.xml><?xml version="1.0" encoding="utf-8"?>
<xdr:wsDr xmlns:xdr="http://schemas.openxmlformats.org/drawingml/2006/spreadsheetDrawing" xmlns:a="http://schemas.openxmlformats.org/drawingml/2006/main">
  <xdr:twoCellAnchor>
    <xdr:from>
      <xdr:col>1</xdr:col>
      <xdr:colOff>204787</xdr:colOff>
      <xdr:row>50</xdr:row>
      <xdr:rowOff>76199</xdr:rowOff>
    </xdr:from>
    <xdr:to>
      <xdr:col>8</xdr:col>
      <xdr:colOff>487928</xdr:colOff>
      <xdr:row>74</xdr:row>
      <xdr:rowOff>49158</xdr:rowOff>
    </xdr:to>
    <xdr:graphicFrame macro="">
      <xdr:nvGraphicFramePr>
        <xdr:cNvPr id="2" name="Chart 2">
          <a:extLst>
            <a:ext uri="{FF2B5EF4-FFF2-40B4-BE49-F238E27FC236}">
              <a16:creationId xmlns:a16="http://schemas.microsoft.com/office/drawing/2014/main" id="{00000000-0008-0000-3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228599</xdr:colOff>
      <xdr:row>80</xdr:row>
      <xdr:rowOff>148879</xdr:rowOff>
    </xdr:from>
    <xdr:to>
      <xdr:col>8</xdr:col>
      <xdr:colOff>511740</xdr:colOff>
      <xdr:row>104</xdr:row>
      <xdr:rowOff>133226</xdr:rowOff>
    </xdr:to>
    <xdr:graphicFrame macro="">
      <xdr:nvGraphicFramePr>
        <xdr:cNvPr id="3" name="Chart 3">
          <a:extLst>
            <a:ext uri="{FF2B5EF4-FFF2-40B4-BE49-F238E27FC236}">
              <a16:creationId xmlns:a16="http://schemas.microsoft.com/office/drawing/2014/main" id="{00000000-0008-0000-3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204786</xdr:colOff>
      <xdr:row>111</xdr:row>
      <xdr:rowOff>90072</xdr:rowOff>
    </xdr:from>
    <xdr:to>
      <xdr:col>8</xdr:col>
      <xdr:colOff>487927</xdr:colOff>
      <xdr:row>135</xdr:row>
      <xdr:rowOff>74420</xdr:rowOff>
    </xdr:to>
    <xdr:graphicFrame macro="">
      <xdr:nvGraphicFramePr>
        <xdr:cNvPr id="4" name="Chart 4">
          <a:extLst>
            <a:ext uri="{FF2B5EF4-FFF2-40B4-BE49-F238E27FC236}">
              <a16:creationId xmlns:a16="http://schemas.microsoft.com/office/drawing/2014/main" id="{00000000-0008-0000-3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200025</xdr:colOff>
      <xdr:row>1</xdr:row>
      <xdr:rowOff>477715</xdr:rowOff>
    </xdr:from>
    <xdr:to>
      <xdr:col>1</xdr:col>
      <xdr:colOff>492369</xdr:colOff>
      <xdr:row>3</xdr:row>
      <xdr:rowOff>1695</xdr:rowOff>
    </xdr:to>
    <xdr:pic>
      <xdr:nvPicPr>
        <xdr:cNvPr id="7" name="5 Imagen">
          <a:hlinkClick xmlns:r="http://schemas.openxmlformats.org/officeDocument/2006/relationships" r:id="rId4" tooltip="MENU"/>
          <a:extLst>
            <a:ext uri="{FF2B5EF4-FFF2-40B4-BE49-F238E27FC236}">
              <a16:creationId xmlns:a16="http://schemas.microsoft.com/office/drawing/2014/main" id="{00000000-0008-0000-35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5275" y="1011115"/>
          <a:ext cx="292344" cy="295505"/>
        </a:xfrm>
        <a:prstGeom prst="rect">
          <a:avLst/>
        </a:prstGeom>
      </xdr:spPr>
    </xdr:pic>
    <xdr:clientData fPrintsWithSheet="0"/>
  </xdr:twoCellAnchor>
  <xdr:twoCellAnchor editAs="absolute">
    <xdr:from>
      <xdr:col>1</xdr:col>
      <xdr:colOff>1056560</xdr:colOff>
      <xdr:row>1</xdr:row>
      <xdr:rowOff>447826</xdr:rowOff>
    </xdr:from>
    <xdr:to>
      <xdr:col>1</xdr:col>
      <xdr:colOff>1416287</xdr:colOff>
      <xdr:row>3</xdr:row>
      <xdr:rowOff>20745</xdr:rowOff>
    </xdr:to>
    <xdr:pic>
      <xdr:nvPicPr>
        <xdr:cNvPr id="8" name="Imagen 7">
          <a:hlinkClick xmlns:r="http://schemas.openxmlformats.org/officeDocument/2006/relationships" r:id="rId6" tooltip="Pendientes"/>
          <a:extLst>
            <a:ext uri="{FF2B5EF4-FFF2-40B4-BE49-F238E27FC236}">
              <a16:creationId xmlns:a16="http://schemas.microsoft.com/office/drawing/2014/main" id="{00000000-0008-0000-35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51810" y="981226"/>
          <a:ext cx="359727" cy="344444"/>
        </a:xfrm>
        <a:prstGeom prst="rect">
          <a:avLst/>
        </a:prstGeom>
      </xdr:spPr>
    </xdr:pic>
    <xdr:clientData fLocksWithSheet="0" fPrintsWithSheet="0"/>
  </xdr:twoCellAnchor>
  <xdr:twoCellAnchor editAs="absolute">
    <xdr:from>
      <xdr:col>1</xdr:col>
      <xdr:colOff>1677866</xdr:colOff>
      <xdr:row>1</xdr:row>
      <xdr:rowOff>473284</xdr:rowOff>
    </xdr:from>
    <xdr:to>
      <xdr:col>1</xdr:col>
      <xdr:colOff>2102827</xdr:colOff>
      <xdr:row>3</xdr:row>
      <xdr:rowOff>20745</xdr:rowOff>
    </xdr:to>
    <xdr:pic macro="[0]!VOLVER.VOLVER">
      <xdr:nvPicPr>
        <xdr:cNvPr id="9" name="Imagen 8">
          <a:extLst>
            <a:ext uri="{FF2B5EF4-FFF2-40B4-BE49-F238E27FC236}">
              <a16:creationId xmlns:a16="http://schemas.microsoft.com/office/drawing/2014/main" id="{00000000-0008-0000-35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773116" y="1006684"/>
          <a:ext cx="424961" cy="318986"/>
        </a:xfrm>
        <a:prstGeom prst="rect">
          <a:avLst/>
        </a:prstGeom>
      </xdr:spPr>
    </xdr:pic>
    <xdr:clientData fPrintsWithSheet="0"/>
  </xdr:twoCellAnchor>
  <xdr:twoCellAnchor editAs="absolute">
    <xdr:from>
      <xdr:col>1</xdr:col>
      <xdr:colOff>639649</xdr:colOff>
      <xdr:row>1</xdr:row>
      <xdr:rowOff>456389</xdr:rowOff>
    </xdr:from>
    <xdr:to>
      <xdr:col>1</xdr:col>
      <xdr:colOff>947380</xdr:colOff>
      <xdr:row>2</xdr:row>
      <xdr:rowOff>249345</xdr:rowOff>
    </xdr:to>
    <xdr:pic>
      <xdr:nvPicPr>
        <xdr:cNvPr id="10" name="Imagen 9" descr="http://t0.gstatic.com/images?q=tbn:ANd9GcSOcaZYp0sCkZBRwsB3QOGfBLQf9_qr6Tcm-TdXlorb0v3BiCQ6">
          <a:hlinkClick xmlns:r="http://schemas.openxmlformats.org/officeDocument/2006/relationships" r:id="rId9" tooltip="Incidencias"/>
          <a:extLst>
            <a:ext uri="{FF2B5EF4-FFF2-40B4-BE49-F238E27FC236}">
              <a16:creationId xmlns:a16="http://schemas.microsoft.com/office/drawing/2014/main" id="{00000000-0008-0000-3500-00000A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734899" y="989789"/>
          <a:ext cx="307731" cy="278731"/>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230063</xdr:colOff>
      <xdr:row>74</xdr:row>
      <xdr:rowOff>115031</xdr:rowOff>
    </xdr:from>
    <xdr:to>
      <xdr:col>4</xdr:col>
      <xdr:colOff>1896939</xdr:colOff>
      <xdr:row>88</xdr:row>
      <xdr:rowOff>8081</xdr:rowOff>
    </xdr:to>
    <xdr:graphicFrame macro="">
      <xdr:nvGraphicFramePr>
        <xdr:cNvPr id="2" name="Chart 1">
          <a:extLst>
            <a:ext uri="{FF2B5EF4-FFF2-40B4-BE49-F238E27FC236}">
              <a16:creationId xmlns:a16="http://schemas.microsoft.com/office/drawing/2014/main" id="{00000000-0008-0000-3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228599</xdr:colOff>
      <xdr:row>55</xdr:row>
      <xdr:rowOff>731</xdr:rowOff>
    </xdr:from>
    <xdr:to>
      <xdr:col>4</xdr:col>
      <xdr:colOff>1895475</xdr:colOff>
      <xdr:row>68</xdr:row>
      <xdr:rowOff>55706</xdr:rowOff>
    </xdr:to>
    <xdr:graphicFrame macro="">
      <xdr:nvGraphicFramePr>
        <xdr:cNvPr id="3" name="Chart 2">
          <a:extLst>
            <a:ext uri="{FF2B5EF4-FFF2-40B4-BE49-F238E27FC236}">
              <a16:creationId xmlns:a16="http://schemas.microsoft.com/office/drawing/2014/main" id="{00000000-0008-0000-3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36635</xdr:colOff>
      <xdr:row>0</xdr:row>
      <xdr:rowOff>43960</xdr:rowOff>
    </xdr:from>
    <xdr:to>
      <xdr:col>8</xdr:col>
      <xdr:colOff>36635</xdr:colOff>
      <xdr:row>0</xdr:row>
      <xdr:rowOff>380906</xdr:rowOff>
    </xdr:to>
    <xdr:pic>
      <xdr:nvPicPr>
        <xdr:cNvPr id="4" name="3 Imagen" descr="Copia de logo_blanco sin asesores.JPG">
          <a:extLst>
            <a:ext uri="{FF2B5EF4-FFF2-40B4-BE49-F238E27FC236}">
              <a16:creationId xmlns:a16="http://schemas.microsoft.com/office/drawing/2014/main" id="{00000000-0008-0000-3600-000004000000}"/>
            </a:ext>
          </a:extLst>
        </xdr:cNvPr>
        <xdr:cNvPicPr>
          <a:picLocks noChangeAspect="1"/>
        </xdr:cNvPicPr>
      </xdr:nvPicPr>
      <xdr:blipFill>
        <a:blip xmlns:r="http://schemas.openxmlformats.org/officeDocument/2006/relationships" r:embed="rId3" cstate="print"/>
        <a:stretch>
          <a:fillRect/>
        </a:stretch>
      </xdr:blipFill>
      <xdr:spPr>
        <a:xfrm>
          <a:off x="6885110" y="43960"/>
          <a:ext cx="743206" cy="346471"/>
        </a:xfrm>
        <a:prstGeom prst="rect">
          <a:avLst/>
        </a:prstGeom>
      </xdr:spPr>
    </xdr:pic>
    <xdr:clientData/>
  </xdr:twoCellAnchor>
  <xdr:twoCellAnchor editAs="oneCell">
    <xdr:from>
      <xdr:col>1</xdr:col>
      <xdr:colOff>253603</xdr:colOff>
      <xdr:row>2</xdr:row>
      <xdr:rowOff>311225</xdr:rowOff>
    </xdr:from>
    <xdr:to>
      <xdr:col>1</xdr:col>
      <xdr:colOff>619124</xdr:colOff>
      <xdr:row>3</xdr:row>
      <xdr:rowOff>361794</xdr:rowOff>
    </xdr:to>
    <xdr:pic>
      <xdr:nvPicPr>
        <xdr:cNvPr id="6" name="5 Imagen">
          <a:hlinkClick xmlns:r="http://schemas.openxmlformats.org/officeDocument/2006/relationships" r:id="rId4" tooltip="MENU"/>
          <a:extLst>
            <a:ext uri="{FF2B5EF4-FFF2-40B4-BE49-F238E27FC236}">
              <a16:creationId xmlns:a16="http://schemas.microsoft.com/office/drawing/2014/main" id="{00000000-0008-0000-36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72678" y="1254200"/>
          <a:ext cx="365521" cy="364894"/>
        </a:xfrm>
        <a:prstGeom prst="rect">
          <a:avLst/>
        </a:prstGeom>
      </xdr:spPr>
    </xdr:pic>
    <xdr:clientData fPrintsWithSheet="0"/>
  </xdr:twoCellAnchor>
  <xdr:twoCellAnchor editAs="absolute">
    <xdr:from>
      <xdr:col>1</xdr:col>
      <xdr:colOff>795901</xdr:colOff>
      <xdr:row>3</xdr:row>
      <xdr:rowOff>139839</xdr:rowOff>
    </xdr:from>
    <xdr:to>
      <xdr:col>1</xdr:col>
      <xdr:colOff>1166594</xdr:colOff>
      <xdr:row>5</xdr:row>
      <xdr:rowOff>18894</xdr:rowOff>
    </xdr:to>
    <xdr:pic>
      <xdr:nvPicPr>
        <xdr:cNvPr id="8" name="Imagen 7">
          <a:hlinkClick xmlns:r="http://schemas.openxmlformats.org/officeDocument/2006/relationships" r:id="rId6" tooltip="Pendientes"/>
          <a:extLst>
            <a:ext uri="{FF2B5EF4-FFF2-40B4-BE49-F238E27FC236}">
              <a16:creationId xmlns:a16="http://schemas.microsoft.com/office/drawing/2014/main" id="{00000000-0008-0000-36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14976" y="1263789"/>
          <a:ext cx="370693" cy="355305"/>
        </a:xfrm>
        <a:prstGeom prst="rect">
          <a:avLst/>
        </a:prstGeom>
      </xdr:spPr>
    </xdr:pic>
    <xdr:clientData fLocksWithSheet="0" fPrintsWithSheet="0"/>
  </xdr:twoCellAnchor>
  <xdr:twoCellAnchor editAs="absolute">
    <xdr:from>
      <xdr:col>1</xdr:col>
      <xdr:colOff>1343371</xdr:colOff>
      <xdr:row>3</xdr:row>
      <xdr:rowOff>151053</xdr:rowOff>
    </xdr:from>
    <xdr:to>
      <xdr:col>1</xdr:col>
      <xdr:colOff>1804424</xdr:colOff>
      <xdr:row>5</xdr:row>
      <xdr:rowOff>18894</xdr:rowOff>
    </xdr:to>
    <xdr:pic macro="[0]!VOLVER.VOLVER">
      <xdr:nvPicPr>
        <xdr:cNvPr id="9" name="Imagen 8">
          <a:extLst>
            <a:ext uri="{FF2B5EF4-FFF2-40B4-BE49-F238E27FC236}">
              <a16:creationId xmlns:a16="http://schemas.microsoft.com/office/drawing/2014/main" id="{00000000-0008-0000-36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62446" y="1275003"/>
          <a:ext cx="461053" cy="344091"/>
        </a:xfrm>
        <a:prstGeom prst="rect">
          <a:avLst/>
        </a:prstGeom>
      </xdr:spPr>
    </xdr:pic>
    <xdr:clientData fPrintsWithSheet="0"/>
  </xdr:twoCellAnchor>
  <xdr:twoCellAnchor editAs="absolute">
    <xdr:from>
      <xdr:col>1</xdr:col>
      <xdr:colOff>1981200</xdr:colOff>
      <xdr:row>3</xdr:row>
      <xdr:rowOff>69360</xdr:rowOff>
    </xdr:from>
    <xdr:to>
      <xdr:col>1</xdr:col>
      <xdr:colOff>2452687</xdr:colOff>
      <xdr:row>5</xdr:row>
      <xdr:rowOff>18894</xdr:rowOff>
    </xdr:to>
    <xdr:pic>
      <xdr:nvPicPr>
        <xdr:cNvPr id="10" name="Imagen 9" descr="http://t0.gstatic.com/images?q=tbn:ANd9GcSOcaZYp0sCkZBRwsB3QOGfBLQf9_qr6Tcm-TdXlorb0v3BiCQ6">
          <a:hlinkClick xmlns:r="http://schemas.openxmlformats.org/officeDocument/2006/relationships" r:id="rId9" tooltip="Incidencias"/>
          <a:extLst>
            <a:ext uri="{FF2B5EF4-FFF2-40B4-BE49-F238E27FC236}">
              <a16:creationId xmlns:a16="http://schemas.microsoft.com/office/drawing/2014/main" id="{00000000-0008-0000-3600-00000A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200275" y="1193310"/>
          <a:ext cx="471487" cy="425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85714</xdr:colOff>
      <xdr:row>49</xdr:row>
      <xdr:rowOff>161096</xdr:rowOff>
    </xdr:from>
    <xdr:to>
      <xdr:col>4</xdr:col>
      <xdr:colOff>1971675</xdr:colOff>
      <xdr:row>63</xdr:row>
      <xdr:rowOff>54146</xdr:rowOff>
    </xdr:to>
    <xdr:graphicFrame macro="">
      <xdr:nvGraphicFramePr>
        <xdr:cNvPr id="2" name="Chart 1">
          <a:extLst>
            <a:ext uri="{FF2B5EF4-FFF2-40B4-BE49-F238E27FC236}">
              <a16:creationId xmlns:a16="http://schemas.microsoft.com/office/drawing/2014/main" id="{00000000-0008-0000-3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85714</xdr:colOff>
      <xdr:row>68</xdr:row>
      <xdr:rowOff>101812</xdr:rowOff>
    </xdr:from>
    <xdr:to>
      <xdr:col>4</xdr:col>
      <xdr:colOff>1971675</xdr:colOff>
      <xdr:row>81</xdr:row>
      <xdr:rowOff>137737</xdr:rowOff>
    </xdr:to>
    <xdr:graphicFrame macro="">
      <xdr:nvGraphicFramePr>
        <xdr:cNvPr id="3" name="Chart 2">
          <a:extLst>
            <a:ext uri="{FF2B5EF4-FFF2-40B4-BE49-F238E27FC236}">
              <a16:creationId xmlns:a16="http://schemas.microsoft.com/office/drawing/2014/main" id="{00000000-0008-0000-3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18794</xdr:colOff>
      <xdr:row>0</xdr:row>
      <xdr:rowOff>117231</xdr:rowOff>
    </xdr:from>
    <xdr:to>
      <xdr:col>8</xdr:col>
      <xdr:colOff>18794</xdr:colOff>
      <xdr:row>0</xdr:row>
      <xdr:rowOff>464593</xdr:rowOff>
    </xdr:to>
    <xdr:pic>
      <xdr:nvPicPr>
        <xdr:cNvPr id="4" name="3 Imagen" descr="Copia de logo_blanco sin asesores.JPG">
          <a:extLst>
            <a:ext uri="{FF2B5EF4-FFF2-40B4-BE49-F238E27FC236}">
              <a16:creationId xmlns:a16="http://schemas.microsoft.com/office/drawing/2014/main" id="{00000000-0008-0000-3700-000004000000}"/>
            </a:ext>
          </a:extLst>
        </xdr:cNvPr>
        <xdr:cNvPicPr>
          <a:picLocks noChangeAspect="1"/>
        </xdr:cNvPicPr>
      </xdr:nvPicPr>
      <xdr:blipFill>
        <a:blip xmlns:r="http://schemas.openxmlformats.org/officeDocument/2006/relationships" r:embed="rId3" cstate="print"/>
        <a:stretch>
          <a:fillRect/>
        </a:stretch>
      </xdr:blipFill>
      <xdr:spPr>
        <a:xfrm>
          <a:off x="6743444" y="117231"/>
          <a:ext cx="743205" cy="342807"/>
        </a:xfrm>
        <a:prstGeom prst="rect">
          <a:avLst/>
        </a:prstGeom>
      </xdr:spPr>
    </xdr:pic>
    <xdr:clientData/>
  </xdr:twoCellAnchor>
  <xdr:twoCellAnchor editAs="oneCell">
    <xdr:from>
      <xdr:col>1</xdr:col>
      <xdr:colOff>95250</xdr:colOff>
      <xdr:row>2</xdr:row>
      <xdr:rowOff>68541</xdr:rowOff>
    </xdr:from>
    <xdr:to>
      <xdr:col>1</xdr:col>
      <xdr:colOff>390525</xdr:colOff>
      <xdr:row>3</xdr:row>
      <xdr:rowOff>16304</xdr:rowOff>
    </xdr:to>
    <xdr:pic>
      <xdr:nvPicPr>
        <xdr:cNvPr id="7" name="5 Imagen">
          <a:hlinkClick xmlns:r="http://schemas.openxmlformats.org/officeDocument/2006/relationships" r:id="rId4" tooltip="MENU"/>
          <a:extLst>
            <a:ext uri="{FF2B5EF4-FFF2-40B4-BE49-F238E27FC236}">
              <a16:creationId xmlns:a16="http://schemas.microsoft.com/office/drawing/2014/main" id="{00000000-0008-0000-37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04800" y="1087716"/>
          <a:ext cx="295275" cy="300188"/>
        </a:xfrm>
        <a:prstGeom prst="rect">
          <a:avLst/>
        </a:prstGeom>
      </xdr:spPr>
    </xdr:pic>
    <xdr:clientData fPrintsWithSheet="0"/>
  </xdr:twoCellAnchor>
  <xdr:twoCellAnchor editAs="absolute">
    <xdr:from>
      <xdr:col>1</xdr:col>
      <xdr:colOff>1461223</xdr:colOff>
      <xdr:row>2</xdr:row>
      <xdr:rowOff>68541</xdr:rowOff>
    </xdr:from>
    <xdr:to>
      <xdr:col>1</xdr:col>
      <xdr:colOff>1820950</xdr:colOff>
      <xdr:row>3</xdr:row>
      <xdr:rowOff>65465</xdr:rowOff>
    </xdr:to>
    <xdr:pic>
      <xdr:nvPicPr>
        <xdr:cNvPr id="8" name="Imagen 7">
          <a:hlinkClick xmlns:r="http://schemas.openxmlformats.org/officeDocument/2006/relationships" r:id="rId6" tooltip="Pendientes"/>
          <a:extLst>
            <a:ext uri="{FF2B5EF4-FFF2-40B4-BE49-F238E27FC236}">
              <a16:creationId xmlns:a16="http://schemas.microsoft.com/office/drawing/2014/main" id="{00000000-0008-0000-37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670773" y="1087716"/>
          <a:ext cx="359727" cy="349349"/>
        </a:xfrm>
        <a:prstGeom prst="rect">
          <a:avLst/>
        </a:prstGeom>
      </xdr:spPr>
    </xdr:pic>
    <xdr:clientData fLocksWithSheet="0" fPrintsWithSheet="0"/>
  </xdr:twoCellAnchor>
  <xdr:twoCellAnchor editAs="absolute">
    <xdr:from>
      <xdr:col>1</xdr:col>
      <xdr:colOff>2156119</xdr:colOff>
      <xdr:row>2</xdr:row>
      <xdr:rowOff>68541</xdr:rowOff>
    </xdr:from>
    <xdr:to>
      <xdr:col>1</xdr:col>
      <xdr:colOff>2565763</xdr:colOff>
      <xdr:row>3</xdr:row>
      <xdr:rowOff>28575</xdr:rowOff>
    </xdr:to>
    <xdr:pic macro="[0]!VOLVER.VOLVER">
      <xdr:nvPicPr>
        <xdr:cNvPr id="9" name="Imagen 8">
          <a:extLst>
            <a:ext uri="{FF2B5EF4-FFF2-40B4-BE49-F238E27FC236}">
              <a16:creationId xmlns:a16="http://schemas.microsoft.com/office/drawing/2014/main" id="{00000000-0008-0000-37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365669" y="1087716"/>
          <a:ext cx="409644" cy="312459"/>
        </a:xfrm>
        <a:prstGeom prst="rect">
          <a:avLst/>
        </a:prstGeom>
      </xdr:spPr>
    </xdr:pic>
    <xdr:clientData fPrintsWithSheet="0"/>
  </xdr:twoCellAnchor>
  <xdr:twoCellAnchor editAs="absolute">
    <xdr:from>
      <xdr:col>1</xdr:col>
      <xdr:colOff>725693</xdr:colOff>
      <xdr:row>2</xdr:row>
      <xdr:rowOff>68541</xdr:rowOff>
    </xdr:from>
    <xdr:to>
      <xdr:col>1</xdr:col>
      <xdr:colOff>1126055</xdr:colOff>
      <xdr:row>3</xdr:row>
      <xdr:rowOff>87849</xdr:rowOff>
    </xdr:to>
    <xdr:pic>
      <xdr:nvPicPr>
        <xdr:cNvPr id="10" name="Imagen 9" descr="http://t0.gstatic.com/images?q=tbn:ANd9GcSOcaZYp0sCkZBRwsB3QOGfBLQf9_qr6Tcm-TdXlorb0v3BiCQ6">
          <a:hlinkClick xmlns:r="http://schemas.openxmlformats.org/officeDocument/2006/relationships" r:id="rId9" tooltip="Incidencias"/>
          <a:extLst>
            <a:ext uri="{FF2B5EF4-FFF2-40B4-BE49-F238E27FC236}">
              <a16:creationId xmlns:a16="http://schemas.microsoft.com/office/drawing/2014/main" id="{00000000-0008-0000-3700-00000A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935243" y="1087716"/>
          <a:ext cx="400362" cy="371733"/>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8.xml><?xml version="1.0" encoding="utf-8"?>
<xdr:wsDr xmlns:xdr="http://schemas.openxmlformats.org/drawingml/2006/spreadsheetDrawing" xmlns:a="http://schemas.openxmlformats.org/drawingml/2006/main">
  <xdr:twoCellAnchor editAs="oneCell">
    <xdr:from>
      <xdr:col>2</xdr:col>
      <xdr:colOff>132522</xdr:colOff>
      <xdr:row>0</xdr:row>
      <xdr:rowOff>49696</xdr:rowOff>
    </xdr:from>
    <xdr:to>
      <xdr:col>2</xdr:col>
      <xdr:colOff>132522</xdr:colOff>
      <xdr:row>1</xdr:row>
      <xdr:rowOff>204844</xdr:rowOff>
    </xdr:to>
    <xdr:pic>
      <xdr:nvPicPr>
        <xdr:cNvPr id="2" name="1 Imagen" descr="Copia de logo_blanco sin asesores.JPG">
          <a:extLst>
            <a:ext uri="{FF2B5EF4-FFF2-40B4-BE49-F238E27FC236}">
              <a16:creationId xmlns:a16="http://schemas.microsoft.com/office/drawing/2014/main" id="{00000000-0008-0000-3800-000002000000}"/>
            </a:ext>
          </a:extLst>
        </xdr:cNvPr>
        <xdr:cNvPicPr>
          <a:picLocks noChangeAspect="1"/>
        </xdr:cNvPicPr>
      </xdr:nvPicPr>
      <xdr:blipFill>
        <a:blip xmlns:r="http://schemas.openxmlformats.org/officeDocument/2006/relationships" r:embed="rId1" cstate="print"/>
        <a:stretch>
          <a:fillRect/>
        </a:stretch>
      </xdr:blipFill>
      <xdr:spPr>
        <a:xfrm>
          <a:off x="627822" y="49696"/>
          <a:ext cx="743205" cy="348604"/>
        </a:xfrm>
        <a:prstGeom prst="rect">
          <a:avLst/>
        </a:prstGeom>
      </xdr:spPr>
    </xdr:pic>
    <xdr:clientData/>
  </xdr:twoCellAnchor>
  <xdr:twoCellAnchor editAs="oneCell">
    <xdr:from>
      <xdr:col>1</xdr:col>
      <xdr:colOff>156700</xdr:colOff>
      <xdr:row>4</xdr:row>
      <xdr:rowOff>115362</xdr:rowOff>
    </xdr:from>
    <xdr:to>
      <xdr:col>1</xdr:col>
      <xdr:colOff>454173</xdr:colOff>
      <xdr:row>5</xdr:row>
      <xdr:rowOff>66476</xdr:rowOff>
    </xdr:to>
    <xdr:pic>
      <xdr:nvPicPr>
        <xdr:cNvPr id="4" name="5 Imagen">
          <a:hlinkClick xmlns:r="http://schemas.openxmlformats.org/officeDocument/2006/relationships" r:id="rId2" tooltip="MENU"/>
          <a:extLst>
            <a:ext uri="{FF2B5EF4-FFF2-40B4-BE49-F238E27FC236}">
              <a16:creationId xmlns:a16="http://schemas.microsoft.com/office/drawing/2014/main" id="{00000000-0008-0000-38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56725" y="1163112"/>
          <a:ext cx="297473" cy="294014"/>
        </a:xfrm>
        <a:prstGeom prst="rect">
          <a:avLst/>
        </a:prstGeom>
      </xdr:spPr>
    </xdr:pic>
    <xdr:clientData fPrintsWithSheet="0"/>
  </xdr:twoCellAnchor>
  <xdr:twoCellAnchor editAs="absolute">
    <xdr:from>
      <xdr:col>2</xdr:col>
      <xdr:colOff>126051</xdr:colOff>
      <xdr:row>4</xdr:row>
      <xdr:rowOff>25291</xdr:rowOff>
    </xdr:from>
    <xdr:to>
      <xdr:col>2</xdr:col>
      <xdr:colOff>485778</xdr:colOff>
      <xdr:row>5</xdr:row>
      <xdr:rowOff>28376</xdr:rowOff>
    </xdr:to>
    <xdr:pic>
      <xdr:nvPicPr>
        <xdr:cNvPr id="5" name="Imagen 4">
          <a:hlinkClick xmlns:r="http://schemas.openxmlformats.org/officeDocument/2006/relationships" r:id="rId4" tooltip="Pendientes"/>
          <a:extLst>
            <a:ext uri="{FF2B5EF4-FFF2-40B4-BE49-F238E27FC236}">
              <a16:creationId xmlns:a16="http://schemas.microsoft.com/office/drawing/2014/main" id="{00000000-0008-0000-38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02326" y="1111141"/>
          <a:ext cx="359727" cy="345985"/>
        </a:xfrm>
        <a:prstGeom prst="rect">
          <a:avLst/>
        </a:prstGeom>
      </xdr:spPr>
    </xdr:pic>
    <xdr:clientData fLocksWithSheet="0" fPrintsWithSheet="0"/>
  </xdr:twoCellAnchor>
  <xdr:twoCellAnchor editAs="absolute">
    <xdr:from>
      <xdr:col>2</xdr:col>
      <xdr:colOff>633907</xdr:colOff>
      <xdr:row>3</xdr:row>
      <xdr:rowOff>0</xdr:rowOff>
    </xdr:from>
    <xdr:to>
      <xdr:col>2</xdr:col>
      <xdr:colOff>1126578</xdr:colOff>
      <xdr:row>5</xdr:row>
      <xdr:rowOff>28376</xdr:rowOff>
    </xdr:to>
    <xdr:pic macro="[0]!VOLVER.VOLVER">
      <xdr:nvPicPr>
        <xdr:cNvPr id="6" name="Imagen 5">
          <a:extLst>
            <a:ext uri="{FF2B5EF4-FFF2-40B4-BE49-F238E27FC236}">
              <a16:creationId xmlns:a16="http://schemas.microsoft.com/office/drawing/2014/main" id="{00000000-0008-0000-38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10182" y="1088166"/>
          <a:ext cx="492671" cy="368960"/>
        </a:xfrm>
        <a:prstGeom prst="rect">
          <a:avLst/>
        </a:prstGeom>
      </xdr:spPr>
    </xdr:pic>
    <xdr:clientData fPrintsWithSheet="0"/>
  </xdr:twoCellAnchor>
  <xdr:twoCellAnchor editAs="absolute">
    <xdr:from>
      <xdr:col>1</xdr:col>
      <xdr:colOff>420415</xdr:colOff>
      <xdr:row>5</xdr:row>
      <xdr:rowOff>271447</xdr:rowOff>
    </xdr:from>
    <xdr:to>
      <xdr:col>2</xdr:col>
      <xdr:colOff>403993</xdr:colOff>
      <xdr:row>7</xdr:row>
      <xdr:rowOff>55898</xdr:rowOff>
    </xdr:to>
    <xdr:pic>
      <xdr:nvPicPr>
        <xdr:cNvPr id="7" name="Imagen 6" descr="http://t0.gstatic.com/images?q=tbn:ANd9GcSOcaZYp0sCkZBRwsB3QOGfBLQf9_qr6Tcm-TdXlorb0v3BiCQ6">
          <a:hlinkClick xmlns:r="http://schemas.openxmlformats.org/officeDocument/2006/relationships" r:id="rId7" tooltip="Incidencias"/>
          <a:extLst>
            <a:ext uri="{FF2B5EF4-FFF2-40B4-BE49-F238E27FC236}">
              <a16:creationId xmlns:a16="http://schemas.microsoft.com/office/drawing/2014/main" id="{00000000-0008-0000-3800-00000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620440" y="1700197"/>
          <a:ext cx="459828" cy="413101"/>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9.xml><?xml version="1.0" encoding="utf-8"?>
<xdr:wsDr xmlns:xdr="http://schemas.openxmlformats.org/drawingml/2006/spreadsheetDrawing" xmlns:a="http://schemas.openxmlformats.org/drawingml/2006/main">
  <xdr:twoCellAnchor editAs="oneCell">
    <xdr:from>
      <xdr:col>2</xdr:col>
      <xdr:colOff>224118</xdr:colOff>
      <xdr:row>23</xdr:row>
      <xdr:rowOff>89647</xdr:rowOff>
    </xdr:from>
    <xdr:to>
      <xdr:col>5</xdr:col>
      <xdr:colOff>1288676</xdr:colOff>
      <xdr:row>27</xdr:row>
      <xdr:rowOff>67235</xdr:rowOff>
    </xdr:to>
    <xdr:pic>
      <xdr:nvPicPr>
        <xdr:cNvPr id="2" name="Imagen 1">
          <a:extLst>
            <a:ext uri="{FF2B5EF4-FFF2-40B4-BE49-F238E27FC236}">
              <a16:creationId xmlns:a16="http://schemas.microsoft.com/office/drawing/2014/main" id="{00000000-0008-0000-3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2958353" y="10477500"/>
          <a:ext cx="6555441" cy="1613647"/>
        </a:xfrm>
        <a:prstGeom prst="rect">
          <a:avLst/>
        </a:prstGeom>
      </xdr:spPr>
    </xdr:pic>
    <xdr:clientData/>
  </xdr:twoCellAnchor>
  <xdr:twoCellAnchor editAs="oneCell">
    <xdr:from>
      <xdr:col>3</xdr:col>
      <xdr:colOff>743445</xdr:colOff>
      <xdr:row>29</xdr:row>
      <xdr:rowOff>118753</xdr:rowOff>
    </xdr:from>
    <xdr:to>
      <xdr:col>3</xdr:col>
      <xdr:colOff>1185059</xdr:colOff>
      <xdr:row>30</xdr:row>
      <xdr:rowOff>133597</xdr:rowOff>
    </xdr:to>
    <xdr:pic>
      <xdr:nvPicPr>
        <xdr:cNvPr id="3" name="Imagen 2">
          <a:extLst>
            <a:ext uri="{FF2B5EF4-FFF2-40B4-BE49-F238E27FC236}">
              <a16:creationId xmlns:a16="http://schemas.microsoft.com/office/drawing/2014/main" id="{00000000-0008-0000-3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72620" y="12929878"/>
          <a:ext cx="441614" cy="262494"/>
        </a:xfrm>
        <a:prstGeom prst="rect">
          <a:avLst/>
        </a:prstGeom>
      </xdr:spPr>
    </xdr:pic>
    <xdr:clientData/>
  </xdr:twoCellAnchor>
  <xdr:twoCellAnchor editAs="oneCell">
    <xdr:from>
      <xdr:col>3</xdr:col>
      <xdr:colOff>1343396</xdr:colOff>
      <xdr:row>29</xdr:row>
      <xdr:rowOff>105148</xdr:rowOff>
    </xdr:from>
    <xdr:to>
      <xdr:col>3</xdr:col>
      <xdr:colOff>1620486</xdr:colOff>
      <xdr:row>30</xdr:row>
      <xdr:rowOff>137309</xdr:rowOff>
    </xdr:to>
    <xdr:pic>
      <xdr:nvPicPr>
        <xdr:cNvPr id="4" name="Imagen 3">
          <a:extLst>
            <a:ext uri="{FF2B5EF4-FFF2-40B4-BE49-F238E27FC236}">
              <a16:creationId xmlns:a16="http://schemas.microsoft.com/office/drawing/2014/main" id="{00000000-0008-0000-3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72571" y="12916273"/>
          <a:ext cx="277090" cy="279811"/>
        </a:xfrm>
        <a:prstGeom prst="rect">
          <a:avLst/>
        </a:prstGeom>
      </xdr:spPr>
    </xdr:pic>
    <xdr:clientData/>
  </xdr:twoCellAnchor>
  <xdr:twoCellAnchor editAs="oneCell">
    <xdr:from>
      <xdr:col>4</xdr:col>
      <xdr:colOff>149678</xdr:colOff>
      <xdr:row>29</xdr:row>
      <xdr:rowOff>66800</xdr:rowOff>
    </xdr:from>
    <xdr:to>
      <xdr:col>4</xdr:col>
      <xdr:colOff>496041</xdr:colOff>
      <xdr:row>30</xdr:row>
      <xdr:rowOff>168234</xdr:rowOff>
    </xdr:to>
    <xdr:pic>
      <xdr:nvPicPr>
        <xdr:cNvPr id="5" name="Gráfico 4">
          <a:extLst>
            <a:ext uri="{FF2B5EF4-FFF2-40B4-BE49-F238E27FC236}">
              <a16:creationId xmlns:a16="http://schemas.microsoft.com/office/drawing/2014/main" id="{00000000-0008-0000-39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626678" y="12877925"/>
          <a:ext cx="346363" cy="349084"/>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AJUSTES FISCALES EJ. 2012 NUEVA" connectionId="1" xr16:uid="{00000000-0016-0000-1200-000000000000}" autoFormatId="16" applyNumberFormats="0" applyBorderFormats="0" applyFontFormats="0" applyPatternFormats="0" applyAlignmentFormats="0" applyWidthHeightFormats="0">
  <queryTableRefresh nextId="256">
    <queryTableFields count="255">
      <queryTableField id="1" name="Id" tableColumnId="1"/>
      <queryTableField id="2" name="COD EMP" tableColumnId="2"/>
      <queryTableField id="3" name="EMPRESA" tableColumnId="3"/>
      <queryTableField id="4" name="CTA CONTABLE" tableColumnId="4"/>
      <queryTableField id="5" name="ELEMENTO" tableColumnId="5"/>
      <queryTableField id="6" name="CIA LEASING" tableColumnId="6"/>
      <queryTableField id="7" name="Nº CONTRATO" tableColumnId="7"/>
      <queryTableField id="8" name="FECHA INICIO" tableColumnId="8"/>
      <queryTableField id="9" name="FECHA FINAL" tableColumnId="9"/>
      <queryTableField id="10" name="IMPORTE TOTAL" tableColumnId="10"/>
      <queryTableField id="11" name="IMPORTE FINAN" tableColumnId="11"/>
      <queryTableField id="12" name="CARGA FINAN" tableColumnId="12"/>
      <queryTableField id="13" name="TOT CONT S IVA" tableColumnId="13"/>
      <queryTableField id="14" name="TIP AM TABLAS" tableColumnId="14"/>
      <queryTableField id="15" name="FECHA FIN EJER" tableColumnId="15"/>
      <queryTableField id="16" name="ENT ESPECIAL" tableColumnId="16"/>
      <queryTableField id="17" name="EJERC 01" tableColumnId="17"/>
      <queryTableField id="18" name="REC  COSTE 01" tableColumnId="18"/>
      <queryTableField id="19" name="CARGA FINAN 01" tableColumnId="19"/>
      <queryTableField id="20" name="AMORT EJ 01" tableColumnId="20"/>
      <queryTableField id="21" name="AMORT ACUM 01" tableColumnId="21"/>
      <queryTableField id="22" name="AMORT MAX 01" tableColumnId="22"/>
      <queryTableField id="23" name="AM AC MAX 01" tableColumnId="23"/>
      <queryTableField id="24" name="GASTO FISCAL 01" tableColumnId="24"/>
      <queryTableField id="25" name="PDTE PAGO C P 01" tableColumnId="25"/>
      <queryTableField id="26" name="PDTE PAGO L P 01" tableColumnId="26"/>
      <queryTableField id="27" name="PTE PAGO INT 01" tableColumnId="27"/>
      <queryTableField id="28" name="AJUSTE I S 01" tableColumnId="28"/>
      <queryTableField id="29" name="IMP DIF EJ 01" tableColumnId="29"/>
      <queryTableField id="30" name="SALDO IMP DIF 01" tableColumnId="30"/>
      <queryTableField id="31" name="PEND RECUP 01" tableColumnId="31"/>
      <queryTableField id="32" name="EJERC 02" tableColumnId="32"/>
      <queryTableField id="33" name="REC  COSTE 02" tableColumnId="33"/>
      <queryTableField id="34" name="CARGA FINAN 02" tableColumnId="34"/>
      <queryTableField id="35" name="AMORT EJ 02" tableColumnId="35"/>
      <queryTableField id="36" name="AMORT ACUM 02" tableColumnId="36"/>
      <queryTableField id="37" name="AMORT MAX 02" tableColumnId="37"/>
      <queryTableField id="38" name="AM AC MAX 02" tableColumnId="38"/>
      <queryTableField id="39" name="GASTO FISCAL 02" tableColumnId="39"/>
      <queryTableField id="40" name="PDTE PAGO C P 02" tableColumnId="40"/>
      <queryTableField id="41" name="PDTE PAGO L P 02" tableColumnId="41"/>
      <queryTableField id="42" name="PTE PAGO INT 02" tableColumnId="42"/>
      <queryTableField id="43" name="AJUSTE I S 02" tableColumnId="43"/>
      <queryTableField id="44" name="IMP DIF EJ  02" tableColumnId="44"/>
      <queryTableField id="45" name="SALDO IMP DIF 02" tableColumnId="45"/>
      <queryTableField id="46" name="PEND RECUP 02" tableColumnId="46"/>
      <queryTableField id="47" name="EJERC 03" tableColumnId="47"/>
      <queryTableField id="48" name="REC  COSTE 03" tableColumnId="48"/>
      <queryTableField id="49" name="CARGA FINAN 03" tableColumnId="49"/>
      <queryTableField id="50" name="AMORT EJ 03" tableColumnId="50"/>
      <queryTableField id="51" name="AMORT ACUM 03" tableColumnId="51"/>
      <queryTableField id="52" name="AMORT MAX 03" tableColumnId="52"/>
      <queryTableField id="53" name="AM AC MAX 03" tableColumnId="53"/>
      <queryTableField id="54" name="GASTO FISCAL 03" tableColumnId="54"/>
      <queryTableField id="55" name="PDTE PAGO C P 03" tableColumnId="55"/>
      <queryTableField id="56" name="PDTE PAGO L P 03" tableColumnId="56"/>
      <queryTableField id="57" name="PTE PAGO INT 03" tableColumnId="57"/>
      <queryTableField id="58" name="AJUSTE I S 03" tableColumnId="58"/>
      <queryTableField id="59" name="IMP DIF EJ 03" tableColumnId="59"/>
      <queryTableField id="60" name="SALDO IMP DIF 03" tableColumnId="60"/>
      <queryTableField id="61" name="PEND RECUP 03" tableColumnId="61"/>
      <queryTableField id="62" name="EJERC 04" tableColumnId="62"/>
      <queryTableField id="63" name="REC  COSTE 04" tableColumnId="63"/>
      <queryTableField id="64" name="CARGA FINAN 04" tableColumnId="64"/>
      <queryTableField id="65" name="AMORT EJ 04" tableColumnId="65"/>
      <queryTableField id="66" name="AMORT ACUM 04" tableColumnId="66"/>
      <queryTableField id="67" name="AMORT MAX 04" tableColumnId="67"/>
      <queryTableField id="68" name="AM AC MAX 04" tableColumnId="68"/>
      <queryTableField id="69" name="GASTO FISCAL 04" tableColumnId="69"/>
      <queryTableField id="70" name="PDTE PAGO C P 04" tableColumnId="70"/>
      <queryTableField id="71" name="PDTE PAGO L P 04" tableColumnId="71"/>
      <queryTableField id="72" name="PTE PAGO INT 04" tableColumnId="72"/>
      <queryTableField id="73" name="AJUSTE I S 04" tableColumnId="73"/>
      <queryTableField id="74" name="IMP DIF EJ 04" tableColumnId="74"/>
      <queryTableField id="75" name="SALDO IMP DIF 04" tableColumnId="75"/>
      <queryTableField id="76" name="PEND RECUP 04" tableColumnId="76"/>
      <queryTableField id="77" name="EJERC 05" tableColumnId="77"/>
      <queryTableField id="78" name="REC  COSTE 05" tableColumnId="78"/>
      <queryTableField id="79" name="CARGA FINAN 05" tableColumnId="79"/>
      <queryTableField id="80" name="AMORT EJ 05" tableColumnId="80"/>
      <queryTableField id="81" name="AMORT ACUM 05" tableColumnId="81"/>
      <queryTableField id="82" name="AMORT MAX 05" tableColumnId="82"/>
      <queryTableField id="83" name="AM AC MAX 05" tableColumnId="83"/>
      <queryTableField id="84" name="GASTO FISCAL 05" tableColumnId="84"/>
      <queryTableField id="85" name="PDTE PAGO C P 05" tableColumnId="85"/>
      <queryTableField id="86" name="PDTE PAGO L P 05" tableColumnId="86"/>
      <queryTableField id="87" name="PTE PAGO INT 05" tableColumnId="87"/>
      <queryTableField id="88" name="AJUSTE I S 05" tableColumnId="88"/>
      <queryTableField id="89" name="IMP DIF EJ 05" tableColumnId="89"/>
      <queryTableField id="90" name="SALDO IMP DIF 05" tableColumnId="90"/>
      <queryTableField id="91" name="PEND RECUP 05" tableColumnId="91"/>
      <queryTableField id="92" name="EJERC 06" tableColumnId="92"/>
      <queryTableField id="93" name="REC  COSTE 06" tableColumnId="93"/>
      <queryTableField id="94" name="CARGA FINAN 06" tableColumnId="94"/>
      <queryTableField id="95" name="AMORT EJ 06" tableColumnId="95"/>
      <queryTableField id="96" name="AMORT ACUM 06" tableColumnId="96"/>
      <queryTableField id="97" name="AMORT MAX 06" tableColumnId="97"/>
      <queryTableField id="98" name="AM AC MAX 06" tableColumnId="98"/>
      <queryTableField id="99" name="GASTO FISCAL 06" tableColumnId="99"/>
      <queryTableField id="100" name="PDTE PAGO C P 06" tableColumnId="100"/>
      <queryTableField id="101" name="PDTE PAGO L P 06" tableColumnId="101"/>
      <queryTableField id="102" name="PTE PAGO INT 06" tableColumnId="102"/>
      <queryTableField id="103" name="AJUSTE I S 06" tableColumnId="103"/>
      <queryTableField id="104" name="IMP DIF EJ 06" tableColumnId="104"/>
      <queryTableField id="105" name="SALDO IMP DIF 06" tableColumnId="105"/>
      <queryTableField id="106" name="PEND RECUP 06" tableColumnId="106"/>
      <queryTableField id="107" name="EJERC 07" tableColumnId="107"/>
      <queryTableField id="108" name="REC  COSTE 07" tableColumnId="108"/>
      <queryTableField id="109" name="CARGA FINAN 07" tableColumnId="109"/>
      <queryTableField id="110" name="AMORT EJ 07" tableColumnId="110"/>
      <queryTableField id="111" name="AMORT ACUM 07" tableColumnId="111"/>
      <queryTableField id="112" name="AMORT MAX 07" tableColumnId="112"/>
      <queryTableField id="113" name="AM AC MAX 07" tableColumnId="113"/>
      <queryTableField id="114" name="GASTO FISCAL 07" tableColumnId="114"/>
      <queryTableField id="115" name="PDTE PAGO C P 07" tableColumnId="115"/>
      <queryTableField id="116" name="PDTE PAGO L P 07" tableColumnId="116"/>
      <queryTableField id="117" name="PTE PAGO INT 07" tableColumnId="117"/>
      <queryTableField id="118" name="AJUSTE I S 07" tableColumnId="118"/>
      <queryTableField id="119" name="IMP DIF EJ 07" tableColumnId="119"/>
      <queryTableField id="120" name="SALDO IMP DIF 07" tableColumnId="120"/>
      <queryTableField id="121" name="PEND RECUP 07" tableColumnId="121"/>
      <queryTableField id="122" name="EJERC 08" tableColumnId="122"/>
      <queryTableField id="123" name="REC  COSTE 08" tableColumnId="123"/>
      <queryTableField id="124" name="CARGA FINAN 08" tableColumnId="124"/>
      <queryTableField id="125" name="AMORT EJ 08" tableColumnId="125"/>
      <queryTableField id="126" name="AMORT ACUM 08" tableColumnId="126"/>
      <queryTableField id="127" name="AMORT MAX 08" tableColumnId="127"/>
      <queryTableField id="128" name="AM AC MAX 08" tableColumnId="128"/>
      <queryTableField id="129" name="GASTO FISCAL 08" tableColumnId="129"/>
      <queryTableField id="130" name="PDTE PAGO C P 08" tableColumnId="130"/>
      <queryTableField id="131" name="PDTE PAGO L P 08" tableColumnId="131"/>
      <queryTableField id="132" name="PTE PAGO INT 08" tableColumnId="132"/>
      <queryTableField id="133" name="AJUSTE I S 08" tableColumnId="133"/>
      <queryTableField id="134" name="IMP DIF EJ 08" tableColumnId="134"/>
      <queryTableField id="135" name="SALDO IMP DIF 08" tableColumnId="135"/>
      <queryTableField id="136" name="PEND RECUP 08" tableColumnId="136"/>
      <queryTableField id="137" name="EJERC 09" tableColumnId="137"/>
      <queryTableField id="138" name="REC  COSTE 09" tableColumnId="138"/>
      <queryTableField id="139" name="CARGA FINAN 09" tableColumnId="139"/>
      <queryTableField id="140" name="AMORT EJ 09" tableColumnId="140"/>
      <queryTableField id="141" name="AMORT ACUM 09" tableColumnId="141"/>
      <queryTableField id="142" name="AMORT MAX 09" tableColumnId="142"/>
      <queryTableField id="143" name="AM AC MAX 09" tableColumnId="143"/>
      <queryTableField id="144" name="GASTO FISCAL 09" tableColumnId="144"/>
      <queryTableField id="145" name="PDTE PAGO C P 09" tableColumnId="145"/>
      <queryTableField id="146" name="PDTE PAGO L P 09" tableColumnId="146"/>
      <queryTableField id="147" name="PTE PAGO INT 09" tableColumnId="147"/>
      <queryTableField id="148" name="AJUSTE I S 09" tableColumnId="148"/>
      <queryTableField id="149" name="IMP DIF EJ 09" tableColumnId="149"/>
      <queryTableField id="150" name="SALDO IMP DIF 09" tableColumnId="150"/>
      <queryTableField id="151" name="PEND RECUP 09" tableColumnId="151"/>
      <queryTableField id="152" name="EJERC 10" tableColumnId="152"/>
      <queryTableField id="153" name="REC  COSTE 10" tableColumnId="153"/>
      <queryTableField id="154" name="CARGA FINAN 10" tableColumnId="154"/>
      <queryTableField id="155" name="AMORT EJ 10" tableColumnId="155"/>
      <queryTableField id="156" name="AMORT ACUM 10" tableColumnId="156"/>
      <queryTableField id="157" name="AMORT MAX 10" tableColumnId="157"/>
      <queryTableField id="158" name="AM AC MAX 10" tableColumnId="158"/>
      <queryTableField id="159" name="GASTO FISCAL 10" tableColumnId="159"/>
      <queryTableField id="160" name="PDTE PAGO C P 10" tableColumnId="160"/>
      <queryTableField id="161" name="PDTE PAGO L P 10" tableColumnId="161"/>
      <queryTableField id="162" name="PTE PAGO INT 10" tableColumnId="162"/>
      <queryTableField id="163" name="AJUSTE I S 10" tableColumnId="163"/>
      <queryTableField id="164" name="IMP DIF EJ 10" tableColumnId="164"/>
      <queryTableField id="165" name="SALDO IMP DIF 10" tableColumnId="165"/>
      <queryTableField id="166" name="PEND RECUP 10" tableColumnId="166"/>
      <queryTableField id="167" name="EJERC 11" tableColumnId="167"/>
      <queryTableField id="168" name="REC  COSTE 11" tableColumnId="168"/>
      <queryTableField id="169" name="CARGA FINAN 11" tableColumnId="169"/>
      <queryTableField id="170" name="AMORT EJ 11" tableColumnId="170"/>
      <queryTableField id="171" name="AMORT ACUM 11" tableColumnId="171"/>
      <queryTableField id="172" name="AMORT MAX 11" tableColumnId="172"/>
      <queryTableField id="173" name="AM AC MAX 11" tableColumnId="173"/>
      <queryTableField id="174" name="GASTO FISCAL 11" tableColumnId="174"/>
      <queryTableField id="175" name="PDTE PAGO C P 11" tableColumnId="175"/>
      <queryTableField id="176" name="PDTE PAGO L P 11" tableColumnId="176"/>
      <queryTableField id="177" name="PTE PAGO INT 11" tableColumnId="177"/>
      <queryTableField id="178" name="AJUSTE I S 11" tableColumnId="178"/>
      <queryTableField id="179" name="IMP DIF EJ 11" tableColumnId="179"/>
      <queryTableField id="180" name="SALDO IMP DIF 11" tableColumnId="180"/>
      <queryTableField id="181" name="PEND RECUP 11" tableColumnId="181"/>
      <queryTableField id="182" name="EJERC 12" tableColumnId="182"/>
      <queryTableField id="183" name="REC  COSTE 12" tableColumnId="183"/>
      <queryTableField id="184" name="CARGA FINAN 12" tableColumnId="184"/>
      <queryTableField id="185" name="AMORT EJ 12" tableColumnId="185"/>
      <queryTableField id="186" name="AMORT ACUM 12" tableColumnId="186"/>
      <queryTableField id="187" name="AMORT MAX 12" tableColumnId="187"/>
      <queryTableField id="188" name="AM AC MAX 12" tableColumnId="188"/>
      <queryTableField id="189" name="GASTO FISCAL 12" tableColumnId="189"/>
      <queryTableField id="190" name="PDTE PAGO C P 12" tableColumnId="190"/>
      <queryTableField id="191" name="PDTE PAGO L P 12" tableColumnId="191"/>
      <queryTableField id="192" name="PTE PAGO INT 12" tableColumnId="192"/>
      <queryTableField id="193" name="AJUSTE I S 12" tableColumnId="193"/>
      <queryTableField id="194" name="IMP DIF EJ 12" tableColumnId="194"/>
      <queryTableField id="195" name="SALDO IMP DIF 12" tableColumnId="195"/>
      <queryTableField id="196" name="PEND RECUP 12" tableColumnId="196"/>
      <queryTableField id="197" name="EJERC 13" tableColumnId="197"/>
      <queryTableField id="198" name="REC  COSTE 13" tableColumnId="198"/>
      <queryTableField id="199" name="CARGA FINAN 13" tableColumnId="199"/>
      <queryTableField id="200" name="AMORT EJ 13" tableColumnId="200"/>
      <queryTableField id="201" name="AMORT ACUM 13" tableColumnId="201"/>
      <queryTableField id="202" name="AMORT MAX 13" tableColumnId="202"/>
      <queryTableField id="203" name="AM AC MAX 13" tableColumnId="203"/>
      <queryTableField id="204" name="GASTO FISCAL 13" tableColumnId="204"/>
      <queryTableField id="205" name="PDTE PAGO C P 13" tableColumnId="205"/>
      <queryTableField id="206" name="PDTE PAGO L P 13" tableColumnId="206"/>
      <queryTableField id="207" name="PTE PAGO INT 13" tableColumnId="207"/>
      <queryTableField id="208" name="AJUSTE I S 13" tableColumnId="208"/>
      <queryTableField id="209" name="IMP DIF EJ 13" tableColumnId="209"/>
      <queryTableField id="210" name="SALDO IMP DIF 13" tableColumnId="210"/>
      <queryTableField id="211" name="PEND RECUP 13" tableColumnId="211"/>
      <queryTableField id="212" name="EJERC 14" tableColumnId="212"/>
      <queryTableField id="213" name="REC  COSTE 14" tableColumnId="213"/>
      <queryTableField id="214" name="CARGA FINAN 14" tableColumnId="214"/>
      <queryTableField id="215" name="AMORT EJ 14" tableColumnId="215"/>
      <queryTableField id="216" name="AMORT ACUM 14" tableColumnId="216"/>
      <queryTableField id="217" name="AMORT MAX 14" tableColumnId="217"/>
      <queryTableField id="218" name="AM AC MAX 14" tableColumnId="218"/>
      <queryTableField id="219" name="GASTO FISCAL 14" tableColumnId="219"/>
      <queryTableField id="220" name="PDTE PAGO C P 14" tableColumnId="220"/>
      <queryTableField id="221" name="PDTE PAGO L P 14" tableColumnId="221"/>
      <queryTableField id="222" name="PTE PAGO INT 14" tableColumnId="222"/>
      <queryTableField id="223" name="AJUSTE I S 14" tableColumnId="223"/>
      <queryTableField id="224" name="IMP DIF EJ 14" tableColumnId="224"/>
      <queryTableField id="225" name="SALDO IMP DIF 14" tableColumnId="225"/>
      <queryTableField id="226" name="PEND RECUP 14" tableColumnId="226"/>
      <queryTableField id="227" name="EJERC 15" tableColumnId="227"/>
      <queryTableField id="228" name="REC  COSTE 15" tableColumnId="228"/>
      <queryTableField id="229" name="CARGA FINAN 15" tableColumnId="229"/>
      <queryTableField id="230" name="AMORT EJ 15" tableColumnId="230"/>
      <queryTableField id="231" name="AMORT ACUM 15" tableColumnId="231"/>
      <queryTableField id="232" name="AMORT MAX 15" tableColumnId="232"/>
      <queryTableField id="233" name="AM AC MAX 15" tableColumnId="233"/>
      <queryTableField id="234" name="GASTO FISCAL 15" tableColumnId="234"/>
      <queryTableField id="235" name="PDTE PAGO C P 15" tableColumnId="235"/>
      <queryTableField id="236" name="PDTE PAGO L P 15" tableColumnId="236"/>
      <queryTableField id="237" name="PTE PAGO INT 15" tableColumnId="237"/>
      <queryTableField id="238" name="AJUSTE I S 15" tableColumnId="238"/>
      <queryTableField id="239" name="IMP DIF EJ 15" tableColumnId="239"/>
      <queryTableField id="240" name="SALDO IMP DIF 15" tableColumnId="240"/>
      <queryTableField id="241" name="PEND RECUP 15" tableColumnId="241"/>
      <queryTableField id="242" name="Campo3" tableColumnId="242"/>
      <queryTableField id="243" name="Campo1" tableColumnId="243"/>
      <queryTableField id="244" name="Campo2" tableColumnId="244"/>
      <queryTableField id="245" name="Campo4" tableColumnId="245"/>
      <queryTableField id="246" name="Campo5" tableColumnId="246"/>
      <queryTableField id="247" name="Campo6" tableColumnId="247"/>
      <queryTableField id="248" name="Campo7" tableColumnId="248"/>
      <queryTableField id="249" name="Campo8" tableColumnId="249"/>
      <queryTableField id="250" name="Campo9" tableColumnId="250"/>
      <queryTableField id="251" name="Campo10" tableColumnId="251"/>
      <queryTableField id="252" name="Campo11" tableColumnId="252"/>
      <queryTableField id="253" name="Campo12" tableColumnId="253"/>
      <queryTableField id="254" name="Campo13" tableColumnId="254"/>
      <queryTableField id="255" name="Campo14" tableColumnId="25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_AJUSTES_FISCALES_EJ._2012_NUEVA" displayName="Tabla_AJUSTES_FISCALES_EJ._2012_NUEVA" ref="A4:IU30" tableType="queryTable" totalsRowShown="0">
  <autoFilter ref="A4:IU30" xr:uid="{4D3C7469-9B53-4A90-ACAE-CA94D518E497}"/>
  <sortState xmlns:xlrd2="http://schemas.microsoft.com/office/spreadsheetml/2017/richdata2" ref="A5:IU30">
    <sortCondition ref="B4:B30"/>
  </sortState>
  <tableColumns count="255">
    <tableColumn id="1" xr3:uid="{00000000-0010-0000-0000-000001000000}" uniqueName="1" name="Id" queryTableFieldId="1"/>
    <tableColumn id="2" xr3:uid="{00000000-0010-0000-0000-000002000000}" uniqueName="2" name="COD EMP" queryTableFieldId="2" dataDxfId="625"/>
    <tableColumn id="3" xr3:uid="{00000000-0010-0000-0000-000003000000}" uniqueName="3" name="EMPRESA" queryTableFieldId="3"/>
    <tableColumn id="4" xr3:uid="{00000000-0010-0000-0000-000004000000}" uniqueName="4" name="CTA CONTABLE" queryTableFieldId="4"/>
    <tableColumn id="5" xr3:uid="{00000000-0010-0000-0000-000005000000}" uniqueName="5" name="ELEMENTO" queryTableFieldId="5"/>
    <tableColumn id="6" xr3:uid="{00000000-0010-0000-0000-000006000000}" uniqueName="6" name="CIA LEASING" queryTableFieldId="6"/>
    <tableColumn id="7" xr3:uid="{00000000-0010-0000-0000-000007000000}" uniqueName="7" name="Nº CONTRATO" queryTableFieldId="7"/>
    <tableColumn id="8" xr3:uid="{00000000-0010-0000-0000-000008000000}" uniqueName="8" name="FECHA INICIO" queryTableFieldId="8" dataDxfId="624"/>
    <tableColumn id="9" xr3:uid="{00000000-0010-0000-0000-000009000000}" uniqueName="9" name="FECHA FINAL" queryTableFieldId="9" dataDxfId="623"/>
    <tableColumn id="10" xr3:uid="{00000000-0010-0000-0000-00000A000000}" uniqueName="10" name="IMPORTE TOTAL" queryTableFieldId="10"/>
    <tableColumn id="11" xr3:uid="{00000000-0010-0000-0000-00000B000000}" uniqueName="11" name="IMPORTE FINAN" queryTableFieldId="11"/>
    <tableColumn id="12" xr3:uid="{00000000-0010-0000-0000-00000C000000}" uniqueName="12" name="CARGA FINAN" queryTableFieldId="12"/>
    <tableColumn id="13" xr3:uid="{00000000-0010-0000-0000-00000D000000}" uniqueName="13" name="TOT CONT S IVA" queryTableFieldId="13"/>
    <tableColumn id="14" xr3:uid="{00000000-0010-0000-0000-00000E000000}" uniqueName="14" name="TIP AM TABLAS" queryTableFieldId="14"/>
    <tableColumn id="15" xr3:uid="{00000000-0010-0000-0000-00000F000000}" uniqueName="15" name="FECHA FIN EJER" queryTableFieldId="15" dataDxfId="622"/>
    <tableColumn id="16" xr3:uid="{00000000-0010-0000-0000-000010000000}" uniqueName="16" name="ENT ESPECIAL" queryTableFieldId="16"/>
    <tableColumn id="17" xr3:uid="{00000000-0010-0000-0000-000011000000}" uniqueName="17" name="EJERC 01" queryTableFieldId="17"/>
    <tableColumn id="18" xr3:uid="{00000000-0010-0000-0000-000012000000}" uniqueName="18" name="REC  COSTE 01" queryTableFieldId="18"/>
    <tableColumn id="19" xr3:uid="{00000000-0010-0000-0000-000013000000}" uniqueName="19" name="CARGA FINAN 01" queryTableFieldId="19"/>
    <tableColumn id="20" xr3:uid="{00000000-0010-0000-0000-000014000000}" uniqueName="20" name="AMORT EJ 01" queryTableFieldId="20" dataDxfId="621"/>
    <tableColumn id="21" xr3:uid="{00000000-0010-0000-0000-000015000000}" uniqueName="21" name="AMORT ACUM 01" queryTableFieldId="21" dataDxfId="620"/>
    <tableColumn id="22" xr3:uid="{00000000-0010-0000-0000-000016000000}" uniqueName="22" name="AMORT MAX 01" queryTableFieldId="22" dataDxfId="619"/>
    <tableColumn id="23" xr3:uid="{00000000-0010-0000-0000-000017000000}" uniqueName="23" name="AM AC MAX 01" queryTableFieldId="23" dataDxfId="618"/>
    <tableColumn id="24" xr3:uid="{00000000-0010-0000-0000-000018000000}" uniqueName="24" name="GASTO FISCAL 01" queryTableFieldId="24" dataDxfId="617"/>
    <tableColumn id="25" xr3:uid="{00000000-0010-0000-0000-000019000000}" uniqueName="25" name="PDTE PAGO C P 01" queryTableFieldId="25" dataDxfId="616"/>
    <tableColumn id="26" xr3:uid="{00000000-0010-0000-0000-00001A000000}" uniqueName="26" name="PDTE PAGO L P 01" queryTableFieldId="26" dataDxfId="615"/>
    <tableColumn id="27" xr3:uid="{00000000-0010-0000-0000-00001B000000}" uniqueName="27" name="PTE PAGO INT 01" queryTableFieldId="27" dataDxfId="614"/>
    <tableColumn id="28" xr3:uid="{00000000-0010-0000-0000-00001C000000}" uniqueName="28" name="AJUSTE I S 01" queryTableFieldId="28" dataDxfId="613"/>
    <tableColumn id="29" xr3:uid="{00000000-0010-0000-0000-00001D000000}" uniqueName="29" name="IMP DIF EJ 01" queryTableFieldId="29" dataDxfId="612"/>
    <tableColumn id="30" xr3:uid="{00000000-0010-0000-0000-00001E000000}" uniqueName="30" name="SALDO IMP DIF 01" queryTableFieldId="30" dataDxfId="611"/>
    <tableColumn id="31" xr3:uid="{00000000-0010-0000-0000-00001F000000}" uniqueName="31" name="PEND RECUP 01" queryTableFieldId="31"/>
    <tableColumn id="32" xr3:uid="{00000000-0010-0000-0000-000020000000}" uniqueName="32" name="EJERC 02" queryTableFieldId="32"/>
    <tableColumn id="33" xr3:uid="{00000000-0010-0000-0000-000021000000}" uniqueName="33" name="REC  COSTE 02" queryTableFieldId="33"/>
    <tableColumn id="34" xr3:uid="{00000000-0010-0000-0000-000022000000}" uniqueName="34" name="CARGA FINAN 02" queryTableFieldId="34"/>
    <tableColumn id="35" xr3:uid="{00000000-0010-0000-0000-000023000000}" uniqueName="35" name="AMORT EJ 02" queryTableFieldId="35"/>
    <tableColumn id="36" xr3:uid="{00000000-0010-0000-0000-000024000000}" uniqueName="36" name="AMORT ACUM 02" queryTableFieldId="36"/>
    <tableColumn id="37" xr3:uid="{00000000-0010-0000-0000-000025000000}" uniqueName="37" name="AMORT MAX 02" queryTableFieldId="37"/>
    <tableColumn id="38" xr3:uid="{00000000-0010-0000-0000-000026000000}" uniqueName="38" name="AM AC MAX 02" queryTableFieldId="38"/>
    <tableColumn id="39" xr3:uid="{00000000-0010-0000-0000-000027000000}" uniqueName="39" name="GASTO FISCAL 02" queryTableFieldId="39"/>
    <tableColumn id="40" xr3:uid="{00000000-0010-0000-0000-000028000000}" uniqueName="40" name="PDTE PAGO C P 02" queryTableFieldId="40"/>
    <tableColumn id="41" xr3:uid="{00000000-0010-0000-0000-000029000000}" uniqueName="41" name="PDTE PAGO L P 02" queryTableFieldId="41"/>
    <tableColumn id="42" xr3:uid="{00000000-0010-0000-0000-00002A000000}" uniqueName="42" name="PTE PAGO INT 02" queryTableFieldId="42"/>
    <tableColumn id="43" xr3:uid="{00000000-0010-0000-0000-00002B000000}" uniqueName="43" name="AJUSTE I S 02" queryTableFieldId="43"/>
    <tableColumn id="44" xr3:uid="{00000000-0010-0000-0000-00002C000000}" uniqueName="44" name="IMP DIF EJ  02" queryTableFieldId="44"/>
    <tableColumn id="45" xr3:uid="{00000000-0010-0000-0000-00002D000000}" uniqueName="45" name="SALDO IMP DIF 02" queryTableFieldId="45"/>
    <tableColumn id="46" xr3:uid="{00000000-0010-0000-0000-00002E000000}" uniqueName="46" name="PEND RECUP 02" queryTableFieldId="46"/>
    <tableColumn id="47" xr3:uid="{00000000-0010-0000-0000-00002F000000}" uniqueName="47" name="EJERC 03" queryTableFieldId="47"/>
    <tableColumn id="48" xr3:uid="{00000000-0010-0000-0000-000030000000}" uniqueName="48" name="REC  COSTE 03" queryTableFieldId="48"/>
    <tableColumn id="49" xr3:uid="{00000000-0010-0000-0000-000031000000}" uniqueName="49" name="CARGA FINAN 03" queryTableFieldId="49"/>
    <tableColumn id="50" xr3:uid="{00000000-0010-0000-0000-000032000000}" uniqueName="50" name="AMORT EJ 03" queryTableFieldId="50"/>
    <tableColumn id="51" xr3:uid="{00000000-0010-0000-0000-000033000000}" uniqueName="51" name="AMORT ACUM 03" queryTableFieldId="51"/>
    <tableColumn id="52" xr3:uid="{00000000-0010-0000-0000-000034000000}" uniqueName="52" name="AMORT MAX 03" queryTableFieldId="52"/>
    <tableColumn id="53" xr3:uid="{00000000-0010-0000-0000-000035000000}" uniqueName="53" name="AM AC MAX 03" queryTableFieldId="53"/>
    <tableColumn id="54" xr3:uid="{00000000-0010-0000-0000-000036000000}" uniqueName="54" name="GASTO FISCAL 03" queryTableFieldId="54"/>
    <tableColumn id="55" xr3:uid="{00000000-0010-0000-0000-000037000000}" uniqueName="55" name="PDTE PAGO C P 03" queryTableFieldId="55"/>
    <tableColumn id="56" xr3:uid="{00000000-0010-0000-0000-000038000000}" uniqueName="56" name="PDTE PAGO L P 03" queryTableFieldId="56"/>
    <tableColumn id="57" xr3:uid="{00000000-0010-0000-0000-000039000000}" uniqueName="57" name="PTE PAGO INT 03" queryTableFieldId="57"/>
    <tableColumn id="58" xr3:uid="{00000000-0010-0000-0000-00003A000000}" uniqueName="58" name="AJUSTE I S 03" queryTableFieldId="58"/>
    <tableColumn id="59" xr3:uid="{00000000-0010-0000-0000-00003B000000}" uniqueName="59" name="IMP DIF EJ 03" queryTableFieldId="59"/>
    <tableColumn id="60" xr3:uid="{00000000-0010-0000-0000-00003C000000}" uniqueName="60" name="SALDO IMP DIF 03" queryTableFieldId="60"/>
    <tableColumn id="61" xr3:uid="{00000000-0010-0000-0000-00003D000000}" uniqueName="61" name="PEND RECUP 03" queryTableFieldId="61"/>
    <tableColumn id="62" xr3:uid="{00000000-0010-0000-0000-00003E000000}" uniqueName="62" name="EJERC 04" queryTableFieldId="62"/>
    <tableColumn id="63" xr3:uid="{00000000-0010-0000-0000-00003F000000}" uniqueName="63" name="REC  COSTE 04" queryTableFieldId="63"/>
    <tableColumn id="64" xr3:uid="{00000000-0010-0000-0000-000040000000}" uniqueName="64" name="CARGA FINAN 04" queryTableFieldId="64"/>
    <tableColumn id="65" xr3:uid="{00000000-0010-0000-0000-000041000000}" uniqueName="65" name="AMORT EJ 04" queryTableFieldId="65"/>
    <tableColumn id="66" xr3:uid="{00000000-0010-0000-0000-000042000000}" uniqueName="66" name="AMORT ACUM 04" queryTableFieldId="66"/>
    <tableColumn id="67" xr3:uid="{00000000-0010-0000-0000-000043000000}" uniqueName="67" name="AMORT MAX 04" queryTableFieldId="67"/>
    <tableColumn id="68" xr3:uid="{00000000-0010-0000-0000-000044000000}" uniqueName="68" name="AM AC MAX 04" queryTableFieldId="68"/>
    <tableColumn id="69" xr3:uid="{00000000-0010-0000-0000-000045000000}" uniqueName="69" name="GASTO FISCAL 04" queryTableFieldId="69"/>
    <tableColumn id="70" xr3:uid="{00000000-0010-0000-0000-000046000000}" uniqueName="70" name="PDTE PAGO C P 04" queryTableFieldId="70"/>
    <tableColumn id="71" xr3:uid="{00000000-0010-0000-0000-000047000000}" uniqueName="71" name="PDTE PAGO L P 04" queryTableFieldId="71"/>
    <tableColumn id="72" xr3:uid="{00000000-0010-0000-0000-000048000000}" uniqueName="72" name="PTE PAGO INT 04" queryTableFieldId="72"/>
    <tableColumn id="73" xr3:uid="{00000000-0010-0000-0000-000049000000}" uniqueName="73" name="AJUSTE I S 04" queryTableFieldId="73"/>
    <tableColumn id="74" xr3:uid="{00000000-0010-0000-0000-00004A000000}" uniqueName="74" name="IMP DIF EJ 04" queryTableFieldId="74"/>
    <tableColumn id="75" xr3:uid="{00000000-0010-0000-0000-00004B000000}" uniqueName="75" name="SALDO IMP DIF 04" queryTableFieldId="75"/>
    <tableColumn id="76" xr3:uid="{00000000-0010-0000-0000-00004C000000}" uniqueName="76" name="PEND RECUP 04" queryTableFieldId="76"/>
    <tableColumn id="77" xr3:uid="{00000000-0010-0000-0000-00004D000000}" uniqueName="77" name="EJERC 05" queryTableFieldId="77"/>
    <tableColumn id="78" xr3:uid="{00000000-0010-0000-0000-00004E000000}" uniqueName="78" name="REC  COSTE 05" queryTableFieldId="78"/>
    <tableColumn id="79" xr3:uid="{00000000-0010-0000-0000-00004F000000}" uniqueName="79" name="CARGA FINAN 05" queryTableFieldId="79"/>
    <tableColumn id="80" xr3:uid="{00000000-0010-0000-0000-000050000000}" uniqueName="80" name="AMORT EJ 05" queryTableFieldId="80"/>
    <tableColumn id="81" xr3:uid="{00000000-0010-0000-0000-000051000000}" uniqueName="81" name="AMORT ACUM 05" queryTableFieldId="81"/>
    <tableColumn id="82" xr3:uid="{00000000-0010-0000-0000-000052000000}" uniqueName="82" name="AMORT MAX 05" queryTableFieldId="82"/>
    <tableColumn id="83" xr3:uid="{00000000-0010-0000-0000-000053000000}" uniqueName="83" name="AM AC MAX 05" queryTableFieldId="83"/>
    <tableColumn id="84" xr3:uid="{00000000-0010-0000-0000-000054000000}" uniqueName="84" name="GASTO FISCAL 05" queryTableFieldId="84"/>
    <tableColumn id="85" xr3:uid="{00000000-0010-0000-0000-000055000000}" uniqueName="85" name="PDTE PAGO C P 05" queryTableFieldId="85"/>
    <tableColumn id="86" xr3:uid="{00000000-0010-0000-0000-000056000000}" uniqueName="86" name="PDTE PAGO L P 05" queryTableFieldId="86"/>
    <tableColumn id="87" xr3:uid="{00000000-0010-0000-0000-000057000000}" uniqueName="87" name="PTE PAGO INT 05" queryTableFieldId="87"/>
    <tableColumn id="88" xr3:uid="{00000000-0010-0000-0000-000058000000}" uniqueName="88" name="AJUSTE I S 05" queryTableFieldId="88"/>
    <tableColumn id="89" xr3:uid="{00000000-0010-0000-0000-000059000000}" uniqueName="89" name="IMP DIF EJ 05" queryTableFieldId="89"/>
    <tableColumn id="90" xr3:uid="{00000000-0010-0000-0000-00005A000000}" uniqueName="90" name="SALDO IMP DIF 05" queryTableFieldId="90"/>
    <tableColumn id="91" xr3:uid="{00000000-0010-0000-0000-00005B000000}" uniqueName="91" name="PEND RECUP 05" queryTableFieldId="91"/>
    <tableColumn id="92" xr3:uid="{00000000-0010-0000-0000-00005C000000}" uniqueName="92" name="EJERC 06" queryTableFieldId="92"/>
    <tableColumn id="93" xr3:uid="{00000000-0010-0000-0000-00005D000000}" uniqueName="93" name="REC  COSTE 06" queryTableFieldId="93"/>
    <tableColumn id="94" xr3:uid="{00000000-0010-0000-0000-00005E000000}" uniqueName="94" name="CARGA FINAN 06" queryTableFieldId="94"/>
    <tableColumn id="95" xr3:uid="{00000000-0010-0000-0000-00005F000000}" uniqueName="95" name="AMORT EJ 06" queryTableFieldId="95"/>
    <tableColumn id="96" xr3:uid="{00000000-0010-0000-0000-000060000000}" uniqueName="96" name="AMORT ACUM 06" queryTableFieldId="96"/>
    <tableColumn id="97" xr3:uid="{00000000-0010-0000-0000-000061000000}" uniqueName="97" name="AMORT MAX 06" queryTableFieldId="97"/>
    <tableColumn id="98" xr3:uid="{00000000-0010-0000-0000-000062000000}" uniqueName="98" name="AM AC MAX 06" queryTableFieldId="98"/>
    <tableColumn id="99" xr3:uid="{00000000-0010-0000-0000-000063000000}" uniqueName="99" name="GASTO FISCAL 06" queryTableFieldId="99"/>
    <tableColumn id="100" xr3:uid="{00000000-0010-0000-0000-000064000000}" uniqueName="100" name="PDTE PAGO C P 06" queryTableFieldId="100"/>
    <tableColumn id="101" xr3:uid="{00000000-0010-0000-0000-000065000000}" uniqueName="101" name="PDTE PAGO L P 06" queryTableFieldId="101"/>
    <tableColumn id="102" xr3:uid="{00000000-0010-0000-0000-000066000000}" uniqueName="102" name="PTE PAGO INT 06" queryTableFieldId="102"/>
    <tableColumn id="103" xr3:uid="{00000000-0010-0000-0000-000067000000}" uniqueName="103" name="AJUSTE I S 06" queryTableFieldId="103"/>
    <tableColumn id="104" xr3:uid="{00000000-0010-0000-0000-000068000000}" uniqueName="104" name="IMP DIF EJ 06" queryTableFieldId="104"/>
    <tableColumn id="105" xr3:uid="{00000000-0010-0000-0000-000069000000}" uniqueName="105" name="SALDO IMP DIF 06" queryTableFieldId="105"/>
    <tableColumn id="106" xr3:uid="{00000000-0010-0000-0000-00006A000000}" uniqueName="106" name="PEND RECUP 06" queryTableFieldId="106"/>
    <tableColumn id="107" xr3:uid="{00000000-0010-0000-0000-00006B000000}" uniqueName="107" name="EJERC 07" queryTableFieldId="107"/>
    <tableColumn id="108" xr3:uid="{00000000-0010-0000-0000-00006C000000}" uniqueName="108" name="REC  COSTE 07" queryTableFieldId="108"/>
    <tableColumn id="109" xr3:uid="{00000000-0010-0000-0000-00006D000000}" uniqueName="109" name="CARGA FINAN 07" queryTableFieldId="109"/>
    <tableColumn id="110" xr3:uid="{00000000-0010-0000-0000-00006E000000}" uniqueName="110" name="AMORT EJ 07" queryTableFieldId="110"/>
    <tableColumn id="111" xr3:uid="{00000000-0010-0000-0000-00006F000000}" uniqueName="111" name="AMORT ACUM 07" queryTableFieldId="111"/>
    <tableColumn id="112" xr3:uid="{00000000-0010-0000-0000-000070000000}" uniqueName="112" name="AMORT MAX 07" queryTableFieldId="112"/>
    <tableColumn id="113" xr3:uid="{00000000-0010-0000-0000-000071000000}" uniqueName="113" name="AM AC MAX 07" queryTableFieldId="113"/>
    <tableColumn id="114" xr3:uid="{00000000-0010-0000-0000-000072000000}" uniqueName="114" name="GASTO FISCAL 07" queryTableFieldId="114"/>
    <tableColumn id="115" xr3:uid="{00000000-0010-0000-0000-000073000000}" uniqueName="115" name="PDTE PAGO C P 07" queryTableFieldId="115"/>
    <tableColumn id="116" xr3:uid="{00000000-0010-0000-0000-000074000000}" uniqueName="116" name="PDTE PAGO L P 07" queryTableFieldId="116"/>
    <tableColumn id="117" xr3:uid="{00000000-0010-0000-0000-000075000000}" uniqueName="117" name="PTE PAGO INT 07" queryTableFieldId="117"/>
    <tableColumn id="118" xr3:uid="{00000000-0010-0000-0000-000076000000}" uniqueName="118" name="AJUSTE I S 07" queryTableFieldId="118"/>
    <tableColumn id="119" xr3:uid="{00000000-0010-0000-0000-000077000000}" uniqueName="119" name="IMP DIF EJ 07" queryTableFieldId="119"/>
    <tableColumn id="120" xr3:uid="{00000000-0010-0000-0000-000078000000}" uniqueName="120" name="SALDO IMP DIF 07" queryTableFieldId="120"/>
    <tableColumn id="121" xr3:uid="{00000000-0010-0000-0000-000079000000}" uniqueName="121" name="PEND RECUP 07" queryTableFieldId="121"/>
    <tableColumn id="122" xr3:uid="{00000000-0010-0000-0000-00007A000000}" uniqueName="122" name="EJERC 08" queryTableFieldId="122"/>
    <tableColumn id="123" xr3:uid="{00000000-0010-0000-0000-00007B000000}" uniqueName="123" name="REC  COSTE 08" queryTableFieldId="123"/>
    <tableColumn id="124" xr3:uid="{00000000-0010-0000-0000-00007C000000}" uniqueName="124" name="CARGA FINAN 08" queryTableFieldId="124"/>
    <tableColumn id="125" xr3:uid="{00000000-0010-0000-0000-00007D000000}" uniqueName="125" name="AMORT EJ 08" queryTableFieldId="125"/>
    <tableColumn id="126" xr3:uid="{00000000-0010-0000-0000-00007E000000}" uniqueName="126" name="AMORT ACUM 08" queryTableFieldId="126"/>
    <tableColumn id="127" xr3:uid="{00000000-0010-0000-0000-00007F000000}" uniqueName="127" name="AMORT MAX 08" queryTableFieldId="127"/>
    <tableColumn id="128" xr3:uid="{00000000-0010-0000-0000-000080000000}" uniqueName="128" name="AM AC MAX 08" queryTableFieldId="128"/>
    <tableColumn id="129" xr3:uid="{00000000-0010-0000-0000-000081000000}" uniqueName="129" name="GASTO FISCAL 08" queryTableFieldId="129"/>
    <tableColumn id="130" xr3:uid="{00000000-0010-0000-0000-000082000000}" uniqueName="130" name="PDTE PAGO C P 08" queryTableFieldId="130"/>
    <tableColumn id="131" xr3:uid="{00000000-0010-0000-0000-000083000000}" uniqueName="131" name="PDTE PAGO L P 08" queryTableFieldId="131"/>
    <tableColumn id="132" xr3:uid="{00000000-0010-0000-0000-000084000000}" uniqueName="132" name="PTE PAGO INT 08" queryTableFieldId="132"/>
    <tableColumn id="133" xr3:uid="{00000000-0010-0000-0000-000085000000}" uniqueName="133" name="AJUSTE I S 08" queryTableFieldId="133"/>
    <tableColumn id="134" xr3:uid="{00000000-0010-0000-0000-000086000000}" uniqueName="134" name="IMP DIF EJ 08" queryTableFieldId="134"/>
    <tableColumn id="135" xr3:uid="{00000000-0010-0000-0000-000087000000}" uniqueName="135" name="SALDO IMP DIF 08" queryTableFieldId="135"/>
    <tableColumn id="136" xr3:uid="{00000000-0010-0000-0000-000088000000}" uniqueName="136" name="PEND RECUP 08" queryTableFieldId="136"/>
    <tableColumn id="137" xr3:uid="{00000000-0010-0000-0000-000089000000}" uniqueName="137" name="EJERC 09" queryTableFieldId="137"/>
    <tableColumn id="138" xr3:uid="{00000000-0010-0000-0000-00008A000000}" uniqueName="138" name="REC  COSTE 09" queryTableFieldId="138"/>
    <tableColumn id="139" xr3:uid="{00000000-0010-0000-0000-00008B000000}" uniqueName="139" name="CARGA FINAN 09" queryTableFieldId="139"/>
    <tableColumn id="140" xr3:uid="{00000000-0010-0000-0000-00008C000000}" uniqueName="140" name="AMORT EJ 09" queryTableFieldId="140"/>
    <tableColumn id="141" xr3:uid="{00000000-0010-0000-0000-00008D000000}" uniqueName="141" name="AMORT ACUM 09" queryTableFieldId="141"/>
    <tableColumn id="142" xr3:uid="{00000000-0010-0000-0000-00008E000000}" uniqueName="142" name="AMORT MAX 09" queryTableFieldId="142"/>
    <tableColumn id="143" xr3:uid="{00000000-0010-0000-0000-00008F000000}" uniqueName="143" name="AM AC MAX 09" queryTableFieldId="143"/>
    <tableColumn id="144" xr3:uid="{00000000-0010-0000-0000-000090000000}" uniqueName="144" name="GASTO FISCAL 09" queryTableFieldId="144"/>
    <tableColumn id="145" xr3:uid="{00000000-0010-0000-0000-000091000000}" uniqueName="145" name="PDTE PAGO C P 09" queryTableFieldId="145"/>
    <tableColumn id="146" xr3:uid="{00000000-0010-0000-0000-000092000000}" uniqueName="146" name="PDTE PAGO L P 09" queryTableFieldId="146"/>
    <tableColumn id="147" xr3:uid="{00000000-0010-0000-0000-000093000000}" uniqueName="147" name="PTE PAGO INT 09" queryTableFieldId="147"/>
    <tableColumn id="148" xr3:uid="{00000000-0010-0000-0000-000094000000}" uniqueName="148" name="AJUSTE I S 09" queryTableFieldId="148"/>
    <tableColumn id="149" xr3:uid="{00000000-0010-0000-0000-000095000000}" uniqueName="149" name="IMP DIF EJ 09" queryTableFieldId="149"/>
    <tableColumn id="150" xr3:uid="{00000000-0010-0000-0000-000096000000}" uniqueName="150" name="SALDO IMP DIF 09" queryTableFieldId="150"/>
    <tableColumn id="151" xr3:uid="{00000000-0010-0000-0000-000097000000}" uniqueName="151" name="PEND RECUP 09" queryTableFieldId="151"/>
    <tableColumn id="152" xr3:uid="{00000000-0010-0000-0000-000098000000}" uniqueName="152" name="EJERC 10" queryTableFieldId="152"/>
    <tableColumn id="153" xr3:uid="{00000000-0010-0000-0000-000099000000}" uniqueName="153" name="REC  COSTE 10" queryTableFieldId="153"/>
    <tableColumn id="154" xr3:uid="{00000000-0010-0000-0000-00009A000000}" uniqueName="154" name="CARGA FINAN 10" queryTableFieldId="154"/>
    <tableColumn id="155" xr3:uid="{00000000-0010-0000-0000-00009B000000}" uniqueName="155" name="AMORT EJ 10" queryTableFieldId="155"/>
    <tableColumn id="156" xr3:uid="{00000000-0010-0000-0000-00009C000000}" uniqueName="156" name="AMORT ACUM 10" queryTableFieldId="156"/>
    <tableColumn id="157" xr3:uid="{00000000-0010-0000-0000-00009D000000}" uniqueName="157" name="AMORT MAX 10" queryTableFieldId="157"/>
    <tableColumn id="158" xr3:uid="{00000000-0010-0000-0000-00009E000000}" uniqueName="158" name="AM AC MAX 10" queryTableFieldId="158"/>
    <tableColumn id="159" xr3:uid="{00000000-0010-0000-0000-00009F000000}" uniqueName="159" name="GASTO FISCAL 10" queryTableFieldId="159"/>
    <tableColumn id="160" xr3:uid="{00000000-0010-0000-0000-0000A0000000}" uniqueName="160" name="PDTE PAGO C P 10" queryTableFieldId="160"/>
    <tableColumn id="161" xr3:uid="{00000000-0010-0000-0000-0000A1000000}" uniqueName="161" name="PDTE PAGO L P 10" queryTableFieldId="161"/>
    <tableColumn id="162" xr3:uid="{00000000-0010-0000-0000-0000A2000000}" uniqueName="162" name="PTE PAGO INT 10" queryTableFieldId="162"/>
    <tableColumn id="163" xr3:uid="{00000000-0010-0000-0000-0000A3000000}" uniqueName="163" name="AJUSTE I S 10" queryTableFieldId="163"/>
    <tableColumn id="164" xr3:uid="{00000000-0010-0000-0000-0000A4000000}" uniqueName="164" name="IMP DIF EJ 10" queryTableFieldId="164"/>
    <tableColumn id="165" xr3:uid="{00000000-0010-0000-0000-0000A5000000}" uniqueName="165" name="SALDO IMP DIF 10" queryTableFieldId="165"/>
    <tableColumn id="166" xr3:uid="{00000000-0010-0000-0000-0000A6000000}" uniqueName="166" name="PEND RECUP 10" queryTableFieldId="166"/>
    <tableColumn id="167" xr3:uid="{00000000-0010-0000-0000-0000A7000000}" uniqueName="167" name="EJERC 11" queryTableFieldId="167"/>
    <tableColumn id="168" xr3:uid="{00000000-0010-0000-0000-0000A8000000}" uniqueName="168" name="REC  COSTE 11" queryTableFieldId="168"/>
    <tableColumn id="169" xr3:uid="{00000000-0010-0000-0000-0000A9000000}" uniqueName="169" name="CARGA FINAN 11" queryTableFieldId="169"/>
    <tableColumn id="170" xr3:uid="{00000000-0010-0000-0000-0000AA000000}" uniqueName="170" name="AMORT EJ 11" queryTableFieldId="170"/>
    <tableColumn id="171" xr3:uid="{00000000-0010-0000-0000-0000AB000000}" uniqueName="171" name="AMORT ACUM 11" queryTableFieldId="171"/>
    <tableColumn id="172" xr3:uid="{00000000-0010-0000-0000-0000AC000000}" uniqueName="172" name="AMORT MAX 11" queryTableFieldId="172"/>
    <tableColumn id="173" xr3:uid="{00000000-0010-0000-0000-0000AD000000}" uniqueName="173" name="AM AC MAX 11" queryTableFieldId="173"/>
    <tableColumn id="174" xr3:uid="{00000000-0010-0000-0000-0000AE000000}" uniqueName="174" name="GASTO FISCAL 11" queryTableFieldId="174"/>
    <tableColumn id="175" xr3:uid="{00000000-0010-0000-0000-0000AF000000}" uniqueName="175" name="PDTE PAGO C P 11" queryTableFieldId="175"/>
    <tableColumn id="176" xr3:uid="{00000000-0010-0000-0000-0000B0000000}" uniqueName="176" name="PDTE PAGO L P 11" queryTableFieldId="176"/>
    <tableColumn id="177" xr3:uid="{00000000-0010-0000-0000-0000B1000000}" uniqueName="177" name="PTE PAGO INT 11" queryTableFieldId="177"/>
    <tableColumn id="178" xr3:uid="{00000000-0010-0000-0000-0000B2000000}" uniqueName="178" name="AJUSTE I S 11" queryTableFieldId="178"/>
    <tableColumn id="179" xr3:uid="{00000000-0010-0000-0000-0000B3000000}" uniqueName="179" name="IMP DIF EJ 11" queryTableFieldId="179"/>
    <tableColumn id="180" xr3:uid="{00000000-0010-0000-0000-0000B4000000}" uniqueName="180" name="SALDO IMP DIF 11" queryTableFieldId="180"/>
    <tableColumn id="181" xr3:uid="{00000000-0010-0000-0000-0000B5000000}" uniqueName="181" name="PEND RECUP 11" queryTableFieldId="181"/>
    <tableColumn id="182" xr3:uid="{00000000-0010-0000-0000-0000B6000000}" uniqueName="182" name="EJERC 12" queryTableFieldId="182"/>
    <tableColumn id="183" xr3:uid="{00000000-0010-0000-0000-0000B7000000}" uniqueName="183" name="REC  COSTE 12" queryTableFieldId="183"/>
    <tableColumn id="184" xr3:uid="{00000000-0010-0000-0000-0000B8000000}" uniqueName="184" name="CARGA FINAN 12" queryTableFieldId="184"/>
    <tableColumn id="185" xr3:uid="{00000000-0010-0000-0000-0000B9000000}" uniqueName="185" name="AMORT EJ 12" queryTableFieldId="185"/>
    <tableColumn id="186" xr3:uid="{00000000-0010-0000-0000-0000BA000000}" uniqueName="186" name="AMORT ACUM 12" queryTableFieldId="186"/>
    <tableColumn id="187" xr3:uid="{00000000-0010-0000-0000-0000BB000000}" uniqueName="187" name="AMORT MAX 12" queryTableFieldId="187"/>
    <tableColumn id="188" xr3:uid="{00000000-0010-0000-0000-0000BC000000}" uniqueName="188" name="AM AC MAX 12" queryTableFieldId="188"/>
    <tableColumn id="189" xr3:uid="{00000000-0010-0000-0000-0000BD000000}" uniqueName="189" name="GASTO FISCAL 12" queryTableFieldId="189"/>
    <tableColumn id="190" xr3:uid="{00000000-0010-0000-0000-0000BE000000}" uniqueName="190" name="PDTE PAGO C P 12" queryTableFieldId="190"/>
    <tableColumn id="191" xr3:uid="{00000000-0010-0000-0000-0000BF000000}" uniqueName="191" name="PDTE PAGO L P 12" queryTableFieldId="191"/>
    <tableColumn id="192" xr3:uid="{00000000-0010-0000-0000-0000C0000000}" uniqueName="192" name="PTE PAGO INT 12" queryTableFieldId="192"/>
    <tableColumn id="193" xr3:uid="{00000000-0010-0000-0000-0000C1000000}" uniqueName="193" name="AJUSTE I S 12" queryTableFieldId="193"/>
    <tableColumn id="194" xr3:uid="{00000000-0010-0000-0000-0000C2000000}" uniqueName="194" name="IMP DIF EJ 12" queryTableFieldId="194"/>
    <tableColumn id="195" xr3:uid="{00000000-0010-0000-0000-0000C3000000}" uniqueName="195" name="SALDO IMP DIF 12" queryTableFieldId="195"/>
    <tableColumn id="196" xr3:uid="{00000000-0010-0000-0000-0000C4000000}" uniqueName="196" name="PEND RECUP 12" queryTableFieldId="196"/>
    <tableColumn id="197" xr3:uid="{00000000-0010-0000-0000-0000C5000000}" uniqueName="197" name="EJERC 13" queryTableFieldId="197"/>
    <tableColumn id="198" xr3:uid="{00000000-0010-0000-0000-0000C6000000}" uniqueName="198" name="REC  COSTE 13" queryTableFieldId="198"/>
    <tableColumn id="199" xr3:uid="{00000000-0010-0000-0000-0000C7000000}" uniqueName="199" name="CARGA FINAN 13" queryTableFieldId="199"/>
    <tableColumn id="200" xr3:uid="{00000000-0010-0000-0000-0000C8000000}" uniqueName="200" name="AMORT EJ 13" queryTableFieldId="200"/>
    <tableColumn id="201" xr3:uid="{00000000-0010-0000-0000-0000C9000000}" uniqueName="201" name="AMORT ACUM 13" queryTableFieldId="201"/>
    <tableColumn id="202" xr3:uid="{00000000-0010-0000-0000-0000CA000000}" uniqueName="202" name="AMORT MAX 13" queryTableFieldId="202"/>
    <tableColumn id="203" xr3:uid="{00000000-0010-0000-0000-0000CB000000}" uniqueName="203" name="AM AC MAX 13" queryTableFieldId="203"/>
    <tableColumn id="204" xr3:uid="{00000000-0010-0000-0000-0000CC000000}" uniqueName="204" name="GASTO FISCAL 13" queryTableFieldId="204"/>
    <tableColumn id="205" xr3:uid="{00000000-0010-0000-0000-0000CD000000}" uniqueName="205" name="PDTE PAGO C P 13" queryTableFieldId="205"/>
    <tableColumn id="206" xr3:uid="{00000000-0010-0000-0000-0000CE000000}" uniqueName="206" name="PDTE PAGO L P 13" queryTableFieldId="206"/>
    <tableColumn id="207" xr3:uid="{00000000-0010-0000-0000-0000CF000000}" uniqueName="207" name="PTE PAGO INT 13" queryTableFieldId="207"/>
    <tableColumn id="208" xr3:uid="{00000000-0010-0000-0000-0000D0000000}" uniqueName="208" name="AJUSTE I S 13" queryTableFieldId="208"/>
    <tableColumn id="209" xr3:uid="{00000000-0010-0000-0000-0000D1000000}" uniqueName="209" name="IMP DIF EJ 13" queryTableFieldId="209"/>
    <tableColumn id="210" xr3:uid="{00000000-0010-0000-0000-0000D2000000}" uniqueName="210" name="SALDO IMP DIF 13" queryTableFieldId="210"/>
    <tableColumn id="211" xr3:uid="{00000000-0010-0000-0000-0000D3000000}" uniqueName="211" name="PEND RECUP 13" queryTableFieldId="211"/>
    <tableColumn id="212" xr3:uid="{00000000-0010-0000-0000-0000D4000000}" uniqueName="212" name="EJERC 14" queryTableFieldId="212"/>
    <tableColumn id="213" xr3:uid="{00000000-0010-0000-0000-0000D5000000}" uniqueName="213" name="REC  COSTE 14" queryTableFieldId="213"/>
    <tableColumn id="214" xr3:uid="{00000000-0010-0000-0000-0000D6000000}" uniqueName="214" name="CARGA FINAN 14" queryTableFieldId="214"/>
    <tableColumn id="215" xr3:uid="{00000000-0010-0000-0000-0000D7000000}" uniqueName="215" name="AMORT EJ 14" queryTableFieldId="215"/>
    <tableColumn id="216" xr3:uid="{00000000-0010-0000-0000-0000D8000000}" uniqueName="216" name="AMORT ACUM 14" queryTableFieldId="216"/>
    <tableColumn id="217" xr3:uid="{00000000-0010-0000-0000-0000D9000000}" uniqueName="217" name="AMORT MAX 14" queryTableFieldId="217"/>
    <tableColumn id="218" xr3:uid="{00000000-0010-0000-0000-0000DA000000}" uniqueName="218" name="AM AC MAX 14" queryTableFieldId="218"/>
    <tableColumn id="219" xr3:uid="{00000000-0010-0000-0000-0000DB000000}" uniqueName="219" name="GASTO FISCAL 14" queryTableFieldId="219"/>
    <tableColumn id="220" xr3:uid="{00000000-0010-0000-0000-0000DC000000}" uniqueName="220" name="PDTE PAGO C P 14" queryTableFieldId="220"/>
    <tableColumn id="221" xr3:uid="{00000000-0010-0000-0000-0000DD000000}" uniqueName="221" name="PDTE PAGO L P 14" queryTableFieldId="221"/>
    <tableColumn id="222" xr3:uid="{00000000-0010-0000-0000-0000DE000000}" uniqueName="222" name="PTE PAGO INT 14" queryTableFieldId="222"/>
    <tableColumn id="223" xr3:uid="{00000000-0010-0000-0000-0000DF000000}" uniqueName="223" name="AJUSTE I S 14" queryTableFieldId="223"/>
    <tableColumn id="224" xr3:uid="{00000000-0010-0000-0000-0000E0000000}" uniqueName="224" name="IMP DIF EJ 14" queryTableFieldId="224"/>
    <tableColumn id="225" xr3:uid="{00000000-0010-0000-0000-0000E1000000}" uniqueName="225" name="SALDO IMP DIF 14" queryTableFieldId="225"/>
    <tableColumn id="226" xr3:uid="{00000000-0010-0000-0000-0000E2000000}" uniqueName="226" name="PEND RECUP 14" queryTableFieldId="226"/>
    <tableColumn id="227" xr3:uid="{00000000-0010-0000-0000-0000E3000000}" uniqueName="227" name="EJERC 15" queryTableFieldId="227"/>
    <tableColumn id="228" xr3:uid="{00000000-0010-0000-0000-0000E4000000}" uniqueName="228" name="REC  COSTE 15" queryTableFieldId="228"/>
    <tableColumn id="229" xr3:uid="{00000000-0010-0000-0000-0000E5000000}" uniqueName="229" name="CARGA FINAN 15" queryTableFieldId="229"/>
    <tableColumn id="230" xr3:uid="{00000000-0010-0000-0000-0000E6000000}" uniqueName="230" name="AMORT EJ 15" queryTableFieldId="230"/>
    <tableColumn id="231" xr3:uid="{00000000-0010-0000-0000-0000E7000000}" uniqueName="231" name="AMORT ACUM 15" queryTableFieldId="231"/>
    <tableColumn id="232" xr3:uid="{00000000-0010-0000-0000-0000E8000000}" uniqueName="232" name="AMORT MAX 15" queryTableFieldId="232"/>
    <tableColumn id="233" xr3:uid="{00000000-0010-0000-0000-0000E9000000}" uniqueName="233" name="AM AC MAX 15" queryTableFieldId="233"/>
    <tableColumn id="234" xr3:uid="{00000000-0010-0000-0000-0000EA000000}" uniqueName="234" name="GASTO FISCAL 15" queryTableFieldId="234"/>
    <tableColumn id="235" xr3:uid="{00000000-0010-0000-0000-0000EB000000}" uniqueName="235" name="PDTE PAGO C P 15" queryTableFieldId="235"/>
    <tableColumn id="236" xr3:uid="{00000000-0010-0000-0000-0000EC000000}" uniqueName="236" name="PDTE PAGO L P 15" queryTableFieldId="236"/>
    <tableColumn id="237" xr3:uid="{00000000-0010-0000-0000-0000ED000000}" uniqueName="237" name="PTE PAGO INT 15" queryTableFieldId="237"/>
    <tableColumn id="238" xr3:uid="{00000000-0010-0000-0000-0000EE000000}" uniqueName="238" name="AJUSTE I S 15" queryTableFieldId="238"/>
    <tableColumn id="239" xr3:uid="{00000000-0010-0000-0000-0000EF000000}" uniqueName="239" name="IMP DIF EJ 15" queryTableFieldId="239"/>
    <tableColumn id="240" xr3:uid="{00000000-0010-0000-0000-0000F0000000}" uniqueName="240" name="SALDO IMP DIF 15" queryTableFieldId="240"/>
    <tableColumn id="241" xr3:uid="{00000000-0010-0000-0000-0000F1000000}" uniqueName="241" name="PEND RECUP 15" queryTableFieldId="241"/>
    <tableColumn id="242" xr3:uid="{00000000-0010-0000-0000-0000F2000000}" uniqueName="242" name="Campo3" queryTableFieldId="242"/>
    <tableColumn id="243" xr3:uid="{00000000-0010-0000-0000-0000F3000000}" uniqueName="243" name="Campo1" queryTableFieldId="243"/>
    <tableColumn id="244" xr3:uid="{00000000-0010-0000-0000-0000F4000000}" uniqueName="244" name="Campo2" queryTableFieldId="244"/>
    <tableColumn id="245" xr3:uid="{00000000-0010-0000-0000-0000F5000000}" uniqueName="245" name="Campo4" queryTableFieldId="245"/>
    <tableColumn id="246" xr3:uid="{00000000-0010-0000-0000-0000F6000000}" uniqueName="246" name="Campo5" queryTableFieldId="246"/>
    <tableColumn id="247" xr3:uid="{00000000-0010-0000-0000-0000F7000000}" uniqueName="247" name="Campo6" queryTableFieldId="247"/>
    <tableColumn id="248" xr3:uid="{00000000-0010-0000-0000-0000F8000000}" uniqueName="248" name="Campo7" queryTableFieldId="248"/>
    <tableColumn id="249" xr3:uid="{00000000-0010-0000-0000-0000F9000000}" uniqueName="249" name="Campo8" queryTableFieldId="249"/>
    <tableColumn id="250" xr3:uid="{00000000-0010-0000-0000-0000FA000000}" uniqueName="250" name="Campo9" queryTableFieldId="250"/>
    <tableColumn id="251" xr3:uid="{00000000-0010-0000-0000-0000FB000000}" uniqueName="251" name="Campo10" queryTableFieldId="251"/>
    <tableColumn id="252" xr3:uid="{00000000-0010-0000-0000-0000FC000000}" uniqueName="252" name="Campo11" queryTableFieldId="252"/>
    <tableColumn id="253" xr3:uid="{00000000-0010-0000-0000-0000FD000000}" uniqueName="253" name="Campo12" queryTableFieldId="253"/>
    <tableColumn id="254" xr3:uid="{00000000-0010-0000-0000-0000FE000000}" uniqueName="254" name="Campo13" queryTableFieldId="254"/>
    <tableColumn id="255" xr3:uid="{00000000-0010-0000-0000-0000FF000000}" uniqueName="255" name="Campo14" queryTableFieldId="255"/>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9.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0.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1.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5.xml"/><Relationship Id="rId1" Type="http://schemas.openxmlformats.org/officeDocument/2006/relationships/printerSettings" Target="../printerSettings/printerSettings24.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7.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8.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0.xml"/><Relationship Id="rId1" Type="http://schemas.openxmlformats.org/officeDocument/2006/relationships/printerSettings" Target="../printerSettings/printerSettings29.bin"/><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1.xml"/><Relationship Id="rId1" Type="http://schemas.openxmlformats.org/officeDocument/2006/relationships/printerSettings" Target="../printerSettings/printerSettings30.bin"/><Relationship Id="rId4" Type="http://schemas.openxmlformats.org/officeDocument/2006/relationships/comments" Target="../comments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2.xml"/><Relationship Id="rId1" Type="http://schemas.openxmlformats.org/officeDocument/2006/relationships/printerSettings" Target="../printerSettings/printerSettings31.bin"/><Relationship Id="rId4" Type="http://schemas.openxmlformats.org/officeDocument/2006/relationships/ctrlProp" Target="../ctrlProps/ctrlProp1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3.xml"/><Relationship Id="rId1" Type="http://schemas.openxmlformats.org/officeDocument/2006/relationships/printerSettings" Target="../printerSettings/printerSettings32.bin"/><Relationship Id="rId4" Type="http://schemas.openxmlformats.org/officeDocument/2006/relationships/ctrlProp" Target="../ctrlProps/ctrlProp2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4.xml"/><Relationship Id="rId1" Type="http://schemas.openxmlformats.org/officeDocument/2006/relationships/printerSettings" Target="../printerSettings/printerSettings33.bin"/><Relationship Id="rId4" Type="http://schemas.openxmlformats.org/officeDocument/2006/relationships/ctrlProp" Target="../ctrlProps/ctrlProp2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5.xml"/><Relationship Id="rId1" Type="http://schemas.openxmlformats.org/officeDocument/2006/relationships/printerSettings" Target="../printerSettings/printerSettings34.bin"/><Relationship Id="rId4" Type="http://schemas.openxmlformats.org/officeDocument/2006/relationships/ctrlProp" Target="../ctrlProps/ctrlProp2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6.xml"/><Relationship Id="rId1" Type="http://schemas.openxmlformats.org/officeDocument/2006/relationships/printerSettings" Target="../printerSettings/printerSettings35.bin"/><Relationship Id="rId4" Type="http://schemas.openxmlformats.org/officeDocument/2006/relationships/ctrlProp" Target="../ctrlProps/ctrlProp2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7.xml"/><Relationship Id="rId1" Type="http://schemas.openxmlformats.org/officeDocument/2006/relationships/printerSettings" Target="../printerSettings/printerSettings36.bin"/><Relationship Id="rId4" Type="http://schemas.openxmlformats.org/officeDocument/2006/relationships/ctrlProp" Target="../ctrlProps/ctrlProp24.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8.xml"/><Relationship Id="rId1" Type="http://schemas.openxmlformats.org/officeDocument/2006/relationships/printerSettings" Target="../printerSettings/printerSettings37.bin"/><Relationship Id="rId4" Type="http://schemas.openxmlformats.org/officeDocument/2006/relationships/ctrlProp" Target="../ctrlProps/ctrlProp25.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9.xml"/><Relationship Id="rId1" Type="http://schemas.openxmlformats.org/officeDocument/2006/relationships/printerSettings" Target="../printerSettings/printerSettings38.bin"/><Relationship Id="rId4" Type="http://schemas.openxmlformats.org/officeDocument/2006/relationships/ctrlProp" Target="../ctrlProps/ctrlProp26.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40.xml"/><Relationship Id="rId1" Type="http://schemas.openxmlformats.org/officeDocument/2006/relationships/printerSettings" Target="../printerSettings/printerSettings39.bin"/><Relationship Id="rId4" Type="http://schemas.openxmlformats.org/officeDocument/2006/relationships/ctrlProp" Target="../ctrlProps/ctrlProp27.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42.xml"/><Relationship Id="rId1" Type="http://schemas.openxmlformats.org/officeDocument/2006/relationships/printerSettings" Target="../printerSettings/printerSettings41.bin"/><Relationship Id="rId4" Type="http://schemas.openxmlformats.org/officeDocument/2006/relationships/ctrlProp" Target="../ctrlProps/ctrlProp28.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43.xml"/><Relationship Id="rId1" Type="http://schemas.openxmlformats.org/officeDocument/2006/relationships/printerSettings" Target="../printerSettings/printerSettings42.bin"/><Relationship Id="rId4" Type="http://schemas.openxmlformats.org/officeDocument/2006/relationships/comments" Target="../comments5.x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53.xml"/><Relationship Id="rId1" Type="http://schemas.openxmlformats.org/officeDocument/2006/relationships/printerSettings" Target="../printerSettings/printerSettings51.bin"/><Relationship Id="rId4" Type="http://schemas.openxmlformats.org/officeDocument/2006/relationships/comments" Target="../comments6.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54.xml"/><Relationship Id="rId1" Type="http://schemas.openxmlformats.org/officeDocument/2006/relationships/printerSettings" Target="../printerSettings/printerSettings52.bin"/><Relationship Id="rId4" Type="http://schemas.openxmlformats.org/officeDocument/2006/relationships/comments" Target="../comments7.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55.xml"/><Relationship Id="rId1" Type="http://schemas.openxmlformats.org/officeDocument/2006/relationships/printerSettings" Target="../printerSettings/printerSettings53.bin"/><Relationship Id="rId5" Type="http://schemas.openxmlformats.org/officeDocument/2006/relationships/comments" Target="../comments8.xml"/><Relationship Id="rId4" Type="http://schemas.openxmlformats.org/officeDocument/2006/relationships/vmlDrawing" Target="../drawings/vmlDrawing32.v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56.xml"/><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57.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58.xml"/><Relationship Id="rId1" Type="http://schemas.openxmlformats.org/officeDocument/2006/relationships/printerSettings" Target="../printerSettings/printerSettings56.bin"/><Relationship Id="rId4" Type="http://schemas.openxmlformats.org/officeDocument/2006/relationships/comments" Target="../comments9.xm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5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forme">
    <pageSetUpPr autoPageBreaks="0"/>
  </sheetPr>
  <dimension ref="A1:XFC71"/>
  <sheetViews>
    <sheetView showGridLines="0" showRowColHeaders="0" showZeros="0" tabSelected="1" zoomScale="80" zoomScaleNormal="80" workbookViewId="0"/>
  </sheetViews>
  <sheetFormatPr baseColWidth="10" defaultColWidth="0" defaultRowHeight="14.4" zeroHeight="1" outlineLevelCol="1"/>
  <cols>
    <col min="1" max="1" width="1" customWidth="1"/>
    <col min="2" max="2" width="4" customWidth="1"/>
    <col min="3" max="3" width="16.44140625" customWidth="1"/>
    <col min="4" max="5" width="11.44140625" customWidth="1"/>
    <col min="6" max="6" width="12" customWidth="1"/>
    <col min="7" max="8" width="11.44140625" customWidth="1"/>
    <col min="9" max="9" width="5" customWidth="1"/>
    <col min="10" max="10" width="20.88671875" customWidth="1"/>
    <col min="11" max="11" width="11.44140625" customWidth="1"/>
    <col min="12" max="12" width="8.44140625" customWidth="1"/>
    <col min="13" max="13" width="8.5546875" customWidth="1"/>
    <col min="14" max="14" width="4" customWidth="1"/>
    <col min="15" max="15" width="73.44140625" customWidth="1"/>
    <col min="16" max="16" width="8.5546875" customWidth="1"/>
    <col min="17" max="17" width="18" bestFit="1" customWidth="1"/>
    <col min="18" max="18" width="5" customWidth="1"/>
    <col min="19" max="19" width="11.44140625" customWidth="1"/>
    <col min="20" max="20" width="11.44140625" customWidth="1" outlineLevel="1"/>
    <col min="21" max="21" width="59" customWidth="1" outlineLevel="1"/>
    <col min="22" max="22" width="11.44140625" customWidth="1" outlineLevel="1"/>
    <col min="23" max="23" width="11.44140625" customWidth="1"/>
    <col min="24" max="16383" width="11.44140625" hidden="1"/>
    <col min="16384" max="16384" width="5" hidden="1"/>
  </cols>
  <sheetData>
    <row r="1" spans="1:26">
      <c r="A1" t="s">
        <v>1536</v>
      </c>
      <c r="Z1" t="s">
        <v>2978</v>
      </c>
    </row>
    <row r="2" spans="1:26"/>
    <row r="3" spans="1:26">
      <c r="T3" s="147" t="s">
        <v>897</v>
      </c>
      <c r="U3" s="147" t="s">
        <v>906</v>
      </c>
      <c r="V3" t="s">
        <v>1668</v>
      </c>
    </row>
    <row r="4" spans="1:26">
      <c r="T4" s="2016"/>
      <c r="U4" s="446"/>
      <c r="V4" t="s">
        <v>1670</v>
      </c>
    </row>
    <row r="5" spans="1:26" ht="18">
      <c r="C5" s="35" t="s">
        <v>1</v>
      </c>
      <c r="D5" s="137">
        <v>6578</v>
      </c>
      <c r="E5" s="2225" t="str">
        <f>IF(D5=0,"",+LOOKUP(D5,T4:T64,U4:U64))</f>
        <v>MARIO PILATO BLAT, S.A.</v>
      </c>
      <c r="F5" s="2226"/>
      <c r="G5" s="2226"/>
      <c r="H5" s="2226"/>
      <c r="I5" s="2227"/>
      <c r="J5" s="12"/>
      <c r="L5" s="12"/>
      <c r="M5" s="12"/>
      <c r="T5" s="447"/>
      <c r="U5" s="447"/>
      <c r="V5" t="s">
        <v>1669</v>
      </c>
    </row>
    <row r="6" spans="1:26">
      <c r="T6" s="445">
        <v>6578</v>
      </c>
      <c r="U6" s="447" t="s">
        <v>2055</v>
      </c>
      <c r="V6" t="s">
        <v>1671</v>
      </c>
    </row>
    <row r="7" spans="1:26" ht="18">
      <c r="C7" s="35" t="s">
        <v>2</v>
      </c>
      <c r="D7" s="2228">
        <v>45657</v>
      </c>
      <c r="E7" s="2229"/>
      <c r="F7" s="2229"/>
      <c r="G7" s="2229"/>
      <c r="H7" s="2230"/>
      <c r="L7" s="546" t="s">
        <v>1510</v>
      </c>
      <c r="T7" s="445"/>
      <c r="U7" s="446"/>
    </row>
    <row r="8" spans="1:26">
      <c r="T8" s="445"/>
      <c r="U8" s="446"/>
    </row>
    <row r="9" spans="1:26">
      <c r="T9" s="445"/>
      <c r="U9" s="446"/>
    </row>
    <row r="10" spans="1:26" ht="18">
      <c r="C10" s="146"/>
      <c r="F10" s="319" t="s">
        <v>1360</v>
      </c>
      <c r="T10" s="445"/>
      <c r="U10" s="446"/>
    </row>
    <row r="11" spans="1:26" ht="21">
      <c r="O11" s="1285" t="s">
        <v>1667</v>
      </c>
      <c r="P11" s="1286" t="s">
        <v>1670</v>
      </c>
      <c r="Q11" s="1286" t="s">
        <v>1669</v>
      </c>
      <c r="T11" s="445"/>
      <c r="U11" s="446"/>
    </row>
    <row r="12" spans="1:26">
      <c r="C12" s="231"/>
      <c r="T12" s="445"/>
      <c r="U12" s="446"/>
    </row>
    <row r="13" spans="1:26" ht="18">
      <c r="C13" s="325" t="s">
        <v>1368</v>
      </c>
      <c r="J13" s="325" t="s">
        <v>1393</v>
      </c>
      <c r="O13" s="325" t="s">
        <v>1398</v>
      </c>
      <c r="T13" s="445"/>
      <c r="U13" s="446"/>
    </row>
    <row r="14" spans="1:26" ht="8.25" customHeight="1">
      <c r="C14" s="407"/>
      <c r="D14" s="408"/>
      <c r="E14" s="408"/>
      <c r="F14" s="408"/>
      <c r="G14" s="408"/>
      <c r="H14" s="409"/>
      <c r="J14" s="419"/>
      <c r="K14" s="408"/>
      <c r="L14" s="408"/>
      <c r="M14" s="409"/>
      <c r="O14" s="419"/>
      <c r="P14" s="408"/>
      <c r="Q14" s="408"/>
      <c r="R14" s="409"/>
      <c r="T14" s="445"/>
      <c r="U14" s="446"/>
    </row>
    <row r="15" spans="1:26" ht="15.6">
      <c r="C15" s="410" t="s">
        <v>1363</v>
      </c>
      <c r="D15" s="411"/>
      <c r="E15" s="411"/>
      <c r="F15" s="411"/>
      <c r="G15" s="411"/>
      <c r="H15" s="412"/>
      <c r="J15" s="410" t="s">
        <v>647</v>
      </c>
      <c r="K15" s="411"/>
      <c r="L15" s="411"/>
      <c r="M15" s="412"/>
      <c r="O15" s="410" t="s">
        <v>898</v>
      </c>
      <c r="P15" s="411"/>
      <c r="Q15" s="411"/>
      <c r="R15" s="412"/>
      <c r="T15" s="445"/>
      <c r="U15" s="446"/>
    </row>
    <row r="16" spans="1:26" ht="15.6">
      <c r="C16" s="413"/>
      <c r="D16" s="411"/>
      <c r="E16" s="411"/>
      <c r="F16" s="411"/>
      <c r="G16" s="411"/>
      <c r="H16" s="412"/>
      <c r="J16" s="410"/>
      <c r="K16" s="411"/>
      <c r="L16" s="411"/>
      <c r="M16" s="412"/>
      <c r="O16" s="410"/>
      <c r="P16" s="411"/>
      <c r="Q16" s="411"/>
      <c r="R16" s="412"/>
      <c r="T16" s="445"/>
      <c r="U16" s="446"/>
    </row>
    <row r="17" spans="3:21" ht="15.6">
      <c r="C17" s="410" t="s">
        <v>1369</v>
      </c>
      <c r="D17" s="411"/>
      <c r="E17" s="411"/>
      <c r="F17" s="411"/>
      <c r="G17" s="411"/>
      <c r="H17" s="548" t="s">
        <v>1510</v>
      </c>
      <c r="J17" s="410" t="s">
        <v>5</v>
      </c>
      <c r="K17" s="411"/>
      <c r="L17" s="547" t="s">
        <v>1510</v>
      </c>
      <c r="M17" s="412"/>
      <c r="O17" s="410" t="s">
        <v>1399</v>
      </c>
      <c r="P17" s="411"/>
      <c r="Q17" s="411"/>
      <c r="R17" s="412"/>
      <c r="T17" s="445"/>
      <c r="U17" s="446"/>
    </row>
    <row r="18" spans="3:21" ht="15.6">
      <c r="C18" s="414"/>
      <c r="D18" s="411"/>
      <c r="E18" s="411"/>
      <c r="F18" s="411"/>
      <c r="G18" s="411"/>
      <c r="H18" s="412"/>
      <c r="J18" s="410"/>
      <c r="K18" s="411"/>
      <c r="L18" s="411"/>
      <c r="M18" s="412"/>
      <c r="O18" s="410"/>
      <c r="P18" s="411"/>
      <c r="Q18" s="411"/>
      <c r="R18" s="412"/>
      <c r="T18" s="445"/>
      <c r="U18" s="446"/>
    </row>
    <row r="19" spans="3:21" ht="15.6">
      <c r="C19" s="410" t="s">
        <v>1373</v>
      </c>
      <c r="D19" s="411"/>
      <c r="E19" s="411"/>
      <c r="F19" s="411"/>
      <c r="G19" s="411"/>
      <c r="H19" s="412"/>
      <c r="J19" s="410" t="s">
        <v>12</v>
      </c>
      <c r="K19" s="411"/>
      <c r="L19" s="547" t="s">
        <v>1510</v>
      </c>
      <c r="M19" s="412"/>
      <c r="O19" s="410"/>
      <c r="P19" s="411"/>
      <c r="Q19" s="411"/>
      <c r="R19" s="412"/>
      <c r="T19" s="445"/>
      <c r="U19" s="446"/>
    </row>
    <row r="20" spans="3:21" ht="15.6">
      <c r="C20" s="415"/>
      <c r="D20" s="411"/>
      <c r="E20" s="411"/>
      <c r="F20" s="411"/>
      <c r="G20" s="411"/>
      <c r="H20" s="412"/>
      <c r="J20" s="410"/>
      <c r="K20" s="411"/>
      <c r="L20" s="411"/>
      <c r="M20" s="412"/>
      <c r="O20" s="410"/>
      <c r="P20" s="411"/>
      <c r="Q20" s="411"/>
      <c r="R20" s="412"/>
      <c r="T20" s="445"/>
      <c r="U20" s="446"/>
    </row>
    <row r="21" spans="3:21" ht="15.6">
      <c r="C21" s="410" t="s">
        <v>1375</v>
      </c>
      <c r="D21" s="411"/>
      <c r="E21" s="411"/>
      <c r="F21" s="411"/>
      <c r="G21" s="411"/>
      <c r="H21" s="412"/>
      <c r="J21" s="410" t="s">
        <v>16</v>
      </c>
      <c r="K21" s="411"/>
      <c r="L21" s="547" t="s">
        <v>1510</v>
      </c>
      <c r="M21" s="412"/>
      <c r="O21" s="410"/>
      <c r="P21" s="411"/>
      <c r="Q21" s="411"/>
      <c r="R21" s="412"/>
      <c r="T21" s="445"/>
      <c r="U21" s="446"/>
    </row>
    <row r="22" spans="3:21" ht="15.6">
      <c r="C22" s="415"/>
      <c r="D22" s="411"/>
      <c r="E22" s="411"/>
      <c r="F22" s="411"/>
      <c r="G22" s="411"/>
      <c r="H22" s="412"/>
      <c r="J22" s="420"/>
      <c r="K22" s="417"/>
      <c r="L22" s="417"/>
      <c r="M22" s="418"/>
      <c r="O22" s="420"/>
      <c r="P22" s="417"/>
      <c r="Q22" s="417"/>
      <c r="R22" s="418"/>
      <c r="T22" s="445"/>
      <c r="U22" s="446"/>
    </row>
    <row r="23" spans="3:21" ht="15.6">
      <c r="C23" s="410" t="s">
        <v>1389</v>
      </c>
      <c r="D23" s="411"/>
      <c r="E23" s="411"/>
      <c r="F23" s="411"/>
      <c r="G23" s="411"/>
      <c r="H23" s="412"/>
      <c r="T23" s="445"/>
      <c r="U23" s="446"/>
    </row>
    <row r="24" spans="3:21" ht="18">
      <c r="C24" s="410"/>
      <c r="D24" s="411"/>
      <c r="E24" s="411"/>
      <c r="F24" s="411"/>
      <c r="G24" s="411"/>
      <c r="H24" s="412"/>
      <c r="J24" s="325" t="s">
        <v>1404</v>
      </c>
      <c r="O24" s="325" t="s">
        <v>1401</v>
      </c>
      <c r="T24" s="445"/>
      <c r="U24" s="446"/>
    </row>
    <row r="25" spans="3:21" ht="15.6">
      <c r="C25" s="410" t="s">
        <v>1390</v>
      </c>
      <c r="D25" s="411"/>
      <c r="E25" s="411"/>
      <c r="F25" s="411"/>
      <c r="G25" s="411"/>
      <c r="H25" s="412"/>
      <c r="J25" s="419"/>
      <c r="K25" s="408"/>
      <c r="L25" s="408"/>
      <c r="M25" s="409"/>
      <c r="O25" s="422" t="s">
        <v>1402</v>
      </c>
      <c r="P25" s="408"/>
      <c r="Q25" s="408"/>
      <c r="R25" s="409"/>
      <c r="T25" s="447"/>
      <c r="U25" s="446"/>
    </row>
    <row r="26" spans="3:21" ht="15.6">
      <c r="C26" s="410"/>
      <c r="D26" s="411"/>
      <c r="E26" s="411"/>
      <c r="F26" s="411"/>
      <c r="G26" s="411"/>
      <c r="H26" s="412"/>
      <c r="J26" s="410" t="s">
        <v>1402</v>
      </c>
      <c r="K26" s="411"/>
      <c r="L26" s="411"/>
      <c r="M26" s="412"/>
      <c r="O26" s="410"/>
      <c r="P26" s="411"/>
      <c r="Q26" s="411"/>
      <c r="R26" s="412"/>
      <c r="T26" s="447"/>
      <c r="U26" s="446"/>
    </row>
    <row r="27" spans="3:21" ht="15.6">
      <c r="C27" s="410" t="s">
        <v>1391</v>
      </c>
      <c r="D27" s="411"/>
      <c r="E27" s="411"/>
      <c r="F27" s="411"/>
      <c r="G27" s="411"/>
      <c r="H27" s="412"/>
      <c r="J27" s="410"/>
      <c r="K27" s="411"/>
      <c r="L27" s="411"/>
      <c r="M27" s="412"/>
      <c r="O27" s="410" t="s">
        <v>1403</v>
      </c>
      <c r="P27" s="411"/>
      <c r="Q27" s="411"/>
      <c r="R27" s="412"/>
      <c r="T27" s="447"/>
      <c r="U27" s="446"/>
    </row>
    <row r="28" spans="3:21" ht="15.6">
      <c r="C28" s="410"/>
      <c r="D28" s="411"/>
      <c r="E28" s="411"/>
      <c r="F28" s="411"/>
      <c r="G28" s="411"/>
      <c r="H28" s="412"/>
      <c r="J28" s="410" t="s">
        <v>1403</v>
      </c>
      <c r="K28" s="411"/>
      <c r="L28" s="411"/>
      <c r="M28" s="412"/>
      <c r="O28" s="410"/>
      <c r="P28" s="411"/>
      <c r="Q28" s="411"/>
      <c r="R28" s="412"/>
      <c r="T28" s="447"/>
      <c r="U28" s="446"/>
    </row>
    <row r="29" spans="3:21" ht="15.6">
      <c r="C29" s="416"/>
      <c r="D29" s="417"/>
      <c r="E29" s="417"/>
      <c r="F29" s="417"/>
      <c r="G29" s="417"/>
      <c r="H29" s="418"/>
      <c r="J29" s="420"/>
      <c r="K29" s="417"/>
      <c r="L29" s="417"/>
      <c r="M29" s="418"/>
      <c r="O29" s="420" t="s">
        <v>1839</v>
      </c>
      <c r="P29" s="417"/>
      <c r="Q29" s="417"/>
      <c r="R29" s="418"/>
      <c r="T29" s="447"/>
      <c r="U29" s="446"/>
    </row>
    <row r="30" spans="3:21">
      <c r="T30" s="447"/>
      <c r="U30" s="446"/>
    </row>
    <row r="31" spans="3:21" ht="18">
      <c r="C31" s="325" t="s">
        <v>1749</v>
      </c>
      <c r="J31" s="325" t="s">
        <v>1411</v>
      </c>
      <c r="O31" s="325" t="s">
        <v>1412</v>
      </c>
      <c r="T31" s="447"/>
      <c r="U31" s="447"/>
    </row>
    <row r="32" spans="3:21">
      <c r="C32" s="407"/>
      <c r="D32" s="408"/>
      <c r="E32" s="408"/>
      <c r="F32" s="408"/>
      <c r="G32" s="408"/>
      <c r="H32" s="409"/>
      <c r="J32" s="407"/>
      <c r="K32" s="408"/>
      <c r="L32" s="408"/>
      <c r="M32" s="409"/>
      <c r="O32" s="419"/>
      <c r="P32" s="408"/>
      <c r="Q32" s="408"/>
      <c r="R32" s="409"/>
      <c r="T32" s="447"/>
      <c r="U32" s="447"/>
    </row>
    <row r="33" spans="3:21" ht="15.6">
      <c r="C33" s="410" t="s">
        <v>1405</v>
      </c>
      <c r="D33" s="411"/>
      <c r="E33" s="411"/>
      <c r="F33" s="411"/>
      <c r="G33" s="411"/>
      <c r="H33" s="412"/>
      <c r="J33" s="410" t="s">
        <v>1480</v>
      </c>
      <c r="K33" s="411"/>
      <c r="L33" s="411"/>
      <c r="M33" s="412"/>
      <c r="O33" s="410" t="s">
        <v>1481</v>
      </c>
      <c r="P33" s="411"/>
      <c r="Q33" s="411"/>
      <c r="R33" s="412"/>
      <c r="T33" s="447"/>
      <c r="U33" s="447"/>
    </row>
    <row r="34" spans="3:21" ht="15.6">
      <c r="C34" s="410"/>
      <c r="D34" s="411"/>
      <c r="E34" s="411"/>
      <c r="F34" s="411"/>
      <c r="G34" s="411"/>
      <c r="H34" s="412"/>
      <c r="J34" s="410"/>
      <c r="K34" s="411"/>
      <c r="L34" s="411"/>
      <c r="M34" s="412"/>
      <c r="O34" s="410"/>
      <c r="P34" s="411"/>
      <c r="Q34" s="411"/>
      <c r="R34" s="412"/>
      <c r="T34" s="447"/>
      <c r="U34" s="447"/>
    </row>
    <row r="35" spans="3:21" ht="15.6">
      <c r="C35" s="421"/>
      <c r="D35" s="417"/>
      <c r="E35" s="417"/>
      <c r="F35" s="417"/>
      <c r="G35" s="417"/>
      <c r="H35" s="418"/>
      <c r="J35" s="420"/>
      <c r="K35" s="417"/>
      <c r="L35" s="417"/>
      <c r="M35" s="418"/>
      <c r="O35" s="420"/>
      <c r="P35" s="417"/>
      <c r="Q35" s="417"/>
      <c r="R35" s="418"/>
      <c r="T35" s="447"/>
      <c r="U35" s="447"/>
    </row>
    <row r="36" spans="3:21">
      <c r="T36" s="447"/>
      <c r="U36" s="447"/>
    </row>
    <row r="37" spans="3:21" ht="18">
      <c r="C37" s="325" t="s">
        <v>1406</v>
      </c>
      <c r="O37" s="325" t="s">
        <v>1413</v>
      </c>
      <c r="T37" s="447"/>
      <c r="U37" s="447"/>
    </row>
    <row r="38" spans="3:21" ht="15.6">
      <c r="C38" s="422"/>
      <c r="D38" s="408"/>
      <c r="E38" s="408"/>
      <c r="F38" s="409"/>
      <c r="G38" s="422"/>
      <c r="H38" s="408"/>
      <c r="I38" s="408"/>
      <c r="J38" s="409"/>
      <c r="O38" s="419"/>
      <c r="P38" s="408"/>
      <c r="Q38" s="408"/>
      <c r="R38" s="409"/>
      <c r="T38" s="447"/>
      <c r="U38" s="447"/>
    </row>
    <row r="39" spans="3:21" ht="15.6">
      <c r="C39" s="410" t="s">
        <v>1402</v>
      </c>
      <c r="D39" s="411"/>
      <c r="E39" s="411"/>
      <c r="F39" s="412"/>
      <c r="G39" s="410" t="s">
        <v>1403</v>
      </c>
      <c r="H39" s="411"/>
      <c r="I39" s="411"/>
      <c r="J39" s="412"/>
      <c r="O39" s="410" t="s">
        <v>1230</v>
      </c>
      <c r="P39" s="411"/>
      <c r="Q39" s="411"/>
      <c r="R39" s="412"/>
      <c r="T39" s="447"/>
      <c r="U39" s="447"/>
    </row>
    <row r="40" spans="3:21" ht="15.6">
      <c r="C40" s="410"/>
      <c r="D40" s="411"/>
      <c r="E40" s="411"/>
      <c r="F40" s="412"/>
      <c r="G40" s="410"/>
      <c r="H40" s="411"/>
      <c r="I40" s="411"/>
      <c r="J40" s="412"/>
      <c r="O40" s="410"/>
      <c r="P40" s="411"/>
      <c r="Q40" s="411"/>
      <c r="R40" s="412"/>
      <c r="T40" s="447"/>
      <c r="U40" s="447"/>
    </row>
    <row r="41" spans="3:21" ht="15.6">
      <c r="C41" s="410" t="s">
        <v>1407</v>
      </c>
      <c r="D41" s="411"/>
      <c r="E41" s="411"/>
      <c r="F41" s="412"/>
      <c r="G41" s="410" t="s">
        <v>1408</v>
      </c>
      <c r="H41" s="411"/>
      <c r="I41" s="411"/>
      <c r="J41" s="412"/>
      <c r="O41" s="420"/>
      <c r="P41" s="417"/>
      <c r="Q41" s="417"/>
      <c r="R41" s="418"/>
      <c r="T41" s="447"/>
      <c r="U41" s="447"/>
    </row>
    <row r="42" spans="3:21" ht="15.6">
      <c r="C42" s="410"/>
      <c r="D42" s="411"/>
      <c r="E42" s="411"/>
      <c r="F42" s="412"/>
      <c r="G42" s="410"/>
      <c r="H42" s="411"/>
      <c r="I42" s="411"/>
      <c r="J42" s="412"/>
      <c r="T42" s="447"/>
      <c r="U42" s="447"/>
    </row>
    <row r="43" spans="3:21" ht="18">
      <c r="C43" s="410" t="s">
        <v>1409</v>
      </c>
      <c r="D43" s="411"/>
      <c r="E43" s="411"/>
      <c r="F43" s="412"/>
      <c r="G43" s="410" t="s">
        <v>1409</v>
      </c>
      <c r="H43" s="411"/>
      <c r="I43" s="411"/>
      <c r="J43" s="412"/>
      <c r="O43" s="325" t="s">
        <v>1672</v>
      </c>
      <c r="T43" s="447"/>
      <c r="U43" s="447"/>
    </row>
    <row r="44" spans="3:21" ht="15.6">
      <c r="C44" s="410"/>
      <c r="D44" s="411"/>
      <c r="E44" s="411"/>
      <c r="F44" s="412"/>
      <c r="G44" s="410"/>
      <c r="H44" s="411"/>
      <c r="I44" s="411"/>
      <c r="J44" s="412"/>
      <c r="O44" s="419"/>
      <c r="P44" s="408"/>
      <c r="Q44" s="408"/>
      <c r="R44" s="409"/>
      <c r="T44" s="447"/>
      <c r="U44" s="447"/>
    </row>
    <row r="45" spans="3:21" ht="15.6">
      <c r="C45" s="410" t="s">
        <v>1410</v>
      </c>
      <c r="D45" s="411"/>
      <c r="E45" s="411"/>
      <c r="F45" s="412"/>
      <c r="G45" s="410" t="s">
        <v>1410</v>
      </c>
      <c r="H45" s="411"/>
      <c r="I45" s="411"/>
      <c r="J45" s="412"/>
      <c r="O45" s="410" t="s">
        <v>1673</v>
      </c>
      <c r="P45" s="411"/>
      <c r="Q45" s="411"/>
      <c r="R45" s="412"/>
      <c r="T45" s="447"/>
      <c r="U45" s="447"/>
    </row>
    <row r="46" spans="3:21" ht="15.6">
      <c r="C46" s="420"/>
      <c r="D46" s="417"/>
      <c r="E46" s="417"/>
      <c r="F46" s="418"/>
      <c r="G46" s="420"/>
      <c r="H46" s="417"/>
      <c r="I46" s="417"/>
      <c r="J46" s="418"/>
      <c r="O46" s="420"/>
      <c r="P46" s="417"/>
      <c r="Q46" s="417"/>
      <c r="R46" s="418"/>
      <c r="T46" s="447"/>
      <c r="U46" s="447"/>
    </row>
    <row r="47" spans="3:21">
      <c r="T47" s="447"/>
      <c r="U47" s="447"/>
    </row>
    <row r="48" spans="3:21" ht="18">
      <c r="C48" s="325" t="s">
        <v>1414</v>
      </c>
      <c r="J48" s="325" t="s">
        <v>1417</v>
      </c>
      <c r="O48" s="325" t="s">
        <v>1419</v>
      </c>
      <c r="T48" s="447"/>
      <c r="U48" s="447"/>
    </row>
    <row r="49" spans="3:18" ht="15.6">
      <c r="C49" s="422"/>
      <c r="D49" s="408"/>
      <c r="E49" s="408"/>
      <c r="F49" s="408"/>
      <c r="G49" s="408"/>
      <c r="H49" s="409"/>
      <c r="J49" s="419"/>
      <c r="K49" s="408"/>
      <c r="L49" s="408"/>
      <c r="M49" s="409"/>
      <c r="O49" s="419"/>
      <c r="P49" s="408"/>
      <c r="Q49" s="408"/>
      <c r="R49" s="409"/>
    </row>
    <row r="50" spans="3:18" ht="15.6">
      <c r="C50" s="410" t="s">
        <v>1415</v>
      </c>
      <c r="D50" s="411"/>
      <c r="E50" s="411"/>
      <c r="F50" s="411"/>
      <c r="G50" s="549" t="s">
        <v>1510</v>
      </c>
      <c r="H50" s="412"/>
      <c r="J50" s="410" t="s">
        <v>1418</v>
      </c>
      <c r="K50" s="411"/>
      <c r="L50" s="547" t="s">
        <v>1510</v>
      </c>
      <c r="M50" s="412"/>
      <c r="O50" s="410" t="s">
        <v>1420</v>
      </c>
      <c r="P50" s="549" t="s">
        <v>1510</v>
      </c>
      <c r="Q50" s="411"/>
      <c r="R50" s="412"/>
    </row>
    <row r="51" spans="3:18" ht="15.6">
      <c r="C51" s="410"/>
      <c r="D51" s="411"/>
      <c r="E51" s="411"/>
      <c r="F51" s="411"/>
      <c r="G51" s="411"/>
      <c r="H51" s="412"/>
      <c r="J51" s="410"/>
      <c r="K51" s="411"/>
      <c r="L51" s="411"/>
      <c r="M51" s="412"/>
      <c r="O51" s="410"/>
      <c r="P51" s="411"/>
      <c r="Q51" s="411"/>
      <c r="R51" s="412"/>
    </row>
    <row r="52" spans="3:18" ht="15.6">
      <c r="C52" s="410" t="s">
        <v>1427</v>
      </c>
      <c r="D52" s="411"/>
      <c r="E52" s="411"/>
      <c r="F52" s="411"/>
      <c r="G52" s="549" t="s">
        <v>1510</v>
      </c>
      <c r="H52" s="412"/>
      <c r="J52" s="410"/>
      <c r="K52" s="411"/>
      <c r="L52" s="411"/>
      <c r="M52" s="412"/>
      <c r="O52" s="410" t="s">
        <v>1862</v>
      </c>
      <c r="P52" s="411"/>
      <c r="Q52" s="411"/>
      <c r="R52" s="412"/>
    </row>
    <row r="53" spans="3:18" ht="15.6">
      <c r="C53" s="410"/>
      <c r="D53" s="411"/>
      <c r="E53" s="411"/>
      <c r="F53" s="411"/>
      <c r="G53" s="549"/>
      <c r="H53" s="412"/>
      <c r="J53" s="410"/>
      <c r="K53" s="411"/>
      <c r="L53" s="411"/>
      <c r="M53" s="412"/>
      <c r="O53" s="410"/>
      <c r="P53" s="411"/>
      <c r="Q53" s="411"/>
      <c r="R53" s="412"/>
    </row>
    <row r="54" spans="3:18" ht="15.6">
      <c r="C54" s="410" t="s">
        <v>1416</v>
      </c>
      <c r="D54" s="411"/>
      <c r="E54" s="411"/>
      <c r="F54" s="411"/>
      <c r="G54" s="549" t="s">
        <v>1510</v>
      </c>
      <c r="H54" s="412"/>
      <c r="J54" s="410"/>
      <c r="K54" s="411"/>
      <c r="L54" s="411"/>
      <c r="M54" s="412"/>
      <c r="O54" s="410"/>
      <c r="P54" s="411"/>
      <c r="Q54" s="411"/>
      <c r="R54" s="412"/>
    </row>
    <row r="55" spans="3:18" ht="15.6">
      <c r="C55" s="410"/>
      <c r="D55" s="411"/>
      <c r="E55" s="411"/>
      <c r="F55" s="411"/>
      <c r="G55" s="549"/>
      <c r="H55" s="412"/>
      <c r="J55" s="410"/>
      <c r="K55" s="411"/>
      <c r="L55" s="411"/>
      <c r="M55" s="412"/>
      <c r="O55" s="410"/>
      <c r="P55" s="411"/>
      <c r="Q55" s="411"/>
      <c r="R55" s="412"/>
    </row>
    <row r="56" spans="3:18" ht="15.6">
      <c r="C56" s="410" t="s">
        <v>1586</v>
      </c>
      <c r="D56" s="411"/>
      <c r="E56" s="411"/>
      <c r="F56" s="411"/>
      <c r="G56" s="549"/>
      <c r="H56" s="412"/>
      <c r="J56" s="410"/>
      <c r="K56" s="411"/>
      <c r="L56" s="411"/>
      <c r="M56" s="412"/>
      <c r="O56" s="410"/>
      <c r="P56" s="411"/>
      <c r="Q56" s="411"/>
      <c r="R56" s="412"/>
    </row>
    <row r="57" spans="3:18" ht="15.6">
      <c r="C57" s="410"/>
      <c r="D57" s="411"/>
      <c r="E57" s="411"/>
      <c r="F57" s="411"/>
      <c r="G57" s="549"/>
      <c r="H57" s="412"/>
      <c r="J57" s="410"/>
      <c r="K57" s="411"/>
      <c r="L57" s="411"/>
      <c r="M57" s="412"/>
      <c r="O57" s="410"/>
      <c r="P57" s="411"/>
      <c r="Q57" s="411"/>
      <c r="R57" s="412"/>
    </row>
    <row r="58" spans="3:18" ht="15.6">
      <c r="C58" s="420" t="s">
        <v>1587</v>
      </c>
      <c r="D58" s="417"/>
      <c r="E58" s="417"/>
      <c r="F58" s="417"/>
      <c r="G58" s="550"/>
      <c r="H58" s="418"/>
      <c r="J58" s="420"/>
      <c r="K58" s="417"/>
      <c r="L58" s="417"/>
      <c r="M58" s="418"/>
      <c r="O58" s="420"/>
      <c r="P58" s="417"/>
      <c r="Q58" s="417"/>
      <c r="R58" s="418"/>
    </row>
    <row r="59" spans="3:18"/>
    <row r="60" spans="3:18" ht="18">
      <c r="C60" s="325" t="s">
        <v>1421</v>
      </c>
    </row>
    <row r="61" spans="3:18" ht="15.6">
      <c r="C61" s="432"/>
      <c r="D61" s="433"/>
      <c r="E61" s="433"/>
      <c r="F61" s="433"/>
      <c r="G61" s="433"/>
      <c r="H61" s="434"/>
      <c r="I61" s="433"/>
      <c r="J61" s="433"/>
      <c r="K61" s="433"/>
      <c r="L61" s="433"/>
      <c r="M61" s="434"/>
      <c r="N61" s="433"/>
      <c r="O61" s="433"/>
      <c r="P61" s="433"/>
      <c r="Q61" s="433"/>
      <c r="R61" s="435"/>
    </row>
    <row r="62" spans="3:18" ht="15.6">
      <c r="C62" s="436" t="s">
        <v>1422</v>
      </c>
      <c r="D62" s="430"/>
      <c r="E62" s="430"/>
      <c r="F62" s="431" t="s">
        <v>1423</v>
      </c>
      <c r="G62" s="430"/>
      <c r="H62" s="431"/>
      <c r="I62" s="431" t="s">
        <v>1424</v>
      </c>
      <c r="J62" s="431"/>
      <c r="K62" s="431"/>
      <c r="L62" s="431" t="s">
        <v>1425</v>
      </c>
      <c r="M62" s="431"/>
      <c r="N62" s="431"/>
      <c r="O62" s="442" t="s">
        <v>1426</v>
      </c>
      <c r="P62" s="430"/>
      <c r="Q62" s="430"/>
      <c r="R62" s="437"/>
    </row>
    <row r="63" spans="3:18" ht="15.6">
      <c r="C63" s="436"/>
      <c r="D63" s="430"/>
      <c r="E63" s="430"/>
      <c r="F63" s="430"/>
      <c r="G63" s="430"/>
      <c r="H63" s="431"/>
      <c r="I63" s="430"/>
      <c r="J63" s="430"/>
      <c r="K63" s="430"/>
      <c r="L63" s="430"/>
      <c r="M63" s="431"/>
      <c r="N63" s="430"/>
      <c r="O63" s="430"/>
      <c r="P63" s="430"/>
      <c r="Q63" s="430"/>
      <c r="R63" s="437"/>
    </row>
    <row r="64" spans="3:18" ht="15.6">
      <c r="C64" s="438"/>
      <c r="D64" s="439"/>
      <c r="E64" s="439"/>
      <c r="F64" s="439"/>
      <c r="G64" s="439"/>
      <c r="H64" s="440"/>
      <c r="I64" s="439"/>
      <c r="J64" s="439"/>
      <c r="K64" s="439"/>
      <c r="L64" s="439"/>
      <c r="M64" s="440"/>
      <c r="N64" s="439"/>
      <c r="O64" s="439"/>
      <c r="P64" s="439"/>
      <c r="Q64" s="439"/>
      <c r="R64" s="441"/>
    </row>
    <row r="65" spans="3:8"/>
    <row r="66" spans="3:8" ht="18">
      <c r="C66" s="325" t="s">
        <v>1482</v>
      </c>
    </row>
    <row r="67" spans="3:8" ht="15.6">
      <c r="C67" s="514"/>
      <c r="D67" s="515"/>
      <c r="E67" s="515"/>
      <c r="F67" s="515"/>
      <c r="G67" s="515"/>
      <c r="H67" s="516"/>
    </row>
    <row r="68" spans="3:8" ht="15.6">
      <c r="C68" s="517" t="s">
        <v>1483</v>
      </c>
      <c r="D68" s="518"/>
      <c r="E68" s="518"/>
      <c r="F68" s="519"/>
      <c r="G68" s="518"/>
      <c r="H68" s="519"/>
    </row>
    <row r="69" spans="3:8" ht="15.6">
      <c r="C69" s="517"/>
      <c r="D69" s="518"/>
      <c r="E69" s="518"/>
      <c r="F69" s="518"/>
      <c r="G69" s="518"/>
      <c r="H69" s="519"/>
    </row>
    <row r="70" spans="3:8" ht="15.6">
      <c r="C70" s="520"/>
      <c r="D70" s="521"/>
      <c r="E70" s="521"/>
      <c r="F70" s="521"/>
      <c r="G70" s="521"/>
      <c r="H70" s="522"/>
    </row>
    <row r="71" spans="3:8" ht="14.25" customHeight="1"/>
  </sheetData>
  <sortState xmlns:xlrd2="http://schemas.microsoft.com/office/spreadsheetml/2017/richdata2" ref="T4:U48">
    <sortCondition ref="T4"/>
  </sortState>
  <mergeCells count="2">
    <mergeCell ref="E5:I5"/>
    <mergeCell ref="D7:H7"/>
  </mergeCells>
  <conditionalFormatting sqref="Q11">
    <cfRule type="expression" dxfId="610" priority="18">
      <formula>$P$11="NO"</formula>
    </cfRule>
  </conditionalFormatting>
  <dataValidations count="3">
    <dataValidation type="list" allowBlank="1" showInputMessage="1" showErrorMessage="1" sqref="D5" xr:uid="{00000000-0002-0000-0000-000000000000}">
      <formula1>$T$4:$T$64</formula1>
    </dataValidation>
    <dataValidation type="list" allowBlank="1" showInputMessage="1" showErrorMessage="1" sqref="Q11" xr:uid="{4A139E5A-F8DA-40A5-A766-4848F976D206}">
      <formula1>$V$5:$V$6</formula1>
    </dataValidation>
    <dataValidation type="list" allowBlank="1" showInputMessage="1" showErrorMessage="1" sqref="P11" xr:uid="{E35EA1CE-988C-4F3D-8D9A-EF3C5D834FCA}">
      <formula1>$V$3:$V$4</formula1>
    </dataValidation>
  </dataValidations>
  <hyperlinks>
    <hyperlink ref="C15" location="SYS_cliente!A1" tooltip="Carga de datos" display="Carga de datos del cliente (sumas y saldos)" xr:uid="{00000000-0004-0000-0000-000000000000}"/>
    <hyperlink ref="C17" location="SYS_4_3_Digitos!A1" tooltip="SYS 3_4 DÍGITOS (AJUSTES)" display="Sumas y saldos (3_4 dígitos con ajustes)" xr:uid="{00000000-0004-0000-0000-000001000000}"/>
    <hyperlink ref="C19" location="A3SOC!A1" tooltip="A3SOC" display="A3SOC (hoja de carga)" xr:uid="{00000000-0004-0000-0000-000002000000}"/>
    <hyperlink ref="C21" location="asientos!A1" tooltip="Asientos" display="Asientos" xr:uid="{00000000-0004-0000-0000-000003000000}"/>
    <hyperlink ref="C23" location="BALANCE!A1" tooltip="Balance" display="Balance" xr:uid="{00000000-0004-0000-0000-000004000000}"/>
    <hyperlink ref="C27" location="PG!A1" tooltip="Pérdidas y Ganancias" display="Pérdidas y Ganancias" xr:uid="{00000000-0004-0000-0000-000005000000}"/>
    <hyperlink ref="C25" location="'BCE ABREVIADO'!A1" tooltip="Balance Abreviado" display="Balance" xr:uid="{00000000-0004-0000-0000-000006000000}"/>
    <hyperlink ref="J17" location="Inmovilizado!C79" tooltip="I. Inmovilizado intangible" display="I. Inmovilizado intangible" xr:uid="{00000000-0004-0000-0000-000007000000}"/>
    <hyperlink ref="J19" location="Inmovilizado!C13" tooltip="II. Inmovilizado material" display="II. Inmovilizado material" xr:uid="{00000000-0004-0000-0000-000008000000}"/>
    <hyperlink ref="J21" location="Inmovilizado!C57" tooltip="III. Inversiones inmobiliarias" display="III. Inversiones inmobiliarias" xr:uid="{00000000-0004-0000-0000-000009000000}"/>
    <hyperlink ref="J15" location="Inversiones!C13" tooltip="Inversiones" display="Inversiones" xr:uid="{00000000-0004-0000-0000-00000A000000}"/>
    <hyperlink ref="O15" location="'Leasg. (prueba)'!C13" tooltip="Comprobación contabilización contratos de Leasing/Impuestos Diferidos" display="Comprobación contabilización contratos de Leasing/Impuestos Diferidos" xr:uid="{00000000-0004-0000-0000-00000B000000}"/>
    <hyperlink ref="O17" location="'BASE DATOS LEASING'!A1" tooltip="Base de datos leasing (acces)" display="Base de datos leasing (acces)" xr:uid="{00000000-0004-0000-0000-00000C000000}"/>
    <hyperlink ref="J26" location="'Arrendamiento (mensual)'!A1" tooltip="Mensual" display="Mensual" xr:uid="{00000000-0004-0000-0000-00000F000000}"/>
    <hyperlink ref="C33" location="'AJUIRC (MES)'!A1" tooltip="Ajuste declaración Retenciones IRPF (IRC)" display="Ajuste declaración Retenciones IRPF (IRC)" xr:uid="{00000000-0004-0000-0000-000011000000}"/>
    <hyperlink ref="C39" location="MESIVA!A1" tooltip="MES IVA" display="Mensual" xr:uid="{00000000-0004-0000-0000-000012000000}"/>
    <hyperlink ref="G39" location="'IVA (TRIM)'!A1" tooltip="IVA TRIMESTRAL" display="Trimestral" xr:uid="{00000000-0004-0000-0000-000013000000}"/>
    <hyperlink ref="C41" location="'MESIVA (check)'!A1" tooltip="Conciliación declaración IVA (mensual)" display="Conciliación declaración IVA (mensual)" xr:uid="{00000000-0004-0000-0000-000014000000}"/>
    <hyperlink ref="G41" location="'IVA (check_TRIM)'!A1" tooltip="Conciliación declaración IVA (trimestral)" display="Conciliación declaración IVA (trimestral)" xr:uid="{00000000-0004-0000-0000-000015000000}"/>
    <hyperlink ref="C43" location="MESREGISTROIVA!A1" tooltip="Cuadre registros IVA con declaraciones" display="Cuadre registros IVA con declaraciones" xr:uid="{00000000-0004-0000-0000-000016000000}"/>
    <hyperlink ref="G43" location="'REGISTROIVA (TRIM)'!A1" tooltip="Cuadre registros IVA con declaraciones" display="Cuadre registros IVA con declaraciones" xr:uid="{00000000-0004-0000-0000-000017000000}"/>
    <hyperlink ref="C45" location="MESAJUIVA!A1" tooltip="Ajuste declaración IVA con contabilidad" display="Ajuste declaración IVA con contabilidad" xr:uid="{00000000-0004-0000-0000-000018000000}"/>
    <hyperlink ref="G45" location="'AJUIVA (TRIM)'!A1" tooltip="Ajuste declaración IVA con contabilidad" display="Ajuste declaración IVA con contabilidad" xr:uid="{00000000-0004-0000-0000-000019000000}"/>
    <hyperlink ref="J33" location="MESENTPUB!A1" tooltip="Mensual" display="Mensual" xr:uid="{00000000-0004-0000-0000-00001A000000}"/>
    <hyperlink ref="O33" location="MOROSOS!A1" tooltip="Morosos" display="Clientes y deudore de dudoso cobro" xr:uid="{00000000-0004-0000-0000-00001B000000}"/>
    <hyperlink ref="O39" location="EXISTENCIAS!A1" tooltip="Existencias" display="Existencias" xr:uid="{00000000-0004-0000-0000-00001C000000}"/>
    <hyperlink ref="C50" location="AJUIS!A1" tooltip="Ajustes extracontables declaración I.S." display="Ajustes extracontables declaración I.S." xr:uid="{00000000-0004-0000-0000-00001D000000}"/>
    <hyperlink ref="C54" location="CALCIS!A1" tooltip="CALCIS" display="Cálculo del Impuesto sobre Sociedades" xr:uid="{00000000-0004-0000-0000-00001E000000}"/>
    <hyperlink ref="J50" location="'PATRIMONIO NETO'!A1" tooltip="PATRIMONIO NETO" display="Evolución Patrimonio Neto" xr:uid="{00000000-0004-0000-0000-00001F000000}"/>
    <hyperlink ref="O50" location="PENDIENTES!A1" tooltip="Puntos pendientes" display="Temas pendientes en el cierre" xr:uid="{00000000-0004-0000-0000-000020000000}"/>
    <hyperlink ref="C62" location="'En %'!A1" tooltip="En %" display="Distribución en %" xr:uid="{00000000-0004-0000-0000-000021000000}"/>
    <hyperlink ref="F62" location="Financiero!A1" tooltip="Financiero" display="Análisis Financiero" xr:uid="{00000000-0004-0000-0000-000022000000}"/>
    <hyperlink ref="I62" location="Rentabilidad!A1" tooltip="Rentabilidad" display="Analisis Rentabilidad" xr:uid="{00000000-0004-0000-0000-000023000000}"/>
    <hyperlink ref="L62" location="Operativos!A1" tooltip="Operativos" display="Análisis de Gestión" xr:uid="{00000000-0004-0000-0000-000024000000}"/>
    <hyperlink ref="O62" location="'Descomposición Rentabilidad'!A1" tooltip="Descomposicion de la Rentabilidad" display="Descomposicion de la Rentabilidad" xr:uid="{00000000-0004-0000-0000-000025000000}"/>
    <hyperlink ref="C52" location="BONIFICACIONES!A1" tooltip="Bonificaciones y Deducciones" display="Bonificaciones y Deducciones" xr:uid="{00000000-0004-0000-0000-000026000000}"/>
    <hyperlink ref="C68" location="PORTADA!A1" tooltip="PORTADA" display="Portada" xr:uid="{00000000-0004-0000-0000-000027000000}"/>
    <hyperlink ref="O45" location="'PAGOS PROVEEDORES'!A1" tooltip="Existencias" display="Pago medio a proveedores" xr:uid="{FA1AAA99-9CF8-406F-901C-D72690A24F0F}"/>
    <hyperlink ref="C56" location="MTTO.RESERV.CAP.!A1" display="Reserva de capitalización" xr:uid="{022F8FD7-7F97-429C-B16A-4F9DD22671C9}"/>
    <hyperlink ref="C58" location="MTTO.RESERV.NIV.!A1" display="Reserva de nivelación" xr:uid="{43008DBF-622C-4C4D-9D71-1D2D97417CD0}"/>
    <hyperlink ref="O52" location="'COVID19-OTRAS REVISIONES CIERRE'!A1" tooltip="Puntos pendientes" display="COVID 19  y Otras revisiones cierre" xr:uid="{BFF2727C-A217-4FA5-B4EC-E12FCBE2547E}"/>
    <hyperlink ref="O29" location="'Retribución Administradores'!A1" tooltip="Mensual" display="Retribución Administradores" xr:uid="{0755D423-C5DA-4888-992B-AAF8BF87A23E}"/>
    <hyperlink ref="O27" location="'IRPF (TRIM)'!A1" tooltip="Trimestral" display="Trimestral" xr:uid="{F1F320C8-FB9C-45F6-A37B-07FE70F5E485}"/>
    <hyperlink ref="J28" location="'Arrendamiento (TRIM)'!A1" tooltip="Trimestral" display="Trimestral" xr:uid="{C7B4F35F-DF7D-45F9-901A-4A891D8CA9D8}"/>
    <hyperlink ref="O25" location="'IRPF (mensual)'!A1" tooltip="Mensual" display="Mensual" xr:uid="{DCBB5F31-FCC7-456A-BE97-8D3D9A0DE1B9}"/>
  </hyperlinks>
  <pageMargins left="0.31496062992125984" right="0.31496062992125984" top="0.35433070866141736" bottom="0.15748031496062992" header="0.31496062992125984" footer="0.31496062992125984"/>
  <pageSetup paperSize="9"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Imprimir_Informe">
                <anchor moveWithCells="1" sizeWithCells="1">
                  <from>
                    <xdr:col>4</xdr:col>
                    <xdr:colOff>792480</xdr:colOff>
                    <xdr:row>0</xdr:row>
                    <xdr:rowOff>114300</xdr:rowOff>
                  </from>
                  <to>
                    <xdr:col>7</xdr:col>
                    <xdr:colOff>30480</xdr:colOff>
                    <xdr:row>3</xdr:row>
                    <xdr:rowOff>68580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8" id="{0A886BE0-00D2-4AA5-9F27-783CB825CBE7}">
            <xm:f>Inmovilizado!$D$82&lt;&gt;0</xm:f>
            <x14:dxf>
              <font>
                <b/>
                <i val="0"/>
                <color theme="0"/>
              </font>
              <fill>
                <patternFill>
                  <bgColor rgb="FFFF0000"/>
                </patternFill>
              </fill>
            </x14:dxf>
          </x14:cfRule>
          <xm:sqref>J17:M17</xm:sqref>
        </x14:conditionalFormatting>
        <x14:conditionalFormatting xmlns:xm="http://schemas.microsoft.com/office/excel/2006/main">
          <x14:cfRule type="expression" priority="47" id="{757D498B-9696-4941-ADC0-F20DBD0D0ABD}">
            <xm:f>Inmovilizado!$D$13&lt;&gt;0</xm:f>
            <x14:dxf>
              <font>
                <b/>
                <i val="0"/>
                <color theme="0"/>
              </font>
              <fill>
                <patternFill>
                  <bgColor rgb="FFFF0000"/>
                </patternFill>
              </fill>
            </x14:dxf>
          </x14:cfRule>
          <xm:sqref>J19:M19</xm:sqref>
        </x14:conditionalFormatting>
        <x14:conditionalFormatting xmlns:xm="http://schemas.microsoft.com/office/excel/2006/main">
          <x14:cfRule type="expression" priority="46" id="{4873E4D6-DD2F-495E-8A04-474AD568670F}">
            <xm:f>Inmovilizado!$D$60&lt;&gt;0</xm:f>
            <x14:dxf>
              <font>
                <b/>
                <i val="0"/>
                <color theme="0"/>
              </font>
              <fill>
                <patternFill>
                  <bgColor rgb="FFFF0000"/>
                </patternFill>
              </fill>
            </x14:dxf>
          </x14:cfRule>
          <xm:sqref>J21:M21</xm:sqref>
        </x14:conditionalFormatting>
        <x14:conditionalFormatting xmlns:xm="http://schemas.microsoft.com/office/excel/2006/main">
          <x14:cfRule type="expression" priority="45" id="{256F1D51-6802-4235-B948-D4650C14CF73}">
            <xm:f>SUM(SYS_4_3_Digitos!$C$2:$I$2)&lt;&gt;0</xm:f>
            <x14:dxf>
              <font>
                <b/>
                <i val="0"/>
                <color theme="0"/>
              </font>
              <fill>
                <patternFill>
                  <bgColor rgb="FFFF0000"/>
                </patternFill>
              </fill>
            </x14:dxf>
          </x14:cfRule>
          <xm:sqref>C17:H17</xm:sqref>
        </x14:conditionalFormatting>
        <x14:conditionalFormatting xmlns:xm="http://schemas.microsoft.com/office/excel/2006/main">
          <x14:cfRule type="expression" priority="44" id="{E8C67EA5-9B1A-4386-AAEE-F83046F1110A}">
            <xm:f>A3SOC!$G$6&lt;&gt;0</xm:f>
            <x14:dxf>
              <font>
                <b/>
                <i val="0"/>
                <color theme="0"/>
              </font>
              <fill>
                <patternFill>
                  <bgColor rgb="FFFF0000"/>
                </patternFill>
              </fill>
            </x14:dxf>
          </x14:cfRule>
          <xm:sqref>C19:H19</xm:sqref>
        </x14:conditionalFormatting>
        <x14:conditionalFormatting xmlns:xm="http://schemas.microsoft.com/office/excel/2006/main">
          <x14:cfRule type="expression" priority="43" id="{B653A5C3-5DB5-4BE6-B2A1-6AFC9BBEAC3C}">
            <xm:f>asientos!$C$7&lt;&gt;0</xm:f>
            <x14:dxf>
              <font>
                <b/>
                <i val="0"/>
                <color theme="0"/>
              </font>
              <fill>
                <patternFill>
                  <bgColor rgb="FFFF0000"/>
                </patternFill>
              </fill>
            </x14:dxf>
          </x14:cfRule>
          <xm:sqref>C21:H21</xm:sqref>
        </x14:conditionalFormatting>
        <x14:conditionalFormatting xmlns:xm="http://schemas.microsoft.com/office/excel/2006/main">
          <x14:cfRule type="expression" priority="41" id="{2BF80B24-8C0F-4B43-87B1-BB0FE4F4177E}">
            <xm:f>ROUND(BALANCE!$H$84,2)&lt;&gt;0</xm:f>
            <x14:dxf>
              <font>
                <b/>
                <i val="0"/>
                <color theme="0"/>
              </font>
              <fill>
                <patternFill>
                  <bgColor rgb="FFFF0000"/>
                </patternFill>
              </fill>
            </x14:dxf>
          </x14:cfRule>
          <x14:cfRule type="expression" priority="42" id="{C9E92347-0D7D-4167-BFA5-BA6F7517FF5C}">
            <xm:f>ROUND(BALANCE!$E$84,2)&lt;&gt;0</xm:f>
            <x14:dxf>
              <font>
                <b/>
                <i val="0"/>
                <color theme="0"/>
              </font>
              <fill>
                <patternFill>
                  <bgColor rgb="FFFF0000"/>
                </patternFill>
              </fill>
            </x14:dxf>
          </x14:cfRule>
          <xm:sqref>C23:H23</xm:sqref>
        </x14:conditionalFormatting>
        <x14:conditionalFormatting xmlns:xm="http://schemas.microsoft.com/office/excel/2006/main">
          <x14:cfRule type="expression" priority="39" id="{21CA9704-0C7C-4A46-99B2-AE7BA4E28669}">
            <xm:f>ROUND(BALANCE!$H$84,2)&lt;&gt;0</xm:f>
            <x14:dxf>
              <font>
                <b/>
                <i val="0"/>
                <color theme="0"/>
              </font>
              <fill>
                <patternFill>
                  <bgColor rgb="FFFF0000"/>
                </patternFill>
              </fill>
            </x14:dxf>
          </x14:cfRule>
          <x14:cfRule type="expression" priority="40" id="{704C9590-2CE7-4ECE-8A5D-49D35E46DBA5}">
            <xm:f>ROUND(BALANCE!$E$84,2)&lt;&gt;0</xm:f>
            <x14:dxf>
              <font>
                <b/>
                <i val="0"/>
                <color theme="0"/>
              </font>
              <fill>
                <patternFill>
                  <bgColor rgb="FFFF0000"/>
                </patternFill>
              </fill>
            </x14:dxf>
          </x14:cfRule>
          <xm:sqref>C25:H25</xm:sqref>
        </x14:conditionalFormatting>
        <x14:conditionalFormatting xmlns:xm="http://schemas.microsoft.com/office/excel/2006/main">
          <x14:cfRule type="expression" priority="37" id="{8D9AC5C7-7C31-4E0A-BD90-C72558ACFCDD}">
            <xm:f>ROUND(BALANCE!$H$84,2)&lt;&gt;0</xm:f>
            <x14:dxf>
              <font>
                <b/>
                <i val="0"/>
                <color theme="0"/>
              </font>
              <fill>
                <patternFill>
                  <bgColor rgb="FFFF0000"/>
                </patternFill>
              </fill>
            </x14:dxf>
          </x14:cfRule>
          <x14:cfRule type="expression" priority="38" id="{8EA60A97-9325-4687-930F-F62DACB78061}">
            <xm:f>ROUND(BALANCE!$E$84,2)&lt;&gt;0</xm:f>
            <x14:dxf>
              <font>
                <b/>
                <i val="0"/>
                <color theme="0"/>
              </font>
              <fill>
                <patternFill>
                  <bgColor rgb="FFFF0000"/>
                </patternFill>
              </fill>
            </x14:dxf>
          </x14:cfRule>
          <xm:sqref>C27:H28</xm:sqref>
        </x14:conditionalFormatting>
        <x14:conditionalFormatting xmlns:xm="http://schemas.microsoft.com/office/excel/2006/main">
          <x14:cfRule type="expression" priority="35" id="{2536BFE1-B257-41E8-9A30-D97316BAECCE}">
            <xm:f>SUM('AJUIRC (TRIM)'!$D$26:$G$26)&lt;&gt;0</xm:f>
            <x14:dxf>
              <font>
                <b/>
                <i val="0"/>
                <color theme="0"/>
              </font>
              <fill>
                <patternFill>
                  <bgColor rgb="FFFF0000"/>
                </patternFill>
              </fill>
            </x14:dxf>
          </x14:cfRule>
          <xm:sqref>D33:H33</xm:sqref>
        </x14:conditionalFormatting>
        <x14:conditionalFormatting xmlns:xm="http://schemas.microsoft.com/office/excel/2006/main">
          <x14:cfRule type="expression" priority="34" id="{3EB5EB44-1A47-4589-8B33-A6789DC4F3F4}">
            <xm:f>SUM('Arrendamiento (mensual)'!$D$36:$G$36)&lt;&gt;0</xm:f>
            <x14:dxf>
              <font>
                <b/>
                <i val="0"/>
                <color theme="0"/>
              </font>
              <fill>
                <patternFill>
                  <bgColor rgb="FFFF0000"/>
                </patternFill>
              </fill>
            </x14:dxf>
          </x14:cfRule>
          <xm:sqref>J26:M26</xm:sqref>
        </x14:conditionalFormatting>
        <x14:conditionalFormatting xmlns:xm="http://schemas.microsoft.com/office/excel/2006/main">
          <x14:cfRule type="expression" priority="33" id="{7919371B-10B2-4A69-AD4A-718E67FC5DB7}">
            <xm:f>SUM('Arrendamiento (TRIM)'!$D$28:$G$28)&lt;&gt;0</xm:f>
            <x14:dxf>
              <font>
                <b/>
                <i val="0"/>
                <color theme="0"/>
              </font>
              <fill>
                <patternFill>
                  <bgColor rgb="FFFF0000"/>
                </patternFill>
              </fill>
            </x14:dxf>
          </x14:cfRule>
          <xm:sqref>J29:M29</xm:sqref>
        </x14:conditionalFormatting>
        <x14:conditionalFormatting xmlns:xm="http://schemas.microsoft.com/office/excel/2006/main">
          <x14:cfRule type="expression" priority="30" id="{E6331EC2-80E1-45B9-A0A9-0A20EABF2828}">
            <xm:f>SUM(MESENTPUB!$G$31,MESENTPUB!$G$35,MESENTPUB!$G$43,MESENTPUB!$G$45,MESENTPUB!$G$48,MESENTPUB!$G$52,MESENTPUB!$G$71,MESENTPUB!$G$72)&lt;&gt;0</xm:f>
            <x14:dxf>
              <font>
                <b/>
                <i val="0"/>
                <color theme="0"/>
              </font>
              <fill>
                <patternFill>
                  <bgColor rgb="FFFF0000"/>
                </patternFill>
              </fill>
            </x14:dxf>
          </x14:cfRule>
          <xm:sqref>J33:M33</xm:sqref>
        </x14:conditionalFormatting>
        <x14:conditionalFormatting xmlns:xm="http://schemas.microsoft.com/office/excel/2006/main">
          <x14:cfRule type="expression" priority="29" id="{1F7FCB93-ED9E-45FF-B830-F43D66D28BB9}">
            <xm:f>SUM(MESREGISTROIVA!$I$105:$J$105,MESREGISTROIVA!$Q$105,MESREGISTROIVA!$Q$105:$R$105)&lt;&gt;0</xm:f>
            <x14:dxf>
              <font>
                <b/>
                <i val="0"/>
                <color theme="0"/>
              </font>
              <fill>
                <patternFill>
                  <bgColor rgb="FFFF0000"/>
                </patternFill>
              </fill>
            </x14:dxf>
          </x14:cfRule>
          <xm:sqref>C43:F43</xm:sqref>
        </x14:conditionalFormatting>
        <x14:conditionalFormatting xmlns:xm="http://schemas.microsoft.com/office/excel/2006/main">
          <x14:cfRule type="expression" priority="28" id="{67756E29-DCF3-4DD3-8158-62330625D55F}">
            <xm:f>SUM('REGISTROIVA (TRIM)'!$I$49:$J$49,'REGISTROIVA (TRIM)'!$Q$49:$R$49)&lt;&gt;0</xm:f>
            <x14:dxf>
              <font>
                <b/>
                <i val="0"/>
                <color theme="0"/>
              </font>
              <fill>
                <patternFill>
                  <bgColor rgb="FFFF0000"/>
                </patternFill>
              </fill>
            </x14:dxf>
          </x14:cfRule>
          <xm:sqref>G43:J43</xm:sqref>
        </x14:conditionalFormatting>
        <x14:conditionalFormatting xmlns:xm="http://schemas.microsoft.com/office/excel/2006/main">
          <x14:cfRule type="expression" priority="27" id="{32B82168-C94B-4896-AF35-30C5CFE5C944}">
            <xm:f>SUM(MESAJUIVA!$F$42:$G$42)&lt;&gt;0</xm:f>
            <x14:dxf>
              <font>
                <b/>
                <i val="0"/>
                <color theme="0"/>
              </font>
              <fill>
                <patternFill>
                  <bgColor rgb="FFFF0000"/>
                </patternFill>
              </fill>
            </x14:dxf>
          </x14:cfRule>
          <xm:sqref>C45:F45</xm:sqref>
        </x14:conditionalFormatting>
        <x14:conditionalFormatting xmlns:xm="http://schemas.microsoft.com/office/excel/2006/main">
          <x14:cfRule type="expression" priority="26" id="{177A38B1-CF00-4060-B360-D9E94CF93635}">
            <xm:f>SUM('AJUIVA (TRIM)'!$F$42:$G$42)&lt;&gt;0</xm:f>
            <x14:dxf>
              <font>
                <b/>
                <i val="0"/>
                <color theme="0"/>
              </font>
              <fill>
                <patternFill>
                  <bgColor rgb="FFFF0000"/>
                </patternFill>
              </fill>
            </x14:dxf>
          </x14:cfRule>
          <xm:sqref>G45:J45</xm:sqref>
        </x14:conditionalFormatting>
        <x14:conditionalFormatting xmlns:xm="http://schemas.microsoft.com/office/excel/2006/main">
          <x14:cfRule type="expression" priority="24" id="{4DED36B3-A5FD-420D-B999-572BE00809A1}">
            <xm:f>BONIFICACIONES!$K$84="ERROR"</xm:f>
            <x14:dxf>
              <font>
                <b/>
                <i val="0"/>
                <color theme="0"/>
              </font>
              <fill>
                <patternFill>
                  <bgColor rgb="FFFF0000"/>
                </patternFill>
              </fill>
            </x14:dxf>
          </x14:cfRule>
          <xm:sqref>C52:H57</xm:sqref>
        </x14:conditionalFormatting>
        <x14:conditionalFormatting xmlns:xm="http://schemas.microsoft.com/office/excel/2006/main">
          <x14:cfRule type="expression" priority="23" id="{50FA80F4-5E83-473C-B4A7-C63A68974A5F}">
            <xm:f>CALCIS!$G$91="ERROR"</xm:f>
            <x14:dxf>
              <font>
                <b/>
                <i val="0"/>
                <color theme="0"/>
              </font>
              <fill>
                <patternFill>
                  <bgColor rgb="FFFF0000"/>
                </patternFill>
              </fill>
            </x14:dxf>
          </x14:cfRule>
          <xm:sqref>C54:H57</xm:sqref>
        </x14:conditionalFormatting>
        <x14:conditionalFormatting xmlns:xm="http://schemas.microsoft.com/office/excel/2006/main">
          <x14:cfRule type="expression" priority="22" id="{C296D886-70FC-4201-BAAF-B9E0911F9EFE}">
            <xm:f>'PATRIMONIO NETO'!$H$67&lt;&gt;0</xm:f>
            <x14:dxf>
              <font>
                <b/>
                <i val="0"/>
                <color theme="0"/>
              </font>
              <fill>
                <patternFill>
                  <bgColor rgb="FFFF0000"/>
                </patternFill>
              </fill>
            </x14:dxf>
          </x14:cfRule>
          <xm:sqref>J50:M50</xm:sqref>
        </x14:conditionalFormatting>
        <x14:conditionalFormatting xmlns:xm="http://schemas.microsoft.com/office/excel/2006/main">
          <x14:cfRule type="expression" priority="21" id="{CC2867ED-3312-4D91-A911-CFF1A8EDB553}">
            <xm:f>CALCIS!$G$91="ERROR"</xm:f>
            <x14:dxf>
              <font>
                <b/>
                <i val="0"/>
                <color theme="0"/>
              </font>
              <fill>
                <patternFill>
                  <bgColor rgb="FFFF0000"/>
                </patternFill>
              </fill>
            </x14:dxf>
          </x14:cfRule>
          <xm:sqref>D58:H58</xm:sqref>
        </x14:conditionalFormatting>
        <x14:conditionalFormatting xmlns:xm="http://schemas.microsoft.com/office/excel/2006/main">
          <x14:cfRule type="expression" priority="20" id="{62E96950-A8D0-4F35-90EF-8E7D24BFD1A8}">
            <xm:f>BONIFICACIONES!$K$84="ERROR"</xm:f>
            <x14:dxf>
              <font>
                <b/>
                <i val="0"/>
                <color theme="0"/>
              </font>
              <fill>
                <patternFill>
                  <bgColor rgb="FFFF0000"/>
                </patternFill>
              </fill>
            </x14:dxf>
          </x14:cfRule>
          <xm:sqref>C58</xm:sqref>
        </x14:conditionalFormatting>
        <x14:conditionalFormatting xmlns:xm="http://schemas.microsoft.com/office/excel/2006/main">
          <x14:cfRule type="expression" priority="19" id="{E167ED4A-EE97-47F4-958A-CDC64657C645}">
            <xm:f>CALCIS!$G$91="ERROR"</xm:f>
            <x14:dxf>
              <font>
                <b/>
                <i val="0"/>
                <color theme="0"/>
              </font>
              <fill>
                <patternFill>
                  <bgColor rgb="FFFF0000"/>
                </patternFill>
              </fill>
            </x14:dxf>
          </x14:cfRule>
          <xm:sqref>C58</xm:sqref>
        </x14:conditionalFormatting>
        <x14:conditionalFormatting xmlns:xm="http://schemas.microsoft.com/office/excel/2006/main">
          <x14:cfRule type="expression" priority="17" id="{15FC65E8-2004-48A3-B14A-5FF56EDD7AE4}">
            <xm:f>SUM(MESENTPUB!$G$31,MESENTPUB!$G$35,MESENTPUB!$G$43,MESENTPUB!$G$45,MESENTPUB!$G$48,MESENTPUB!$G$52,MESENTPUB!$G$71,MESENTPUB!$G$72)&lt;&gt;0</xm:f>
            <x14:dxf>
              <font>
                <b/>
                <i val="0"/>
                <color theme="0"/>
              </font>
              <fill>
                <patternFill>
                  <bgColor rgb="FFFF0000"/>
                </patternFill>
              </fill>
            </x14:dxf>
          </x14:cfRule>
          <xm:sqref>C33</xm:sqref>
        </x14:conditionalFormatting>
        <x14:conditionalFormatting xmlns:xm="http://schemas.microsoft.com/office/excel/2006/main">
          <x14:cfRule type="expression" priority="1" id="{5460E2C2-0FB6-499C-A4C7-DA07FF7C98CC}">
            <xm:f>SUM('Arrendamiento (mensual)'!$D$36:$G$36)&lt;&gt;0</xm:f>
            <x14:dxf>
              <font>
                <b/>
                <i val="0"/>
                <color theme="0"/>
              </font>
              <fill>
                <patternFill>
                  <bgColor rgb="FFFF0000"/>
                </patternFill>
              </fill>
            </x14:dxf>
          </x14:cfRule>
          <xm:sqref>J28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CB412-DB07-4BAF-A50B-6B3B845D34EA}">
  <sheetPr codeName="Hoja51">
    <tabColor rgb="FFFFC000"/>
    <pageSetUpPr autoPageBreaks="0"/>
  </sheetPr>
  <dimension ref="A1:O52"/>
  <sheetViews>
    <sheetView showGridLines="0" showRowColHeaders="0" showZeros="0" view="pageBreakPreview" zoomScale="70" zoomScaleNormal="70" zoomScaleSheetLayoutView="70" workbookViewId="0">
      <selection activeCell="H58" sqref="H58"/>
    </sheetView>
  </sheetViews>
  <sheetFormatPr baseColWidth="10" defaultColWidth="14" defaultRowHeight="13.8"/>
  <cols>
    <col min="1" max="1" width="7.5546875" style="553" customWidth="1"/>
    <col min="2" max="2" width="1" style="553" customWidth="1"/>
    <col min="3" max="3" width="29" style="553" customWidth="1"/>
    <col min="4" max="5" width="28" style="553" customWidth="1"/>
    <col min="6" max="6" width="28.5546875" style="553" customWidth="1"/>
    <col min="7" max="7" width="28" style="553" customWidth="1"/>
    <col min="8" max="8" width="31" style="553" customWidth="1"/>
    <col min="9" max="9" width="1.44140625" style="553" customWidth="1"/>
    <col min="10" max="10" width="7.44140625" style="553" customWidth="1"/>
    <col min="11" max="11" width="2.5546875" style="553" customWidth="1"/>
    <col min="12" max="16384" width="14" style="553"/>
  </cols>
  <sheetData>
    <row r="1" spans="1:15" ht="7.5" customHeight="1" thickBot="1">
      <c r="A1" s="1200"/>
      <c r="B1" s="1201"/>
      <c r="C1" s="1202"/>
      <c r="D1" s="1202"/>
      <c r="E1" s="1202"/>
      <c r="F1" s="1202"/>
      <c r="G1" s="1202"/>
      <c r="H1" s="1202"/>
      <c r="I1" s="1203"/>
      <c r="J1" s="1204"/>
    </row>
    <row r="2" spans="1:15">
      <c r="A2" s="1200"/>
      <c r="B2" s="1205"/>
      <c r="I2" s="1205"/>
      <c r="J2" s="1204"/>
    </row>
    <row r="3" spans="1:15" ht="99" customHeight="1">
      <c r="A3" s="1200"/>
      <c r="B3" s="1205"/>
      <c r="I3" s="1205"/>
      <c r="J3" s="1204"/>
    </row>
    <row r="4" spans="1:15" ht="90.75" customHeight="1">
      <c r="A4" s="1200"/>
      <c r="B4" s="1206"/>
      <c r="C4" s="2231"/>
      <c r="D4" s="2231"/>
      <c r="E4" s="2231"/>
      <c r="F4" s="2231"/>
      <c r="G4" s="2231"/>
      <c r="H4" s="2231"/>
      <c r="I4" s="1207"/>
      <c r="J4" s="1204"/>
    </row>
    <row r="5" spans="1:15" ht="54" customHeight="1">
      <c r="A5" s="1200"/>
      <c r="B5" s="1206"/>
      <c r="C5" s="2231"/>
      <c r="D5" s="2231"/>
      <c r="E5" s="2231"/>
      <c r="F5" s="2231"/>
      <c r="G5" s="2231"/>
      <c r="H5" s="2231"/>
      <c r="I5" s="1207"/>
      <c r="J5" s="1204"/>
    </row>
    <row r="6" spans="1:15" ht="101.25" customHeight="1">
      <c r="A6" s="1200"/>
      <c r="B6" s="1206"/>
      <c r="C6" s="2231"/>
      <c r="D6" s="2231"/>
      <c r="E6" s="2231"/>
      <c r="F6" s="2231"/>
      <c r="G6" s="2231"/>
      <c r="H6" s="2231"/>
      <c r="I6" s="1207"/>
      <c r="J6" s="1204"/>
    </row>
    <row r="7" spans="1:15" ht="58.5" customHeight="1">
      <c r="A7" s="1200"/>
      <c r="B7" s="1205"/>
      <c r="I7" s="1205"/>
      <c r="J7" s="1204"/>
    </row>
    <row r="8" spans="1:15" ht="33.6" hidden="1">
      <c r="A8" s="1200"/>
      <c r="B8" s="1205"/>
      <c r="C8" s="552"/>
      <c r="I8" s="1205"/>
      <c r="J8" s="1204"/>
    </row>
    <row r="9" spans="1:15" ht="17.399999999999999">
      <c r="A9" s="1200"/>
      <c r="B9" s="1205"/>
      <c r="I9" s="1205"/>
      <c r="J9" s="1204"/>
      <c r="L9" s="555"/>
      <c r="M9" s="555"/>
      <c r="N9" s="555"/>
      <c r="O9" s="555"/>
    </row>
    <row r="10" spans="1:15" ht="57" customHeight="1">
      <c r="A10" s="1200"/>
      <c r="B10" s="1205"/>
      <c r="I10" s="1205"/>
      <c r="J10" s="1208"/>
    </row>
    <row r="11" spans="1:15" ht="33.6">
      <c r="A11" s="1200"/>
      <c r="B11" s="1205"/>
      <c r="C11" s="556"/>
      <c r="D11" s="560"/>
      <c r="E11" s="560"/>
      <c r="F11" s="552"/>
      <c r="I11" s="1205"/>
      <c r="J11" s="1208"/>
    </row>
    <row r="12" spans="1:15" ht="24.6">
      <c r="A12" s="1200"/>
      <c r="B12" s="1205"/>
      <c r="I12" s="1205"/>
      <c r="J12" s="1209"/>
    </row>
    <row r="13" spans="1:15" ht="34.799999999999997">
      <c r="A13" s="1200"/>
      <c r="B13" s="1205"/>
      <c r="C13" s="556"/>
      <c r="D13" s="1086"/>
      <c r="E13" s="1087"/>
      <c r="F13" s="557"/>
      <c r="G13" s="557"/>
      <c r="I13" s="1205"/>
      <c r="J13" s="1209"/>
      <c r="N13" s="552"/>
    </row>
    <row r="14" spans="1:15" ht="8.25" customHeight="1">
      <c r="A14" s="1200"/>
      <c r="B14" s="1205"/>
      <c r="C14" s="556"/>
      <c r="D14" s="1086"/>
      <c r="E14" s="1087"/>
      <c r="F14" s="557"/>
      <c r="G14" s="557"/>
      <c r="H14" s="557"/>
      <c r="I14" s="1210"/>
      <c r="J14" s="1209"/>
    </row>
    <row r="15" spans="1:15" ht="34.799999999999997">
      <c r="A15" s="1200"/>
      <c r="B15" s="1205"/>
      <c r="C15" s="561"/>
      <c r="D15" s="1086"/>
      <c r="E15" s="1087"/>
      <c r="F15" s="557"/>
      <c r="G15" s="557"/>
      <c r="H15" s="557"/>
      <c r="I15" s="1210"/>
      <c r="J15" s="1209"/>
    </row>
    <row r="16" spans="1:15" ht="10.5" customHeight="1">
      <c r="A16" s="1200"/>
      <c r="B16" s="1205"/>
      <c r="D16" s="1086"/>
      <c r="E16" s="561"/>
      <c r="I16" s="1205"/>
      <c r="J16" s="1204"/>
    </row>
    <row r="17" spans="1:10">
      <c r="A17" s="1200"/>
      <c r="B17" s="1205"/>
      <c r="I17" s="1205"/>
      <c r="J17" s="1204"/>
    </row>
    <row r="18" spans="1:10" ht="19.5" customHeight="1">
      <c r="A18" s="1200"/>
      <c r="B18" s="1205"/>
      <c r="D18" s="1086"/>
      <c r="I18" s="1205"/>
      <c r="J18" s="1204"/>
    </row>
    <row r="19" spans="1:10" ht="34.799999999999997">
      <c r="A19" s="1200"/>
      <c r="B19" s="1205"/>
      <c r="D19" s="1088"/>
      <c r="I19" s="1205"/>
      <c r="J19" s="1204"/>
    </row>
    <row r="20" spans="1:10" ht="34.799999999999997">
      <c r="A20" s="1200"/>
      <c r="B20" s="1205"/>
      <c r="D20" s="1086"/>
      <c r="I20" s="1205"/>
      <c r="J20" s="1204"/>
    </row>
    <row r="21" spans="1:10" ht="34.799999999999997">
      <c r="A21" s="1200"/>
      <c r="B21" s="1205"/>
      <c r="D21" s="1088"/>
      <c r="I21" s="1205"/>
      <c r="J21" s="1204"/>
    </row>
    <row r="22" spans="1:10" ht="19.5" customHeight="1">
      <c r="A22" s="1200"/>
      <c r="B22" s="1205"/>
      <c r="D22" s="1086"/>
      <c r="I22" s="1205"/>
      <c r="J22" s="1204"/>
    </row>
    <row r="23" spans="1:10" ht="34.799999999999997">
      <c r="A23" s="1200"/>
      <c r="B23" s="1205"/>
      <c r="D23" s="1088"/>
      <c r="I23" s="1205"/>
      <c r="J23" s="1204"/>
    </row>
    <row r="24" spans="1:10" ht="19.5" customHeight="1">
      <c r="A24" s="1200"/>
      <c r="B24" s="1205"/>
      <c r="D24" s="1086"/>
      <c r="I24" s="1205"/>
      <c r="J24" s="1204"/>
    </row>
    <row r="25" spans="1:10">
      <c r="A25" s="1200"/>
      <c r="B25" s="1205"/>
      <c r="I25" s="1205"/>
      <c r="J25" s="1204"/>
    </row>
    <row r="26" spans="1:10" ht="19.5" customHeight="1">
      <c r="A26" s="1200"/>
      <c r="B26" s="1205"/>
      <c r="D26" s="562"/>
      <c r="I26" s="1205"/>
      <c r="J26" s="1204"/>
    </row>
    <row r="27" spans="1:10" ht="59.1" customHeight="1">
      <c r="A27" s="1200"/>
      <c r="B27" s="1205"/>
      <c r="C27" s="2234"/>
      <c r="D27" s="2235"/>
      <c r="E27" s="2235"/>
      <c r="F27" s="2235"/>
      <c r="G27" s="2235"/>
      <c r="H27" s="2236"/>
      <c r="I27" s="1205"/>
      <c r="J27" s="1204"/>
    </row>
    <row r="28" spans="1:10" ht="19.5" customHeight="1">
      <c r="A28" s="1200"/>
      <c r="B28" s="1205"/>
      <c r="C28" s="2234"/>
      <c r="D28" s="2235"/>
      <c r="E28" s="2235"/>
      <c r="F28" s="2235"/>
      <c r="G28" s="2235"/>
      <c r="H28" s="2236"/>
      <c r="I28" s="1205"/>
      <c r="J28" s="1204"/>
    </row>
    <row r="29" spans="1:10" ht="32.1" customHeight="1">
      <c r="A29" s="1200"/>
      <c r="B29" s="1205"/>
      <c r="C29" s="2234"/>
      <c r="D29" s="2235"/>
      <c r="E29" s="2235"/>
      <c r="F29" s="2235"/>
      <c r="G29" s="2235"/>
      <c r="H29" s="2236"/>
      <c r="I29" s="1205"/>
      <c r="J29" s="1204"/>
    </row>
    <row r="30" spans="1:10" ht="33.6">
      <c r="A30" s="1200"/>
      <c r="B30" s="1205"/>
      <c r="E30" s="561"/>
      <c r="I30" s="1205"/>
      <c r="J30" s="1204"/>
    </row>
    <row r="31" spans="1:10">
      <c r="A31" s="1200"/>
      <c r="B31" s="1205"/>
      <c r="I31" s="1205"/>
      <c r="J31" s="1204"/>
    </row>
    <row r="32" spans="1:10">
      <c r="A32" s="1200"/>
      <c r="B32" s="1205"/>
      <c r="I32" s="1205"/>
      <c r="J32" s="1204"/>
    </row>
    <row r="33" spans="1:10">
      <c r="A33" s="1200"/>
      <c r="B33" s="1205"/>
      <c r="I33" s="1205"/>
      <c r="J33" s="1204"/>
    </row>
    <row r="34" spans="1:10">
      <c r="A34" s="1200"/>
      <c r="B34" s="1205"/>
      <c r="I34" s="1205"/>
      <c r="J34" s="1204"/>
    </row>
    <row r="35" spans="1:10">
      <c r="A35" s="1200"/>
      <c r="B35" s="1205"/>
      <c r="I35" s="1205"/>
      <c r="J35" s="1204"/>
    </row>
    <row r="36" spans="1:10">
      <c r="A36" s="1200"/>
      <c r="B36" s="1205"/>
      <c r="I36" s="1205"/>
      <c r="J36" s="1204"/>
    </row>
    <row r="37" spans="1:10" ht="59.4">
      <c r="A37" s="1200"/>
      <c r="B37" s="1205"/>
      <c r="C37" s="2232"/>
      <c r="D37" s="2232"/>
      <c r="E37" s="2232"/>
      <c r="F37" s="2232"/>
      <c r="G37" s="2232"/>
      <c r="H37" s="2232"/>
      <c r="I37" s="1211"/>
      <c r="J37" s="1204"/>
    </row>
    <row r="38" spans="1:10">
      <c r="A38" s="1200"/>
      <c r="B38" s="1205"/>
      <c r="I38" s="1205"/>
      <c r="J38" s="1204"/>
    </row>
    <row r="39" spans="1:10" ht="44.4">
      <c r="A39" s="1200"/>
      <c r="B39" s="1205"/>
      <c r="C39" s="2233"/>
      <c r="D39" s="2233"/>
      <c r="E39" s="2233"/>
      <c r="F39" s="2233"/>
      <c r="G39" s="2233"/>
      <c r="H39" s="2233"/>
      <c r="I39" s="1212"/>
      <c r="J39" s="1204"/>
    </row>
    <row r="40" spans="1:10">
      <c r="A40" s="1200"/>
      <c r="B40" s="1205"/>
      <c r="I40" s="1205"/>
      <c r="J40" s="1204"/>
    </row>
    <row r="41" spans="1:10">
      <c r="A41" s="1200"/>
      <c r="B41" s="1205"/>
      <c r="I41" s="1205"/>
      <c r="J41" s="1204"/>
    </row>
    <row r="42" spans="1:10">
      <c r="A42" s="1200"/>
      <c r="B42" s="1205"/>
      <c r="I42" s="1205"/>
      <c r="J42" s="1204"/>
    </row>
    <row r="43" spans="1:10">
      <c r="A43" s="1200"/>
      <c r="B43" s="1205"/>
      <c r="I43" s="1205"/>
      <c r="J43" s="1204"/>
    </row>
    <row r="44" spans="1:10">
      <c r="A44" s="1200"/>
      <c r="B44" s="1205"/>
      <c r="I44" s="1205"/>
      <c r="J44" s="1204"/>
    </row>
    <row r="45" spans="1:10">
      <c r="A45" s="1200"/>
      <c r="B45" s="1205"/>
      <c r="I45" s="1205"/>
      <c r="J45" s="1204"/>
    </row>
    <row r="46" spans="1:10">
      <c r="A46" s="1200"/>
      <c r="B46" s="1205"/>
      <c r="I46" s="1205"/>
      <c r="J46" s="1204"/>
    </row>
    <row r="47" spans="1:10">
      <c r="A47" s="1200"/>
      <c r="B47" s="1205"/>
      <c r="I47" s="1205"/>
      <c r="J47" s="1204"/>
    </row>
    <row r="48" spans="1:10">
      <c r="A48" s="1200"/>
      <c r="B48" s="1205"/>
      <c r="I48" s="1205"/>
      <c r="J48" s="1204"/>
    </row>
    <row r="49" spans="1:10">
      <c r="A49" s="1200"/>
      <c r="B49" s="1205"/>
      <c r="I49" s="1205"/>
      <c r="J49" s="1204"/>
    </row>
    <row r="50" spans="1:10">
      <c r="A50" s="1200"/>
      <c r="B50" s="1205"/>
      <c r="I50" s="1205"/>
      <c r="J50" s="1204"/>
    </row>
    <row r="51" spans="1:10" ht="14.4" thickBot="1">
      <c r="A51" s="1200"/>
      <c r="B51" s="1205"/>
      <c r="I51" s="1205"/>
      <c r="J51" s="1204"/>
    </row>
    <row r="52" spans="1:10" ht="7.5" customHeight="1" thickBot="1">
      <c r="A52" s="1200"/>
      <c r="B52" s="1213"/>
      <c r="C52" s="1202"/>
      <c r="D52" s="1202"/>
      <c r="E52" s="1202"/>
      <c r="F52" s="1202"/>
      <c r="G52" s="1202"/>
      <c r="H52" s="1202"/>
      <c r="I52" s="1214"/>
      <c r="J52" s="1204"/>
    </row>
  </sheetData>
  <mergeCells count="4">
    <mergeCell ref="C4:H6"/>
    <mergeCell ref="C37:H37"/>
    <mergeCell ref="C39:H39"/>
    <mergeCell ref="C27:H29"/>
  </mergeCells>
  <printOptions horizontalCentered="1"/>
  <pageMargins left="0.39370078740157483" right="0.39370078740157483" top="1.1417322834645669" bottom="0.35433070866141736" header="0.51181102362204722" footer="0.51181102362204722"/>
  <pageSetup paperSize="9" scale="49" orientation="portrait" r:id="rId1"/>
  <colBreaks count="1" manualBreakCount="1">
    <brk id="10" max="39"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BA626-9024-4D0D-B78E-9726545CCCA1}">
  <sheetPr codeName="Hoja52">
    <tabColor rgb="FFFFC000"/>
    <pageSetUpPr autoPageBreaks="0"/>
  </sheetPr>
  <dimension ref="B2:M46"/>
  <sheetViews>
    <sheetView showGridLines="0" showRowColHeaders="0" showZeros="0" view="pageBreakPreview" zoomScale="70" zoomScaleNormal="70" zoomScaleSheetLayoutView="70" workbookViewId="0">
      <selection activeCell="H58" sqref="H58"/>
    </sheetView>
  </sheetViews>
  <sheetFormatPr baseColWidth="10" defaultColWidth="14" defaultRowHeight="13.8"/>
  <cols>
    <col min="1" max="1" width="2" style="553" customWidth="1"/>
    <col min="2" max="2" width="25" style="553" customWidth="1"/>
    <col min="3" max="3" width="32" style="553" customWidth="1"/>
    <col min="4" max="4" width="19" style="553" customWidth="1"/>
    <col min="5" max="5" width="28.5546875" style="553" customWidth="1"/>
    <col min="6" max="6" width="27" style="553" customWidth="1"/>
    <col min="7" max="7" width="26.44140625" style="553" customWidth="1"/>
    <col min="8" max="8" width="3" style="553" customWidth="1"/>
    <col min="9" max="9" width="2.5546875" style="553" customWidth="1"/>
    <col min="10" max="16384" width="14" style="553"/>
  </cols>
  <sheetData>
    <row r="2" spans="2:13">
      <c r="B2" s="1185"/>
      <c r="C2" s="1185"/>
      <c r="D2" s="1185"/>
      <c r="E2" s="1185"/>
      <c r="F2" s="1185"/>
      <c r="G2" s="1185"/>
    </row>
    <row r="3" spans="2:13" ht="80.25" customHeight="1"/>
    <row r="4" spans="2:13" ht="64.5" customHeight="1">
      <c r="B4" s="2237" t="str">
        <f>+MENU!E5</f>
        <v>MARIO PILATO BLAT, S.A.</v>
      </c>
      <c r="C4" s="2231"/>
      <c r="D4" s="2231"/>
      <c r="E4" s="2231"/>
      <c r="F4" s="2231"/>
      <c r="G4" s="2231"/>
      <c r="H4" s="1186"/>
    </row>
    <row r="5" spans="2:13" ht="14.25" customHeight="1">
      <c r="B5" s="2237"/>
      <c r="C5" s="2231"/>
      <c r="D5" s="2231"/>
      <c r="E5" s="2231"/>
      <c r="F5" s="2231"/>
      <c r="G5" s="2231"/>
      <c r="H5" s="1186"/>
    </row>
    <row r="6" spans="2:13" ht="45" customHeight="1">
      <c r="B6" s="2237"/>
      <c r="C6" s="2231"/>
      <c r="D6" s="2231"/>
      <c r="E6" s="2231"/>
      <c r="F6" s="2231"/>
      <c r="G6" s="2231"/>
      <c r="H6" s="1186"/>
    </row>
    <row r="7" spans="2:13" ht="49.5" customHeight="1"/>
    <row r="8" spans="2:13" ht="48" customHeight="1">
      <c r="B8" s="2238">
        <f>+MENU!D7</f>
        <v>45657</v>
      </c>
      <c r="C8" s="2238"/>
      <c r="D8" s="2238"/>
      <c r="E8" s="2238"/>
      <c r="F8" s="2238"/>
      <c r="G8" s="2238"/>
    </row>
    <row r="9" spans="2:13" ht="90" customHeight="1">
      <c r="B9" s="1185"/>
      <c r="C9" s="1185"/>
      <c r="D9" s="1185"/>
      <c r="E9" s="1185"/>
      <c r="F9" s="1185"/>
      <c r="G9" s="1185"/>
      <c r="J9" s="555"/>
      <c r="K9" s="555"/>
      <c r="L9" s="555"/>
      <c r="M9" s="555"/>
    </row>
    <row r="10" spans="2:13" ht="42.6">
      <c r="B10" s="2239"/>
      <c r="C10" s="2239"/>
      <c r="D10" s="2239"/>
      <c r="E10" s="2239"/>
      <c r="F10" s="1185"/>
      <c r="G10" s="1185"/>
      <c r="H10"/>
    </row>
    <row r="11" spans="2:13" ht="42.6">
      <c r="B11" s="1187"/>
      <c r="C11" s="1188"/>
      <c r="D11" s="1189"/>
      <c r="E11" s="1189"/>
      <c r="F11" s="1190"/>
      <c r="G11" s="1190"/>
      <c r="H11" s="558"/>
    </row>
    <row r="12" spans="2:13" ht="42.6">
      <c r="B12" s="1187"/>
      <c r="C12" s="1191" t="s">
        <v>1575</v>
      </c>
      <c r="D12" s="1189"/>
      <c r="E12" s="1188"/>
      <c r="F12" s="1190"/>
      <c r="G12" s="1190"/>
      <c r="H12" s="558"/>
    </row>
    <row r="13" spans="2:13" ht="27" customHeight="1">
      <c r="B13" s="1188"/>
      <c r="C13" s="1192"/>
      <c r="D13" s="1188"/>
      <c r="E13" s="1188"/>
      <c r="F13" s="1185"/>
      <c r="G13" s="1185"/>
    </row>
    <row r="14" spans="2:13" ht="42.6">
      <c r="B14" s="1188"/>
      <c r="C14" s="1191" t="s">
        <v>1576</v>
      </c>
      <c r="D14" s="1188"/>
      <c r="E14" s="1188"/>
      <c r="F14" s="1185"/>
      <c r="G14" s="1185"/>
      <c r="H14"/>
    </row>
    <row r="15" spans="2:13" ht="19.5" customHeight="1">
      <c r="B15" s="1188"/>
      <c r="C15" s="1188"/>
      <c r="D15" s="1188"/>
      <c r="E15" s="1188"/>
      <c r="F15" s="1185"/>
      <c r="G15" s="1185"/>
    </row>
    <row r="16" spans="2:13" ht="42.6">
      <c r="B16" s="1187"/>
      <c r="C16" s="2240" t="s">
        <v>1581</v>
      </c>
      <c r="D16" s="2240"/>
      <c r="E16" s="1188"/>
      <c r="F16" s="1193"/>
      <c r="G16" s="1185"/>
      <c r="H16" s="557"/>
      <c r="L16" s="552"/>
    </row>
    <row r="17" spans="2:8" ht="19.5" customHeight="1">
      <c r="B17" s="1188"/>
      <c r="C17" s="1194"/>
      <c r="D17" s="1194"/>
      <c r="E17" s="1188"/>
      <c r="F17" s="1185"/>
      <c r="G17" s="1185"/>
    </row>
    <row r="18" spans="2:8" ht="42.6">
      <c r="B18" s="1195"/>
      <c r="C18" s="2240" t="s">
        <v>1582</v>
      </c>
      <c r="D18" s="2240"/>
      <c r="E18" s="1188"/>
      <c r="F18" s="1193"/>
      <c r="G18" s="1193"/>
      <c r="H18" s="557"/>
    </row>
    <row r="19" spans="2:8" ht="27" customHeight="1">
      <c r="B19" s="1188"/>
      <c r="C19" s="1192"/>
      <c r="D19" s="1188"/>
      <c r="E19" s="1188"/>
      <c r="F19" s="1185"/>
      <c r="G19" s="1185"/>
    </row>
    <row r="20" spans="2:8" ht="42.6">
      <c r="B20" s="1188"/>
      <c r="C20" s="1196" t="s">
        <v>1577</v>
      </c>
      <c r="D20" s="1188"/>
      <c r="E20" s="1188"/>
      <c r="F20" s="1185"/>
      <c r="G20" s="1185"/>
    </row>
    <row r="21" spans="2:8" ht="27" customHeight="1">
      <c r="B21" s="1188"/>
      <c r="C21" s="1192"/>
      <c r="D21" s="1188"/>
      <c r="E21" s="1188"/>
      <c r="F21" s="1185"/>
      <c r="G21" s="1185"/>
    </row>
    <row r="22" spans="2:8" ht="42.6">
      <c r="B22" s="1188"/>
      <c r="C22" s="1196" t="s">
        <v>1578</v>
      </c>
      <c r="D22" s="1188"/>
      <c r="E22" s="1188"/>
      <c r="F22" s="1185"/>
      <c r="G22" s="1185"/>
    </row>
    <row r="23" spans="2:8" ht="27" customHeight="1">
      <c r="B23" s="1188"/>
      <c r="C23" s="1192"/>
      <c r="D23" s="1188"/>
      <c r="E23" s="1188"/>
      <c r="F23" s="1185"/>
      <c r="G23" s="1185"/>
    </row>
    <row r="24" spans="2:8" ht="42.6">
      <c r="B24" s="1188"/>
      <c r="C24" s="1196" t="s">
        <v>1583</v>
      </c>
      <c r="D24" s="1188"/>
      <c r="E24" s="1188"/>
      <c r="F24" s="1185"/>
      <c r="G24" s="1185"/>
    </row>
    <row r="25" spans="2:8" ht="27" customHeight="1">
      <c r="B25" s="1188"/>
      <c r="C25" s="1192"/>
      <c r="D25" s="1188"/>
      <c r="E25" s="1188"/>
      <c r="F25" s="1185"/>
      <c r="G25" s="1185"/>
    </row>
    <row r="26" spans="2:8" ht="42.6">
      <c r="B26" s="1188"/>
      <c r="C26" s="1196" t="s">
        <v>1579</v>
      </c>
      <c r="D26" s="1188"/>
      <c r="E26" s="1188"/>
      <c r="F26" s="1185"/>
      <c r="G26" s="1185"/>
    </row>
    <row r="27" spans="2:8" ht="27" customHeight="1">
      <c r="B27" s="1188"/>
      <c r="C27" s="1192"/>
      <c r="D27" s="1188"/>
      <c r="E27" s="1188"/>
      <c r="F27" s="1185"/>
      <c r="G27" s="1185"/>
    </row>
    <row r="28" spans="2:8" ht="42.6">
      <c r="B28" s="1188"/>
      <c r="C28" s="1196" t="s">
        <v>1580</v>
      </c>
      <c r="D28" s="1188"/>
      <c r="E28" s="1188"/>
      <c r="F28" s="1185"/>
      <c r="G28" s="1185"/>
    </row>
    <row r="29" spans="2:8" ht="19.5" customHeight="1">
      <c r="B29" s="1185"/>
      <c r="C29" s="1197"/>
      <c r="D29" s="1185"/>
      <c r="E29" s="1185"/>
      <c r="F29" s="1185"/>
      <c r="G29" s="1185"/>
    </row>
    <row r="30" spans="2:8" ht="32.4">
      <c r="B30" s="1185"/>
      <c r="C30" s="1198"/>
      <c r="D30" s="1185"/>
      <c r="E30" s="1185"/>
      <c r="F30" s="1185"/>
      <c r="G30" s="1185"/>
    </row>
    <row r="31" spans="2:8" ht="19.5" customHeight="1">
      <c r="B31" s="1185"/>
      <c r="C31" s="1197"/>
      <c r="D31" s="1185"/>
      <c r="E31" s="1185"/>
      <c r="F31" s="1185"/>
      <c r="G31" s="1185"/>
    </row>
    <row r="32" spans="2:8" ht="32.4">
      <c r="B32" s="1185"/>
      <c r="C32" s="1198"/>
      <c r="D32" s="1185"/>
      <c r="E32" s="1185"/>
      <c r="F32" s="1185"/>
      <c r="G32" s="1185"/>
    </row>
    <row r="33" spans="2:7" ht="33.6">
      <c r="B33" s="1185"/>
      <c r="C33" s="1185"/>
      <c r="D33" s="1199"/>
      <c r="E33" s="1185"/>
      <c r="F33" s="1185"/>
      <c r="G33" s="1185"/>
    </row>
    <row r="34" spans="2:7">
      <c r="B34" s="1185"/>
      <c r="C34" s="1185"/>
      <c r="D34" s="1185"/>
      <c r="E34" s="1185"/>
      <c r="F34" s="1185"/>
      <c r="G34" s="1185"/>
    </row>
    <row r="35" spans="2:7">
      <c r="B35" s="1185"/>
      <c r="C35" s="1185"/>
      <c r="D35" s="1185"/>
      <c r="E35" s="1185"/>
      <c r="F35" s="1185"/>
      <c r="G35" s="1185"/>
    </row>
    <row r="36" spans="2:7">
      <c r="B36" s="1185"/>
      <c r="C36" s="1185"/>
      <c r="D36" s="1185"/>
      <c r="E36" s="1185"/>
      <c r="F36" s="1185"/>
      <c r="G36" s="1185"/>
    </row>
    <row r="37" spans="2:7">
      <c r="B37" s="1185"/>
      <c r="C37" s="1185"/>
      <c r="D37" s="1185"/>
      <c r="E37" s="1185"/>
      <c r="F37" s="1185"/>
      <c r="G37" s="1185"/>
    </row>
    <row r="38" spans="2:7">
      <c r="B38" s="1185"/>
      <c r="C38" s="1185"/>
      <c r="D38" s="1185"/>
      <c r="E38" s="1185"/>
      <c r="F38" s="1185"/>
      <c r="G38" s="1185"/>
    </row>
    <row r="39" spans="2:7">
      <c r="B39" s="1185"/>
      <c r="C39" s="1185"/>
      <c r="D39" s="1185"/>
      <c r="E39" s="1185"/>
      <c r="F39" s="1185"/>
      <c r="G39" s="1185"/>
    </row>
    <row r="40" spans="2:7">
      <c r="B40" s="1185"/>
      <c r="C40" s="1185"/>
      <c r="D40" s="1185"/>
      <c r="E40" s="1185"/>
      <c r="F40" s="1185"/>
      <c r="G40" s="1185"/>
    </row>
    <row r="41" spans="2:7">
      <c r="B41" s="1185"/>
      <c r="C41" s="1185"/>
      <c r="D41" s="1185"/>
      <c r="E41" s="1185"/>
      <c r="F41" s="1185"/>
      <c r="G41" s="1185"/>
    </row>
    <row r="42" spans="2:7">
      <c r="B42" s="1185"/>
      <c r="C42" s="1185"/>
      <c r="D42" s="1185"/>
      <c r="E42" s="1185"/>
      <c r="F42" s="1185"/>
      <c r="G42" s="1185"/>
    </row>
    <row r="43" spans="2:7">
      <c r="B43" s="1185"/>
      <c r="C43" s="1185"/>
      <c r="D43" s="1185"/>
      <c r="E43" s="1185"/>
      <c r="F43" s="1185"/>
      <c r="G43" s="1185"/>
    </row>
    <row r="44" spans="2:7">
      <c r="B44" s="1185"/>
      <c r="C44" s="1185"/>
      <c r="D44" s="1185"/>
      <c r="E44" s="1185"/>
      <c r="F44" s="1185"/>
      <c r="G44" s="1185"/>
    </row>
    <row r="45" spans="2:7">
      <c r="B45" s="1185"/>
      <c r="C45" s="1185"/>
      <c r="D45" s="1185"/>
      <c r="E45" s="1185"/>
      <c r="F45" s="1185"/>
      <c r="G45" s="1185"/>
    </row>
    <row r="46" spans="2:7">
      <c r="B46" s="1185"/>
      <c r="C46" s="1185"/>
      <c r="D46" s="1185"/>
      <c r="E46" s="1185"/>
      <c r="F46" s="1185"/>
      <c r="G46" s="1185"/>
    </row>
  </sheetData>
  <mergeCells count="5">
    <mergeCell ref="B4:G6"/>
    <mergeCell ref="B8:G8"/>
    <mergeCell ref="B10:E10"/>
    <mergeCell ref="C16:D16"/>
    <mergeCell ref="C18:D18"/>
  </mergeCells>
  <printOptions horizontalCentered="1"/>
  <pageMargins left="0.39370078740157483" right="0.39370078740157483" top="0.74803149606299213" bottom="0.74803149606299213" header="0.31496062992125984" footer="0.51181102362204722"/>
  <pageSetup paperSize="9" scale="51" orientation="portrait" r:id="rId1"/>
  <headerFooter>
    <oddFooter>&amp;C&amp;G</oddFooter>
  </headerFooter>
  <rowBreaks count="1" manualBreakCount="1">
    <brk id="64" max="7" man="1"/>
  </rowBreaks>
  <colBreaks count="1" manualBreakCount="1">
    <brk id="8" max="39" man="1"/>
  </col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4">
    <pageSetUpPr autoPageBreaks="0"/>
  </sheetPr>
  <dimension ref="A1:ASC2055"/>
  <sheetViews>
    <sheetView showGridLines="0" showRowColHeaders="0" zoomScale="85" zoomScaleNormal="85" zoomScaleSheetLayoutView="90" zoomScalePageLayoutView="55" workbookViewId="0">
      <pane xSplit="3" ySplit="12" topLeftCell="D13" activePane="bottomRight" state="frozen"/>
      <selection activeCell="G9" sqref="G9"/>
      <selection pane="topRight" activeCell="G9" sqref="G9"/>
      <selection pane="bottomLeft" activeCell="G9" sqref="G9"/>
      <selection pane="bottomRight" activeCell="M25" sqref="M25"/>
    </sheetView>
  </sheetViews>
  <sheetFormatPr baseColWidth="10" defaultColWidth="0" defaultRowHeight="15" customHeight="1" zeroHeight="1"/>
  <cols>
    <col min="1" max="2" width="2" customWidth="1"/>
    <col min="3" max="3" width="33.5546875" bestFit="1" customWidth="1"/>
    <col min="4" max="16" width="13" customWidth="1"/>
    <col min="17" max="17" width="13" style="13" customWidth="1"/>
    <col min="18" max="18" width="13" customWidth="1"/>
    <col min="19" max="20" width="0" hidden="1" customWidth="1"/>
    <col min="21" max="21" width="0" style="4" hidden="1" customWidth="1"/>
    <col min="22" max="1173" width="0" hidden="1" customWidth="1"/>
    <col min="1174" max="16384" width="13" hidden="1"/>
  </cols>
  <sheetData>
    <row r="1" spans="3:17" ht="9.75" customHeight="1"/>
    <row r="2" spans="3:17" ht="9" customHeight="1"/>
    <row r="3" spans="3:17" ht="5.25" customHeight="1">
      <c r="C3" s="1"/>
    </row>
    <row r="4" spans="3:17" ht="5.25" customHeight="1"/>
    <row r="5" spans="3:17" ht="21">
      <c r="C5" s="35" t="str">
        <f>+MENU!C5</f>
        <v>Sociedad:</v>
      </c>
      <c r="E5" s="36" t="str">
        <f>+MENU!E5</f>
        <v>MARIO PILATO BLAT, S.A.</v>
      </c>
      <c r="F5" s="37"/>
      <c r="G5" s="37"/>
      <c r="H5" s="38"/>
      <c r="I5" s="39"/>
      <c r="K5" s="40"/>
      <c r="N5" s="12"/>
      <c r="Q5" s="14"/>
    </row>
    <row r="6" spans="3:17" ht="10.5" customHeight="1"/>
    <row r="7" spans="3:17" ht="18">
      <c r="C7" s="35" t="s">
        <v>1361</v>
      </c>
      <c r="E7" s="2241">
        <f>+MENU!D7</f>
        <v>45657</v>
      </c>
      <c r="F7" s="2242"/>
      <c r="G7" s="2242"/>
      <c r="H7" s="2242"/>
      <c r="I7" s="2243"/>
      <c r="J7" s="34"/>
    </row>
    <row r="8" spans="3:17" ht="15" customHeight="1">
      <c r="C8" s="2"/>
      <c r="E8" s="3"/>
      <c r="F8" s="3"/>
      <c r="G8" s="3"/>
      <c r="H8" s="3"/>
      <c r="I8" s="3"/>
      <c r="J8" s="3"/>
    </row>
    <row r="9" spans="3:17" ht="15" customHeight="1"/>
    <row r="10" spans="3:17" ht="15" customHeight="1"/>
    <row r="11" spans="3:17" ht="15" customHeight="1"/>
    <row r="12" spans="3:17" ht="17.25" customHeight="1">
      <c r="C12" s="35" t="s">
        <v>1362</v>
      </c>
    </row>
    <row r="13" spans="3:17" ht="15" customHeight="1"/>
    <row r="14" spans="3:17" ht="15" customHeight="1">
      <c r="C14" s="320" t="s">
        <v>1363</v>
      </c>
    </row>
    <row r="15" spans="3:17" ht="15" customHeight="1"/>
    <row r="16" spans="3:17" ht="15" customHeight="1">
      <c r="C16" s="321" t="s">
        <v>1370</v>
      </c>
    </row>
    <row r="17" spans="3:3" ht="15" customHeight="1">
      <c r="C17" s="321" t="s">
        <v>1367</v>
      </c>
    </row>
    <row r="18" spans="3:3" ht="15" customHeight="1"/>
    <row r="19" spans="3:3" ht="15" customHeight="1">
      <c r="C19" s="321" t="s">
        <v>1364</v>
      </c>
    </row>
    <row r="20" spans="3:3" ht="15" customHeight="1">
      <c r="C20" s="321" t="s">
        <v>1365</v>
      </c>
    </row>
    <row r="21" spans="3:3" ht="15" customHeight="1">
      <c r="C21" s="321" t="s">
        <v>1366</v>
      </c>
    </row>
    <row r="22" spans="3:3" ht="15" customHeight="1"/>
    <row r="23" spans="3:3" ht="15" customHeight="1"/>
    <row r="24" spans="3:3" ht="15" customHeight="1">
      <c r="C24" s="320" t="s">
        <v>1369</v>
      </c>
    </row>
    <row r="25" spans="3:3" ht="15" customHeight="1"/>
    <row r="26" spans="3:3" ht="15" customHeight="1">
      <c r="C26" s="321" t="s">
        <v>1371</v>
      </c>
    </row>
    <row r="27" spans="3:3" ht="15" customHeight="1">
      <c r="C27" s="321" t="s">
        <v>1372</v>
      </c>
    </row>
    <row r="28" spans="3:3" ht="15" customHeight="1"/>
    <row r="29" spans="3:3" ht="15" customHeight="1"/>
    <row r="30" spans="3:3" ht="15" customHeight="1">
      <c r="C30" s="320" t="s">
        <v>1373</v>
      </c>
    </row>
    <row r="31" spans="3:3" ht="15" customHeight="1"/>
    <row r="32" spans="3:3" ht="15" customHeight="1">
      <c r="C32" s="321" t="s">
        <v>1374</v>
      </c>
    </row>
    <row r="33" spans="3:4" ht="15" customHeight="1"/>
    <row r="34" spans="3:4" ht="15" customHeight="1">
      <c r="C34" s="320" t="s">
        <v>1375</v>
      </c>
    </row>
    <row r="35" spans="3:4" ht="15" customHeight="1"/>
    <row r="36" spans="3:4" ht="15" customHeight="1">
      <c r="C36" s="321" t="s">
        <v>1376</v>
      </c>
    </row>
    <row r="37" spans="3:4" ht="15" customHeight="1"/>
    <row r="38" spans="3:4" ht="15" customHeight="1">
      <c r="C38" s="321" t="s">
        <v>1377</v>
      </c>
    </row>
    <row r="39" spans="3:4" ht="15" customHeight="1">
      <c r="C39" s="322" t="s">
        <v>1378</v>
      </c>
      <c r="D39" s="321"/>
    </row>
    <row r="40" spans="3:4" ht="15" customHeight="1">
      <c r="C40" s="322" t="s">
        <v>1379</v>
      </c>
      <c r="D40" s="321"/>
    </row>
    <row r="41" spans="3:4" ht="15" customHeight="1">
      <c r="C41" s="323" t="s">
        <v>1380</v>
      </c>
      <c r="D41" s="321"/>
    </row>
    <row r="42" spans="3:4" ht="15" customHeight="1">
      <c r="C42" s="324" t="s">
        <v>1381</v>
      </c>
    </row>
    <row r="43" spans="3:4" ht="15" customHeight="1">
      <c r="C43" s="324" t="s">
        <v>1382</v>
      </c>
    </row>
    <row r="44" spans="3:4" ht="15" customHeight="1">
      <c r="C44" s="324" t="s">
        <v>1383</v>
      </c>
    </row>
    <row r="45" spans="3:4" ht="15" customHeight="1">
      <c r="C45" s="324" t="s">
        <v>1384</v>
      </c>
    </row>
    <row r="46" spans="3:4" ht="15" customHeight="1">
      <c r="C46" s="323" t="s">
        <v>1385</v>
      </c>
      <c r="D46" s="321"/>
    </row>
    <row r="47" spans="3:4" ht="15" customHeight="1">
      <c r="C47" s="321"/>
      <c r="D47" s="321"/>
    </row>
    <row r="48" spans="3:4" ht="15" customHeight="1">
      <c r="C48" s="322" t="s">
        <v>1386</v>
      </c>
      <c r="D48" s="321"/>
    </row>
    <row r="49" spans="3:17" ht="15" customHeight="1">
      <c r="C49" s="321"/>
      <c r="D49" s="321"/>
    </row>
    <row r="50" spans="3:17" ht="15" customHeight="1">
      <c r="C50" s="321" t="s">
        <v>1387</v>
      </c>
      <c r="D50" s="321"/>
    </row>
    <row r="51" spans="3:17" ht="15" customHeight="1"/>
    <row r="52" spans="3:17" ht="15" customHeight="1">
      <c r="C52" s="321" t="s">
        <v>1388</v>
      </c>
    </row>
    <row r="53" spans="3:17" ht="15" customHeight="1"/>
    <row r="54" spans="3:17" ht="15" customHeight="1"/>
    <row r="55" spans="3:17" ht="15" customHeight="1">
      <c r="C55" s="320" t="s">
        <v>647</v>
      </c>
    </row>
    <row r="56" spans="3:17" ht="15" customHeight="1"/>
    <row r="57" spans="3:17" ht="15" customHeight="1">
      <c r="C57" s="321" t="s">
        <v>1394</v>
      </c>
    </row>
    <row r="58" spans="3:17" ht="15" customHeight="1"/>
    <row r="59" spans="3:17" ht="15" customHeight="1">
      <c r="C59" s="2244" t="s">
        <v>1395</v>
      </c>
      <c r="D59" s="2244"/>
      <c r="E59" s="2244"/>
      <c r="F59" s="2244"/>
      <c r="G59" s="2244"/>
      <c r="H59" s="2244"/>
      <c r="I59" s="2244"/>
      <c r="J59" s="2244"/>
      <c r="K59" s="2244"/>
      <c r="L59" s="2244"/>
      <c r="M59" s="2244"/>
      <c r="N59" s="2244"/>
      <c r="O59" s="2244"/>
      <c r="P59" s="2244"/>
      <c r="Q59" s="2244"/>
    </row>
    <row r="60" spans="3:17" ht="15" customHeight="1">
      <c r="C60" s="2244"/>
      <c r="D60" s="2244"/>
      <c r="E60" s="2244"/>
      <c r="F60" s="2244"/>
      <c r="G60" s="2244"/>
      <c r="H60" s="2244"/>
      <c r="I60" s="2244"/>
      <c r="J60" s="2244"/>
      <c r="K60" s="2244"/>
      <c r="L60" s="2244"/>
      <c r="M60" s="2244"/>
      <c r="N60" s="2244"/>
      <c r="O60" s="2244"/>
      <c r="P60" s="2244"/>
      <c r="Q60" s="2244"/>
    </row>
    <row r="61" spans="3:17" ht="15" customHeight="1"/>
    <row r="62" spans="3:17" ht="15" customHeight="1"/>
    <row r="63" spans="3:17" ht="15" customHeight="1">
      <c r="C63" s="320" t="s">
        <v>5</v>
      </c>
    </row>
    <row r="64" spans="3:17" ht="15" customHeight="1">
      <c r="C64" s="320"/>
    </row>
    <row r="65" spans="3:17" ht="15" customHeight="1">
      <c r="C65" s="320" t="s">
        <v>12</v>
      </c>
    </row>
    <row r="66" spans="3:17" ht="15" customHeight="1">
      <c r="C66" s="320"/>
    </row>
    <row r="67" spans="3:17" ht="15" customHeight="1">
      <c r="C67" s="320" t="s">
        <v>16</v>
      </c>
    </row>
    <row r="68" spans="3:17" ht="15" customHeight="1"/>
    <row r="69" spans="3:17" ht="15" customHeight="1">
      <c r="C69" s="321" t="s">
        <v>1396</v>
      </c>
      <c r="D69" s="326"/>
      <c r="E69" s="326"/>
      <c r="F69" s="326"/>
      <c r="G69" s="326"/>
      <c r="H69" s="326"/>
      <c r="I69" s="326"/>
      <c r="J69" s="326"/>
      <c r="K69" s="326"/>
      <c r="L69" s="326"/>
      <c r="M69" s="326"/>
      <c r="N69" s="326"/>
      <c r="O69" s="326"/>
      <c r="P69" s="326"/>
      <c r="Q69" s="326"/>
    </row>
    <row r="70" spans="3:17" ht="15" customHeight="1">
      <c r="C70" s="326"/>
      <c r="D70" s="326"/>
      <c r="E70" s="326"/>
      <c r="F70" s="326"/>
      <c r="G70" s="326"/>
      <c r="H70" s="326"/>
      <c r="I70" s="326"/>
      <c r="J70" s="326"/>
      <c r="K70" s="326"/>
      <c r="L70" s="326"/>
      <c r="M70" s="326"/>
      <c r="N70" s="326"/>
      <c r="O70" s="326"/>
      <c r="P70" s="326"/>
      <c r="Q70" s="326"/>
    </row>
    <row r="71" spans="3:17" ht="15" customHeight="1">
      <c r="C71" s="321" t="s">
        <v>1397</v>
      </c>
    </row>
    <row r="72" spans="3:17" ht="15" customHeight="1"/>
    <row r="73" spans="3:17" ht="15" customHeight="1"/>
    <row r="74" spans="3:17" ht="15" customHeight="1">
      <c r="C74" s="320" t="s">
        <v>898</v>
      </c>
    </row>
    <row r="75" spans="3:17" ht="15" customHeight="1">
      <c r="C75" s="320"/>
    </row>
    <row r="76" spans="3:17" ht="15" customHeight="1">
      <c r="C76" s="321" t="s">
        <v>1400</v>
      </c>
    </row>
    <row r="77" spans="3:17" ht="15" customHeight="1">
      <c r="C77" s="320"/>
    </row>
    <row r="78" spans="3:17" ht="15" customHeight="1">
      <c r="C78" s="320" t="s">
        <v>1399</v>
      </c>
    </row>
    <row r="79" spans="3:17" ht="15" customHeight="1"/>
    <row r="80" spans="3:17"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row r="1366" ht="15" customHeight="1"/>
    <row r="1367" ht="15" customHeight="1"/>
    <row r="1368" ht="15" customHeight="1"/>
    <row r="1369" ht="15" customHeight="1"/>
    <row r="1370" ht="15" customHeight="1"/>
    <row r="1371" ht="15" customHeight="1"/>
    <row r="1372" ht="15" customHeight="1"/>
    <row r="1373" ht="15" customHeight="1"/>
    <row r="1374" ht="15" customHeight="1"/>
    <row r="1375" ht="15" customHeight="1"/>
    <row r="1376" ht="15" customHeight="1"/>
    <row r="1377" ht="15" customHeight="1"/>
    <row r="1378" ht="15" customHeight="1"/>
    <row r="1379" ht="15" customHeight="1"/>
    <row r="1380" ht="15" customHeight="1"/>
    <row r="1381" ht="15" customHeight="1"/>
    <row r="1382" ht="15" customHeight="1"/>
    <row r="1383" ht="15" customHeight="1"/>
    <row r="1384" ht="15" customHeight="1"/>
    <row r="1385" ht="15" customHeight="1"/>
    <row r="1386" ht="15" customHeight="1"/>
    <row r="1387" ht="15" customHeight="1"/>
    <row r="1388" ht="15" customHeight="1"/>
    <row r="1389" ht="15" customHeight="1"/>
    <row r="1390" ht="15" customHeight="1"/>
    <row r="1391" ht="15" customHeight="1"/>
    <row r="1392" ht="15" customHeight="1"/>
    <row r="1393" ht="15" customHeight="1"/>
    <row r="1394" ht="15" customHeight="1"/>
    <row r="1395" ht="15" customHeight="1"/>
    <row r="1396" ht="15" customHeight="1"/>
    <row r="1397" ht="15" customHeight="1"/>
    <row r="1398" ht="15" customHeight="1"/>
    <row r="1399" ht="15" customHeight="1"/>
    <row r="1400" ht="15" customHeight="1"/>
    <row r="1401" ht="15" customHeight="1"/>
    <row r="1402" ht="15" customHeight="1"/>
    <row r="1403" ht="15" customHeight="1"/>
    <row r="1404" ht="15" customHeight="1"/>
    <row r="1405" ht="15" customHeight="1"/>
    <row r="1406" ht="15" customHeight="1"/>
    <row r="1407" ht="15" customHeight="1"/>
    <row r="1408" ht="15" customHeight="1"/>
    <row r="1409" ht="15" customHeight="1"/>
    <row r="1410" ht="15" customHeight="1"/>
    <row r="1411" ht="15" customHeight="1"/>
    <row r="1412" ht="15" customHeight="1"/>
    <row r="1413" ht="15" customHeight="1"/>
    <row r="1414" ht="15" customHeight="1"/>
    <row r="1415" ht="15" customHeight="1"/>
    <row r="1416" ht="15" customHeight="1"/>
    <row r="1417" ht="15" customHeight="1"/>
    <row r="1418" ht="15" customHeight="1"/>
    <row r="1419" ht="15" customHeight="1"/>
    <row r="1420" ht="15" customHeight="1"/>
    <row r="1421" ht="15" customHeight="1"/>
    <row r="1422" ht="15" customHeight="1"/>
    <row r="1423" ht="15" customHeight="1"/>
    <row r="1424" ht="15" customHeight="1"/>
    <row r="1425" ht="15" customHeight="1"/>
    <row r="1426" ht="15" customHeight="1"/>
    <row r="1427" ht="15" customHeight="1"/>
    <row r="1428" ht="15" customHeight="1"/>
    <row r="1429" ht="15" customHeight="1"/>
    <row r="1430" ht="15" customHeight="1"/>
    <row r="1431" ht="15" customHeight="1"/>
    <row r="1432" ht="15" customHeight="1"/>
    <row r="1433" ht="15" customHeight="1"/>
    <row r="1434" ht="15" customHeight="1"/>
    <row r="1435" ht="15" customHeight="1"/>
    <row r="1436" ht="15" customHeight="1"/>
    <row r="1437" ht="15" customHeight="1"/>
    <row r="1438" ht="15" customHeight="1"/>
    <row r="1439" ht="15" customHeight="1"/>
    <row r="1440" ht="15" customHeight="1"/>
    <row r="1441" ht="15" customHeight="1"/>
    <row r="1442" ht="15" customHeight="1"/>
    <row r="1443" ht="15" customHeight="1"/>
    <row r="1444" ht="15" customHeight="1"/>
    <row r="1445" ht="15" customHeight="1"/>
    <row r="1446" ht="15" customHeight="1"/>
    <row r="1447" ht="15" customHeight="1"/>
    <row r="1448" ht="15" customHeight="1"/>
    <row r="1449" ht="15" customHeight="1"/>
    <row r="1450" ht="15" customHeight="1"/>
    <row r="1451" ht="15" customHeight="1"/>
    <row r="1452" ht="15" customHeight="1"/>
    <row r="1453" ht="15" customHeight="1"/>
    <row r="1454" ht="15" customHeight="1"/>
    <row r="1455" ht="15" customHeight="1"/>
    <row r="1456" ht="15" customHeight="1"/>
    <row r="1457" ht="15" customHeight="1"/>
    <row r="1458" ht="15" customHeight="1"/>
    <row r="1459" ht="15" customHeight="1"/>
    <row r="1460" ht="15" customHeight="1"/>
    <row r="1461" ht="15" customHeight="1"/>
    <row r="1462" ht="15" customHeight="1"/>
    <row r="1463" ht="15" customHeight="1"/>
    <row r="1464" ht="15" customHeight="1"/>
    <row r="1465" ht="15" customHeight="1"/>
    <row r="1466" ht="15" customHeight="1"/>
    <row r="1467" ht="15" customHeight="1"/>
    <row r="1468" ht="15" customHeight="1"/>
    <row r="1469" ht="15" customHeight="1"/>
    <row r="1470" ht="15" customHeight="1"/>
    <row r="1471" ht="15" customHeight="1"/>
    <row r="1472" ht="15" customHeight="1"/>
    <row r="1473" ht="15" customHeight="1"/>
    <row r="1474" ht="15" customHeight="1"/>
    <row r="1475" ht="15" customHeight="1"/>
    <row r="1476" ht="15" customHeight="1"/>
    <row r="1477" ht="15" customHeight="1"/>
    <row r="1478" ht="15" customHeight="1"/>
    <row r="1479" ht="15" customHeight="1"/>
    <row r="1480" ht="15" customHeight="1"/>
    <row r="1481" ht="15" customHeight="1"/>
    <row r="1482" ht="15" customHeight="1"/>
    <row r="1483" ht="15" customHeight="1"/>
    <row r="1484" ht="15" customHeight="1"/>
    <row r="1485" ht="15" customHeight="1"/>
    <row r="1486" ht="15" customHeight="1"/>
    <row r="1487" ht="15" customHeight="1"/>
    <row r="1488" ht="15" customHeight="1"/>
    <row r="1489" ht="15" customHeight="1"/>
    <row r="1490" ht="15" customHeight="1"/>
    <row r="1491" ht="15" customHeight="1"/>
    <row r="1492" ht="15" customHeight="1"/>
    <row r="1493" ht="15" customHeight="1"/>
    <row r="1494" ht="15" customHeight="1"/>
    <row r="1495" ht="15" customHeight="1"/>
    <row r="1496" ht="15" customHeight="1"/>
    <row r="1497" ht="15" customHeight="1"/>
    <row r="1498" ht="15" customHeight="1"/>
    <row r="1499" ht="15" customHeight="1"/>
    <row r="1500" ht="15" customHeight="1"/>
    <row r="1501" ht="15" customHeight="1"/>
    <row r="1502" ht="15" customHeight="1"/>
    <row r="1503" ht="15" customHeight="1"/>
    <row r="1504" ht="15" customHeight="1"/>
    <row r="1505" ht="15" customHeight="1"/>
    <row r="1506" ht="15" customHeight="1"/>
    <row r="1507" ht="15" customHeight="1"/>
    <row r="1508" ht="15" customHeight="1"/>
    <row r="1509" ht="15" customHeight="1"/>
    <row r="1510" ht="15" customHeight="1"/>
    <row r="1511" ht="15" customHeight="1"/>
    <row r="1512" ht="15" customHeight="1"/>
    <row r="1513" ht="15" customHeight="1"/>
    <row r="1514" ht="15" customHeight="1"/>
    <row r="1515" ht="15" customHeight="1"/>
    <row r="1516" ht="15" customHeight="1"/>
    <row r="1517" ht="15" customHeight="1"/>
    <row r="1518" ht="15" customHeight="1"/>
    <row r="1519" ht="15" customHeight="1"/>
    <row r="1520" ht="15" customHeight="1"/>
    <row r="1521" ht="15" customHeight="1"/>
    <row r="1522" ht="15" customHeight="1"/>
    <row r="1523" ht="15" customHeight="1"/>
    <row r="1524" ht="15" customHeight="1"/>
    <row r="1525" ht="15" customHeight="1"/>
    <row r="1526" ht="15" customHeight="1"/>
    <row r="1527" ht="15" customHeight="1"/>
    <row r="1528" ht="15" customHeight="1"/>
    <row r="1529" ht="15" customHeight="1"/>
    <row r="1530" ht="15" customHeight="1"/>
    <row r="1531" ht="15" customHeight="1"/>
    <row r="1532" ht="15" customHeight="1"/>
    <row r="1533" ht="15" customHeight="1"/>
    <row r="1534" ht="15" customHeight="1"/>
    <row r="1535" ht="15" customHeight="1"/>
    <row r="1536" ht="15" customHeight="1"/>
    <row r="1537" ht="15" customHeight="1"/>
    <row r="1538" ht="15" customHeight="1"/>
    <row r="1539" ht="15" customHeight="1"/>
    <row r="1540" ht="15" customHeight="1"/>
    <row r="1541" ht="15" customHeight="1"/>
    <row r="1542" ht="15" customHeight="1"/>
    <row r="1543" ht="15" customHeight="1"/>
    <row r="1544" ht="15" customHeight="1"/>
    <row r="1545" ht="15" customHeight="1"/>
    <row r="1546" ht="15" customHeight="1"/>
    <row r="1547" ht="15" customHeight="1"/>
    <row r="1548" ht="15" customHeight="1"/>
    <row r="1549" ht="15" customHeight="1"/>
    <row r="1550" ht="15" customHeight="1"/>
    <row r="1551" ht="15" customHeight="1"/>
    <row r="1552" ht="15" customHeight="1"/>
    <row r="1553" ht="15" customHeight="1"/>
    <row r="1554" ht="15" customHeight="1"/>
    <row r="1555" ht="15" customHeight="1"/>
    <row r="1556" ht="15" customHeight="1"/>
    <row r="1557" ht="15" customHeight="1"/>
    <row r="1558" ht="15" customHeight="1"/>
    <row r="1559" ht="15" customHeight="1"/>
    <row r="1560" ht="15" customHeight="1"/>
    <row r="1561" ht="15" customHeight="1"/>
    <row r="1562" ht="15" customHeight="1"/>
    <row r="1563" ht="15" customHeight="1"/>
    <row r="1564" ht="15" customHeight="1"/>
    <row r="1565" ht="15" customHeight="1"/>
    <row r="1566" ht="15" customHeight="1"/>
    <row r="1567" ht="15" customHeight="1"/>
    <row r="1568" ht="15" customHeight="1"/>
    <row r="1569" ht="15" customHeight="1"/>
    <row r="1570" ht="15" customHeight="1"/>
    <row r="1571" ht="15" customHeight="1"/>
    <row r="1572" ht="15" customHeight="1"/>
    <row r="1573" ht="15" customHeight="1"/>
    <row r="1574" ht="15" customHeight="1"/>
    <row r="1575" ht="15" customHeight="1"/>
    <row r="1576" ht="15" customHeight="1"/>
    <row r="1577" ht="15" customHeight="1"/>
    <row r="1578" ht="15" customHeight="1"/>
    <row r="1579" ht="15" customHeight="1"/>
    <row r="1580" ht="15" customHeight="1"/>
    <row r="1581" ht="15" customHeight="1"/>
    <row r="1582" ht="15" customHeight="1"/>
    <row r="1583" ht="15" customHeight="1"/>
    <row r="1584" ht="15" customHeight="1"/>
    <row r="1585" ht="15" customHeight="1"/>
    <row r="1586" ht="15" customHeight="1"/>
    <row r="1587" ht="15" customHeight="1"/>
    <row r="1588" ht="15" customHeight="1"/>
    <row r="1589" ht="15" customHeight="1"/>
    <row r="1590" ht="15" customHeight="1"/>
    <row r="1591" ht="15" customHeight="1"/>
    <row r="1592" ht="15" customHeight="1"/>
    <row r="1593" ht="15" customHeight="1"/>
    <row r="1594" ht="15" customHeight="1"/>
    <row r="1595" ht="15" customHeight="1"/>
    <row r="1596" ht="15" customHeight="1"/>
    <row r="1597" ht="15" customHeight="1"/>
    <row r="1598" ht="15" customHeight="1"/>
    <row r="1599" ht="15" customHeight="1"/>
    <row r="1600" ht="15" customHeight="1"/>
    <row r="1601" ht="15" customHeight="1"/>
    <row r="1602" ht="15" customHeight="1"/>
    <row r="1603" ht="15" customHeight="1"/>
    <row r="1604" ht="15" customHeight="1"/>
    <row r="1605" ht="15" customHeight="1"/>
    <row r="1606" ht="15" customHeight="1"/>
    <row r="1607" ht="15" customHeight="1"/>
    <row r="1608" ht="15" customHeight="1"/>
    <row r="1609" ht="15" customHeight="1"/>
    <row r="1610" ht="15" customHeight="1"/>
    <row r="1611" ht="15" customHeight="1"/>
    <row r="1612" ht="15" customHeight="1"/>
    <row r="1613" ht="15" customHeight="1"/>
    <row r="1614" ht="15" customHeight="1"/>
    <row r="1615" ht="15" customHeight="1"/>
    <row r="1616" ht="15" customHeight="1"/>
    <row r="1617" ht="15" customHeight="1"/>
    <row r="1618" ht="15" customHeight="1"/>
    <row r="1619" ht="15" customHeight="1"/>
    <row r="1620" ht="15" customHeight="1"/>
    <row r="1621" ht="15" customHeight="1"/>
    <row r="1622" ht="15" customHeight="1"/>
    <row r="1623" ht="15" customHeight="1"/>
    <row r="1624" ht="15" customHeight="1"/>
    <row r="1625" ht="15" customHeight="1"/>
    <row r="1626" ht="15" customHeight="1"/>
    <row r="1627" ht="15" customHeight="1"/>
    <row r="1628" ht="15" customHeight="1"/>
    <row r="1629" ht="15" customHeight="1"/>
    <row r="1630" ht="15" customHeight="1"/>
    <row r="1631" ht="15" customHeight="1"/>
    <row r="1632" ht="15" customHeight="1"/>
    <row r="1633" ht="15" customHeight="1"/>
    <row r="1634" ht="15" customHeight="1"/>
    <row r="1635" ht="15" customHeight="1"/>
    <row r="1636" ht="15" customHeight="1"/>
    <row r="1637" ht="15" customHeight="1"/>
    <row r="1638" ht="15" customHeight="1"/>
    <row r="1639" ht="15" customHeight="1"/>
    <row r="1640" ht="15" customHeight="1"/>
    <row r="1641" ht="15" customHeight="1"/>
    <row r="1642" ht="15" customHeight="1"/>
    <row r="1643" ht="15" customHeight="1"/>
    <row r="1644" ht="15" customHeight="1"/>
    <row r="1645" ht="15" customHeight="1"/>
    <row r="1646" ht="15" customHeight="1"/>
    <row r="1647" ht="15" customHeight="1"/>
    <row r="1648" ht="15" customHeight="1"/>
    <row r="1649" ht="15" customHeight="1"/>
    <row r="1650" ht="15" customHeight="1"/>
    <row r="1651" ht="15" customHeight="1"/>
    <row r="1652" ht="15" customHeight="1"/>
    <row r="1653" ht="15" customHeight="1"/>
    <row r="1654" ht="15" customHeight="1"/>
    <row r="1655" ht="15" customHeight="1"/>
    <row r="1656" ht="15" customHeight="1"/>
    <row r="1657" ht="15" customHeight="1"/>
    <row r="1658" ht="15" customHeight="1"/>
    <row r="1659" ht="15" customHeight="1"/>
    <row r="1660" ht="15" customHeight="1"/>
    <row r="1661" ht="15" customHeight="1"/>
    <row r="1662" ht="15" customHeight="1"/>
    <row r="1663" ht="15" customHeight="1"/>
    <row r="1664" ht="15" customHeight="1"/>
    <row r="1665" ht="15" customHeight="1"/>
    <row r="1666" ht="15" customHeight="1"/>
    <row r="1667" ht="15" customHeight="1"/>
    <row r="1668" ht="15" customHeight="1"/>
    <row r="1669" ht="15" customHeight="1"/>
    <row r="1670" ht="15" customHeight="1"/>
    <row r="1671" ht="15" customHeight="1"/>
    <row r="1672" ht="15" customHeight="1"/>
    <row r="1673" ht="15" customHeight="1"/>
    <row r="1674" ht="15" customHeight="1"/>
    <row r="1675" ht="15" customHeight="1"/>
    <row r="1676" ht="15" customHeight="1"/>
    <row r="1677" ht="15" customHeight="1"/>
    <row r="1678" ht="15" customHeight="1"/>
    <row r="1679" ht="15" customHeight="1"/>
    <row r="1680" ht="15" customHeight="1"/>
    <row r="1681" ht="15" customHeight="1"/>
    <row r="1682" ht="15" customHeight="1"/>
    <row r="1683" ht="15" customHeight="1"/>
    <row r="1684" ht="15" customHeight="1"/>
    <row r="1685" ht="15" customHeight="1"/>
    <row r="1686" ht="15" customHeight="1"/>
    <row r="1687" ht="15" customHeight="1"/>
    <row r="1688" ht="15" customHeight="1"/>
    <row r="1689" ht="15" customHeight="1"/>
    <row r="1690" ht="15" customHeight="1"/>
    <row r="1691" ht="15" customHeight="1"/>
    <row r="1692" ht="15" customHeight="1"/>
    <row r="1693" ht="15" customHeight="1"/>
    <row r="1694" ht="15" customHeight="1"/>
    <row r="1695" ht="15" customHeight="1"/>
    <row r="1696" ht="15" customHeight="1"/>
    <row r="1697" ht="15" customHeight="1"/>
    <row r="1698" ht="15" customHeight="1"/>
    <row r="1699" ht="15" customHeight="1"/>
    <row r="1700" ht="15" customHeight="1"/>
    <row r="1701" ht="15" customHeight="1"/>
    <row r="1702" ht="15" customHeight="1"/>
    <row r="1703" ht="15" customHeight="1"/>
    <row r="1704" ht="15" customHeight="1"/>
    <row r="1705" ht="15" customHeight="1"/>
    <row r="1706" ht="15" customHeight="1"/>
    <row r="1707" ht="15" customHeight="1"/>
    <row r="1708" ht="15" customHeight="1"/>
    <row r="1709" ht="15" customHeight="1"/>
    <row r="1710" ht="15" customHeight="1"/>
    <row r="1711" ht="15" customHeight="1"/>
    <row r="1712" ht="15" customHeight="1"/>
    <row r="1713" ht="15" customHeight="1"/>
    <row r="1714" ht="15" customHeight="1"/>
    <row r="1715" ht="15" customHeight="1"/>
    <row r="1716" ht="15" customHeight="1"/>
    <row r="1717" ht="15" customHeight="1"/>
    <row r="1718" ht="15" customHeight="1"/>
    <row r="1719" ht="15" customHeight="1"/>
    <row r="1720" ht="15" customHeight="1"/>
    <row r="1721" ht="15" customHeight="1"/>
    <row r="1722" ht="15" customHeight="1"/>
    <row r="1723" ht="15" customHeight="1"/>
    <row r="1724" ht="15" customHeight="1"/>
    <row r="1725" ht="15" customHeight="1"/>
    <row r="1726" ht="15" customHeight="1"/>
    <row r="1727" ht="15" customHeight="1"/>
    <row r="1728" ht="15" customHeight="1"/>
    <row r="1729" ht="15" customHeight="1"/>
    <row r="1730" ht="15" customHeight="1"/>
    <row r="1731" ht="15" customHeight="1"/>
    <row r="1732" ht="15" customHeight="1"/>
    <row r="1733" ht="15" customHeight="1"/>
    <row r="1734" ht="15" customHeight="1"/>
    <row r="1735" ht="15" customHeight="1"/>
    <row r="1736" ht="15" customHeight="1"/>
    <row r="1737" ht="15" customHeight="1"/>
    <row r="1738" ht="15" customHeight="1"/>
    <row r="1739" ht="15" customHeight="1"/>
    <row r="1740" ht="15" customHeight="1"/>
    <row r="1741" ht="15" customHeight="1"/>
    <row r="1742" ht="15" customHeight="1"/>
    <row r="1743" ht="15" customHeight="1"/>
    <row r="1744" ht="15" customHeight="1"/>
    <row r="1745" ht="15" customHeight="1"/>
    <row r="1746" ht="15" customHeight="1"/>
    <row r="1747" ht="15" customHeight="1"/>
    <row r="1748" ht="15" customHeight="1"/>
    <row r="1749" ht="15" customHeight="1"/>
    <row r="1750" ht="15" customHeight="1"/>
    <row r="1751" ht="15" customHeight="1"/>
    <row r="1752" ht="15" customHeight="1"/>
    <row r="1753" ht="15" customHeight="1"/>
    <row r="1754" ht="15" customHeight="1"/>
    <row r="1755" ht="15" customHeight="1"/>
    <row r="1756" ht="15" customHeight="1"/>
    <row r="1757" ht="15" customHeight="1"/>
    <row r="1758" ht="15" customHeight="1"/>
    <row r="1759" ht="15" customHeight="1"/>
    <row r="1760" ht="15" customHeight="1"/>
    <row r="1761" ht="15" customHeight="1"/>
    <row r="1762" ht="15" customHeight="1"/>
    <row r="1763" ht="15" customHeight="1"/>
    <row r="1764" ht="15" customHeight="1"/>
    <row r="1765" ht="15" customHeight="1"/>
    <row r="1766" ht="15" customHeight="1"/>
    <row r="1767" ht="15" customHeight="1"/>
    <row r="1768" ht="15" customHeight="1"/>
    <row r="1769" ht="15" customHeight="1"/>
    <row r="1770" ht="15" customHeight="1"/>
    <row r="1771" ht="15" customHeight="1"/>
    <row r="1772" ht="15" customHeight="1"/>
    <row r="1773" ht="15" customHeight="1"/>
    <row r="1774" ht="15" customHeight="1"/>
    <row r="1775" ht="15" customHeight="1"/>
    <row r="1776" ht="15" customHeight="1"/>
    <row r="1777" ht="15" customHeight="1"/>
    <row r="1778" ht="15" customHeight="1"/>
    <row r="1779" ht="15" customHeight="1"/>
    <row r="1780" ht="15" customHeight="1"/>
    <row r="1781" ht="15" customHeight="1"/>
    <row r="1782" ht="15" customHeight="1"/>
    <row r="1783" ht="15" customHeight="1"/>
    <row r="1784" ht="15" customHeight="1"/>
    <row r="1785" ht="15" customHeight="1"/>
    <row r="1786" ht="15" customHeight="1"/>
    <row r="1787" ht="15" customHeight="1"/>
    <row r="1788" ht="15" customHeight="1"/>
    <row r="1789" ht="15" customHeight="1"/>
    <row r="1790" ht="15" customHeight="1"/>
    <row r="1791" ht="15" customHeight="1"/>
    <row r="1792" ht="15" customHeight="1"/>
    <row r="1793" ht="15" customHeight="1"/>
    <row r="1794" ht="15" customHeight="1"/>
    <row r="1795" ht="15" customHeight="1"/>
    <row r="1796" ht="15" customHeight="1"/>
    <row r="1797" ht="15" customHeight="1"/>
    <row r="1798" ht="15" customHeight="1"/>
    <row r="1799" ht="15" customHeight="1"/>
    <row r="1800" ht="15" customHeight="1"/>
    <row r="1801" ht="15" customHeight="1"/>
    <row r="1802" ht="15" customHeight="1"/>
    <row r="1803" ht="15" customHeight="1"/>
    <row r="1804" ht="15" customHeight="1"/>
    <row r="1805" ht="15" customHeight="1"/>
    <row r="1806" ht="15" customHeight="1"/>
    <row r="1807" ht="15" customHeight="1"/>
    <row r="1808" ht="15" customHeight="1"/>
    <row r="1809" ht="15" customHeight="1"/>
    <row r="1810" ht="15" customHeight="1"/>
    <row r="1811" ht="15" customHeight="1"/>
    <row r="1812" ht="15" customHeight="1"/>
    <row r="1813" ht="15" customHeight="1"/>
    <row r="1814" ht="15" customHeight="1"/>
    <row r="1815" ht="15" customHeight="1"/>
    <row r="1816" ht="15" customHeight="1"/>
    <row r="1817" ht="15" customHeight="1"/>
    <row r="1818" ht="15" customHeight="1"/>
    <row r="1819" ht="15" customHeight="1"/>
    <row r="1820" ht="15" customHeight="1"/>
    <row r="1821" ht="15" customHeight="1"/>
    <row r="1822" ht="15" customHeight="1"/>
    <row r="1823" ht="15" customHeight="1"/>
    <row r="1824" ht="15" customHeight="1"/>
    <row r="1825" ht="15" customHeight="1"/>
    <row r="1826" ht="15" customHeight="1"/>
    <row r="1827" ht="15" customHeight="1"/>
    <row r="1828" ht="15" customHeight="1"/>
    <row r="1829" ht="15" customHeight="1"/>
    <row r="1830" ht="15" customHeight="1"/>
    <row r="1831" ht="15" customHeight="1"/>
    <row r="1832" ht="15" customHeight="1"/>
    <row r="1833" ht="15" customHeight="1"/>
    <row r="1834" ht="15" customHeight="1"/>
    <row r="1835" ht="15" customHeight="1"/>
    <row r="1836" ht="15" customHeight="1"/>
    <row r="1837" ht="15" customHeight="1"/>
    <row r="1838" ht="15" customHeight="1"/>
    <row r="1839" ht="15" customHeight="1"/>
    <row r="1840" ht="15" customHeight="1"/>
    <row r="1841" ht="15" customHeight="1"/>
    <row r="1842" ht="15" customHeight="1"/>
    <row r="1843" ht="15" customHeight="1"/>
    <row r="1844" ht="15" customHeight="1"/>
    <row r="1845" ht="15" customHeight="1"/>
    <row r="1846" ht="15" customHeight="1"/>
    <row r="1847" ht="15" customHeight="1"/>
    <row r="1848" ht="15" customHeight="1"/>
    <row r="1849" ht="15" customHeight="1"/>
    <row r="1850" ht="15" customHeight="1"/>
    <row r="1851" ht="15" customHeight="1"/>
    <row r="1852" ht="15" customHeight="1"/>
    <row r="1853" ht="15" customHeight="1"/>
    <row r="1854" ht="15" customHeight="1"/>
    <row r="1855" ht="15" customHeight="1"/>
    <row r="1856" ht="15" customHeight="1"/>
    <row r="1857" ht="15" customHeight="1"/>
    <row r="1858" ht="15" customHeight="1"/>
    <row r="1859" ht="15" customHeight="1"/>
    <row r="1860" ht="15" customHeight="1"/>
    <row r="1861" ht="15" customHeight="1"/>
    <row r="1862" ht="15" customHeight="1"/>
    <row r="1863" ht="15" customHeight="1"/>
    <row r="1864" ht="15" customHeight="1"/>
    <row r="1865" ht="15" customHeight="1"/>
    <row r="1866" ht="15" customHeight="1"/>
    <row r="1867" ht="15" customHeight="1"/>
    <row r="1868" ht="15" customHeight="1"/>
    <row r="1869" ht="15" customHeight="1"/>
    <row r="1870" ht="15" customHeight="1"/>
    <row r="1871" ht="15" customHeight="1"/>
    <row r="1872" ht="15" customHeight="1"/>
    <row r="1873" ht="15" customHeight="1"/>
    <row r="1874" ht="15" customHeight="1"/>
    <row r="1875" ht="15" customHeight="1"/>
    <row r="1876" ht="15" customHeight="1"/>
    <row r="1877" ht="15" customHeight="1"/>
    <row r="1878" ht="15" customHeight="1"/>
    <row r="1879" ht="15" customHeight="1"/>
    <row r="1880" ht="15" customHeight="1"/>
    <row r="1881" ht="15" customHeight="1"/>
    <row r="1882" ht="15" customHeight="1"/>
    <row r="1883" ht="15" customHeight="1"/>
    <row r="1884" ht="15" customHeight="1"/>
    <row r="1885" ht="15" customHeight="1"/>
    <row r="1886" ht="15" customHeight="1"/>
    <row r="1887" ht="15" customHeight="1"/>
    <row r="1888" ht="15" customHeight="1"/>
    <row r="1889" ht="15" customHeight="1"/>
    <row r="1890" ht="15" customHeight="1"/>
    <row r="1891" ht="15" customHeight="1"/>
    <row r="1892" ht="15" customHeight="1"/>
    <row r="1893" ht="15" customHeight="1"/>
    <row r="1894" ht="15" customHeight="1"/>
    <row r="1895" ht="15" customHeight="1"/>
    <row r="1896" ht="15" customHeight="1"/>
    <row r="1897" ht="15" customHeight="1"/>
    <row r="1898" ht="15" customHeight="1"/>
    <row r="1899" ht="15" customHeight="1"/>
    <row r="1900" ht="15" customHeight="1"/>
    <row r="1901" ht="15" customHeight="1"/>
    <row r="1902" ht="15" customHeight="1"/>
    <row r="1903" ht="15" customHeight="1"/>
    <row r="1904" ht="15" customHeight="1"/>
    <row r="1905" ht="15" customHeight="1"/>
    <row r="1906" ht="15" customHeight="1"/>
    <row r="1907" ht="15" customHeight="1"/>
    <row r="1908" ht="15" customHeight="1"/>
    <row r="1909" ht="15" customHeight="1"/>
    <row r="1910" ht="15" customHeight="1"/>
    <row r="1911" ht="15" customHeight="1"/>
    <row r="1912" ht="15" customHeight="1"/>
    <row r="1913" ht="15" customHeight="1"/>
    <row r="1914" ht="15" customHeight="1"/>
    <row r="1915" ht="15" customHeight="1"/>
    <row r="1916" ht="15" customHeight="1"/>
    <row r="1917" ht="15" customHeight="1"/>
    <row r="1918" ht="15" customHeight="1"/>
    <row r="1919" ht="15" customHeight="1"/>
    <row r="1920" ht="15" customHeight="1"/>
    <row r="1921" ht="15" customHeight="1"/>
    <row r="1922" ht="15" customHeight="1"/>
    <row r="1923" ht="15" customHeight="1"/>
    <row r="1924" ht="15" customHeight="1"/>
    <row r="1925" ht="15" customHeight="1"/>
    <row r="1926" ht="15" customHeight="1"/>
    <row r="1927" ht="15" customHeight="1"/>
    <row r="1928" ht="15" customHeight="1"/>
    <row r="1929" ht="15" customHeight="1"/>
    <row r="1930" ht="15" customHeight="1"/>
    <row r="1931" ht="15" customHeight="1"/>
    <row r="1932" ht="15" customHeight="1"/>
    <row r="1933" ht="15" customHeight="1"/>
    <row r="1934" ht="15" customHeight="1"/>
    <row r="1935" ht="15" customHeight="1"/>
    <row r="1936" ht="15" customHeight="1"/>
    <row r="1937" ht="15" customHeight="1"/>
    <row r="1938" ht="15" customHeight="1"/>
    <row r="1939" ht="15" customHeight="1"/>
    <row r="1940" ht="15" customHeight="1"/>
    <row r="1941" ht="15" customHeight="1"/>
    <row r="1942" ht="15" customHeight="1"/>
    <row r="1943" ht="15" customHeight="1"/>
    <row r="1944" ht="15" customHeight="1"/>
    <row r="1945" ht="15" customHeight="1"/>
    <row r="1946" ht="15" customHeight="1"/>
    <row r="1947" ht="15" customHeight="1"/>
    <row r="1948" ht="15" customHeight="1"/>
    <row r="1949" ht="15" customHeight="1"/>
    <row r="1950" ht="15" customHeight="1"/>
    <row r="1951" ht="15" customHeight="1"/>
    <row r="1952" ht="15" customHeight="1"/>
    <row r="1953" ht="15" customHeight="1"/>
    <row r="1954" ht="15" customHeight="1"/>
    <row r="1955" ht="15" customHeight="1"/>
    <row r="1956" ht="15" customHeight="1"/>
    <row r="1957" ht="15" customHeight="1"/>
    <row r="1958" ht="15" customHeight="1"/>
    <row r="1959" ht="15" customHeight="1"/>
    <row r="1960" ht="15" customHeight="1"/>
    <row r="1961" ht="15" customHeight="1"/>
    <row r="1962" ht="15" customHeight="1"/>
    <row r="1963" ht="15" customHeight="1"/>
    <row r="1964" ht="15" customHeight="1"/>
    <row r="1965" ht="15" customHeight="1"/>
    <row r="1966" ht="15" customHeight="1"/>
    <row r="1967" ht="15" customHeight="1"/>
    <row r="1968" ht="15" customHeight="1"/>
    <row r="1969" ht="15" customHeight="1"/>
    <row r="1970" ht="15" customHeight="1"/>
    <row r="1971" ht="15" customHeight="1"/>
    <row r="1972" ht="15" customHeight="1"/>
    <row r="1973" ht="15" customHeight="1"/>
    <row r="1974" ht="15" customHeight="1"/>
    <row r="1975" ht="15" customHeight="1"/>
    <row r="1976" ht="15" customHeight="1"/>
    <row r="1977" ht="15" customHeight="1"/>
    <row r="1978" ht="15" customHeight="1"/>
    <row r="1979" ht="15" customHeight="1"/>
    <row r="1980" ht="15" customHeight="1"/>
    <row r="1981" ht="15" customHeight="1"/>
    <row r="1982" ht="15" customHeight="1"/>
    <row r="1983" ht="15" customHeight="1"/>
    <row r="1984" ht="15" customHeight="1"/>
    <row r="1985" ht="15" customHeight="1"/>
    <row r="1986" ht="15" customHeight="1"/>
    <row r="1987" ht="15" customHeight="1"/>
    <row r="1988" ht="15" customHeight="1"/>
    <row r="1989" ht="15" customHeight="1"/>
    <row r="1990" ht="15" customHeight="1"/>
    <row r="1991" ht="15" customHeight="1"/>
    <row r="1992" ht="15" customHeight="1"/>
    <row r="1993" ht="15" customHeight="1"/>
    <row r="1994" ht="15" customHeight="1"/>
    <row r="1995" ht="15" customHeight="1"/>
    <row r="1996" ht="15" customHeight="1"/>
    <row r="1997" ht="15" customHeight="1"/>
    <row r="1998" ht="15" customHeight="1"/>
    <row r="1999" ht="15" customHeight="1"/>
    <row r="2000" ht="15" customHeight="1"/>
    <row r="2001" ht="15" customHeight="1"/>
    <row r="2002" ht="15" customHeight="1"/>
    <row r="2003" ht="15" customHeight="1"/>
    <row r="2004" ht="15" customHeight="1"/>
    <row r="2005" ht="15" customHeight="1"/>
    <row r="2006" ht="15" customHeight="1"/>
    <row r="2007" ht="15" customHeight="1"/>
    <row r="2008" ht="15" customHeight="1"/>
    <row r="2009" ht="15" customHeight="1"/>
    <row r="2010" ht="15" customHeight="1"/>
    <row r="2011" ht="15" customHeight="1"/>
    <row r="2012" ht="15" customHeight="1"/>
    <row r="2013" ht="15" customHeight="1"/>
    <row r="2014" ht="15" customHeight="1"/>
    <row r="2015" ht="15" customHeight="1"/>
    <row r="2016" ht="15" customHeight="1"/>
    <row r="2017" ht="15" customHeight="1"/>
    <row r="2018" ht="15" customHeight="1"/>
    <row r="2019" ht="15" customHeight="1"/>
    <row r="2020" ht="15" customHeight="1"/>
    <row r="2021" ht="15" customHeight="1"/>
    <row r="2022" ht="15" customHeight="1"/>
    <row r="2023" ht="15" customHeight="1"/>
    <row r="2024" ht="15" customHeight="1"/>
    <row r="2025" ht="15" customHeight="1"/>
    <row r="2026" ht="15" customHeight="1"/>
    <row r="2027" ht="15" customHeight="1"/>
    <row r="2028" ht="15" customHeight="1"/>
    <row r="2029" ht="15" customHeight="1"/>
    <row r="2030" ht="15" customHeight="1"/>
    <row r="2031" ht="15" customHeight="1"/>
    <row r="2032" ht="15" customHeight="1"/>
    <row r="2033" ht="15" customHeight="1"/>
    <row r="2034" ht="15" customHeight="1"/>
    <row r="2035" ht="15" customHeight="1"/>
    <row r="2036" ht="15" customHeight="1"/>
    <row r="2037" ht="15" customHeight="1"/>
    <row r="2038" ht="15" customHeight="1"/>
    <row r="2039" ht="15" customHeight="1"/>
    <row r="2040" ht="15" customHeight="1"/>
    <row r="2041" ht="15" customHeight="1"/>
    <row r="2042" ht="15" customHeight="1"/>
    <row r="2043" ht="15" customHeight="1"/>
    <row r="2044" ht="15" customHeight="1"/>
    <row r="2045" ht="15" customHeight="1"/>
    <row r="2046" ht="15" customHeight="1"/>
    <row r="2047" ht="15" customHeight="1"/>
    <row r="2048" ht="15" customHeight="1"/>
    <row r="2049" ht="15" customHeight="1"/>
    <row r="2050" ht="15" customHeight="1"/>
    <row r="2051" ht="15" customHeight="1"/>
    <row r="2052" ht="15" customHeight="1"/>
    <row r="2053" ht="15" customHeight="1"/>
    <row r="2054" ht="15" customHeight="1"/>
    <row r="2055" ht="15" customHeight="1"/>
  </sheetData>
  <sheetProtection selectLockedCells="1"/>
  <mergeCells count="2">
    <mergeCell ref="E7:I7"/>
    <mergeCell ref="C59:Q60"/>
  </mergeCells>
  <hyperlinks>
    <hyperlink ref="C14" location="SYS_cliente!A1" tooltip="Carga de datos" display="Carga de datos del cliente (sumas y saldos)" xr:uid="{00000000-0004-0000-0300-000000000000}"/>
    <hyperlink ref="C24" location="SYS_4_3_Digitos!A1" tooltip="SYS 3_4 DÍGITOS (AJUSTES)" display="Sumas y saldos (3_4 dígitos con ajustes)" xr:uid="{00000000-0004-0000-0300-000001000000}"/>
    <hyperlink ref="C30" location="A3SOC!A1" tooltip="A3SOC" display="A3SOC (hoja de carga)" xr:uid="{00000000-0004-0000-0300-000002000000}"/>
    <hyperlink ref="C34" location="asientos!A1" tooltip="Asientos" display="Asientos" xr:uid="{00000000-0004-0000-0300-000003000000}"/>
    <hyperlink ref="C55" location="Inversiones!C13" tooltip="Inversiones" display="Inversiones" xr:uid="{00000000-0004-0000-0300-000004000000}"/>
    <hyperlink ref="C63" location="Inmovilizado!C79" tooltip="I. Inmovilizado intangible" display="I. Inmovilizado intangible" xr:uid="{00000000-0004-0000-0300-000005000000}"/>
    <hyperlink ref="C65" location="Inmovilizado!C13" tooltip="II. Inmovilizado material" display="II. Inmovilizado material" xr:uid="{00000000-0004-0000-0300-000006000000}"/>
    <hyperlink ref="C67" location="Inmovilizado!C57" tooltip="III. Inversiones inmobiliarias" display="III. Inversiones inmobiliarias" xr:uid="{00000000-0004-0000-0300-000007000000}"/>
    <hyperlink ref="C74" location="'Leasg. (prueba)'!C13" tooltip="Comprobación contabilización contratos de Leasing/Impuestos Diferidos" display="Comprobación contabilización contratos de Leasing/Impuestos Diferidos" xr:uid="{00000000-0004-0000-0300-000008000000}"/>
    <hyperlink ref="C78" location="'BASE DATOS LEASING'!A1" tooltip="Base de datos leasing (acces)" display="Base de datos leasing (acces)" xr:uid="{00000000-0004-0000-0300-000009000000}"/>
  </hyperlinks>
  <printOptions horizontalCentered="1"/>
  <pageMargins left="0.23622047244094491" right="0.23622047244094491" top="0.55118110236220474" bottom="0.55118110236220474" header="0.31496062992125984" footer="0.31496062992125984"/>
  <pageSetup paperSize="9" scale="63" fitToHeight="2" orientation="landscape"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5"/>
  <dimension ref="A1:H408"/>
  <sheetViews>
    <sheetView showGridLines="0" showRowColHeaders="0" zoomScaleNormal="100" workbookViewId="0">
      <selection activeCell="A6" sqref="A6:D408"/>
    </sheetView>
  </sheetViews>
  <sheetFormatPr baseColWidth="10" defaultRowHeight="13.8"/>
  <cols>
    <col min="1" max="1" width="17" style="451" customWidth="1"/>
    <col min="2" max="2" width="37" style="451" bestFit="1" customWidth="1"/>
    <col min="3" max="3" width="14" style="452" customWidth="1"/>
    <col min="4" max="5" width="11.44140625" style="453"/>
    <col min="6" max="7" width="12" style="454" bestFit="1" customWidth="1"/>
    <col min="8" max="256" width="11.44140625" style="453"/>
    <col min="257" max="257" width="17" style="453" customWidth="1"/>
    <col min="258" max="258" width="37" style="453" bestFit="1" customWidth="1"/>
    <col min="259" max="259" width="14" style="453" customWidth="1"/>
    <col min="260" max="261" width="11.44140625" style="453"/>
    <col min="262" max="263" width="12" style="453" bestFit="1" customWidth="1"/>
    <col min="264" max="512" width="11.44140625" style="453"/>
    <col min="513" max="513" width="17" style="453" customWidth="1"/>
    <col min="514" max="514" width="37" style="453" bestFit="1" customWidth="1"/>
    <col min="515" max="515" width="14" style="453" customWidth="1"/>
    <col min="516" max="517" width="11.44140625" style="453"/>
    <col min="518" max="519" width="12" style="453" bestFit="1" customWidth="1"/>
    <col min="520" max="768" width="11.44140625" style="453"/>
    <col min="769" max="769" width="17" style="453" customWidth="1"/>
    <col min="770" max="770" width="37" style="453" bestFit="1" customWidth="1"/>
    <col min="771" max="771" width="14" style="453" customWidth="1"/>
    <col min="772" max="773" width="11.44140625" style="453"/>
    <col min="774" max="775" width="12" style="453" bestFit="1" customWidth="1"/>
    <col min="776" max="1024" width="11.44140625" style="453"/>
    <col min="1025" max="1025" width="17" style="453" customWidth="1"/>
    <col min="1026" max="1026" width="37" style="453" bestFit="1" customWidth="1"/>
    <col min="1027" max="1027" width="14" style="453" customWidth="1"/>
    <col min="1028" max="1029" width="11.44140625" style="453"/>
    <col min="1030" max="1031" width="12" style="453" bestFit="1" customWidth="1"/>
    <col min="1032" max="1280" width="11.44140625" style="453"/>
    <col min="1281" max="1281" width="17" style="453" customWidth="1"/>
    <col min="1282" max="1282" width="37" style="453" bestFit="1" customWidth="1"/>
    <col min="1283" max="1283" width="14" style="453" customWidth="1"/>
    <col min="1284" max="1285" width="11.44140625" style="453"/>
    <col min="1286" max="1287" width="12" style="453" bestFit="1" customWidth="1"/>
    <col min="1288" max="1536" width="11.44140625" style="453"/>
    <col min="1537" max="1537" width="17" style="453" customWidth="1"/>
    <col min="1538" max="1538" width="37" style="453" bestFit="1" customWidth="1"/>
    <col min="1539" max="1539" width="14" style="453" customWidth="1"/>
    <col min="1540" max="1541" width="11.44140625" style="453"/>
    <col min="1542" max="1543" width="12" style="453" bestFit="1" customWidth="1"/>
    <col min="1544" max="1792" width="11.44140625" style="453"/>
    <col min="1793" max="1793" width="17" style="453" customWidth="1"/>
    <col min="1794" max="1794" width="37" style="453" bestFit="1" customWidth="1"/>
    <col min="1795" max="1795" width="14" style="453" customWidth="1"/>
    <col min="1796" max="1797" width="11.44140625" style="453"/>
    <col min="1798" max="1799" width="12" style="453" bestFit="1" customWidth="1"/>
    <col min="1800" max="2048" width="11.44140625" style="453"/>
    <col min="2049" max="2049" width="17" style="453" customWidth="1"/>
    <col min="2050" max="2050" width="37" style="453" bestFit="1" customWidth="1"/>
    <col min="2051" max="2051" width="14" style="453" customWidth="1"/>
    <col min="2052" max="2053" width="11.44140625" style="453"/>
    <col min="2054" max="2055" width="12" style="453" bestFit="1" customWidth="1"/>
    <col min="2056" max="2304" width="11.44140625" style="453"/>
    <col min="2305" max="2305" width="17" style="453" customWidth="1"/>
    <col min="2306" max="2306" width="37" style="453" bestFit="1" customWidth="1"/>
    <col min="2307" max="2307" width="14" style="453" customWidth="1"/>
    <col min="2308" max="2309" width="11.44140625" style="453"/>
    <col min="2310" max="2311" width="12" style="453" bestFit="1" customWidth="1"/>
    <col min="2312" max="2560" width="11.44140625" style="453"/>
    <col min="2561" max="2561" width="17" style="453" customWidth="1"/>
    <col min="2562" max="2562" width="37" style="453" bestFit="1" customWidth="1"/>
    <col min="2563" max="2563" width="14" style="453" customWidth="1"/>
    <col min="2564" max="2565" width="11.44140625" style="453"/>
    <col min="2566" max="2567" width="12" style="453" bestFit="1" customWidth="1"/>
    <col min="2568" max="2816" width="11.44140625" style="453"/>
    <col min="2817" max="2817" width="17" style="453" customWidth="1"/>
    <col min="2818" max="2818" width="37" style="453" bestFit="1" customWidth="1"/>
    <col min="2819" max="2819" width="14" style="453" customWidth="1"/>
    <col min="2820" max="2821" width="11.44140625" style="453"/>
    <col min="2822" max="2823" width="12" style="453" bestFit="1" customWidth="1"/>
    <col min="2824" max="3072" width="11.44140625" style="453"/>
    <col min="3073" max="3073" width="17" style="453" customWidth="1"/>
    <col min="3074" max="3074" width="37" style="453" bestFit="1" customWidth="1"/>
    <col min="3075" max="3075" width="14" style="453" customWidth="1"/>
    <col min="3076" max="3077" width="11.44140625" style="453"/>
    <col min="3078" max="3079" width="12" style="453" bestFit="1" customWidth="1"/>
    <col min="3080" max="3328" width="11.44140625" style="453"/>
    <col min="3329" max="3329" width="17" style="453" customWidth="1"/>
    <col min="3330" max="3330" width="37" style="453" bestFit="1" customWidth="1"/>
    <col min="3331" max="3331" width="14" style="453" customWidth="1"/>
    <col min="3332" max="3333" width="11.44140625" style="453"/>
    <col min="3334" max="3335" width="12" style="453" bestFit="1" customWidth="1"/>
    <col min="3336" max="3584" width="11.44140625" style="453"/>
    <col min="3585" max="3585" width="17" style="453" customWidth="1"/>
    <col min="3586" max="3586" width="37" style="453" bestFit="1" customWidth="1"/>
    <col min="3587" max="3587" width="14" style="453" customWidth="1"/>
    <col min="3588" max="3589" width="11.44140625" style="453"/>
    <col min="3590" max="3591" width="12" style="453" bestFit="1" customWidth="1"/>
    <col min="3592" max="3840" width="11.44140625" style="453"/>
    <col min="3841" max="3841" width="17" style="453" customWidth="1"/>
    <col min="3842" max="3842" width="37" style="453" bestFit="1" customWidth="1"/>
    <col min="3843" max="3843" width="14" style="453" customWidth="1"/>
    <col min="3844" max="3845" width="11.44140625" style="453"/>
    <col min="3846" max="3847" width="12" style="453" bestFit="1" customWidth="1"/>
    <col min="3848" max="4096" width="11.44140625" style="453"/>
    <col min="4097" max="4097" width="17" style="453" customWidth="1"/>
    <col min="4098" max="4098" width="37" style="453" bestFit="1" customWidth="1"/>
    <col min="4099" max="4099" width="14" style="453" customWidth="1"/>
    <col min="4100" max="4101" width="11.44140625" style="453"/>
    <col min="4102" max="4103" width="12" style="453" bestFit="1" customWidth="1"/>
    <col min="4104" max="4352" width="11.44140625" style="453"/>
    <col min="4353" max="4353" width="17" style="453" customWidth="1"/>
    <col min="4354" max="4354" width="37" style="453" bestFit="1" customWidth="1"/>
    <col min="4355" max="4355" width="14" style="453" customWidth="1"/>
    <col min="4356" max="4357" width="11.44140625" style="453"/>
    <col min="4358" max="4359" width="12" style="453" bestFit="1" customWidth="1"/>
    <col min="4360" max="4608" width="11.44140625" style="453"/>
    <col min="4609" max="4609" width="17" style="453" customWidth="1"/>
    <col min="4610" max="4610" width="37" style="453" bestFit="1" customWidth="1"/>
    <col min="4611" max="4611" width="14" style="453" customWidth="1"/>
    <col min="4612" max="4613" width="11.44140625" style="453"/>
    <col min="4614" max="4615" width="12" style="453" bestFit="1" customWidth="1"/>
    <col min="4616" max="4864" width="11.44140625" style="453"/>
    <col min="4865" max="4865" width="17" style="453" customWidth="1"/>
    <col min="4866" max="4866" width="37" style="453" bestFit="1" customWidth="1"/>
    <col min="4867" max="4867" width="14" style="453" customWidth="1"/>
    <col min="4868" max="4869" width="11.44140625" style="453"/>
    <col min="4870" max="4871" width="12" style="453" bestFit="1" customWidth="1"/>
    <col min="4872" max="5120" width="11.44140625" style="453"/>
    <col min="5121" max="5121" width="17" style="453" customWidth="1"/>
    <col min="5122" max="5122" width="37" style="453" bestFit="1" customWidth="1"/>
    <col min="5123" max="5123" width="14" style="453" customWidth="1"/>
    <col min="5124" max="5125" width="11.44140625" style="453"/>
    <col min="5126" max="5127" width="12" style="453" bestFit="1" customWidth="1"/>
    <col min="5128" max="5376" width="11.44140625" style="453"/>
    <col min="5377" max="5377" width="17" style="453" customWidth="1"/>
    <col min="5378" max="5378" width="37" style="453" bestFit="1" customWidth="1"/>
    <col min="5379" max="5379" width="14" style="453" customWidth="1"/>
    <col min="5380" max="5381" width="11.44140625" style="453"/>
    <col min="5382" max="5383" width="12" style="453" bestFit="1" customWidth="1"/>
    <col min="5384" max="5632" width="11.44140625" style="453"/>
    <col min="5633" max="5633" width="17" style="453" customWidth="1"/>
    <col min="5634" max="5634" width="37" style="453" bestFit="1" customWidth="1"/>
    <col min="5635" max="5635" width="14" style="453" customWidth="1"/>
    <col min="5636" max="5637" width="11.44140625" style="453"/>
    <col min="5638" max="5639" width="12" style="453" bestFit="1" customWidth="1"/>
    <col min="5640" max="5888" width="11.44140625" style="453"/>
    <col min="5889" max="5889" width="17" style="453" customWidth="1"/>
    <col min="5890" max="5890" width="37" style="453" bestFit="1" customWidth="1"/>
    <col min="5891" max="5891" width="14" style="453" customWidth="1"/>
    <col min="5892" max="5893" width="11.44140625" style="453"/>
    <col min="5894" max="5895" width="12" style="453" bestFit="1" customWidth="1"/>
    <col min="5896" max="6144" width="11.44140625" style="453"/>
    <col min="6145" max="6145" width="17" style="453" customWidth="1"/>
    <col min="6146" max="6146" width="37" style="453" bestFit="1" customWidth="1"/>
    <col min="6147" max="6147" width="14" style="453" customWidth="1"/>
    <col min="6148" max="6149" width="11.44140625" style="453"/>
    <col min="6150" max="6151" width="12" style="453" bestFit="1" customWidth="1"/>
    <col min="6152" max="6400" width="11.44140625" style="453"/>
    <col min="6401" max="6401" width="17" style="453" customWidth="1"/>
    <col min="6402" max="6402" width="37" style="453" bestFit="1" customWidth="1"/>
    <col min="6403" max="6403" width="14" style="453" customWidth="1"/>
    <col min="6404" max="6405" width="11.44140625" style="453"/>
    <col min="6406" max="6407" width="12" style="453" bestFit="1" customWidth="1"/>
    <col min="6408" max="6656" width="11.44140625" style="453"/>
    <col min="6657" max="6657" width="17" style="453" customWidth="1"/>
    <col min="6658" max="6658" width="37" style="453" bestFit="1" customWidth="1"/>
    <col min="6659" max="6659" width="14" style="453" customWidth="1"/>
    <col min="6660" max="6661" width="11.44140625" style="453"/>
    <col min="6662" max="6663" width="12" style="453" bestFit="1" customWidth="1"/>
    <col min="6664" max="6912" width="11.44140625" style="453"/>
    <col min="6913" max="6913" width="17" style="453" customWidth="1"/>
    <col min="6914" max="6914" width="37" style="453" bestFit="1" customWidth="1"/>
    <col min="6915" max="6915" width="14" style="453" customWidth="1"/>
    <col min="6916" max="6917" width="11.44140625" style="453"/>
    <col min="6918" max="6919" width="12" style="453" bestFit="1" customWidth="1"/>
    <col min="6920" max="7168" width="11.44140625" style="453"/>
    <col min="7169" max="7169" width="17" style="453" customWidth="1"/>
    <col min="7170" max="7170" width="37" style="453" bestFit="1" customWidth="1"/>
    <col min="7171" max="7171" width="14" style="453" customWidth="1"/>
    <col min="7172" max="7173" width="11.44140625" style="453"/>
    <col min="7174" max="7175" width="12" style="453" bestFit="1" customWidth="1"/>
    <col min="7176" max="7424" width="11.44140625" style="453"/>
    <col min="7425" max="7425" width="17" style="453" customWidth="1"/>
    <col min="7426" max="7426" width="37" style="453" bestFit="1" customWidth="1"/>
    <col min="7427" max="7427" width="14" style="453" customWidth="1"/>
    <col min="7428" max="7429" width="11.44140625" style="453"/>
    <col min="7430" max="7431" width="12" style="453" bestFit="1" customWidth="1"/>
    <col min="7432" max="7680" width="11.44140625" style="453"/>
    <col min="7681" max="7681" width="17" style="453" customWidth="1"/>
    <col min="7682" max="7682" width="37" style="453" bestFit="1" customWidth="1"/>
    <col min="7683" max="7683" width="14" style="453" customWidth="1"/>
    <col min="7684" max="7685" width="11.44140625" style="453"/>
    <col min="7686" max="7687" width="12" style="453" bestFit="1" customWidth="1"/>
    <col min="7688" max="7936" width="11.44140625" style="453"/>
    <col min="7937" max="7937" width="17" style="453" customWidth="1"/>
    <col min="7938" max="7938" width="37" style="453" bestFit="1" customWidth="1"/>
    <col min="7939" max="7939" width="14" style="453" customWidth="1"/>
    <col min="7940" max="7941" width="11.44140625" style="453"/>
    <col min="7942" max="7943" width="12" style="453" bestFit="1" customWidth="1"/>
    <col min="7944" max="8192" width="11.44140625" style="453"/>
    <col min="8193" max="8193" width="17" style="453" customWidth="1"/>
    <col min="8194" max="8194" width="37" style="453" bestFit="1" customWidth="1"/>
    <col min="8195" max="8195" width="14" style="453" customWidth="1"/>
    <col min="8196" max="8197" width="11.44140625" style="453"/>
    <col min="8198" max="8199" width="12" style="453" bestFit="1" customWidth="1"/>
    <col min="8200" max="8448" width="11.44140625" style="453"/>
    <col min="8449" max="8449" width="17" style="453" customWidth="1"/>
    <col min="8450" max="8450" width="37" style="453" bestFit="1" customWidth="1"/>
    <col min="8451" max="8451" width="14" style="453" customWidth="1"/>
    <col min="8452" max="8453" width="11.44140625" style="453"/>
    <col min="8454" max="8455" width="12" style="453" bestFit="1" customWidth="1"/>
    <col min="8456" max="8704" width="11.44140625" style="453"/>
    <col min="8705" max="8705" width="17" style="453" customWidth="1"/>
    <col min="8706" max="8706" width="37" style="453" bestFit="1" customWidth="1"/>
    <col min="8707" max="8707" width="14" style="453" customWidth="1"/>
    <col min="8708" max="8709" width="11.44140625" style="453"/>
    <col min="8710" max="8711" width="12" style="453" bestFit="1" customWidth="1"/>
    <col min="8712" max="8960" width="11.44140625" style="453"/>
    <col min="8961" max="8961" width="17" style="453" customWidth="1"/>
    <col min="8962" max="8962" width="37" style="453" bestFit="1" customWidth="1"/>
    <col min="8963" max="8963" width="14" style="453" customWidth="1"/>
    <col min="8964" max="8965" width="11.44140625" style="453"/>
    <col min="8966" max="8967" width="12" style="453" bestFit="1" customWidth="1"/>
    <col min="8968" max="9216" width="11.44140625" style="453"/>
    <col min="9217" max="9217" width="17" style="453" customWidth="1"/>
    <col min="9218" max="9218" width="37" style="453" bestFit="1" customWidth="1"/>
    <col min="9219" max="9219" width="14" style="453" customWidth="1"/>
    <col min="9220" max="9221" width="11.44140625" style="453"/>
    <col min="9222" max="9223" width="12" style="453" bestFit="1" customWidth="1"/>
    <col min="9224" max="9472" width="11.44140625" style="453"/>
    <col min="9473" max="9473" width="17" style="453" customWidth="1"/>
    <col min="9474" max="9474" width="37" style="453" bestFit="1" customWidth="1"/>
    <col min="9475" max="9475" width="14" style="453" customWidth="1"/>
    <col min="9476" max="9477" width="11.44140625" style="453"/>
    <col min="9478" max="9479" width="12" style="453" bestFit="1" customWidth="1"/>
    <col min="9480" max="9728" width="11.44140625" style="453"/>
    <col min="9729" max="9729" width="17" style="453" customWidth="1"/>
    <col min="9730" max="9730" width="37" style="453" bestFit="1" customWidth="1"/>
    <col min="9731" max="9731" width="14" style="453" customWidth="1"/>
    <col min="9732" max="9733" width="11.44140625" style="453"/>
    <col min="9734" max="9735" width="12" style="453" bestFit="1" customWidth="1"/>
    <col min="9736" max="9984" width="11.44140625" style="453"/>
    <col min="9985" max="9985" width="17" style="453" customWidth="1"/>
    <col min="9986" max="9986" width="37" style="453" bestFit="1" customWidth="1"/>
    <col min="9987" max="9987" width="14" style="453" customWidth="1"/>
    <col min="9988" max="9989" width="11.44140625" style="453"/>
    <col min="9990" max="9991" width="12" style="453" bestFit="1" customWidth="1"/>
    <col min="9992" max="10240" width="11.44140625" style="453"/>
    <col min="10241" max="10241" width="17" style="453" customWidth="1"/>
    <col min="10242" max="10242" width="37" style="453" bestFit="1" customWidth="1"/>
    <col min="10243" max="10243" width="14" style="453" customWidth="1"/>
    <col min="10244" max="10245" width="11.44140625" style="453"/>
    <col min="10246" max="10247" width="12" style="453" bestFit="1" customWidth="1"/>
    <col min="10248" max="10496" width="11.44140625" style="453"/>
    <col min="10497" max="10497" width="17" style="453" customWidth="1"/>
    <col min="10498" max="10498" width="37" style="453" bestFit="1" customWidth="1"/>
    <col min="10499" max="10499" width="14" style="453" customWidth="1"/>
    <col min="10500" max="10501" width="11.44140625" style="453"/>
    <col min="10502" max="10503" width="12" style="453" bestFit="1" customWidth="1"/>
    <col min="10504" max="10752" width="11.44140625" style="453"/>
    <col min="10753" max="10753" width="17" style="453" customWidth="1"/>
    <col min="10754" max="10754" width="37" style="453" bestFit="1" customWidth="1"/>
    <col min="10755" max="10755" width="14" style="453" customWidth="1"/>
    <col min="10756" max="10757" width="11.44140625" style="453"/>
    <col min="10758" max="10759" width="12" style="453" bestFit="1" customWidth="1"/>
    <col min="10760" max="11008" width="11.44140625" style="453"/>
    <col min="11009" max="11009" width="17" style="453" customWidth="1"/>
    <col min="11010" max="11010" width="37" style="453" bestFit="1" customWidth="1"/>
    <col min="11011" max="11011" width="14" style="453" customWidth="1"/>
    <col min="11012" max="11013" width="11.44140625" style="453"/>
    <col min="11014" max="11015" width="12" style="453" bestFit="1" customWidth="1"/>
    <col min="11016" max="11264" width="11.44140625" style="453"/>
    <col min="11265" max="11265" width="17" style="453" customWidth="1"/>
    <col min="11266" max="11266" width="37" style="453" bestFit="1" customWidth="1"/>
    <col min="11267" max="11267" width="14" style="453" customWidth="1"/>
    <col min="11268" max="11269" width="11.44140625" style="453"/>
    <col min="11270" max="11271" width="12" style="453" bestFit="1" customWidth="1"/>
    <col min="11272" max="11520" width="11.44140625" style="453"/>
    <col min="11521" max="11521" width="17" style="453" customWidth="1"/>
    <col min="11522" max="11522" width="37" style="453" bestFit="1" customWidth="1"/>
    <col min="11523" max="11523" width="14" style="453" customWidth="1"/>
    <col min="11524" max="11525" width="11.44140625" style="453"/>
    <col min="11526" max="11527" width="12" style="453" bestFit="1" customWidth="1"/>
    <col min="11528" max="11776" width="11.44140625" style="453"/>
    <col min="11777" max="11777" width="17" style="453" customWidth="1"/>
    <col min="11778" max="11778" width="37" style="453" bestFit="1" customWidth="1"/>
    <col min="11779" max="11779" width="14" style="453" customWidth="1"/>
    <col min="11780" max="11781" width="11.44140625" style="453"/>
    <col min="11782" max="11783" width="12" style="453" bestFit="1" customWidth="1"/>
    <col min="11784" max="12032" width="11.44140625" style="453"/>
    <col min="12033" max="12033" width="17" style="453" customWidth="1"/>
    <col min="12034" max="12034" width="37" style="453" bestFit="1" customWidth="1"/>
    <col min="12035" max="12035" width="14" style="453" customWidth="1"/>
    <col min="12036" max="12037" width="11.44140625" style="453"/>
    <col min="12038" max="12039" width="12" style="453" bestFit="1" customWidth="1"/>
    <col min="12040" max="12288" width="11.44140625" style="453"/>
    <col min="12289" max="12289" width="17" style="453" customWidth="1"/>
    <col min="12290" max="12290" width="37" style="453" bestFit="1" customWidth="1"/>
    <col min="12291" max="12291" width="14" style="453" customWidth="1"/>
    <col min="12292" max="12293" width="11.44140625" style="453"/>
    <col min="12294" max="12295" width="12" style="453" bestFit="1" customWidth="1"/>
    <col min="12296" max="12544" width="11.44140625" style="453"/>
    <col min="12545" max="12545" width="17" style="453" customWidth="1"/>
    <col min="12546" max="12546" width="37" style="453" bestFit="1" customWidth="1"/>
    <col min="12547" max="12547" width="14" style="453" customWidth="1"/>
    <col min="12548" max="12549" width="11.44140625" style="453"/>
    <col min="12550" max="12551" width="12" style="453" bestFit="1" customWidth="1"/>
    <col min="12552" max="12800" width="11.44140625" style="453"/>
    <col min="12801" max="12801" width="17" style="453" customWidth="1"/>
    <col min="12802" max="12802" width="37" style="453" bestFit="1" customWidth="1"/>
    <col min="12803" max="12803" width="14" style="453" customWidth="1"/>
    <col min="12804" max="12805" width="11.44140625" style="453"/>
    <col min="12806" max="12807" width="12" style="453" bestFit="1" customWidth="1"/>
    <col min="12808" max="13056" width="11.44140625" style="453"/>
    <col min="13057" max="13057" width="17" style="453" customWidth="1"/>
    <col min="13058" max="13058" width="37" style="453" bestFit="1" customWidth="1"/>
    <col min="13059" max="13059" width="14" style="453" customWidth="1"/>
    <col min="13060" max="13061" width="11.44140625" style="453"/>
    <col min="13062" max="13063" width="12" style="453" bestFit="1" customWidth="1"/>
    <col min="13064" max="13312" width="11.44140625" style="453"/>
    <col min="13313" max="13313" width="17" style="453" customWidth="1"/>
    <col min="13314" max="13314" width="37" style="453" bestFit="1" customWidth="1"/>
    <col min="13315" max="13315" width="14" style="453" customWidth="1"/>
    <col min="13316" max="13317" width="11.44140625" style="453"/>
    <col min="13318" max="13319" width="12" style="453" bestFit="1" customWidth="1"/>
    <col min="13320" max="13568" width="11.44140625" style="453"/>
    <col min="13569" max="13569" width="17" style="453" customWidth="1"/>
    <col min="13570" max="13570" width="37" style="453" bestFit="1" customWidth="1"/>
    <col min="13571" max="13571" width="14" style="453" customWidth="1"/>
    <col min="13572" max="13573" width="11.44140625" style="453"/>
    <col min="13574" max="13575" width="12" style="453" bestFit="1" customWidth="1"/>
    <col min="13576" max="13824" width="11.44140625" style="453"/>
    <col min="13825" max="13825" width="17" style="453" customWidth="1"/>
    <col min="13826" max="13826" width="37" style="453" bestFit="1" customWidth="1"/>
    <col min="13827" max="13827" width="14" style="453" customWidth="1"/>
    <col min="13828" max="13829" width="11.44140625" style="453"/>
    <col min="13830" max="13831" width="12" style="453" bestFit="1" customWidth="1"/>
    <col min="13832" max="14080" width="11.44140625" style="453"/>
    <col min="14081" max="14081" width="17" style="453" customWidth="1"/>
    <col min="14082" max="14082" width="37" style="453" bestFit="1" customWidth="1"/>
    <col min="14083" max="14083" width="14" style="453" customWidth="1"/>
    <col min="14084" max="14085" width="11.44140625" style="453"/>
    <col min="14086" max="14087" width="12" style="453" bestFit="1" customWidth="1"/>
    <col min="14088" max="14336" width="11.44140625" style="453"/>
    <col min="14337" max="14337" width="17" style="453" customWidth="1"/>
    <col min="14338" max="14338" width="37" style="453" bestFit="1" customWidth="1"/>
    <col min="14339" max="14339" width="14" style="453" customWidth="1"/>
    <col min="14340" max="14341" width="11.44140625" style="453"/>
    <col min="14342" max="14343" width="12" style="453" bestFit="1" customWidth="1"/>
    <col min="14344" max="14592" width="11.44140625" style="453"/>
    <col min="14593" max="14593" width="17" style="453" customWidth="1"/>
    <col min="14594" max="14594" width="37" style="453" bestFit="1" customWidth="1"/>
    <col min="14595" max="14595" width="14" style="453" customWidth="1"/>
    <col min="14596" max="14597" width="11.44140625" style="453"/>
    <col min="14598" max="14599" width="12" style="453" bestFit="1" customWidth="1"/>
    <col min="14600" max="14848" width="11.44140625" style="453"/>
    <col min="14849" max="14849" width="17" style="453" customWidth="1"/>
    <col min="14850" max="14850" width="37" style="453" bestFit="1" customWidth="1"/>
    <col min="14851" max="14851" width="14" style="453" customWidth="1"/>
    <col min="14852" max="14853" width="11.44140625" style="453"/>
    <col min="14854" max="14855" width="12" style="453" bestFit="1" customWidth="1"/>
    <col min="14856" max="15104" width="11.44140625" style="453"/>
    <col min="15105" max="15105" width="17" style="453" customWidth="1"/>
    <col min="15106" max="15106" width="37" style="453" bestFit="1" customWidth="1"/>
    <col min="15107" max="15107" width="14" style="453" customWidth="1"/>
    <col min="15108" max="15109" width="11.44140625" style="453"/>
    <col min="15110" max="15111" width="12" style="453" bestFit="1" customWidth="1"/>
    <col min="15112" max="15360" width="11.44140625" style="453"/>
    <col min="15361" max="15361" width="17" style="453" customWidth="1"/>
    <col min="15362" max="15362" width="37" style="453" bestFit="1" customWidth="1"/>
    <col min="15363" max="15363" width="14" style="453" customWidth="1"/>
    <col min="15364" max="15365" width="11.44140625" style="453"/>
    <col min="15366" max="15367" width="12" style="453" bestFit="1" customWidth="1"/>
    <col min="15368" max="15616" width="11.44140625" style="453"/>
    <col min="15617" max="15617" width="17" style="453" customWidth="1"/>
    <col min="15618" max="15618" width="37" style="453" bestFit="1" customWidth="1"/>
    <col min="15619" max="15619" width="14" style="453" customWidth="1"/>
    <col min="15620" max="15621" width="11.44140625" style="453"/>
    <col min="15622" max="15623" width="12" style="453" bestFit="1" customWidth="1"/>
    <col min="15624" max="15872" width="11.44140625" style="453"/>
    <col min="15873" max="15873" width="17" style="453" customWidth="1"/>
    <col min="15874" max="15874" width="37" style="453" bestFit="1" customWidth="1"/>
    <col min="15875" max="15875" width="14" style="453" customWidth="1"/>
    <col min="15876" max="15877" width="11.44140625" style="453"/>
    <col min="15878" max="15879" width="12" style="453" bestFit="1" customWidth="1"/>
    <col min="15880" max="16128" width="11.44140625" style="453"/>
    <col min="16129" max="16129" width="17" style="453" customWidth="1"/>
    <col min="16130" max="16130" width="37" style="453" bestFit="1" customWidth="1"/>
    <col min="16131" max="16131" width="14" style="453" customWidth="1"/>
    <col min="16132" max="16133" width="11.44140625" style="453"/>
    <col min="16134" max="16135" width="12" style="453" bestFit="1" customWidth="1"/>
    <col min="16136" max="16384" width="11.44140625" style="453"/>
  </cols>
  <sheetData>
    <row r="1" spans="1:8">
      <c r="A1" s="450"/>
      <c r="D1" s="453">
        <v>100</v>
      </c>
    </row>
    <row r="2" spans="1:8">
      <c r="A2" s="450"/>
    </row>
    <row r="4" spans="1:8" s="456" customFormat="1">
      <c r="A4" s="450" t="s">
        <v>170</v>
      </c>
      <c r="B4" s="450" t="s">
        <v>648</v>
      </c>
      <c r="C4" s="455" t="s">
        <v>169</v>
      </c>
      <c r="F4" s="457"/>
      <c r="G4" s="457"/>
    </row>
    <row r="5" spans="1:8">
      <c r="A5" s="458"/>
      <c r="C5" s="459"/>
    </row>
    <row r="6" spans="1:8">
      <c r="A6" s="460">
        <f>+D6*$D$1</f>
        <v>10000</v>
      </c>
      <c r="C6" s="459">
        <f ca="1">SUMIF(SYS_4_3_Digitos!$A$5:$A$6004,D6,SYS_4_3_Digitos!$I$5:$I$6004)-SUMIF(SYS_4_3_Digitos!$A$5:$A$6004,D6,SYS_4_3_Digitos!$J$5:$J$6004)</f>
        <v>-140000005.09999999</v>
      </c>
      <c r="D6" s="461">
        <v>100</v>
      </c>
      <c r="F6" s="459"/>
      <c r="G6" s="462">
        <f ca="1">ROUND(SUM(C6:C408),0)</f>
        <v>0</v>
      </c>
    </row>
    <row r="7" spans="1:8" ht="14.4" thickBot="1">
      <c r="A7" s="460">
        <f t="shared" ref="A7:A70" si="0">+D7*$D$1</f>
        <v>10300</v>
      </c>
      <c r="C7" s="459">
        <f ca="1">SUMIF(SYS_4_3_Digitos!$A$5:$A$6004,D7,SYS_4_3_Digitos!$I$5:$I$6004)-SUMIF(SYS_4_3_Digitos!$A$5:$A$6004,D7,SYS_4_3_Digitos!$J$5:$J$6004)</f>
        <v>0</v>
      </c>
      <c r="D7" s="461">
        <v>103</v>
      </c>
      <c r="F7" s="459"/>
      <c r="G7" s="459"/>
    </row>
    <row r="8" spans="1:8" ht="14.4" thickBot="1">
      <c r="A8" s="460">
        <f t="shared" si="0"/>
        <v>10400</v>
      </c>
      <c r="C8" s="459">
        <f ca="1">SUMIF(SYS_4_3_Digitos!$A$5:$A$6004,D8,SYS_4_3_Digitos!$I$5:$I$6004)-SUMIF(SYS_4_3_Digitos!$A$5:$A$6004,D8,SYS_4_3_Digitos!$J$5:$J$6004)</f>
        <v>0</v>
      </c>
      <c r="D8" s="461">
        <v>104</v>
      </c>
      <c r="F8" s="459"/>
      <c r="G8" s="2170" t="s">
        <v>1990</v>
      </c>
      <c r="H8" s="2171" t="s">
        <v>2976</v>
      </c>
    </row>
    <row r="9" spans="1:8">
      <c r="A9" s="460">
        <f t="shared" si="0"/>
        <v>10800</v>
      </c>
      <c r="C9" s="459">
        <f ca="1">SUMIF(SYS_4_3_Digitos!$A$5:$A$6004,D9,SYS_4_3_Digitos!$I$5:$I$6004)-SUMIF(SYS_4_3_Digitos!$A$5:$A$6004,D9,SYS_4_3_Digitos!$J$5:$J$6004)</f>
        <v>0</v>
      </c>
      <c r="D9" s="461">
        <v>108</v>
      </c>
      <c r="F9" s="459"/>
      <c r="G9" s="459"/>
    </row>
    <row r="10" spans="1:8">
      <c r="A10" s="460">
        <f t="shared" si="0"/>
        <v>10900</v>
      </c>
      <c r="C10" s="459">
        <f ca="1">SUMIF(SYS_4_3_Digitos!$A$5:$A$6004,D10,SYS_4_3_Digitos!$I$5:$I$6004)-SUMIF(SYS_4_3_Digitos!$A$5:$A$6004,D10,SYS_4_3_Digitos!$J$5:$J$6004)</f>
        <v>0</v>
      </c>
      <c r="D10" s="461">
        <v>109</v>
      </c>
      <c r="F10" s="459"/>
      <c r="G10" s="459"/>
    </row>
    <row r="11" spans="1:8">
      <c r="A11" s="460">
        <f t="shared" si="0"/>
        <v>11000</v>
      </c>
      <c r="C11" s="459">
        <f ca="1">SUMIF(SYS_4_3_Digitos!$A$5:$A$6004,D11,SYS_4_3_Digitos!$I$5:$I$6004)-SUMIF(SYS_4_3_Digitos!$A$5:$A$6004,D11,SYS_4_3_Digitos!$J$5:$J$6004)</f>
        <v>0</v>
      </c>
      <c r="D11" s="461">
        <v>110</v>
      </c>
      <c r="F11" s="459"/>
      <c r="G11" s="459"/>
    </row>
    <row r="12" spans="1:8">
      <c r="A12" s="460">
        <f t="shared" si="0"/>
        <v>11100</v>
      </c>
      <c r="C12" s="459">
        <f ca="1">SUMIF(SYS_4_3_Digitos!$A$5:$A$6004,D12,SYS_4_3_Digitos!$I$5:$I$6004)-SUMIF(SYS_4_3_Digitos!$A$5:$A$6004,D12,SYS_4_3_Digitos!$J$5:$J$6004)</f>
        <v>0</v>
      </c>
      <c r="D12" s="461">
        <v>111</v>
      </c>
      <c r="F12" s="459"/>
      <c r="G12" s="459"/>
    </row>
    <row r="13" spans="1:8">
      <c r="A13" s="460">
        <f t="shared" si="0"/>
        <v>11200</v>
      </c>
      <c r="C13" s="459">
        <f ca="1">SUMIF(SYS_4_3_Digitos!$A$5:$A$6004,D13,SYS_4_3_Digitos!$I$5:$I$6004)-SUMIF(SYS_4_3_Digitos!$A$5:$A$6004,D13,SYS_4_3_Digitos!$J$5:$J$6004)</f>
        <v>-16700583.99</v>
      </c>
      <c r="D13" s="461">
        <v>112</v>
      </c>
      <c r="F13" s="459"/>
      <c r="G13" s="459"/>
    </row>
    <row r="14" spans="1:8">
      <c r="A14" s="460">
        <f t="shared" si="0"/>
        <v>11300</v>
      </c>
      <c r="C14" s="459">
        <f ca="1">SUMIF(SYS_4_3_Digitos!$A$5:$A$6004,D14,SYS_4_3_Digitos!$I$5:$I$6004)-SUMIF(SYS_4_3_Digitos!$A$5:$A$6004,D14,SYS_4_3_Digitos!$J$5:$J$6004)</f>
        <v>-138943662.72</v>
      </c>
      <c r="D14" s="461">
        <v>113</v>
      </c>
      <c r="F14" s="459"/>
      <c r="G14" s="459"/>
    </row>
    <row r="15" spans="1:8">
      <c r="A15" s="460">
        <f t="shared" si="0"/>
        <v>114700</v>
      </c>
      <c r="C15" s="459">
        <f ca="1">SUMIF(SYS_4_3_Digitos!$A$5:$A$6004,D15,SYS_4_3_Digitos!$I$5:$I$6004)-SUMIF(SYS_4_3_Digitos!$A$5:$A$6004,D15,SYS_4_3_Digitos!$J$5:$J$6004)</f>
        <v>-6776702.0999999996</v>
      </c>
      <c r="D15" s="461">
        <v>1147</v>
      </c>
      <c r="F15" s="459"/>
      <c r="G15" s="459"/>
    </row>
    <row r="16" spans="1:8">
      <c r="A16" s="460">
        <f t="shared" si="0"/>
        <v>11500</v>
      </c>
      <c r="C16" s="459">
        <f ca="1">SUMIF(SYS_4_3_Digitos!$A$5:$A$6004,D16,SYS_4_3_Digitos!$I$5:$I$6004)-SUMIF(SYS_4_3_Digitos!$A$5:$A$6004,D16,SYS_4_3_Digitos!$J$5:$J$6004)</f>
        <v>0</v>
      </c>
      <c r="D16" s="461">
        <v>115</v>
      </c>
      <c r="F16" s="459"/>
      <c r="G16" s="459"/>
    </row>
    <row r="17" spans="1:7">
      <c r="A17" s="460">
        <f t="shared" si="0"/>
        <v>11800</v>
      </c>
      <c r="C17" s="459">
        <f ca="1">SUMIF(SYS_4_3_Digitos!$A$5:$A$6004,D17,SYS_4_3_Digitos!$I$5:$I$6004)-SUMIF(SYS_4_3_Digitos!$A$5:$A$6004,D17,SYS_4_3_Digitos!$J$5:$J$6004)</f>
        <v>0</v>
      </c>
      <c r="D17" s="461">
        <v>118</v>
      </c>
      <c r="F17" s="459"/>
      <c r="G17" s="459"/>
    </row>
    <row r="18" spans="1:7">
      <c r="A18" s="460">
        <f t="shared" si="0"/>
        <v>11900</v>
      </c>
      <c r="C18" s="459">
        <f ca="1">SUMIF(SYS_4_3_Digitos!$A$5:$A$6004,D18,SYS_4_3_Digitos!$I$5:$I$6004)-SUMIF(SYS_4_3_Digitos!$A$5:$A$6004,D18,SYS_4_3_Digitos!$J$5:$J$6004)</f>
        <v>-13.56</v>
      </c>
      <c r="D18" s="461">
        <v>119</v>
      </c>
      <c r="F18" s="459"/>
      <c r="G18" s="459"/>
    </row>
    <row r="19" spans="1:7">
      <c r="A19" s="460">
        <f t="shared" si="0"/>
        <v>12000</v>
      </c>
      <c r="C19" s="459">
        <f ca="1">SUMIF(SYS_4_3_Digitos!$A$5:$A$6004,D19,SYS_4_3_Digitos!$I$5:$I$6004)-SUMIF(SYS_4_3_Digitos!$A$5:$A$6004,D19,SYS_4_3_Digitos!$J$5:$J$6004)</f>
        <v>0</v>
      </c>
      <c r="D19" s="461">
        <v>120</v>
      </c>
      <c r="F19" s="459"/>
      <c r="G19" s="459"/>
    </row>
    <row r="20" spans="1:7">
      <c r="A20" s="460">
        <f t="shared" si="0"/>
        <v>12100</v>
      </c>
      <c r="C20" s="459">
        <f ca="1">SUMIF(SYS_4_3_Digitos!$A$5:$A$6004,D20,SYS_4_3_Digitos!$I$5:$I$6004)-SUMIF(SYS_4_3_Digitos!$A$5:$A$6004,D20,SYS_4_3_Digitos!$J$5:$J$6004)</f>
        <v>0</v>
      </c>
      <c r="D20" s="461">
        <v>121</v>
      </c>
      <c r="F20" s="459"/>
      <c r="G20" s="459"/>
    </row>
    <row r="21" spans="1:7">
      <c r="A21" s="460">
        <f t="shared" si="0"/>
        <v>12900</v>
      </c>
      <c r="C21" s="459">
        <f ca="1">SUMIF(SYS_4_3_Digitos!$A$5:$A$6004,D21,SYS_4_3_Digitos!$I$5:$I$6004)-SUMIF(SYS_4_3_Digitos!$A$5:$A$6004,D21,SYS_4_3_Digitos!$J$5:$J$6004)</f>
        <v>0</v>
      </c>
      <c r="D21" s="461">
        <v>129</v>
      </c>
      <c r="F21" s="459"/>
      <c r="G21" s="459"/>
    </row>
    <row r="22" spans="1:7">
      <c r="A22" s="460">
        <f t="shared" si="0"/>
        <v>13000</v>
      </c>
      <c r="C22" s="459">
        <f ca="1">SUMIF(SYS_4_3_Digitos!$A$5:$A$6004,D22,SYS_4_3_Digitos!$I$5:$I$6004)-SUMIF(SYS_4_3_Digitos!$A$5:$A$6004,D22,SYS_4_3_Digitos!$J$5:$J$6004)</f>
        <v>-34973.649999999994</v>
      </c>
      <c r="D22" s="461">
        <v>130</v>
      </c>
      <c r="F22" s="459"/>
      <c r="G22" s="459"/>
    </row>
    <row r="23" spans="1:7">
      <c r="A23" s="460">
        <f t="shared" si="0"/>
        <v>13100</v>
      </c>
      <c r="C23" s="459">
        <f ca="1">SUMIF(SYS_4_3_Digitos!$A$5:$A$6004,D23,SYS_4_3_Digitos!$I$5:$I$6004)-SUMIF(SYS_4_3_Digitos!$A$5:$A$6004,D23,SYS_4_3_Digitos!$J$5:$J$6004)</f>
        <v>0</v>
      </c>
      <c r="D23" s="461">
        <v>131</v>
      </c>
      <c r="F23" s="459"/>
      <c r="G23" s="459"/>
    </row>
    <row r="24" spans="1:7">
      <c r="A24" s="460">
        <f t="shared" si="0"/>
        <v>13200</v>
      </c>
      <c r="C24" s="459">
        <f ca="1">SUMIF(SYS_4_3_Digitos!$A$5:$A$6004,D24,SYS_4_3_Digitos!$I$5:$I$6004)-SUMIF(SYS_4_3_Digitos!$A$5:$A$6004,D24,SYS_4_3_Digitos!$J$5:$J$6004)</f>
        <v>0</v>
      </c>
      <c r="D24" s="461">
        <v>132</v>
      </c>
      <c r="F24" s="459"/>
      <c r="G24" s="459"/>
    </row>
    <row r="25" spans="1:7">
      <c r="A25" s="460">
        <f t="shared" si="0"/>
        <v>13300</v>
      </c>
      <c r="C25" s="459">
        <f ca="1">SUMIF(SYS_4_3_Digitos!$A$5:$A$6004,D25,SYS_4_3_Digitos!$I$5:$I$6004)-SUMIF(SYS_4_3_Digitos!$A$5:$A$6004,D25,SYS_4_3_Digitos!$J$5:$J$6004)</f>
        <v>-23713691.499999996</v>
      </c>
      <c r="D25" s="461">
        <v>133</v>
      </c>
      <c r="F25" s="459"/>
      <c r="G25" s="459"/>
    </row>
    <row r="26" spans="1:7">
      <c r="A26" s="460">
        <f t="shared" si="0"/>
        <v>13400</v>
      </c>
      <c r="C26" s="459">
        <f ca="1">SUMIF(SYS_4_3_Digitos!$A$5:$A$6004,D26,SYS_4_3_Digitos!$I$5:$I$6004)-SUMIF(SYS_4_3_Digitos!$A$5:$A$6004,D26,SYS_4_3_Digitos!$J$5:$J$6004)</f>
        <v>0</v>
      </c>
      <c r="D26" s="461">
        <v>134</v>
      </c>
      <c r="F26" s="459"/>
      <c r="G26" s="459"/>
    </row>
    <row r="27" spans="1:7">
      <c r="A27" s="460">
        <f t="shared" si="0"/>
        <v>13500</v>
      </c>
      <c r="C27" s="459">
        <f ca="1">SUMIF(SYS_4_3_Digitos!$A$5:$A$6004,D27,SYS_4_3_Digitos!$I$5:$I$6004)-SUMIF(SYS_4_3_Digitos!$A$5:$A$6004,D27,SYS_4_3_Digitos!$J$5:$J$6004)</f>
        <v>0</v>
      </c>
      <c r="D27" s="461">
        <v>135</v>
      </c>
      <c r="F27" s="459"/>
      <c r="G27" s="459"/>
    </row>
    <row r="28" spans="1:7">
      <c r="A28" s="460">
        <f t="shared" si="0"/>
        <v>13600</v>
      </c>
      <c r="C28" s="459">
        <f ca="1">SUMIF(SYS_4_3_Digitos!$A$5:$A$6004,D28,SYS_4_3_Digitos!$I$5:$I$6004)-SUMIF(SYS_4_3_Digitos!$A$5:$A$6004,D28,SYS_4_3_Digitos!$J$5:$J$6004)</f>
        <v>0</v>
      </c>
      <c r="D28" s="461">
        <v>136</v>
      </c>
      <c r="F28" s="459"/>
      <c r="G28" s="459"/>
    </row>
    <row r="29" spans="1:7">
      <c r="A29" s="460">
        <f t="shared" si="0"/>
        <v>13700</v>
      </c>
      <c r="C29" s="459">
        <f ca="1">SUMIF(SYS_4_3_Digitos!$A$5:$A$6004,D29,SYS_4_3_Digitos!$I$5:$I$6004)-SUMIF(SYS_4_3_Digitos!$A$5:$A$6004,D29,SYS_4_3_Digitos!$J$5:$J$6004)</f>
        <v>0</v>
      </c>
      <c r="D29" s="461">
        <v>137</v>
      </c>
      <c r="F29" s="459"/>
      <c r="G29" s="459"/>
    </row>
    <row r="30" spans="1:7">
      <c r="A30" s="460">
        <f t="shared" si="0"/>
        <v>14000</v>
      </c>
      <c r="C30" s="459">
        <f ca="1">SUMIF(SYS_4_3_Digitos!$A$5:$A$6004,D30,SYS_4_3_Digitos!$I$5:$I$6004)-SUMIF(SYS_4_3_Digitos!$A$5:$A$6004,D30,SYS_4_3_Digitos!$J$5:$J$6004)</f>
        <v>0</v>
      </c>
      <c r="D30" s="461">
        <v>140</v>
      </c>
      <c r="F30" s="459"/>
      <c r="G30" s="459"/>
    </row>
    <row r="31" spans="1:7">
      <c r="A31" s="460">
        <f t="shared" si="0"/>
        <v>14100</v>
      </c>
      <c r="C31" s="459">
        <f ca="1">SUMIF(SYS_4_3_Digitos!$A$5:$A$6004,D31,SYS_4_3_Digitos!$I$5:$I$6004)-SUMIF(SYS_4_3_Digitos!$A$5:$A$6004,D31,SYS_4_3_Digitos!$J$5:$J$6004)</f>
        <v>0</v>
      </c>
      <c r="D31" s="461">
        <v>141</v>
      </c>
      <c r="F31" s="459"/>
      <c r="G31" s="459"/>
    </row>
    <row r="32" spans="1:7">
      <c r="A32" s="460">
        <f t="shared" si="0"/>
        <v>14200</v>
      </c>
      <c r="C32" s="459">
        <f ca="1">SUMIF(SYS_4_3_Digitos!$A$5:$A$6004,D32,SYS_4_3_Digitos!$I$5:$I$6004)-SUMIF(SYS_4_3_Digitos!$A$5:$A$6004,D32,SYS_4_3_Digitos!$J$5:$J$6004)</f>
        <v>0</v>
      </c>
      <c r="D32" s="461">
        <v>142</v>
      </c>
      <c r="F32" s="459"/>
      <c r="G32" s="459"/>
    </row>
    <row r="33" spans="1:7">
      <c r="A33" s="460">
        <f t="shared" si="0"/>
        <v>14300</v>
      </c>
      <c r="C33" s="459">
        <f ca="1">SUMIF(SYS_4_3_Digitos!$A$5:$A$6004,D33,SYS_4_3_Digitos!$I$5:$I$6004)-SUMIF(SYS_4_3_Digitos!$A$5:$A$6004,D33,SYS_4_3_Digitos!$J$5:$J$6004)</f>
        <v>0</v>
      </c>
      <c r="D33" s="461">
        <v>143</v>
      </c>
      <c r="F33" s="459"/>
      <c r="G33" s="459"/>
    </row>
    <row r="34" spans="1:7">
      <c r="A34" s="460">
        <f t="shared" si="0"/>
        <v>14500</v>
      </c>
      <c r="C34" s="459">
        <f ca="1">SUMIF(SYS_4_3_Digitos!$A$5:$A$6004,D34,SYS_4_3_Digitos!$I$5:$I$6004)-SUMIF(SYS_4_3_Digitos!$A$5:$A$6004,D34,SYS_4_3_Digitos!$J$5:$J$6004)</f>
        <v>0</v>
      </c>
      <c r="D34" s="461">
        <v>145</v>
      </c>
      <c r="F34" s="459"/>
      <c r="G34" s="459"/>
    </row>
    <row r="35" spans="1:7">
      <c r="A35" s="460">
        <f t="shared" si="0"/>
        <v>14600</v>
      </c>
      <c r="C35" s="459">
        <f ca="1">SUMIF(SYS_4_3_Digitos!$A$5:$A$6004,D35,SYS_4_3_Digitos!$I$5:$I$6004)-SUMIF(SYS_4_3_Digitos!$A$5:$A$6004,D35,SYS_4_3_Digitos!$J$5:$J$6004)</f>
        <v>0</v>
      </c>
      <c r="D35" s="461">
        <v>146</v>
      </c>
      <c r="F35" s="459"/>
      <c r="G35" s="459"/>
    </row>
    <row r="36" spans="1:7">
      <c r="A36" s="460">
        <f t="shared" si="0"/>
        <v>14700</v>
      </c>
      <c r="C36" s="459">
        <f ca="1">SUMIF(SYS_4_3_Digitos!$A$5:$A$6004,D36,SYS_4_3_Digitos!$I$5:$I$6004)-SUMIF(SYS_4_3_Digitos!$A$5:$A$6004,D36,SYS_4_3_Digitos!$J$5:$J$6004)</f>
        <v>0</v>
      </c>
      <c r="D36" s="461">
        <v>147</v>
      </c>
      <c r="F36" s="459"/>
      <c r="G36" s="459"/>
    </row>
    <row r="37" spans="1:7">
      <c r="A37" s="460">
        <f t="shared" si="0"/>
        <v>15000</v>
      </c>
      <c r="C37" s="459">
        <f ca="1">SUMIF(SYS_4_3_Digitos!$A$5:$A$6004,D37,SYS_4_3_Digitos!$I$5:$I$6004)-SUMIF(SYS_4_3_Digitos!$A$5:$A$6004,D37,SYS_4_3_Digitos!$J$5:$J$6004)</f>
        <v>0</v>
      </c>
      <c r="D37" s="461">
        <v>150</v>
      </c>
      <c r="F37" s="459"/>
      <c r="G37" s="459"/>
    </row>
    <row r="38" spans="1:7">
      <c r="A38" s="460">
        <f t="shared" si="0"/>
        <v>15300</v>
      </c>
      <c r="C38" s="459">
        <f ca="1">SUMIF(SYS_4_3_Digitos!$A$5:$A$6004,D38,SYS_4_3_Digitos!$I$5:$I$6004)-SUMIF(SYS_4_3_Digitos!$A$5:$A$6004,D38,SYS_4_3_Digitos!$J$5:$J$6004)</f>
        <v>0</v>
      </c>
      <c r="D38" s="461">
        <v>153</v>
      </c>
      <c r="F38" s="459"/>
      <c r="G38" s="459"/>
    </row>
    <row r="39" spans="1:7">
      <c r="A39" s="460">
        <f t="shared" si="0"/>
        <v>15400</v>
      </c>
      <c r="C39" s="459">
        <f ca="1">SUMIF(SYS_4_3_Digitos!$A$5:$A$6004,D39,SYS_4_3_Digitos!$I$5:$I$6004)-SUMIF(SYS_4_3_Digitos!$A$5:$A$6004,D39,SYS_4_3_Digitos!$J$5:$J$6004)</f>
        <v>0</v>
      </c>
      <c r="D39" s="461">
        <v>154</v>
      </c>
      <c r="F39" s="459"/>
      <c r="G39" s="459"/>
    </row>
    <row r="40" spans="1:7">
      <c r="A40" s="460">
        <f t="shared" si="0"/>
        <v>16000</v>
      </c>
      <c r="C40" s="459">
        <f ca="1">SUMIF(SYS_4_3_Digitos!$A$5:$A$6004,D40,SYS_4_3_Digitos!$I$5:$I$6004)-SUMIF(SYS_4_3_Digitos!$A$5:$A$6004,D40,SYS_4_3_Digitos!$J$5:$J$6004)</f>
        <v>0</v>
      </c>
      <c r="D40" s="461">
        <v>160</v>
      </c>
      <c r="F40" s="459"/>
      <c r="G40" s="459"/>
    </row>
    <row r="41" spans="1:7">
      <c r="A41" s="460">
        <f t="shared" si="0"/>
        <v>16100</v>
      </c>
      <c r="C41" s="459">
        <f ca="1">SUMIF(SYS_4_3_Digitos!$A$5:$A$6004,D41,SYS_4_3_Digitos!$I$5:$I$6004)-SUMIF(SYS_4_3_Digitos!$A$5:$A$6004,D41,SYS_4_3_Digitos!$J$5:$J$6004)</f>
        <v>0</v>
      </c>
      <c r="D41" s="461">
        <v>161</v>
      </c>
      <c r="F41" s="459"/>
      <c r="G41" s="459"/>
    </row>
    <row r="42" spans="1:7">
      <c r="A42" s="460">
        <f t="shared" si="0"/>
        <v>16200</v>
      </c>
      <c r="C42" s="459">
        <f ca="1">SUMIF(SYS_4_3_Digitos!$A$5:$A$6004,D42,SYS_4_3_Digitos!$I$5:$I$6004)-SUMIF(SYS_4_3_Digitos!$A$5:$A$6004,D42,SYS_4_3_Digitos!$J$5:$J$6004)</f>
        <v>0</v>
      </c>
      <c r="D42" s="461">
        <v>162</v>
      </c>
      <c r="F42" s="459"/>
      <c r="G42" s="459"/>
    </row>
    <row r="43" spans="1:7">
      <c r="A43" s="460">
        <f t="shared" si="0"/>
        <v>163300</v>
      </c>
      <c r="C43" s="459">
        <f ca="1">SUMIF(SYS_4_3_Digitos!$A$5:$A$6004,D43,SYS_4_3_Digitos!$I$5:$I$6004)-SUMIF(SYS_4_3_Digitos!$A$5:$A$6004,D43,SYS_4_3_Digitos!$J$5:$J$6004)</f>
        <v>0</v>
      </c>
      <c r="D43" s="461">
        <v>1633</v>
      </c>
      <c r="F43" s="459"/>
      <c r="G43" s="459"/>
    </row>
    <row r="44" spans="1:7">
      <c r="A44" s="460">
        <f t="shared" si="0"/>
        <v>163400</v>
      </c>
      <c r="C44" s="459">
        <f ca="1">SUMIF(SYS_4_3_Digitos!$A$5:$A$6004,D44,SYS_4_3_Digitos!$I$5:$I$6004)-SUMIF(SYS_4_3_Digitos!$A$5:$A$6004,D44,SYS_4_3_Digitos!$J$5:$J$6004)</f>
        <v>0</v>
      </c>
      <c r="D44" s="461">
        <v>1634</v>
      </c>
      <c r="F44" s="459"/>
      <c r="G44" s="459"/>
    </row>
    <row r="45" spans="1:7">
      <c r="A45" s="460">
        <f t="shared" si="0"/>
        <v>163500</v>
      </c>
      <c r="C45" s="459">
        <f ca="1">SUMIF(SYS_4_3_Digitos!$A$5:$A$6004,D45,SYS_4_3_Digitos!$I$5:$I$6004)-SUMIF(SYS_4_3_Digitos!$A$5:$A$6004,D45,SYS_4_3_Digitos!$J$5:$J$6004)</f>
        <v>0</v>
      </c>
      <c r="D45" s="461">
        <v>1635</v>
      </c>
      <c r="F45" s="459"/>
      <c r="G45" s="459"/>
    </row>
    <row r="46" spans="1:7">
      <c r="A46" s="460">
        <f t="shared" si="0"/>
        <v>17000</v>
      </c>
      <c r="C46" s="459">
        <f ca="1">SUMIF(SYS_4_3_Digitos!$A$5:$A$6004,D46,SYS_4_3_Digitos!$I$5:$I$6004)-SUMIF(SYS_4_3_Digitos!$A$5:$A$6004,D46,SYS_4_3_Digitos!$J$5:$J$6004)</f>
        <v>0</v>
      </c>
      <c r="D46" s="461">
        <v>170</v>
      </c>
      <c r="F46" s="459"/>
      <c r="G46" s="459"/>
    </row>
    <row r="47" spans="1:7">
      <c r="A47" s="460">
        <f t="shared" si="0"/>
        <v>17100</v>
      </c>
      <c r="C47" s="459">
        <f ca="1">SUMIF(SYS_4_3_Digitos!$A$5:$A$6004,D47,SYS_4_3_Digitos!$I$5:$I$6004)-SUMIF(SYS_4_3_Digitos!$A$5:$A$6004,D47,SYS_4_3_Digitos!$J$5:$J$6004)</f>
        <v>0</v>
      </c>
      <c r="D47" s="461">
        <v>171</v>
      </c>
      <c r="F47" s="459"/>
      <c r="G47" s="459"/>
    </row>
    <row r="48" spans="1:7">
      <c r="A48" s="460">
        <f t="shared" si="0"/>
        <v>17200</v>
      </c>
      <c r="C48" s="459">
        <f ca="1">SUMIF(SYS_4_3_Digitos!$A$5:$A$6004,D48,SYS_4_3_Digitos!$I$5:$I$6004)-SUMIF(SYS_4_3_Digitos!$A$5:$A$6004,D48,SYS_4_3_Digitos!$J$5:$J$6004)</f>
        <v>0</v>
      </c>
      <c r="D48" s="461">
        <v>172</v>
      </c>
      <c r="F48" s="459"/>
      <c r="G48" s="459"/>
    </row>
    <row r="49" spans="1:7">
      <c r="A49" s="460">
        <f t="shared" si="0"/>
        <v>17300</v>
      </c>
      <c r="C49" s="459">
        <f ca="1">SUMIF(SYS_4_3_Digitos!$A$5:$A$6004,D49,SYS_4_3_Digitos!$I$5:$I$6004)-SUMIF(SYS_4_3_Digitos!$A$5:$A$6004,D49,SYS_4_3_Digitos!$J$5:$J$6004)</f>
        <v>0</v>
      </c>
      <c r="D49" s="461">
        <v>173</v>
      </c>
      <c r="F49" s="459"/>
      <c r="G49" s="459"/>
    </row>
    <row r="50" spans="1:7">
      <c r="A50" s="460">
        <f t="shared" si="0"/>
        <v>17400</v>
      </c>
      <c r="C50" s="459">
        <f ca="1">SUMIF(SYS_4_3_Digitos!$A$5:$A$6004,D50,SYS_4_3_Digitos!$I$5:$I$6004)-SUMIF(SYS_4_3_Digitos!$A$5:$A$6004,D50,SYS_4_3_Digitos!$J$5:$J$6004)</f>
        <v>0</v>
      </c>
      <c r="D50" s="461">
        <v>174</v>
      </c>
      <c r="F50" s="459"/>
      <c r="G50" s="459"/>
    </row>
    <row r="51" spans="1:7">
      <c r="A51" s="460">
        <f t="shared" si="0"/>
        <v>17500</v>
      </c>
      <c r="C51" s="459">
        <f ca="1">SUMIF(SYS_4_3_Digitos!$A$5:$A$6004,D51,SYS_4_3_Digitos!$I$5:$I$6004)-SUMIF(SYS_4_3_Digitos!$A$5:$A$6004,D51,SYS_4_3_Digitos!$J$5:$J$6004)</f>
        <v>0</v>
      </c>
      <c r="D51" s="461">
        <v>175</v>
      </c>
      <c r="F51" s="459"/>
      <c r="G51" s="459"/>
    </row>
    <row r="52" spans="1:7">
      <c r="A52" s="460">
        <f t="shared" si="0"/>
        <v>17600</v>
      </c>
      <c r="C52" s="459">
        <f ca="1">SUMIF(SYS_4_3_Digitos!$A$5:$A$6004,D52,SYS_4_3_Digitos!$I$5:$I$6004)-SUMIF(SYS_4_3_Digitos!$A$5:$A$6004,D52,SYS_4_3_Digitos!$J$5:$J$6004)</f>
        <v>0</v>
      </c>
      <c r="D52" s="461">
        <v>176</v>
      </c>
      <c r="F52" s="459"/>
      <c r="G52" s="459"/>
    </row>
    <row r="53" spans="1:7">
      <c r="A53" s="460">
        <f t="shared" si="0"/>
        <v>17700</v>
      </c>
      <c r="C53" s="459">
        <f ca="1">SUMIF(SYS_4_3_Digitos!$A$5:$A$6004,D53,SYS_4_3_Digitos!$I$5:$I$6004)-SUMIF(SYS_4_3_Digitos!$A$5:$A$6004,D53,SYS_4_3_Digitos!$J$5:$J$6004)</f>
        <v>0</v>
      </c>
      <c r="D53" s="461">
        <v>177</v>
      </c>
      <c r="F53" s="459"/>
      <c r="G53" s="459"/>
    </row>
    <row r="54" spans="1:7">
      <c r="A54" s="460">
        <f t="shared" si="0"/>
        <v>17800</v>
      </c>
      <c r="C54" s="459">
        <f ca="1">SUMIF(SYS_4_3_Digitos!$A$5:$A$6004,D54,SYS_4_3_Digitos!$I$5:$I$6004)-SUMIF(SYS_4_3_Digitos!$A$5:$A$6004,D54,SYS_4_3_Digitos!$J$5:$J$6004)</f>
        <v>0</v>
      </c>
      <c r="D54" s="461">
        <v>178</v>
      </c>
      <c r="F54" s="459"/>
      <c r="G54" s="459"/>
    </row>
    <row r="55" spans="1:7">
      <c r="A55" s="460">
        <f t="shared" si="0"/>
        <v>17900</v>
      </c>
      <c r="C55" s="459">
        <f ca="1">SUMIF(SYS_4_3_Digitos!$A$5:$A$6004,D55,SYS_4_3_Digitos!$I$5:$I$6004)-SUMIF(SYS_4_3_Digitos!$A$5:$A$6004,D55,SYS_4_3_Digitos!$J$5:$J$6004)</f>
        <v>0</v>
      </c>
      <c r="D55" s="461">
        <v>179</v>
      </c>
      <c r="F55" s="459"/>
      <c r="G55" s="459"/>
    </row>
    <row r="56" spans="1:7">
      <c r="A56" s="460">
        <f t="shared" si="0"/>
        <v>18000</v>
      </c>
      <c r="C56" s="459">
        <f ca="1">SUMIF(SYS_4_3_Digitos!$A$5:$A$6004,D56,SYS_4_3_Digitos!$I$5:$I$6004)-SUMIF(SYS_4_3_Digitos!$A$5:$A$6004,D56,SYS_4_3_Digitos!$J$5:$J$6004)</f>
        <v>-205434</v>
      </c>
      <c r="D56" s="461">
        <v>180</v>
      </c>
      <c r="F56" s="459"/>
      <c r="G56" s="459"/>
    </row>
    <row r="57" spans="1:7">
      <c r="A57" s="460">
        <f t="shared" si="0"/>
        <v>18100</v>
      </c>
      <c r="C57" s="459">
        <f ca="1">SUMIF(SYS_4_3_Digitos!$A$5:$A$6004,D57,SYS_4_3_Digitos!$I$5:$I$6004)-SUMIF(SYS_4_3_Digitos!$A$5:$A$6004,D57,SYS_4_3_Digitos!$J$5:$J$6004)</f>
        <v>0</v>
      </c>
      <c r="D57" s="461">
        <v>181</v>
      </c>
      <c r="F57" s="459"/>
      <c r="G57" s="459"/>
    </row>
    <row r="58" spans="1:7">
      <c r="A58" s="460">
        <f t="shared" si="0"/>
        <v>18500</v>
      </c>
      <c r="C58" s="459">
        <f ca="1">SUMIF(SYS_4_3_Digitos!$A$5:$A$6004,D58,SYS_4_3_Digitos!$I$5:$I$6004)-SUMIF(SYS_4_3_Digitos!$A$5:$A$6004,D58,SYS_4_3_Digitos!$J$5:$J$6004)</f>
        <v>0</v>
      </c>
      <c r="D58" s="461">
        <v>185</v>
      </c>
      <c r="F58" s="459"/>
      <c r="G58" s="459"/>
    </row>
    <row r="59" spans="1:7">
      <c r="A59" s="460">
        <f t="shared" si="0"/>
        <v>18900</v>
      </c>
      <c r="C59" s="459">
        <f ca="1">SUMIF(SYS_4_3_Digitos!$A$5:$A$6004,D59,SYS_4_3_Digitos!$I$5:$I$6004)-SUMIF(SYS_4_3_Digitos!$A$5:$A$6004,D59,SYS_4_3_Digitos!$J$5:$J$6004)</f>
        <v>0</v>
      </c>
      <c r="D59" s="461">
        <v>189</v>
      </c>
      <c r="F59" s="459"/>
      <c r="G59" s="459"/>
    </row>
    <row r="60" spans="1:7">
      <c r="A60" s="460">
        <f t="shared" si="0"/>
        <v>19000</v>
      </c>
      <c r="C60" s="459">
        <f ca="1">SUMIF(SYS_4_3_Digitos!$A$5:$A$6004,D60,SYS_4_3_Digitos!$I$5:$I$6004)-SUMIF(SYS_4_3_Digitos!$A$5:$A$6004,D60,SYS_4_3_Digitos!$J$5:$J$6004)</f>
        <v>0</v>
      </c>
      <c r="D60" s="461">
        <v>190</v>
      </c>
      <c r="F60" s="459"/>
      <c r="G60" s="459"/>
    </row>
    <row r="61" spans="1:7">
      <c r="A61" s="460">
        <f t="shared" si="0"/>
        <v>19200</v>
      </c>
      <c r="C61" s="459">
        <f ca="1">SUMIF(SYS_4_3_Digitos!$A$5:$A$6004,D61,SYS_4_3_Digitos!$I$5:$I$6004)-SUMIF(SYS_4_3_Digitos!$A$5:$A$6004,D61,SYS_4_3_Digitos!$J$5:$J$6004)</f>
        <v>0</v>
      </c>
      <c r="D61" s="461">
        <v>192</v>
      </c>
      <c r="F61" s="459"/>
      <c r="G61" s="459"/>
    </row>
    <row r="62" spans="1:7">
      <c r="A62" s="460">
        <f t="shared" si="0"/>
        <v>19400</v>
      </c>
      <c r="C62" s="459">
        <f ca="1">SUMIF(SYS_4_3_Digitos!$A$5:$A$6004,D62,SYS_4_3_Digitos!$I$5:$I$6004)-SUMIF(SYS_4_3_Digitos!$A$5:$A$6004,D62,SYS_4_3_Digitos!$J$5:$J$6004)</f>
        <v>0</v>
      </c>
      <c r="D62" s="461">
        <v>194</v>
      </c>
      <c r="F62" s="459"/>
      <c r="G62" s="459"/>
    </row>
    <row r="63" spans="1:7">
      <c r="A63" s="460">
        <f t="shared" si="0"/>
        <v>19500</v>
      </c>
      <c r="C63" s="459">
        <f ca="1">SUMIF(SYS_4_3_Digitos!$A$5:$A$6004,D63,SYS_4_3_Digitos!$I$5:$I$6004)-SUMIF(SYS_4_3_Digitos!$A$5:$A$6004,D63,SYS_4_3_Digitos!$J$5:$J$6004)</f>
        <v>0</v>
      </c>
      <c r="D63" s="461">
        <v>195</v>
      </c>
      <c r="F63" s="459"/>
      <c r="G63" s="459"/>
    </row>
    <row r="64" spans="1:7">
      <c r="A64" s="460">
        <f t="shared" si="0"/>
        <v>19700</v>
      </c>
      <c r="C64" s="459">
        <f ca="1">SUMIF(SYS_4_3_Digitos!$A$5:$A$6004,D64,SYS_4_3_Digitos!$I$5:$I$6004)-SUMIF(SYS_4_3_Digitos!$A$5:$A$6004,D64,SYS_4_3_Digitos!$J$5:$J$6004)</f>
        <v>0</v>
      </c>
      <c r="D64" s="461">
        <v>197</v>
      </c>
      <c r="F64" s="459"/>
      <c r="G64" s="459"/>
    </row>
    <row r="65" spans="1:7">
      <c r="A65" s="460">
        <f t="shared" si="0"/>
        <v>19900</v>
      </c>
      <c r="C65" s="459">
        <f ca="1">SUMIF(SYS_4_3_Digitos!$A$5:$A$6004,D65,SYS_4_3_Digitos!$I$5:$I$6004)-SUMIF(SYS_4_3_Digitos!$A$5:$A$6004,D65,SYS_4_3_Digitos!$J$5:$J$6004)</f>
        <v>0</v>
      </c>
      <c r="D65" s="461">
        <v>199</v>
      </c>
      <c r="F65" s="459"/>
      <c r="G65" s="459"/>
    </row>
    <row r="66" spans="1:7">
      <c r="A66" s="460">
        <f t="shared" si="0"/>
        <v>20000</v>
      </c>
      <c r="C66" s="459">
        <f ca="1">SUMIF(SYS_4_3_Digitos!$A$5:$A$6004,D66,SYS_4_3_Digitos!$I$5:$I$6004)-SUMIF(SYS_4_3_Digitos!$A$5:$A$6004,D66,SYS_4_3_Digitos!$J$5:$J$6004)</f>
        <v>0</v>
      </c>
      <c r="D66" s="461">
        <v>200</v>
      </c>
      <c r="F66" s="459"/>
      <c r="G66" s="459"/>
    </row>
    <row r="67" spans="1:7">
      <c r="A67" s="460">
        <f t="shared" si="0"/>
        <v>20100</v>
      </c>
      <c r="C67" s="459">
        <f ca="1">SUMIF(SYS_4_3_Digitos!$A$5:$A$6004,D67,SYS_4_3_Digitos!$I$5:$I$6004)-SUMIF(SYS_4_3_Digitos!$A$5:$A$6004,D67,SYS_4_3_Digitos!$J$5:$J$6004)</f>
        <v>0</v>
      </c>
      <c r="D67" s="461">
        <v>201</v>
      </c>
      <c r="F67" s="459"/>
      <c r="G67" s="459"/>
    </row>
    <row r="68" spans="1:7">
      <c r="A68" s="460">
        <f t="shared" si="0"/>
        <v>20200</v>
      </c>
      <c r="C68" s="459">
        <f ca="1">SUMIF(SYS_4_3_Digitos!$A$5:$A$6004,D68,SYS_4_3_Digitos!$I$5:$I$6004)-SUMIF(SYS_4_3_Digitos!$A$5:$A$6004,D68,SYS_4_3_Digitos!$J$5:$J$6004)</f>
        <v>20800</v>
      </c>
      <c r="D68" s="461">
        <v>202</v>
      </c>
      <c r="F68" s="459"/>
      <c r="G68" s="459"/>
    </row>
    <row r="69" spans="1:7">
      <c r="A69" s="460">
        <f t="shared" si="0"/>
        <v>20300</v>
      </c>
      <c r="C69" s="459">
        <f ca="1">SUMIF(SYS_4_3_Digitos!$A$5:$A$6004,D69,SYS_4_3_Digitos!$I$5:$I$6004)-SUMIF(SYS_4_3_Digitos!$A$5:$A$6004,D69,SYS_4_3_Digitos!$J$5:$J$6004)</f>
        <v>0</v>
      </c>
      <c r="D69" s="461">
        <v>203</v>
      </c>
      <c r="F69" s="459"/>
      <c r="G69" s="459"/>
    </row>
    <row r="70" spans="1:7">
      <c r="A70" s="460">
        <f t="shared" si="0"/>
        <v>20400</v>
      </c>
      <c r="C70" s="459">
        <f ca="1">SUMIF(SYS_4_3_Digitos!$A$5:$A$6004,D70,SYS_4_3_Digitos!$I$5:$I$6004)-SUMIF(SYS_4_3_Digitos!$A$5:$A$6004,D70,SYS_4_3_Digitos!$J$5:$J$6004)</f>
        <v>0</v>
      </c>
      <c r="D70" s="461">
        <v>204</v>
      </c>
      <c r="F70" s="459"/>
      <c r="G70" s="459"/>
    </row>
    <row r="71" spans="1:7">
      <c r="A71" s="460">
        <f t="shared" ref="A71:A134" si="1">+D71*$D$1</f>
        <v>20500</v>
      </c>
      <c r="C71" s="459">
        <f ca="1">SUMIF(SYS_4_3_Digitos!$A$5:$A$6004,D71,SYS_4_3_Digitos!$I$5:$I$6004)-SUMIF(SYS_4_3_Digitos!$A$5:$A$6004,D71,SYS_4_3_Digitos!$J$5:$J$6004)</f>
        <v>0</v>
      </c>
      <c r="D71" s="461">
        <v>205</v>
      </c>
      <c r="F71" s="459"/>
      <c r="G71" s="459"/>
    </row>
    <row r="72" spans="1:7">
      <c r="A72" s="460">
        <f t="shared" si="1"/>
        <v>20600</v>
      </c>
      <c r="C72" s="459">
        <f ca="1">SUMIF(SYS_4_3_Digitos!$A$5:$A$6004,D72,SYS_4_3_Digitos!$I$5:$I$6004)-SUMIF(SYS_4_3_Digitos!$A$5:$A$6004,D72,SYS_4_3_Digitos!$J$5:$J$6004)</f>
        <v>120967.7</v>
      </c>
      <c r="D72" s="461">
        <v>206</v>
      </c>
      <c r="F72" s="459"/>
      <c r="G72" s="459"/>
    </row>
    <row r="73" spans="1:7">
      <c r="A73" s="460">
        <f t="shared" si="1"/>
        <v>20900</v>
      </c>
      <c r="C73" s="459">
        <f ca="1">SUMIF(SYS_4_3_Digitos!$A$5:$A$6004,D73,SYS_4_3_Digitos!$I$5:$I$6004)-SUMIF(SYS_4_3_Digitos!$A$5:$A$6004,D73,SYS_4_3_Digitos!$J$5:$J$6004)</f>
        <v>0</v>
      </c>
      <c r="D73" s="461">
        <v>209</v>
      </c>
      <c r="F73" s="459"/>
      <c r="G73" s="459"/>
    </row>
    <row r="74" spans="1:7">
      <c r="A74" s="460">
        <f t="shared" si="1"/>
        <v>21000</v>
      </c>
      <c r="C74" s="459">
        <f ca="1">SUMIF(SYS_4_3_Digitos!$A$5:$A$6004,D74,SYS_4_3_Digitos!$I$5:$I$6004)-SUMIF(SYS_4_3_Digitos!$A$5:$A$6004,D74,SYS_4_3_Digitos!$J$5:$J$6004)</f>
        <v>1217233.03</v>
      </c>
      <c r="D74" s="461">
        <v>210</v>
      </c>
      <c r="F74" s="459"/>
      <c r="G74" s="459"/>
    </row>
    <row r="75" spans="1:7">
      <c r="A75" s="460">
        <f t="shared" si="1"/>
        <v>21100</v>
      </c>
      <c r="C75" s="459">
        <f ca="1">SUMIF(SYS_4_3_Digitos!$A$5:$A$6004,D75,SYS_4_3_Digitos!$I$5:$I$6004)-SUMIF(SYS_4_3_Digitos!$A$5:$A$6004,D75,SYS_4_3_Digitos!$J$5:$J$6004)</f>
        <v>4905408.5199999996</v>
      </c>
      <c r="D75" s="461">
        <v>211</v>
      </c>
      <c r="F75" s="459"/>
      <c r="G75" s="459"/>
    </row>
    <row r="76" spans="1:7">
      <c r="A76" s="460">
        <f t="shared" si="1"/>
        <v>21200</v>
      </c>
      <c r="C76" s="459">
        <f ca="1">SUMIF(SYS_4_3_Digitos!$A$5:$A$6004,D76,SYS_4_3_Digitos!$I$5:$I$6004)-SUMIF(SYS_4_3_Digitos!$A$5:$A$6004,D76,SYS_4_3_Digitos!$J$5:$J$6004)</f>
        <v>19677094.84</v>
      </c>
      <c r="D76" s="461">
        <v>212</v>
      </c>
      <c r="F76" s="459"/>
      <c r="G76" s="459"/>
    </row>
    <row r="77" spans="1:7">
      <c r="A77" s="460">
        <f t="shared" si="1"/>
        <v>21300</v>
      </c>
      <c r="C77" s="459">
        <f ca="1">SUMIF(SYS_4_3_Digitos!$A$5:$A$6004,D77,SYS_4_3_Digitos!$I$5:$I$6004)-SUMIF(SYS_4_3_Digitos!$A$5:$A$6004,D77,SYS_4_3_Digitos!$J$5:$J$6004)</f>
        <v>1060116.9099999999</v>
      </c>
      <c r="D77" s="461">
        <v>213</v>
      </c>
      <c r="F77" s="459"/>
      <c r="G77" s="459"/>
    </row>
    <row r="78" spans="1:7">
      <c r="A78" s="460">
        <f t="shared" si="1"/>
        <v>21400</v>
      </c>
      <c r="C78" s="459">
        <f ca="1">SUMIF(SYS_4_3_Digitos!$A$5:$A$6004,D78,SYS_4_3_Digitos!$I$5:$I$6004)-SUMIF(SYS_4_3_Digitos!$A$5:$A$6004,D78,SYS_4_3_Digitos!$J$5:$J$6004)</f>
        <v>10306.1</v>
      </c>
      <c r="D78" s="461">
        <v>214</v>
      </c>
      <c r="F78" s="459"/>
      <c r="G78" s="459"/>
    </row>
    <row r="79" spans="1:7">
      <c r="A79" s="460">
        <f t="shared" si="1"/>
        <v>21500</v>
      </c>
      <c r="C79" s="459">
        <f ca="1">SUMIF(SYS_4_3_Digitos!$A$5:$A$6004,D79,SYS_4_3_Digitos!$I$5:$I$6004)-SUMIF(SYS_4_3_Digitos!$A$5:$A$6004,D79,SYS_4_3_Digitos!$J$5:$J$6004)</f>
        <v>1162570.3500000001</v>
      </c>
      <c r="D79" s="461">
        <v>215</v>
      </c>
      <c r="F79" s="459"/>
      <c r="G79" s="459"/>
    </row>
    <row r="80" spans="1:7">
      <c r="A80" s="460">
        <f t="shared" si="1"/>
        <v>21600</v>
      </c>
      <c r="C80" s="459">
        <f ca="1">SUMIF(SYS_4_3_Digitos!$A$5:$A$6004,D80,SYS_4_3_Digitos!$I$5:$I$6004)-SUMIF(SYS_4_3_Digitos!$A$5:$A$6004,D80,SYS_4_3_Digitos!$J$5:$J$6004)</f>
        <v>454455.79</v>
      </c>
      <c r="D80" s="461">
        <v>216</v>
      </c>
      <c r="F80" s="459"/>
      <c r="G80" s="459"/>
    </row>
    <row r="81" spans="1:7">
      <c r="A81" s="460">
        <f t="shared" si="1"/>
        <v>21700</v>
      </c>
      <c r="C81" s="459">
        <f ca="1">SUMIF(SYS_4_3_Digitos!$A$5:$A$6004,D81,SYS_4_3_Digitos!$I$5:$I$6004)-SUMIF(SYS_4_3_Digitos!$A$5:$A$6004,D81,SYS_4_3_Digitos!$J$5:$J$6004)</f>
        <v>53303.6</v>
      </c>
      <c r="D81" s="461">
        <v>217</v>
      </c>
      <c r="F81" s="459"/>
      <c r="G81" s="459"/>
    </row>
    <row r="82" spans="1:7">
      <c r="A82" s="460">
        <f t="shared" si="1"/>
        <v>21800</v>
      </c>
      <c r="C82" s="459">
        <f ca="1">SUMIF(SYS_4_3_Digitos!$A$5:$A$6004,D82,SYS_4_3_Digitos!$I$5:$I$6004)-SUMIF(SYS_4_3_Digitos!$A$5:$A$6004,D82,SYS_4_3_Digitos!$J$5:$J$6004)</f>
        <v>85249.7</v>
      </c>
      <c r="D82" s="461">
        <v>218</v>
      </c>
      <c r="F82" s="459"/>
      <c r="G82" s="459"/>
    </row>
    <row r="83" spans="1:7">
      <c r="A83" s="460">
        <f t="shared" si="1"/>
        <v>21900</v>
      </c>
      <c r="C83" s="459">
        <f ca="1">SUMIF(SYS_4_3_Digitos!$A$5:$A$6004,D83,SYS_4_3_Digitos!$I$5:$I$6004)-SUMIF(SYS_4_3_Digitos!$A$5:$A$6004,D83,SYS_4_3_Digitos!$J$5:$J$6004)</f>
        <v>651219.30999999994</v>
      </c>
      <c r="D83" s="461">
        <v>219</v>
      </c>
      <c r="F83" s="459"/>
      <c r="G83" s="459"/>
    </row>
    <row r="84" spans="1:7">
      <c r="A84" s="460">
        <f t="shared" si="1"/>
        <v>22000</v>
      </c>
      <c r="C84" s="459">
        <f ca="1">SUMIF(SYS_4_3_Digitos!$A$5:$A$6004,D84,SYS_4_3_Digitos!$I$5:$I$6004)-SUMIF(SYS_4_3_Digitos!$A$5:$A$6004,D84,SYS_4_3_Digitos!$J$5:$J$6004)</f>
        <v>4595214.4400000004</v>
      </c>
      <c r="D84" s="461">
        <v>220</v>
      </c>
      <c r="F84" s="459"/>
      <c r="G84" s="459"/>
    </row>
    <row r="85" spans="1:7">
      <c r="A85" s="460">
        <f t="shared" si="1"/>
        <v>22100</v>
      </c>
      <c r="C85" s="459">
        <f ca="1">SUMIF(SYS_4_3_Digitos!$A$5:$A$6004,D85,SYS_4_3_Digitos!$I$5:$I$6004)-SUMIF(SYS_4_3_Digitos!$A$5:$A$6004,D85,SYS_4_3_Digitos!$J$5:$J$6004)</f>
        <v>18589908.699999999</v>
      </c>
      <c r="D85" s="461">
        <v>221</v>
      </c>
      <c r="F85" s="459"/>
      <c r="G85" s="459"/>
    </row>
    <row r="86" spans="1:7">
      <c r="A86" s="460">
        <f t="shared" si="1"/>
        <v>23000</v>
      </c>
      <c r="C86" s="459">
        <f ca="1">SUMIF(SYS_4_3_Digitos!$A$5:$A$6004,D86,SYS_4_3_Digitos!$I$5:$I$6004)-SUMIF(SYS_4_3_Digitos!$A$5:$A$6004,D86,SYS_4_3_Digitos!$J$5:$J$6004)</f>
        <v>0</v>
      </c>
      <c r="D86" s="461">
        <v>230</v>
      </c>
      <c r="F86" s="459"/>
      <c r="G86" s="459"/>
    </row>
    <row r="87" spans="1:7">
      <c r="A87" s="460">
        <f t="shared" si="1"/>
        <v>23100</v>
      </c>
      <c r="C87" s="459">
        <f ca="1">SUMIF(SYS_4_3_Digitos!$A$5:$A$6004,D87,SYS_4_3_Digitos!$I$5:$I$6004)-SUMIF(SYS_4_3_Digitos!$A$5:$A$6004,D87,SYS_4_3_Digitos!$J$5:$J$6004)</f>
        <v>0</v>
      </c>
      <c r="D87" s="461">
        <v>231</v>
      </c>
      <c r="F87" s="459"/>
      <c r="G87" s="459"/>
    </row>
    <row r="88" spans="1:7">
      <c r="A88" s="460">
        <f t="shared" si="1"/>
        <v>23200</v>
      </c>
      <c r="C88" s="459">
        <f ca="1">SUMIF(SYS_4_3_Digitos!$A$5:$A$6004,D88,SYS_4_3_Digitos!$I$5:$I$6004)-SUMIF(SYS_4_3_Digitos!$A$5:$A$6004,D88,SYS_4_3_Digitos!$J$5:$J$6004)</f>
        <v>0</v>
      </c>
      <c r="D88" s="461">
        <v>232</v>
      </c>
      <c r="F88" s="459"/>
      <c r="G88" s="459"/>
    </row>
    <row r="89" spans="1:7">
      <c r="A89" s="460">
        <f t="shared" si="1"/>
        <v>23300</v>
      </c>
      <c r="C89" s="459">
        <f ca="1">SUMIF(SYS_4_3_Digitos!$A$5:$A$6004,D89,SYS_4_3_Digitos!$I$5:$I$6004)-SUMIF(SYS_4_3_Digitos!$A$5:$A$6004,D89,SYS_4_3_Digitos!$J$5:$J$6004)</f>
        <v>0</v>
      </c>
      <c r="D89" s="461">
        <v>233</v>
      </c>
      <c r="F89" s="459"/>
      <c r="G89" s="459"/>
    </row>
    <row r="90" spans="1:7">
      <c r="A90" s="460">
        <f t="shared" si="1"/>
        <v>23700</v>
      </c>
      <c r="C90" s="459">
        <f ca="1">SUMIF(SYS_4_3_Digitos!$A$5:$A$6004,D90,SYS_4_3_Digitos!$I$5:$I$6004)-SUMIF(SYS_4_3_Digitos!$A$5:$A$6004,D90,SYS_4_3_Digitos!$J$5:$J$6004)</f>
        <v>0</v>
      </c>
      <c r="D90" s="461">
        <v>237</v>
      </c>
      <c r="F90" s="459"/>
      <c r="G90" s="459"/>
    </row>
    <row r="91" spans="1:7">
      <c r="A91" s="460">
        <f t="shared" si="1"/>
        <v>23900</v>
      </c>
      <c r="C91" s="459">
        <f ca="1">SUMIF(SYS_4_3_Digitos!$A$5:$A$6004,D91,SYS_4_3_Digitos!$I$5:$I$6004)-SUMIF(SYS_4_3_Digitos!$A$5:$A$6004,D91,SYS_4_3_Digitos!$J$5:$J$6004)</f>
        <v>0</v>
      </c>
      <c r="D91" s="461">
        <v>239</v>
      </c>
      <c r="F91" s="459"/>
      <c r="G91" s="459"/>
    </row>
    <row r="92" spans="1:7">
      <c r="A92" s="460">
        <f t="shared" si="1"/>
        <v>240300</v>
      </c>
      <c r="C92" s="459">
        <f ca="1">SUMIF(SYS_4_3_Digitos!$A$5:$A$6004,D92,SYS_4_3_Digitos!$I$5:$I$6004)-SUMIF(SYS_4_3_Digitos!$A$5:$A$6004,D92,SYS_4_3_Digitos!$J$5:$J$6004)</f>
        <v>0</v>
      </c>
      <c r="D92" s="461">
        <v>2403</v>
      </c>
      <c r="F92" s="459"/>
      <c r="G92" s="459"/>
    </row>
    <row r="93" spans="1:7">
      <c r="A93" s="460">
        <f t="shared" si="1"/>
        <v>240400</v>
      </c>
      <c r="C93" s="459">
        <f ca="1">SUMIF(SYS_4_3_Digitos!$A$5:$A$6004,D93,SYS_4_3_Digitos!$I$5:$I$6004)-SUMIF(SYS_4_3_Digitos!$A$5:$A$6004,D93,SYS_4_3_Digitos!$J$5:$J$6004)</f>
        <v>0</v>
      </c>
      <c r="D93" s="461">
        <v>2404</v>
      </c>
      <c r="F93" s="459"/>
      <c r="G93" s="459"/>
    </row>
    <row r="94" spans="1:7">
      <c r="A94" s="460">
        <f t="shared" si="1"/>
        <v>240500</v>
      </c>
      <c r="C94" s="459">
        <f ca="1">SUMIF(SYS_4_3_Digitos!$A$5:$A$6004,D94,SYS_4_3_Digitos!$I$5:$I$6004)-SUMIF(SYS_4_3_Digitos!$A$5:$A$6004,D94,SYS_4_3_Digitos!$J$5:$J$6004)</f>
        <v>0</v>
      </c>
      <c r="D94" s="461">
        <v>2405</v>
      </c>
      <c r="F94" s="459"/>
      <c r="G94" s="459"/>
    </row>
    <row r="95" spans="1:7">
      <c r="A95" s="460">
        <f t="shared" si="1"/>
        <v>24100</v>
      </c>
      <c r="C95" s="459">
        <f ca="1">SUMIF(SYS_4_3_Digitos!$A$5:$A$6004,D95,SYS_4_3_Digitos!$I$5:$I$6004)-SUMIF(SYS_4_3_Digitos!$A$5:$A$6004,D95,SYS_4_3_Digitos!$J$5:$J$6004)</f>
        <v>0</v>
      </c>
      <c r="D95" s="461">
        <v>241</v>
      </c>
      <c r="F95" s="459"/>
      <c r="G95" s="459"/>
    </row>
    <row r="96" spans="1:7">
      <c r="A96" s="460">
        <f t="shared" si="1"/>
        <v>242300</v>
      </c>
      <c r="C96" s="459">
        <f ca="1">SUMIF(SYS_4_3_Digitos!$A$5:$A$6004,D96,SYS_4_3_Digitos!$I$5:$I$6004)-SUMIF(SYS_4_3_Digitos!$A$5:$A$6004,D96,SYS_4_3_Digitos!$J$5:$J$6004)</f>
        <v>0</v>
      </c>
      <c r="D96" s="461">
        <v>2423</v>
      </c>
      <c r="F96" s="459"/>
      <c r="G96" s="459"/>
    </row>
    <row r="97" spans="1:7">
      <c r="A97" s="460">
        <f t="shared" si="1"/>
        <v>242400</v>
      </c>
      <c r="C97" s="459">
        <f ca="1">SUMIF(SYS_4_3_Digitos!$A$5:$A$6004,D97,SYS_4_3_Digitos!$I$5:$I$6004)-SUMIF(SYS_4_3_Digitos!$A$5:$A$6004,D97,SYS_4_3_Digitos!$J$5:$J$6004)</f>
        <v>0</v>
      </c>
      <c r="D97" s="461">
        <v>2424</v>
      </c>
      <c r="F97" s="459"/>
      <c r="G97" s="459"/>
    </row>
    <row r="98" spans="1:7">
      <c r="A98" s="460">
        <f t="shared" si="1"/>
        <v>242500</v>
      </c>
      <c r="C98" s="459">
        <f ca="1">SUMIF(SYS_4_3_Digitos!$A$5:$A$6004,D98,SYS_4_3_Digitos!$I$5:$I$6004)-SUMIF(SYS_4_3_Digitos!$A$5:$A$6004,D98,SYS_4_3_Digitos!$J$5:$J$6004)</f>
        <v>0</v>
      </c>
      <c r="D98" s="461">
        <v>2425</v>
      </c>
      <c r="F98" s="459"/>
      <c r="G98" s="459"/>
    </row>
    <row r="99" spans="1:7">
      <c r="A99" s="460">
        <f t="shared" si="1"/>
        <v>249300</v>
      </c>
      <c r="C99" s="459">
        <f ca="1">SUMIF(SYS_4_3_Digitos!$A$5:$A$6004,D99,SYS_4_3_Digitos!$I$5:$I$6004)-SUMIF(SYS_4_3_Digitos!$A$5:$A$6004,D99,SYS_4_3_Digitos!$J$5:$J$6004)</f>
        <v>0</v>
      </c>
      <c r="D99" s="461">
        <v>2493</v>
      </c>
      <c r="F99" s="459"/>
      <c r="G99" s="459"/>
    </row>
    <row r="100" spans="1:7">
      <c r="A100" s="460">
        <f t="shared" si="1"/>
        <v>25000</v>
      </c>
      <c r="C100" s="459">
        <f ca="1">SUMIF(SYS_4_3_Digitos!$A$5:$A$6004,D100,SYS_4_3_Digitos!$I$5:$I$6004)-SUMIF(SYS_4_3_Digitos!$A$5:$A$6004,D100,SYS_4_3_Digitos!$J$5:$J$6004)</f>
        <v>163066826.97999999</v>
      </c>
      <c r="D100" s="461">
        <v>250</v>
      </c>
      <c r="F100" s="459"/>
      <c r="G100" s="459"/>
    </row>
    <row r="101" spans="1:7">
      <c r="A101" s="460">
        <f t="shared" si="1"/>
        <v>25100</v>
      </c>
      <c r="C101" s="459">
        <f ca="1">SUMIF(SYS_4_3_Digitos!$A$5:$A$6004,D101,SYS_4_3_Digitos!$I$5:$I$6004)-SUMIF(SYS_4_3_Digitos!$A$5:$A$6004,D101,SYS_4_3_Digitos!$J$5:$J$6004)</f>
        <v>0</v>
      </c>
      <c r="D101" s="461">
        <v>251</v>
      </c>
      <c r="F101" s="459"/>
      <c r="G101" s="459"/>
    </row>
    <row r="102" spans="1:7">
      <c r="A102" s="460">
        <f t="shared" si="1"/>
        <v>25200</v>
      </c>
      <c r="C102" s="459">
        <f ca="1">SUMIF(SYS_4_3_Digitos!$A$5:$A$6004,D102,SYS_4_3_Digitos!$I$5:$I$6004)-SUMIF(SYS_4_3_Digitos!$A$5:$A$6004,D102,SYS_4_3_Digitos!$J$5:$J$6004)</f>
        <v>0</v>
      </c>
      <c r="D102" s="461">
        <v>252</v>
      </c>
      <c r="F102" s="459"/>
      <c r="G102" s="459"/>
    </row>
    <row r="103" spans="1:7">
      <c r="A103" s="460">
        <f t="shared" si="1"/>
        <v>25300</v>
      </c>
      <c r="C103" s="459">
        <f ca="1">SUMIF(SYS_4_3_Digitos!$A$5:$A$6004,D103,SYS_4_3_Digitos!$I$5:$I$6004)-SUMIF(SYS_4_3_Digitos!$A$5:$A$6004,D103,SYS_4_3_Digitos!$J$5:$J$6004)</f>
        <v>0</v>
      </c>
      <c r="D103" s="461">
        <v>253</v>
      </c>
      <c r="F103" s="459"/>
      <c r="G103" s="459"/>
    </row>
    <row r="104" spans="1:7">
      <c r="A104" s="460">
        <f t="shared" si="1"/>
        <v>25400</v>
      </c>
      <c r="C104" s="459">
        <f ca="1">SUMIF(SYS_4_3_Digitos!$A$5:$A$6004,D104,SYS_4_3_Digitos!$I$5:$I$6004)-SUMIF(SYS_4_3_Digitos!$A$5:$A$6004,D104,SYS_4_3_Digitos!$J$5:$J$6004)</f>
        <v>6095.42</v>
      </c>
      <c r="D104" s="461">
        <v>254</v>
      </c>
      <c r="F104" s="459"/>
      <c r="G104" s="459"/>
    </row>
    <row r="105" spans="1:7">
      <c r="A105" s="460">
        <f t="shared" si="1"/>
        <v>25500</v>
      </c>
      <c r="C105" s="459">
        <f ca="1">SUMIF(SYS_4_3_Digitos!$A$5:$A$6004,D105,SYS_4_3_Digitos!$I$5:$I$6004)-SUMIF(SYS_4_3_Digitos!$A$5:$A$6004,D105,SYS_4_3_Digitos!$J$5:$J$6004)</f>
        <v>0</v>
      </c>
      <c r="D105" s="461">
        <v>255</v>
      </c>
      <c r="F105" s="459"/>
      <c r="G105" s="459"/>
    </row>
    <row r="106" spans="1:7">
      <c r="A106" s="460">
        <f t="shared" si="1"/>
        <v>25700</v>
      </c>
      <c r="C106" s="459">
        <f ca="1">SUMIF(SYS_4_3_Digitos!$A$5:$A$6004,D106,SYS_4_3_Digitos!$I$5:$I$6004)-SUMIF(SYS_4_3_Digitos!$A$5:$A$6004,D106,SYS_4_3_Digitos!$J$5:$J$6004)</f>
        <v>0</v>
      </c>
      <c r="D106" s="461">
        <v>257</v>
      </c>
      <c r="F106" s="459"/>
      <c r="G106" s="459"/>
    </row>
    <row r="107" spans="1:7">
      <c r="A107" s="460">
        <f t="shared" si="1"/>
        <v>25800</v>
      </c>
      <c r="C107" s="459">
        <f ca="1">SUMIF(SYS_4_3_Digitos!$A$5:$A$6004,D107,SYS_4_3_Digitos!$I$5:$I$6004)-SUMIF(SYS_4_3_Digitos!$A$5:$A$6004,D107,SYS_4_3_Digitos!$J$5:$J$6004)</f>
        <v>0</v>
      </c>
      <c r="D107" s="461">
        <v>258</v>
      </c>
      <c r="F107" s="459"/>
      <c r="G107" s="459"/>
    </row>
    <row r="108" spans="1:7">
      <c r="A108" s="460">
        <f t="shared" si="1"/>
        <v>25900</v>
      </c>
      <c r="C108" s="459">
        <f ca="1">SUMIF(SYS_4_3_Digitos!$A$5:$A$6004,D108,SYS_4_3_Digitos!$I$5:$I$6004)-SUMIF(SYS_4_3_Digitos!$A$5:$A$6004,D108,SYS_4_3_Digitos!$J$5:$J$6004)</f>
        <v>0</v>
      </c>
      <c r="D108" s="461">
        <v>259</v>
      </c>
      <c r="F108" s="459"/>
      <c r="G108" s="459"/>
    </row>
    <row r="109" spans="1:7">
      <c r="A109" s="460">
        <f t="shared" si="1"/>
        <v>26000</v>
      </c>
      <c r="C109" s="459">
        <f ca="1">SUMIF(SYS_4_3_Digitos!$A$5:$A$6004,D109,SYS_4_3_Digitos!$I$5:$I$6004)-SUMIF(SYS_4_3_Digitos!$A$5:$A$6004,D109,SYS_4_3_Digitos!$J$5:$J$6004)</f>
        <v>202851.78</v>
      </c>
      <c r="D109" s="461">
        <v>260</v>
      </c>
      <c r="F109" s="459"/>
      <c r="G109" s="459"/>
    </row>
    <row r="110" spans="1:7">
      <c r="A110" s="460">
        <f t="shared" si="1"/>
        <v>26500</v>
      </c>
      <c r="C110" s="459">
        <f ca="1">SUMIF(SYS_4_3_Digitos!$A$5:$A$6004,D110,SYS_4_3_Digitos!$I$5:$I$6004)-SUMIF(SYS_4_3_Digitos!$A$5:$A$6004,D110,SYS_4_3_Digitos!$J$5:$J$6004)</f>
        <v>-18235.760000000002</v>
      </c>
      <c r="D110" s="461">
        <v>265</v>
      </c>
      <c r="F110" s="459"/>
      <c r="G110" s="459"/>
    </row>
    <row r="111" spans="1:7">
      <c r="A111" s="460">
        <f t="shared" si="1"/>
        <v>280000</v>
      </c>
      <c r="C111" s="459">
        <f ca="1">SUMIF(SYS_4_3_Digitos!$A$5:$A$6004,D111,SYS_4_3_Digitos!$I$5:$I$6004)-SUMIF(SYS_4_3_Digitos!$A$5:$A$6004,D111,SYS_4_3_Digitos!$J$5:$J$6004)</f>
        <v>0</v>
      </c>
      <c r="D111" s="461">
        <v>2800</v>
      </c>
      <c r="F111" s="459"/>
      <c r="G111" s="459"/>
    </row>
    <row r="112" spans="1:7">
      <c r="A112" s="460">
        <f t="shared" si="1"/>
        <v>280100</v>
      </c>
      <c r="C112" s="459">
        <f ca="1">SUMIF(SYS_4_3_Digitos!$A$5:$A$6004,D112,SYS_4_3_Digitos!$I$5:$I$6004)-SUMIF(SYS_4_3_Digitos!$A$5:$A$6004,D112,SYS_4_3_Digitos!$J$5:$J$6004)</f>
        <v>0</v>
      </c>
      <c r="D112" s="461">
        <v>2801</v>
      </c>
      <c r="F112" s="459"/>
      <c r="G112" s="459"/>
    </row>
    <row r="113" spans="1:7">
      <c r="A113" s="460">
        <f t="shared" si="1"/>
        <v>280200</v>
      </c>
      <c r="C113" s="459">
        <f ca="1">SUMIF(SYS_4_3_Digitos!$A$5:$A$6004,D113,SYS_4_3_Digitos!$I$5:$I$6004)-SUMIF(SYS_4_3_Digitos!$A$5:$A$6004,D113,SYS_4_3_Digitos!$J$5:$J$6004)</f>
        <v>-9628.74</v>
      </c>
      <c r="D113" s="461">
        <v>2802</v>
      </c>
      <c r="F113" s="459"/>
      <c r="G113" s="459"/>
    </row>
    <row r="114" spans="1:7">
      <c r="A114" s="460">
        <f t="shared" si="1"/>
        <v>280300</v>
      </c>
      <c r="C114" s="459">
        <f ca="1">SUMIF(SYS_4_3_Digitos!$A$5:$A$6004,D114,SYS_4_3_Digitos!$I$5:$I$6004)-SUMIF(SYS_4_3_Digitos!$A$5:$A$6004,D114,SYS_4_3_Digitos!$J$5:$J$6004)</f>
        <v>0</v>
      </c>
      <c r="D114" s="461">
        <v>2803</v>
      </c>
      <c r="F114" s="459"/>
      <c r="G114" s="459"/>
    </row>
    <row r="115" spans="1:7">
      <c r="A115" s="460">
        <f t="shared" si="1"/>
        <v>280500</v>
      </c>
      <c r="C115" s="459">
        <f ca="1">SUMIF(SYS_4_3_Digitos!$A$5:$A$6004,D115,SYS_4_3_Digitos!$I$5:$I$6004)-SUMIF(SYS_4_3_Digitos!$A$5:$A$6004,D115,SYS_4_3_Digitos!$J$5:$J$6004)</f>
        <v>0</v>
      </c>
      <c r="D115" s="461">
        <v>2805</v>
      </c>
      <c r="F115" s="459"/>
      <c r="G115" s="459"/>
    </row>
    <row r="116" spans="1:7">
      <c r="A116" s="460">
        <f t="shared" si="1"/>
        <v>280600</v>
      </c>
      <c r="C116" s="459">
        <f ca="1">SUMIF(SYS_4_3_Digitos!$A$5:$A$6004,D116,SYS_4_3_Digitos!$I$5:$I$6004)-SUMIF(SYS_4_3_Digitos!$A$5:$A$6004,D116,SYS_4_3_Digitos!$J$5:$J$6004)</f>
        <v>-88931.13</v>
      </c>
      <c r="D116" s="461">
        <v>2806</v>
      </c>
      <c r="F116" s="459"/>
      <c r="G116" s="459"/>
    </row>
    <row r="117" spans="1:7">
      <c r="A117" s="460">
        <f t="shared" si="1"/>
        <v>281100</v>
      </c>
      <c r="C117" s="459">
        <f ca="1">SUMIF(SYS_4_3_Digitos!$A$5:$A$6004,D117,SYS_4_3_Digitos!$I$5:$I$6004)-SUMIF(SYS_4_3_Digitos!$A$5:$A$6004,D117,SYS_4_3_Digitos!$J$5:$J$6004)</f>
        <v>-3128562.16</v>
      </c>
      <c r="D117" s="461">
        <v>2811</v>
      </c>
      <c r="F117" s="459"/>
      <c r="G117" s="459"/>
    </row>
    <row r="118" spans="1:7">
      <c r="A118" s="460">
        <f t="shared" si="1"/>
        <v>281200</v>
      </c>
      <c r="C118" s="459">
        <f ca="1">SUMIF(SYS_4_3_Digitos!$A$5:$A$6004,D118,SYS_4_3_Digitos!$I$5:$I$6004)-SUMIF(SYS_4_3_Digitos!$A$5:$A$6004,D118,SYS_4_3_Digitos!$J$5:$J$6004)</f>
        <v>-17859712.620000001</v>
      </c>
      <c r="D118" s="461">
        <v>2812</v>
      </c>
      <c r="F118" s="459"/>
      <c r="G118" s="459"/>
    </row>
    <row r="119" spans="1:7">
      <c r="A119" s="460">
        <f t="shared" si="1"/>
        <v>281300</v>
      </c>
      <c r="C119" s="459">
        <f ca="1">SUMIF(SYS_4_3_Digitos!$A$5:$A$6004,D119,SYS_4_3_Digitos!$I$5:$I$6004)-SUMIF(SYS_4_3_Digitos!$A$5:$A$6004,D119,SYS_4_3_Digitos!$J$5:$J$6004)</f>
        <v>-946983.86</v>
      </c>
      <c r="D119" s="461">
        <v>2813</v>
      </c>
      <c r="F119" s="459"/>
      <c r="G119" s="459"/>
    </row>
    <row r="120" spans="1:7">
      <c r="A120" s="460">
        <f t="shared" si="1"/>
        <v>281400</v>
      </c>
      <c r="C120" s="459">
        <f ca="1">SUMIF(SYS_4_3_Digitos!$A$5:$A$6004,D120,SYS_4_3_Digitos!$I$5:$I$6004)-SUMIF(SYS_4_3_Digitos!$A$5:$A$6004,D120,SYS_4_3_Digitos!$J$5:$J$6004)</f>
        <v>-10306.1</v>
      </c>
      <c r="D120" s="461">
        <v>2814</v>
      </c>
      <c r="F120" s="459"/>
      <c r="G120" s="459"/>
    </row>
    <row r="121" spans="1:7">
      <c r="A121" s="460">
        <f t="shared" si="1"/>
        <v>281500</v>
      </c>
      <c r="C121" s="459">
        <f ca="1">SUMIF(SYS_4_3_Digitos!$A$5:$A$6004,D121,SYS_4_3_Digitos!$I$5:$I$6004)-SUMIF(SYS_4_3_Digitos!$A$5:$A$6004,D121,SYS_4_3_Digitos!$J$5:$J$6004)</f>
        <v>-1078807.1499999999</v>
      </c>
      <c r="D121" s="461">
        <v>2815</v>
      </c>
      <c r="F121" s="459"/>
      <c r="G121" s="459"/>
    </row>
    <row r="122" spans="1:7">
      <c r="A122" s="460">
        <f t="shared" si="1"/>
        <v>281600</v>
      </c>
      <c r="C122" s="459">
        <f ca="1">SUMIF(SYS_4_3_Digitos!$A$5:$A$6004,D122,SYS_4_3_Digitos!$I$5:$I$6004)-SUMIF(SYS_4_3_Digitos!$A$5:$A$6004,D122,SYS_4_3_Digitos!$J$5:$J$6004)</f>
        <v>-87249.42</v>
      </c>
      <c r="D122" s="461">
        <v>2816</v>
      </c>
      <c r="F122" s="459"/>
      <c r="G122" s="459"/>
    </row>
    <row r="123" spans="1:7">
      <c r="A123" s="460">
        <f t="shared" si="1"/>
        <v>281700</v>
      </c>
      <c r="C123" s="459">
        <f ca="1">SUMIF(SYS_4_3_Digitos!$A$5:$A$6004,D123,SYS_4_3_Digitos!$I$5:$I$6004)-SUMIF(SYS_4_3_Digitos!$A$5:$A$6004,D123,SYS_4_3_Digitos!$J$5:$J$6004)</f>
        <v>-46638.74</v>
      </c>
      <c r="D123" s="461">
        <v>2817</v>
      </c>
      <c r="F123" s="459"/>
      <c r="G123" s="459"/>
    </row>
    <row r="124" spans="1:7">
      <c r="A124" s="460">
        <f t="shared" si="1"/>
        <v>281800</v>
      </c>
      <c r="C124" s="459">
        <f ca="1">SUMIF(SYS_4_3_Digitos!$A$5:$A$6004,D124,SYS_4_3_Digitos!$I$5:$I$6004)-SUMIF(SYS_4_3_Digitos!$A$5:$A$6004,D124,SYS_4_3_Digitos!$J$5:$J$6004)</f>
        <v>-85249.7</v>
      </c>
      <c r="D124" s="461">
        <v>2818</v>
      </c>
      <c r="F124" s="459"/>
      <c r="G124" s="459"/>
    </row>
    <row r="125" spans="1:7">
      <c r="A125" s="460">
        <f t="shared" si="1"/>
        <v>281900</v>
      </c>
      <c r="C125" s="459">
        <f ca="1">SUMIF(SYS_4_3_Digitos!$A$5:$A$6004,D125,SYS_4_3_Digitos!$I$5:$I$6004)-SUMIF(SYS_4_3_Digitos!$A$5:$A$6004,D125,SYS_4_3_Digitos!$J$5:$J$6004)</f>
        <v>-510483.56999999995</v>
      </c>
      <c r="D125" s="461">
        <v>2819</v>
      </c>
      <c r="F125" s="459"/>
      <c r="G125" s="459"/>
    </row>
    <row r="126" spans="1:7">
      <c r="A126" s="460">
        <f t="shared" si="1"/>
        <v>28200</v>
      </c>
      <c r="C126" s="459">
        <f ca="1">SUMIF(SYS_4_3_Digitos!$A$5:$A$6004,D126,SYS_4_3_Digitos!$I$5:$I$6004)-SUMIF(SYS_4_3_Digitos!$A$5:$A$6004,D126,SYS_4_3_Digitos!$J$5:$J$6004)</f>
        <v>-899558.49</v>
      </c>
      <c r="D126" s="461">
        <v>282</v>
      </c>
      <c r="F126" s="459"/>
      <c r="G126" s="459"/>
    </row>
    <row r="127" spans="1:7">
      <c r="A127" s="460">
        <f t="shared" si="1"/>
        <v>29000</v>
      </c>
      <c r="C127" s="459">
        <f ca="1">SUMIF(SYS_4_3_Digitos!$A$5:$A$6004,D127,SYS_4_3_Digitos!$I$5:$I$6004)-SUMIF(SYS_4_3_Digitos!$A$5:$A$6004,D127,SYS_4_3_Digitos!$J$5:$J$6004)</f>
        <v>0</v>
      </c>
      <c r="D127" s="461">
        <v>290</v>
      </c>
      <c r="F127" s="459"/>
      <c r="G127" s="459"/>
    </row>
    <row r="128" spans="1:7">
      <c r="A128" s="460">
        <f t="shared" si="1"/>
        <v>29100</v>
      </c>
      <c r="C128" s="459">
        <f ca="1">SUMIF(SYS_4_3_Digitos!$A$5:$A$6004,D128,SYS_4_3_Digitos!$I$5:$I$6004)-SUMIF(SYS_4_3_Digitos!$A$5:$A$6004,D128,SYS_4_3_Digitos!$J$5:$J$6004)</f>
        <v>0</v>
      </c>
      <c r="D128" s="461">
        <v>291</v>
      </c>
      <c r="F128" s="459"/>
      <c r="G128" s="459"/>
    </row>
    <row r="129" spans="1:7">
      <c r="A129" s="460">
        <f t="shared" si="1"/>
        <v>29200</v>
      </c>
      <c r="C129" s="459">
        <f ca="1">SUMIF(SYS_4_3_Digitos!$A$5:$A$6004,D129,SYS_4_3_Digitos!$I$5:$I$6004)-SUMIF(SYS_4_3_Digitos!$A$5:$A$6004,D129,SYS_4_3_Digitos!$J$5:$J$6004)</f>
        <v>0</v>
      </c>
      <c r="D129" s="461">
        <v>292</v>
      </c>
      <c r="F129" s="459"/>
      <c r="G129" s="459"/>
    </row>
    <row r="130" spans="1:7">
      <c r="A130" s="460">
        <f t="shared" si="1"/>
        <v>293300</v>
      </c>
      <c r="C130" s="459">
        <f ca="1">SUMIF(SYS_4_3_Digitos!$A$5:$A$6004,D130,SYS_4_3_Digitos!$I$5:$I$6004)-SUMIF(SYS_4_3_Digitos!$A$5:$A$6004,D130,SYS_4_3_Digitos!$J$5:$J$6004)</f>
        <v>0</v>
      </c>
      <c r="D130" s="461">
        <v>2933</v>
      </c>
      <c r="F130" s="459"/>
      <c r="G130" s="459"/>
    </row>
    <row r="131" spans="1:7">
      <c r="A131" s="460">
        <f t="shared" si="1"/>
        <v>293400</v>
      </c>
      <c r="C131" s="459">
        <f ca="1">SUMIF(SYS_4_3_Digitos!$A$5:$A$6004,D131,SYS_4_3_Digitos!$I$5:$I$6004)-SUMIF(SYS_4_3_Digitos!$A$5:$A$6004,D131,SYS_4_3_Digitos!$J$5:$J$6004)</f>
        <v>0</v>
      </c>
      <c r="D131" s="461">
        <v>2934</v>
      </c>
      <c r="F131" s="459"/>
      <c r="G131" s="459"/>
    </row>
    <row r="132" spans="1:7">
      <c r="A132" s="460">
        <f t="shared" si="1"/>
        <v>29400</v>
      </c>
      <c r="C132" s="459">
        <f ca="1">SUMIF(SYS_4_3_Digitos!$A$5:$A$6004,D132,SYS_4_3_Digitos!$I$5:$I$6004)-SUMIF(SYS_4_3_Digitos!$A$5:$A$6004,D132,SYS_4_3_Digitos!$J$5:$J$6004)</f>
        <v>0</v>
      </c>
      <c r="D132" s="461">
        <v>294</v>
      </c>
      <c r="F132" s="459"/>
      <c r="G132" s="459"/>
    </row>
    <row r="133" spans="1:7">
      <c r="A133" s="460">
        <f t="shared" si="1"/>
        <v>295300</v>
      </c>
      <c r="C133" s="459">
        <f ca="1">SUMIF(SYS_4_3_Digitos!$A$5:$A$6004,D133,SYS_4_3_Digitos!$I$5:$I$6004)-SUMIF(SYS_4_3_Digitos!$A$5:$A$6004,D133,SYS_4_3_Digitos!$J$5:$J$6004)</f>
        <v>0</v>
      </c>
      <c r="D133" s="461">
        <v>2953</v>
      </c>
      <c r="F133" s="459"/>
      <c r="G133" s="459"/>
    </row>
    <row r="134" spans="1:7">
      <c r="A134" s="460">
        <f t="shared" si="1"/>
        <v>295400</v>
      </c>
      <c r="C134" s="459">
        <f ca="1">SUMIF(SYS_4_3_Digitos!$A$5:$A$6004,D134,SYS_4_3_Digitos!$I$5:$I$6004)-SUMIF(SYS_4_3_Digitos!$A$5:$A$6004,D134,SYS_4_3_Digitos!$J$5:$J$6004)</f>
        <v>0</v>
      </c>
      <c r="D134" s="461">
        <v>2954</v>
      </c>
      <c r="F134" s="459"/>
      <c r="G134" s="459"/>
    </row>
    <row r="135" spans="1:7">
      <c r="A135" s="460">
        <f t="shared" ref="A135:A198" si="2">+D135*$D$1</f>
        <v>295500</v>
      </c>
      <c r="C135" s="459">
        <f ca="1">SUMIF(SYS_4_3_Digitos!$A$5:$A$6004,D135,SYS_4_3_Digitos!$I$5:$I$6004)-SUMIF(SYS_4_3_Digitos!$A$5:$A$6004,D135,SYS_4_3_Digitos!$J$5:$J$6004)</f>
        <v>0</v>
      </c>
      <c r="D135" s="461">
        <v>2955</v>
      </c>
      <c r="F135" s="459"/>
      <c r="G135" s="459"/>
    </row>
    <row r="136" spans="1:7">
      <c r="A136" s="460">
        <f t="shared" si="2"/>
        <v>29700</v>
      </c>
      <c r="C136" s="459">
        <f ca="1">SUMIF(SYS_4_3_Digitos!$A$5:$A$6004,D136,SYS_4_3_Digitos!$I$5:$I$6004)-SUMIF(SYS_4_3_Digitos!$A$5:$A$6004,D136,SYS_4_3_Digitos!$J$5:$J$6004)</f>
        <v>0</v>
      </c>
      <c r="D136" s="461">
        <v>297</v>
      </c>
      <c r="F136" s="459"/>
      <c r="G136" s="459"/>
    </row>
    <row r="137" spans="1:7">
      <c r="A137" s="460">
        <f t="shared" si="2"/>
        <v>29800</v>
      </c>
      <c r="C137" s="459">
        <f ca="1">SUMIF(SYS_4_3_Digitos!$A$5:$A$6004,D137,SYS_4_3_Digitos!$I$5:$I$6004)-SUMIF(SYS_4_3_Digitos!$A$5:$A$6004,D137,SYS_4_3_Digitos!$J$5:$J$6004)</f>
        <v>0</v>
      </c>
      <c r="D137" s="461">
        <v>298</v>
      </c>
      <c r="F137" s="459"/>
      <c r="G137" s="459"/>
    </row>
    <row r="138" spans="1:7">
      <c r="A138" s="460">
        <f t="shared" si="2"/>
        <v>3000</v>
      </c>
      <c r="C138" s="459">
        <f ca="1">SUMIF(SYS_4_3_Digitos!$A$5:$A$6004,D138,SYS_4_3_Digitos!$I$5:$I$6004)-SUMIF(SYS_4_3_Digitos!$A$5:$A$6004,D138,SYS_4_3_Digitos!$J$5:$J$6004)</f>
        <v>7571396.0500000007</v>
      </c>
      <c r="D138" s="461">
        <v>30</v>
      </c>
      <c r="F138" s="459"/>
      <c r="G138" s="459"/>
    </row>
    <row r="139" spans="1:7">
      <c r="A139" s="460">
        <f t="shared" si="2"/>
        <v>3100</v>
      </c>
      <c r="C139" s="459">
        <f ca="1">SUMIF(SYS_4_3_Digitos!$A$5:$A$6004,D139,SYS_4_3_Digitos!$I$5:$I$6004)-SUMIF(SYS_4_3_Digitos!$A$5:$A$6004,D139,SYS_4_3_Digitos!$J$5:$J$6004)</f>
        <v>33428757.619999997</v>
      </c>
      <c r="D139" s="461">
        <v>31</v>
      </c>
      <c r="F139" s="459"/>
      <c r="G139" s="459"/>
    </row>
    <row r="140" spans="1:7">
      <c r="A140" s="460">
        <f t="shared" si="2"/>
        <v>3200</v>
      </c>
      <c r="C140" s="459">
        <f ca="1">SUMIF(SYS_4_3_Digitos!$A$5:$A$6004,D140,SYS_4_3_Digitos!$I$5:$I$6004)-SUMIF(SYS_4_3_Digitos!$A$5:$A$6004,D140,SYS_4_3_Digitos!$J$5:$J$6004)</f>
        <v>254479.54</v>
      </c>
      <c r="D140" s="461">
        <v>32</v>
      </c>
      <c r="F140" s="459"/>
      <c r="G140" s="459"/>
    </row>
    <row r="141" spans="1:7">
      <c r="A141" s="460">
        <f t="shared" si="2"/>
        <v>3300</v>
      </c>
      <c r="C141" s="459">
        <f ca="1">SUMIF(SYS_4_3_Digitos!$A$5:$A$6004,D141,SYS_4_3_Digitos!$I$5:$I$6004)-SUMIF(SYS_4_3_Digitos!$A$5:$A$6004,D141,SYS_4_3_Digitos!$J$5:$J$6004)</f>
        <v>0</v>
      </c>
      <c r="D141" s="461">
        <v>33</v>
      </c>
      <c r="F141" s="459"/>
      <c r="G141" s="459"/>
    </row>
    <row r="142" spans="1:7">
      <c r="A142" s="460">
        <f t="shared" si="2"/>
        <v>3400</v>
      </c>
      <c r="C142" s="459">
        <f ca="1">SUMIF(SYS_4_3_Digitos!$A$5:$A$6004,D142,SYS_4_3_Digitos!$I$5:$I$6004)-SUMIF(SYS_4_3_Digitos!$A$5:$A$6004,D142,SYS_4_3_Digitos!$J$5:$J$6004)</f>
        <v>0</v>
      </c>
      <c r="D142" s="461">
        <v>34</v>
      </c>
      <c r="F142" s="459"/>
      <c r="G142" s="459"/>
    </row>
    <row r="143" spans="1:7">
      <c r="A143" s="460">
        <f t="shared" si="2"/>
        <v>3500</v>
      </c>
      <c r="C143" s="459">
        <f ca="1">SUMIF(SYS_4_3_Digitos!$A$5:$A$6004,D143,SYS_4_3_Digitos!$I$5:$I$6004)-SUMIF(SYS_4_3_Digitos!$A$5:$A$6004,D143,SYS_4_3_Digitos!$J$5:$J$6004)</f>
        <v>4499319.3600000003</v>
      </c>
      <c r="D143" s="461">
        <v>35</v>
      </c>
      <c r="F143" s="459"/>
      <c r="G143" s="459"/>
    </row>
    <row r="144" spans="1:7">
      <c r="A144" s="460">
        <f t="shared" si="2"/>
        <v>3600</v>
      </c>
      <c r="C144" s="459">
        <f ca="1">SUMIF(SYS_4_3_Digitos!$A$5:$A$6004,D144,SYS_4_3_Digitos!$I$5:$I$6004)-SUMIF(SYS_4_3_Digitos!$A$5:$A$6004,D144,SYS_4_3_Digitos!$J$5:$J$6004)</f>
        <v>0</v>
      </c>
      <c r="D144" s="461">
        <v>36</v>
      </c>
      <c r="F144" s="459"/>
      <c r="G144" s="459"/>
    </row>
    <row r="145" spans="1:7">
      <c r="A145" s="460">
        <f t="shared" si="2"/>
        <v>3900</v>
      </c>
      <c r="C145" s="459">
        <f ca="1">SUMIF(SYS_4_3_Digitos!$A$5:$A$6004,D145,SYS_4_3_Digitos!$I$5:$I$6004)-SUMIF(SYS_4_3_Digitos!$A$5:$A$6004,D145,SYS_4_3_Digitos!$J$5:$J$6004)</f>
        <v>0</v>
      </c>
      <c r="D145" s="461">
        <v>39</v>
      </c>
      <c r="F145" s="459"/>
      <c r="G145" s="459"/>
    </row>
    <row r="146" spans="1:7">
      <c r="A146" s="460">
        <f t="shared" si="2"/>
        <v>40000</v>
      </c>
      <c r="C146" s="459">
        <f ca="1">SUMIF(SYS_4_3_Digitos!$A$5:$A$6004,D146,SYS_4_3_Digitos!$I$5:$I$6004)-SUMIF(SYS_4_3_Digitos!$A$5:$A$6004,D146,SYS_4_3_Digitos!$J$5:$J$6004)</f>
        <v>1168480.1300000001</v>
      </c>
      <c r="D146" s="461">
        <v>400</v>
      </c>
      <c r="F146" s="459"/>
      <c r="G146" s="459"/>
    </row>
    <row r="147" spans="1:7">
      <c r="A147" s="460">
        <f t="shared" si="2"/>
        <v>40100</v>
      </c>
      <c r="C147" s="459">
        <f ca="1">SUMIF(SYS_4_3_Digitos!$A$5:$A$6004,D147,SYS_4_3_Digitos!$I$5:$I$6004)-SUMIF(SYS_4_3_Digitos!$A$5:$A$6004,D147,SYS_4_3_Digitos!$J$5:$J$6004)</f>
        <v>-1327511.8400000001</v>
      </c>
      <c r="D147" s="461">
        <v>401</v>
      </c>
      <c r="F147" s="459"/>
      <c r="G147" s="459"/>
    </row>
    <row r="148" spans="1:7">
      <c r="A148" s="460">
        <f t="shared" si="2"/>
        <v>40300</v>
      </c>
      <c r="C148" s="459">
        <f ca="1">SUMIF(SYS_4_3_Digitos!$A$5:$A$6004,D148,SYS_4_3_Digitos!$I$5:$I$6004)-SUMIF(SYS_4_3_Digitos!$A$5:$A$6004,D148,SYS_4_3_Digitos!$J$5:$J$6004)</f>
        <v>0</v>
      </c>
      <c r="D148" s="461">
        <v>403</v>
      </c>
      <c r="F148" s="459"/>
      <c r="G148" s="459"/>
    </row>
    <row r="149" spans="1:7">
      <c r="A149" s="460">
        <f t="shared" si="2"/>
        <v>40400</v>
      </c>
      <c r="C149" s="459">
        <f ca="1">SUMIF(SYS_4_3_Digitos!$A$5:$A$6004,D149,SYS_4_3_Digitos!$I$5:$I$6004)-SUMIF(SYS_4_3_Digitos!$A$5:$A$6004,D149,SYS_4_3_Digitos!$J$5:$J$6004)</f>
        <v>0</v>
      </c>
      <c r="D149" s="461">
        <v>404</v>
      </c>
      <c r="F149" s="459"/>
      <c r="G149" s="459"/>
    </row>
    <row r="150" spans="1:7">
      <c r="A150" s="460">
        <f t="shared" si="2"/>
        <v>40500</v>
      </c>
      <c r="C150" s="459">
        <f ca="1">SUMIF(SYS_4_3_Digitos!$A$5:$A$6004,D150,SYS_4_3_Digitos!$I$5:$I$6004)-SUMIF(SYS_4_3_Digitos!$A$5:$A$6004,D150,SYS_4_3_Digitos!$J$5:$J$6004)</f>
        <v>0</v>
      </c>
      <c r="D150" s="461">
        <v>405</v>
      </c>
      <c r="F150" s="459"/>
      <c r="G150" s="459"/>
    </row>
    <row r="151" spans="1:7">
      <c r="A151" s="460">
        <f t="shared" si="2"/>
        <v>40600</v>
      </c>
      <c r="C151" s="459">
        <f ca="1">SUMIF(SYS_4_3_Digitos!$A$5:$A$6004,D151,SYS_4_3_Digitos!$I$5:$I$6004)-SUMIF(SYS_4_3_Digitos!$A$5:$A$6004,D151,SYS_4_3_Digitos!$J$5:$J$6004)</f>
        <v>0</v>
      </c>
      <c r="D151" s="461">
        <v>406</v>
      </c>
      <c r="F151" s="459"/>
      <c r="G151" s="459"/>
    </row>
    <row r="152" spans="1:7">
      <c r="A152" s="460">
        <f t="shared" si="2"/>
        <v>40700</v>
      </c>
      <c r="C152" s="459">
        <f ca="1">SUMIF(SYS_4_3_Digitos!$A$5:$A$6004,D152,SYS_4_3_Digitos!$I$5:$I$6004)-SUMIF(SYS_4_3_Digitos!$A$5:$A$6004,D152,SYS_4_3_Digitos!$J$5:$J$6004)</f>
        <v>0</v>
      </c>
      <c r="D152" s="461">
        <v>407</v>
      </c>
      <c r="F152" s="459"/>
      <c r="G152" s="459"/>
    </row>
    <row r="153" spans="1:7">
      <c r="A153" s="460">
        <f t="shared" si="2"/>
        <v>41000</v>
      </c>
      <c r="C153" s="459">
        <f ca="1">SUMIF(SYS_4_3_Digitos!$A$5:$A$6004,D153,SYS_4_3_Digitos!$I$5:$I$6004)-SUMIF(SYS_4_3_Digitos!$A$5:$A$6004,D153,SYS_4_3_Digitos!$J$5:$J$6004)</f>
        <v>-47222.14</v>
      </c>
      <c r="D153" s="461">
        <v>410</v>
      </c>
      <c r="F153" s="459"/>
      <c r="G153" s="459"/>
    </row>
    <row r="154" spans="1:7">
      <c r="A154" s="460">
        <f t="shared" si="2"/>
        <v>41100</v>
      </c>
      <c r="C154" s="459">
        <f ca="1">SUMIF(SYS_4_3_Digitos!$A$5:$A$6004,D154,SYS_4_3_Digitos!$I$5:$I$6004)-SUMIF(SYS_4_3_Digitos!$A$5:$A$6004,D154,SYS_4_3_Digitos!$J$5:$J$6004)</f>
        <v>-230293.61000000002</v>
      </c>
      <c r="D154" s="461">
        <v>411</v>
      </c>
      <c r="F154" s="459"/>
      <c r="G154" s="459"/>
    </row>
    <row r="155" spans="1:7">
      <c r="A155" s="460">
        <f t="shared" si="2"/>
        <v>41900</v>
      </c>
      <c r="C155" s="459">
        <f ca="1">SUMIF(SYS_4_3_Digitos!$A$5:$A$6004,D155,SYS_4_3_Digitos!$I$5:$I$6004)-SUMIF(SYS_4_3_Digitos!$A$5:$A$6004,D155,SYS_4_3_Digitos!$J$5:$J$6004)</f>
        <v>0</v>
      </c>
      <c r="D155" s="461">
        <v>419</v>
      </c>
      <c r="F155" s="459"/>
      <c r="G155" s="459"/>
    </row>
    <row r="156" spans="1:7">
      <c r="A156" s="460">
        <f t="shared" si="2"/>
        <v>43000</v>
      </c>
      <c r="C156" s="459">
        <f ca="1">SUMIF(SYS_4_3_Digitos!$A$5:$A$6004,D156,SYS_4_3_Digitos!$I$5:$I$6004)-SUMIF(SYS_4_3_Digitos!$A$5:$A$6004,D156,SYS_4_3_Digitos!$J$5:$J$6004)</f>
        <v>-1431356.3099999998</v>
      </c>
      <c r="D156" s="461">
        <v>430</v>
      </c>
      <c r="F156" s="459"/>
      <c r="G156" s="459"/>
    </row>
    <row r="157" spans="1:7">
      <c r="A157" s="460">
        <f t="shared" si="2"/>
        <v>43100</v>
      </c>
      <c r="C157" s="459">
        <f ca="1">SUMIF(SYS_4_3_Digitos!$A$5:$A$6004,D157,SYS_4_3_Digitos!$I$5:$I$6004)-SUMIF(SYS_4_3_Digitos!$A$5:$A$6004,D157,SYS_4_3_Digitos!$J$5:$J$6004)</f>
        <v>25768944.690000001</v>
      </c>
      <c r="D157" s="461">
        <v>431</v>
      </c>
      <c r="F157" s="459"/>
      <c r="G157" s="459"/>
    </row>
    <row r="158" spans="1:7">
      <c r="A158" s="460">
        <f t="shared" si="2"/>
        <v>43200</v>
      </c>
      <c r="C158" s="459">
        <f ca="1">SUMIF(SYS_4_3_Digitos!$A$5:$A$6004,D158,SYS_4_3_Digitos!$I$5:$I$6004)-SUMIF(SYS_4_3_Digitos!$A$5:$A$6004,D158,SYS_4_3_Digitos!$J$5:$J$6004)</f>
        <v>0</v>
      </c>
      <c r="D158" s="461">
        <v>432</v>
      </c>
      <c r="F158" s="459"/>
      <c r="G158" s="459"/>
    </row>
    <row r="159" spans="1:7">
      <c r="A159" s="460">
        <f t="shared" si="2"/>
        <v>43300</v>
      </c>
      <c r="C159" s="459">
        <f ca="1">SUMIF(SYS_4_3_Digitos!$A$5:$A$6004,D159,SYS_4_3_Digitos!$I$5:$I$6004)-SUMIF(SYS_4_3_Digitos!$A$5:$A$6004,D159,SYS_4_3_Digitos!$J$5:$J$6004)</f>
        <v>0</v>
      </c>
      <c r="D159" s="461">
        <v>433</v>
      </c>
      <c r="F159" s="459"/>
      <c r="G159" s="459"/>
    </row>
    <row r="160" spans="1:7">
      <c r="A160" s="460">
        <f t="shared" si="2"/>
        <v>43400</v>
      </c>
      <c r="C160" s="459">
        <f ca="1">SUMIF(SYS_4_3_Digitos!$A$5:$A$6004,D160,SYS_4_3_Digitos!$I$5:$I$6004)-SUMIF(SYS_4_3_Digitos!$A$5:$A$6004,D160,SYS_4_3_Digitos!$J$5:$J$6004)</f>
        <v>0</v>
      </c>
      <c r="D160" s="461">
        <v>434</v>
      </c>
      <c r="F160" s="459"/>
      <c r="G160" s="459"/>
    </row>
    <row r="161" spans="1:7">
      <c r="A161" s="460">
        <f t="shared" si="2"/>
        <v>43500</v>
      </c>
      <c r="C161" s="459">
        <f ca="1">SUMIF(SYS_4_3_Digitos!$A$5:$A$6004,D161,SYS_4_3_Digitos!$I$5:$I$6004)-SUMIF(SYS_4_3_Digitos!$A$5:$A$6004,D161,SYS_4_3_Digitos!$J$5:$J$6004)</f>
        <v>0</v>
      </c>
      <c r="D161" s="461">
        <v>435</v>
      </c>
      <c r="F161" s="459"/>
      <c r="G161" s="459"/>
    </row>
    <row r="162" spans="1:7">
      <c r="A162" s="460">
        <f t="shared" si="2"/>
        <v>43600</v>
      </c>
      <c r="C162" s="459">
        <f ca="1">SUMIF(SYS_4_3_Digitos!$A$5:$A$6004,D162,SYS_4_3_Digitos!$I$5:$I$6004)-SUMIF(SYS_4_3_Digitos!$A$5:$A$6004,D162,SYS_4_3_Digitos!$J$5:$J$6004)</f>
        <v>110160</v>
      </c>
      <c r="D162" s="461">
        <v>436</v>
      </c>
      <c r="F162" s="459"/>
      <c r="G162" s="459"/>
    </row>
    <row r="163" spans="1:7">
      <c r="A163" s="460">
        <f t="shared" si="2"/>
        <v>43700</v>
      </c>
      <c r="C163" s="459">
        <f ca="1">SUMIF(SYS_4_3_Digitos!$A$5:$A$6004,D163,SYS_4_3_Digitos!$I$5:$I$6004)-SUMIF(SYS_4_3_Digitos!$A$5:$A$6004,D163,SYS_4_3_Digitos!$J$5:$J$6004)</f>
        <v>0</v>
      </c>
      <c r="D163" s="461">
        <v>437</v>
      </c>
      <c r="F163" s="459"/>
      <c r="G163" s="459"/>
    </row>
    <row r="164" spans="1:7">
      <c r="A164" s="460">
        <f t="shared" si="2"/>
        <v>43800</v>
      </c>
      <c r="C164" s="459">
        <f ca="1">SUMIF(SYS_4_3_Digitos!$A$5:$A$6004,D164,SYS_4_3_Digitos!$I$5:$I$6004)-SUMIF(SYS_4_3_Digitos!$A$5:$A$6004,D164,SYS_4_3_Digitos!$J$5:$J$6004)</f>
        <v>0</v>
      </c>
      <c r="D164" s="461">
        <v>438</v>
      </c>
      <c r="F164" s="459"/>
      <c r="G164" s="459"/>
    </row>
    <row r="165" spans="1:7">
      <c r="A165" s="460">
        <f t="shared" si="2"/>
        <v>44000</v>
      </c>
      <c r="C165" s="459">
        <f ca="1">SUMIF(SYS_4_3_Digitos!$A$5:$A$6004,D165,SYS_4_3_Digitos!$I$5:$I$6004)-SUMIF(SYS_4_3_Digitos!$A$5:$A$6004,D165,SYS_4_3_Digitos!$J$5:$J$6004)</f>
        <v>652.07000000000005</v>
      </c>
      <c r="D165" s="461">
        <v>440</v>
      </c>
      <c r="F165" s="459"/>
      <c r="G165" s="459"/>
    </row>
    <row r="166" spans="1:7">
      <c r="A166" s="460">
        <f t="shared" si="2"/>
        <v>44100</v>
      </c>
      <c r="C166" s="459">
        <f ca="1">SUMIF(SYS_4_3_Digitos!$A$5:$A$6004,D166,SYS_4_3_Digitos!$I$5:$I$6004)-SUMIF(SYS_4_3_Digitos!$A$5:$A$6004,D166,SYS_4_3_Digitos!$J$5:$J$6004)</f>
        <v>156.09</v>
      </c>
      <c r="D166" s="461">
        <v>441</v>
      </c>
      <c r="F166" s="459"/>
      <c r="G166" s="459"/>
    </row>
    <row r="167" spans="1:7">
      <c r="A167" s="460">
        <f t="shared" si="2"/>
        <v>44600</v>
      </c>
      <c r="C167" s="459">
        <f ca="1">SUMIF(SYS_4_3_Digitos!$A$5:$A$6004,D167,SYS_4_3_Digitos!$I$5:$I$6004)-SUMIF(SYS_4_3_Digitos!$A$5:$A$6004,D167,SYS_4_3_Digitos!$J$5:$J$6004)</f>
        <v>0</v>
      </c>
      <c r="D167" s="461">
        <v>446</v>
      </c>
      <c r="F167" s="459"/>
      <c r="G167" s="459"/>
    </row>
    <row r="168" spans="1:7">
      <c r="A168" s="460">
        <f t="shared" si="2"/>
        <v>44900</v>
      </c>
      <c r="C168" s="459">
        <f ca="1">SUMIF(SYS_4_3_Digitos!$A$5:$A$6004,D168,SYS_4_3_Digitos!$I$5:$I$6004)-SUMIF(SYS_4_3_Digitos!$A$5:$A$6004,D168,SYS_4_3_Digitos!$J$5:$J$6004)</f>
        <v>0</v>
      </c>
      <c r="D168" s="461">
        <v>449</v>
      </c>
      <c r="F168" s="459"/>
      <c r="G168" s="459"/>
    </row>
    <row r="169" spans="1:7">
      <c r="A169" s="460">
        <f t="shared" si="2"/>
        <v>46000</v>
      </c>
      <c r="C169" s="459">
        <f ca="1">SUMIF(SYS_4_3_Digitos!$A$5:$A$6004,D169,SYS_4_3_Digitos!$I$5:$I$6004)-SUMIF(SYS_4_3_Digitos!$A$5:$A$6004,D169,SYS_4_3_Digitos!$J$5:$J$6004)</f>
        <v>525</v>
      </c>
      <c r="D169" s="461">
        <v>460</v>
      </c>
      <c r="F169" s="459"/>
      <c r="G169" s="459"/>
    </row>
    <row r="170" spans="1:7">
      <c r="A170" s="460">
        <f t="shared" si="2"/>
        <v>46500</v>
      </c>
      <c r="C170" s="459">
        <f ca="1">SUMIF(SYS_4_3_Digitos!$A$5:$A$6004,D170,SYS_4_3_Digitos!$I$5:$I$6004)-SUMIF(SYS_4_3_Digitos!$A$5:$A$6004,D170,SYS_4_3_Digitos!$J$5:$J$6004)</f>
        <v>155.01</v>
      </c>
      <c r="D170" s="461">
        <v>465</v>
      </c>
      <c r="F170" s="459"/>
      <c r="G170" s="459"/>
    </row>
    <row r="171" spans="1:7">
      <c r="A171" s="460">
        <f t="shared" si="2"/>
        <v>46600</v>
      </c>
      <c r="C171" s="459">
        <f ca="1">SUMIF(SYS_4_3_Digitos!$A$5:$A$6004,D171,SYS_4_3_Digitos!$I$5:$I$6004)-SUMIF(SYS_4_3_Digitos!$A$5:$A$6004,D171,SYS_4_3_Digitos!$J$5:$J$6004)</f>
        <v>0</v>
      </c>
      <c r="D171" s="461">
        <v>466</v>
      </c>
      <c r="F171" s="459"/>
      <c r="G171" s="459"/>
    </row>
    <row r="172" spans="1:7">
      <c r="A172" s="460">
        <f t="shared" si="2"/>
        <v>470000</v>
      </c>
      <c r="C172" s="459">
        <f ca="1">SUMIF(SYS_4_3_Digitos!$A$5:$A$6004,D172,SYS_4_3_Digitos!$I$5:$I$6004)-SUMIF(SYS_4_3_Digitos!$A$5:$A$6004,D172,SYS_4_3_Digitos!$J$5:$J$6004)</f>
        <v>0</v>
      </c>
      <c r="D172" s="461">
        <v>4700</v>
      </c>
      <c r="F172" s="459"/>
      <c r="G172" s="459"/>
    </row>
    <row r="173" spans="1:7">
      <c r="A173" s="460">
        <f t="shared" si="2"/>
        <v>470800</v>
      </c>
      <c r="C173" s="459">
        <f ca="1">SUMIF(SYS_4_3_Digitos!$A$5:$A$6004,D173,SYS_4_3_Digitos!$I$5:$I$6004)-SUMIF(SYS_4_3_Digitos!$A$5:$A$6004,D173,SYS_4_3_Digitos!$J$5:$J$6004)</f>
        <v>0</v>
      </c>
      <c r="D173" s="461">
        <v>4708</v>
      </c>
      <c r="F173" s="459"/>
      <c r="G173" s="459"/>
    </row>
    <row r="174" spans="1:7">
      <c r="A174" s="460">
        <f t="shared" si="2"/>
        <v>470900</v>
      </c>
      <c r="C174" s="459">
        <f ca="1">SUMIF(SYS_4_3_Digitos!$A$5:$A$6004,D174,SYS_4_3_Digitos!$I$5:$I$6004)-SUMIF(SYS_4_3_Digitos!$A$5:$A$6004,D174,SYS_4_3_Digitos!$J$5:$J$6004)</f>
        <v>3151475.96</v>
      </c>
      <c r="D174" s="461">
        <v>4709</v>
      </c>
      <c r="F174" s="459"/>
      <c r="G174" s="459"/>
    </row>
    <row r="175" spans="1:7">
      <c r="A175" s="460">
        <f t="shared" si="2"/>
        <v>47100</v>
      </c>
      <c r="C175" s="459">
        <f ca="1">SUMIF(SYS_4_3_Digitos!$A$5:$A$6004,D175,SYS_4_3_Digitos!$I$5:$I$6004)-SUMIF(SYS_4_3_Digitos!$A$5:$A$6004,D175,SYS_4_3_Digitos!$J$5:$J$6004)</f>
        <v>0</v>
      </c>
      <c r="D175" s="461">
        <v>471</v>
      </c>
      <c r="F175" s="459"/>
      <c r="G175" s="459"/>
    </row>
    <row r="176" spans="1:7">
      <c r="A176" s="460">
        <f t="shared" si="2"/>
        <v>47200</v>
      </c>
      <c r="C176" s="459">
        <f ca="1">SUMIF(SYS_4_3_Digitos!$A$5:$A$6004,D176,SYS_4_3_Digitos!$I$5:$I$6004)-SUMIF(SYS_4_3_Digitos!$A$5:$A$6004,D176,SYS_4_3_Digitos!$J$5:$J$6004)</f>
        <v>0</v>
      </c>
      <c r="D176" s="461">
        <v>472</v>
      </c>
      <c r="F176" s="459"/>
      <c r="G176" s="459"/>
    </row>
    <row r="177" spans="1:7">
      <c r="A177" s="460">
        <f t="shared" si="2"/>
        <v>47300</v>
      </c>
      <c r="C177" s="459">
        <f ca="1">SUMIF(SYS_4_3_Digitos!$A$5:$A$6004,D177,SYS_4_3_Digitos!$I$5:$I$6004)-SUMIF(SYS_4_3_Digitos!$A$5:$A$6004,D177,SYS_4_3_Digitos!$J$5:$J$6004)</f>
        <v>0</v>
      </c>
      <c r="D177" s="461">
        <v>473</v>
      </c>
      <c r="F177" s="459"/>
      <c r="G177" s="459"/>
    </row>
    <row r="178" spans="1:7">
      <c r="A178" s="460">
        <f t="shared" si="2"/>
        <v>474000</v>
      </c>
      <c r="C178" s="459">
        <f ca="1">SUMIF(SYS_4_3_Digitos!$A$5:$A$6004,D178,SYS_4_3_Digitos!$I$5:$I$6004)-SUMIF(SYS_4_3_Digitos!$A$5:$A$6004,D178,SYS_4_3_Digitos!$J$5:$J$6004)</f>
        <v>2082289.74</v>
      </c>
      <c r="D178" s="461">
        <v>4740</v>
      </c>
      <c r="F178" s="459"/>
      <c r="G178" s="459"/>
    </row>
    <row r="179" spans="1:7">
      <c r="A179" s="460">
        <f t="shared" si="2"/>
        <v>474200</v>
      </c>
      <c r="C179" s="459">
        <f ca="1">SUMIF(SYS_4_3_Digitos!$A$5:$A$6004,D179,SYS_4_3_Digitos!$I$5:$I$6004)-SUMIF(SYS_4_3_Digitos!$A$5:$A$6004,D179,SYS_4_3_Digitos!$J$5:$J$6004)</f>
        <v>211328.52000000008</v>
      </c>
      <c r="D179" s="461">
        <v>4742</v>
      </c>
      <c r="F179" s="459"/>
      <c r="G179" s="459"/>
    </row>
    <row r="180" spans="1:7">
      <c r="A180" s="460">
        <f t="shared" si="2"/>
        <v>474500</v>
      </c>
      <c r="C180" s="459">
        <f ca="1">SUMIF(SYS_4_3_Digitos!$A$5:$A$6004,D180,SYS_4_3_Digitos!$I$5:$I$6004)-SUMIF(SYS_4_3_Digitos!$A$5:$A$6004,D180,SYS_4_3_Digitos!$J$5:$J$6004)</f>
        <v>0</v>
      </c>
      <c r="D180" s="461">
        <v>4745</v>
      </c>
      <c r="F180" s="459"/>
      <c r="G180" s="459"/>
    </row>
    <row r="181" spans="1:7">
      <c r="A181" s="460">
        <f t="shared" si="2"/>
        <v>475000</v>
      </c>
      <c r="C181" s="459">
        <f ca="1">SUMIF(SYS_4_3_Digitos!$A$5:$A$6004,D181,SYS_4_3_Digitos!$I$5:$I$6004)-SUMIF(SYS_4_3_Digitos!$A$5:$A$6004,D181,SYS_4_3_Digitos!$J$5:$J$6004)</f>
        <v>-674546.61</v>
      </c>
      <c r="D181" s="461">
        <v>4750</v>
      </c>
      <c r="F181" s="459"/>
      <c r="G181" s="459"/>
    </row>
    <row r="182" spans="1:7">
      <c r="A182" s="460">
        <f t="shared" si="2"/>
        <v>475100</v>
      </c>
      <c r="C182" s="459">
        <f ca="1">SUMIF(SYS_4_3_Digitos!$A$5:$A$6004,D182,SYS_4_3_Digitos!$I$5:$I$6004)-SUMIF(SYS_4_3_Digitos!$A$5:$A$6004,D182,SYS_4_3_Digitos!$J$5:$J$6004)</f>
        <v>-170101.03999999998</v>
      </c>
      <c r="D182" s="461">
        <v>4751</v>
      </c>
      <c r="F182" s="459"/>
      <c r="G182" s="459"/>
    </row>
    <row r="183" spans="1:7">
      <c r="A183" s="460">
        <f t="shared" si="2"/>
        <v>475200</v>
      </c>
      <c r="C183" s="459">
        <f ca="1">SUMIF(SYS_4_3_Digitos!$A$5:$A$6004,D183,SYS_4_3_Digitos!$I$5:$I$6004)-SUMIF(SYS_4_3_Digitos!$A$5:$A$6004,D183,SYS_4_3_Digitos!$J$5:$J$6004)</f>
        <v>0</v>
      </c>
      <c r="D183" s="461">
        <v>4752</v>
      </c>
      <c r="F183" s="459"/>
      <c r="G183" s="459"/>
    </row>
    <row r="184" spans="1:7">
      <c r="A184" s="460">
        <f t="shared" si="2"/>
        <v>475800</v>
      </c>
      <c r="C184" s="459">
        <f ca="1">SUMIF(SYS_4_3_Digitos!$A$5:$A$6004,D184,SYS_4_3_Digitos!$I$5:$I$6004)-SUMIF(SYS_4_3_Digitos!$A$5:$A$6004,D184,SYS_4_3_Digitos!$J$5:$J$6004)</f>
        <v>0</v>
      </c>
      <c r="D184" s="461">
        <v>4758</v>
      </c>
      <c r="F184" s="459"/>
      <c r="G184" s="459"/>
    </row>
    <row r="185" spans="1:7">
      <c r="A185" s="460">
        <f t="shared" si="2"/>
        <v>47600</v>
      </c>
      <c r="C185" s="459">
        <f ca="1">SUMIF(SYS_4_3_Digitos!$A$5:$A$6004,D185,SYS_4_3_Digitos!$I$5:$I$6004)-SUMIF(SYS_4_3_Digitos!$A$5:$A$6004,D185,SYS_4_3_Digitos!$J$5:$J$6004)</f>
        <v>-52069.54</v>
      </c>
      <c r="D185" s="461">
        <v>476</v>
      </c>
      <c r="F185" s="459"/>
      <c r="G185" s="459"/>
    </row>
    <row r="186" spans="1:7">
      <c r="A186" s="460">
        <f t="shared" si="2"/>
        <v>47700</v>
      </c>
      <c r="C186" s="459">
        <f ca="1">SUMIF(SYS_4_3_Digitos!$A$5:$A$6004,D186,SYS_4_3_Digitos!$I$5:$I$6004)-SUMIF(SYS_4_3_Digitos!$A$5:$A$6004,D186,SYS_4_3_Digitos!$J$5:$J$6004)</f>
        <v>0</v>
      </c>
      <c r="D186" s="461">
        <v>477</v>
      </c>
      <c r="F186" s="459"/>
      <c r="G186" s="459"/>
    </row>
    <row r="187" spans="1:7">
      <c r="A187" s="460">
        <f t="shared" si="2"/>
        <v>47900</v>
      </c>
      <c r="C187" s="459">
        <f ca="1">SUMIF(SYS_4_3_Digitos!$A$5:$A$6004,D187,SYS_4_3_Digitos!$I$5:$I$6004)-SUMIF(SYS_4_3_Digitos!$A$5:$A$6004,D187,SYS_4_3_Digitos!$J$5:$J$6004)</f>
        <v>-9998511.5600000005</v>
      </c>
      <c r="D187" s="461">
        <v>479</v>
      </c>
      <c r="F187" s="459"/>
      <c r="G187" s="459"/>
    </row>
    <row r="188" spans="1:7">
      <c r="A188" s="460">
        <f t="shared" si="2"/>
        <v>48000</v>
      </c>
      <c r="C188" s="459">
        <f ca="1">SUMIF(SYS_4_3_Digitos!$A$5:$A$6004,D188,SYS_4_3_Digitos!$I$5:$I$6004)-SUMIF(SYS_4_3_Digitos!$A$5:$A$6004,D188,SYS_4_3_Digitos!$J$5:$J$6004)</f>
        <v>18505.640000000003</v>
      </c>
      <c r="D188" s="461">
        <v>480</v>
      </c>
      <c r="F188" s="459"/>
      <c r="G188" s="459"/>
    </row>
    <row r="189" spans="1:7">
      <c r="A189" s="460">
        <f t="shared" si="2"/>
        <v>48500</v>
      </c>
      <c r="C189" s="459">
        <f ca="1">SUMIF(SYS_4_3_Digitos!$A$5:$A$6004,D189,SYS_4_3_Digitos!$I$5:$I$6004)-SUMIF(SYS_4_3_Digitos!$A$5:$A$6004,D189,SYS_4_3_Digitos!$J$5:$J$6004)</f>
        <v>0</v>
      </c>
      <c r="D189" s="461">
        <v>485</v>
      </c>
      <c r="F189" s="459"/>
      <c r="G189" s="459"/>
    </row>
    <row r="190" spans="1:7">
      <c r="A190" s="460">
        <f t="shared" si="2"/>
        <v>49000</v>
      </c>
      <c r="C190" s="459">
        <f ca="1">SUMIF(SYS_4_3_Digitos!$A$5:$A$6004,D190,SYS_4_3_Digitos!$I$5:$I$6004)-SUMIF(SYS_4_3_Digitos!$A$5:$A$6004,D190,SYS_4_3_Digitos!$J$5:$J$6004)</f>
        <v>-110160</v>
      </c>
      <c r="D190" s="461">
        <v>490</v>
      </c>
      <c r="F190" s="459"/>
      <c r="G190" s="459"/>
    </row>
    <row r="191" spans="1:7">
      <c r="A191" s="460">
        <f t="shared" si="2"/>
        <v>5000</v>
      </c>
      <c r="C191" s="459">
        <f ca="1">SUMIF(SYS_4_3_Digitos!$A$5:$A$6004,D191,SYS_4_3_Digitos!$I$5:$I$6004)-SUMIF(SYS_4_3_Digitos!$A$5:$A$6004,D191,SYS_4_3_Digitos!$J$5:$J$6004)</f>
        <v>0</v>
      </c>
      <c r="D191" s="461">
        <v>50</v>
      </c>
      <c r="F191" s="459"/>
      <c r="G191" s="459"/>
    </row>
    <row r="192" spans="1:7">
      <c r="A192" s="460">
        <f t="shared" si="2"/>
        <v>513300</v>
      </c>
      <c r="C192" s="459">
        <f ca="1">SUMIF(SYS_4_3_Digitos!$A$5:$A$6004,D192,SYS_4_3_Digitos!$I$5:$I$6004)-SUMIF(SYS_4_3_Digitos!$A$5:$A$6004,D192,SYS_4_3_Digitos!$J$5:$J$6004)</f>
        <v>0</v>
      </c>
      <c r="D192" s="461">
        <v>5133</v>
      </c>
      <c r="F192" s="459"/>
      <c r="G192" s="459"/>
    </row>
    <row r="193" spans="1:7">
      <c r="A193" s="460">
        <f t="shared" si="2"/>
        <v>513400</v>
      </c>
      <c r="C193" s="459">
        <f ca="1">SUMIF(SYS_4_3_Digitos!$A$5:$A$6004,D193,SYS_4_3_Digitos!$I$5:$I$6004)-SUMIF(SYS_4_3_Digitos!$A$5:$A$6004,D193,SYS_4_3_Digitos!$J$5:$J$6004)</f>
        <v>0</v>
      </c>
      <c r="D193" s="461">
        <v>5134</v>
      </c>
      <c r="F193" s="459"/>
      <c r="G193" s="459"/>
    </row>
    <row r="194" spans="1:7">
      <c r="A194" s="460">
        <f t="shared" si="2"/>
        <v>513500</v>
      </c>
      <c r="C194" s="459">
        <f ca="1">SUMIF(SYS_4_3_Digitos!$A$5:$A$6004,D194,SYS_4_3_Digitos!$I$5:$I$6004)-SUMIF(SYS_4_3_Digitos!$A$5:$A$6004,D194,SYS_4_3_Digitos!$J$5:$J$6004)</f>
        <v>0</v>
      </c>
      <c r="D194" s="461">
        <v>5135</v>
      </c>
      <c r="F194" s="459"/>
      <c r="G194" s="459"/>
    </row>
    <row r="195" spans="1:7">
      <c r="A195" s="460">
        <f t="shared" si="2"/>
        <v>514500</v>
      </c>
      <c r="C195" s="459">
        <f ca="1">SUMIF(SYS_4_3_Digitos!$A$5:$A$6004,D195,SYS_4_3_Digitos!$I$5:$I$6004)-SUMIF(SYS_4_3_Digitos!$A$5:$A$6004,D195,SYS_4_3_Digitos!$J$5:$J$6004)</f>
        <v>0</v>
      </c>
      <c r="D195" s="461">
        <v>5145</v>
      </c>
      <c r="F195" s="459"/>
      <c r="G195" s="459"/>
    </row>
    <row r="196" spans="1:7">
      <c r="A196" s="460">
        <f t="shared" si="2"/>
        <v>52000</v>
      </c>
      <c r="C196" s="459">
        <f ca="1">SUMIF(SYS_4_3_Digitos!$A$5:$A$6004,D196,SYS_4_3_Digitos!$I$5:$I$6004)-SUMIF(SYS_4_3_Digitos!$A$5:$A$6004,D196,SYS_4_3_Digitos!$J$5:$J$6004)</f>
        <v>0</v>
      </c>
      <c r="D196" s="461">
        <v>520</v>
      </c>
      <c r="F196" s="459"/>
      <c r="G196" s="459"/>
    </row>
    <row r="197" spans="1:7">
      <c r="A197" s="460">
        <f t="shared" si="2"/>
        <v>52100</v>
      </c>
      <c r="C197" s="459">
        <f ca="1">SUMIF(SYS_4_3_Digitos!$A$5:$A$6004,D197,SYS_4_3_Digitos!$I$5:$I$6004)-SUMIF(SYS_4_3_Digitos!$A$5:$A$6004,D197,SYS_4_3_Digitos!$J$5:$J$6004)</f>
        <v>-652.07000000000005</v>
      </c>
      <c r="D197" s="461">
        <v>521</v>
      </c>
      <c r="F197" s="459"/>
      <c r="G197" s="459"/>
    </row>
    <row r="198" spans="1:7">
      <c r="A198" s="460">
        <f t="shared" si="2"/>
        <v>52200</v>
      </c>
      <c r="C198" s="459">
        <f ca="1">SUMIF(SYS_4_3_Digitos!$A$5:$A$6004,D198,SYS_4_3_Digitos!$I$5:$I$6004)-SUMIF(SYS_4_3_Digitos!$A$5:$A$6004,D198,SYS_4_3_Digitos!$J$5:$J$6004)</f>
        <v>0</v>
      </c>
      <c r="D198" s="461">
        <v>522</v>
      </c>
      <c r="F198" s="459"/>
      <c r="G198" s="459"/>
    </row>
    <row r="199" spans="1:7">
      <c r="A199" s="460">
        <f t="shared" ref="A199:A262" si="3">+D199*$D$1</f>
        <v>52300</v>
      </c>
      <c r="C199" s="459">
        <f ca="1">SUMIF(SYS_4_3_Digitos!$A$5:$A$6004,D199,SYS_4_3_Digitos!$I$5:$I$6004)-SUMIF(SYS_4_3_Digitos!$A$5:$A$6004,D199,SYS_4_3_Digitos!$J$5:$J$6004)</f>
        <v>0</v>
      </c>
      <c r="D199" s="461">
        <v>523</v>
      </c>
      <c r="F199" s="459"/>
      <c r="G199" s="459"/>
    </row>
    <row r="200" spans="1:7">
      <c r="A200" s="460">
        <f t="shared" si="3"/>
        <v>52400</v>
      </c>
      <c r="C200" s="459">
        <f ca="1">SUMIF(SYS_4_3_Digitos!$A$5:$A$6004,D200,SYS_4_3_Digitos!$I$5:$I$6004)-SUMIF(SYS_4_3_Digitos!$A$5:$A$6004,D200,SYS_4_3_Digitos!$J$5:$J$6004)</f>
        <v>0</v>
      </c>
      <c r="D200" s="461">
        <v>524</v>
      </c>
      <c r="F200" s="459"/>
      <c r="G200" s="459"/>
    </row>
    <row r="201" spans="1:7">
      <c r="A201" s="460">
        <f t="shared" si="3"/>
        <v>52500</v>
      </c>
      <c r="C201" s="459">
        <f ca="1">SUMIF(SYS_4_3_Digitos!$A$5:$A$6004,D201,SYS_4_3_Digitos!$I$5:$I$6004)-SUMIF(SYS_4_3_Digitos!$A$5:$A$6004,D201,SYS_4_3_Digitos!$J$5:$J$6004)</f>
        <v>0</v>
      </c>
      <c r="D201" s="461">
        <v>525</v>
      </c>
      <c r="F201" s="459"/>
      <c r="G201" s="459"/>
    </row>
    <row r="202" spans="1:7">
      <c r="A202" s="460">
        <f t="shared" si="3"/>
        <v>52600</v>
      </c>
      <c r="C202" s="459">
        <f ca="1">SUMIF(SYS_4_3_Digitos!$A$5:$A$6004,D202,SYS_4_3_Digitos!$I$5:$I$6004)-SUMIF(SYS_4_3_Digitos!$A$5:$A$6004,D202,SYS_4_3_Digitos!$J$5:$J$6004)</f>
        <v>0</v>
      </c>
      <c r="D202" s="461">
        <v>526</v>
      </c>
      <c r="F202" s="459"/>
      <c r="G202" s="459"/>
    </row>
    <row r="203" spans="1:7">
      <c r="A203" s="460">
        <f t="shared" si="3"/>
        <v>52700</v>
      </c>
      <c r="C203" s="459">
        <f ca="1">SUMIF(SYS_4_3_Digitos!$A$5:$A$6004,D203,SYS_4_3_Digitos!$I$5:$I$6004)-SUMIF(SYS_4_3_Digitos!$A$5:$A$6004,D203,SYS_4_3_Digitos!$J$5:$J$6004)</f>
        <v>0</v>
      </c>
      <c r="D203" s="461">
        <v>527</v>
      </c>
      <c r="F203" s="459"/>
      <c r="G203" s="459"/>
    </row>
    <row r="204" spans="1:7">
      <c r="A204" s="460">
        <f t="shared" si="3"/>
        <v>52800</v>
      </c>
      <c r="C204" s="459">
        <f ca="1">SUMIF(SYS_4_3_Digitos!$A$5:$A$6004,D204,SYS_4_3_Digitos!$I$5:$I$6004)-SUMIF(SYS_4_3_Digitos!$A$5:$A$6004,D204,SYS_4_3_Digitos!$J$5:$J$6004)</f>
        <v>0</v>
      </c>
      <c r="D204" s="461">
        <v>528</v>
      </c>
      <c r="F204" s="459"/>
      <c r="G204" s="459"/>
    </row>
    <row r="205" spans="1:7">
      <c r="A205" s="460">
        <f t="shared" si="3"/>
        <v>52900</v>
      </c>
      <c r="C205" s="459">
        <f ca="1">SUMIF(SYS_4_3_Digitos!$A$5:$A$6004,D205,SYS_4_3_Digitos!$I$5:$I$6004)-SUMIF(SYS_4_3_Digitos!$A$5:$A$6004,D205,SYS_4_3_Digitos!$J$5:$J$6004)</f>
        <v>0</v>
      </c>
      <c r="D205" s="461">
        <v>529</v>
      </c>
      <c r="F205" s="459"/>
      <c r="G205" s="459"/>
    </row>
    <row r="206" spans="1:7">
      <c r="A206" s="460">
        <f t="shared" si="3"/>
        <v>530300</v>
      </c>
      <c r="C206" s="459">
        <f ca="1">SUMIF(SYS_4_3_Digitos!$A$5:$A$6004,D206,SYS_4_3_Digitos!$I$5:$I$6004)-SUMIF(SYS_4_3_Digitos!$A$5:$A$6004,D206,SYS_4_3_Digitos!$J$5:$J$6004)</f>
        <v>0</v>
      </c>
      <c r="D206" s="461">
        <v>5303</v>
      </c>
      <c r="F206" s="459"/>
      <c r="G206" s="459"/>
    </row>
    <row r="207" spans="1:7">
      <c r="A207" s="460">
        <f t="shared" si="3"/>
        <v>530400</v>
      </c>
      <c r="C207" s="459">
        <f ca="1">SUMIF(SYS_4_3_Digitos!$A$5:$A$6004,D207,SYS_4_3_Digitos!$I$5:$I$6004)-SUMIF(SYS_4_3_Digitos!$A$5:$A$6004,D207,SYS_4_3_Digitos!$J$5:$J$6004)</f>
        <v>0</v>
      </c>
      <c r="D207" s="461">
        <v>5304</v>
      </c>
      <c r="F207" s="459"/>
      <c r="G207" s="459"/>
    </row>
    <row r="208" spans="1:7">
      <c r="A208" s="460">
        <f t="shared" si="3"/>
        <v>530500</v>
      </c>
      <c r="C208" s="459">
        <f ca="1">SUMIF(SYS_4_3_Digitos!$A$5:$A$6004,D208,SYS_4_3_Digitos!$I$5:$I$6004)-SUMIF(SYS_4_3_Digitos!$A$5:$A$6004,D208,SYS_4_3_Digitos!$J$5:$J$6004)</f>
        <v>0</v>
      </c>
      <c r="D208" s="461">
        <v>5305</v>
      </c>
      <c r="F208" s="459"/>
      <c r="G208" s="459"/>
    </row>
    <row r="209" spans="1:7">
      <c r="A209" s="460">
        <f t="shared" si="3"/>
        <v>532300</v>
      </c>
      <c r="C209" s="459">
        <f ca="1">SUMIF(SYS_4_3_Digitos!$A$5:$A$6004,D209,SYS_4_3_Digitos!$I$5:$I$6004)-SUMIF(SYS_4_3_Digitos!$A$5:$A$6004,D209,SYS_4_3_Digitos!$J$5:$J$6004)</f>
        <v>0</v>
      </c>
      <c r="D209" s="461">
        <v>5323</v>
      </c>
      <c r="F209" s="459"/>
      <c r="G209" s="459"/>
    </row>
    <row r="210" spans="1:7">
      <c r="A210" s="460">
        <f t="shared" si="3"/>
        <v>532400</v>
      </c>
      <c r="C210" s="459">
        <f ca="1">SUMIF(SYS_4_3_Digitos!$A$5:$A$6004,D210,SYS_4_3_Digitos!$I$5:$I$6004)-SUMIF(SYS_4_3_Digitos!$A$5:$A$6004,D210,SYS_4_3_Digitos!$J$5:$J$6004)</f>
        <v>0</v>
      </c>
      <c r="D210" s="461">
        <v>5324</v>
      </c>
      <c r="F210" s="459"/>
      <c r="G210" s="459"/>
    </row>
    <row r="211" spans="1:7">
      <c r="A211" s="460">
        <f t="shared" si="3"/>
        <v>532500</v>
      </c>
      <c r="C211" s="459">
        <f ca="1">SUMIF(SYS_4_3_Digitos!$A$5:$A$6004,D211,SYS_4_3_Digitos!$I$5:$I$6004)-SUMIF(SYS_4_3_Digitos!$A$5:$A$6004,D211,SYS_4_3_Digitos!$J$5:$J$6004)</f>
        <v>0</v>
      </c>
      <c r="D211" s="461">
        <v>5325</v>
      </c>
      <c r="F211" s="459"/>
      <c r="G211" s="459"/>
    </row>
    <row r="212" spans="1:7">
      <c r="A212" s="460">
        <f t="shared" si="3"/>
        <v>534500</v>
      </c>
      <c r="C212" s="459">
        <f ca="1">SUMIF(SYS_4_3_Digitos!$A$5:$A$6004,D212,SYS_4_3_Digitos!$I$5:$I$6004)-SUMIF(SYS_4_3_Digitos!$A$5:$A$6004,D212,SYS_4_3_Digitos!$J$5:$J$6004)</f>
        <v>0</v>
      </c>
      <c r="D212" s="461">
        <v>5345</v>
      </c>
      <c r="F212" s="459"/>
      <c r="G212" s="459"/>
    </row>
    <row r="213" spans="1:7">
      <c r="A213" s="460">
        <f t="shared" si="3"/>
        <v>54000</v>
      </c>
      <c r="C213" s="459">
        <f ca="1">SUMIF(SYS_4_3_Digitos!$A$5:$A$6004,D213,SYS_4_3_Digitos!$I$5:$I$6004)-SUMIF(SYS_4_3_Digitos!$A$5:$A$6004,D213,SYS_4_3_Digitos!$J$5:$J$6004)</f>
        <v>0</v>
      </c>
      <c r="D213" s="461">
        <v>540</v>
      </c>
      <c r="F213" s="459"/>
      <c r="G213" s="459"/>
    </row>
    <row r="214" spans="1:7">
      <c r="A214" s="460">
        <f t="shared" si="3"/>
        <v>54100</v>
      </c>
      <c r="C214" s="459">
        <f ca="1">SUMIF(SYS_4_3_Digitos!$A$5:$A$6004,D214,SYS_4_3_Digitos!$I$5:$I$6004)-SUMIF(SYS_4_3_Digitos!$A$5:$A$6004,D214,SYS_4_3_Digitos!$J$5:$J$6004)</f>
        <v>0</v>
      </c>
      <c r="D214" s="461">
        <v>541</v>
      </c>
      <c r="F214" s="459"/>
      <c r="G214" s="459"/>
    </row>
    <row r="215" spans="1:7">
      <c r="A215" s="460">
        <f t="shared" si="3"/>
        <v>54200</v>
      </c>
      <c r="C215" s="459">
        <f ca="1">SUMIF(SYS_4_3_Digitos!$A$5:$A$6004,D215,SYS_4_3_Digitos!$I$5:$I$6004)-SUMIF(SYS_4_3_Digitos!$A$5:$A$6004,D215,SYS_4_3_Digitos!$J$5:$J$6004)</f>
        <v>0</v>
      </c>
      <c r="D215" s="461">
        <v>542</v>
      </c>
      <c r="F215" s="459"/>
      <c r="G215" s="459"/>
    </row>
    <row r="216" spans="1:7">
      <c r="A216" s="460">
        <f t="shared" si="3"/>
        <v>54300</v>
      </c>
      <c r="C216" s="459">
        <f ca="1">SUMIF(SYS_4_3_Digitos!$A$5:$A$6004,D216,SYS_4_3_Digitos!$I$5:$I$6004)-SUMIF(SYS_4_3_Digitos!$A$5:$A$6004,D216,SYS_4_3_Digitos!$J$5:$J$6004)</f>
        <v>0</v>
      </c>
      <c r="D216" s="461">
        <v>543</v>
      </c>
      <c r="F216" s="459"/>
      <c r="G216" s="459"/>
    </row>
    <row r="217" spans="1:7">
      <c r="A217" s="460">
        <f t="shared" si="3"/>
        <v>54400</v>
      </c>
      <c r="C217" s="459">
        <f ca="1">SUMIF(SYS_4_3_Digitos!$A$5:$A$6004,D217,SYS_4_3_Digitos!$I$5:$I$6004)-SUMIF(SYS_4_3_Digitos!$A$5:$A$6004,D217,SYS_4_3_Digitos!$J$5:$J$6004)</f>
        <v>2904.58</v>
      </c>
      <c r="D217" s="461">
        <v>544</v>
      </c>
      <c r="F217" s="459"/>
      <c r="G217" s="459"/>
    </row>
    <row r="218" spans="1:7">
      <c r="A218" s="460">
        <f t="shared" si="3"/>
        <v>54500</v>
      </c>
      <c r="C218" s="459">
        <f ca="1">SUMIF(SYS_4_3_Digitos!$A$5:$A$6004,D218,SYS_4_3_Digitos!$I$5:$I$6004)-SUMIF(SYS_4_3_Digitos!$A$5:$A$6004,D218,SYS_4_3_Digitos!$J$5:$J$6004)</f>
        <v>0</v>
      </c>
      <c r="D218" s="461">
        <v>545</v>
      </c>
      <c r="F218" s="459"/>
      <c r="G218" s="459"/>
    </row>
    <row r="219" spans="1:7">
      <c r="A219" s="460">
        <f t="shared" si="3"/>
        <v>54600</v>
      </c>
      <c r="C219" s="459">
        <f ca="1">SUMIF(SYS_4_3_Digitos!$A$5:$A$6004,D219,SYS_4_3_Digitos!$I$5:$I$6004)-SUMIF(SYS_4_3_Digitos!$A$5:$A$6004,D219,SYS_4_3_Digitos!$J$5:$J$6004)</f>
        <v>0</v>
      </c>
      <c r="D219" s="461">
        <v>546</v>
      </c>
      <c r="F219" s="459"/>
      <c r="G219" s="459"/>
    </row>
    <row r="220" spans="1:7">
      <c r="A220" s="460">
        <f t="shared" si="3"/>
        <v>54700</v>
      </c>
      <c r="C220" s="459">
        <f ca="1">SUMIF(SYS_4_3_Digitos!$A$5:$A$6004,D220,SYS_4_3_Digitos!$I$5:$I$6004)-SUMIF(SYS_4_3_Digitos!$A$5:$A$6004,D220,SYS_4_3_Digitos!$J$5:$J$6004)</f>
        <v>0</v>
      </c>
      <c r="D220" s="461">
        <v>547</v>
      </c>
      <c r="F220" s="459"/>
      <c r="G220" s="459"/>
    </row>
    <row r="221" spans="1:7">
      <c r="A221" s="460">
        <f t="shared" si="3"/>
        <v>54800</v>
      </c>
      <c r="C221" s="459">
        <f ca="1">SUMIF(SYS_4_3_Digitos!$A$5:$A$6004,D221,SYS_4_3_Digitos!$I$5:$I$6004)-SUMIF(SYS_4_3_Digitos!$A$5:$A$6004,D221,SYS_4_3_Digitos!$J$5:$J$6004)</f>
        <v>0</v>
      </c>
      <c r="D221" s="461">
        <v>548</v>
      </c>
      <c r="F221" s="459"/>
      <c r="G221" s="459"/>
    </row>
    <row r="222" spans="1:7">
      <c r="A222" s="460">
        <f t="shared" si="3"/>
        <v>54900</v>
      </c>
      <c r="C222" s="459">
        <f ca="1">SUMIF(SYS_4_3_Digitos!$A$5:$A$6004,D222,SYS_4_3_Digitos!$I$5:$I$6004)-SUMIF(SYS_4_3_Digitos!$A$5:$A$6004,D222,SYS_4_3_Digitos!$J$5:$J$6004)</f>
        <v>0</v>
      </c>
      <c r="D222" s="461">
        <v>549</v>
      </c>
      <c r="F222" s="459"/>
      <c r="G222" s="459"/>
    </row>
    <row r="223" spans="1:7">
      <c r="A223" s="460">
        <f t="shared" si="3"/>
        <v>55000</v>
      </c>
      <c r="C223" s="459">
        <f ca="1">SUMIF(SYS_4_3_Digitos!$A$5:$A$6004,D223,SYS_4_3_Digitos!$I$5:$I$6004)-SUMIF(SYS_4_3_Digitos!$A$5:$A$6004,D223,SYS_4_3_Digitos!$J$5:$J$6004)</f>
        <v>0</v>
      </c>
      <c r="D223" s="461">
        <v>550</v>
      </c>
      <c r="F223" s="459"/>
      <c r="G223" s="459"/>
    </row>
    <row r="224" spans="1:7">
      <c r="A224" s="460">
        <f t="shared" si="3"/>
        <v>55100</v>
      </c>
      <c r="C224" s="459">
        <f ca="1">SUMIF(SYS_4_3_Digitos!$A$5:$A$6004,D224,SYS_4_3_Digitos!$I$5:$I$6004)-SUMIF(SYS_4_3_Digitos!$A$5:$A$6004,D224,SYS_4_3_Digitos!$J$5:$J$6004)</f>
        <v>0</v>
      </c>
      <c r="D224" s="461">
        <v>551</v>
      </c>
      <c r="F224" s="459"/>
      <c r="G224" s="459"/>
    </row>
    <row r="225" spans="1:7">
      <c r="A225" s="460">
        <f t="shared" si="3"/>
        <v>552300</v>
      </c>
      <c r="C225" s="459">
        <f ca="1">SUMIF(SYS_4_3_Digitos!$A$5:$A$6004,D225,SYS_4_3_Digitos!$I$5:$I$6004)-SUMIF(SYS_4_3_Digitos!$A$5:$A$6004,D225,SYS_4_3_Digitos!$J$5:$J$6004)</f>
        <v>0</v>
      </c>
      <c r="D225" s="461">
        <v>5523</v>
      </c>
      <c r="F225" s="459"/>
      <c r="G225" s="459"/>
    </row>
    <row r="226" spans="1:7">
      <c r="A226" s="460">
        <f t="shared" si="3"/>
        <v>552400</v>
      </c>
      <c r="C226" s="459">
        <f ca="1">SUMIF(SYS_4_3_Digitos!$A$5:$A$6004,D226,SYS_4_3_Digitos!$I$5:$I$6004)-SUMIF(SYS_4_3_Digitos!$A$5:$A$6004,D226,SYS_4_3_Digitos!$J$5:$J$6004)</f>
        <v>0</v>
      </c>
      <c r="D226" s="461">
        <v>5524</v>
      </c>
      <c r="F226" s="459"/>
      <c r="G226" s="459"/>
    </row>
    <row r="227" spans="1:7">
      <c r="A227" s="460">
        <f t="shared" si="3"/>
        <v>552500</v>
      </c>
      <c r="C227" s="459">
        <f ca="1">SUMIF(SYS_4_3_Digitos!$A$5:$A$6004,D227,SYS_4_3_Digitos!$I$5:$I$6004)-SUMIF(SYS_4_3_Digitos!$A$5:$A$6004,D227,SYS_4_3_Digitos!$J$5:$J$6004)</f>
        <v>0</v>
      </c>
      <c r="D227" s="461">
        <v>5525</v>
      </c>
      <c r="F227" s="459"/>
      <c r="G227" s="459"/>
    </row>
    <row r="228" spans="1:7">
      <c r="A228" s="460">
        <f t="shared" si="3"/>
        <v>55300</v>
      </c>
      <c r="C228" s="459">
        <f ca="1">SUMIF(SYS_4_3_Digitos!$A$5:$A$6004,D228,SYS_4_3_Digitos!$I$5:$I$6004)-SUMIF(SYS_4_3_Digitos!$A$5:$A$6004,D228,SYS_4_3_Digitos!$J$5:$J$6004)</f>
        <v>0</v>
      </c>
      <c r="D228" s="461">
        <v>553</v>
      </c>
      <c r="F228" s="459"/>
      <c r="G228" s="459"/>
    </row>
    <row r="229" spans="1:7">
      <c r="A229" s="460">
        <f t="shared" si="3"/>
        <v>55400</v>
      </c>
      <c r="C229" s="459">
        <f ca="1">SUMIF(SYS_4_3_Digitos!$A$5:$A$6004,D229,SYS_4_3_Digitos!$I$5:$I$6004)-SUMIF(SYS_4_3_Digitos!$A$5:$A$6004,D229,SYS_4_3_Digitos!$J$5:$J$6004)</f>
        <v>0</v>
      </c>
      <c r="D229" s="461">
        <v>554</v>
      </c>
      <c r="F229" s="459"/>
      <c r="G229" s="459"/>
    </row>
    <row r="230" spans="1:7">
      <c r="A230" s="460">
        <f t="shared" si="3"/>
        <v>55500</v>
      </c>
      <c r="C230" s="459">
        <f ca="1">SUMIF(SYS_4_3_Digitos!$A$5:$A$6004,D230,SYS_4_3_Digitos!$I$5:$I$6004)-SUMIF(SYS_4_3_Digitos!$A$5:$A$6004,D230,SYS_4_3_Digitos!$J$5:$J$6004)</f>
        <v>0</v>
      </c>
      <c r="D230" s="461">
        <v>555</v>
      </c>
      <c r="F230" s="459"/>
      <c r="G230" s="459"/>
    </row>
    <row r="231" spans="1:7">
      <c r="A231" s="460">
        <f t="shared" si="3"/>
        <v>55600</v>
      </c>
      <c r="C231" s="459">
        <f ca="1">SUMIF(SYS_4_3_Digitos!$A$5:$A$6004,D231,SYS_4_3_Digitos!$I$5:$I$6004)-SUMIF(SYS_4_3_Digitos!$A$5:$A$6004,D231,SYS_4_3_Digitos!$J$5:$J$6004)</f>
        <v>0</v>
      </c>
      <c r="D231" s="461">
        <v>556</v>
      </c>
      <c r="F231" s="459"/>
      <c r="G231" s="459"/>
    </row>
    <row r="232" spans="1:7">
      <c r="A232" s="460">
        <f t="shared" si="3"/>
        <v>55700</v>
      </c>
      <c r="C232" s="459">
        <f ca="1">SUMIF(SYS_4_3_Digitos!$A$5:$A$6004,D232,SYS_4_3_Digitos!$I$5:$I$6004)-SUMIF(SYS_4_3_Digitos!$A$5:$A$6004,D232,SYS_4_3_Digitos!$J$5:$J$6004)</f>
        <v>0</v>
      </c>
      <c r="D232" s="461">
        <v>557</v>
      </c>
      <c r="F232" s="459"/>
      <c r="G232" s="459"/>
    </row>
    <row r="233" spans="1:7">
      <c r="A233" s="460">
        <f t="shared" si="3"/>
        <v>55800</v>
      </c>
      <c r="C233" s="459">
        <f ca="1">SUMIF(SYS_4_3_Digitos!$A$5:$A$6004,D233,SYS_4_3_Digitos!$I$5:$I$6004)-SUMIF(SYS_4_3_Digitos!$A$5:$A$6004,D233,SYS_4_3_Digitos!$J$5:$J$6004)</f>
        <v>0</v>
      </c>
      <c r="D233" s="461">
        <v>558</v>
      </c>
      <c r="F233" s="459"/>
      <c r="G233" s="459"/>
    </row>
    <row r="234" spans="1:7">
      <c r="A234" s="460">
        <f t="shared" si="3"/>
        <v>55900</v>
      </c>
      <c r="C234" s="459">
        <f ca="1">SUMIF(SYS_4_3_Digitos!$A$5:$A$6004,D234,SYS_4_3_Digitos!$I$5:$I$6004)-SUMIF(SYS_4_3_Digitos!$A$5:$A$6004,D234,SYS_4_3_Digitos!$J$5:$J$6004)</f>
        <v>0</v>
      </c>
      <c r="D234" s="461">
        <v>559</v>
      </c>
      <c r="F234" s="459"/>
      <c r="G234" s="459"/>
    </row>
    <row r="235" spans="1:7">
      <c r="A235" s="460">
        <f t="shared" si="3"/>
        <v>56000</v>
      </c>
      <c r="C235" s="459">
        <f ca="1">SUMIF(SYS_4_3_Digitos!$A$5:$A$6004,D235,SYS_4_3_Digitos!$I$5:$I$6004)-SUMIF(SYS_4_3_Digitos!$A$5:$A$6004,D235,SYS_4_3_Digitos!$J$5:$J$6004)</f>
        <v>0</v>
      </c>
      <c r="D235" s="461">
        <v>560</v>
      </c>
      <c r="F235" s="459"/>
      <c r="G235" s="459"/>
    </row>
    <row r="236" spans="1:7" ht="14.4" thickBot="1">
      <c r="A236" s="460">
        <f t="shared" si="3"/>
        <v>56100</v>
      </c>
      <c r="C236" s="459">
        <f ca="1">SUMIF(SYS_4_3_Digitos!$A$5:$A$6004,D236,SYS_4_3_Digitos!$I$5:$I$6004)-SUMIF(SYS_4_3_Digitos!$A$5:$A$6004,D236,SYS_4_3_Digitos!$J$5:$J$6004)</f>
        <v>0</v>
      </c>
      <c r="D236" s="463">
        <v>561</v>
      </c>
      <c r="F236" s="464"/>
      <c r="G236" s="464"/>
    </row>
    <row r="237" spans="1:7" ht="14.4" thickTop="1">
      <c r="A237" s="460">
        <f t="shared" si="3"/>
        <v>56500</v>
      </c>
      <c r="C237" s="459">
        <f ca="1">SUMIF(SYS_4_3_Digitos!$A$5:$A$6004,D237,SYS_4_3_Digitos!$I$5:$I$6004)-SUMIF(SYS_4_3_Digitos!$A$5:$A$6004,D237,SYS_4_3_Digitos!$J$5:$J$6004)</f>
        <v>0</v>
      </c>
      <c r="D237" s="465">
        <v>565</v>
      </c>
      <c r="F237" s="459"/>
      <c r="G237" s="459"/>
    </row>
    <row r="238" spans="1:7">
      <c r="A238" s="460">
        <f t="shared" si="3"/>
        <v>56600</v>
      </c>
      <c r="C238" s="459">
        <f ca="1">SUMIF(SYS_4_3_Digitos!$A$5:$A$6004,D238,SYS_4_3_Digitos!$I$5:$I$6004)-SUMIF(SYS_4_3_Digitos!$A$5:$A$6004,D238,SYS_4_3_Digitos!$J$5:$J$6004)</f>
        <v>103027.25</v>
      </c>
      <c r="D238" s="465">
        <v>566</v>
      </c>
      <c r="F238" s="459"/>
      <c r="G238" s="459"/>
    </row>
    <row r="239" spans="1:7">
      <c r="A239" s="460">
        <f t="shared" si="3"/>
        <v>56700</v>
      </c>
      <c r="C239" s="459">
        <f ca="1">SUMIF(SYS_4_3_Digitos!$A$5:$A$6004,D239,SYS_4_3_Digitos!$I$5:$I$6004)-SUMIF(SYS_4_3_Digitos!$A$5:$A$6004,D239,SYS_4_3_Digitos!$J$5:$J$6004)</f>
        <v>0</v>
      </c>
      <c r="D239" s="465">
        <v>567</v>
      </c>
      <c r="F239" s="459"/>
      <c r="G239" s="459"/>
    </row>
    <row r="240" spans="1:7">
      <c r="A240" s="460">
        <f t="shared" si="3"/>
        <v>56800</v>
      </c>
      <c r="C240" s="459">
        <f ca="1">SUMIF(SYS_4_3_Digitos!$A$5:$A$6004,D240,SYS_4_3_Digitos!$I$5:$I$6004)-SUMIF(SYS_4_3_Digitos!$A$5:$A$6004,D240,SYS_4_3_Digitos!$J$5:$J$6004)</f>
        <v>0</v>
      </c>
      <c r="D240" s="465">
        <v>568</v>
      </c>
      <c r="F240" s="459"/>
      <c r="G240" s="459"/>
    </row>
    <row r="241" spans="1:7">
      <c r="A241" s="460">
        <f t="shared" si="3"/>
        <v>56900</v>
      </c>
      <c r="C241" s="459">
        <f ca="1">SUMIF(SYS_4_3_Digitos!$A$5:$A$6004,D241,SYS_4_3_Digitos!$I$5:$I$6004)-SUMIF(SYS_4_3_Digitos!$A$5:$A$6004,D241,SYS_4_3_Digitos!$J$5:$J$6004)</f>
        <v>0</v>
      </c>
      <c r="D241" s="465">
        <v>569</v>
      </c>
      <c r="F241" s="459"/>
      <c r="G241" s="459"/>
    </row>
    <row r="242" spans="1:7">
      <c r="A242" s="460">
        <f t="shared" si="3"/>
        <v>57000</v>
      </c>
      <c r="C242" s="459">
        <f ca="1">SUMIF(SYS_4_3_Digitos!$A$5:$A$6004,D242,SYS_4_3_Digitos!$I$5:$I$6004)-SUMIF(SYS_4_3_Digitos!$A$5:$A$6004,D242,SYS_4_3_Digitos!$J$5:$J$6004)</f>
        <v>793.1</v>
      </c>
      <c r="D242" s="465">
        <v>570</v>
      </c>
      <c r="F242" s="459"/>
      <c r="G242" s="459"/>
    </row>
    <row r="243" spans="1:7">
      <c r="A243" s="460">
        <f t="shared" si="3"/>
        <v>57200</v>
      </c>
      <c r="C243" s="459">
        <f ca="1">SUMIF(SYS_4_3_Digitos!$A$5:$A$6004,D243,SYS_4_3_Digitos!$I$5:$I$6004)-SUMIF(SYS_4_3_Digitos!$A$5:$A$6004,D243,SYS_4_3_Digitos!$J$5:$J$6004)</f>
        <v>85566358.589999989</v>
      </c>
      <c r="D243" s="465">
        <v>572</v>
      </c>
      <c r="F243" s="459"/>
      <c r="G243" s="459"/>
    </row>
    <row r="244" spans="1:7">
      <c r="A244" s="460">
        <f t="shared" si="3"/>
        <v>57300</v>
      </c>
      <c r="C244" s="459">
        <f ca="1">SUMIF(SYS_4_3_Digitos!$A$5:$A$6004,D244,SYS_4_3_Digitos!$I$5:$I$6004)-SUMIF(SYS_4_3_Digitos!$A$5:$A$6004,D244,SYS_4_3_Digitos!$J$5:$J$6004)</f>
        <v>10007.01</v>
      </c>
      <c r="D244" s="465">
        <v>573</v>
      </c>
      <c r="F244" s="459"/>
      <c r="G244" s="459"/>
    </row>
    <row r="245" spans="1:7">
      <c r="A245" s="460">
        <f t="shared" si="3"/>
        <v>57400</v>
      </c>
      <c r="C245" s="459">
        <f ca="1">SUMIF(SYS_4_3_Digitos!$A$5:$A$6004,D245,SYS_4_3_Digitos!$I$5:$I$6004)-SUMIF(SYS_4_3_Digitos!$A$5:$A$6004,D245,SYS_4_3_Digitos!$J$5:$J$6004)</f>
        <v>0</v>
      </c>
      <c r="D245" s="465">
        <v>574</v>
      </c>
      <c r="F245" s="459"/>
      <c r="G245" s="459"/>
    </row>
    <row r="246" spans="1:7">
      <c r="A246" s="460">
        <f t="shared" si="3"/>
        <v>58000</v>
      </c>
      <c r="C246" s="459">
        <f ca="1">SUMIF(SYS_4_3_Digitos!$A$5:$A$6004,D246,SYS_4_3_Digitos!$I$5:$I$6004)-SUMIF(SYS_4_3_Digitos!$A$5:$A$6004,D246,SYS_4_3_Digitos!$J$5:$J$6004)</f>
        <v>0</v>
      </c>
      <c r="D246" s="465">
        <v>580</v>
      </c>
      <c r="F246" s="459"/>
      <c r="G246" s="459"/>
    </row>
    <row r="247" spans="1:7">
      <c r="A247" s="460">
        <f t="shared" si="3"/>
        <v>58100</v>
      </c>
      <c r="C247" s="459">
        <f ca="1">SUMIF(SYS_4_3_Digitos!$A$5:$A$6004,D247,SYS_4_3_Digitos!$I$5:$I$6004)-SUMIF(SYS_4_3_Digitos!$A$5:$A$6004,D247,SYS_4_3_Digitos!$J$5:$J$6004)</f>
        <v>0</v>
      </c>
      <c r="D247" s="465">
        <v>581</v>
      </c>
      <c r="F247" s="459"/>
      <c r="G247" s="459"/>
    </row>
    <row r="248" spans="1:7">
      <c r="A248" s="460">
        <f t="shared" si="3"/>
        <v>58200</v>
      </c>
      <c r="C248" s="459">
        <f ca="1">SUMIF(SYS_4_3_Digitos!$A$5:$A$6004,D248,SYS_4_3_Digitos!$I$5:$I$6004)-SUMIF(SYS_4_3_Digitos!$A$5:$A$6004,D248,SYS_4_3_Digitos!$J$5:$J$6004)</f>
        <v>0</v>
      </c>
      <c r="D248" s="465">
        <v>582</v>
      </c>
      <c r="F248" s="459"/>
      <c r="G248" s="459"/>
    </row>
    <row r="249" spans="1:7">
      <c r="A249" s="460">
        <f t="shared" si="3"/>
        <v>58300</v>
      </c>
      <c r="C249" s="459">
        <f ca="1">SUMIF(SYS_4_3_Digitos!$A$5:$A$6004,D249,SYS_4_3_Digitos!$I$5:$I$6004)-SUMIF(SYS_4_3_Digitos!$A$5:$A$6004,D249,SYS_4_3_Digitos!$J$5:$J$6004)</f>
        <v>0</v>
      </c>
      <c r="D249" s="465">
        <v>583</v>
      </c>
      <c r="F249" s="459"/>
      <c r="G249" s="459"/>
    </row>
    <row r="250" spans="1:7">
      <c r="A250" s="460">
        <f t="shared" si="3"/>
        <v>58400</v>
      </c>
      <c r="C250" s="459">
        <f ca="1">SUMIF(SYS_4_3_Digitos!$A$5:$A$6004,D250,SYS_4_3_Digitos!$I$5:$I$6004)-SUMIF(SYS_4_3_Digitos!$A$5:$A$6004,D250,SYS_4_3_Digitos!$J$5:$J$6004)</f>
        <v>0</v>
      </c>
      <c r="D250" s="465">
        <v>584</v>
      </c>
      <c r="F250" s="459"/>
      <c r="G250" s="459"/>
    </row>
    <row r="251" spans="1:7">
      <c r="A251" s="460">
        <f t="shared" si="3"/>
        <v>58500</v>
      </c>
      <c r="C251" s="459">
        <f ca="1">SUMIF(SYS_4_3_Digitos!$A$5:$A$6004,D251,SYS_4_3_Digitos!$I$5:$I$6004)-SUMIF(SYS_4_3_Digitos!$A$5:$A$6004,D251,SYS_4_3_Digitos!$J$5:$J$6004)</f>
        <v>0</v>
      </c>
      <c r="D251" s="465">
        <v>585</v>
      </c>
      <c r="F251" s="459"/>
      <c r="G251" s="459"/>
    </row>
    <row r="252" spans="1:7">
      <c r="A252" s="460">
        <f t="shared" si="3"/>
        <v>58600</v>
      </c>
      <c r="C252" s="459">
        <f ca="1">SUMIF(SYS_4_3_Digitos!$A$5:$A$6004,D252,SYS_4_3_Digitos!$I$5:$I$6004)-SUMIF(SYS_4_3_Digitos!$A$5:$A$6004,D252,SYS_4_3_Digitos!$J$5:$J$6004)</f>
        <v>0</v>
      </c>
      <c r="D252" s="465">
        <v>586</v>
      </c>
      <c r="F252" s="459"/>
      <c r="G252" s="459"/>
    </row>
    <row r="253" spans="1:7">
      <c r="A253" s="460">
        <f t="shared" si="3"/>
        <v>58700</v>
      </c>
      <c r="C253" s="459">
        <f ca="1">SUMIF(SYS_4_3_Digitos!$A$5:$A$6004,D253,SYS_4_3_Digitos!$I$5:$I$6004)-SUMIF(SYS_4_3_Digitos!$A$5:$A$6004,D253,SYS_4_3_Digitos!$J$5:$J$6004)</f>
        <v>0</v>
      </c>
      <c r="D253" s="465">
        <v>587</v>
      </c>
      <c r="F253" s="459"/>
      <c r="G253" s="459"/>
    </row>
    <row r="254" spans="1:7">
      <c r="A254" s="460">
        <f t="shared" si="3"/>
        <v>58800</v>
      </c>
      <c r="C254" s="459">
        <f ca="1">SUMIF(SYS_4_3_Digitos!$A$5:$A$6004,D254,SYS_4_3_Digitos!$I$5:$I$6004)-SUMIF(SYS_4_3_Digitos!$A$5:$A$6004,D254,SYS_4_3_Digitos!$J$5:$J$6004)</f>
        <v>0</v>
      </c>
      <c r="D254" s="465">
        <v>588</v>
      </c>
      <c r="F254" s="459"/>
      <c r="G254" s="459"/>
    </row>
    <row r="255" spans="1:7">
      <c r="A255" s="460">
        <f t="shared" si="3"/>
        <v>58900</v>
      </c>
      <c r="C255" s="459">
        <f ca="1">SUMIF(SYS_4_3_Digitos!$A$5:$A$6004,D255,SYS_4_3_Digitos!$I$5:$I$6004)-SUMIF(SYS_4_3_Digitos!$A$5:$A$6004,D255,SYS_4_3_Digitos!$J$5:$J$6004)</f>
        <v>0</v>
      </c>
      <c r="D255" s="465">
        <v>589</v>
      </c>
      <c r="F255" s="459"/>
      <c r="G255" s="459"/>
    </row>
    <row r="256" spans="1:7">
      <c r="A256" s="460">
        <f t="shared" si="3"/>
        <v>593300</v>
      </c>
      <c r="C256" s="459">
        <f ca="1">SUMIF(SYS_4_3_Digitos!$A$5:$A$6004,D256,SYS_4_3_Digitos!$I$5:$I$6004)-SUMIF(SYS_4_3_Digitos!$A$5:$A$6004,D256,SYS_4_3_Digitos!$J$5:$J$6004)</f>
        <v>0</v>
      </c>
      <c r="D256" s="465">
        <v>5933</v>
      </c>
      <c r="F256" s="459"/>
      <c r="G256" s="459"/>
    </row>
    <row r="257" spans="1:7">
      <c r="A257" s="460">
        <f t="shared" si="3"/>
        <v>593400</v>
      </c>
      <c r="C257" s="459">
        <f ca="1">SUMIF(SYS_4_3_Digitos!$A$5:$A$6004,D257,SYS_4_3_Digitos!$I$5:$I$6004)-SUMIF(SYS_4_3_Digitos!$A$5:$A$6004,D257,SYS_4_3_Digitos!$J$5:$J$6004)</f>
        <v>0</v>
      </c>
      <c r="D257" s="465">
        <v>5934</v>
      </c>
      <c r="F257" s="459"/>
      <c r="G257" s="459"/>
    </row>
    <row r="258" spans="1:7">
      <c r="A258" s="460">
        <f t="shared" si="3"/>
        <v>595300</v>
      </c>
      <c r="C258" s="459">
        <f ca="1">SUMIF(SYS_4_3_Digitos!$A$5:$A$6004,D258,SYS_4_3_Digitos!$I$5:$I$6004)-SUMIF(SYS_4_3_Digitos!$A$5:$A$6004,D258,SYS_4_3_Digitos!$J$5:$J$6004)</f>
        <v>0</v>
      </c>
      <c r="D258" s="465">
        <v>5953</v>
      </c>
      <c r="F258" s="459"/>
      <c r="G258" s="459"/>
    </row>
    <row r="259" spans="1:7">
      <c r="A259" s="460">
        <f t="shared" si="3"/>
        <v>595400</v>
      </c>
      <c r="C259" s="459">
        <f ca="1">SUMIF(SYS_4_3_Digitos!$A$5:$A$6004,D259,SYS_4_3_Digitos!$I$5:$I$6004)-SUMIF(SYS_4_3_Digitos!$A$5:$A$6004,D259,SYS_4_3_Digitos!$J$5:$J$6004)</f>
        <v>0</v>
      </c>
      <c r="D259" s="465">
        <v>5954</v>
      </c>
      <c r="F259" s="459"/>
      <c r="G259" s="459"/>
    </row>
    <row r="260" spans="1:7">
      <c r="A260" s="460">
        <f t="shared" si="3"/>
        <v>595500</v>
      </c>
      <c r="C260" s="459">
        <f ca="1">SUMIF(SYS_4_3_Digitos!$A$5:$A$6004,D260,SYS_4_3_Digitos!$I$5:$I$6004)-SUMIF(SYS_4_3_Digitos!$A$5:$A$6004,D260,SYS_4_3_Digitos!$J$5:$J$6004)</f>
        <v>0</v>
      </c>
      <c r="D260" s="465">
        <v>5955</v>
      </c>
      <c r="F260" s="459"/>
      <c r="G260" s="459"/>
    </row>
    <row r="261" spans="1:7">
      <c r="A261" s="460">
        <f t="shared" si="3"/>
        <v>60000</v>
      </c>
      <c r="C261" s="459">
        <f ca="1">SUMIF(SYS_4_3_Digitos!$A$5:$A$6004,D261,SYS_4_3_Digitos!$I$5:$I$6004)-SUMIF(SYS_4_3_Digitos!$A$5:$A$6004,D261,SYS_4_3_Digitos!$J$5:$J$6004)</f>
        <v>21680440.560000002</v>
      </c>
      <c r="D261" s="465">
        <v>600</v>
      </c>
      <c r="F261" s="459"/>
      <c r="G261" s="459"/>
    </row>
    <row r="262" spans="1:7">
      <c r="A262" s="460">
        <f t="shared" si="3"/>
        <v>60100</v>
      </c>
      <c r="C262" s="459">
        <f ca="1">SUMIF(SYS_4_3_Digitos!$A$5:$A$6004,D262,SYS_4_3_Digitos!$I$5:$I$6004)-SUMIF(SYS_4_3_Digitos!$A$5:$A$6004,D262,SYS_4_3_Digitos!$J$5:$J$6004)</f>
        <v>41519643.559999987</v>
      </c>
      <c r="D262" s="465">
        <v>601</v>
      </c>
      <c r="F262" s="459"/>
      <c r="G262" s="459"/>
    </row>
    <row r="263" spans="1:7">
      <c r="A263" s="460">
        <f t="shared" ref="A263:A326" si="4">+D263*$D$1</f>
        <v>60200</v>
      </c>
      <c r="C263" s="459">
        <f ca="1">SUMIF(SYS_4_3_Digitos!$A$5:$A$6004,D263,SYS_4_3_Digitos!$I$5:$I$6004)-SUMIF(SYS_4_3_Digitos!$A$5:$A$6004,D263,SYS_4_3_Digitos!$J$5:$J$6004)</f>
        <v>397772.66</v>
      </c>
      <c r="D263" s="465">
        <v>602</v>
      </c>
      <c r="F263" s="459"/>
      <c r="G263" s="459"/>
    </row>
    <row r="264" spans="1:7">
      <c r="A264" s="460">
        <f t="shared" si="4"/>
        <v>60600</v>
      </c>
      <c r="C264" s="459">
        <f ca="1">SUMIF(SYS_4_3_Digitos!$A$5:$A$6004,D264,SYS_4_3_Digitos!$I$5:$I$6004)-SUMIF(SYS_4_3_Digitos!$A$5:$A$6004,D264,SYS_4_3_Digitos!$J$5:$J$6004)</f>
        <v>-831.47</v>
      </c>
      <c r="D264" s="465">
        <v>606</v>
      </c>
      <c r="F264" s="459"/>
      <c r="G264" s="459"/>
    </row>
    <row r="265" spans="1:7">
      <c r="A265" s="460">
        <f t="shared" si="4"/>
        <v>60700</v>
      </c>
      <c r="C265" s="459">
        <f ca="1">SUMIF(SYS_4_3_Digitos!$A$5:$A$6004,D265,SYS_4_3_Digitos!$I$5:$I$6004)-SUMIF(SYS_4_3_Digitos!$A$5:$A$6004,D265,SYS_4_3_Digitos!$J$5:$J$6004)</f>
        <v>0</v>
      </c>
      <c r="D265" s="465">
        <v>607</v>
      </c>
      <c r="F265" s="459"/>
      <c r="G265" s="459"/>
    </row>
    <row r="266" spans="1:7">
      <c r="A266" s="460">
        <f t="shared" si="4"/>
        <v>60800</v>
      </c>
      <c r="C266" s="459">
        <f ca="1">SUMIF(SYS_4_3_Digitos!$A$5:$A$6004,D266,SYS_4_3_Digitos!$I$5:$I$6004)-SUMIF(SYS_4_3_Digitos!$A$5:$A$6004,D266,SYS_4_3_Digitos!$J$5:$J$6004)</f>
        <v>0</v>
      </c>
      <c r="D266" s="465">
        <v>608</v>
      </c>
      <c r="F266" s="459"/>
      <c r="G266" s="459"/>
    </row>
    <row r="267" spans="1:7">
      <c r="A267" s="460">
        <f t="shared" si="4"/>
        <v>60900</v>
      </c>
      <c r="C267" s="459">
        <f ca="1">SUMIF(SYS_4_3_Digitos!$A$5:$A$6004,D267,SYS_4_3_Digitos!$I$5:$I$6004)-SUMIF(SYS_4_3_Digitos!$A$5:$A$6004,D267,SYS_4_3_Digitos!$J$5:$J$6004)</f>
        <v>0</v>
      </c>
      <c r="D267" s="465">
        <v>609</v>
      </c>
      <c r="F267" s="459"/>
      <c r="G267" s="459"/>
    </row>
    <row r="268" spans="1:7">
      <c r="A268" s="460">
        <f t="shared" si="4"/>
        <v>61000</v>
      </c>
      <c r="C268" s="459">
        <f ca="1">SUMIF(SYS_4_3_Digitos!$A$5:$A$6004,D268,SYS_4_3_Digitos!$I$5:$I$6004)-SUMIF(SYS_4_3_Digitos!$A$5:$A$6004,D268,SYS_4_3_Digitos!$J$5:$J$6004)</f>
        <v>-1232212.9099999999</v>
      </c>
      <c r="D268" s="465">
        <v>610</v>
      </c>
      <c r="F268" s="459"/>
      <c r="G268" s="459"/>
    </row>
    <row r="269" spans="1:7">
      <c r="A269" s="460">
        <f t="shared" si="4"/>
        <v>61100</v>
      </c>
      <c r="C269" s="459">
        <f ca="1">SUMIF(SYS_4_3_Digitos!$A$5:$A$6004,D269,SYS_4_3_Digitos!$I$5:$I$6004)-SUMIF(SYS_4_3_Digitos!$A$5:$A$6004,D269,SYS_4_3_Digitos!$J$5:$J$6004)</f>
        <v>-5456381.5499999998</v>
      </c>
      <c r="D269" s="465">
        <v>611</v>
      </c>
      <c r="F269" s="459"/>
      <c r="G269" s="459"/>
    </row>
    <row r="270" spans="1:7">
      <c r="A270" s="460">
        <f t="shared" si="4"/>
        <v>61200</v>
      </c>
      <c r="C270" s="459">
        <f ca="1">SUMIF(SYS_4_3_Digitos!$A$5:$A$6004,D270,SYS_4_3_Digitos!$I$5:$I$6004)-SUMIF(SYS_4_3_Digitos!$A$5:$A$6004,D270,SYS_4_3_Digitos!$J$5:$J$6004)</f>
        <v>25977.61</v>
      </c>
      <c r="D270" s="465">
        <v>612</v>
      </c>
      <c r="F270" s="459"/>
      <c r="G270" s="459"/>
    </row>
    <row r="271" spans="1:7">
      <c r="A271" s="460">
        <f t="shared" si="4"/>
        <v>62000</v>
      </c>
      <c r="C271" s="459">
        <f ca="1">SUMIF(SYS_4_3_Digitos!$A$5:$A$6004,D271,SYS_4_3_Digitos!$I$5:$I$6004)-SUMIF(SYS_4_3_Digitos!$A$5:$A$6004,D271,SYS_4_3_Digitos!$J$5:$J$6004)</f>
        <v>0</v>
      </c>
      <c r="D271" s="465">
        <v>620</v>
      </c>
      <c r="F271" s="459"/>
      <c r="G271" s="459"/>
    </row>
    <row r="272" spans="1:7">
      <c r="A272" s="460">
        <f t="shared" si="4"/>
        <v>62100</v>
      </c>
      <c r="C272" s="459">
        <f ca="1">SUMIF(SYS_4_3_Digitos!$A$5:$A$6004,D272,SYS_4_3_Digitos!$I$5:$I$6004)-SUMIF(SYS_4_3_Digitos!$A$5:$A$6004,D272,SYS_4_3_Digitos!$J$5:$J$6004)</f>
        <v>45607.610000000008</v>
      </c>
      <c r="D272" s="465">
        <v>621</v>
      </c>
      <c r="F272" s="459"/>
      <c r="G272" s="459"/>
    </row>
    <row r="273" spans="1:7">
      <c r="A273" s="460">
        <f t="shared" si="4"/>
        <v>62200</v>
      </c>
      <c r="C273" s="459">
        <f ca="1">SUMIF(SYS_4_3_Digitos!$A$5:$A$6004,D273,SYS_4_3_Digitos!$I$5:$I$6004)-SUMIF(SYS_4_3_Digitos!$A$5:$A$6004,D273,SYS_4_3_Digitos!$J$5:$J$6004)</f>
        <v>408157.99</v>
      </c>
      <c r="D273" s="465">
        <v>622</v>
      </c>
      <c r="F273" s="459"/>
      <c r="G273" s="459"/>
    </row>
    <row r="274" spans="1:7">
      <c r="A274" s="460">
        <f t="shared" si="4"/>
        <v>62300</v>
      </c>
      <c r="C274" s="459">
        <f ca="1">SUMIF(SYS_4_3_Digitos!$A$5:$A$6004,D274,SYS_4_3_Digitos!$I$5:$I$6004)-SUMIF(SYS_4_3_Digitos!$A$5:$A$6004,D274,SYS_4_3_Digitos!$J$5:$J$6004)</f>
        <v>1289990.83</v>
      </c>
      <c r="D274" s="465">
        <v>623</v>
      </c>
      <c r="F274" s="459"/>
      <c r="G274" s="459"/>
    </row>
    <row r="275" spans="1:7">
      <c r="A275" s="460">
        <f t="shared" si="4"/>
        <v>62400</v>
      </c>
      <c r="C275" s="459">
        <f ca="1">SUMIF(SYS_4_3_Digitos!$A$5:$A$6004,D275,SYS_4_3_Digitos!$I$5:$I$6004)-SUMIF(SYS_4_3_Digitos!$A$5:$A$6004,D275,SYS_4_3_Digitos!$J$5:$J$6004)</f>
        <v>969386.08000000007</v>
      </c>
      <c r="D275" s="465">
        <v>624</v>
      </c>
      <c r="F275" s="459"/>
      <c r="G275" s="459"/>
    </row>
    <row r="276" spans="1:7">
      <c r="A276" s="460">
        <f t="shared" si="4"/>
        <v>62500</v>
      </c>
      <c r="C276" s="459">
        <f ca="1">SUMIF(SYS_4_3_Digitos!$A$5:$A$6004,D276,SYS_4_3_Digitos!$I$5:$I$6004)-SUMIF(SYS_4_3_Digitos!$A$5:$A$6004,D276,SYS_4_3_Digitos!$J$5:$J$6004)</f>
        <v>103906.21</v>
      </c>
      <c r="D276" s="465">
        <v>625</v>
      </c>
      <c r="F276" s="459"/>
      <c r="G276" s="459"/>
    </row>
    <row r="277" spans="1:7">
      <c r="A277" s="460">
        <f t="shared" si="4"/>
        <v>62600</v>
      </c>
      <c r="C277" s="459">
        <f ca="1">SUMIF(SYS_4_3_Digitos!$A$5:$A$6004,D277,SYS_4_3_Digitos!$I$5:$I$6004)-SUMIF(SYS_4_3_Digitos!$A$5:$A$6004,D277,SYS_4_3_Digitos!$J$5:$J$6004)</f>
        <v>58684.98</v>
      </c>
      <c r="D277" s="465">
        <v>626</v>
      </c>
      <c r="F277" s="459"/>
      <c r="G277" s="459"/>
    </row>
    <row r="278" spans="1:7">
      <c r="A278" s="460">
        <f t="shared" si="4"/>
        <v>62700</v>
      </c>
      <c r="C278" s="459">
        <f ca="1">SUMIF(SYS_4_3_Digitos!$A$5:$A$6004,D278,SYS_4_3_Digitos!$I$5:$I$6004)-SUMIF(SYS_4_3_Digitos!$A$5:$A$6004,D278,SYS_4_3_Digitos!$J$5:$J$6004)</f>
        <v>49008.95</v>
      </c>
      <c r="D278" s="465">
        <v>627</v>
      </c>
      <c r="F278" s="459"/>
      <c r="G278" s="459"/>
    </row>
    <row r="279" spans="1:7">
      <c r="A279" s="460">
        <f t="shared" si="4"/>
        <v>62800</v>
      </c>
      <c r="C279" s="459">
        <f ca="1">SUMIF(SYS_4_3_Digitos!$A$5:$A$6004,D279,SYS_4_3_Digitos!$I$5:$I$6004)-SUMIF(SYS_4_3_Digitos!$A$5:$A$6004,D279,SYS_4_3_Digitos!$J$5:$J$6004)</f>
        <v>1387300.6999999995</v>
      </c>
      <c r="D279" s="465">
        <v>628</v>
      </c>
      <c r="F279" s="459"/>
      <c r="G279" s="459"/>
    </row>
    <row r="280" spans="1:7">
      <c r="A280" s="460">
        <f t="shared" si="4"/>
        <v>62900</v>
      </c>
      <c r="C280" s="459">
        <f ca="1">SUMIF(SYS_4_3_Digitos!$A$5:$A$6004,D280,SYS_4_3_Digitos!$I$5:$I$6004)-SUMIF(SYS_4_3_Digitos!$A$5:$A$6004,D280,SYS_4_3_Digitos!$J$5:$J$6004)</f>
        <v>367677.30000000005</v>
      </c>
      <c r="D280" s="465">
        <v>629</v>
      </c>
      <c r="F280" s="459"/>
      <c r="G280" s="459"/>
    </row>
    <row r="281" spans="1:7">
      <c r="A281" s="460">
        <f t="shared" si="4"/>
        <v>630000</v>
      </c>
      <c r="C281" s="459">
        <f ca="1">SUMIF(SYS_4_3_Digitos!$A$5:$A$6004,D281,SYS_4_3_Digitos!$I$5:$I$6004)-SUMIF(SYS_4_3_Digitos!$A$5:$A$6004,D281,SYS_4_3_Digitos!$J$5:$J$6004)</f>
        <v>2477666.92</v>
      </c>
      <c r="D281" s="465">
        <v>6300</v>
      </c>
      <c r="F281" s="459"/>
      <c r="G281" s="459"/>
    </row>
    <row r="282" spans="1:7">
      <c r="A282" s="460">
        <f t="shared" si="4"/>
        <v>630100</v>
      </c>
      <c r="C282" s="459">
        <f ca="1">SUMIF(SYS_4_3_Digitos!$A$5:$A$6004,D282,SYS_4_3_Digitos!$I$5:$I$6004)-SUMIF(SYS_4_3_Digitos!$A$5:$A$6004,D282,SYS_4_3_Digitos!$J$5:$J$6004)</f>
        <v>65906.049999999988</v>
      </c>
      <c r="D282" s="465">
        <v>6301</v>
      </c>
      <c r="F282" s="459"/>
      <c r="G282" s="459"/>
    </row>
    <row r="283" spans="1:7">
      <c r="A283" s="460">
        <f t="shared" si="4"/>
        <v>63100</v>
      </c>
      <c r="C283" s="459">
        <f ca="1">SUMIF(SYS_4_3_Digitos!$A$5:$A$6004,D283,SYS_4_3_Digitos!$I$5:$I$6004)-SUMIF(SYS_4_3_Digitos!$A$5:$A$6004,D283,SYS_4_3_Digitos!$J$5:$J$6004)</f>
        <v>217821.86999999997</v>
      </c>
      <c r="D283" s="465">
        <v>631</v>
      </c>
      <c r="F283" s="459"/>
      <c r="G283" s="459"/>
    </row>
    <row r="284" spans="1:7">
      <c r="A284" s="460">
        <f t="shared" si="4"/>
        <v>63300</v>
      </c>
      <c r="C284" s="459">
        <f ca="1">SUMIF(SYS_4_3_Digitos!$A$5:$A$6004,D284,SYS_4_3_Digitos!$I$5:$I$6004)-SUMIF(SYS_4_3_Digitos!$A$5:$A$6004,D284,SYS_4_3_Digitos!$J$5:$J$6004)</f>
        <v>0</v>
      </c>
      <c r="D284" s="465">
        <v>633</v>
      </c>
      <c r="F284" s="459"/>
      <c r="G284" s="459"/>
    </row>
    <row r="285" spans="1:7">
      <c r="A285" s="460">
        <f t="shared" si="4"/>
        <v>634100</v>
      </c>
      <c r="C285" s="459">
        <f ca="1">SUMIF(SYS_4_3_Digitos!$A$5:$A$6004,D285,SYS_4_3_Digitos!$I$5:$I$6004)-SUMIF(SYS_4_3_Digitos!$A$5:$A$6004,D285,SYS_4_3_Digitos!$J$5:$J$6004)</f>
        <v>0</v>
      </c>
      <c r="D285" s="465">
        <v>6341</v>
      </c>
      <c r="F285" s="459"/>
      <c r="G285" s="459"/>
    </row>
    <row r="286" spans="1:7">
      <c r="A286" s="460">
        <f t="shared" si="4"/>
        <v>634200</v>
      </c>
      <c r="C286" s="459">
        <f ca="1">SUMIF(SYS_4_3_Digitos!$A$5:$A$6004,D286,SYS_4_3_Digitos!$I$5:$I$6004)-SUMIF(SYS_4_3_Digitos!$A$5:$A$6004,D286,SYS_4_3_Digitos!$J$5:$J$6004)</f>
        <v>0</v>
      </c>
      <c r="D286" s="465">
        <v>6342</v>
      </c>
      <c r="F286" s="459"/>
      <c r="G286" s="459"/>
    </row>
    <row r="287" spans="1:7">
      <c r="A287" s="460">
        <f t="shared" si="4"/>
        <v>63600</v>
      </c>
      <c r="C287" s="459">
        <f ca="1">SUMIF(SYS_4_3_Digitos!$A$5:$A$6004,D287,SYS_4_3_Digitos!$I$5:$I$6004)-SUMIF(SYS_4_3_Digitos!$A$5:$A$6004,D287,SYS_4_3_Digitos!$J$5:$J$6004)</f>
        <v>0</v>
      </c>
      <c r="D287" s="465">
        <v>636</v>
      </c>
      <c r="F287" s="459"/>
      <c r="G287" s="459"/>
    </row>
    <row r="288" spans="1:7">
      <c r="A288" s="460">
        <f t="shared" si="4"/>
        <v>63800</v>
      </c>
      <c r="C288" s="459">
        <f ca="1">SUMIF(SYS_4_3_Digitos!$A$5:$A$6004,D288,SYS_4_3_Digitos!$I$5:$I$6004)-SUMIF(SYS_4_3_Digitos!$A$5:$A$6004,D288,SYS_4_3_Digitos!$J$5:$J$6004)</f>
        <v>0</v>
      </c>
      <c r="D288" s="465">
        <v>638</v>
      </c>
      <c r="F288" s="459"/>
      <c r="G288" s="459"/>
    </row>
    <row r="289" spans="1:7">
      <c r="A289" s="460">
        <f t="shared" si="4"/>
        <v>639100</v>
      </c>
      <c r="C289" s="459">
        <f ca="1">SUMIF(SYS_4_3_Digitos!$A$5:$A$6004,D289,SYS_4_3_Digitos!$I$5:$I$6004)-SUMIF(SYS_4_3_Digitos!$A$5:$A$6004,D289,SYS_4_3_Digitos!$J$5:$J$6004)</f>
        <v>0</v>
      </c>
      <c r="D289" s="465">
        <v>6391</v>
      </c>
      <c r="F289" s="459"/>
      <c r="G289" s="459"/>
    </row>
    <row r="290" spans="1:7">
      <c r="A290" s="460">
        <f t="shared" si="4"/>
        <v>639200</v>
      </c>
      <c r="C290" s="459">
        <f ca="1">SUMIF(SYS_4_3_Digitos!$A$5:$A$6004,D290,SYS_4_3_Digitos!$I$5:$I$6004)-SUMIF(SYS_4_3_Digitos!$A$5:$A$6004,D290,SYS_4_3_Digitos!$J$5:$J$6004)</f>
        <v>0</v>
      </c>
      <c r="D290" s="465">
        <v>6392</v>
      </c>
      <c r="F290" s="459"/>
      <c r="G290" s="459"/>
    </row>
    <row r="291" spans="1:7">
      <c r="A291" s="460">
        <f t="shared" si="4"/>
        <v>64000</v>
      </c>
      <c r="C291" s="459">
        <f ca="1">SUMIF(SYS_4_3_Digitos!$A$5:$A$6004,D291,SYS_4_3_Digitos!$I$5:$I$6004)-SUMIF(SYS_4_3_Digitos!$A$5:$A$6004,D291,SYS_4_3_Digitos!$J$5:$J$6004)</f>
        <v>3352261.73</v>
      </c>
      <c r="D291" s="465">
        <v>640</v>
      </c>
      <c r="F291" s="459"/>
      <c r="G291" s="459"/>
    </row>
    <row r="292" spans="1:7">
      <c r="A292" s="460">
        <f t="shared" si="4"/>
        <v>64100</v>
      </c>
      <c r="C292" s="459">
        <f ca="1">SUMIF(SYS_4_3_Digitos!$A$5:$A$6004,D292,SYS_4_3_Digitos!$I$5:$I$6004)-SUMIF(SYS_4_3_Digitos!$A$5:$A$6004,D292,SYS_4_3_Digitos!$J$5:$J$6004)</f>
        <v>37352.629999999997</v>
      </c>
      <c r="D292" s="465">
        <v>641</v>
      </c>
      <c r="F292" s="459"/>
      <c r="G292" s="459"/>
    </row>
    <row r="293" spans="1:7">
      <c r="A293" s="460">
        <f t="shared" si="4"/>
        <v>64200</v>
      </c>
      <c r="C293" s="459">
        <f ca="1">SUMIF(SYS_4_3_Digitos!$A$5:$A$6004,D293,SYS_4_3_Digitos!$I$5:$I$6004)-SUMIF(SYS_4_3_Digitos!$A$5:$A$6004,D293,SYS_4_3_Digitos!$J$5:$J$6004)</f>
        <v>622414.17000000004</v>
      </c>
      <c r="D293" s="465">
        <v>642</v>
      </c>
      <c r="F293" s="459"/>
      <c r="G293" s="459"/>
    </row>
    <row r="294" spans="1:7">
      <c r="A294" s="460">
        <f t="shared" si="4"/>
        <v>64300</v>
      </c>
      <c r="C294" s="459">
        <f ca="1">SUMIF(SYS_4_3_Digitos!$A$5:$A$6004,D294,SYS_4_3_Digitos!$I$5:$I$6004)-SUMIF(SYS_4_3_Digitos!$A$5:$A$6004,D294,SYS_4_3_Digitos!$J$5:$J$6004)</f>
        <v>0</v>
      </c>
      <c r="D294" s="465">
        <v>643</v>
      </c>
      <c r="F294" s="459"/>
      <c r="G294" s="459"/>
    </row>
    <row r="295" spans="1:7">
      <c r="A295" s="460">
        <f t="shared" si="4"/>
        <v>64400</v>
      </c>
      <c r="C295" s="459">
        <f ca="1">SUMIF(SYS_4_3_Digitos!$A$5:$A$6004,D295,SYS_4_3_Digitos!$I$5:$I$6004)-SUMIF(SYS_4_3_Digitos!$A$5:$A$6004,D295,SYS_4_3_Digitos!$J$5:$J$6004)</f>
        <v>0</v>
      </c>
      <c r="D295" s="465">
        <v>644</v>
      </c>
      <c r="F295" s="459"/>
      <c r="G295" s="459"/>
    </row>
    <row r="296" spans="1:7">
      <c r="A296" s="460">
        <f t="shared" si="4"/>
        <v>64500</v>
      </c>
      <c r="C296" s="459">
        <f ca="1">SUMIF(SYS_4_3_Digitos!$A$5:$A$6004,D296,SYS_4_3_Digitos!$I$5:$I$6004)-SUMIF(SYS_4_3_Digitos!$A$5:$A$6004,D296,SYS_4_3_Digitos!$J$5:$J$6004)</f>
        <v>0</v>
      </c>
      <c r="D296" s="465">
        <v>645</v>
      </c>
      <c r="F296" s="459"/>
      <c r="G296" s="459"/>
    </row>
    <row r="297" spans="1:7">
      <c r="A297" s="460">
        <f t="shared" si="4"/>
        <v>64900</v>
      </c>
      <c r="C297" s="459">
        <f ca="1">SUMIF(SYS_4_3_Digitos!$A$5:$A$6004,D297,SYS_4_3_Digitos!$I$5:$I$6004)-SUMIF(SYS_4_3_Digitos!$A$5:$A$6004,D297,SYS_4_3_Digitos!$J$5:$J$6004)</f>
        <v>11816.43</v>
      </c>
      <c r="D297" s="465">
        <v>649</v>
      </c>
      <c r="F297" s="459"/>
      <c r="G297" s="459"/>
    </row>
    <row r="298" spans="1:7">
      <c r="A298" s="460">
        <f t="shared" si="4"/>
        <v>65000</v>
      </c>
      <c r="C298" s="459">
        <f ca="1">SUMIF(SYS_4_3_Digitos!$A$5:$A$6004,D298,SYS_4_3_Digitos!$I$5:$I$6004)-SUMIF(SYS_4_3_Digitos!$A$5:$A$6004,D298,SYS_4_3_Digitos!$J$5:$J$6004)</f>
        <v>0</v>
      </c>
      <c r="D298" s="465">
        <v>650</v>
      </c>
      <c r="F298" s="459"/>
      <c r="G298" s="459"/>
    </row>
    <row r="299" spans="1:7">
      <c r="A299" s="460">
        <f t="shared" si="4"/>
        <v>65100</v>
      </c>
      <c r="C299" s="459">
        <f ca="1">SUMIF(SYS_4_3_Digitos!$A$5:$A$6004,D299,SYS_4_3_Digitos!$I$5:$I$6004)-SUMIF(SYS_4_3_Digitos!$A$5:$A$6004,D299,SYS_4_3_Digitos!$J$5:$J$6004)</f>
        <v>0</v>
      </c>
      <c r="D299" s="465">
        <v>651</v>
      </c>
      <c r="F299" s="459"/>
      <c r="G299" s="459"/>
    </row>
    <row r="300" spans="1:7">
      <c r="A300" s="460">
        <f t="shared" si="4"/>
        <v>65900</v>
      </c>
      <c r="C300" s="459">
        <f ca="1">SUMIF(SYS_4_3_Digitos!$A$5:$A$6004,D300,SYS_4_3_Digitos!$I$5:$I$6004)-SUMIF(SYS_4_3_Digitos!$A$5:$A$6004,D300,SYS_4_3_Digitos!$J$5:$J$6004)</f>
        <v>0</v>
      </c>
      <c r="D300" s="465">
        <v>659</v>
      </c>
      <c r="F300" s="459"/>
      <c r="G300" s="459"/>
    </row>
    <row r="301" spans="1:7">
      <c r="A301" s="460">
        <f t="shared" si="4"/>
        <v>66000</v>
      </c>
      <c r="C301" s="459">
        <f ca="1">SUMIF(SYS_4_3_Digitos!$A$5:$A$6004,D301,SYS_4_3_Digitos!$I$5:$I$6004)-SUMIF(SYS_4_3_Digitos!$A$5:$A$6004,D301,SYS_4_3_Digitos!$J$5:$J$6004)</f>
        <v>0</v>
      </c>
      <c r="D301" s="465">
        <v>660</v>
      </c>
      <c r="F301" s="459"/>
      <c r="G301" s="459"/>
    </row>
    <row r="302" spans="1:7">
      <c r="A302" s="460">
        <f t="shared" si="4"/>
        <v>66100</v>
      </c>
      <c r="C302" s="459">
        <f ca="1">SUMIF(SYS_4_3_Digitos!$A$5:$A$6004,D302,SYS_4_3_Digitos!$I$5:$I$6004)-SUMIF(SYS_4_3_Digitos!$A$5:$A$6004,D302,SYS_4_3_Digitos!$J$5:$J$6004)</f>
        <v>0</v>
      </c>
      <c r="D302" s="465">
        <v>661</v>
      </c>
      <c r="F302" s="459"/>
      <c r="G302" s="459"/>
    </row>
    <row r="303" spans="1:7">
      <c r="A303" s="460">
        <f t="shared" si="4"/>
        <v>662000</v>
      </c>
      <c r="C303" s="459">
        <f ca="1">SUMIF(SYS_4_3_Digitos!$A$5:$A$6004,D303,SYS_4_3_Digitos!$I$5:$I$6004)-SUMIF(SYS_4_3_Digitos!$A$5:$A$6004,D303,SYS_4_3_Digitos!$J$5:$J$6004)</f>
        <v>0</v>
      </c>
      <c r="D303" s="465">
        <v>6620</v>
      </c>
      <c r="F303" s="459"/>
      <c r="G303" s="459"/>
    </row>
    <row r="304" spans="1:7">
      <c r="A304" s="460">
        <f t="shared" si="4"/>
        <v>662100</v>
      </c>
      <c r="C304" s="459">
        <f ca="1">SUMIF(SYS_4_3_Digitos!$A$5:$A$6004,D304,SYS_4_3_Digitos!$I$5:$I$6004)-SUMIF(SYS_4_3_Digitos!$A$5:$A$6004,D304,SYS_4_3_Digitos!$J$5:$J$6004)</f>
        <v>0</v>
      </c>
      <c r="D304" s="465">
        <v>6621</v>
      </c>
      <c r="F304" s="459"/>
      <c r="G304" s="459"/>
    </row>
    <row r="305" spans="1:7">
      <c r="A305" s="460">
        <f t="shared" si="4"/>
        <v>662200</v>
      </c>
      <c r="C305" s="459">
        <f ca="1">SUMIF(SYS_4_3_Digitos!$A$5:$A$6004,D305,SYS_4_3_Digitos!$I$5:$I$6004)-SUMIF(SYS_4_3_Digitos!$A$5:$A$6004,D305,SYS_4_3_Digitos!$J$5:$J$6004)</f>
        <v>0</v>
      </c>
      <c r="D305" s="465">
        <v>6622</v>
      </c>
      <c r="F305" s="459"/>
      <c r="G305" s="459"/>
    </row>
    <row r="306" spans="1:7">
      <c r="A306" s="460">
        <f t="shared" si="4"/>
        <v>662300</v>
      </c>
      <c r="C306" s="459">
        <f ca="1">SUMIF(SYS_4_3_Digitos!$A$5:$A$6004,D306,SYS_4_3_Digitos!$I$5:$I$6004)-SUMIF(SYS_4_3_Digitos!$A$5:$A$6004,D306,SYS_4_3_Digitos!$J$5:$J$6004)</f>
        <v>0</v>
      </c>
      <c r="D306" s="465">
        <v>6623</v>
      </c>
      <c r="F306" s="459"/>
      <c r="G306" s="459"/>
    </row>
    <row r="307" spans="1:7">
      <c r="A307" s="460">
        <f t="shared" si="4"/>
        <v>662400</v>
      </c>
      <c r="C307" s="459">
        <f ca="1">SUMIF(SYS_4_3_Digitos!$A$5:$A$6004,D307,SYS_4_3_Digitos!$I$5:$I$6004)-SUMIF(SYS_4_3_Digitos!$A$5:$A$6004,D307,SYS_4_3_Digitos!$J$5:$J$6004)</f>
        <v>0</v>
      </c>
      <c r="D307" s="465">
        <v>6624</v>
      </c>
      <c r="F307" s="459"/>
      <c r="G307" s="459"/>
    </row>
    <row r="308" spans="1:7">
      <c r="A308" s="460">
        <f t="shared" si="4"/>
        <v>66300</v>
      </c>
      <c r="C308" s="459">
        <f ca="1">SUMIF(SYS_4_3_Digitos!$A$5:$A$6004,D308,SYS_4_3_Digitos!$I$5:$I$6004)-SUMIF(SYS_4_3_Digitos!$A$5:$A$6004,D308,SYS_4_3_Digitos!$J$5:$J$6004)</f>
        <v>0</v>
      </c>
      <c r="D308" s="465">
        <v>663</v>
      </c>
      <c r="F308" s="459"/>
      <c r="G308" s="459"/>
    </row>
    <row r="309" spans="1:7">
      <c r="A309" s="460">
        <f t="shared" si="4"/>
        <v>66400</v>
      </c>
      <c r="C309" s="459">
        <f ca="1">SUMIF(SYS_4_3_Digitos!$A$5:$A$6004,D309,SYS_4_3_Digitos!$I$5:$I$6004)-SUMIF(SYS_4_3_Digitos!$A$5:$A$6004,D309,SYS_4_3_Digitos!$J$5:$J$6004)</f>
        <v>0</v>
      </c>
      <c r="D309" s="465">
        <v>664</v>
      </c>
      <c r="F309" s="459"/>
      <c r="G309" s="459"/>
    </row>
    <row r="310" spans="1:7">
      <c r="A310" s="460">
        <f t="shared" si="4"/>
        <v>66500</v>
      </c>
      <c r="C310" s="459">
        <f ca="1">SUMIF(SYS_4_3_Digitos!$A$5:$A$6004,D310,SYS_4_3_Digitos!$I$5:$I$6004)-SUMIF(SYS_4_3_Digitos!$A$5:$A$6004,D310,SYS_4_3_Digitos!$J$5:$J$6004)</f>
        <v>0</v>
      </c>
      <c r="D310" s="465">
        <v>665</v>
      </c>
      <c r="F310" s="459"/>
      <c r="G310" s="459"/>
    </row>
    <row r="311" spans="1:7">
      <c r="A311" s="460">
        <f t="shared" si="4"/>
        <v>66600</v>
      </c>
      <c r="C311" s="459">
        <f ca="1">SUMIF(SYS_4_3_Digitos!$A$5:$A$6004,D311,SYS_4_3_Digitos!$I$5:$I$6004)-SUMIF(SYS_4_3_Digitos!$A$5:$A$6004,D311,SYS_4_3_Digitos!$J$5:$J$6004)</f>
        <v>0</v>
      </c>
      <c r="D311" s="465">
        <v>666</v>
      </c>
      <c r="F311" s="459"/>
      <c r="G311" s="459"/>
    </row>
    <row r="312" spans="1:7">
      <c r="A312" s="460">
        <f t="shared" si="4"/>
        <v>66700</v>
      </c>
      <c r="C312" s="459">
        <f ca="1">SUMIF(SYS_4_3_Digitos!$A$5:$A$6004,D312,SYS_4_3_Digitos!$I$5:$I$6004)-SUMIF(SYS_4_3_Digitos!$A$5:$A$6004,D312,SYS_4_3_Digitos!$J$5:$J$6004)</f>
        <v>0</v>
      </c>
      <c r="D312" s="465">
        <v>667</v>
      </c>
      <c r="F312" s="459"/>
      <c r="G312" s="459"/>
    </row>
    <row r="313" spans="1:7">
      <c r="A313" s="460">
        <f t="shared" si="4"/>
        <v>66800</v>
      </c>
      <c r="C313" s="459">
        <f ca="1">SUMIF(SYS_4_3_Digitos!$A$5:$A$6004,D313,SYS_4_3_Digitos!$I$5:$I$6004)-SUMIF(SYS_4_3_Digitos!$A$5:$A$6004,D313,SYS_4_3_Digitos!$J$5:$J$6004)</f>
        <v>163783.06</v>
      </c>
      <c r="D313" s="465">
        <v>668</v>
      </c>
      <c r="F313" s="459"/>
      <c r="G313" s="459"/>
    </row>
    <row r="314" spans="1:7">
      <c r="A314" s="460">
        <f t="shared" si="4"/>
        <v>66900</v>
      </c>
      <c r="C314" s="459">
        <f ca="1">SUMIF(SYS_4_3_Digitos!$A$5:$A$6004,D314,SYS_4_3_Digitos!$I$5:$I$6004)-SUMIF(SYS_4_3_Digitos!$A$5:$A$6004,D314,SYS_4_3_Digitos!$J$5:$J$6004)</f>
        <v>138283.04</v>
      </c>
      <c r="D314" s="465">
        <v>669</v>
      </c>
      <c r="F314" s="459"/>
      <c r="G314" s="459"/>
    </row>
    <row r="315" spans="1:7">
      <c r="A315" s="460">
        <f t="shared" si="4"/>
        <v>67000</v>
      </c>
      <c r="C315" s="459">
        <f ca="1">SUMIF(SYS_4_3_Digitos!$A$5:$A$6004,D315,SYS_4_3_Digitos!$I$5:$I$6004)-SUMIF(SYS_4_3_Digitos!$A$5:$A$6004,D315,SYS_4_3_Digitos!$J$5:$J$6004)</f>
        <v>0</v>
      </c>
      <c r="D315" s="465">
        <v>670</v>
      </c>
      <c r="F315" s="459"/>
      <c r="G315" s="459"/>
    </row>
    <row r="316" spans="1:7">
      <c r="A316" s="460">
        <f t="shared" si="4"/>
        <v>67100</v>
      </c>
      <c r="C316" s="459">
        <f ca="1">SUMIF(SYS_4_3_Digitos!$A$5:$A$6004,D316,SYS_4_3_Digitos!$I$5:$I$6004)-SUMIF(SYS_4_3_Digitos!$A$5:$A$6004,D316,SYS_4_3_Digitos!$J$5:$J$6004)</f>
        <v>0</v>
      </c>
      <c r="D316" s="465">
        <v>671</v>
      </c>
      <c r="F316" s="459"/>
      <c r="G316" s="459"/>
    </row>
    <row r="317" spans="1:7">
      <c r="A317" s="460">
        <f t="shared" si="4"/>
        <v>67200</v>
      </c>
      <c r="C317" s="459">
        <f ca="1">SUMIF(SYS_4_3_Digitos!$A$5:$A$6004,D317,SYS_4_3_Digitos!$I$5:$I$6004)-SUMIF(SYS_4_3_Digitos!$A$5:$A$6004,D317,SYS_4_3_Digitos!$J$5:$J$6004)</f>
        <v>0</v>
      </c>
      <c r="D317" s="465">
        <v>672</v>
      </c>
      <c r="F317" s="459"/>
      <c r="G317" s="459"/>
    </row>
    <row r="318" spans="1:7">
      <c r="A318" s="460">
        <f t="shared" si="4"/>
        <v>67300</v>
      </c>
      <c r="C318" s="459">
        <f ca="1">SUMIF(SYS_4_3_Digitos!$A$5:$A$6004,D318,SYS_4_3_Digitos!$I$5:$I$6004)-SUMIF(SYS_4_3_Digitos!$A$5:$A$6004,D318,SYS_4_3_Digitos!$J$5:$J$6004)</f>
        <v>0</v>
      </c>
      <c r="D318" s="465">
        <v>673</v>
      </c>
      <c r="F318" s="459"/>
      <c r="G318" s="459"/>
    </row>
    <row r="319" spans="1:7">
      <c r="A319" s="460">
        <f t="shared" si="4"/>
        <v>67500</v>
      </c>
      <c r="C319" s="459">
        <f ca="1">SUMIF(SYS_4_3_Digitos!$A$5:$A$6004,D319,SYS_4_3_Digitos!$I$5:$I$6004)-SUMIF(SYS_4_3_Digitos!$A$5:$A$6004,D319,SYS_4_3_Digitos!$J$5:$J$6004)</f>
        <v>0</v>
      </c>
      <c r="D319" s="465">
        <v>675</v>
      </c>
      <c r="F319" s="459"/>
      <c r="G319" s="459"/>
    </row>
    <row r="320" spans="1:7">
      <c r="A320" s="460">
        <f t="shared" si="4"/>
        <v>67800</v>
      </c>
      <c r="C320" s="459">
        <f ca="1">SUMIF(SYS_4_3_Digitos!$A$5:$A$6004,D320,SYS_4_3_Digitos!$I$5:$I$6004)-SUMIF(SYS_4_3_Digitos!$A$5:$A$6004,D320,SYS_4_3_Digitos!$J$5:$J$6004)</f>
        <v>3.17</v>
      </c>
      <c r="D320" s="465">
        <v>678</v>
      </c>
      <c r="F320" s="459"/>
      <c r="G320" s="459"/>
    </row>
    <row r="321" spans="1:7">
      <c r="A321" s="460">
        <f t="shared" si="4"/>
        <v>68000</v>
      </c>
      <c r="C321" s="459">
        <f ca="1">SUMIF(SYS_4_3_Digitos!$A$5:$A$6004,D321,SYS_4_3_Digitos!$I$5:$I$6004)-SUMIF(SYS_4_3_Digitos!$A$5:$A$6004,D321,SYS_4_3_Digitos!$J$5:$J$6004)</f>
        <v>24706.46</v>
      </c>
      <c r="D321" s="465">
        <v>680</v>
      </c>
      <c r="F321" s="459"/>
      <c r="G321" s="459"/>
    </row>
    <row r="322" spans="1:7">
      <c r="A322" s="460">
        <f t="shared" si="4"/>
        <v>68100</v>
      </c>
      <c r="C322" s="459">
        <f ca="1">SUMIF(SYS_4_3_Digitos!$A$5:$A$6004,D322,SYS_4_3_Digitos!$I$5:$I$6004)-SUMIF(SYS_4_3_Digitos!$A$5:$A$6004,D322,SYS_4_3_Digitos!$J$5:$J$6004)</f>
        <v>527719.55000000005</v>
      </c>
      <c r="D322" s="465">
        <v>681</v>
      </c>
      <c r="F322" s="459"/>
      <c r="G322" s="459"/>
    </row>
    <row r="323" spans="1:7">
      <c r="A323" s="460">
        <f t="shared" si="4"/>
        <v>68200</v>
      </c>
      <c r="C323" s="459">
        <f ca="1">SUMIF(SYS_4_3_Digitos!$A$5:$A$6004,D323,SYS_4_3_Digitos!$I$5:$I$6004)-SUMIF(SYS_4_3_Digitos!$A$5:$A$6004,D323,SYS_4_3_Digitos!$J$5:$J$6004)</f>
        <v>358611.1</v>
      </c>
      <c r="D323" s="465">
        <v>682</v>
      </c>
      <c r="F323" s="459"/>
      <c r="G323" s="459"/>
    </row>
    <row r="324" spans="1:7">
      <c r="A324" s="460">
        <f t="shared" si="4"/>
        <v>69000</v>
      </c>
      <c r="C324" s="459">
        <f ca="1">SUMIF(SYS_4_3_Digitos!$A$5:$A$6004,D324,SYS_4_3_Digitos!$I$5:$I$6004)-SUMIF(SYS_4_3_Digitos!$A$5:$A$6004,D324,SYS_4_3_Digitos!$J$5:$J$6004)</f>
        <v>0</v>
      </c>
      <c r="D324" s="465">
        <v>690</v>
      </c>
      <c r="F324" s="459"/>
      <c r="G324" s="459"/>
    </row>
    <row r="325" spans="1:7">
      <c r="A325" s="460">
        <f t="shared" si="4"/>
        <v>69100</v>
      </c>
      <c r="C325" s="459">
        <f ca="1">SUMIF(SYS_4_3_Digitos!$A$5:$A$6004,D325,SYS_4_3_Digitos!$I$5:$I$6004)-SUMIF(SYS_4_3_Digitos!$A$5:$A$6004,D325,SYS_4_3_Digitos!$J$5:$J$6004)</f>
        <v>0</v>
      </c>
      <c r="D325" s="465">
        <v>691</v>
      </c>
      <c r="F325" s="459"/>
      <c r="G325" s="459"/>
    </row>
    <row r="326" spans="1:7">
      <c r="A326" s="460">
        <f t="shared" si="4"/>
        <v>69200</v>
      </c>
      <c r="C326" s="459">
        <f ca="1">SUMIF(SYS_4_3_Digitos!$A$5:$A$6004,D326,SYS_4_3_Digitos!$I$5:$I$6004)-SUMIF(SYS_4_3_Digitos!$A$5:$A$6004,D326,SYS_4_3_Digitos!$J$5:$J$6004)</f>
        <v>0</v>
      </c>
      <c r="D326" s="465">
        <v>692</v>
      </c>
      <c r="F326" s="459"/>
      <c r="G326" s="459"/>
    </row>
    <row r="327" spans="1:7">
      <c r="A327" s="460">
        <f t="shared" ref="A327:A387" si="5">+D327*$D$1</f>
        <v>69300</v>
      </c>
      <c r="C327" s="459">
        <f ca="1">SUMIF(SYS_4_3_Digitos!$A$5:$A$6004,D327,SYS_4_3_Digitos!$I$5:$I$6004)-SUMIF(SYS_4_3_Digitos!$A$5:$A$6004,D327,SYS_4_3_Digitos!$J$5:$J$6004)</f>
        <v>0</v>
      </c>
      <c r="D327" s="465">
        <v>693</v>
      </c>
      <c r="F327" s="459"/>
      <c r="G327" s="459"/>
    </row>
    <row r="328" spans="1:7">
      <c r="A328" s="460">
        <f t="shared" si="5"/>
        <v>69400</v>
      </c>
      <c r="C328" s="459">
        <f ca="1">SUMIF(SYS_4_3_Digitos!$A$5:$A$6004,D328,SYS_4_3_Digitos!$I$5:$I$6004)-SUMIF(SYS_4_3_Digitos!$A$5:$A$6004,D328,SYS_4_3_Digitos!$J$5:$J$6004)</f>
        <v>110160</v>
      </c>
      <c r="D328" s="465">
        <v>694</v>
      </c>
      <c r="F328" s="459"/>
      <c r="G328" s="459"/>
    </row>
    <row r="329" spans="1:7">
      <c r="A329" s="460">
        <f t="shared" si="5"/>
        <v>69500</v>
      </c>
      <c r="C329" s="459">
        <f ca="1">SUMIF(SYS_4_3_Digitos!$A$5:$A$6004,D329,SYS_4_3_Digitos!$I$5:$I$6004)-SUMIF(SYS_4_3_Digitos!$A$5:$A$6004,D329,SYS_4_3_Digitos!$J$5:$J$6004)</f>
        <v>0</v>
      </c>
      <c r="D329" s="465">
        <v>695</v>
      </c>
      <c r="F329" s="459"/>
      <c r="G329" s="459"/>
    </row>
    <row r="330" spans="1:7">
      <c r="A330" s="460">
        <f t="shared" si="5"/>
        <v>696000</v>
      </c>
      <c r="C330" s="459">
        <f ca="1">SUMIF(SYS_4_3_Digitos!$A$5:$A$6004,D330,SYS_4_3_Digitos!$I$5:$I$6004)-SUMIF(SYS_4_3_Digitos!$A$5:$A$6004,D330,SYS_4_3_Digitos!$J$5:$J$6004)</f>
        <v>0</v>
      </c>
      <c r="D330" s="465">
        <v>6960</v>
      </c>
      <c r="F330" s="459"/>
      <c r="G330" s="459"/>
    </row>
    <row r="331" spans="1:7">
      <c r="A331" s="460">
        <f t="shared" si="5"/>
        <v>696100</v>
      </c>
      <c r="C331" s="459">
        <f ca="1">SUMIF(SYS_4_3_Digitos!$A$5:$A$6004,D331,SYS_4_3_Digitos!$I$5:$I$6004)-SUMIF(SYS_4_3_Digitos!$A$5:$A$6004,D331,SYS_4_3_Digitos!$J$5:$J$6004)</f>
        <v>0</v>
      </c>
      <c r="D331" s="465">
        <v>6961</v>
      </c>
      <c r="F331" s="459"/>
      <c r="G331" s="459"/>
    </row>
    <row r="332" spans="1:7">
      <c r="A332" s="460">
        <f t="shared" si="5"/>
        <v>696200</v>
      </c>
      <c r="C332" s="459">
        <f ca="1">SUMIF(SYS_4_3_Digitos!$A$5:$A$6004,D332,SYS_4_3_Digitos!$I$5:$I$6004)-SUMIF(SYS_4_3_Digitos!$A$5:$A$6004,D332,SYS_4_3_Digitos!$J$5:$J$6004)</f>
        <v>0</v>
      </c>
      <c r="D332" s="465">
        <v>6962</v>
      </c>
      <c r="F332" s="459"/>
      <c r="G332" s="459"/>
    </row>
    <row r="333" spans="1:7">
      <c r="A333" s="460">
        <f t="shared" si="5"/>
        <v>696300</v>
      </c>
      <c r="C333" s="459">
        <f ca="1">SUMIF(SYS_4_3_Digitos!$A$5:$A$6004,D333,SYS_4_3_Digitos!$I$5:$I$6004)-SUMIF(SYS_4_3_Digitos!$A$5:$A$6004,D333,SYS_4_3_Digitos!$J$5:$J$6004)</f>
        <v>0</v>
      </c>
      <c r="D333" s="465">
        <v>6963</v>
      </c>
      <c r="F333" s="459"/>
      <c r="G333" s="459"/>
    </row>
    <row r="334" spans="1:7">
      <c r="A334" s="460">
        <f t="shared" si="5"/>
        <v>697000</v>
      </c>
      <c r="C334" s="459">
        <f ca="1">SUMIF(SYS_4_3_Digitos!$A$5:$A$6004,D334,SYS_4_3_Digitos!$I$5:$I$6004)-SUMIF(SYS_4_3_Digitos!$A$5:$A$6004,D334,SYS_4_3_Digitos!$J$5:$J$6004)</f>
        <v>0</v>
      </c>
      <c r="D334" s="465">
        <v>6970</v>
      </c>
      <c r="F334" s="459"/>
      <c r="G334" s="459"/>
    </row>
    <row r="335" spans="1:7">
      <c r="A335" s="460">
        <f t="shared" si="5"/>
        <v>697100</v>
      </c>
      <c r="C335" s="459">
        <f ca="1">SUMIF(SYS_4_3_Digitos!$A$5:$A$6004,D335,SYS_4_3_Digitos!$I$5:$I$6004)-SUMIF(SYS_4_3_Digitos!$A$5:$A$6004,D335,SYS_4_3_Digitos!$J$5:$J$6004)</f>
        <v>0</v>
      </c>
      <c r="D335" s="465">
        <v>6971</v>
      </c>
      <c r="F335" s="459"/>
      <c r="G335" s="459"/>
    </row>
    <row r="336" spans="1:7">
      <c r="A336" s="460">
        <f t="shared" si="5"/>
        <v>697200</v>
      </c>
      <c r="C336" s="459">
        <f ca="1">SUMIF(SYS_4_3_Digitos!$A$5:$A$6004,D336,SYS_4_3_Digitos!$I$5:$I$6004)-SUMIF(SYS_4_3_Digitos!$A$5:$A$6004,D336,SYS_4_3_Digitos!$J$5:$J$6004)</f>
        <v>0</v>
      </c>
      <c r="D336" s="465">
        <v>6972</v>
      </c>
      <c r="F336" s="459"/>
      <c r="G336" s="459"/>
    </row>
    <row r="337" spans="1:7">
      <c r="A337" s="460">
        <f t="shared" si="5"/>
        <v>697300</v>
      </c>
      <c r="C337" s="459">
        <f ca="1">SUMIF(SYS_4_3_Digitos!$A$5:$A$6004,D337,SYS_4_3_Digitos!$I$5:$I$6004)-SUMIF(SYS_4_3_Digitos!$A$5:$A$6004,D337,SYS_4_3_Digitos!$J$5:$J$6004)</f>
        <v>0</v>
      </c>
      <c r="D337" s="465">
        <v>6973</v>
      </c>
      <c r="F337" s="459"/>
      <c r="G337" s="459"/>
    </row>
    <row r="338" spans="1:7">
      <c r="A338" s="460">
        <f t="shared" si="5"/>
        <v>69800</v>
      </c>
      <c r="C338" s="459">
        <f ca="1">SUMIF(SYS_4_3_Digitos!$A$5:$A$6004,D338,SYS_4_3_Digitos!$I$5:$I$6004)-SUMIF(SYS_4_3_Digitos!$A$5:$A$6004,D338,SYS_4_3_Digitos!$J$5:$J$6004)</f>
        <v>0</v>
      </c>
      <c r="D338" s="465">
        <v>698</v>
      </c>
      <c r="F338" s="459"/>
      <c r="G338" s="459"/>
    </row>
    <row r="339" spans="1:7">
      <c r="A339" s="460">
        <f t="shared" si="5"/>
        <v>69900</v>
      </c>
      <c r="C339" s="459">
        <f ca="1">SUMIF(SYS_4_3_Digitos!$A$5:$A$6004,D339,SYS_4_3_Digitos!$I$5:$I$6004)-SUMIF(SYS_4_3_Digitos!$A$5:$A$6004,D339,SYS_4_3_Digitos!$J$5:$J$6004)</f>
        <v>0</v>
      </c>
      <c r="D339" s="465">
        <v>699</v>
      </c>
      <c r="F339" s="459"/>
      <c r="G339" s="459"/>
    </row>
    <row r="340" spans="1:7">
      <c r="A340" s="460">
        <f t="shared" si="5"/>
        <v>70000</v>
      </c>
      <c r="C340" s="459">
        <f ca="1">SUMIF(SYS_4_3_Digitos!$A$5:$A$6004,D340,SYS_4_3_Digitos!$I$5:$I$6004)-SUMIF(SYS_4_3_Digitos!$A$5:$A$6004,D340,SYS_4_3_Digitos!$J$5:$J$6004)</f>
        <v>-23781582.580000002</v>
      </c>
      <c r="D340" s="465">
        <v>700</v>
      </c>
      <c r="F340" s="459"/>
      <c r="G340" s="459"/>
    </row>
    <row r="341" spans="1:7">
      <c r="A341" s="460">
        <f t="shared" si="5"/>
        <v>70100</v>
      </c>
      <c r="C341" s="459">
        <f ca="1">SUMIF(SYS_4_3_Digitos!$A$5:$A$6004,D341,SYS_4_3_Digitos!$I$5:$I$6004)-SUMIF(SYS_4_3_Digitos!$A$5:$A$6004,D341,SYS_4_3_Digitos!$J$5:$J$6004)</f>
        <v>-48356916.410000004</v>
      </c>
      <c r="D341" s="465">
        <v>701</v>
      </c>
      <c r="F341" s="459"/>
      <c r="G341" s="459"/>
    </row>
    <row r="342" spans="1:7">
      <c r="A342" s="460">
        <f t="shared" si="5"/>
        <v>70200</v>
      </c>
      <c r="C342" s="459">
        <f ca="1">SUMIF(SYS_4_3_Digitos!$A$5:$A$6004,D342,SYS_4_3_Digitos!$I$5:$I$6004)-SUMIF(SYS_4_3_Digitos!$A$5:$A$6004,D342,SYS_4_3_Digitos!$J$5:$J$6004)</f>
        <v>0</v>
      </c>
      <c r="D342" s="465">
        <v>702</v>
      </c>
      <c r="F342" s="459"/>
      <c r="G342" s="459"/>
    </row>
    <row r="343" spans="1:7">
      <c r="A343" s="460">
        <f t="shared" si="5"/>
        <v>70300</v>
      </c>
      <c r="C343" s="459">
        <f ca="1">SUMIF(SYS_4_3_Digitos!$A$5:$A$6004,D343,SYS_4_3_Digitos!$I$5:$I$6004)-SUMIF(SYS_4_3_Digitos!$A$5:$A$6004,D343,SYS_4_3_Digitos!$J$5:$J$6004)</f>
        <v>0</v>
      </c>
      <c r="D343" s="465">
        <v>703</v>
      </c>
      <c r="F343" s="459"/>
      <c r="G343" s="459"/>
    </row>
    <row r="344" spans="1:7">
      <c r="A344" s="460">
        <f t="shared" si="5"/>
        <v>70400</v>
      </c>
      <c r="C344" s="459">
        <f ca="1">SUMIF(SYS_4_3_Digitos!$A$5:$A$6004,D344,SYS_4_3_Digitos!$I$5:$I$6004)-SUMIF(SYS_4_3_Digitos!$A$5:$A$6004,D344,SYS_4_3_Digitos!$J$5:$J$6004)</f>
        <v>0</v>
      </c>
      <c r="D344" s="465">
        <v>704</v>
      </c>
      <c r="F344" s="459"/>
      <c r="G344" s="459"/>
    </row>
    <row r="345" spans="1:7">
      <c r="A345" s="460">
        <f t="shared" si="5"/>
        <v>70500</v>
      </c>
      <c r="C345" s="459">
        <f ca="1">SUMIF(SYS_4_3_Digitos!$A$5:$A$6004,D345,SYS_4_3_Digitos!$I$5:$I$6004)-SUMIF(SYS_4_3_Digitos!$A$5:$A$6004,D345,SYS_4_3_Digitos!$J$5:$J$6004)</f>
        <v>-1677197.1400000001</v>
      </c>
      <c r="D345" s="465">
        <v>705</v>
      </c>
      <c r="F345" s="459"/>
      <c r="G345" s="459"/>
    </row>
    <row r="346" spans="1:7">
      <c r="A346" s="460">
        <f t="shared" si="5"/>
        <v>70600</v>
      </c>
      <c r="C346" s="459">
        <f ca="1">SUMIF(SYS_4_3_Digitos!$A$5:$A$6004,D346,SYS_4_3_Digitos!$I$5:$I$6004)-SUMIF(SYS_4_3_Digitos!$A$5:$A$6004,D346,SYS_4_3_Digitos!$J$5:$J$6004)</f>
        <v>3003.21</v>
      </c>
      <c r="D346" s="465">
        <v>706</v>
      </c>
      <c r="F346" s="459"/>
      <c r="G346" s="459"/>
    </row>
    <row r="347" spans="1:7">
      <c r="A347" s="460">
        <f t="shared" si="5"/>
        <v>70800</v>
      </c>
      <c r="C347" s="459">
        <f ca="1">SUMIF(SYS_4_3_Digitos!$A$5:$A$6004,D347,SYS_4_3_Digitos!$I$5:$I$6004)-SUMIF(SYS_4_3_Digitos!$A$5:$A$6004,D347,SYS_4_3_Digitos!$J$5:$J$6004)</f>
        <v>0</v>
      </c>
      <c r="D347" s="465">
        <v>708</v>
      </c>
      <c r="F347" s="459"/>
      <c r="G347" s="459"/>
    </row>
    <row r="348" spans="1:7">
      <c r="A348" s="460">
        <f t="shared" si="5"/>
        <v>70900</v>
      </c>
      <c r="C348" s="459">
        <f ca="1">SUMIF(SYS_4_3_Digitos!$A$5:$A$6004,D348,SYS_4_3_Digitos!$I$5:$I$6004)-SUMIF(SYS_4_3_Digitos!$A$5:$A$6004,D348,SYS_4_3_Digitos!$J$5:$J$6004)</f>
        <v>29652.65</v>
      </c>
      <c r="D348" s="465">
        <v>709</v>
      </c>
      <c r="F348" s="459"/>
      <c r="G348" s="459"/>
    </row>
    <row r="349" spans="1:7">
      <c r="A349" s="460">
        <f t="shared" si="5"/>
        <v>71000</v>
      </c>
      <c r="C349" s="459">
        <f ca="1">SUMIF(SYS_4_3_Digitos!$A$5:$A$6004,D349,SYS_4_3_Digitos!$I$5:$I$6004)-SUMIF(SYS_4_3_Digitos!$A$5:$A$6004,D349,SYS_4_3_Digitos!$J$5:$J$6004)</f>
        <v>0</v>
      </c>
      <c r="D349" s="465">
        <v>710</v>
      </c>
      <c r="F349" s="459"/>
      <c r="G349" s="459"/>
    </row>
    <row r="350" spans="1:7">
      <c r="A350" s="460">
        <f t="shared" si="5"/>
        <v>71100</v>
      </c>
      <c r="C350" s="459">
        <f ca="1">SUMIF(SYS_4_3_Digitos!$A$5:$A$6004,D350,SYS_4_3_Digitos!$I$5:$I$6004)-SUMIF(SYS_4_3_Digitos!$A$5:$A$6004,D350,SYS_4_3_Digitos!$J$5:$J$6004)</f>
        <v>0</v>
      </c>
      <c r="D350" s="465">
        <v>711</v>
      </c>
      <c r="F350" s="459"/>
      <c r="G350" s="459"/>
    </row>
    <row r="351" spans="1:7">
      <c r="A351" s="460">
        <f t="shared" si="5"/>
        <v>71200</v>
      </c>
      <c r="C351" s="459">
        <f ca="1">SUMIF(SYS_4_3_Digitos!$A$5:$A$6004,D351,SYS_4_3_Digitos!$I$5:$I$6004)-SUMIF(SYS_4_3_Digitos!$A$5:$A$6004,D351,SYS_4_3_Digitos!$J$5:$J$6004)</f>
        <v>2581878.4300000002</v>
      </c>
      <c r="D351" s="465">
        <v>712</v>
      </c>
      <c r="F351" s="459"/>
      <c r="G351" s="459"/>
    </row>
    <row r="352" spans="1:7">
      <c r="A352" s="460">
        <f t="shared" si="5"/>
        <v>71300</v>
      </c>
      <c r="C352" s="459">
        <f ca="1">SUMIF(SYS_4_3_Digitos!$A$5:$A$6004,D352,SYS_4_3_Digitos!$I$5:$I$6004)-SUMIF(SYS_4_3_Digitos!$A$5:$A$6004,D352,SYS_4_3_Digitos!$J$5:$J$6004)</f>
        <v>0</v>
      </c>
      <c r="D352" s="465">
        <v>713</v>
      </c>
      <c r="F352" s="459"/>
      <c r="G352" s="459"/>
    </row>
    <row r="353" spans="1:7">
      <c r="A353" s="460">
        <f t="shared" si="5"/>
        <v>7300</v>
      </c>
      <c r="C353" s="459">
        <f ca="1">SUMIF(SYS_4_3_Digitos!$A$5:$A$6004,D353,SYS_4_3_Digitos!$I$5:$I$6004)-SUMIF(SYS_4_3_Digitos!$A$5:$A$6004,D353,SYS_4_3_Digitos!$J$5:$J$6004)</f>
        <v>0</v>
      </c>
      <c r="D353" s="465">
        <v>73</v>
      </c>
      <c r="F353" s="459"/>
      <c r="G353" s="459"/>
    </row>
    <row r="354" spans="1:7">
      <c r="A354" s="460">
        <f t="shared" si="5"/>
        <v>74000</v>
      </c>
      <c r="C354" s="459">
        <f ca="1">SUMIF(SYS_4_3_Digitos!$A$5:$A$6004,D354,SYS_4_3_Digitos!$I$5:$I$6004)-SUMIF(SYS_4_3_Digitos!$A$5:$A$6004,D354,SYS_4_3_Digitos!$J$5:$J$6004)</f>
        <v>-6654.87</v>
      </c>
      <c r="D354" s="465">
        <v>740</v>
      </c>
      <c r="F354" s="459"/>
      <c r="G354" s="459"/>
    </row>
    <row r="355" spans="1:7">
      <c r="A355" s="460">
        <f t="shared" si="5"/>
        <v>74600</v>
      </c>
      <c r="C355" s="459">
        <f ca="1">SUMIF(SYS_4_3_Digitos!$A$5:$A$6004,D355,SYS_4_3_Digitos!$I$5:$I$6004)-SUMIF(SYS_4_3_Digitos!$A$5:$A$6004,D355,SYS_4_3_Digitos!$J$5:$J$6004)</f>
        <v>0</v>
      </c>
      <c r="D355" s="465">
        <v>746</v>
      </c>
      <c r="F355" s="459"/>
      <c r="G355" s="459"/>
    </row>
    <row r="356" spans="1:7">
      <c r="A356" s="460">
        <f t="shared" si="5"/>
        <v>74700</v>
      </c>
      <c r="C356" s="459">
        <f ca="1">SUMIF(SYS_4_3_Digitos!$A$5:$A$6004,D356,SYS_4_3_Digitos!$I$5:$I$6004)-SUMIF(SYS_4_3_Digitos!$A$5:$A$6004,D356,SYS_4_3_Digitos!$J$5:$J$6004)</f>
        <v>-8449.84</v>
      </c>
      <c r="D356" s="465">
        <v>747</v>
      </c>
      <c r="F356" s="459"/>
      <c r="G356" s="459"/>
    </row>
    <row r="357" spans="1:7">
      <c r="A357" s="460">
        <f t="shared" si="5"/>
        <v>75100</v>
      </c>
      <c r="C357" s="459">
        <f ca="1">SUMIF(SYS_4_3_Digitos!$A$5:$A$6004,D357,SYS_4_3_Digitos!$I$5:$I$6004)-SUMIF(SYS_4_3_Digitos!$A$5:$A$6004,D357,SYS_4_3_Digitos!$J$5:$J$6004)</f>
        <v>0</v>
      </c>
      <c r="D357" s="465">
        <v>751</v>
      </c>
      <c r="F357" s="459"/>
      <c r="G357" s="459"/>
    </row>
    <row r="358" spans="1:7">
      <c r="A358" s="460">
        <f t="shared" si="5"/>
        <v>75200</v>
      </c>
      <c r="C358" s="459">
        <f ca="1">SUMIF(SYS_4_3_Digitos!$A$5:$A$6004,D358,SYS_4_3_Digitos!$I$5:$I$6004)-SUMIF(SYS_4_3_Digitos!$A$5:$A$6004,D358,SYS_4_3_Digitos!$J$5:$J$6004)</f>
        <v>0</v>
      </c>
      <c r="D358" s="465">
        <v>752</v>
      </c>
      <c r="F358" s="459"/>
      <c r="G358" s="459"/>
    </row>
    <row r="359" spans="1:7">
      <c r="A359" s="460">
        <f t="shared" si="5"/>
        <v>75300</v>
      </c>
      <c r="C359" s="459">
        <f ca="1">SUMIF(SYS_4_3_Digitos!$A$5:$A$6004,D359,SYS_4_3_Digitos!$I$5:$I$6004)-SUMIF(SYS_4_3_Digitos!$A$5:$A$6004,D359,SYS_4_3_Digitos!$J$5:$J$6004)</f>
        <v>0</v>
      </c>
      <c r="D359" s="465">
        <v>753</v>
      </c>
      <c r="F359" s="459"/>
      <c r="G359" s="459"/>
    </row>
    <row r="360" spans="1:7">
      <c r="A360" s="460">
        <f t="shared" si="5"/>
        <v>75400</v>
      </c>
      <c r="C360" s="459">
        <f ca="1">SUMIF(SYS_4_3_Digitos!$A$5:$A$6004,D360,SYS_4_3_Digitos!$I$5:$I$6004)-SUMIF(SYS_4_3_Digitos!$A$5:$A$6004,D360,SYS_4_3_Digitos!$J$5:$J$6004)</f>
        <v>0</v>
      </c>
      <c r="D360" s="465">
        <v>754</v>
      </c>
      <c r="F360" s="459"/>
      <c r="G360" s="459"/>
    </row>
    <row r="361" spans="1:7">
      <c r="A361" s="460">
        <f t="shared" si="5"/>
        <v>75500</v>
      </c>
      <c r="C361" s="459">
        <f ca="1">SUMIF(SYS_4_3_Digitos!$A$5:$A$6004,D361,SYS_4_3_Digitos!$I$5:$I$6004)-SUMIF(SYS_4_3_Digitos!$A$5:$A$6004,D361,SYS_4_3_Digitos!$J$5:$J$6004)</f>
        <v>0</v>
      </c>
      <c r="D361" s="466">
        <v>755</v>
      </c>
      <c r="F361" s="459"/>
      <c r="G361" s="459"/>
    </row>
    <row r="362" spans="1:7">
      <c r="A362" s="460">
        <f t="shared" si="5"/>
        <v>75900</v>
      </c>
      <c r="C362" s="459">
        <f ca="1">SUMIF(SYS_4_3_Digitos!$A$5:$A$6004,D362,SYS_4_3_Digitos!$I$5:$I$6004)-SUMIF(SYS_4_3_Digitos!$A$5:$A$6004,D362,SYS_4_3_Digitos!$J$5:$J$6004)</f>
        <v>-5048.42</v>
      </c>
      <c r="D362" s="466">
        <v>759</v>
      </c>
      <c r="F362" s="459"/>
      <c r="G362" s="459"/>
    </row>
    <row r="363" spans="1:7">
      <c r="A363" s="460">
        <f t="shared" si="5"/>
        <v>76000</v>
      </c>
      <c r="C363" s="459">
        <f ca="1">SUMIF(SYS_4_3_Digitos!$A$5:$A$6004,D363,SYS_4_3_Digitos!$I$5:$I$6004)-SUMIF(SYS_4_3_Digitos!$A$5:$A$6004,D363,SYS_4_3_Digitos!$J$5:$J$6004)</f>
        <v>-6524020.6900000004</v>
      </c>
      <c r="D363" s="466">
        <v>760</v>
      </c>
      <c r="F363" s="459"/>
      <c r="G363" s="459"/>
    </row>
    <row r="364" spans="1:7">
      <c r="A364" s="460">
        <f t="shared" si="5"/>
        <v>76100</v>
      </c>
      <c r="C364" s="459">
        <f ca="1">SUMIF(SYS_4_3_Digitos!$A$5:$A$6004,D364,SYS_4_3_Digitos!$I$5:$I$6004)-SUMIF(SYS_4_3_Digitos!$A$5:$A$6004,D364,SYS_4_3_Digitos!$J$5:$J$6004)</f>
        <v>0</v>
      </c>
      <c r="D364" s="466">
        <v>761</v>
      </c>
      <c r="F364" s="459"/>
      <c r="G364" s="459"/>
    </row>
    <row r="365" spans="1:7">
      <c r="A365" s="460">
        <f t="shared" si="5"/>
        <v>76200</v>
      </c>
      <c r="C365" s="459">
        <f ca="1">SUMIF(SYS_4_3_Digitos!$A$5:$A$6004,D365,SYS_4_3_Digitos!$I$5:$I$6004)-SUMIF(SYS_4_3_Digitos!$A$5:$A$6004,D365,SYS_4_3_Digitos!$J$5:$J$6004)</f>
        <v>0</v>
      </c>
      <c r="D365" s="466">
        <v>762</v>
      </c>
      <c r="F365" s="459"/>
      <c r="G365" s="459"/>
    </row>
    <row r="366" spans="1:7">
      <c r="A366" s="460">
        <f t="shared" si="5"/>
        <v>76300</v>
      </c>
      <c r="C366" s="459">
        <f ca="1">SUMIF(SYS_4_3_Digitos!$A$5:$A$6004,D366,SYS_4_3_Digitos!$I$5:$I$6004)-SUMIF(SYS_4_3_Digitos!$A$5:$A$6004,D366,SYS_4_3_Digitos!$J$5:$J$6004)</f>
        <v>-3504561.87</v>
      </c>
      <c r="D366" s="466">
        <v>763</v>
      </c>
      <c r="F366" s="459"/>
      <c r="G366" s="459"/>
    </row>
    <row r="367" spans="1:7">
      <c r="A367" s="460">
        <f t="shared" si="5"/>
        <v>76600</v>
      </c>
      <c r="C367" s="459">
        <f ca="1">SUMIF(SYS_4_3_Digitos!$A$5:$A$6004,D367,SYS_4_3_Digitos!$I$5:$I$6004)-SUMIF(SYS_4_3_Digitos!$A$5:$A$6004,D367,SYS_4_3_Digitos!$J$5:$J$6004)</f>
        <v>-639120.5</v>
      </c>
      <c r="D367" s="466">
        <v>766</v>
      </c>
      <c r="F367" s="459"/>
      <c r="G367" s="459"/>
    </row>
    <row r="368" spans="1:7">
      <c r="A368" s="460">
        <f t="shared" si="5"/>
        <v>76700</v>
      </c>
      <c r="C368" s="459">
        <f ca="1">SUMIF(SYS_4_3_Digitos!$A$5:$A$6004,D368,SYS_4_3_Digitos!$I$5:$I$6004)-SUMIF(SYS_4_3_Digitos!$A$5:$A$6004,D368,SYS_4_3_Digitos!$J$5:$J$6004)</f>
        <v>0</v>
      </c>
      <c r="D368" s="466">
        <v>767</v>
      </c>
      <c r="F368" s="459"/>
      <c r="G368" s="459"/>
    </row>
    <row r="369" spans="1:7">
      <c r="A369" s="460">
        <f t="shared" si="5"/>
        <v>76800</v>
      </c>
      <c r="C369" s="459">
        <f ca="1">SUMIF(SYS_4_3_Digitos!$A$5:$A$6004,D369,SYS_4_3_Digitos!$I$5:$I$6004)-SUMIF(SYS_4_3_Digitos!$A$5:$A$6004,D369,SYS_4_3_Digitos!$J$5:$J$6004)</f>
        <v>-160702.71000000002</v>
      </c>
      <c r="D369" s="466">
        <v>768</v>
      </c>
      <c r="F369" s="459"/>
      <c r="G369" s="459"/>
    </row>
    <row r="370" spans="1:7">
      <c r="A370" s="460">
        <f t="shared" si="5"/>
        <v>76900</v>
      </c>
      <c r="C370" s="459">
        <f ca="1">SUMIF(SYS_4_3_Digitos!$A$5:$A$6004,D370,SYS_4_3_Digitos!$I$5:$I$6004)-SUMIF(SYS_4_3_Digitos!$A$5:$A$6004,D370,SYS_4_3_Digitos!$J$5:$J$6004)</f>
        <v>-2309646.29</v>
      </c>
      <c r="D370" s="466">
        <v>769</v>
      </c>
      <c r="F370" s="459"/>
      <c r="G370" s="459"/>
    </row>
    <row r="371" spans="1:7">
      <c r="A371" s="460">
        <f t="shared" si="5"/>
        <v>77000</v>
      </c>
      <c r="C371" s="459">
        <f ca="1">SUMIF(SYS_4_3_Digitos!$A$5:$A$6004,D371,SYS_4_3_Digitos!$I$5:$I$6004)-SUMIF(SYS_4_3_Digitos!$A$5:$A$6004,D371,SYS_4_3_Digitos!$J$5:$J$6004)</f>
        <v>0</v>
      </c>
      <c r="D371" s="466">
        <v>770</v>
      </c>
      <c r="F371" s="459"/>
      <c r="G371" s="459"/>
    </row>
    <row r="372" spans="1:7">
      <c r="A372" s="460">
        <f t="shared" si="5"/>
        <v>77100</v>
      </c>
      <c r="C372" s="459">
        <f ca="1">SUMIF(SYS_4_3_Digitos!$A$5:$A$6004,D372,SYS_4_3_Digitos!$I$5:$I$6004)-SUMIF(SYS_4_3_Digitos!$A$5:$A$6004,D372,SYS_4_3_Digitos!$J$5:$J$6004)</f>
        <v>-4500</v>
      </c>
      <c r="D372" s="466">
        <v>771</v>
      </c>
      <c r="F372" s="459"/>
      <c r="G372" s="459"/>
    </row>
    <row r="373" spans="1:7">
      <c r="A373" s="460">
        <f t="shared" si="5"/>
        <v>77200</v>
      </c>
      <c r="C373" s="459">
        <f ca="1">SUMIF(SYS_4_3_Digitos!$A$5:$A$6004,D373,SYS_4_3_Digitos!$I$5:$I$6004)-SUMIF(SYS_4_3_Digitos!$A$5:$A$6004,D373,SYS_4_3_Digitos!$J$5:$J$6004)</f>
        <v>0</v>
      </c>
      <c r="D373" s="466">
        <v>772</v>
      </c>
      <c r="F373" s="459"/>
      <c r="G373" s="459"/>
    </row>
    <row r="374" spans="1:7">
      <c r="A374" s="460">
        <f t="shared" si="5"/>
        <v>77300</v>
      </c>
      <c r="C374" s="459">
        <f ca="1">SUMIF(SYS_4_3_Digitos!$A$5:$A$6004,D374,SYS_4_3_Digitos!$I$5:$I$6004)-SUMIF(SYS_4_3_Digitos!$A$5:$A$6004,D374,SYS_4_3_Digitos!$J$5:$J$6004)</f>
        <v>0</v>
      </c>
      <c r="D374" s="466">
        <v>773</v>
      </c>
      <c r="F374" s="459"/>
      <c r="G374" s="459"/>
    </row>
    <row r="375" spans="1:7">
      <c r="A375" s="460">
        <f t="shared" si="5"/>
        <v>77400</v>
      </c>
      <c r="C375" s="459">
        <f ca="1">SUMIF(SYS_4_3_Digitos!$A$5:$A$6004,D375,SYS_4_3_Digitos!$I$5:$I$6004)-SUMIF(SYS_4_3_Digitos!$A$5:$A$6004,D375,SYS_4_3_Digitos!$J$5:$J$6004)</f>
        <v>0</v>
      </c>
      <c r="D375" s="466">
        <v>774</v>
      </c>
      <c r="F375" s="459"/>
      <c r="G375" s="459"/>
    </row>
    <row r="376" spans="1:7">
      <c r="A376" s="460">
        <f t="shared" si="5"/>
        <v>77500</v>
      </c>
      <c r="C376" s="459">
        <f ca="1">SUMIF(SYS_4_3_Digitos!$A$5:$A$6004,D376,SYS_4_3_Digitos!$I$5:$I$6004)-SUMIF(SYS_4_3_Digitos!$A$5:$A$6004,D376,SYS_4_3_Digitos!$J$5:$J$6004)</f>
        <v>0</v>
      </c>
      <c r="D376" s="466">
        <v>775</v>
      </c>
      <c r="F376" s="459"/>
      <c r="G376" s="459"/>
    </row>
    <row r="377" spans="1:7">
      <c r="A377" s="460">
        <f t="shared" si="5"/>
        <v>77800</v>
      </c>
      <c r="C377" s="459">
        <f ca="1">SUMIF(SYS_4_3_Digitos!$A$5:$A$6004,D377,SYS_4_3_Digitos!$I$5:$I$6004)-SUMIF(SYS_4_3_Digitos!$A$5:$A$6004,D377,SYS_4_3_Digitos!$J$5:$J$6004)</f>
        <v>-268.60000000000002</v>
      </c>
      <c r="D377" s="466">
        <v>778</v>
      </c>
      <c r="F377" s="459"/>
      <c r="G377" s="459"/>
    </row>
    <row r="378" spans="1:7">
      <c r="A378" s="460">
        <f t="shared" si="5"/>
        <v>79000</v>
      </c>
      <c r="C378" s="459">
        <f ca="1">SUMIF(SYS_4_3_Digitos!$A$5:$A$6004,D378,SYS_4_3_Digitos!$I$5:$I$6004)-SUMIF(SYS_4_3_Digitos!$A$5:$A$6004,D378,SYS_4_3_Digitos!$J$5:$J$6004)</f>
        <v>0</v>
      </c>
      <c r="D378" s="466">
        <v>790</v>
      </c>
      <c r="F378" s="459"/>
      <c r="G378" s="459"/>
    </row>
    <row r="379" spans="1:7">
      <c r="A379" s="460">
        <f t="shared" si="5"/>
        <v>79100</v>
      </c>
      <c r="C379" s="459">
        <f ca="1">SUMIF(SYS_4_3_Digitos!$A$5:$A$6004,D379,SYS_4_3_Digitos!$I$5:$I$6004)-SUMIF(SYS_4_3_Digitos!$A$5:$A$6004,D379,SYS_4_3_Digitos!$J$5:$J$6004)</f>
        <v>0</v>
      </c>
      <c r="D379" s="466">
        <v>791</v>
      </c>
      <c r="F379" s="459"/>
      <c r="G379" s="459"/>
    </row>
    <row r="380" spans="1:7">
      <c r="A380" s="460">
        <f t="shared" si="5"/>
        <v>79200</v>
      </c>
      <c r="C380" s="459">
        <f ca="1">SUMIF(SYS_4_3_Digitos!$A$5:$A$6004,D380,SYS_4_3_Digitos!$I$5:$I$6004)-SUMIF(SYS_4_3_Digitos!$A$5:$A$6004,D380,SYS_4_3_Digitos!$J$5:$J$6004)</f>
        <v>0</v>
      </c>
      <c r="D380" s="466">
        <v>792</v>
      </c>
      <c r="F380" s="459"/>
      <c r="G380" s="459"/>
    </row>
    <row r="381" spans="1:7">
      <c r="A381" s="460">
        <f t="shared" si="5"/>
        <v>79300</v>
      </c>
      <c r="C381" s="459">
        <f ca="1">SUMIF(SYS_4_3_Digitos!$A$5:$A$6004,D381,SYS_4_3_Digitos!$I$5:$I$6004)-SUMIF(SYS_4_3_Digitos!$A$5:$A$6004,D381,SYS_4_3_Digitos!$J$5:$J$6004)</f>
        <v>0</v>
      </c>
      <c r="D381" s="466">
        <v>793</v>
      </c>
      <c r="F381" s="459"/>
      <c r="G381" s="459"/>
    </row>
    <row r="382" spans="1:7">
      <c r="A382" s="460">
        <f t="shared" si="5"/>
        <v>79400</v>
      </c>
      <c r="C382" s="459">
        <f ca="1">SUMIF(SYS_4_3_Digitos!$A$5:$A$6004,D382,SYS_4_3_Digitos!$I$5:$I$6004)-SUMIF(SYS_4_3_Digitos!$A$5:$A$6004,D382,SYS_4_3_Digitos!$J$5:$J$6004)</f>
        <v>0</v>
      </c>
      <c r="D382" s="453">
        <v>794</v>
      </c>
    </row>
    <row r="383" spans="1:7">
      <c r="A383" s="460">
        <f t="shared" si="5"/>
        <v>79500</v>
      </c>
      <c r="C383" s="459">
        <f ca="1">SUMIF(SYS_4_3_Digitos!$A$5:$A$6004,D383,SYS_4_3_Digitos!$I$5:$I$6004)-SUMIF(SYS_4_3_Digitos!$A$5:$A$6004,D383,SYS_4_3_Digitos!$J$5:$J$6004)</f>
        <v>0</v>
      </c>
      <c r="D383" s="453">
        <v>795</v>
      </c>
    </row>
    <row r="384" spans="1:7">
      <c r="A384" s="460">
        <f t="shared" si="5"/>
        <v>79600</v>
      </c>
      <c r="C384" s="459">
        <f ca="1">SUMIF(SYS_4_3_Digitos!$A$5:$A$6004,D384,SYS_4_3_Digitos!$I$5:$I$6004)-SUMIF(SYS_4_3_Digitos!$A$5:$A$6004,D384,SYS_4_3_Digitos!$J$5:$J$6004)</f>
        <v>0</v>
      </c>
      <c r="D384" s="453">
        <v>796</v>
      </c>
    </row>
    <row r="385" spans="1:4">
      <c r="A385" s="460">
        <f t="shared" si="5"/>
        <v>79700</v>
      </c>
      <c r="C385" s="459">
        <f ca="1">SUMIF(SYS_4_3_Digitos!$A$5:$A$6004,D385,SYS_4_3_Digitos!$I$5:$I$6004)-SUMIF(SYS_4_3_Digitos!$A$5:$A$6004,D385,SYS_4_3_Digitos!$J$5:$J$6004)</f>
        <v>0</v>
      </c>
      <c r="D385" s="453">
        <v>797</v>
      </c>
    </row>
    <row r="386" spans="1:4">
      <c r="A386" s="460">
        <f t="shared" si="5"/>
        <v>79800</v>
      </c>
      <c r="C386" s="459">
        <f ca="1">SUMIF(SYS_4_3_Digitos!$A$5:$A$6004,D386,SYS_4_3_Digitos!$I$5:$I$6004)-SUMIF(SYS_4_3_Digitos!$A$5:$A$6004,D386,SYS_4_3_Digitos!$J$5:$J$6004)</f>
        <v>0</v>
      </c>
      <c r="D386" s="453">
        <v>798</v>
      </c>
    </row>
    <row r="387" spans="1:4">
      <c r="A387" s="460">
        <f t="shared" si="5"/>
        <v>79900</v>
      </c>
      <c r="C387" s="459">
        <f ca="1">SUMIF(SYS_4_3_Digitos!$A$5:$A$6004,D387,SYS_4_3_Digitos!$I$5:$I$6004)-SUMIF(SYS_4_3_Digitos!$A$5:$A$6004,D387,SYS_4_3_Digitos!$J$5:$J$6004)</f>
        <v>0</v>
      </c>
      <c r="D387" s="453">
        <v>799</v>
      </c>
    </row>
    <row r="388" spans="1:4">
      <c r="A388" s="460">
        <f t="shared" ref="A388:A408" si="6">+D388*$D$1</f>
        <v>8000</v>
      </c>
      <c r="C388" s="459">
        <f>SUMIF(SYS_4_3_Digitos!$A$5:$A$6004,D388,SYS_4_3_Digitos!$I$5:$I$6004)-SUMIF(SYS_4_3_Digitos!$A$5:$A$6004,D388,SYS_4_3_Digitos!$J$5:$J$6004)</f>
        <v>0</v>
      </c>
      <c r="D388" s="453">
        <v>80</v>
      </c>
    </row>
    <row r="389" spans="1:4">
      <c r="A389" s="460">
        <f t="shared" si="6"/>
        <v>8100</v>
      </c>
      <c r="C389" s="459">
        <f>SUMIF(SYS_4_3_Digitos!$A$5:$A$6004,D389,SYS_4_3_Digitos!$I$5:$I$6004)-SUMIF(SYS_4_3_Digitos!$A$5:$A$6004,D389,SYS_4_3_Digitos!$J$5:$J$6004)</f>
        <v>0</v>
      </c>
      <c r="D389" s="453">
        <v>81</v>
      </c>
    </row>
    <row r="390" spans="1:4">
      <c r="A390" s="460">
        <f t="shared" si="6"/>
        <v>8200</v>
      </c>
      <c r="C390" s="459">
        <f>SUMIF(SYS_4_3_Digitos!$A$5:$A$6004,D390,SYS_4_3_Digitos!$I$5:$I$6004)-SUMIF(SYS_4_3_Digitos!$A$5:$A$6004,D390,SYS_4_3_Digitos!$J$5:$J$6004)</f>
        <v>0</v>
      </c>
      <c r="D390" s="453">
        <v>82</v>
      </c>
    </row>
    <row r="391" spans="1:4">
      <c r="A391" s="460">
        <f t="shared" si="6"/>
        <v>83000</v>
      </c>
      <c r="C391" s="459">
        <f>SUMIF(SYS_4_3_Digitos!$A$5:$A$6004,D391,SYS_4_3_Digitos!$I$5:$I$6004)-SUMIF(SYS_4_3_Digitos!$A$5:$A$6004,D391,SYS_4_3_Digitos!$J$5:$J$6004)</f>
        <v>0</v>
      </c>
      <c r="D391" s="453">
        <v>830</v>
      </c>
    </row>
    <row r="392" spans="1:4">
      <c r="A392" s="460">
        <f t="shared" si="6"/>
        <v>83300</v>
      </c>
      <c r="C392" s="459">
        <f>SUMIF(SYS_4_3_Digitos!$A$5:$A$6004,D392,SYS_4_3_Digitos!$I$5:$I$6004)-SUMIF(SYS_4_3_Digitos!$A$5:$A$6004,D392,SYS_4_3_Digitos!$J$5:$J$6004)</f>
        <v>0</v>
      </c>
      <c r="D392" s="453">
        <v>833</v>
      </c>
    </row>
    <row r="393" spans="1:4">
      <c r="A393" s="460">
        <f t="shared" si="6"/>
        <v>83400</v>
      </c>
      <c r="C393" s="459">
        <f>SUMIF(SYS_4_3_Digitos!$A$5:$A$6004,D393,SYS_4_3_Digitos!$I$5:$I$6004)-SUMIF(SYS_4_3_Digitos!$A$5:$A$6004,D393,SYS_4_3_Digitos!$J$5:$J$6004)</f>
        <v>0</v>
      </c>
      <c r="D393" s="453">
        <v>834</v>
      </c>
    </row>
    <row r="394" spans="1:4">
      <c r="A394" s="460">
        <f t="shared" si="6"/>
        <v>83500</v>
      </c>
      <c r="C394" s="459">
        <f>SUMIF(SYS_4_3_Digitos!$A$5:$A$6004,D394,SYS_4_3_Digitos!$I$5:$I$6004)-SUMIF(SYS_4_3_Digitos!$A$5:$A$6004,D394,SYS_4_3_Digitos!$J$5:$J$6004)</f>
        <v>0</v>
      </c>
      <c r="D394" s="453">
        <v>835</v>
      </c>
    </row>
    <row r="395" spans="1:4">
      <c r="A395" s="460">
        <f t="shared" si="6"/>
        <v>83600</v>
      </c>
      <c r="C395" s="459">
        <f>SUMIF(SYS_4_3_Digitos!$A$5:$A$6004,D395,SYS_4_3_Digitos!$I$5:$I$6004)-SUMIF(SYS_4_3_Digitos!$A$5:$A$6004,D395,SYS_4_3_Digitos!$J$5:$J$6004)</f>
        <v>0</v>
      </c>
      <c r="D395" s="453">
        <v>836</v>
      </c>
    </row>
    <row r="396" spans="1:4">
      <c r="A396" s="460">
        <f t="shared" si="6"/>
        <v>83700</v>
      </c>
      <c r="C396" s="459">
        <f>SUMIF(SYS_4_3_Digitos!$A$5:$A$6004,D396,SYS_4_3_Digitos!$I$5:$I$6004)-SUMIF(SYS_4_3_Digitos!$A$5:$A$6004,D396,SYS_4_3_Digitos!$J$5:$J$6004)</f>
        <v>0</v>
      </c>
      <c r="D396" s="453">
        <v>837</v>
      </c>
    </row>
    <row r="397" spans="1:4">
      <c r="A397" s="460">
        <f t="shared" si="6"/>
        <v>83800</v>
      </c>
      <c r="C397" s="459">
        <f>SUMIF(SYS_4_3_Digitos!$A$5:$A$6004,D397,SYS_4_3_Digitos!$I$5:$I$6004)-SUMIF(SYS_4_3_Digitos!$A$5:$A$6004,D397,SYS_4_3_Digitos!$J$5:$J$6004)</f>
        <v>0</v>
      </c>
      <c r="D397" s="453">
        <v>838</v>
      </c>
    </row>
    <row r="398" spans="1:4">
      <c r="A398" s="460">
        <f t="shared" si="6"/>
        <v>8400</v>
      </c>
      <c r="C398" s="459">
        <f>SUMIF(SYS_4_3_Digitos!$A$5:$A$6004,D398,SYS_4_3_Digitos!$I$5:$I$6004)-SUMIF(SYS_4_3_Digitos!$A$5:$A$6004,D398,SYS_4_3_Digitos!$J$5:$J$6004)</f>
        <v>0</v>
      </c>
      <c r="D398" s="453">
        <v>84</v>
      </c>
    </row>
    <row r="399" spans="1:4">
      <c r="A399" s="460">
        <f t="shared" si="6"/>
        <v>8500</v>
      </c>
      <c r="C399" s="459">
        <f>SUMIF(SYS_4_3_Digitos!$A$5:$A$6004,D399,SYS_4_3_Digitos!$I$5:$I$6004)-SUMIF(SYS_4_3_Digitos!$A$5:$A$6004,D399,SYS_4_3_Digitos!$J$5:$J$6004)</f>
        <v>0</v>
      </c>
      <c r="D399" s="453">
        <v>85</v>
      </c>
    </row>
    <row r="400" spans="1:4">
      <c r="A400" s="460">
        <f t="shared" si="6"/>
        <v>8600</v>
      </c>
      <c r="C400" s="459">
        <f>SUMIF(SYS_4_3_Digitos!$A$5:$A$6004,D400,SYS_4_3_Digitos!$I$5:$I$6004)-SUMIF(SYS_4_3_Digitos!$A$5:$A$6004,D400,SYS_4_3_Digitos!$J$5:$J$6004)</f>
        <v>0</v>
      </c>
      <c r="D400" s="453">
        <v>86</v>
      </c>
    </row>
    <row r="401" spans="1:4">
      <c r="A401" s="460">
        <f t="shared" si="6"/>
        <v>8900</v>
      </c>
      <c r="C401" s="459">
        <f>SUMIF(SYS_4_3_Digitos!$A$5:$A$6004,D401,SYS_4_3_Digitos!$I$5:$I$6004)-SUMIF(SYS_4_3_Digitos!$A$5:$A$6004,D401,SYS_4_3_Digitos!$J$5:$J$6004)</f>
        <v>0</v>
      </c>
      <c r="D401" s="453">
        <v>89</v>
      </c>
    </row>
    <row r="402" spans="1:4">
      <c r="A402" s="460">
        <f t="shared" si="6"/>
        <v>9000</v>
      </c>
      <c r="C402" s="459">
        <f>SUMIF(SYS_4_3_Digitos!$A$5:$A$6004,D402,SYS_4_3_Digitos!$I$5:$I$6004)-SUMIF(SYS_4_3_Digitos!$A$5:$A$6004,D402,SYS_4_3_Digitos!$J$5:$J$6004)</f>
        <v>0</v>
      </c>
      <c r="D402" s="453">
        <v>90</v>
      </c>
    </row>
    <row r="403" spans="1:4">
      <c r="A403" s="460">
        <f t="shared" si="6"/>
        <v>9100</v>
      </c>
      <c r="C403" s="459">
        <f>SUMIF(SYS_4_3_Digitos!$A$5:$A$6004,D403,SYS_4_3_Digitos!$I$5:$I$6004)-SUMIF(SYS_4_3_Digitos!$A$5:$A$6004,D403,SYS_4_3_Digitos!$J$5:$J$6004)</f>
        <v>0</v>
      </c>
      <c r="D403" s="453">
        <v>91</v>
      </c>
    </row>
    <row r="404" spans="1:4">
      <c r="A404" s="460">
        <f t="shared" si="6"/>
        <v>9200</v>
      </c>
      <c r="C404" s="459">
        <f>SUMIF(SYS_4_3_Digitos!$A$5:$A$6004,D404,SYS_4_3_Digitos!$I$5:$I$6004)-SUMIF(SYS_4_3_Digitos!$A$5:$A$6004,D404,SYS_4_3_Digitos!$J$5:$J$6004)</f>
        <v>0</v>
      </c>
      <c r="D404" s="453">
        <v>92</v>
      </c>
    </row>
    <row r="405" spans="1:4">
      <c r="A405" s="460">
        <f t="shared" si="6"/>
        <v>9400</v>
      </c>
      <c r="C405" s="459">
        <f>SUMIF(SYS_4_3_Digitos!$A$5:$A$6004,D405,SYS_4_3_Digitos!$I$5:$I$6004)-SUMIF(SYS_4_3_Digitos!$A$5:$A$6004,D405,SYS_4_3_Digitos!$J$5:$J$6004)</f>
        <v>0</v>
      </c>
      <c r="D405" s="453">
        <v>94</v>
      </c>
    </row>
    <row r="406" spans="1:4">
      <c r="A406" s="460">
        <f t="shared" si="6"/>
        <v>9500</v>
      </c>
      <c r="C406" s="459">
        <f>SUMIF(SYS_4_3_Digitos!$A$5:$A$6004,D406,SYS_4_3_Digitos!$I$5:$I$6004)-SUMIF(SYS_4_3_Digitos!$A$5:$A$6004,D406,SYS_4_3_Digitos!$J$5:$J$6004)</f>
        <v>0</v>
      </c>
      <c r="D406" s="453">
        <v>95</v>
      </c>
    </row>
    <row r="407" spans="1:4">
      <c r="A407" s="460">
        <f t="shared" si="6"/>
        <v>9600</v>
      </c>
      <c r="C407" s="459">
        <f>SUMIF(SYS_4_3_Digitos!$A$5:$A$6004,D407,SYS_4_3_Digitos!$I$5:$I$6004)-SUMIF(SYS_4_3_Digitos!$A$5:$A$6004,D407,SYS_4_3_Digitos!$J$5:$J$6004)</f>
        <v>0</v>
      </c>
      <c r="D407" s="453">
        <v>96</v>
      </c>
    </row>
    <row r="408" spans="1:4">
      <c r="A408" s="460">
        <f t="shared" si="6"/>
        <v>9900</v>
      </c>
      <c r="C408" s="459">
        <f>SUMIF(SYS_4_3_Digitos!$A$5:$A$6004,D408,SYS_4_3_Digitos!$I$5:$I$6004)-SUMIF(SYS_4_3_Digitos!$A$5:$A$6004,D408,SYS_4_3_Digitos!$J$5:$J$6004)</f>
        <v>0</v>
      </c>
      <c r="D408" s="453">
        <v>99</v>
      </c>
    </row>
  </sheetData>
  <autoFilter ref="A1:A404" xr:uid="{00000000-0009-0000-0000-000004000000}"/>
  <conditionalFormatting sqref="C6:C408">
    <cfRule type="expression" dxfId="581" priority="2">
      <formula>$G$6&lt;&gt;0</formula>
    </cfRule>
  </conditionalFormatting>
  <conditionalFormatting sqref="G6">
    <cfRule type="expression" dxfId="580" priority="1">
      <formula>$G$6&lt;&gt;0</formula>
    </cfRule>
  </conditionalFormatting>
  <pageMargins left="0.75" right="0.75" top="1" bottom="1" header="0" footer="0"/>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traspaso_traspa_A3">
                <anchor moveWithCells="1" sizeWithCells="1">
                  <from>
                    <xdr:col>5</xdr:col>
                    <xdr:colOff>807720</xdr:colOff>
                    <xdr:row>8</xdr:row>
                    <xdr:rowOff>160020</xdr:rowOff>
                  </from>
                  <to>
                    <xdr:col>8</xdr:col>
                    <xdr:colOff>30480</xdr:colOff>
                    <xdr:row>10</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
  <dimension ref="A1:W1709"/>
  <sheetViews>
    <sheetView showGridLines="0" showRowColHeaders="0" topLeftCell="A133" workbookViewId="0">
      <selection activeCell="A162" sqref="A162"/>
    </sheetView>
  </sheetViews>
  <sheetFormatPr baseColWidth="10" defaultColWidth="0" defaultRowHeight="13.8"/>
  <cols>
    <col min="1" max="1" width="15" style="20" customWidth="1"/>
    <col min="2" max="2" width="62" style="9" customWidth="1"/>
    <col min="3" max="4" width="27" style="9" customWidth="1"/>
    <col min="5" max="5" width="5" style="9" customWidth="1"/>
    <col min="6" max="6" width="9" style="9" hidden="1" customWidth="1"/>
    <col min="7" max="8" width="14" style="9" hidden="1" customWidth="1"/>
    <col min="9" max="9" width="15" style="9" hidden="1" customWidth="1"/>
    <col min="10" max="10" width="11" style="9" hidden="1" customWidth="1"/>
    <col min="11" max="11" width="9" style="9" hidden="1" customWidth="1"/>
    <col min="12" max="13" width="14" style="9" hidden="1" customWidth="1"/>
    <col min="14" max="14" width="12.44140625" style="9" hidden="1" customWidth="1"/>
    <col min="15" max="15" width="11" style="9" hidden="1" customWidth="1"/>
    <col min="16" max="16" width="9" style="9" hidden="1" customWidth="1"/>
    <col min="17" max="18" width="14" style="9" hidden="1" customWidth="1"/>
    <col min="19" max="19" width="12.44140625" style="9" hidden="1" customWidth="1"/>
    <col min="20" max="20" width="9" style="9" hidden="1" customWidth="1"/>
    <col min="21" max="22" width="14" style="9" hidden="1" customWidth="1"/>
    <col min="23" max="23" width="12.44140625" style="9" hidden="1" customWidth="1"/>
    <col min="24" max="16384" width="32.44140625" style="9" hidden="1"/>
  </cols>
  <sheetData>
    <row r="1" spans="1:19" s="6" customFormat="1" ht="21">
      <c r="A1" s="21"/>
      <c r="C1" s="22"/>
      <c r="D1" s="23"/>
      <c r="F1" s="22"/>
      <c r="G1" s="22"/>
      <c r="H1" s="22"/>
      <c r="I1" s="22"/>
      <c r="K1" s="22"/>
      <c r="L1" s="22"/>
      <c r="M1" s="22"/>
      <c r="N1" s="22"/>
      <c r="P1" s="22"/>
      <c r="Q1" s="22"/>
      <c r="R1" s="22"/>
      <c r="S1" s="22"/>
    </row>
    <row r="2" spans="1:19" s="5" customFormat="1" ht="14.4">
      <c r="A2" s="21"/>
      <c r="B2" s="32" t="s">
        <v>277</v>
      </c>
      <c r="C2" s="22"/>
      <c r="D2" s="23"/>
    </row>
    <row r="3" spans="1:19" s="7" customFormat="1">
      <c r="A3" s="18"/>
      <c r="B3" s="5"/>
      <c r="C3" s="24" t="s">
        <v>169</v>
      </c>
      <c r="D3" s="24" t="s">
        <v>169</v>
      </c>
      <c r="G3" s="7">
        <f>SUM(G5:G3220)</f>
        <v>465130345.8499999</v>
      </c>
      <c r="H3" s="7">
        <f>SUM(H5:H3220)</f>
        <v>-465130345.85000002</v>
      </c>
      <c r="L3" s="7">
        <f>SUM(L5:L3220)</f>
        <v>465130345.8499999</v>
      </c>
      <c r="M3" s="7">
        <f>SUM(M5:M3220)</f>
        <v>-465130345.85000002</v>
      </c>
      <c r="Q3" s="7">
        <f>SUM(Q5:Q3220)</f>
        <v>465130345.8499999</v>
      </c>
      <c r="R3" s="7">
        <f>SUM(R5:R3220)</f>
        <v>-465130345.85000002</v>
      </c>
    </row>
    <row r="4" spans="1:19" s="7" customFormat="1">
      <c r="A4" s="19" t="s">
        <v>170</v>
      </c>
      <c r="B4" s="10" t="s">
        <v>171</v>
      </c>
      <c r="C4" s="25" t="s">
        <v>172</v>
      </c>
      <c r="D4" s="25" t="s">
        <v>173</v>
      </c>
      <c r="F4" s="8" t="s">
        <v>176</v>
      </c>
      <c r="G4" s="8" t="str">
        <f>+C4</f>
        <v>Debe</v>
      </c>
      <c r="H4" s="8" t="str">
        <f>+D4</f>
        <v>Haber</v>
      </c>
      <c r="I4" s="8" t="s">
        <v>175</v>
      </c>
      <c r="K4" s="8" t="s">
        <v>622</v>
      </c>
      <c r="L4" s="8" t="s">
        <v>172</v>
      </c>
      <c r="M4" s="8" t="s">
        <v>173</v>
      </c>
      <c r="N4" s="8" t="s">
        <v>175</v>
      </c>
      <c r="P4" s="8" t="s">
        <v>628</v>
      </c>
      <c r="Q4" s="8" t="s">
        <v>172</v>
      </c>
      <c r="R4" s="8" t="s">
        <v>173</v>
      </c>
      <c r="S4" s="8" t="s">
        <v>175</v>
      </c>
    </row>
    <row r="5" spans="1:19" ht="14.4">
      <c r="A5" s="2168" t="s">
        <v>2059</v>
      </c>
      <c r="B5" s="2168" t="s">
        <v>2060</v>
      </c>
      <c r="C5" s="2168">
        <v>0</v>
      </c>
      <c r="D5" s="2168">
        <v>140000005.09999999</v>
      </c>
      <c r="F5" s="9" t="str">
        <f>+LEFT(A5,4)</f>
        <v>1000</v>
      </c>
      <c r="G5" s="9">
        <f>+C5</f>
        <v>0</v>
      </c>
      <c r="H5" s="9">
        <f>-D5</f>
        <v>-140000005.09999999</v>
      </c>
      <c r="I5" s="9">
        <f t="array" ref="I5">+SUM(IFERROR(VALUE(G5:H5),0))</f>
        <v>-140000005.09999999</v>
      </c>
      <c r="K5" s="9" t="str">
        <f>+LEFT(A5,3)</f>
        <v>100</v>
      </c>
      <c r="L5" s="9">
        <f>+C5</f>
        <v>0</v>
      </c>
      <c r="M5" s="9">
        <f>-D5</f>
        <v>-140000005.09999999</v>
      </c>
      <c r="N5" s="9">
        <f t="array" ref="N5">+SUM(IFERROR(VALUE(L5:M5),0))</f>
        <v>-140000005.09999999</v>
      </c>
      <c r="P5" s="9" t="str">
        <f>+LEFT(A5,2)</f>
        <v>10</v>
      </c>
      <c r="Q5" s="9">
        <f>+C5</f>
        <v>0</v>
      </c>
      <c r="R5" s="9">
        <f>-D5</f>
        <v>-140000005.09999999</v>
      </c>
      <c r="S5" s="9">
        <f t="array" ref="S5">+SUM(IFERROR(VALUE(Q5:R5),0))</f>
        <v>-140000005.09999999</v>
      </c>
    </row>
    <row r="6" spans="1:19" ht="14.4">
      <c r="A6" s="2168" t="s">
        <v>2061</v>
      </c>
      <c r="B6" s="2168" t="s">
        <v>2062</v>
      </c>
      <c r="C6" s="2168">
        <v>0</v>
      </c>
      <c r="D6" s="2168">
        <v>16700583.99</v>
      </c>
      <c r="F6" s="9" t="str">
        <f t="shared" ref="F6:F69" si="0">+LEFT(A6,4)</f>
        <v>1120</v>
      </c>
      <c r="G6" s="9">
        <f t="shared" ref="G6:G69" si="1">+C6</f>
        <v>0</v>
      </c>
      <c r="H6" s="9">
        <f t="shared" ref="H6:H69" si="2">-D6</f>
        <v>-16700583.99</v>
      </c>
      <c r="I6" s="9">
        <f t="array" ref="I6">+SUM(IFERROR(VALUE(G6:H6),0))</f>
        <v>-16700583.99</v>
      </c>
      <c r="K6" s="9" t="str">
        <f t="shared" ref="K6:K69" si="3">+LEFT(A6,3)</f>
        <v>112</v>
      </c>
      <c r="L6" s="9">
        <f t="shared" ref="L6:L69" si="4">+C6</f>
        <v>0</v>
      </c>
      <c r="M6" s="9">
        <f t="shared" ref="M6:M69" si="5">-D6</f>
        <v>-16700583.99</v>
      </c>
      <c r="N6" s="9">
        <f t="array" ref="N6">+SUM(IFERROR(VALUE(L6:M6),0))</f>
        <v>-16700583.99</v>
      </c>
      <c r="P6" s="9" t="str">
        <f t="shared" ref="P6:P69" si="6">+LEFT(A6,2)</f>
        <v>11</v>
      </c>
      <c r="Q6" s="9">
        <f t="shared" ref="Q6:Q69" si="7">+C6</f>
        <v>0</v>
      </c>
      <c r="R6" s="9">
        <f t="shared" ref="R6:R69" si="8">-D6</f>
        <v>-16700583.99</v>
      </c>
      <c r="S6" s="9">
        <f t="array" ref="S6">+SUM(IFERROR(VALUE(Q6:R6),0))</f>
        <v>-16700583.99</v>
      </c>
    </row>
    <row r="7" spans="1:19" ht="14.4">
      <c r="A7" s="2168" t="s">
        <v>2063</v>
      </c>
      <c r="B7" s="2168" t="s">
        <v>2064</v>
      </c>
      <c r="C7" s="2168">
        <v>0</v>
      </c>
      <c r="D7" s="2168">
        <v>138606718.53</v>
      </c>
      <c r="F7" s="9" t="str">
        <f t="shared" si="0"/>
        <v>1130</v>
      </c>
      <c r="G7" s="9">
        <f t="shared" si="1"/>
        <v>0</v>
      </c>
      <c r="H7" s="9">
        <f t="shared" si="2"/>
        <v>-138606718.53</v>
      </c>
      <c r="I7" s="9">
        <f t="array" ref="I7">+SUM(IFERROR(VALUE(G7:H7),0))</f>
        <v>-138606718.53</v>
      </c>
      <c r="K7" s="9" t="str">
        <f t="shared" si="3"/>
        <v>113</v>
      </c>
      <c r="L7" s="9">
        <f t="shared" si="4"/>
        <v>0</v>
      </c>
      <c r="M7" s="9">
        <f t="shared" si="5"/>
        <v>-138606718.53</v>
      </c>
      <c r="N7" s="9">
        <f t="array" ref="N7">+SUM(IFERROR(VALUE(L7:M7),0))</f>
        <v>-138606718.53</v>
      </c>
      <c r="P7" s="9" t="str">
        <f t="shared" si="6"/>
        <v>11</v>
      </c>
      <c r="Q7" s="9">
        <f t="shared" si="7"/>
        <v>0</v>
      </c>
      <c r="R7" s="9">
        <f t="shared" si="8"/>
        <v>-138606718.53</v>
      </c>
      <c r="S7" s="9">
        <f t="array" ref="S7">+SUM(IFERROR(VALUE(Q7:R7),0))</f>
        <v>-138606718.53</v>
      </c>
    </row>
    <row r="8" spans="1:19" ht="14.4">
      <c r="A8" s="2168" t="s">
        <v>2065</v>
      </c>
      <c r="B8" s="2168" t="s">
        <v>2066</v>
      </c>
      <c r="C8" s="2168">
        <v>0</v>
      </c>
      <c r="D8" s="2168">
        <v>33491.85</v>
      </c>
      <c r="F8" s="9" t="str">
        <f t="shared" si="0"/>
        <v>1130</v>
      </c>
      <c r="G8" s="9">
        <f t="shared" si="1"/>
        <v>0</v>
      </c>
      <c r="H8" s="9">
        <f t="shared" si="2"/>
        <v>-33491.85</v>
      </c>
      <c r="I8" s="9">
        <f t="array" ref="I8">+SUM(IFERROR(VALUE(G8:H8),0))</f>
        <v>-33491.85</v>
      </c>
      <c r="K8" s="9" t="str">
        <f t="shared" si="3"/>
        <v>113</v>
      </c>
      <c r="L8" s="9">
        <f t="shared" si="4"/>
        <v>0</v>
      </c>
      <c r="M8" s="9">
        <f t="shared" si="5"/>
        <v>-33491.85</v>
      </c>
      <c r="N8" s="9">
        <f t="array" ref="N8">+SUM(IFERROR(VALUE(L8:M8),0))</f>
        <v>-33491.85</v>
      </c>
      <c r="P8" s="9" t="str">
        <f t="shared" si="6"/>
        <v>11</v>
      </c>
      <c r="Q8" s="9">
        <f t="shared" si="7"/>
        <v>0</v>
      </c>
      <c r="R8" s="9">
        <f t="shared" si="8"/>
        <v>-33491.85</v>
      </c>
      <c r="S8" s="9">
        <f t="array" ref="S8">+SUM(IFERROR(VALUE(Q8:R8),0))</f>
        <v>-33491.85</v>
      </c>
    </row>
    <row r="9" spans="1:19" ht="14.4">
      <c r="A9" s="2168" t="s">
        <v>2067</v>
      </c>
      <c r="B9" s="2168" t="s">
        <v>2068</v>
      </c>
      <c r="C9" s="2168">
        <v>0</v>
      </c>
      <c r="D9" s="2168">
        <v>303452.34000000003</v>
      </c>
      <c r="F9" s="9" t="str">
        <f t="shared" si="0"/>
        <v>1130</v>
      </c>
      <c r="G9" s="9">
        <f t="shared" si="1"/>
        <v>0</v>
      </c>
      <c r="H9" s="9">
        <f t="shared" si="2"/>
        <v>-303452.34000000003</v>
      </c>
      <c r="I9" s="9">
        <f t="array" ref="I9">+SUM(IFERROR(VALUE(G9:H9),0))</f>
        <v>-303452.34000000003</v>
      </c>
      <c r="K9" s="9" t="str">
        <f t="shared" si="3"/>
        <v>113</v>
      </c>
      <c r="L9" s="9">
        <f t="shared" si="4"/>
        <v>0</v>
      </c>
      <c r="M9" s="9">
        <f t="shared" si="5"/>
        <v>-303452.34000000003</v>
      </c>
      <c r="N9" s="9">
        <f t="array" ref="N9">+SUM(IFERROR(VALUE(L9:M9),0))</f>
        <v>-303452.34000000003</v>
      </c>
      <c r="P9" s="9" t="str">
        <f t="shared" si="6"/>
        <v>11</v>
      </c>
      <c r="Q9" s="9">
        <f t="shared" si="7"/>
        <v>0</v>
      </c>
      <c r="R9" s="9">
        <f t="shared" si="8"/>
        <v>-303452.34000000003</v>
      </c>
      <c r="S9" s="9">
        <f t="array" ref="S9">+SUM(IFERROR(VALUE(Q9:R9),0))</f>
        <v>-303452.34000000003</v>
      </c>
    </row>
    <row r="10" spans="1:19" ht="14.4">
      <c r="A10" s="2168" t="s">
        <v>2069</v>
      </c>
      <c r="B10" s="2168" t="s">
        <v>2070</v>
      </c>
      <c r="C10" s="2168">
        <v>0</v>
      </c>
      <c r="D10" s="2168">
        <v>1588794.66</v>
      </c>
      <c r="F10" s="9" t="str">
        <f t="shared" si="0"/>
        <v>1147</v>
      </c>
      <c r="G10" s="9">
        <f t="shared" si="1"/>
        <v>0</v>
      </c>
      <c r="H10" s="9">
        <f t="shared" si="2"/>
        <v>-1588794.66</v>
      </c>
      <c r="I10" s="9">
        <f t="array" ref="I10">+SUM(IFERROR(VALUE(G10:H10),0))</f>
        <v>-1588794.66</v>
      </c>
      <c r="K10" s="9" t="str">
        <f t="shared" si="3"/>
        <v>114</v>
      </c>
      <c r="L10" s="9">
        <f t="shared" si="4"/>
        <v>0</v>
      </c>
      <c r="M10" s="9">
        <f t="shared" si="5"/>
        <v>-1588794.66</v>
      </c>
      <c r="N10" s="9">
        <f t="array" ref="N10">+SUM(IFERROR(VALUE(L10:M10),0))</f>
        <v>-1588794.66</v>
      </c>
      <c r="P10" s="9" t="str">
        <f t="shared" si="6"/>
        <v>11</v>
      </c>
      <c r="Q10" s="9">
        <f t="shared" si="7"/>
        <v>0</v>
      </c>
      <c r="R10" s="9">
        <f t="shared" si="8"/>
        <v>-1588794.66</v>
      </c>
      <c r="S10" s="9">
        <f t="array" ref="S10">+SUM(IFERROR(VALUE(Q10:R10),0))</f>
        <v>-1588794.66</v>
      </c>
    </row>
    <row r="11" spans="1:19" ht="14.4">
      <c r="A11" s="2168" t="s">
        <v>2071</v>
      </c>
      <c r="B11" s="2168" t="s">
        <v>2072</v>
      </c>
      <c r="C11" s="2168">
        <v>0</v>
      </c>
      <c r="D11" s="2168">
        <v>509519.07</v>
      </c>
      <c r="F11" s="9" t="str">
        <f t="shared" si="0"/>
        <v>1147</v>
      </c>
      <c r="G11" s="9">
        <f t="shared" si="1"/>
        <v>0</v>
      </c>
      <c r="H11" s="9">
        <f t="shared" si="2"/>
        <v>-509519.07</v>
      </c>
      <c r="I11" s="9">
        <f t="array" ref="I11">+SUM(IFERROR(VALUE(G11:H11),0))</f>
        <v>-509519.07</v>
      </c>
      <c r="K11" s="9" t="str">
        <f t="shared" si="3"/>
        <v>114</v>
      </c>
      <c r="L11" s="9">
        <f t="shared" si="4"/>
        <v>0</v>
      </c>
      <c r="M11" s="9">
        <f t="shared" si="5"/>
        <v>-509519.07</v>
      </c>
      <c r="N11" s="9">
        <f t="array" ref="N11">+SUM(IFERROR(VALUE(L11:M11),0))</f>
        <v>-509519.07</v>
      </c>
      <c r="P11" s="9" t="str">
        <f t="shared" si="6"/>
        <v>11</v>
      </c>
      <c r="Q11" s="9">
        <f t="shared" si="7"/>
        <v>0</v>
      </c>
      <c r="R11" s="9">
        <f t="shared" si="8"/>
        <v>-509519.07</v>
      </c>
      <c r="S11" s="9">
        <f t="array" ref="S11">+SUM(IFERROR(VALUE(Q11:R11),0))</f>
        <v>-509519.07</v>
      </c>
    </row>
    <row r="12" spans="1:19" ht="14.4">
      <c r="A12" s="2168" t="s">
        <v>2073</v>
      </c>
      <c r="B12" s="2168" t="s">
        <v>2074</v>
      </c>
      <c r="C12" s="2168">
        <v>0</v>
      </c>
      <c r="D12" s="2168">
        <v>1254533.25</v>
      </c>
      <c r="F12" s="9" t="str">
        <f t="shared" si="0"/>
        <v>1147</v>
      </c>
      <c r="G12" s="9">
        <f t="shared" si="1"/>
        <v>0</v>
      </c>
      <c r="H12" s="9">
        <f t="shared" si="2"/>
        <v>-1254533.25</v>
      </c>
      <c r="I12" s="9">
        <f t="array" ref="I12">+SUM(IFERROR(VALUE(G12:H12),0))</f>
        <v>-1254533.25</v>
      </c>
      <c r="K12" s="9" t="str">
        <f t="shared" si="3"/>
        <v>114</v>
      </c>
      <c r="L12" s="9">
        <f t="shared" si="4"/>
        <v>0</v>
      </c>
      <c r="M12" s="9">
        <f t="shared" si="5"/>
        <v>-1254533.25</v>
      </c>
      <c r="N12" s="9">
        <f t="array" ref="N12">+SUM(IFERROR(VALUE(L12:M12),0))</f>
        <v>-1254533.25</v>
      </c>
      <c r="P12" s="9" t="str">
        <f t="shared" si="6"/>
        <v>11</v>
      </c>
      <c r="Q12" s="9">
        <f t="shared" si="7"/>
        <v>0</v>
      </c>
      <c r="R12" s="9">
        <f t="shared" si="8"/>
        <v>-1254533.25</v>
      </c>
      <c r="S12" s="9">
        <f t="array" ref="S12">+SUM(IFERROR(VALUE(Q12:R12),0))</f>
        <v>-1254533.25</v>
      </c>
    </row>
    <row r="13" spans="1:19" ht="14.4">
      <c r="A13" s="2168" t="s">
        <v>2075</v>
      </c>
      <c r="B13" s="2168" t="s">
        <v>2076</v>
      </c>
      <c r="C13" s="2168">
        <v>0</v>
      </c>
      <c r="D13" s="2168">
        <v>592991.94999999995</v>
      </c>
      <c r="F13" s="9" t="str">
        <f t="shared" si="0"/>
        <v>1147</v>
      </c>
      <c r="G13" s="9">
        <f t="shared" si="1"/>
        <v>0</v>
      </c>
      <c r="H13" s="9">
        <f t="shared" si="2"/>
        <v>-592991.94999999995</v>
      </c>
      <c r="I13" s="9">
        <f t="array" ref="I13">+SUM(IFERROR(VALUE(G13:H13),0))</f>
        <v>-592991.94999999995</v>
      </c>
      <c r="K13" s="9" t="str">
        <f t="shared" si="3"/>
        <v>114</v>
      </c>
      <c r="L13" s="9">
        <f t="shared" si="4"/>
        <v>0</v>
      </c>
      <c r="M13" s="9">
        <f t="shared" si="5"/>
        <v>-592991.94999999995</v>
      </c>
      <c r="N13" s="9">
        <f t="array" ref="N13">+SUM(IFERROR(VALUE(L13:M13),0))</f>
        <v>-592991.94999999995</v>
      </c>
      <c r="P13" s="9" t="str">
        <f t="shared" si="6"/>
        <v>11</v>
      </c>
      <c r="Q13" s="9">
        <f t="shared" si="7"/>
        <v>0</v>
      </c>
      <c r="R13" s="9">
        <f t="shared" si="8"/>
        <v>-592991.94999999995</v>
      </c>
      <c r="S13" s="9">
        <f t="array" ref="S13">+SUM(IFERROR(VALUE(Q13:R13),0))</f>
        <v>-592991.94999999995</v>
      </c>
    </row>
    <row r="14" spans="1:19" ht="14.4">
      <c r="A14" s="2168" t="s">
        <v>2077</v>
      </c>
      <c r="B14" s="2168" t="s">
        <v>2078</v>
      </c>
      <c r="C14" s="2169">
        <v>0</v>
      </c>
      <c r="D14" s="2169">
        <v>1984600.04</v>
      </c>
      <c r="F14" s="9" t="str">
        <f t="shared" si="0"/>
        <v>1147</v>
      </c>
      <c r="G14" s="9">
        <f t="shared" si="1"/>
        <v>0</v>
      </c>
      <c r="H14" s="9">
        <f t="shared" si="2"/>
        <v>-1984600.04</v>
      </c>
      <c r="I14" s="9">
        <f t="array" ref="I14">+SUM(IFERROR(VALUE(G14:H14),0))</f>
        <v>-1984600.04</v>
      </c>
      <c r="K14" s="9" t="str">
        <f t="shared" si="3"/>
        <v>114</v>
      </c>
      <c r="L14" s="9">
        <f t="shared" si="4"/>
        <v>0</v>
      </c>
      <c r="M14" s="9">
        <f t="shared" si="5"/>
        <v>-1984600.04</v>
      </c>
      <c r="N14" s="9">
        <f t="array" ref="N14">+SUM(IFERROR(VALUE(L14:M14),0))</f>
        <v>-1984600.04</v>
      </c>
      <c r="P14" s="9" t="str">
        <f t="shared" si="6"/>
        <v>11</v>
      </c>
      <c r="Q14" s="9">
        <f t="shared" si="7"/>
        <v>0</v>
      </c>
      <c r="R14" s="9">
        <f t="shared" si="8"/>
        <v>-1984600.04</v>
      </c>
      <c r="S14" s="9">
        <f t="array" ref="S14">+SUM(IFERROR(VALUE(Q14:R14),0))</f>
        <v>-1984600.04</v>
      </c>
    </row>
    <row r="15" spans="1:19" ht="14.4">
      <c r="A15" s="2168" t="s">
        <v>2079</v>
      </c>
      <c r="B15" s="2168" t="s">
        <v>2080</v>
      </c>
      <c r="C15" s="2168">
        <v>0</v>
      </c>
      <c r="D15" s="2168">
        <v>780158.59</v>
      </c>
      <c r="F15" s="9" t="str">
        <f t="shared" si="0"/>
        <v>1147</v>
      </c>
      <c r="G15" s="9">
        <f t="shared" si="1"/>
        <v>0</v>
      </c>
      <c r="H15" s="9">
        <f t="shared" si="2"/>
        <v>-780158.59</v>
      </c>
      <c r="I15" s="9">
        <f t="array" ref="I15">+SUM(IFERROR(VALUE(G15:H15),0))</f>
        <v>-780158.59</v>
      </c>
      <c r="K15" s="9" t="str">
        <f t="shared" si="3"/>
        <v>114</v>
      </c>
      <c r="L15" s="9">
        <f t="shared" si="4"/>
        <v>0</v>
      </c>
      <c r="M15" s="9">
        <f t="shared" si="5"/>
        <v>-780158.59</v>
      </c>
      <c r="N15" s="9">
        <f t="array" ref="N15">+SUM(IFERROR(VALUE(L15:M15),0))</f>
        <v>-780158.59</v>
      </c>
      <c r="P15" s="9" t="str">
        <f t="shared" si="6"/>
        <v>11</v>
      </c>
      <c r="Q15" s="9">
        <f t="shared" si="7"/>
        <v>0</v>
      </c>
      <c r="R15" s="9">
        <f t="shared" si="8"/>
        <v>-780158.59</v>
      </c>
      <c r="S15" s="9">
        <f t="array" ref="S15">+SUM(IFERROR(VALUE(Q15:R15),0))</f>
        <v>-780158.59</v>
      </c>
    </row>
    <row r="16" spans="1:19" ht="14.4">
      <c r="A16" s="2168" t="s">
        <v>2081</v>
      </c>
      <c r="B16" s="2168" t="s">
        <v>2082</v>
      </c>
      <c r="C16" s="2168">
        <v>0</v>
      </c>
      <c r="D16" s="2168">
        <v>58052.33</v>
      </c>
      <c r="F16" s="9" t="str">
        <f t="shared" si="0"/>
        <v>1147</v>
      </c>
      <c r="G16" s="9">
        <f t="shared" si="1"/>
        <v>0</v>
      </c>
      <c r="H16" s="9">
        <f t="shared" si="2"/>
        <v>-58052.33</v>
      </c>
      <c r="I16" s="9">
        <f t="array" ref="I16">+SUM(IFERROR(VALUE(G16:H16),0))</f>
        <v>-58052.33</v>
      </c>
      <c r="K16" s="9" t="str">
        <f t="shared" si="3"/>
        <v>114</v>
      </c>
      <c r="L16" s="9">
        <f t="shared" si="4"/>
        <v>0</v>
      </c>
      <c r="M16" s="9">
        <f t="shared" si="5"/>
        <v>-58052.33</v>
      </c>
      <c r="N16" s="9">
        <f t="array" ref="N16">+SUM(IFERROR(VALUE(L16:M16),0))</f>
        <v>-58052.33</v>
      </c>
      <c r="P16" s="9" t="str">
        <f t="shared" si="6"/>
        <v>11</v>
      </c>
      <c r="Q16" s="9">
        <f t="shared" si="7"/>
        <v>0</v>
      </c>
      <c r="R16" s="9">
        <f t="shared" si="8"/>
        <v>-58052.33</v>
      </c>
      <c r="S16" s="9">
        <f t="array" ref="S16">+SUM(IFERROR(VALUE(Q16:R16),0))</f>
        <v>-58052.33</v>
      </c>
    </row>
    <row r="17" spans="1:19" ht="14.4">
      <c r="A17" s="2168" t="s">
        <v>2083</v>
      </c>
      <c r="B17" s="2168" t="s">
        <v>2084</v>
      </c>
      <c r="C17" s="2168">
        <v>0</v>
      </c>
      <c r="D17" s="2168">
        <v>8052.21</v>
      </c>
      <c r="F17" s="9" t="str">
        <f t="shared" si="0"/>
        <v>1147</v>
      </c>
      <c r="G17" s="9">
        <f t="shared" si="1"/>
        <v>0</v>
      </c>
      <c r="H17" s="9">
        <f t="shared" si="2"/>
        <v>-8052.21</v>
      </c>
      <c r="I17" s="9">
        <f t="array" ref="I17">+SUM(IFERROR(VALUE(G17:H17),0))</f>
        <v>-8052.21</v>
      </c>
      <c r="K17" s="9" t="str">
        <f t="shared" si="3"/>
        <v>114</v>
      </c>
      <c r="L17" s="9">
        <f t="shared" si="4"/>
        <v>0</v>
      </c>
      <c r="M17" s="9">
        <f t="shared" si="5"/>
        <v>-8052.21</v>
      </c>
      <c r="N17" s="9">
        <f t="array" ref="N17">+SUM(IFERROR(VALUE(L17:M17),0))</f>
        <v>-8052.21</v>
      </c>
      <c r="P17" s="9" t="str">
        <f t="shared" si="6"/>
        <v>11</v>
      </c>
      <c r="Q17" s="9">
        <f t="shared" si="7"/>
        <v>0</v>
      </c>
      <c r="R17" s="9">
        <f t="shared" si="8"/>
        <v>-8052.21</v>
      </c>
      <c r="S17" s="9">
        <f t="array" ref="S17">+SUM(IFERROR(VALUE(Q17:R17),0))</f>
        <v>-8052.21</v>
      </c>
    </row>
    <row r="18" spans="1:19" ht="14.4">
      <c r="A18" s="2168" t="s">
        <v>2085</v>
      </c>
      <c r="B18" s="2168" t="s">
        <v>2086</v>
      </c>
      <c r="C18" s="2168">
        <v>0</v>
      </c>
      <c r="D18" s="2168">
        <v>13.56</v>
      </c>
      <c r="F18" s="9" t="str">
        <f t="shared" si="0"/>
        <v>1190</v>
      </c>
      <c r="G18" s="9">
        <f t="shared" si="1"/>
        <v>0</v>
      </c>
      <c r="H18" s="9">
        <f t="shared" si="2"/>
        <v>-13.56</v>
      </c>
      <c r="I18" s="9">
        <f t="array" ref="I18">+SUM(IFERROR(VALUE(G18:H18),0))</f>
        <v>-13.56</v>
      </c>
      <c r="K18" s="9" t="str">
        <f t="shared" si="3"/>
        <v>119</v>
      </c>
      <c r="L18" s="9">
        <f t="shared" si="4"/>
        <v>0</v>
      </c>
      <c r="M18" s="9">
        <f t="shared" si="5"/>
        <v>-13.56</v>
      </c>
      <c r="N18" s="9">
        <f t="array" ref="N18">+SUM(IFERROR(VALUE(L18:M18),0))</f>
        <v>-13.56</v>
      </c>
      <c r="P18" s="9" t="str">
        <f t="shared" si="6"/>
        <v>11</v>
      </c>
      <c r="Q18" s="9">
        <f t="shared" si="7"/>
        <v>0</v>
      </c>
      <c r="R18" s="9">
        <f t="shared" si="8"/>
        <v>-13.56</v>
      </c>
      <c r="S18" s="9">
        <f t="array" ref="S18">+SUM(IFERROR(VALUE(Q18:R18),0))</f>
        <v>-13.56</v>
      </c>
    </row>
    <row r="19" spans="1:19" ht="14.4">
      <c r="A19" s="2168" t="s">
        <v>2087</v>
      </c>
      <c r="B19" s="2168" t="s">
        <v>2088</v>
      </c>
      <c r="C19" s="2168" t="s">
        <v>1392</v>
      </c>
      <c r="D19" s="2168">
        <v>0</v>
      </c>
      <c r="F19" s="9" t="str">
        <f t="shared" si="0"/>
        <v>1290</v>
      </c>
      <c r="G19" s="9" t="str">
        <f t="shared" si="1"/>
        <v/>
      </c>
      <c r="H19" s="9">
        <f t="shared" si="2"/>
        <v>0</v>
      </c>
      <c r="I19" s="9">
        <f t="array" ref="I19">+SUM(IFERROR(VALUE(G19:H19),0))</f>
        <v>0</v>
      </c>
      <c r="K19" s="9" t="str">
        <f t="shared" si="3"/>
        <v>129</v>
      </c>
      <c r="L19" s="9" t="str">
        <f t="shared" si="4"/>
        <v/>
      </c>
      <c r="M19" s="9">
        <f t="shared" si="5"/>
        <v>0</v>
      </c>
      <c r="N19" s="9">
        <f t="array" ref="N19">+SUM(IFERROR(VALUE(L19:M19),0))</f>
        <v>0</v>
      </c>
      <c r="P19" s="9" t="str">
        <f t="shared" si="6"/>
        <v>12</v>
      </c>
      <c r="Q19" s="9" t="str">
        <f t="shared" si="7"/>
        <v/>
      </c>
      <c r="R19" s="9">
        <f t="shared" si="8"/>
        <v>0</v>
      </c>
      <c r="S19" s="9">
        <f t="array" ref="S19">+SUM(IFERROR(VALUE(Q19:R19),0))</f>
        <v>0</v>
      </c>
    </row>
    <row r="20" spans="1:19" ht="14.4">
      <c r="A20" s="2168" t="s">
        <v>2089</v>
      </c>
      <c r="B20" s="2168" t="s">
        <v>2090</v>
      </c>
      <c r="C20" s="2168">
        <v>0</v>
      </c>
      <c r="D20" s="2168">
        <v>686.01</v>
      </c>
      <c r="F20" s="9" t="str">
        <f t="shared" si="0"/>
        <v>1300</v>
      </c>
      <c r="G20" s="9">
        <f t="shared" si="1"/>
        <v>0</v>
      </c>
      <c r="H20" s="9">
        <f t="shared" si="2"/>
        <v>-686.01</v>
      </c>
      <c r="I20" s="9">
        <f t="array" ref="I20">+SUM(IFERROR(VALUE(G20:H20),0))</f>
        <v>-686.01</v>
      </c>
      <c r="K20" s="9" t="str">
        <f t="shared" si="3"/>
        <v>130</v>
      </c>
      <c r="L20" s="9">
        <f t="shared" si="4"/>
        <v>0</v>
      </c>
      <c r="M20" s="9">
        <f t="shared" si="5"/>
        <v>-686.01</v>
      </c>
      <c r="N20" s="9">
        <f t="array" ref="N20">+SUM(IFERROR(VALUE(L20:M20),0))</f>
        <v>-686.01</v>
      </c>
      <c r="P20" s="9" t="str">
        <f t="shared" si="6"/>
        <v>13</v>
      </c>
      <c r="Q20" s="9">
        <f t="shared" si="7"/>
        <v>0</v>
      </c>
      <c r="R20" s="9">
        <f t="shared" si="8"/>
        <v>-686.01</v>
      </c>
      <c r="S20" s="9">
        <f t="array" ref="S20">+SUM(IFERROR(VALUE(Q20:R20),0))</f>
        <v>-686.01</v>
      </c>
    </row>
    <row r="21" spans="1:19" ht="14.4">
      <c r="A21" s="2168" t="s">
        <v>2091</v>
      </c>
      <c r="B21" s="2168" t="s">
        <v>2092</v>
      </c>
      <c r="C21" s="2169">
        <v>0</v>
      </c>
      <c r="D21" s="2169">
        <v>15888.63</v>
      </c>
      <c r="F21" s="9" t="str">
        <f t="shared" si="0"/>
        <v>1300</v>
      </c>
      <c r="G21" s="9">
        <f t="shared" si="1"/>
        <v>0</v>
      </c>
      <c r="H21" s="9">
        <f t="shared" si="2"/>
        <v>-15888.63</v>
      </c>
      <c r="I21" s="9">
        <f t="array" ref="I21">+SUM(IFERROR(VALUE(G21:H21),0))</f>
        <v>-15888.63</v>
      </c>
      <c r="K21" s="9" t="str">
        <f t="shared" si="3"/>
        <v>130</v>
      </c>
      <c r="L21" s="9">
        <f t="shared" si="4"/>
        <v>0</v>
      </c>
      <c r="M21" s="9">
        <f t="shared" si="5"/>
        <v>-15888.63</v>
      </c>
      <c r="N21" s="9">
        <f t="array" ref="N21">+SUM(IFERROR(VALUE(L21:M21),0))</f>
        <v>-15888.63</v>
      </c>
      <c r="P21" s="9" t="str">
        <f t="shared" si="6"/>
        <v>13</v>
      </c>
      <c r="Q21" s="9">
        <f t="shared" si="7"/>
        <v>0</v>
      </c>
      <c r="R21" s="9">
        <f t="shared" si="8"/>
        <v>-15888.63</v>
      </c>
      <c r="S21" s="9">
        <f t="array" ref="S21">+SUM(IFERROR(VALUE(Q21:R21),0))</f>
        <v>-15888.63</v>
      </c>
    </row>
    <row r="22" spans="1:19" ht="14.4">
      <c r="A22" s="2168" t="s">
        <v>2093</v>
      </c>
      <c r="B22" s="2168" t="s">
        <v>2094</v>
      </c>
      <c r="C22" s="2168">
        <v>0</v>
      </c>
      <c r="D22" s="2168">
        <v>32981.85</v>
      </c>
      <c r="F22" s="9" t="str">
        <f t="shared" si="0"/>
        <v>1300</v>
      </c>
      <c r="G22" s="9">
        <f t="shared" si="1"/>
        <v>0</v>
      </c>
      <c r="H22" s="9">
        <f t="shared" si="2"/>
        <v>-32981.85</v>
      </c>
      <c r="I22" s="9">
        <f t="array" ref="I22">+SUM(IFERROR(VALUE(G22:H22),0))</f>
        <v>-32981.85</v>
      </c>
      <c r="K22" s="9" t="str">
        <f t="shared" si="3"/>
        <v>130</v>
      </c>
      <c r="L22" s="9">
        <f t="shared" si="4"/>
        <v>0</v>
      </c>
      <c r="M22" s="9">
        <f t="shared" si="5"/>
        <v>-32981.85</v>
      </c>
      <c r="N22" s="9">
        <f t="array" ref="N22">+SUM(IFERROR(VALUE(L22:M22),0))</f>
        <v>-32981.85</v>
      </c>
      <c r="P22" s="9" t="str">
        <f t="shared" si="6"/>
        <v>13</v>
      </c>
      <c r="Q22" s="9">
        <f t="shared" si="7"/>
        <v>0</v>
      </c>
      <c r="R22" s="9">
        <f t="shared" si="8"/>
        <v>-32981.85</v>
      </c>
      <c r="S22" s="9">
        <f t="array" ref="S22">+SUM(IFERROR(VALUE(Q22:R22),0))</f>
        <v>-32981.85</v>
      </c>
    </row>
    <row r="23" spans="1:19" ht="14.4">
      <c r="A23" s="2168" t="s">
        <v>2095</v>
      </c>
      <c r="B23" s="2168" t="s">
        <v>2096</v>
      </c>
      <c r="C23" s="2168">
        <v>0</v>
      </c>
      <c r="D23" s="2168">
        <v>17718700.34</v>
      </c>
      <c r="F23" s="9" t="str">
        <f t="shared" si="0"/>
        <v>1330</v>
      </c>
      <c r="G23" s="9">
        <f t="shared" si="1"/>
        <v>0</v>
      </c>
      <c r="H23" s="9">
        <f t="shared" si="2"/>
        <v>-17718700.34</v>
      </c>
      <c r="I23" s="9">
        <f t="array" ref="I23">+SUM(IFERROR(VALUE(G23:H23),0))</f>
        <v>-17718700.34</v>
      </c>
      <c r="K23" s="9" t="str">
        <f t="shared" si="3"/>
        <v>133</v>
      </c>
      <c r="L23" s="9">
        <f t="shared" si="4"/>
        <v>0</v>
      </c>
      <c r="M23" s="9">
        <f t="shared" si="5"/>
        <v>-17718700.34</v>
      </c>
      <c r="N23" s="9">
        <f t="array" ref="N23">+SUM(IFERROR(VALUE(L23:M23),0))</f>
        <v>-17718700.34</v>
      </c>
      <c r="P23" s="9" t="str">
        <f t="shared" si="6"/>
        <v>13</v>
      </c>
      <c r="Q23" s="9">
        <f t="shared" si="7"/>
        <v>0</v>
      </c>
      <c r="R23" s="9">
        <f t="shared" si="8"/>
        <v>-17718700.34</v>
      </c>
      <c r="S23" s="9">
        <f t="array" ref="S23">+SUM(IFERROR(VALUE(Q23:R23),0))</f>
        <v>-17718700.34</v>
      </c>
    </row>
    <row r="24" spans="1:19" ht="14.4">
      <c r="A24" s="2168" t="s">
        <v>2097</v>
      </c>
      <c r="B24" s="2168" t="s">
        <v>2098</v>
      </c>
      <c r="C24" s="2168">
        <v>0</v>
      </c>
      <c r="D24" s="2168">
        <v>10141204.85</v>
      </c>
      <c r="F24" s="9" t="str">
        <f t="shared" si="0"/>
        <v>1330</v>
      </c>
      <c r="G24" s="9">
        <f t="shared" si="1"/>
        <v>0</v>
      </c>
      <c r="H24" s="9">
        <f t="shared" si="2"/>
        <v>-10141204.85</v>
      </c>
      <c r="I24" s="9">
        <f t="array" ref="I24">+SUM(IFERROR(VALUE(G24:H24),0))</f>
        <v>-10141204.85</v>
      </c>
      <c r="K24" s="9" t="str">
        <f t="shared" si="3"/>
        <v>133</v>
      </c>
      <c r="L24" s="9">
        <f t="shared" si="4"/>
        <v>0</v>
      </c>
      <c r="M24" s="9">
        <f t="shared" si="5"/>
        <v>-10141204.85</v>
      </c>
      <c r="N24" s="9">
        <f t="array" ref="N24">+SUM(IFERROR(VALUE(L24:M24),0))</f>
        <v>-10141204.85</v>
      </c>
      <c r="P24" s="9" t="str">
        <f t="shared" si="6"/>
        <v>13</v>
      </c>
      <c r="Q24" s="9">
        <f t="shared" si="7"/>
        <v>0</v>
      </c>
      <c r="R24" s="9">
        <f t="shared" si="8"/>
        <v>-10141204.85</v>
      </c>
      <c r="S24" s="9">
        <f t="array" ref="S24">+SUM(IFERROR(VALUE(Q24:R24),0))</f>
        <v>-10141204.85</v>
      </c>
    </row>
    <row r="25" spans="1:19" ht="14.4">
      <c r="A25" s="2168" t="s">
        <v>2099</v>
      </c>
      <c r="B25" s="2168" t="s">
        <v>2100</v>
      </c>
      <c r="C25" s="2168">
        <v>6246869.21</v>
      </c>
      <c r="D25" s="2168">
        <v>0</v>
      </c>
      <c r="F25" s="9" t="str">
        <f t="shared" si="0"/>
        <v>1330</v>
      </c>
      <c r="G25" s="9">
        <f t="shared" si="1"/>
        <v>6246869.21</v>
      </c>
      <c r="H25" s="9">
        <f t="shared" si="2"/>
        <v>0</v>
      </c>
      <c r="I25" s="9">
        <f t="array" ref="I25">+SUM(IFERROR(VALUE(G25:H25),0))</f>
        <v>6246869.21</v>
      </c>
      <c r="K25" s="9" t="str">
        <f t="shared" si="3"/>
        <v>133</v>
      </c>
      <c r="L25" s="9">
        <f t="shared" si="4"/>
        <v>6246869.21</v>
      </c>
      <c r="M25" s="9">
        <f t="shared" si="5"/>
        <v>0</v>
      </c>
      <c r="N25" s="9">
        <f t="array" ref="N25">+SUM(IFERROR(VALUE(L25:M25),0))</f>
        <v>6246869.21</v>
      </c>
      <c r="P25" s="9" t="str">
        <f t="shared" si="6"/>
        <v>13</v>
      </c>
      <c r="Q25" s="9">
        <f t="shared" si="7"/>
        <v>6246869.21</v>
      </c>
      <c r="R25" s="9">
        <f t="shared" si="8"/>
        <v>0</v>
      </c>
      <c r="S25" s="9">
        <f t="array" ref="S25">+SUM(IFERROR(VALUE(Q25:R25),0))</f>
        <v>6246869.21</v>
      </c>
    </row>
    <row r="26" spans="1:19" ht="14.4">
      <c r="A26" s="2168" t="s">
        <v>2101</v>
      </c>
      <c r="B26" s="2168" t="s">
        <v>2102</v>
      </c>
      <c r="C26" s="2168" t="s">
        <v>1392</v>
      </c>
      <c r="D26" s="2168">
        <v>0</v>
      </c>
      <c r="F26" s="9" t="str">
        <f t="shared" si="0"/>
        <v>1330</v>
      </c>
      <c r="G26" s="9" t="str">
        <f t="shared" si="1"/>
        <v/>
      </c>
      <c r="H26" s="9">
        <f t="shared" si="2"/>
        <v>0</v>
      </c>
      <c r="I26" s="9">
        <f t="array" ref="I26">+SUM(IFERROR(VALUE(G26:H26),0))</f>
        <v>0</v>
      </c>
      <c r="K26" s="9" t="str">
        <f t="shared" si="3"/>
        <v>133</v>
      </c>
      <c r="L26" s="9" t="str">
        <f t="shared" si="4"/>
        <v/>
      </c>
      <c r="M26" s="9">
        <f t="shared" si="5"/>
        <v>0</v>
      </c>
      <c r="N26" s="9">
        <f t="array" ref="N26">+SUM(IFERROR(VALUE(L26:M26),0))</f>
        <v>0</v>
      </c>
      <c r="P26" s="9" t="str">
        <f t="shared" si="6"/>
        <v>13</v>
      </c>
      <c r="Q26" s="9" t="str">
        <f t="shared" si="7"/>
        <v/>
      </c>
      <c r="R26" s="9">
        <f t="shared" si="8"/>
        <v>0</v>
      </c>
      <c r="S26" s="9">
        <f t="array" ref="S26">+SUM(IFERROR(VALUE(Q26:R26),0))</f>
        <v>0</v>
      </c>
    </row>
    <row r="27" spans="1:19" ht="14.4">
      <c r="A27" s="2168" t="s">
        <v>2103</v>
      </c>
      <c r="B27" s="2168" t="s">
        <v>2104</v>
      </c>
      <c r="C27" s="2168">
        <v>0</v>
      </c>
      <c r="D27" s="2168">
        <v>21054.76</v>
      </c>
      <c r="F27" s="9" t="str">
        <f t="shared" si="0"/>
        <v>1330</v>
      </c>
      <c r="G27" s="9">
        <f t="shared" si="1"/>
        <v>0</v>
      </c>
      <c r="H27" s="9">
        <f t="shared" si="2"/>
        <v>-21054.76</v>
      </c>
      <c r="I27" s="9">
        <f t="array" ref="I27">+SUM(IFERROR(VALUE(G27:H27),0))</f>
        <v>-21054.76</v>
      </c>
      <c r="K27" s="9" t="str">
        <f t="shared" si="3"/>
        <v>133</v>
      </c>
      <c r="L27" s="9">
        <f t="shared" si="4"/>
        <v>0</v>
      </c>
      <c r="M27" s="9">
        <f t="shared" si="5"/>
        <v>-21054.76</v>
      </c>
      <c r="N27" s="9">
        <f t="array" ref="N27">+SUM(IFERROR(VALUE(L27:M27),0))</f>
        <v>-21054.76</v>
      </c>
      <c r="P27" s="9" t="str">
        <f t="shared" si="6"/>
        <v>13</v>
      </c>
      <c r="Q27" s="9">
        <f t="shared" si="7"/>
        <v>0</v>
      </c>
      <c r="R27" s="9">
        <f t="shared" si="8"/>
        <v>-21054.76</v>
      </c>
      <c r="S27" s="9">
        <f t="array" ref="S27">+SUM(IFERROR(VALUE(Q27:R27),0))</f>
        <v>-21054.76</v>
      </c>
    </row>
    <row r="28" spans="1:19" ht="14.4">
      <c r="A28" s="2168" t="s">
        <v>2105</v>
      </c>
      <c r="B28" s="2168" t="s">
        <v>2106</v>
      </c>
      <c r="C28" s="2168">
        <v>0</v>
      </c>
      <c r="D28" s="2168">
        <v>715209.58</v>
      </c>
      <c r="F28" s="9" t="str">
        <f t="shared" si="0"/>
        <v>1331</v>
      </c>
      <c r="G28" s="9">
        <f t="shared" si="1"/>
        <v>0</v>
      </c>
      <c r="H28" s="9">
        <f t="shared" si="2"/>
        <v>-715209.58</v>
      </c>
      <c r="I28" s="9">
        <f t="array" ref="I28">+SUM(IFERROR(VALUE(G28:H28),0))</f>
        <v>-715209.58</v>
      </c>
      <c r="K28" s="9" t="str">
        <f t="shared" si="3"/>
        <v>133</v>
      </c>
      <c r="L28" s="9">
        <f t="shared" si="4"/>
        <v>0</v>
      </c>
      <c r="M28" s="9">
        <f t="shared" si="5"/>
        <v>-715209.58</v>
      </c>
      <c r="N28" s="9">
        <f t="array" ref="N28">+SUM(IFERROR(VALUE(L28:M28),0))</f>
        <v>-715209.58</v>
      </c>
      <c r="P28" s="9" t="str">
        <f t="shared" si="6"/>
        <v>13</v>
      </c>
      <c r="Q28" s="9">
        <f t="shared" si="7"/>
        <v>0</v>
      </c>
      <c r="R28" s="9">
        <f t="shared" si="8"/>
        <v>-715209.58</v>
      </c>
      <c r="S28" s="9">
        <f t="array" ref="S28">+SUM(IFERROR(VALUE(Q28:R28),0))</f>
        <v>-715209.58</v>
      </c>
    </row>
    <row r="29" spans="1:19" ht="14.4">
      <c r="A29" s="2168" t="s">
        <v>2107</v>
      </c>
      <c r="B29" s="2168" t="s">
        <v>2108</v>
      </c>
      <c r="C29" s="2168" t="s">
        <v>1392</v>
      </c>
      <c r="D29" s="2168">
        <v>0</v>
      </c>
      <c r="F29" s="9" t="str">
        <f t="shared" si="0"/>
        <v>1331</v>
      </c>
      <c r="G29" s="9" t="str">
        <f t="shared" si="1"/>
        <v/>
      </c>
      <c r="H29" s="9">
        <f t="shared" si="2"/>
        <v>0</v>
      </c>
      <c r="I29" s="9">
        <f t="array" ref="I29">+SUM(IFERROR(VALUE(G29:H29),0))</f>
        <v>0</v>
      </c>
      <c r="K29" s="9" t="str">
        <f t="shared" si="3"/>
        <v>133</v>
      </c>
      <c r="L29" s="9" t="str">
        <f t="shared" si="4"/>
        <v/>
      </c>
      <c r="M29" s="9">
        <f t="shared" si="5"/>
        <v>0</v>
      </c>
      <c r="N29" s="9">
        <f t="array" ref="N29">+SUM(IFERROR(VALUE(L29:M29),0))</f>
        <v>0</v>
      </c>
      <c r="P29" s="9" t="str">
        <f t="shared" si="6"/>
        <v>13</v>
      </c>
      <c r="Q29" s="9" t="str">
        <f t="shared" si="7"/>
        <v/>
      </c>
      <c r="R29" s="9">
        <f t="shared" si="8"/>
        <v>0</v>
      </c>
      <c r="S29" s="9">
        <f t="array" ref="S29">+SUM(IFERROR(VALUE(Q29:R29),0))</f>
        <v>0</v>
      </c>
    </row>
    <row r="30" spans="1:19" ht="14.4">
      <c r="A30" s="2168" t="s">
        <v>2109</v>
      </c>
      <c r="B30" s="2168" t="s">
        <v>2110</v>
      </c>
      <c r="C30" s="2169" t="s">
        <v>1392</v>
      </c>
      <c r="D30" s="2168">
        <v>0</v>
      </c>
      <c r="F30" s="9" t="str">
        <f t="shared" si="0"/>
        <v>1331</v>
      </c>
      <c r="G30" s="9" t="str">
        <f t="shared" si="1"/>
        <v/>
      </c>
      <c r="H30" s="9">
        <f t="shared" si="2"/>
        <v>0</v>
      </c>
      <c r="I30" s="9">
        <f t="array" ref="I30">+SUM(IFERROR(VALUE(G30:H30),0))</f>
        <v>0</v>
      </c>
      <c r="K30" s="9" t="str">
        <f t="shared" si="3"/>
        <v>133</v>
      </c>
      <c r="L30" s="9" t="str">
        <f t="shared" si="4"/>
        <v/>
      </c>
      <c r="M30" s="9">
        <f t="shared" si="5"/>
        <v>0</v>
      </c>
      <c r="N30" s="9">
        <f t="array" ref="N30">+SUM(IFERROR(VALUE(L30:M30),0))</f>
        <v>0</v>
      </c>
      <c r="P30" s="9" t="str">
        <f t="shared" si="6"/>
        <v>13</v>
      </c>
      <c r="Q30" s="9" t="str">
        <f t="shared" si="7"/>
        <v/>
      </c>
      <c r="R30" s="9">
        <f t="shared" si="8"/>
        <v>0</v>
      </c>
      <c r="S30" s="9">
        <f t="array" ref="S30">+SUM(IFERROR(VALUE(Q30:R30),0))</f>
        <v>0</v>
      </c>
    </row>
    <row r="31" spans="1:19" ht="14.4">
      <c r="A31" s="2168" t="s">
        <v>2111</v>
      </c>
      <c r="B31" s="2168" t="s">
        <v>2112</v>
      </c>
      <c r="C31" s="2169">
        <v>0</v>
      </c>
      <c r="D31" s="2169">
        <v>50274.01</v>
      </c>
      <c r="F31" s="9" t="str">
        <f t="shared" si="0"/>
        <v>1332</v>
      </c>
      <c r="G31" s="9">
        <f t="shared" si="1"/>
        <v>0</v>
      </c>
      <c r="H31" s="9">
        <f t="shared" si="2"/>
        <v>-50274.01</v>
      </c>
      <c r="I31" s="9">
        <f t="array" ref="I31">+SUM(IFERROR(VALUE(G31:H31),0))</f>
        <v>-50274.01</v>
      </c>
      <c r="K31" s="9" t="str">
        <f t="shared" si="3"/>
        <v>133</v>
      </c>
      <c r="L31" s="9">
        <f t="shared" si="4"/>
        <v>0</v>
      </c>
      <c r="M31" s="9">
        <f t="shared" si="5"/>
        <v>-50274.01</v>
      </c>
      <c r="N31" s="9">
        <f t="array" ref="N31">+SUM(IFERROR(VALUE(L31:M31),0))</f>
        <v>-50274.01</v>
      </c>
      <c r="P31" s="9" t="str">
        <f t="shared" si="6"/>
        <v>13</v>
      </c>
      <c r="Q31" s="9">
        <f t="shared" si="7"/>
        <v>0</v>
      </c>
      <c r="R31" s="9">
        <f t="shared" si="8"/>
        <v>-50274.01</v>
      </c>
      <c r="S31" s="9">
        <f t="array" ref="S31">+SUM(IFERROR(VALUE(Q31:R31),0))</f>
        <v>-50274.01</v>
      </c>
    </row>
    <row r="32" spans="1:19" ht="14.4">
      <c r="A32" s="2168" t="s">
        <v>2113</v>
      </c>
      <c r="B32" s="2168" t="s">
        <v>2114</v>
      </c>
      <c r="C32" s="2169">
        <v>0</v>
      </c>
      <c r="D32" s="2169">
        <v>840911.38</v>
      </c>
      <c r="F32" s="9" t="str">
        <f t="shared" si="0"/>
        <v>1332</v>
      </c>
      <c r="G32" s="9">
        <f t="shared" si="1"/>
        <v>0</v>
      </c>
      <c r="H32" s="9">
        <f t="shared" si="2"/>
        <v>-840911.38</v>
      </c>
      <c r="I32" s="9">
        <f t="array" ref="I32">+SUM(IFERROR(VALUE(G32:H32),0))</f>
        <v>-840911.38</v>
      </c>
      <c r="K32" s="9" t="str">
        <f t="shared" si="3"/>
        <v>133</v>
      </c>
      <c r="L32" s="9">
        <f t="shared" si="4"/>
        <v>0</v>
      </c>
      <c r="M32" s="9">
        <f t="shared" si="5"/>
        <v>-840911.38</v>
      </c>
      <c r="N32" s="9">
        <f t="array" ref="N32">+SUM(IFERROR(VALUE(L32:M32),0))</f>
        <v>-840911.38</v>
      </c>
      <c r="P32" s="9" t="str">
        <f t="shared" si="6"/>
        <v>13</v>
      </c>
      <c r="Q32" s="9">
        <f t="shared" si="7"/>
        <v>0</v>
      </c>
      <c r="R32" s="9">
        <f t="shared" si="8"/>
        <v>-840911.38</v>
      </c>
      <c r="S32" s="9">
        <f t="array" ref="S32">+SUM(IFERROR(VALUE(Q32:R32),0))</f>
        <v>-840911.38</v>
      </c>
    </row>
    <row r="33" spans="1:19" ht="14.4">
      <c r="A33" s="2168" t="s">
        <v>2115</v>
      </c>
      <c r="B33" s="2168" t="s">
        <v>2116</v>
      </c>
      <c r="C33" s="2168">
        <v>0</v>
      </c>
      <c r="D33" s="2168">
        <v>404914.59</v>
      </c>
      <c r="F33" s="9" t="str">
        <f t="shared" si="0"/>
        <v>1332</v>
      </c>
      <c r="G33" s="9">
        <f t="shared" si="1"/>
        <v>0</v>
      </c>
      <c r="H33" s="9">
        <f t="shared" si="2"/>
        <v>-404914.59</v>
      </c>
      <c r="I33" s="9">
        <f t="array" ref="I33">+SUM(IFERROR(VALUE(G33:H33),0))</f>
        <v>-404914.59</v>
      </c>
      <c r="K33" s="9" t="str">
        <f t="shared" si="3"/>
        <v>133</v>
      </c>
      <c r="L33" s="9">
        <f t="shared" si="4"/>
        <v>0</v>
      </c>
      <c r="M33" s="9">
        <f t="shared" si="5"/>
        <v>-404914.59</v>
      </c>
      <c r="N33" s="9">
        <f t="array" ref="N33">+SUM(IFERROR(VALUE(L33:M33),0))</f>
        <v>-404914.59</v>
      </c>
      <c r="P33" s="9" t="str">
        <f t="shared" si="6"/>
        <v>13</v>
      </c>
      <c r="Q33" s="9">
        <f t="shared" si="7"/>
        <v>0</v>
      </c>
      <c r="R33" s="9">
        <f t="shared" si="8"/>
        <v>-404914.59</v>
      </c>
      <c r="S33" s="9">
        <f t="array" ref="S33">+SUM(IFERROR(VALUE(Q33:R33),0))</f>
        <v>-404914.59</v>
      </c>
    </row>
    <row r="34" spans="1:19" ht="14.4">
      <c r="A34" s="2168" t="s">
        <v>2117</v>
      </c>
      <c r="B34" s="2168" t="s">
        <v>2118</v>
      </c>
      <c r="C34" s="2169">
        <v>0</v>
      </c>
      <c r="D34" s="2169">
        <v>68291.199999999997</v>
      </c>
      <c r="F34" s="9" t="str">
        <f t="shared" si="0"/>
        <v>1332</v>
      </c>
      <c r="G34" s="9">
        <f t="shared" si="1"/>
        <v>0</v>
      </c>
      <c r="H34" s="9">
        <f t="shared" si="2"/>
        <v>-68291.199999999997</v>
      </c>
      <c r="I34" s="9">
        <f t="array" ref="I34">+SUM(IFERROR(VALUE(G34:H34),0))</f>
        <v>-68291.199999999997</v>
      </c>
      <c r="K34" s="9" t="str">
        <f t="shared" si="3"/>
        <v>133</v>
      </c>
      <c r="L34" s="9">
        <f t="shared" si="4"/>
        <v>0</v>
      </c>
      <c r="M34" s="9">
        <f t="shared" si="5"/>
        <v>-68291.199999999997</v>
      </c>
      <c r="N34" s="9">
        <f t="array" ref="N34">+SUM(IFERROR(VALUE(L34:M34),0))</f>
        <v>-68291.199999999997</v>
      </c>
      <c r="P34" s="9" t="str">
        <f t="shared" si="6"/>
        <v>13</v>
      </c>
      <c r="Q34" s="9">
        <f t="shared" si="7"/>
        <v>0</v>
      </c>
      <c r="R34" s="9">
        <f t="shared" si="8"/>
        <v>-68291.199999999997</v>
      </c>
      <c r="S34" s="9">
        <f t="array" ref="S34">+SUM(IFERROR(VALUE(Q34:R34),0))</f>
        <v>-68291.199999999997</v>
      </c>
    </row>
    <row r="35" spans="1:19" ht="14.4">
      <c r="A35" s="2168" t="s">
        <v>2119</v>
      </c>
      <c r="B35" s="2168" t="s">
        <v>2120</v>
      </c>
      <c r="C35" s="2168" t="s">
        <v>1392</v>
      </c>
      <c r="D35" s="2168">
        <v>0</v>
      </c>
      <c r="F35" s="9" t="str">
        <f t="shared" si="0"/>
        <v>1800</v>
      </c>
      <c r="G35" s="9" t="str">
        <f t="shared" si="1"/>
        <v/>
      </c>
      <c r="H35" s="9">
        <f t="shared" si="2"/>
        <v>0</v>
      </c>
      <c r="I35" s="9">
        <f t="array" ref="I35">+SUM(IFERROR(VALUE(G35:H35),0))</f>
        <v>0</v>
      </c>
      <c r="K35" s="9" t="str">
        <f t="shared" si="3"/>
        <v>180</v>
      </c>
      <c r="L35" s="9" t="str">
        <f t="shared" si="4"/>
        <v/>
      </c>
      <c r="M35" s="9">
        <f t="shared" si="5"/>
        <v>0</v>
      </c>
      <c r="N35" s="9">
        <f t="array" ref="N35">+SUM(IFERROR(VALUE(L35:M35),0))</f>
        <v>0</v>
      </c>
      <c r="P35" s="9" t="str">
        <f t="shared" si="6"/>
        <v>18</v>
      </c>
      <c r="Q35" s="9" t="str">
        <f t="shared" si="7"/>
        <v/>
      </c>
      <c r="R35" s="9">
        <f t="shared" si="8"/>
        <v>0</v>
      </c>
      <c r="S35" s="9">
        <f t="array" ref="S35">+SUM(IFERROR(VALUE(Q35:R35),0))</f>
        <v>0</v>
      </c>
    </row>
    <row r="36" spans="1:19" ht="14.4">
      <c r="A36" s="2168" t="s">
        <v>2121</v>
      </c>
      <c r="B36" s="2168" t="s">
        <v>2122</v>
      </c>
      <c r="C36" s="2168">
        <v>0</v>
      </c>
      <c r="D36" s="2168">
        <v>142884</v>
      </c>
      <c r="F36" s="9" t="str">
        <f t="shared" si="0"/>
        <v>1800</v>
      </c>
      <c r="G36" s="9">
        <f t="shared" si="1"/>
        <v>0</v>
      </c>
      <c r="H36" s="9">
        <f t="shared" si="2"/>
        <v>-142884</v>
      </c>
      <c r="I36" s="9">
        <f t="array" ref="I36">+SUM(IFERROR(VALUE(G36:H36),0))</f>
        <v>-142884</v>
      </c>
      <c r="K36" s="9" t="str">
        <f t="shared" si="3"/>
        <v>180</v>
      </c>
      <c r="L36" s="9">
        <f t="shared" si="4"/>
        <v>0</v>
      </c>
      <c r="M36" s="9">
        <f t="shared" si="5"/>
        <v>-142884</v>
      </c>
      <c r="N36" s="9">
        <f t="array" ref="N36">+SUM(IFERROR(VALUE(L36:M36),0))</f>
        <v>-142884</v>
      </c>
      <c r="P36" s="9" t="str">
        <f t="shared" si="6"/>
        <v>18</v>
      </c>
      <c r="Q36" s="9">
        <f t="shared" si="7"/>
        <v>0</v>
      </c>
      <c r="R36" s="9">
        <f t="shared" si="8"/>
        <v>-142884</v>
      </c>
      <c r="S36" s="9">
        <f t="array" ref="S36">+SUM(IFERROR(VALUE(Q36:R36),0))</f>
        <v>-142884</v>
      </c>
    </row>
    <row r="37" spans="1:19" ht="14.4">
      <c r="A37" s="2168" t="s">
        <v>2123</v>
      </c>
      <c r="B37" s="2168" t="s">
        <v>2124</v>
      </c>
      <c r="C37" s="2169">
        <v>0</v>
      </c>
      <c r="D37" s="2169">
        <v>62550</v>
      </c>
      <c r="F37" s="9" t="str">
        <f t="shared" si="0"/>
        <v>1800</v>
      </c>
      <c r="G37" s="9">
        <f t="shared" si="1"/>
        <v>0</v>
      </c>
      <c r="H37" s="9">
        <f t="shared" si="2"/>
        <v>-62550</v>
      </c>
      <c r="I37" s="9">
        <f t="array" ref="I37">+SUM(IFERROR(VALUE(G37:H37),0))</f>
        <v>-62550</v>
      </c>
      <c r="K37" s="9" t="str">
        <f t="shared" si="3"/>
        <v>180</v>
      </c>
      <c r="L37" s="9">
        <f t="shared" si="4"/>
        <v>0</v>
      </c>
      <c r="M37" s="9">
        <f t="shared" si="5"/>
        <v>-62550</v>
      </c>
      <c r="N37" s="9">
        <f t="array" ref="N37">+SUM(IFERROR(VALUE(L37:M37),0))</f>
        <v>-62550</v>
      </c>
      <c r="P37" s="9" t="str">
        <f t="shared" si="6"/>
        <v>18</v>
      </c>
      <c r="Q37" s="9">
        <f t="shared" si="7"/>
        <v>0</v>
      </c>
      <c r="R37" s="9">
        <f t="shared" si="8"/>
        <v>-62550</v>
      </c>
      <c r="S37" s="9">
        <f t="array" ref="S37">+SUM(IFERROR(VALUE(Q37:R37),0))</f>
        <v>-62550</v>
      </c>
    </row>
    <row r="38" spans="1:19" ht="14.4">
      <c r="A38" s="2168" t="s">
        <v>2125</v>
      </c>
      <c r="B38" s="2168" t="s">
        <v>2126</v>
      </c>
      <c r="C38" s="2168">
        <v>20800</v>
      </c>
      <c r="D38" s="2168">
        <v>0</v>
      </c>
      <c r="F38" s="9" t="str">
        <f t="shared" si="0"/>
        <v>2020</v>
      </c>
      <c r="G38" s="9">
        <f t="shared" si="1"/>
        <v>20800</v>
      </c>
      <c r="H38" s="9">
        <f t="shared" si="2"/>
        <v>0</v>
      </c>
      <c r="I38" s="9">
        <f t="array" ref="I38">+SUM(IFERROR(VALUE(G38:H38),0))</f>
        <v>20800</v>
      </c>
      <c r="K38" s="9" t="str">
        <f t="shared" si="3"/>
        <v>202</v>
      </c>
      <c r="L38" s="9">
        <f t="shared" si="4"/>
        <v>20800</v>
      </c>
      <c r="M38" s="9">
        <f t="shared" si="5"/>
        <v>0</v>
      </c>
      <c r="N38" s="9">
        <f t="array" ref="N38">+SUM(IFERROR(VALUE(L38:M38),0))</f>
        <v>20800</v>
      </c>
      <c r="P38" s="9" t="str">
        <f t="shared" si="6"/>
        <v>20</v>
      </c>
      <c r="Q38" s="9">
        <f t="shared" si="7"/>
        <v>20800</v>
      </c>
      <c r="R38" s="9">
        <f t="shared" si="8"/>
        <v>0</v>
      </c>
      <c r="S38" s="9">
        <f t="array" ref="S38">+SUM(IFERROR(VALUE(Q38:R38),0))</f>
        <v>20800</v>
      </c>
    </row>
    <row r="39" spans="1:19" ht="14.4">
      <c r="A39" s="2168" t="s">
        <v>2127</v>
      </c>
      <c r="B39" s="2168" t="s">
        <v>2128</v>
      </c>
      <c r="C39" s="2168">
        <v>120967.7</v>
      </c>
      <c r="D39" s="2168">
        <v>0</v>
      </c>
      <c r="F39" s="9" t="str">
        <f t="shared" si="0"/>
        <v>2060</v>
      </c>
      <c r="G39" s="9">
        <f t="shared" si="1"/>
        <v>120967.7</v>
      </c>
      <c r="H39" s="9">
        <f t="shared" si="2"/>
        <v>0</v>
      </c>
      <c r="I39" s="9">
        <f t="array" ref="I39">+SUM(IFERROR(VALUE(G39:H39),0))</f>
        <v>120967.7</v>
      </c>
      <c r="K39" s="9" t="str">
        <f t="shared" si="3"/>
        <v>206</v>
      </c>
      <c r="L39" s="9">
        <f t="shared" si="4"/>
        <v>120967.7</v>
      </c>
      <c r="M39" s="9">
        <f t="shared" si="5"/>
        <v>0</v>
      </c>
      <c r="N39" s="9">
        <f t="array" ref="N39">+SUM(IFERROR(VALUE(L39:M39),0))</f>
        <v>120967.7</v>
      </c>
      <c r="P39" s="9" t="str">
        <f t="shared" si="6"/>
        <v>20</v>
      </c>
      <c r="Q39" s="9">
        <f t="shared" si="7"/>
        <v>120967.7</v>
      </c>
      <c r="R39" s="9">
        <f t="shared" si="8"/>
        <v>0</v>
      </c>
      <c r="S39" s="9">
        <f t="array" ref="S39">+SUM(IFERROR(VALUE(Q39:R39),0))</f>
        <v>120967.7</v>
      </c>
    </row>
    <row r="40" spans="1:19" ht="14.4">
      <c r="A40" s="2168" t="s">
        <v>2129</v>
      </c>
      <c r="B40" s="2168" t="s">
        <v>2130</v>
      </c>
      <c r="C40" s="2168">
        <v>1217233.03</v>
      </c>
      <c r="D40" s="2168">
        <v>0</v>
      </c>
      <c r="F40" s="9" t="str">
        <f t="shared" si="0"/>
        <v>2100</v>
      </c>
      <c r="G40" s="9">
        <f t="shared" si="1"/>
        <v>1217233.03</v>
      </c>
      <c r="H40" s="9">
        <f t="shared" si="2"/>
        <v>0</v>
      </c>
      <c r="I40" s="9">
        <f t="array" ref="I40">+SUM(IFERROR(VALUE(G40:H40),0))</f>
        <v>1217233.03</v>
      </c>
      <c r="K40" s="9" t="str">
        <f t="shared" si="3"/>
        <v>210</v>
      </c>
      <c r="L40" s="9">
        <f t="shared" si="4"/>
        <v>1217233.03</v>
      </c>
      <c r="M40" s="9">
        <f t="shared" si="5"/>
        <v>0</v>
      </c>
      <c r="N40" s="9">
        <f t="array" ref="N40">+SUM(IFERROR(VALUE(L40:M40),0))</f>
        <v>1217233.03</v>
      </c>
      <c r="P40" s="9" t="str">
        <f t="shared" si="6"/>
        <v>21</v>
      </c>
      <c r="Q40" s="9">
        <f t="shared" si="7"/>
        <v>1217233.03</v>
      </c>
      <c r="R40" s="9">
        <f t="shared" si="8"/>
        <v>0</v>
      </c>
      <c r="S40" s="9">
        <f t="array" ref="S40">+SUM(IFERROR(VALUE(Q40:R40),0))</f>
        <v>1217233.03</v>
      </c>
    </row>
    <row r="41" spans="1:19" ht="14.4">
      <c r="A41" s="2168" t="s">
        <v>2131</v>
      </c>
      <c r="B41" s="2168" t="s">
        <v>2132</v>
      </c>
      <c r="C41" s="2168">
        <v>4310120.59</v>
      </c>
      <c r="D41" s="2168">
        <v>0</v>
      </c>
      <c r="F41" s="9" t="str">
        <f t="shared" si="0"/>
        <v>2110</v>
      </c>
      <c r="G41" s="9">
        <f t="shared" si="1"/>
        <v>4310120.59</v>
      </c>
      <c r="H41" s="9">
        <f t="shared" si="2"/>
        <v>0</v>
      </c>
      <c r="I41" s="9">
        <f t="array" ref="I41">+SUM(IFERROR(VALUE(G41:H41),0))</f>
        <v>4310120.59</v>
      </c>
      <c r="K41" s="9" t="str">
        <f t="shared" si="3"/>
        <v>211</v>
      </c>
      <c r="L41" s="9">
        <f t="shared" si="4"/>
        <v>4310120.59</v>
      </c>
      <c r="M41" s="9">
        <f t="shared" si="5"/>
        <v>0</v>
      </c>
      <c r="N41" s="9">
        <f t="array" ref="N41">+SUM(IFERROR(VALUE(L41:M41),0))</f>
        <v>4310120.59</v>
      </c>
      <c r="P41" s="9" t="str">
        <f t="shared" si="6"/>
        <v>21</v>
      </c>
      <c r="Q41" s="9">
        <f t="shared" si="7"/>
        <v>4310120.59</v>
      </c>
      <c r="R41" s="9">
        <f t="shared" si="8"/>
        <v>0</v>
      </c>
      <c r="S41" s="9">
        <f t="array" ref="S41">+SUM(IFERROR(VALUE(Q41:R41),0))</f>
        <v>4310120.59</v>
      </c>
    </row>
    <row r="42" spans="1:19" ht="14.4">
      <c r="A42" s="2168" t="s">
        <v>2133</v>
      </c>
      <c r="B42" s="2168" t="s">
        <v>2134</v>
      </c>
      <c r="C42" s="2168">
        <v>595287.93000000005</v>
      </c>
      <c r="D42" s="2168">
        <v>0</v>
      </c>
      <c r="F42" s="9" t="str">
        <f t="shared" si="0"/>
        <v>2112</v>
      </c>
      <c r="G42" s="9">
        <f t="shared" si="1"/>
        <v>595287.93000000005</v>
      </c>
      <c r="H42" s="9">
        <f t="shared" si="2"/>
        <v>0</v>
      </c>
      <c r="I42" s="9">
        <f t="array" ref="I42">+SUM(IFERROR(VALUE(G42:H42),0))</f>
        <v>595287.93000000005</v>
      </c>
      <c r="K42" s="9" t="str">
        <f t="shared" si="3"/>
        <v>211</v>
      </c>
      <c r="L42" s="9">
        <f t="shared" si="4"/>
        <v>595287.93000000005</v>
      </c>
      <c r="M42" s="9">
        <f t="shared" si="5"/>
        <v>0</v>
      </c>
      <c r="N42" s="9">
        <f t="array" ref="N42">+SUM(IFERROR(VALUE(L42:M42),0))</f>
        <v>595287.93000000005</v>
      </c>
      <c r="P42" s="9" t="str">
        <f t="shared" si="6"/>
        <v>21</v>
      </c>
      <c r="Q42" s="9">
        <f t="shared" si="7"/>
        <v>595287.93000000005</v>
      </c>
      <c r="R42" s="9">
        <f t="shared" si="8"/>
        <v>0</v>
      </c>
      <c r="S42" s="9">
        <f t="array" ref="S42">+SUM(IFERROR(VALUE(Q42:R42),0))</f>
        <v>595287.93000000005</v>
      </c>
    </row>
    <row r="43" spans="1:19" ht="14.4">
      <c r="A43" s="2168" t="s">
        <v>2135</v>
      </c>
      <c r="B43" s="2168" t="s">
        <v>2136</v>
      </c>
      <c r="C43" s="2168">
        <v>19677094.84</v>
      </c>
      <c r="D43" s="2168">
        <v>0</v>
      </c>
      <c r="F43" s="9" t="str">
        <f t="shared" si="0"/>
        <v>2120</v>
      </c>
      <c r="G43" s="9">
        <f t="shared" si="1"/>
        <v>19677094.84</v>
      </c>
      <c r="H43" s="9">
        <f t="shared" si="2"/>
        <v>0</v>
      </c>
      <c r="I43" s="9">
        <f t="array" ref="I43">+SUM(IFERROR(VALUE(G43:H43),0))</f>
        <v>19677094.84</v>
      </c>
      <c r="K43" s="9" t="str">
        <f t="shared" si="3"/>
        <v>212</v>
      </c>
      <c r="L43" s="9">
        <f t="shared" si="4"/>
        <v>19677094.84</v>
      </c>
      <c r="M43" s="9">
        <f t="shared" si="5"/>
        <v>0</v>
      </c>
      <c r="N43" s="9">
        <f t="array" ref="N43">+SUM(IFERROR(VALUE(L43:M43),0))</f>
        <v>19677094.84</v>
      </c>
      <c r="P43" s="9" t="str">
        <f t="shared" si="6"/>
        <v>21</v>
      </c>
      <c r="Q43" s="9">
        <f t="shared" si="7"/>
        <v>19677094.84</v>
      </c>
      <c r="R43" s="9">
        <f t="shared" si="8"/>
        <v>0</v>
      </c>
      <c r="S43" s="9">
        <f t="array" ref="S43">+SUM(IFERROR(VALUE(Q43:R43),0))</f>
        <v>19677094.84</v>
      </c>
    </row>
    <row r="44" spans="1:19" ht="14.4">
      <c r="A44" s="2168" t="s">
        <v>2137</v>
      </c>
      <c r="B44" s="2168" t="s">
        <v>2138</v>
      </c>
      <c r="C44" s="2168">
        <v>1060116.9099999999</v>
      </c>
      <c r="D44" s="2168">
        <v>0</v>
      </c>
      <c r="F44" s="9" t="str">
        <f t="shared" si="0"/>
        <v>2130</v>
      </c>
      <c r="G44" s="9">
        <f t="shared" si="1"/>
        <v>1060116.9099999999</v>
      </c>
      <c r="H44" s="9">
        <f t="shared" si="2"/>
        <v>0</v>
      </c>
      <c r="I44" s="9">
        <f t="array" ref="I44">+SUM(IFERROR(VALUE(G44:H44),0))</f>
        <v>1060116.9099999999</v>
      </c>
      <c r="K44" s="9" t="str">
        <f t="shared" si="3"/>
        <v>213</v>
      </c>
      <c r="L44" s="9">
        <f t="shared" si="4"/>
        <v>1060116.9099999999</v>
      </c>
      <c r="M44" s="9">
        <f t="shared" si="5"/>
        <v>0</v>
      </c>
      <c r="N44" s="9">
        <f t="array" ref="N44">+SUM(IFERROR(VALUE(L44:M44),0))</f>
        <v>1060116.9099999999</v>
      </c>
      <c r="P44" s="9" t="str">
        <f t="shared" si="6"/>
        <v>21</v>
      </c>
      <c r="Q44" s="9">
        <f t="shared" si="7"/>
        <v>1060116.9099999999</v>
      </c>
      <c r="R44" s="9">
        <f t="shared" si="8"/>
        <v>0</v>
      </c>
      <c r="S44" s="9">
        <f t="array" ref="S44">+SUM(IFERROR(VALUE(Q44:R44),0))</f>
        <v>1060116.9099999999</v>
      </c>
    </row>
    <row r="45" spans="1:19" ht="14.4">
      <c r="A45" s="2168" t="s">
        <v>2139</v>
      </c>
      <c r="B45" s="2168" t="s">
        <v>2140</v>
      </c>
      <c r="C45" s="2168">
        <v>10306.1</v>
      </c>
      <c r="D45" s="2168">
        <v>0</v>
      </c>
      <c r="F45" s="9" t="str">
        <f t="shared" si="0"/>
        <v>2140</v>
      </c>
      <c r="G45" s="9">
        <f t="shared" si="1"/>
        <v>10306.1</v>
      </c>
      <c r="H45" s="9">
        <f t="shared" si="2"/>
        <v>0</v>
      </c>
      <c r="I45" s="9">
        <f t="array" ref="I45">+SUM(IFERROR(VALUE(G45:H45),0))</f>
        <v>10306.1</v>
      </c>
      <c r="K45" s="9" t="str">
        <f t="shared" si="3"/>
        <v>214</v>
      </c>
      <c r="L45" s="9">
        <f t="shared" si="4"/>
        <v>10306.1</v>
      </c>
      <c r="M45" s="9">
        <f t="shared" si="5"/>
        <v>0</v>
      </c>
      <c r="N45" s="9">
        <f t="array" ref="N45">+SUM(IFERROR(VALUE(L45:M45),0))</f>
        <v>10306.1</v>
      </c>
      <c r="P45" s="9" t="str">
        <f t="shared" si="6"/>
        <v>21</v>
      </c>
      <c r="Q45" s="9">
        <f t="shared" si="7"/>
        <v>10306.1</v>
      </c>
      <c r="R45" s="9">
        <f t="shared" si="8"/>
        <v>0</v>
      </c>
      <c r="S45" s="9">
        <f t="array" ref="S45">+SUM(IFERROR(VALUE(Q45:R45),0))</f>
        <v>10306.1</v>
      </c>
    </row>
    <row r="46" spans="1:19" ht="14.4">
      <c r="A46" s="2168" t="s">
        <v>2141</v>
      </c>
      <c r="B46" s="2168" t="s">
        <v>2142</v>
      </c>
      <c r="C46" s="2168">
        <v>1162570.3500000001</v>
      </c>
      <c r="D46" s="2168">
        <v>0</v>
      </c>
      <c r="F46" s="9" t="str">
        <f t="shared" si="0"/>
        <v>2150</v>
      </c>
      <c r="G46" s="9">
        <f t="shared" si="1"/>
        <v>1162570.3500000001</v>
      </c>
      <c r="H46" s="9">
        <f t="shared" si="2"/>
        <v>0</v>
      </c>
      <c r="I46" s="9">
        <f t="array" ref="I46">+SUM(IFERROR(VALUE(G46:H46),0))</f>
        <v>1162570.3500000001</v>
      </c>
      <c r="K46" s="9" t="str">
        <f t="shared" si="3"/>
        <v>215</v>
      </c>
      <c r="L46" s="9">
        <f t="shared" si="4"/>
        <v>1162570.3500000001</v>
      </c>
      <c r="M46" s="9">
        <f t="shared" si="5"/>
        <v>0</v>
      </c>
      <c r="N46" s="9">
        <f t="array" ref="N46">+SUM(IFERROR(VALUE(L46:M46),0))</f>
        <v>1162570.3500000001</v>
      </c>
      <c r="P46" s="9" t="str">
        <f t="shared" si="6"/>
        <v>21</v>
      </c>
      <c r="Q46" s="9">
        <f t="shared" si="7"/>
        <v>1162570.3500000001</v>
      </c>
      <c r="R46" s="9">
        <f t="shared" si="8"/>
        <v>0</v>
      </c>
      <c r="S46" s="9">
        <f t="array" ref="S46">+SUM(IFERROR(VALUE(Q46:R46),0))</f>
        <v>1162570.3500000001</v>
      </c>
    </row>
    <row r="47" spans="1:19" ht="14.4">
      <c r="A47" s="2168" t="s">
        <v>2143</v>
      </c>
      <c r="B47" s="2168" t="s">
        <v>2144</v>
      </c>
      <c r="C47" s="2169">
        <v>452970.06</v>
      </c>
      <c r="D47" s="2169">
        <v>0</v>
      </c>
      <c r="F47" s="9" t="str">
        <f t="shared" si="0"/>
        <v>2160</v>
      </c>
      <c r="G47" s="9">
        <f t="shared" si="1"/>
        <v>452970.06</v>
      </c>
      <c r="H47" s="9">
        <f t="shared" si="2"/>
        <v>0</v>
      </c>
      <c r="I47" s="9">
        <f t="array" ref="I47">+SUM(IFERROR(VALUE(G47:H47),0))</f>
        <v>452970.06</v>
      </c>
      <c r="K47" s="9" t="str">
        <f t="shared" si="3"/>
        <v>216</v>
      </c>
      <c r="L47" s="9">
        <f t="shared" si="4"/>
        <v>452970.06</v>
      </c>
      <c r="M47" s="9">
        <f t="shared" si="5"/>
        <v>0</v>
      </c>
      <c r="N47" s="9">
        <f t="array" ref="N47">+SUM(IFERROR(VALUE(L47:M47),0))</f>
        <v>452970.06</v>
      </c>
      <c r="P47" s="9" t="str">
        <f t="shared" si="6"/>
        <v>21</v>
      </c>
      <c r="Q47" s="9">
        <f t="shared" si="7"/>
        <v>452970.06</v>
      </c>
      <c r="R47" s="9">
        <f t="shared" si="8"/>
        <v>0</v>
      </c>
      <c r="S47" s="9">
        <f t="array" ref="S47">+SUM(IFERROR(VALUE(Q47:R47),0))</f>
        <v>452970.06</v>
      </c>
    </row>
    <row r="48" spans="1:19" ht="14.4">
      <c r="A48" s="2168" t="s">
        <v>2145</v>
      </c>
      <c r="B48" s="2168" t="s">
        <v>2146</v>
      </c>
      <c r="C48" s="2168">
        <v>1485.73</v>
      </c>
      <c r="D48" s="2168">
        <v>0</v>
      </c>
      <c r="F48" s="9" t="str">
        <f t="shared" si="0"/>
        <v>2161</v>
      </c>
      <c r="G48" s="9">
        <f t="shared" si="1"/>
        <v>1485.73</v>
      </c>
      <c r="H48" s="9">
        <f t="shared" si="2"/>
        <v>0</v>
      </c>
      <c r="I48" s="9">
        <f t="array" ref="I48">+SUM(IFERROR(VALUE(G48:H48),0))</f>
        <v>1485.73</v>
      </c>
      <c r="K48" s="9" t="str">
        <f t="shared" si="3"/>
        <v>216</v>
      </c>
      <c r="L48" s="9">
        <f t="shared" si="4"/>
        <v>1485.73</v>
      </c>
      <c r="M48" s="9">
        <f t="shared" si="5"/>
        <v>0</v>
      </c>
      <c r="N48" s="9">
        <f t="array" ref="N48">+SUM(IFERROR(VALUE(L48:M48),0))</f>
        <v>1485.73</v>
      </c>
      <c r="P48" s="9" t="str">
        <f t="shared" si="6"/>
        <v>21</v>
      </c>
      <c r="Q48" s="9">
        <f t="shared" si="7"/>
        <v>1485.73</v>
      </c>
      <c r="R48" s="9">
        <f t="shared" si="8"/>
        <v>0</v>
      </c>
      <c r="S48" s="9">
        <f t="array" ref="S48">+SUM(IFERROR(VALUE(Q48:R48),0))</f>
        <v>1485.73</v>
      </c>
    </row>
    <row r="49" spans="1:19" ht="14.4">
      <c r="A49" s="2168" t="s">
        <v>2147</v>
      </c>
      <c r="B49" s="2168" t="s">
        <v>2148</v>
      </c>
      <c r="C49" s="2168">
        <v>53303.6</v>
      </c>
      <c r="D49" s="2168">
        <v>0</v>
      </c>
      <c r="F49" s="9" t="str">
        <f t="shared" si="0"/>
        <v>2170</v>
      </c>
      <c r="G49" s="9">
        <f t="shared" si="1"/>
        <v>53303.6</v>
      </c>
      <c r="H49" s="9">
        <f t="shared" si="2"/>
        <v>0</v>
      </c>
      <c r="I49" s="9">
        <f t="array" ref="I49">+SUM(IFERROR(VALUE(G49:H49),0))</f>
        <v>53303.6</v>
      </c>
      <c r="K49" s="9" t="str">
        <f t="shared" si="3"/>
        <v>217</v>
      </c>
      <c r="L49" s="9">
        <f t="shared" si="4"/>
        <v>53303.6</v>
      </c>
      <c r="M49" s="9">
        <f t="shared" si="5"/>
        <v>0</v>
      </c>
      <c r="N49" s="9">
        <f t="array" ref="N49">+SUM(IFERROR(VALUE(L49:M49),0))</f>
        <v>53303.6</v>
      </c>
      <c r="P49" s="9" t="str">
        <f t="shared" si="6"/>
        <v>21</v>
      </c>
      <c r="Q49" s="9">
        <f t="shared" si="7"/>
        <v>53303.6</v>
      </c>
      <c r="R49" s="9">
        <f t="shared" si="8"/>
        <v>0</v>
      </c>
      <c r="S49" s="9">
        <f t="array" ref="S49">+SUM(IFERROR(VALUE(Q49:R49),0))</f>
        <v>53303.6</v>
      </c>
    </row>
    <row r="50" spans="1:19" ht="14.4">
      <c r="A50" s="2168" t="s">
        <v>2149</v>
      </c>
      <c r="B50" s="2168" t="s">
        <v>2150</v>
      </c>
      <c r="C50" s="2168">
        <v>85249.7</v>
      </c>
      <c r="D50" s="2168">
        <v>0</v>
      </c>
      <c r="F50" s="9" t="str">
        <f t="shared" si="0"/>
        <v>2180</v>
      </c>
      <c r="G50" s="9">
        <f t="shared" si="1"/>
        <v>85249.7</v>
      </c>
      <c r="H50" s="9">
        <f t="shared" si="2"/>
        <v>0</v>
      </c>
      <c r="I50" s="9">
        <f t="array" ref="I50">+SUM(IFERROR(VALUE(G50:H50),0))</f>
        <v>85249.7</v>
      </c>
      <c r="K50" s="9" t="str">
        <f t="shared" si="3"/>
        <v>218</v>
      </c>
      <c r="L50" s="9">
        <f t="shared" si="4"/>
        <v>85249.7</v>
      </c>
      <c r="M50" s="9">
        <f t="shared" si="5"/>
        <v>0</v>
      </c>
      <c r="N50" s="9">
        <f t="array" ref="N50">+SUM(IFERROR(VALUE(L50:M50),0))</f>
        <v>85249.7</v>
      </c>
      <c r="P50" s="9" t="str">
        <f t="shared" si="6"/>
        <v>21</v>
      </c>
      <c r="Q50" s="9">
        <f t="shared" si="7"/>
        <v>85249.7</v>
      </c>
      <c r="R50" s="9">
        <f t="shared" si="8"/>
        <v>0</v>
      </c>
      <c r="S50" s="9">
        <f t="array" ref="S50">+SUM(IFERROR(VALUE(Q50:R50),0))</f>
        <v>85249.7</v>
      </c>
    </row>
    <row r="51" spans="1:19" ht="14.4">
      <c r="A51" s="2168" t="s">
        <v>2151</v>
      </c>
      <c r="B51" s="2168" t="s">
        <v>2152</v>
      </c>
      <c r="C51" s="2169">
        <v>185744.4</v>
      </c>
      <c r="D51" s="2169">
        <v>0</v>
      </c>
      <c r="F51" s="9" t="str">
        <f t="shared" si="0"/>
        <v>2190</v>
      </c>
      <c r="G51" s="9">
        <f t="shared" si="1"/>
        <v>185744.4</v>
      </c>
      <c r="H51" s="9">
        <f t="shared" si="2"/>
        <v>0</v>
      </c>
      <c r="I51" s="9">
        <f t="array" ref="I51">+SUM(IFERROR(VALUE(G51:H51),0))</f>
        <v>185744.4</v>
      </c>
      <c r="K51" s="9" t="str">
        <f t="shared" si="3"/>
        <v>219</v>
      </c>
      <c r="L51" s="9">
        <f t="shared" si="4"/>
        <v>185744.4</v>
      </c>
      <c r="M51" s="9">
        <f t="shared" si="5"/>
        <v>0</v>
      </c>
      <c r="N51" s="9">
        <f t="array" ref="N51">+SUM(IFERROR(VALUE(L51:M51),0))</f>
        <v>185744.4</v>
      </c>
      <c r="P51" s="9" t="str">
        <f t="shared" si="6"/>
        <v>21</v>
      </c>
      <c r="Q51" s="9">
        <f t="shared" si="7"/>
        <v>185744.4</v>
      </c>
      <c r="R51" s="9">
        <f t="shared" si="8"/>
        <v>0</v>
      </c>
      <c r="S51" s="9">
        <f t="array" ref="S51">+SUM(IFERROR(VALUE(Q51:R51),0))</f>
        <v>185744.4</v>
      </c>
    </row>
    <row r="52" spans="1:19" ht="14.4">
      <c r="A52" s="2168" t="s">
        <v>2153</v>
      </c>
      <c r="B52" s="2168" t="s">
        <v>2154</v>
      </c>
      <c r="C52" s="2169">
        <v>465474.91</v>
      </c>
      <c r="D52" s="2169">
        <v>0</v>
      </c>
      <c r="F52" s="9" t="str">
        <f t="shared" si="0"/>
        <v>2191</v>
      </c>
      <c r="G52" s="9">
        <f t="shared" si="1"/>
        <v>465474.91</v>
      </c>
      <c r="H52" s="9">
        <f t="shared" si="2"/>
        <v>0</v>
      </c>
      <c r="I52" s="9">
        <f t="array" ref="I52">+SUM(IFERROR(VALUE(G52:H52),0))</f>
        <v>465474.91</v>
      </c>
      <c r="K52" s="9" t="str">
        <f t="shared" si="3"/>
        <v>219</v>
      </c>
      <c r="L52" s="9">
        <f t="shared" si="4"/>
        <v>465474.91</v>
      </c>
      <c r="M52" s="9">
        <f t="shared" si="5"/>
        <v>0</v>
      </c>
      <c r="N52" s="9">
        <f t="array" ref="N52">+SUM(IFERROR(VALUE(L52:M52),0))</f>
        <v>465474.91</v>
      </c>
      <c r="P52" s="9" t="str">
        <f t="shared" si="6"/>
        <v>21</v>
      </c>
      <c r="Q52" s="9">
        <f t="shared" si="7"/>
        <v>465474.91</v>
      </c>
      <c r="R52" s="9">
        <f t="shared" si="8"/>
        <v>0</v>
      </c>
      <c r="S52" s="9">
        <f t="array" ref="S52">+SUM(IFERROR(VALUE(Q52:R52),0))</f>
        <v>465474.91</v>
      </c>
    </row>
    <row r="53" spans="1:19" ht="14.4">
      <c r="A53" s="2168" t="s">
        <v>2155</v>
      </c>
      <c r="B53" s="2168" t="s">
        <v>2156</v>
      </c>
      <c r="C53" s="2168">
        <v>4595214.4400000004</v>
      </c>
      <c r="D53" s="2168">
        <v>0</v>
      </c>
      <c r="F53" s="9" t="str">
        <f t="shared" si="0"/>
        <v>2200</v>
      </c>
      <c r="G53" s="9">
        <f t="shared" si="1"/>
        <v>4595214.4400000004</v>
      </c>
      <c r="H53" s="9">
        <f t="shared" si="2"/>
        <v>0</v>
      </c>
      <c r="I53" s="9">
        <f t="array" ref="I53">+SUM(IFERROR(VALUE(G53:H53),0))</f>
        <v>4595214.4400000004</v>
      </c>
      <c r="K53" s="9" t="str">
        <f t="shared" si="3"/>
        <v>220</v>
      </c>
      <c r="L53" s="9">
        <f t="shared" si="4"/>
        <v>4595214.4400000004</v>
      </c>
      <c r="M53" s="9">
        <f t="shared" si="5"/>
        <v>0</v>
      </c>
      <c r="N53" s="9">
        <f t="array" ref="N53">+SUM(IFERROR(VALUE(L53:M53),0))</f>
        <v>4595214.4400000004</v>
      </c>
      <c r="P53" s="9" t="str">
        <f t="shared" si="6"/>
        <v>22</v>
      </c>
      <c r="Q53" s="9">
        <f t="shared" si="7"/>
        <v>4595214.4400000004</v>
      </c>
      <c r="R53" s="9">
        <f t="shared" si="8"/>
        <v>0</v>
      </c>
      <c r="S53" s="9">
        <f t="array" ref="S53">+SUM(IFERROR(VALUE(Q53:R53),0))</f>
        <v>4595214.4400000004</v>
      </c>
    </row>
    <row r="54" spans="1:19" ht="14.4">
      <c r="A54" s="2168" t="s">
        <v>2157</v>
      </c>
      <c r="B54" s="2168" t="s">
        <v>2158</v>
      </c>
      <c r="C54" s="2168">
        <v>3101836.77</v>
      </c>
      <c r="D54" s="2168">
        <v>0</v>
      </c>
      <c r="F54" s="9" t="str">
        <f t="shared" si="0"/>
        <v>2210</v>
      </c>
      <c r="G54" s="9">
        <f t="shared" si="1"/>
        <v>3101836.77</v>
      </c>
      <c r="H54" s="9">
        <f t="shared" si="2"/>
        <v>0</v>
      </c>
      <c r="I54" s="9">
        <f t="array" ref="I54">+SUM(IFERROR(VALUE(G54:H54),0))</f>
        <v>3101836.77</v>
      </c>
      <c r="K54" s="9" t="str">
        <f t="shared" si="3"/>
        <v>221</v>
      </c>
      <c r="L54" s="9">
        <f t="shared" si="4"/>
        <v>3101836.77</v>
      </c>
      <c r="M54" s="9">
        <f t="shared" si="5"/>
        <v>0</v>
      </c>
      <c r="N54" s="9">
        <f t="array" ref="N54">+SUM(IFERROR(VALUE(L54:M54),0))</f>
        <v>3101836.77</v>
      </c>
      <c r="P54" s="9" t="str">
        <f t="shared" si="6"/>
        <v>22</v>
      </c>
      <c r="Q54" s="9">
        <f t="shared" si="7"/>
        <v>3101836.77</v>
      </c>
      <c r="R54" s="9">
        <f t="shared" si="8"/>
        <v>0</v>
      </c>
      <c r="S54" s="9">
        <f t="array" ref="S54">+SUM(IFERROR(VALUE(Q54:R54),0))</f>
        <v>3101836.77</v>
      </c>
    </row>
    <row r="55" spans="1:19" ht="14.4">
      <c r="A55" s="2168" t="s">
        <v>2159</v>
      </c>
      <c r="B55" s="2168" t="s">
        <v>2160</v>
      </c>
      <c r="C55" s="2168">
        <v>15488071.93</v>
      </c>
      <c r="D55" s="2168">
        <v>0</v>
      </c>
      <c r="F55" s="9" t="str">
        <f t="shared" si="0"/>
        <v>2211</v>
      </c>
      <c r="G55" s="9">
        <f t="shared" si="1"/>
        <v>15488071.93</v>
      </c>
      <c r="H55" s="9">
        <f t="shared" si="2"/>
        <v>0</v>
      </c>
      <c r="I55" s="9">
        <f t="array" ref="I55">+SUM(IFERROR(VALUE(G55:H55),0))</f>
        <v>15488071.93</v>
      </c>
      <c r="K55" s="9" t="str">
        <f t="shared" si="3"/>
        <v>221</v>
      </c>
      <c r="L55" s="9">
        <f t="shared" si="4"/>
        <v>15488071.93</v>
      </c>
      <c r="M55" s="9">
        <f t="shared" si="5"/>
        <v>0</v>
      </c>
      <c r="N55" s="9">
        <f t="array" ref="N55">+SUM(IFERROR(VALUE(L55:M55),0))</f>
        <v>15488071.93</v>
      </c>
      <c r="P55" s="9" t="str">
        <f t="shared" si="6"/>
        <v>22</v>
      </c>
      <c r="Q55" s="9">
        <f t="shared" si="7"/>
        <v>15488071.93</v>
      </c>
      <c r="R55" s="9">
        <f t="shared" si="8"/>
        <v>0</v>
      </c>
      <c r="S55" s="9">
        <f t="array" ref="S55">+SUM(IFERROR(VALUE(Q55:R55),0))</f>
        <v>15488071.93</v>
      </c>
    </row>
    <row r="56" spans="1:19" ht="14.4">
      <c r="A56" s="2216">
        <v>2320000</v>
      </c>
      <c r="B56" s="2168" t="s">
        <v>2161</v>
      </c>
      <c r="C56" s="2169" t="s">
        <v>1392</v>
      </c>
      <c r="D56" s="2169">
        <v>0</v>
      </c>
      <c r="F56" s="9" t="str">
        <f t="shared" si="0"/>
        <v>2320</v>
      </c>
      <c r="G56" s="9" t="str">
        <f t="shared" si="1"/>
        <v/>
      </c>
      <c r="H56" s="9">
        <f t="shared" si="2"/>
        <v>0</v>
      </c>
      <c r="I56" s="9">
        <f t="array" ref="I56">+SUM(IFERROR(VALUE(G56:H56),0))</f>
        <v>0</v>
      </c>
      <c r="K56" s="9" t="str">
        <f t="shared" si="3"/>
        <v>232</v>
      </c>
      <c r="L56" s="9" t="str">
        <f t="shared" si="4"/>
        <v/>
      </c>
      <c r="M56" s="9">
        <f t="shared" si="5"/>
        <v>0</v>
      </c>
      <c r="N56" s="9">
        <f t="array" ref="N56">+SUM(IFERROR(VALUE(L56:M56),0))</f>
        <v>0</v>
      </c>
      <c r="P56" s="9" t="str">
        <f t="shared" si="6"/>
        <v>23</v>
      </c>
      <c r="Q56" s="9" t="str">
        <f t="shared" si="7"/>
        <v/>
      </c>
      <c r="R56" s="9">
        <f t="shared" si="8"/>
        <v>0</v>
      </c>
      <c r="S56" s="9">
        <f t="array" ref="S56">+SUM(IFERROR(VALUE(Q56:R56),0))</f>
        <v>0</v>
      </c>
    </row>
    <row r="57" spans="1:19" ht="14.4">
      <c r="A57" s="2168" t="s">
        <v>2162</v>
      </c>
      <c r="B57" s="2168" t="s">
        <v>2163</v>
      </c>
      <c r="C57" s="2168">
        <v>67379342.799999997</v>
      </c>
      <c r="D57" s="2168">
        <v>0</v>
      </c>
      <c r="F57" s="9" t="str">
        <f t="shared" si="0"/>
        <v>2500</v>
      </c>
      <c r="G57" s="9">
        <f t="shared" si="1"/>
        <v>67379342.799999997</v>
      </c>
      <c r="H57" s="9">
        <f t="shared" si="2"/>
        <v>0</v>
      </c>
      <c r="I57" s="9">
        <f t="array" ref="I57">+SUM(IFERROR(VALUE(G57:H57),0))</f>
        <v>67379342.799999997</v>
      </c>
      <c r="K57" s="9" t="str">
        <f t="shared" si="3"/>
        <v>250</v>
      </c>
      <c r="L57" s="9">
        <f t="shared" si="4"/>
        <v>67379342.799999997</v>
      </c>
      <c r="M57" s="9">
        <f t="shared" si="5"/>
        <v>0</v>
      </c>
      <c r="N57" s="9">
        <f t="array" ref="N57">+SUM(IFERROR(VALUE(L57:M57),0))</f>
        <v>67379342.799999997</v>
      </c>
      <c r="P57" s="9" t="str">
        <f t="shared" si="6"/>
        <v>25</v>
      </c>
      <c r="Q57" s="9">
        <f t="shared" si="7"/>
        <v>67379342.799999997</v>
      </c>
      <c r="R57" s="9">
        <f t="shared" si="8"/>
        <v>0</v>
      </c>
      <c r="S57" s="9">
        <f t="array" ref="S57">+SUM(IFERROR(VALUE(Q57:R57),0))</f>
        <v>67379342.799999997</v>
      </c>
    </row>
    <row r="58" spans="1:19" ht="14.4">
      <c r="A58" s="2168" t="s">
        <v>2164</v>
      </c>
      <c r="B58" s="2168" t="s">
        <v>2165</v>
      </c>
      <c r="C58" s="2168">
        <v>65541144.380000003</v>
      </c>
      <c r="D58" s="2168">
        <v>0</v>
      </c>
      <c r="F58" s="9" t="str">
        <f t="shared" si="0"/>
        <v>2500</v>
      </c>
      <c r="G58" s="9">
        <f t="shared" si="1"/>
        <v>65541144.380000003</v>
      </c>
      <c r="H58" s="9">
        <f t="shared" si="2"/>
        <v>0</v>
      </c>
      <c r="I58" s="9">
        <f t="array" ref="I58">+SUM(IFERROR(VALUE(G58:H58),0))</f>
        <v>65541144.380000003</v>
      </c>
      <c r="K58" s="9" t="str">
        <f t="shared" si="3"/>
        <v>250</v>
      </c>
      <c r="L58" s="9">
        <f t="shared" si="4"/>
        <v>65541144.380000003</v>
      </c>
      <c r="M58" s="9">
        <f t="shared" si="5"/>
        <v>0</v>
      </c>
      <c r="N58" s="9">
        <f t="array" ref="N58">+SUM(IFERROR(VALUE(L58:M58),0))</f>
        <v>65541144.380000003</v>
      </c>
      <c r="P58" s="9" t="str">
        <f t="shared" si="6"/>
        <v>25</v>
      </c>
      <c r="Q58" s="9">
        <f t="shared" si="7"/>
        <v>65541144.380000003</v>
      </c>
      <c r="R58" s="9">
        <f t="shared" si="8"/>
        <v>0</v>
      </c>
      <c r="S58" s="9">
        <f t="array" ref="S58">+SUM(IFERROR(VALUE(Q58:R58),0))</f>
        <v>65541144.380000003</v>
      </c>
    </row>
    <row r="59" spans="1:19" ht="14.4">
      <c r="A59" s="2168" t="s">
        <v>2166</v>
      </c>
      <c r="B59" s="2168" t="s">
        <v>2167</v>
      </c>
      <c r="C59" s="2168">
        <v>10865159.369999999</v>
      </c>
      <c r="D59" s="2168">
        <v>0</v>
      </c>
      <c r="F59" s="9" t="str">
        <f t="shared" si="0"/>
        <v>2500</v>
      </c>
      <c r="G59" s="9">
        <f t="shared" si="1"/>
        <v>10865159.369999999</v>
      </c>
      <c r="H59" s="9">
        <f t="shared" si="2"/>
        <v>0</v>
      </c>
      <c r="I59" s="9">
        <f t="array" ref="I59">+SUM(IFERROR(VALUE(G59:H59),0))</f>
        <v>10865159.369999999</v>
      </c>
      <c r="K59" s="9" t="str">
        <f t="shared" si="3"/>
        <v>250</v>
      </c>
      <c r="L59" s="9">
        <f t="shared" si="4"/>
        <v>10865159.369999999</v>
      </c>
      <c r="M59" s="9">
        <f t="shared" si="5"/>
        <v>0</v>
      </c>
      <c r="N59" s="9">
        <f t="array" ref="N59">+SUM(IFERROR(VALUE(L59:M59),0))</f>
        <v>10865159.369999999</v>
      </c>
      <c r="P59" s="9" t="str">
        <f t="shared" si="6"/>
        <v>25</v>
      </c>
      <c r="Q59" s="9">
        <f t="shared" si="7"/>
        <v>10865159.369999999</v>
      </c>
      <c r="R59" s="9">
        <f t="shared" si="8"/>
        <v>0</v>
      </c>
      <c r="S59" s="9">
        <f t="array" ref="S59">+SUM(IFERROR(VALUE(Q59:R59),0))</f>
        <v>10865159.369999999</v>
      </c>
    </row>
    <row r="60" spans="1:19" ht="14.4">
      <c r="A60" s="2168" t="s">
        <v>2168</v>
      </c>
      <c r="B60" s="2168" t="s">
        <v>2169</v>
      </c>
      <c r="C60" s="2168" t="s">
        <v>1392</v>
      </c>
      <c r="D60" s="2168">
        <v>0</v>
      </c>
      <c r="F60" s="9" t="str">
        <f t="shared" si="0"/>
        <v>2500</v>
      </c>
      <c r="G60" s="9" t="str">
        <f t="shared" si="1"/>
        <v/>
      </c>
      <c r="H60" s="9">
        <f t="shared" si="2"/>
        <v>0</v>
      </c>
      <c r="I60" s="9">
        <f t="array" ref="I60">+SUM(IFERROR(VALUE(G60:H60),0))</f>
        <v>0</v>
      </c>
      <c r="K60" s="9" t="str">
        <f t="shared" si="3"/>
        <v>250</v>
      </c>
      <c r="L60" s="9" t="str">
        <f t="shared" si="4"/>
        <v/>
      </c>
      <c r="M60" s="9">
        <f t="shared" si="5"/>
        <v>0</v>
      </c>
      <c r="N60" s="9">
        <f t="array" ref="N60">+SUM(IFERROR(VALUE(L60:M60),0))</f>
        <v>0</v>
      </c>
      <c r="P60" s="9" t="str">
        <f t="shared" si="6"/>
        <v>25</v>
      </c>
      <c r="Q60" s="9" t="str">
        <f t="shared" si="7"/>
        <v/>
      </c>
      <c r="R60" s="9">
        <f t="shared" si="8"/>
        <v>0</v>
      </c>
      <c r="S60" s="9">
        <f t="array" ref="S60">+SUM(IFERROR(VALUE(Q60:R60),0))</f>
        <v>0</v>
      </c>
    </row>
    <row r="61" spans="1:19" ht="14.4">
      <c r="A61" s="2168" t="s">
        <v>2170</v>
      </c>
      <c r="B61" s="2168" t="s">
        <v>2171</v>
      </c>
      <c r="C61" s="2168">
        <v>59852.72</v>
      </c>
      <c r="D61" s="2168">
        <v>0</v>
      </c>
      <c r="F61" s="9" t="str">
        <f t="shared" si="0"/>
        <v>2500</v>
      </c>
      <c r="G61" s="9">
        <f t="shared" si="1"/>
        <v>59852.72</v>
      </c>
      <c r="H61" s="9">
        <f t="shared" si="2"/>
        <v>0</v>
      </c>
      <c r="I61" s="9">
        <f t="array" ref="I61">+SUM(IFERROR(VALUE(G61:H61),0))</f>
        <v>59852.72</v>
      </c>
      <c r="K61" s="9" t="str">
        <f t="shared" si="3"/>
        <v>250</v>
      </c>
      <c r="L61" s="9">
        <f t="shared" si="4"/>
        <v>59852.72</v>
      </c>
      <c r="M61" s="9">
        <f t="shared" si="5"/>
        <v>0</v>
      </c>
      <c r="N61" s="9">
        <f t="array" ref="N61">+SUM(IFERROR(VALUE(L61:M61),0))</f>
        <v>59852.72</v>
      </c>
      <c r="P61" s="9" t="str">
        <f t="shared" si="6"/>
        <v>25</v>
      </c>
      <c r="Q61" s="9">
        <f t="shared" si="7"/>
        <v>59852.72</v>
      </c>
      <c r="R61" s="9">
        <f t="shared" si="8"/>
        <v>0</v>
      </c>
      <c r="S61" s="9">
        <f t="array" ref="S61">+SUM(IFERROR(VALUE(Q61:R61),0))</f>
        <v>59852.72</v>
      </c>
    </row>
    <row r="62" spans="1:19" ht="14.4">
      <c r="A62" s="2168" t="s">
        <v>2172</v>
      </c>
      <c r="B62" s="2168" t="s">
        <v>2173</v>
      </c>
      <c r="C62" s="2168">
        <v>5952691.6699999999</v>
      </c>
      <c r="D62" s="2168">
        <v>0</v>
      </c>
      <c r="F62" s="9" t="str">
        <f t="shared" si="0"/>
        <v>2501</v>
      </c>
      <c r="G62" s="9">
        <f t="shared" si="1"/>
        <v>5952691.6699999999</v>
      </c>
      <c r="H62" s="9">
        <f t="shared" si="2"/>
        <v>0</v>
      </c>
      <c r="I62" s="9">
        <f t="array" ref="I62">+SUM(IFERROR(VALUE(G62:H62),0))</f>
        <v>5952691.6699999999</v>
      </c>
      <c r="K62" s="9" t="str">
        <f t="shared" si="3"/>
        <v>250</v>
      </c>
      <c r="L62" s="9">
        <f t="shared" si="4"/>
        <v>5952691.6699999999</v>
      </c>
      <c r="M62" s="9">
        <f t="shared" si="5"/>
        <v>0</v>
      </c>
      <c r="N62" s="9">
        <f t="array" ref="N62">+SUM(IFERROR(VALUE(L62:M62),0))</f>
        <v>5952691.6699999999</v>
      </c>
      <c r="P62" s="9" t="str">
        <f t="shared" si="6"/>
        <v>25</v>
      </c>
      <c r="Q62" s="9">
        <f t="shared" si="7"/>
        <v>5952691.6699999999</v>
      </c>
      <c r="R62" s="9">
        <f t="shared" si="8"/>
        <v>0</v>
      </c>
      <c r="S62" s="9">
        <f t="array" ref="S62">+SUM(IFERROR(VALUE(Q62:R62),0))</f>
        <v>5952691.6699999999</v>
      </c>
    </row>
    <row r="63" spans="1:19" ht="14.4">
      <c r="A63" s="2168" t="s">
        <v>2174</v>
      </c>
      <c r="B63" s="2168" t="s">
        <v>2175</v>
      </c>
      <c r="C63" s="2168" t="s">
        <v>1392</v>
      </c>
      <c r="D63" s="2168">
        <v>0</v>
      </c>
      <c r="F63" s="9" t="str">
        <f t="shared" si="0"/>
        <v>2501</v>
      </c>
      <c r="G63" s="9" t="str">
        <f t="shared" si="1"/>
        <v/>
      </c>
      <c r="H63" s="9">
        <f t="shared" si="2"/>
        <v>0</v>
      </c>
      <c r="I63" s="9">
        <f t="array" ref="I63">+SUM(IFERROR(VALUE(G63:H63),0))</f>
        <v>0</v>
      </c>
      <c r="K63" s="9" t="str">
        <f t="shared" si="3"/>
        <v>250</v>
      </c>
      <c r="L63" s="9" t="str">
        <f t="shared" si="4"/>
        <v/>
      </c>
      <c r="M63" s="9">
        <f t="shared" si="5"/>
        <v>0</v>
      </c>
      <c r="N63" s="9">
        <f t="array" ref="N63">+SUM(IFERROR(VALUE(L63:M63),0))</f>
        <v>0</v>
      </c>
      <c r="P63" s="9" t="str">
        <f t="shared" si="6"/>
        <v>25</v>
      </c>
      <c r="Q63" s="9" t="str">
        <f t="shared" si="7"/>
        <v/>
      </c>
      <c r="R63" s="9">
        <f t="shared" si="8"/>
        <v>0</v>
      </c>
      <c r="S63" s="9">
        <f t="array" ref="S63">+SUM(IFERROR(VALUE(Q63:R63),0))</f>
        <v>0</v>
      </c>
    </row>
    <row r="64" spans="1:19" ht="14.4">
      <c r="A64" s="2168" t="s">
        <v>2176</v>
      </c>
      <c r="B64" s="2168" t="s">
        <v>2177</v>
      </c>
      <c r="C64" s="2168" t="s">
        <v>1392</v>
      </c>
      <c r="D64" s="2168">
        <v>0</v>
      </c>
      <c r="F64" s="9" t="str">
        <f t="shared" si="0"/>
        <v>2501</v>
      </c>
      <c r="G64" s="9" t="str">
        <f t="shared" si="1"/>
        <v/>
      </c>
      <c r="H64" s="9">
        <f t="shared" si="2"/>
        <v>0</v>
      </c>
      <c r="I64" s="9">
        <f t="array" ref="I64">+SUM(IFERROR(VALUE(G64:H64),0))</f>
        <v>0</v>
      </c>
      <c r="K64" s="9" t="str">
        <f t="shared" si="3"/>
        <v>250</v>
      </c>
      <c r="L64" s="9" t="str">
        <f t="shared" si="4"/>
        <v/>
      </c>
      <c r="M64" s="9">
        <f t="shared" si="5"/>
        <v>0</v>
      </c>
      <c r="N64" s="9">
        <f t="array" ref="N64">+SUM(IFERROR(VALUE(L64:M64),0))</f>
        <v>0</v>
      </c>
      <c r="P64" s="9" t="str">
        <f t="shared" si="6"/>
        <v>25</v>
      </c>
      <c r="Q64" s="9" t="str">
        <f t="shared" si="7"/>
        <v/>
      </c>
      <c r="R64" s="9">
        <f t="shared" si="8"/>
        <v>0</v>
      </c>
      <c r="S64" s="9">
        <f t="array" ref="S64">+SUM(IFERROR(VALUE(Q64:R64),0))</f>
        <v>0</v>
      </c>
    </row>
    <row r="65" spans="1:19" ht="14.4">
      <c r="A65" s="2168" t="s">
        <v>2178</v>
      </c>
      <c r="B65" s="2168" t="s">
        <v>2179</v>
      </c>
      <c r="C65" s="2168">
        <v>1943000</v>
      </c>
      <c r="D65" s="2168">
        <v>0</v>
      </c>
      <c r="F65" s="9" t="str">
        <f t="shared" si="0"/>
        <v>2501</v>
      </c>
      <c r="G65" s="9">
        <f t="shared" si="1"/>
        <v>1943000</v>
      </c>
      <c r="H65" s="9">
        <f t="shared" si="2"/>
        <v>0</v>
      </c>
      <c r="I65" s="9">
        <f t="array" ref="I65">+SUM(IFERROR(VALUE(G65:H65),0))</f>
        <v>1943000</v>
      </c>
      <c r="K65" s="9" t="str">
        <f t="shared" si="3"/>
        <v>250</v>
      </c>
      <c r="L65" s="9">
        <f t="shared" si="4"/>
        <v>1943000</v>
      </c>
      <c r="M65" s="9">
        <f t="shared" si="5"/>
        <v>0</v>
      </c>
      <c r="N65" s="9">
        <f t="array" ref="N65">+SUM(IFERROR(VALUE(L65:M65),0))</f>
        <v>1943000</v>
      </c>
      <c r="P65" s="9" t="str">
        <f t="shared" si="6"/>
        <v>25</v>
      </c>
      <c r="Q65" s="9">
        <f t="shared" si="7"/>
        <v>1943000</v>
      </c>
      <c r="R65" s="9">
        <f t="shared" si="8"/>
        <v>0</v>
      </c>
      <c r="S65" s="9">
        <f t="array" ref="S65">+SUM(IFERROR(VALUE(Q65:R65),0))</f>
        <v>1943000</v>
      </c>
    </row>
    <row r="66" spans="1:19" ht="14.4">
      <c r="A66" s="2168" t="s">
        <v>2180</v>
      </c>
      <c r="B66" s="2168" t="s">
        <v>2181</v>
      </c>
      <c r="C66" s="2168">
        <v>3914693.1</v>
      </c>
      <c r="D66" s="2168">
        <v>0</v>
      </c>
      <c r="F66" s="9" t="str">
        <f t="shared" si="0"/>
        <v>2501</v>
      </c>
      <c r="G66" s="9">
        <f t="shared" si="1"/>
        <v>3914693.1</v>
      </c>
      <c r="H66" s="9">
        <f t="shared" si="2"/>
        <v>0</v>
      </c>
      <c r="I66" s="9">
        <f t="array" ref="I66">+SUM(IFERROR(VALUE(G66:H66),0))</f>
        <v>3914693.1</v>
      </c>
      <c r="K66" s="9" t="str">
        <f t="shared" si="3"/>
        <v>250</v>
      </c>
      <c r="L66" s="9">
        <f t="shared" si="4"/>
        <v>3914693.1</v>
      </c>
      <c r="M66" s="9">
        <f t="shared" si="5"/>
        <v>0</v>
      </c>
      <c r="N66" s="9">
        <f t="array" ref="N66">+SUM(IFERROR(VALUE(L66:M66),0))</f>
        <v>3914693.1</v>
      </c>
      <c r="P66" s="9" t="str">
        <f t="shared" si="6"/>
        <v>25</v>
      </c>
      <c r="Q66" s="9">
        <f t="shared" si="7"/>
        <v>3914693.1</v>
      </c>
      <c r="R66" s="9">
        <f t="shared" si="8"/>
        <v>0</v>
      </c>
      <c r="S66" s="9">
        <f t="array" ref="S66">+SUM(IFERROR(VALUE(Q66:R66),0))</f>
        <v>3914693.1</v>
      </c>
    </row>
    <row r="67" spans="1:19" ht="14.4">
      <c r="A67" s="2168" t="s">
        <v>2182</v>
      </c>
      <c r="B67" s="2168" t="s">
        <v>2183</v>
      </c>
      <c r="C67" s="2168">
        <v>2119888</v>
      </c>
      <c r="D67" s="2168">
        <v>0</v>
      </c>
      <c r="F67" s="9" t="str">
        <f t="shared" si="0"/>
        <v>2501</v>
      </c>
      <c r="G67" s="9">
        <f t="shared" si="1"/>
        <v>2119888</v>
      </c>
      <c r="H67" s="9">
        <f t="shared" si="2"/>
        <v>0</v>
      </c>
      <c r="I67" s="9">
        <f t="array" ref="I67">+SUM(IFERROR(VALUE(G67:H67),0))</f>
        <v>2119888</v>
      </c>
      <c r="K67" s="9" t="str">
        <f t="shared" si="3"/>
        <v>250</v>
      </c>
      <c r="L67" s="9">
        <f t="shared" si="4"/>
        <v>2119888</v>
      </c>
      <c r="M67" s="9">
        <f t="shared" si="5"/>
        <v>0</v>
      </c>
      <c r="N67" s="9">
        <f t="array" ref="N67">+SUM(IFERROR(VALUE(L67:M67),0))</f>
        <v>2119888</v>
      </c>
      <c r="P67" s="9" t="str">
        <f t="shared" si="6"/>
        <v>25</v>
      </c>
      <c r="Q67" s="9">
        <f t="shared" si="7"/>
        <v>2119888</v>
      </c>
      <c r="R67" s="9">
        <f t="shared" si="8"/>
        <v>0</v>
      </c>
      <c r="S67" s="9">
        <f t="array" ref="S67">+SUM(IFERROR(VALUE(Q67:R67),0))</f>
        <v>2119888</v>
      </c>
    </row>
    <row r="68" spans="1:19" ht="14.4">
      <c r="A68" s="2168" t="s">
        <v>2184</v>
      </c>
      <c r="B68" s="2168" t="s">
        <v>2185</v>
      </c>
      <c r="C68" s="2168">
        <v>4091054.94</v>
      </c>
      <c r="D68" s="2168">
        <v>0</v>
      </c>
      <c r="F68" s="9" t="str">
        <f t="shared" si="0"/>
        <v>2501</v>
      </c>
      <c r="G68" s="9">
        <f t="shared" si="1"/>
        <v>4091054.94</v>
      </c>
      <c r="H68" s="9">
        <f t="shared" si="2"/>
        <v>0</v>
      </c>
      <c r="I68" s="9">
        <f t="array" ref="I68">+SUM(IFERROR(VALUE(G68:H68),0))</f>
        <v>4091054.94</v>
      </c>
      <c r="K68" s="9" t="str">
        <f t="shared" si="3"/>
        <v>250</v>
      </c>
      <c r="L68" s="9">
        <f t="shared" si="4"/>
        <v>4091054.94</v>
      </c>
      <c r="M68" s="9">
        <f t="shared" si="5"/>
        <v>0</v>
      </c>
      <c r="N68" s="9">
        <f t="array" ref="N68">+SUM(IFERROR(VALUE(L68:M68),0))</f>
        <v>4091054.94</v>
      </c>
      <c r="P68" s="9" t="str">
        <f t="shared" si="6"/>
        <v>25</v>
      </c>
      <c r="Q68" s="9">
        <f t="shared" si="7"/>
        <v>4091054.94</v>
      </c>
      <c r="R68" s="9">
        <f t="shared" si="8"/>
        <v>0</v>
      </c>
      <c r="S68" s="9">
        <f t="array" ref="S68">+SUM(IFERROR(VALUE(Q68:R68),0))</f>
        <v>4091054.94</v>
      </c>
    </row>
    <row r="69" spans="1:19" ht="14.4">
      <c r="A69" s="2168" t="s">
        <v>2186</v>
      </c>
      <c r="B69" s="2168" t="s">
        <v>2187</v>
      </c>
      <c r="C69" s="2168">
        <v>1200000</v>
      </c>
      <c r="D69" s="2168">
        <v>0</v>
      </c>
      <c r="F69" s="9" t="str">
        <f t="shared" si="0"/>
        <v>2501</v>
      </c>
      <c r="G69" s="9">
        <f t="shared" si="1"/>
        <v>1200000</v>
      </c>
      <c r="H69" s="9">
        <f t="shared" si="2"/>
        <v>0</v>
      </c>
      <c r="I69" s="9">
        <f t="array" ref="I69">+SUM(IFERROR(VALUE(G69:H69),0))</f>
        <v>1200000</v>
      </c>
      <c r="K69" s="9" t="str">
        <f t="shared" si="3"/>
        <v>250</v>
      </c>
      <c r="L69" s="9">
        <f t="shared" si="4"/>
        <v>1200000</v>
      </c>
      <c r="M69" s="9">
        <f t="shared" si="5"/>
        <v>0</v>
      </c>
      <c r="N69" s="9">
        <f t="array" ref="N69">+SUM(IFERROR(VALUE(L69:M69),0))</f>
        <v>1200000</v>
      </c>
      <c r="P69" s="9" t="str">
        <f t="shared" si="6"/>
        <v>25</v>
      </c>
      <c r="Q69" s="9">
        <f t="shared" si="7"/>
        <v>1200000</v>
      </c>
      <c r="R69" s="9">
        <f t="shared" si="8"/>
        <v>0</v>
      </c>
      <c r="S69" s="9">
        <f t="array" ref="S69">+SUM(IFERROR(VALUE(Q69:R69),0))</f>
        <v>1200000</v>
      </c>
    </row>
    <row r="70" spans="1:19" ht="14.4">
      <c r="A70" s="2168" t="s">
        <v>2188</v>
      </c>
      <c r="B70" s="2168" t="s">
        <v>2189</v>
      </c>
      <c r="C70" s="2168">
        <v>6095.42</v>
      </c>
      <c r="D70" s="2168">
        <v>0</v>
      </c>
      <c r="F70" s="9" t="str">
        <f t="shared" ref="F70:F133" si="9">+LEFT(A70,4)</f>
        <v>2540</v>
      </c>
      <c r="G70" s="9">
        <f t="shared" ref="G70:G133" si="10">+C70</f>
        <v>6095.42</v>
      </c>
      <c r="H70" s="9">
        <f t="shared" ref="H70:H133" si="11">-D70</f>
        <v>0</v>
      </c>
      <c r="I70" s="9">
        <f t="array" ref="I70">+SUM(IFERROR(VALUE(G70:H70),0))</f>
        <v>6095.42</v>
      </c>
      <c r="K70" s="9" t="str">
        <f t="shared" ref="K70:K133" si="12">+LEFT(A70,3)</f>
        <v>254</v>
      </c>
      <c r="L70" s="9">
        <f t="shared" ref="L70:L133" si="13">+C70</f>
        <v>6095.42</v>
      </c>
      <c r="M70" s="9">
        <f t="shared" ref="M70:M133" si="14">-D70</f>
        <v>0</v>
      </c>
      <c r="N70" s="9">
        <f t="array" ref="N70">+SUM(IFERROR(VALUE(L70:M70),0))</f>
        <v>6095.42</v>
      </c>
      <c r="P70" s="9" t="str">
        <f t="shared" ref="P70:P133" si="15">+LEFT(A70,2)</f>
        <v>25</v>
      </c>
      <c r="Q70" s="9">
        <f t="shared" ref="Q70:Q133" si="16">+C70</f>
        <v>6095.42</v>
      </c>
      <c r="R70" s="9">
        <f t="shared" ref="R70:R133" si="17">-D70</f>
        <v>0</v>
      </c>
      <c r="S70" s="9">
        <f t="array" ref="S70">+SUM(IFERROR(VALUE(Q70:R70),0))</f>
        <v>6095.42</v>
      </c>
    </row>
    <row r="71" spans="1:19" ht="14.4">
      <c r="A71" s="2168" t="s">
        <v>2190</v>
      </c>
      <c r="B71" s="2168" t="s">
        <v>2191</v>
      </c>
      <c r="C71" s="2168">
        <v>1475.48</v>
      </c>
      <c r="D71" s="2168">
        <v>0</v>
      </c>
      <c r="F71" s="9" t="str">
        <f t="shared" si="9"/>
        <v>2600</v>
      </c>
      <c r="G71" s="9">
        <f t="shared" si="10"/>
        <v>1475.48</v>
      </c>
      <c r="H71" s="9">
        <f t="shared" si="11"/>
        <v>0</v>
      </c>
      <c r="I71" s="9">
        <f t="array" ref="I71">+SUM(IFERROR(VALUE(G71:H71),0))</f>
        <v>1475.48</v>
      </c>
      <c r="K71" s="9" t="str">
        <f t="shared" si="12"/>
        <v>260</v>
      </c>
      <c r="L71" s="9">
        <f t="shared" si="13"/>
        <v>1475.48</v>
      </c>
      <c r="M71" s="9">
        <f t="shared" si="14"/>
        <v>0</v>
      </c>
      <c r="N71" s="9">
        <f t="array" ref="N71">+SUM(IFERROR(VALUE(L71:M71),0))</f>
        <v>1475.48</v>
      </c>
      <c r="P71" s="9" t="str">
        <f t="shared" si="15"/>
        <v>26</v>
      </c>
      <c r="Q71" s="9">
        <f t="shared" si="16"/>
        <v>1475.48</v>
      </c>
      <c r="R71" s="9">
        <f t="shared" si="17"/>
        <v>0</v>
      </c>
      <c r="S71" s="9">
        <f t="array" ref="S71">+SUM(IFERROR(VALUE(Q71:R71),0))</f>
        <v>1475.48</v>
      </c>
    </row>
    <row r="72" spans="1:19" ht="14.4">
      <c r="A72" s="2168" t="s">
        <v>2192</v>
      </c>
      <c r="B72" s="2168" t="s">
        <v>2193</v>
      </c>
      <c r="C72" s="2168">
        <v>0</v>
      </c>
      <c r="D72" s="2168">
        <v>180</v>
      </c>
      <c r="F72" s="9" t="str">
        <f t="shared" si="9"/>
        <v>2600</v>
      </c>
      <c r="G72" s="9">
        <f t="shared" si="10"/>
        <v>0</v>
      </c>
      <c r="H72" s="9">
        <f t="shared" si="11"/>
        <v>-180</v>
      </c>
      <c r="I72" s="9">
        <f t="array" ref="I72">+SUM(IFERROR(VALUE(G72:H72),0))</f>
        <v>-180</v>
      </c>
      <c r="K72" s="9" t="str">
        <f t="shared" si="12"/>
        <v>260</v>
      </c>
      <c r="L72" s="9">
        <f t="shared" si="13"/>
        <v>0</v>
      </c>
      <c r="M72" s="9">
        <f t="shared" si="14"/>
        <v>-180</v>
      </c>
      <c r="N72" s="9">
        <f t="array" ref="N72">+SUM(IFERROR(VALUE(L72:M72),0))</f>
        <v>-180</v>
      </c>
      <c r="P72" s="9" t="str">
        <f t="shared" si="15"/>
        <v>26</v>
      </c>
      <c r="Q72" s="9">
        <f t="shared" si="16"/>
        <v>0</v>
      </c>
      <c r="R72" s="9">
        <f t="shared" si="17"/>
        <v>-180</v>
      </c>
      <c r="S72" s="9">
        <f t="array" ref="S72">+SUM(IFERROR(VALUE(Q72:R72),0))</f>
        <v>-180</v>
      </c>
    </row>
    <row r="73" spans="1:19" ht="14.4">
      <c r="A73" s="2168" t="s">
        <v>2194</v>
      </c>
      <c r="B73" s="2168" t="s">
        <v>2195</v>
      </c>
      <c r="C73" s="2168">
        <v>0</v>
      </c>
      <c r="D73" s="2168">
        <v>180</v>
      </c>
      <c r="F73" s="9" t="str">
        <f t="shared" si="9"/>
        <v>2600</v>
      </c>
      <c r="G73" s="9">
        <f t="shared" si="10"/>
        <v>0</v>
      </c>
      <c r="H73" s="9">
        <f t="shared" si="11"/>
        <v>-180</v>
      </c>
      <c r="I73" s="9">
        <f t="array" ref="I73">+SUM(IFERROR(VALUE(G73:H73),0))</f>
        <v>-180</v>
      </c>
      <c r="K73" s="9" t="str">
        <f t="shared" si="12"/>
        <v>260</v>
      </c>
      <c r="L73" s="9">
        <f t="shared" si="13"/>
        <v>0</v>
      </c>
      <c r="M73" s="9">
        <f t="shared" si="14"/>
        <v>-180</v>
      </c>
      <c r="N73" s="9">
        <f t="array" ref="N73">+SUM(IFERROR(VALUE(L73:M73),0))</f>
        <v>-180</v>
      </c>
      <c r="P73" s="9" t="str">
        <f t="shared" si="15"/>
        <v>26</v>
      </c>
      <c r="Q73" s="9">
        <f t="shared" si="16"/>
        <v>0</v>
      </c>
      <c r="R73" s="9">
        <f t="shared" si="17"/>
        <v>-180</v>
      </c>
      <c r="S73" s="9">
        <f t="array" ref="S73">+SUM(IFERROR(VALUE(Q73:R73),0))</f>
        <v>-180</v>
      </c>
    </row>
    <row r="74" spans="1:19" ht="14.4">
      <c r="A74" s="2168" t="s">
        <v>2196</v>
      </c>
      <c r="B74" s="2168" t="s">
        <v>2197</v>
      </c>
      <c r="C74" s="2168" t="s">
        <v>1392</v>
      </c>
      <c r="D74" s="2168">
        <v>0</v>
      </c>
      <c r="F74" s="9" t="str">
        <f t="shared" si="9"/>
        <v>2600</v>
      </c>
      <c r="G74" s="9" t="str">
        <f t="shared" si="10"/>
        <v/>
      </c>
      <c r="H74" s="9">
        <f t="shared" si="11"/>
        <v>0</v>
      </c>
      <c r="I74" s="9">
        <f t="array" ref="I74">+SUM(IFERROR(VALUE(G74:H74),0))</f>
        <v>0</v>
      </c>
      <c r="K74" s="9" t="str">
        <f t="shared" si="12"/>
        <v>260</v>
      </c>
      <c r="L74" s="9" t="str">
        <f t="shared" si="13"/>
        <v/>
      </c>
      <c r="M74" s="9">
        <f t="shared" si="14"/>
        <v>0</v>
      </c>
      <c r="N74" s="9">
        <f t="array" ref="N74">+SUM(IFERROR(VALUE(L74:M74),0))</f>
        <v>0</v>
      </c>
      <c r="P74" s="9" t="str">
        <f t="shared" si="15"/>
        <v>26</v>
      </c>
      <c r="Q74" s="9" t="str">
        <f t="shared" si="16"/>
        <v/>
      </c>
      <c r="R74" s="9">
        <f t="shared" si="17"/>
        <v>0</v>
      </c>
      <c r="S74" s="9">
        <f t="array" ref="S74">+SUM(IFERROR(VALUE(Q74:R74),0))</f>
        <v>0</v>
      </c>
    </row>
    <row r="75" spans="1:19" ht="14.4">
      <c r="A75" s="2168" t="s">
        <v>2198</v>
      </c>
      <c r="B75" s="2168" t="s">
        <v>2199</v>
      </c>
      <c r="C75" s="2168">
        <v>142884</v>
      </c>
      <c r="D75" s="2168">
        <v>0</v>
      </c>
      <c r="F75" s="9" t="str">
        <f t="shared" si="9"/>
        <v>2600</v>
      </c>
      <c r="G75" s="9">
        <f t="shared" si="10"/>
        <v>142884</v>
      </c>
      <c r="H75" s="9">
        <f t="shared" si="11"/>
        <v>0</v>
      </c>
      <c r="I75" s="9">
        <f t="array" ref="I75">+SUM(IFERROR(VALUE(G75:H75),0))</f>
        <v>142884</v>
      </c>
      <c r="K75" s="9" t="str">
        <f t="shared" si="12"/>
        <v>260</v>
      </c>
      <c r="L75" s="9">
        <f t="shared" si="13"/>
        <v>142884</v>
      </c>
      <c r="M75" s="9">
        <f t="shared" si="14"/>
        <v>0</v>
      </c>
      <c r="N75" s="9">
        <f t="array" ref="N75">+SUM(IFERROR(VALUE(L75:M75),0))</f>
        <v>142884</v>
      </c>
      <c r="P75" s="9" t="str">
        <f t="shared" si="15"/>
        <v>26</v>
      </c>
      <c r="Q75" s="9">
        <f t="shared" si="16"/>
        <v>142884</v>
      </c>
      <c r="R75" s="9">
        <f t="shared" si="17"/>
        <v>0</v>
      </c>
      <c r="S75" s="9">
        <f t="array" ref="S75">+SUM(IFERROR(VALUE(Q75:R75),0))</f>
        <v>142884</v>
      </c>
    </row>
    <row r="76" spans="1:19" ht="14.4">
      <c r="A76" s="2168" t="s">
        <v>2200</v>
      </c>
      <c r="B76" s="2168" t="s">
        <v>2201</v>
      </c>
      <c r="C76" s="2168">
        <v>552.29999999999995</v>
      </c>
      <c r="D76" s="2168">
        <v>0</v>
      </c>
      <c r="F76" s="9" t="str">
        <f t="shared" si="9"/>
        <v>2600</v>
      </c>
      <c r="G76" s="9">
        <f t="shared" si="10"/>
        <v>552.29999999999995</v>
      </c>
      <c r="H76" s="9">
        <f t="shared" si="11"/>
        <v>0</v>
      </c>
      <c r="I76" s="9">
        <f t="array" ref="I76">+SUM(IFERROR(VALUE(G76:H76),0))</f>
        <v>552.29999999999995</v>
      </c>
      <c r="K76" s="9" t="str">
        <f t="shared" si="12"/>
        <v>260</v>
      </c>
      <c r="L76" s="9">
        <f t="shared" si="13"/>
        <v>552.29999999999995</v>
      </c>
      <c r="M76" s="9">
        <f t="shared" si="14"/>
        <v>0</v>
      </c>
      <c r="N76" s="9">
        <f t="array" ref="N76">+SUM(IFERROR(VALUE(L76:M76),0))</f>
        <v>552.29999999999995</v>
      </c>
      <c r="P76" s="9" t="str">
        <f t="shared" si="15"/>
        <v>26</v>
      </c>
      <c r="Q76" s="9">
        <f t="shared" si="16"/>
        <v>552.29999999999995</v>
      </c>
      <c r="R76" s="9">
        <f t="shared" si="17"/>
        <v>0</v>
      </c>
      <c r="S76" s="9">
        <f t="array" ref="S76">+SUM(IFERROR(VALUE(Q76:R76),0))</f>
        <v>552.29999999999995</v>
      </c>
    </row>
    <row r="77" spans="1:19" ht="14.4">
      <c r="A77" s="2168" t="s">
        <v>2202</v>
      </c>
      <c r="B77" s="2168" t="s">
        <v>2203</v>
      </c>
      <c r="C77" s="2168">
        <v>58300</v>
      </c>
      <c r="D77" s="2168">
        <v>0</v>
      </c>
      <c r="F77" s="9" t="str">
        <f t="shared" si="9"/>
        <v>2600</v>
      </c>
      <c r="G77" s="9">
        <f t="shared" si="10"/>
        <v>58300</v>
      </c>
      <c r="H77" s="9">
        <f t="shared" si="11"/>
        <v>0</v>
      </c>
      <c r="I77" s="9">
        <f t="array" ref="I77">+SUM(IFERROR(VALUE(G77:H77),0))</f>
        <v>58300</v>
      </c>
      <c r="K77" s="9" t="str">
        <f t="shared" si="12"/>
        <v>260</v>
      </c>
      <c r="L77" s="9">
        <f t="shared" si="13"/>
        <v>58300</v>
      </c>
      <c r="M77" s="9">
        <f t="shared" si="14"/>
        <v>0</v>
      </c>
      <c r="N77" s="9">
        <f t="array" ref="N77">+SUM(IFERROR(VALUE(L77:M77),0))</f>
        <v>58300</v>
      </c>
      <c r="P77" s="9" t="str">
        <f t="shared" si="15"/>
        <v>26</v>
      </c>
      <c r="Q77" s="9">
        <f t="shared" si="16"/>
        <v>58300</v>
      </c>
      <c r="R77" s="9">
        <f t="shared" si="17"/>
        <v>0</v>
      </c>
      <c r="S77" s="9">
        <f t="array" ref="S77">+SUM(IFERROR(VALUE(Q77:R77),0))</f>
        <v>58300</v>
      </c>
    </row>
    <row r="78" spans="1:19" ht="14.4">
      <c r="A78" s="2168" t="s">
        <v>2204</v>
      </c>
      <c r="B78" s="2168" t="s">
        <v>2205</v>
      </c>
      <c r="C78" s="2168">
        <v>72.12</v>
      </c>
      <c r="D78" s="2168">
        <v>0</v>
      </c>
      <c r="F78" s="9" t="str">
        <f t="shared" si="9"/>
        <v>2650</v>
      </c>
      <c r="G78" s="9">
        <f t="shared" si="10"/>
        <v>72.12</v>
      </c>
      <c r="H78" s="9">
        <f t="shared" si="11"/>
        <v>0</v>
      </c>
      <c r="I78" s="9">
        <f t="array" ref="I78">+SUM(IFERROR(VALUE(G78:H78),0))</f>
        <v>72.12</v>
      </c>
      <c r="K78" s="9" t="str">
        <f t="shared" si="12"/>
        <v>265</v>
      </c>
      <c r="L78" s="9">
        <f t="shared" si="13"/>
        <v>72.12</v>
      </c>
      <c r="M78" s="9">
        <f t="shared" si="14"/>
        <v>0</v>
      </c>
      <c r="N78" s="9">
        <f t="array" ref="N78">+SUM(IFERROR(VALUE(L78:M78),0))</f>
        <v>72.12</v>
      </c>
      <c r="P78" s="9" t="str">
        <f t="shared" si="15"/>
        <v>26</v>
      </c>
      <c r="Q78" s="9">
        <f t="shared" si="16"/>
        <v>72.12</v>
      </c>
      <c r="R78" s="9">
        <f t="shared" si="17"/>
        <v>0</v>
      </c>
      <c r="S78" s="9">
        <f t="array" ref="S78">+SUM(IFERROR(VALUE(Q78:R78),0))</f>
        <v>72.12</v>
      </c>
    </row>
    <row r="79" spans="1:19" ht="14.4">
      <c r="A79" t="s">
        <v>2206</v>
      </c>
      <c r="B79" t="s">
        <v>2207</v>
      </c>
      <c r="C79" s="27">
        <v>72.12</v>
      </c>
      <c r="D79" s="28">
        <v>0</v>
      </c>
      <c r="F79" s="9" t="str">
        <f t="shared" si="9"/>
        <v>2650</v>
      </c>
      <c r="G79" s="9">
        <f t="shared" si="10"/>
        <v>72.12</v>
      </c>
      <c r="H79" s="9">
        <f t="shared" si="11"/>
        <v>0</v>
      </c>
      <c r="I79" s="9">
        <f t="array" ref="I79">+SUM(IFERROR(VALUE(G79:H79),0))</f>
        <v>72.12</v>
      </c>
      <c r="K79" s="9" t="str">
        <f t="shared" si="12"/>
        <v>265</v>
      </c>
      <c r="L79" s="9">
        <f t="shared" si="13"/>
        <v>72.12</v>
      </c>
      <c r="M79" s="9">
        <f t="shared" si="14"/>
        <v>0</v>
      </c>
      <c r="N79" s="9">
        <f t="array" ref="N79">+SUM(IFERROR(VALUE(L79:M79),0))</f>
        <v>72.12</v>
      </c>
      <c r="P79" s="9" t="str">
        <f t="shared" si="15"/>
        <v>26</v>
      </c>
      <c r="Q79" s="9">
        <f t="shared" si="16"/>
        <v>72.12</v>
      </c>
      <c r="R79" s="9">
        <f t="shared" si="17"/>
        <v>0</v>
      </c>
      <c r="S79" s="9">
        <f t="array" ref="S79">+SUM(IFERROR(VALUE(Q79:R79),0))</f>
        <v>72.12</v>
      </c>
    </row>
    <row r="80" spans="1:19" ht="14.4">
      <c r="A80" t="s">
        <v>2208</v>
      </c>
      <c r="B80" t="s">
        <v>2209</v>
      </c>
      <c r="C80" s="27">
        <v>4620</v>
      </c>
      <c r="D80" s="28">
        <v>0</v>
      </c>
      <c r="F80" s="9" t="str">
        <f t="shared" si="9"/>
        <v>2650</v>
      </c>
      <c r="G80" s="9">
        <f t="shared" si="10"/>
        <v>4620</v>
      </c>
      <c r="H80" s="9">
        <f t="shared" si="11"/>
        <v>0</v>
      </c>
      <c r="I80" s="9">
        <f t="array" ref="I80">+SUM(IFERROR(VALUE(G80:H80),0))</f>
        <v>4620</v>
      </c>
      <c r="K80" s="9" t="str">
        <f t="shared" si="12"/>
        <v>265</v>
      </c>
      <c r="L80" s="9">
        <f t="shared" si="13"/>
        <v>4620</v>
      </c>
      <c r="M80" s="9">
        <f t="shared" si="14"/>
        <v>0</v>
      </c>
      <c r="N80" s="9">
        <f t="array" ref="N80">+SUM(IFERROR(VALUE(L80:M80),0))</f>
        <v>4620</v>
      </c>
      <c r="P80" s="9" t="str">
        <f t="shared" si="15"/>
        <v>26</v>
      </c>
      <c r="Q80" s="9">
        <f t="shared" si="16"/>
        <v>4620</v>
      </c>
      <c r="R80" s="9">
        <f t="shared" si="17"/>
        <v>0</v>
      </c>
      <c r="S80" s="9">
        <f t="array" ref="S80">+SUM(IFERROR(VALUE(Q80:R80),0))</f>
        <v>4620</v>
      </c>
    </row>
    <row r="81" spans="1:19" ht="14.4">
      <c r="A81" t="s">
        <v>2210</v>
      </c>
      <c r="B81" t="s">
        <v>2211</v>
      </c>
      <c r="C81" s="27">
        <v>1050</v>
      </c>
      <c r="D81" s="28">
        <v>0</v>
      </c>
      <c r="F81" s="9" t="str">
        <f t="shared" si="9"/>
        <v>2650</v>
      </c>
      <c r="G81" s="9">
        <f t="shared" si="10"/>
        <v>1050</v>
      </c>
      <c r="H81" s="9">
        <f t="shared" si="11"/>
        <v>0</v>
      </c>
      <c r="I81" s="9">
        <f t="array" ref="I81">+SUM(IFERROR(VALUE(G81:H81),0))</f>
        <v>1050</v>
      </c>
      <c r="K81" s="9" t="str">
        <f t="shared" si="12"/>
        <v>265</v>
      </c>
      <c r="L81" s="9">
        <f t="shared" si="13"/>
        <v>1050</v>
      </c>
      <c r="M81" s="9">
        <f t="shared" si="14"/>
        <v>0</v>
      </c>
      <c r="N81" s="9">
        <f t="array" ref="N81">+SUM(IFERROR(VALUE(L81:M81),0))</f>
        <v>1050</v>
      </c>
      <c r="P81" s="9" t="str">
        <f t="shared" si="15"/>
        <v>26</v>
      </c>
      <c r="Q81" s="9">
        <f t="shared" si="16"/>
        <v>1050</v>
      </c>
      <c r="R81" s="9">
        <f t="shared" si="17"/>
        <v>0</v>
      </c>
      <c r="S81" s="9">
        <f t="array" ref="S81">+SUM(IFERROR(VALUE(Q81:R81),0))</f>
        <v>1050</v>
      </c>
    </row>
    <row r="82" spans="1:19" ht="14.4">
      <c r="A82" t="s">
        <v>2212</v>
      </c>
      <c r="B82" t="s">
        <v>2213</v>
      </c>
      <c r="C82" s="27">
        <v>12300</v>
      </c>
      <c r="D82" s="28">
        <v>0</v>
      </c>
      <c r="F82" s="9" t="str">
        <f t="shared" si="9"/>
        <v>2650</v>
      </c>
      <c r="G82" s="9">
        <f t="shared" si="10"/>
        <v>12300</v>
      </c>
      <c r="H82" s="9">
        <f t="shared" si="11"/>
        <v>0</v>
      </c>
      <c r="I82" s="9">
        <f t="array" ref="I82">+SUM(IFERROR(VALUE(G82:H82),0))</f>
        <v>12300</v>
      </c>
      <c r="K82" s="9" t="str">
        <f t="shared" si="12"/>
        <v>265</v>
      </c>
      <c r="L82" s="9">
        <f t="shared" si="13"/>
        <v>12300</v>
      </c>
      <c r="M82" s="9">
        <f t="shared" si="14"/>
        <v>0</v>
      </c>
      <c r="N82" s="9">
        <f t="array" ref="N82">+SUM(IFERROR(VALUE(L82:M82),0))</f>
        <v>12300</v>
      </c>
      <c r="P82" s="9" t="str">
        <f t="shared" si="15"/>
        <v>26</v>
      </c>
      <c r="Q82" s="9">
        <f t="shared" si="16"/>
        <v>12300</v>
      </c>
      <c r="R82" s="9">
        <f t="shared" si="17"/>
        <v>0</v>
      </c>
      <c r="S82" s="9">
        <f t="array" ref="S82">+SUM(IFERROR(VALUE(Q82:R82),0))</f>
        <v>12300</v>
      </c>
    </row>
    <row r="83" spans="1:19" ht="14.4">
      <c r="A83" t="s">
        <v>2214</v>
      </c>
      <c r="B83" t="s">
        <v>2215</v>
      </c>
      <c r="C83" s="27">
        <v>0</v>
      </c>
      <c r="D83" s="28">
        <v>45100</v>
      </c>
      <c r="F83" s="9" t="str">
        <f t="shared" si="9"/>
        <v>2650</v>
      </c>
      <c r="G83" s="9">
        <f t="shared" si="10"/>
        <v>0</v>
      </c>
      <c r="H83" s="9">
        <f t="shared" si="11"/>
        <v>-45100</v>
      </c>
      <c r="I83" s="9">
        <f t="array" ref="I83">+SUM(IFERROR(VALUE(G83:H83),0))</f>
        <v>-45100</v>
      </c>
      <c r="K83" s="9" t="str">
        <f t="shared" si="12"/>
        <v>265</v>
      </c>
      <c r="L83" s="9">
        <f t="shared" si="13"/>
        <v>0</v>
      </c>
      <c r="M83" s="9">
        <f t="shared" si="14"/>
        <v>-45100</v>
      </c>
      <c r="N83" s="9">
        <f t="array" ref="N83">+SUM(IFERROR(VALUE(L83:M83),0))</f>
        <v>-45100</v>
      </c>
      <c r="P83" s="9" t="str">
        <f t="shared" si="15"/>
        <v>26</v>
      </c>
      <c r="Q83" s="9">
        <f t="shared" si="16"/>
        <v>0</v>
      </c>
      <c r="R83" s="9">
        <f t="shared" si="17"/>
        <v>-45100</v>
      </c>
      <c r="S83" s="9">
        <f t="array" ref="S83">+SUM(IFERROR(VALUE(Q83:R83),0))</f>
        <v>-45100</v>
      </c>
    </row>
    <row r="84" spans="1:19" ht="14.4">
      <c r="A84" t="s">
        <v>2216</v>
      </c>
      <c r="B84" t="s">
        <v>2217</v>
      </c>
      <c r="C84" s="27">
        <v>8750</v>
      </c>
      <c r="D84" s="28">
        <v>0</v>
      </c>
      <c r="F84" s="9" t="str">
        <f t="shared" si="9"/>
        <v>2650</v>
      </c>
      <c r="G84" s="9">
        <f t="shared" si="10"/>
        <v>8750</v>
      </c>
      <c r="H84" s="9">
        <f t="shared" si="11"/>
        <v>0</v>
      </c>
      <c r="I84" s="9">
        <f t="array" ref="I84">+SUM(IFERROR(VALUE(G84:H84),0))</f>
        <v>8750</v>
      </c>
      <c r="K84" s="9" t="str">
        <f t="shared" si="12"/>
        <v>265</v>
      </c>
      <c r="L84" s="9">
        <f t="shared" si="13"/>
        <v>8750</v>
      </c>
      <c r="M84" s="9">
        <f t="shared" si="14"/>
        <v>0</v>
      </c>
      <c r="N84" s="9">
        <f t="array" ref="N84">+SUM(IFERROR(VALUE(L84:M84),0))</f>
        <v>8750</v>
      </c>
      <c r="P84" s="9" t="str">
        <f t="shared" si="15"/>
        <v>26</v>
      </c>
      <c r="Q84" s="9">
        <f t="shared" si="16"/>
        <v>8750</v>
      </c>
      <c r="R84" s="9">
        <f t="shared" si="17"/>
        <v>0</v>
      </c>
      <c r="S84" s="9">
        <f t="array" ref="S84">+SUM(IFERROR(VALUE(Q84:R84),0))</f>
        <v>8750</v>
      </c>
    </row>
    <row r="85" spans="1:19" ht="14.4">
      <c r="A85" t="s">
        <v>2218</v>
      </c>
      <c r="B85" t="s">
        <v>2219</v>
      </c>
      <c r="C85" s="27">
        <v>0</v>
      </c>
      <c r="D85" s="28">
        <v>9628.74</v>
      </c>
      <c r="F85" s="9" t="str">
        <f t="shared" si="9"/>
        <v>2802</v>
      </c>
      <c r="G85" s="9">
        <f t="shared" si="10"/>
        <v>0</v>
      </c>
      <c r="H85" s="9">
        <f t="shared" si="11"/>
        <v>-9628.74</v>
      </c>
      <c r="I85" s="9">
        <f t="array" ref="I85">+SUM(IFERROR(VALUE(G85:H85),0))</f>
        <v>-9628.74</v>
      </c>
      <c r="K85" s="9" t="str">
        <f t="shared" si="12"/>
        <v>280</v>
      </c>
      <c r="L85" s="9">
        <f t="shared" si="13"/>
        <v>0</v>
      </c>
      <c r="M85" s="9">
        <f t="shared" si="14"/>
        <v>-9628.74</v>
      </c>
      <c r="N85" s="9">
        <f t="array" ref="N85">+SUM(IFERROR(VALUE(L85:M85),0))</f>
        <v>-9628.74</v>
      </c>
      <c r="P85" s="9" t="str">
        <f t="shared" si="15"/>
        <v>28</v>
      </c>
      <c r="Q85" s="9">
        <f t="shared" si="16"/>
        <v>0</v>
      </c>
      <c r="R85" s="9">
        <f t="shared" si="17"/>
        <v>-9628.74</v>
      </c>
      <c r="S85" s="9">
        <f t="array" ref="S85">+SUM(IFERROR(VALUE(Q85:R85),0))</f>
        <v>-9628.74</v>
      </c>
    </row>
    <row r="86" spans="1:19" ht="14.4">
      <c r="A86" t="s">
        <v>2220</v>
      </c>
      <c r="B86" t="s">
        <v>2221</v>
      </c>
      <c r="C86" s="27">
        <v>0</v>
      </c>
      <c r="D86" s="28">
        <v>88931.13</v>
      </c>
      <c r="F86" s="9" t="str">
        <f t="shared" si="9"/>
        <v>2806</v>
      </c>
      <c r="G86" s="9">
        <f t="shared" si="10"/>
        <v>0</v>
      </c>
      <c r="H86" s="9">
        <f t="shared" si="11"/>
        <v>-88931.13</v>
      </c>
      <c r="I86" s="9">
        <f t="array" ref="I86">+SUM(IFERROR(VALUE(G86:H86),0))</f>
        <v>-88931.13</v>
      </c>
      <c r="K86" s="9" t="str">
        <f t="shared" si="12"/>
        <v>280</v>
      </c>
      <c r="L86" s="9">
        <f t="shared" si="13"/>
        <v>0</v>
      </c>
      <c r="M86" s="9">
        <f t="shared" si="14"/>
        <v>-88931.13</v>
      </c>
      <c r="N86" s="9">
        <f t="array" ref="N86">+SUM(IFERROR(VALUE(L86:M86),0))</f>
        <v>-88931.13</v>
      </c>
      <c r="P86" s="9" t="str">
        <f t="shared" si="15"/>
        <v>28</v>
      </c>
      <c r="Q86" s="9">
        <f t="shared" si="16"/>
        <v>0</v>
      </c>
      <c r="R86" s="9">
        <f t="shared" si="17"/>
        <v>-88931.13</v>
      </c>
      <c r="S86" s="9">
        <f t="array" ref="S86">+SUM(IFERROR(VALUE(Q86:R86),0))</f>
        <v>-88931.13</v>
      </c>
    </row>
    <row r="87" spans="1:19" ht="14.4">
      <c r="A87" t="s">
        <v>2222</v>
      </c>
      <c r="B87" t="s">
        <v>2223</v>
      </c>
      <c r="C87" s="27">
        <v>0</v>
      </c>
      <c r="D87" s="28">
        <v>2731831.2</v>
      </c>
      <c r="F87" s="9" t="str">
        <f t="shared" si="9"/>
        <v>2811</v>
      </c>
      <c r="G87" s="9">
        <f t="shared" si="10"/>
        <v>0</v>
      </c>
      <c r="H87" s="9">
        <f t="shared" si="11"/>
        <v>-2731831.2</v>
      </c>
      <c r="I87" s="9">
        <f t="array" ref="I87">+SUM(IFERROR(VALUE(G87:H87),0))</f>
        <v>-2731831.2</v>
      </c>
      <c r="K87" s="9" t="str">
        <f t="shared" si="12"/>
        <v>281</v>
      </c>
      <c r="L87" s="9">
        <f t="shared" si="13"/>
        <v>0</v>
      </c>
      <c r="M87" s="9">
        <f t="shared" si="14"/>
        <v>-2731831.2</v>
      </c>
      <c r="N87" s="9">
        <f t="array" ref="N87">+SUM(IFERROR(VALUE(L87:M87),0))</f>
        <v>-2731831.2</v>
      </c>
      <c r="P87" s="9" t="str">
        <f t="shared" si="15"/>
        <v>28</v>
      </c>
      <c r="Q87" s="9">
        <f t="shared" si="16"/>
        <v>0</v>
      </c>
      <c r="R87" s="9">
        <f t="shared" si="17"/>
        <v>-2731831.2</v>
      </c>
      <c r="S87" s="9">
        <f t="array" ref="S87">+SUM(IFERROR(VALUE(Q87:R87),0))</f>
        <v>-2731831.2</v>
      </c>
    </row>
    <row r="88" spans="1:19" ht="14.4">
      <c r="A88" t="s">
        <v>2224</v>
      </c>
      <c r="B88" t="s">
        <v>2225</v>
      </c>
      <c r="C88" s="27">
        <v>0</v>
      </c>
      <c r="D88" s="28">
        <v>396730.96</v>
      </c>
      <c r="F88" s="9" t="str">
        <f t="shared" si="9"/>
        <v>2811</v>
      </c>
      <c r="G88" s="9">
        <f t="shared" si="10"/>
        <v>0</v>
      </c>
      <c r="H88" s="9">
        <f t="shared" si="11"/>
        <v>-396730.96</v>
      </c>
      <c r="I88" s="9">
        <f t="array" ref="I88">+SUM(IFERROR(VALUE(G88:H88),0))</f>
        <v>-396730.96</v>
      </c>
      <c r="K88" s="9" t="str">
        <f t="shared" si="12"/>
        <v>281</v>
      </c>
      <c r="L88" s="9">
        <f t="shared" si="13"/>
        <v>0</v>
      </c>
      <c r="M88" s="9">
        <f t="shared" si="14"/>
        <v>-396730.96</v>
      </c>
      <c r="N88" s="9">
        <f t="array" ref="N88">+SUM(IFERROR(VALUE(L88:M88),0))</f>
        <v>-396730.96</v>
      </c>
      <c r="P88" s="9" t="str">
        <f t="shared" si="15"/>
        <v>28</v>
      </c>
      <c r="Q88" s="9">
        <f t="shared" si="16"/>
        <v>0</v>
      </c>
      <c r="R88" s="9">
        <f t="shared" si="17"/>
        <v>-396730.96</v>
      </c>
      <c r="S88" s="9">
        <f t="array" ref="S88">+SUM(IFERROR(VALUE(Q88:R88),0))</f>
        <v>-396730.96</v>
      </c>
    </row>
    <row r="89" spans="1:19" ht="14.4">
      <c r="A89" t="s">
        <v>2226</v>
      </c>
      <c r="B89" t="s">
        <v>2227</v>
      </c>
      <c r="C89" s="27">
        <v>0</v>
      </c>
      <c r="D89" s="28">
        <v>17859712.620000001</v>
      </c>
      <c r="F89" s="9" t="str">
        <f t="shared" si="9"/>
        <v>2812</v>
      </c>
      <c r="G89" s="9">
        <f t="shared" si="10"/>
        <v>0</v>
      </c>
      <c r="H89" s="9">
        <f t="shared" si="11"/>
        <v>-17859712.620000001</v>
      </c>
      <c r="I89" s="9">
        <f t="array" ref="I89">+SUM(IFERROR(VALUE(G89:H89),0))</f>
        <v>-17859712.620000001</v>
      </c>
      <c r="K89" s="9" t="str">
        <f t="shared" si="12"/>
        <v>281</v>
      </c>
      <c r="L89" s="9">
        <f t="shared" si="13"/>
        <v>0</v>
      </c>
      <c r="M89" s="9">
        <f t="shared" si="14"/>
        <v>-17859712.620000001</v>
      </c>
      <c r="N89" s="9">
        <f t="array" ref="N89">+SUM(IFERROR(VALUE(L89:M89),0))</f>
        <v>-17859712.620000001</v>
      </c>
      <c r="P89" s="9" t="str">
        <f t="shared" si="15"/>
        <v>28</v>
      </c>
      <c r="Q89" s="9">
        <f t="shared" si="16"/>
        <v>0</v>
      </c>
      <c r="R89" s="9">
        <f t="shared" si="17"/>
        <v>-17859712.620000001</v>
      </c>
      <c r="S89" s="9">
        <f t="array" ref="S89">+SUM(IFERROR(VALUE(Q89:R89),0))</f>
        <v>-17859712.620000001</v>
      </c>
    </row>
    <row r="90" spans="1:19" ht="14.4">
      <c r="A90" t="s">
        <v>2228</v>
      </c>
      <c r="B90" t="s">
        <v>2229</v>
      </c>
      <c r="C90" s="27">
        <v>0</v>
      </c>
      <c r="D90" s="28">
        <v>946983.86</v>
      </c>
      <c r="F90" s="9" t="str">
        <f t="shared" si="9"/>
        <v>2813</v>
      </c>
      <c r="G90" s="9">
        <f t="shared" si="10"/>
        <v>0</v>
      </c>
      <c r="H90" s="9">
        <f t="shared" si="11"/>
        <v>-946983.86</v>
      </c>
      <c r="I90" s="9">
        <f t="array" ref="I90">+SUM(IFERROR(VALUE(G90:H90),0))</f>
        <v>-946983.86</v>
      </c>
      <c r="K90" s="9" t="str">
        <f t="shared" si="12"/>
        <v>281</v>
      </c>
      <c r="L90" s="9">
        <f t="shared" si="13"/>
        <v>0</v>
      </c>
      <c r="M90" s="9">
        <f t="shared" si="14"/>
        <v>-946983.86</v>
      </c>
      <c r="N90" s="9">
        <f t="array" ref="N90">+SUM(IFERROR(VALUE(L90:M90),0))</f>
        <v>-946983.86</v>
      </c>
      <c r="P90" s="9" t="str">
        <f t="shared" si="15"/>
        <v>28</v>
      </c>
      <c r="Q90" s="9">
        <f t="shared" si="16"/>
        <v>0</v>
      </c>
      <c r="R90" s="9">
        <f t="shared" si="17"/>
        <v>-946983.86</v>
      </c>
      <c r="S90" s="9">
        <f t="array" ref="S90">+SUM(IFERROR(VALUE(Q90:R90),0))</f>
        <v>-946983.86</v>
      </c>
    </row>
    <row r="91" spans="1:19" ht="14.4">
      <c r="A91" t="s">
        <v>2230</v>
      </c>
      <c r="B91" t="s">
        <v>2231</v>
      </c>
      <c r="C91" s="27">
        <v>0</v>
      </c>
      <c r="D91" s="28">
        <v>10306.1</v>
      </c>
      <c r="F91" s="9" t="str">
        <f t="shared" si="9"/>
        <v>2814</v>
      </c>
      <c r="G91" s="9">
        <f t="shared" si="10"/>
        <v>0</v>
      </c>
      <c r="H91" s="9">
        <f t="shared" si="11"/>
        <v>-10306.1</v>
      </c>
      <c r="I91" s="9">
        <f t="array" ref="I91">+SUM(IFERROR(VALUE(G91:H91),0))</f>
        <v>-10306.1</v>
      </c>
      <c r="K91" s="9" t="str">
        <f t="shared" si="12"/>
        <v>281</v>
      </c>
      <c r="L91" s="9">
        <f t="shared" si="13"/>
        <v>0</v>
      </c>
      <c r="M91" s="9">
        <f t="shared" si="14"/>
        <v>-10306.1</v>
      </c>
      <c r="N91" s="9">
        <f t="array" ref="N91">+SUM(IFERROR(VALUE(L91:M91),0))</f>
        <v>-10306.1</v>
      </c>
      <c r="P91" s="9" t="str">
        <f t="shared" si="15"/>
        <v>28</v>
      </c>
      <c r="Q91" s="9">
        <f t="shared" si="16"/>
        <v>0</v>
      </c>
      <c r="R91" s="9">
        <f t="shared" si="17"/>
        <v>-10306.1</v>
      </c>
      <c r="S91" s="9">
        <f t="array" ref="S91">+SUM(IFERROR(VALUE(Q91:R91),0))</f>
        <v>-10306.1</v>
      </c>
    </row>
    <row r="92" spans="1:19" ht="14.4">
      <c r="A92" t="s">
        <v>2232</v>
      </c>
      <c r="B92" t="s">
        <v>2233</v>
      </c>
      <c r="C92" s="27">
        <v>0</v>
      </c>
      <c r="D92" s="28">
        <v>1078807.1499999999</v>
      </c>
      <c r="F92" s="9" t="str">
        <f t="shared" si="9"/>
        <v>2815</v>
      </c>
      <c r="G92" s="9">
        <f t="shared" si="10"/>
        <v>0</v>
      </c>
      <c r="H92" s="9">
        <f t="shared" si="11"/>
        <v>-1078807.1499999999</v>
      </c>
      <c r="I92" s="9">
        <f t="array" ref="I92">+SUM(IFERROR(VALUE(G92:H92),0))</f>
        <v>-1078807.1499999999</v>
      </c>
      <c r="K92" s="9" t="str">
        <f t="shared" si="12"/>
        <v>281</v>
      </c>
      <c r="L92" s="9">
        <f t="shared" si="13"/>
        <v>0</v>
      </c>
      <c r="M92" s="9">
        <f t="shared" si="14"/>
        <v>-1078807.1499999999</v>
      </c>
      <c r="N92" s="9">
        <f t="array" ref="N92">+SUM(IFERROR(VALUE(L92:M92),0))</f>
        <v>-1078807.1499999999</v>
      </c>
      <c r="P92" s="9" t="str">
        <f t="shared" si="15"/>
        <v>28</v>
      </c>
      <c r="Q92" s="9">
        <f t="shared" si="16"/>
        <v>0</v>
      </c>
      <c r="R92" s="9">
        <f t="shared" si="17"/>
        <v>-1078807.1499999999</v>
      </c>
      <c r="S92" s="9">
        <f t="array" ref="S92">+SUM(IFERROR(VALUE(Q92:R92),0))</f>
        <v>-1078807.1499999999</v>
      </c>
    </row>
    <row r="93" spans="1:19" ht="14.4">
      <c r="A93" t="s">
        <v>2234</v>
      </c>
      <c r="B93" t="s">
        <v>2235</v>
      </c>
      <c r="C93" s="27">
        <v>0</v>
      </c>
      <c r="D93" s="28">
        <v>85763.69</v>
      </c>
      <c r="F93" s="9" t="str">
        <f t="shared" si="9"/>
        <v>2816</v>
      </c>
      <c r="G93" s="9">
        <f t="shared" si="10"/>
        <v>0</v>
      </c>
      <c r="H93" s="9">
        <f t="shared" si="11"/>
        <v>-85763.69</v>
      </c>
      <c r="I93" s="9">
        <f t="array" ref="I93">+SUM(IFERROR(VALUE(G93:H93),0))</f>
        <v>-85763.69</v>
      </c>
      <c r="K93" s="9" t="str">
        <f t="shared" si="12"/>
        <v>281</v>
      </c>
      <c r="L93" s="9">
        <f t="shared" si="13"/>
        <v>0</v>
      </c>
      <c r="M93" s="9">
        <f t="shared" si="14"/>
        <v>-85763.69</v>
      </c>
      <c r="N93" s="9">
        <f t="array" ref="N93">+SUM(IFERROR(VALUE(L93:M93),0))</f>
        <v>-85763.69</v>
      </c>
      <c r="P93" s="9" t="str">
        <f t="shared" si="15"/>
        <v>28</v>
      </c>
      <c r="Q93" s="9">
        <f t="shared" si="16"/>
        <v>0</v>
      </c>
      <c r="R93" s="9">
        <f t="shared" si="17"/>
        <v>-85763.69</v>
      </c>
      <c r="S93" s="9">
        <f t="array" ref="S93">+SUM(IFERROR(VALUE(Q93:R93),0))</f>
        <v>-85763.69</v>
      </c>
    </row>
    <row r="94" spans="1:19" ht="14.4">
      <c r="A94" t="s">
        <v>2236</v>
      </c>
      <c r="B94" t="s">
        <v>2237</v>
      </c>
      <c r="C94" s="27">
        <v>0</v>
      </c>
      <c r="D94" s="28">
        <v>1485.73</v>
      </c>
      <c r="F94" s="9" t="str">
        <f t="shared" si="9"/>
        <v>2816</v>
      </c>
      <c r="G94" s="9">
        <f t="shared" si="10"/>
        <v>0</v>
      </c>
      <c r="H94" s="9">
        <f t="shared" si="11"/>
        <v>-1485.73</v>
      </c>
      <c r="I94" s="9">
        <f t="array" ref="I94">+SUM(IFERROR(VALUE(G94:H94),0))</f>
        <v>-1485.73</v>
      </c>
      <c r="K94" s="9" t="str">
        <f t="shared" si="12"/>
        <v>281</v>
      </c>
      <c r="L94" s="9">
        <f t="shared" si="13"/>
        <v>0</v>
      </c>
      <c r="M94" s="9">
        <f t="shared" si="14"/>
        <v>-1485.73</v>
      </c>
      <c r="N94" s="9">
        <f t="array" ref="N94">+SUM(IFERROR(VALUE(L94:M94),0))</f>
        <v>-1485.73</v>
      </c>
      <c r="P94" s="9" t="str">
        <f t="shared" si="15"/>
        <v>28</v>
      </c>
      <c r="Q94" s="9">
        <f t="shared" si="16"/>
        <v>0</v>
      </c>
      <c r="R94" s="9">
        <f t="shared" si="17"/>
        <v>-1485.73</v>
      </c>
      <c r="S94" s="9">
        <f t="array" ref="S94">+SUM(IFERROR(VALUE(Q94:R94),0))</f>
        <v>-1485.73</v>
      </c>
    </row>
    <row r="95" spans="1:19" ht="14.4">
      <c r="A95" t="s">
        <v>2238</v>
      </c>
      <c r="B95" t="s">
        <v>2239</v>
      </c>
      <c r="C95" s="27">
        <v>0</v>
      </c>
      <c r="D95" s="28">
        <v>46638.74</v>
      </c>
      <c r="F95" s="9" t="str">
        <f t="shared" si="9"/>
        <v>2817</v>
      </c>
      <c r="G95" s="9">
        <f t="shared" si="10"/>
        <v>0</v>
      </c>
      <c r="H95" s="9">
        <f t="shared" si="11"/>
        <v>-46638.74</v>
      </c>
      <c r="I95" s="9">
        <f t="array" ref="I95">+SUM(IFERROR(VALUE(G95:H95),0))</f>
        <v>-46638.74</v>
      </c>
      <c r="K95" s="9" t="str">
        <f t="shared" si="12"/>
        <v>281</v>
      </c>
      <c r="L95" s="9">
        <f t="shared" si="13"/>
        <v>0</v>
      </c>
      <c r="M95" s="9">
        <f t="shared" si="14"/>
        <v>-46638.74</v>
      </c>
      <c r="N95" s="9">
        <f t="array" ref="N95">+SUM(IFERROR(VALUE(L95:M95),0))</f>
        <v>-46638.74</v>
      </c>
      <c r="P95" s="9" t="str">
        <f t="shared" si="15"/>
        <v>28</v>
      </c>
      <c r="Q95" s="9">
        <f t="shared" si="16"/>
        <v>0</v>
      </c>
      <c r="R95" s="9">
        <f t="shared" si="17"/>
        <v>-46638.74</v>
      </c>
      <c r="S95" s="9">
        <f t="array" ref="S95">+SUM(IFERROR(VALUE(Q95:R95),0))</f>
        <v>-46638.74</v>
      </c>
    </row>
    <row r="96" spans="1:19" ht="14.4">
      <c r="A96" t="s">
        <v>2240</v>
      </c>
      <c r="B96" t="s">
        <v>2241</v>
      </c>
      <c r="C96" s="27">
        <v>0</v>
      </c>
      <c r="D96" s="28">
        <v>85249.7</v>
      </c>
      <c r="F96" s="9" t="str">
        <f t="shared" si="9"/>
        <v>2818</v>
      </c>
      <c r="G96" s="9">
        <f t="shared" si="10"/>
        <v>0</v>
      </c>
      <c r="H96" s="9">
        <f t="shared" si="11"/>
        <v>-85249.7</v>
      </c>
      <c r="I96" s="9">
        <f t="array" ref="I96">+SUM(IFERROR(VALUE(G96:H96),0))</f>
        <v>-85249.7</v>
      </c>
      <c r="K96" s="9" t="str">
        <f t="shared" si="12"/>
        <v>281</v>
      </c>
      <c r="L96" s="9">
        <f t="shared" si="13"/>
        <v>0</v>
      </c>
      <c r="M96" s="9">
        <f t="shared" si="14"/>
        <v>-85249.7</v>
      </c>
      <c r="N96" s="9">
        <f t="array" ref="N96">+SUM(IFERROR(VALUE(L96:M96),0))</f>
        <v>-85249.7</v>
      </c>
      <c r="P96" s="9" t="str">
        <f t="shared" si="15"/>
        <v>28</v>
      </c>
      <c r="Q96" s="9">
        <f t="shared" si="16"/>
        <v>0</v>
      </c>
      <c r="R96" s="9">
        <f t="shared" si="17"/>
        <v>-85249.7</v>
      </c>
      <c r="S96" s="9">
        <f t="array" ref="S96">+SUM(IFERROR(VALUE(Q96:R96),0))</f>
        <v>-85249.7</v>
      </c>
    </row>
    <row r="97" spans="1:19" ht="14.4">
      <c r="A97" t="s">
        <v>2242</v>
      </c>
      <c r="B97" t="s">
        <v>2243</v>
      </c>
      <c r="C97" s="27">
        <v>0</v>
      </c>
      <c r="D97" s="28">
        <v>169763.71</v>
      </c>
      <c r="F97" s="9" t="str">
        <f t="shared" si="9"/>
        <v>2819</v>
      </c>
      <c r="G97" s="9">
        <f t="shared" si="10"/>
        <v>0</v>
      </c>
      <c r="H97" s="9">
        <f t="shared" si="11"/>
        <v>-169763.71</v>
      </c>
      <c r="I97" s="9">
        <f t="array" ref="I97">+SUM(IFERROR(VALUE(G97:H97),0))</f>
        <v>-169763.71</v>
      </c>
      <c r="K97" s="9" t="str">
        <f t="shared" si="12"/>
        <v>281</v>
      </c>
      <c r="L97" s="9">
        <f t="shared" si="13"/>
        <v>0</v>
      </c>
      <c r="M97" s="9">
        <f t="shared" si="14"/>
        <v>-169763.71</v>
      </c>
      <c r="N97" s="9">
        <f t="array" ref="N97">+SUM(IFERROR(VALUE(L97:M97),0))</f>
        <v>-169763.71</v>
      </c>
      <c r="P97" s="9" t="str">
        <f t="shared" si="15"/>
        <v>28</v>
      </c>
      <c r="Q97" s="9">
        <f t="shared" si="16"/>
        <v>0</v>
      </c>
      <c r="R97" s="9">
        <f t="shared" si="17"/>
        <v>-169763.71</v>
      </c>
      <c r="S97" s="9">
        <f t="array" ref="S97">+SUM(IFERROR(VALUE(Q97:R97),0))</f>
        <v>-169763.71</v>
      </c>
    </row>
    <row r="98" spans="1:19" ht="14.4">
      <c r="A98" t="s">
        <v>2244</v>
      </c>
      <c r="B98" t="s">
        <v>2245</v>
      </c>
      <c r="C98" s="27">
        <v>0</v>
      </c>
      <c r="D98" s="28">
        <v>340719.86</v>
      </c>
      <c r="F98" s="9" t="str">
        <f t="shared" si="9"/>
        <v>2819</v>
      </c>
      <c r="G98" s="9">
        <f t="shared" si="10"/>
        <v>0</v>
      </c>
      <c r="H98" s="9">
        <f t="shared" si="11"/>
        <v>-340719.86</v>
      </c>
      <c r="I98" s="9">
        <f t="array" ref="I98">+SUM(IFERROR(VALUE(G98:H98),0))</f>
        <v>-340719.86</v>
      </c>
      <c r="K98" s="9" t="str">
        <f t="shared" si="12"/>
        <v>281</v>
      </c>
      <c r="L98" s="9">
        <f t="shared" si="13"/>
        <v>0</v>
      </c>
      <c r="M98" s="9">
        <f t="shared" si="14"/>
        <v>-340719.86</v>
      </c>
      <c r="N98" s="9">
        <f t="array" ref="N98">+SUM(IFERROR(VALUE(L98:M98),0))</f>
        <v>-340719.86</v>
      </c>
      <c r="P98" s="9" t="str">
        <f t="shared" si="15"/>
        <v>28</v>
      </c>
      <c r="Q98" s="9">
        <f t="shared" si="16"/>
        <v>0</v>
      </c>
      <c r="R98" s="9">
        <f t="shared" si="17"/>
        <v>-340719.86</v>
      </c>
      <c r="S98" s="9">
        <f t="array" ref="S98">+SUM(IFERROR(VALUE(Q98:R98),0))</f>
        <v>-340719.86</v>
      </c>
    </row>
    <row r="99" spans="1:19" ht="14.4">
      <c r="A99" t="s">
        <v>2246</v>
      </c>
      <c r="B99" t="s">
        <v>2247</v>
      </c>
      <c r="C99" s="27">
        <v>0</v>
      </c>
      <c r="D99" s="28">
        <v>899558.49</v>
      </c>
      <c r="F99" s="9" t="str">
        <f t="shared" si="9"/>
        <v>2821</v>
      </c>
      <c r="G99" s="9">
        <f t="shared" si="10"/>
        <v>0</v>
      </c>
      <c r="H99" s="9">
        <f t="shared" si="11"/>
        <v>-899558.49</v>
      </c>
      <c r="I99" s="9">
        <f t="array" ref="I99">+SUM(IFERROR(VALUE(G99:H99),0))</f>
        <v>-899558.49</v>
      </c>
      <c r="K99" s="9" t="str">
        <f t="shared" si="12"/>
        <v>282</v>
      </c>
      <c r="L99" s="9">
        <f t="shared" si="13"/>
        <v>0</v>
      </c>
      <c r="M99" s="9">
        <f t="shared" si="14"/>
        <v>-899558.49</v>
      </c>
      <c r="N99" s="9">
        <f t="array" ref="N99">+SUM(IFERROR(VALUE(L99:M99),0))</f>
        <v>-899558.49</v>
      </c>
      <c r="P99" s="9" t="str">
        <f t="shared" si="15"/>
        <v>28</v>
      </c>
      <c r="Q99" s="9">
        <f t="shared" si="16"/>
        <v>0</v>
      </c>
      <c r="R99" s="9">
        <f t="shared" si="17"/>
        <v>-899558.49</v>
      </c>
      <c r="S99" s="9">
        <f t="array" ref="S99">+SUM(IFERROR(VALUE(Q99:R99),0))</f>
        <v>-899558.49</v>
      </c>
    </row>
    <row r="100" spans="1:19" ht="14.4">
      <c r="A100" t="s">
        <v>2248</v>
      </c>
      <c r="B100" t="s">
        <v>2249</v>
      </c>
      <c r="C100" s="27">
        <v>7174487.5300000003</v>
      </c>
      <c r="D100" s="28">
        <v>0</v>
      </c>
      <c r="F100" s="9" t="str">
        <f t="shared" si="9"/>
        <v>3000</v>
      </c>
      <c r="G100" s="9">
        <f t="shared" si="10"/>
        <v>7174487.5300000003</v>
      </c>
      <c r="H100" s="9">
        <f t="shared" si="11"/>
        <v>0</v>
      </c>
      <c r="I100" s="9">
        <f t="array" ref="I100">+SUM(IFERROR(VALUE(G100:H100),0))</f>
        <v>7174487.5300000003</v>
      </c>
      <c r="K100" s="9" t="str">
        <f t="shared" si="12"/>
        <v>300</v>
      </c>
      <c r="L100" s="9">
        <f t="shared" si="13"/>
        <v>7174487.5300000003</v>
      </c>
      <c r="M100" s="9">
        <f t="shared" si="14"/>
        <v>0</v>
      </c>
      <c r="N100" s="9">
        <f t="array" ref="N100">+SUM(IFERROR(VALUE(L100:M100),0))</f>
        <v>7174487.5300000003</v>
      </c>
      <c r="P100" s="9" t="str">
        <f t="shared" si="15"/>
        <v>30</v>
      </c>
      <c r="Q100" s="9">
        <f t="shared" si="16"/>
        <v>7174487.5300000003</v>
      </c>
      <c r="R100" s="9">
        <f t="shared" si="17"/>
        <v>0</v>
      </c>
      <c r="S100" s="9">
        <f t="array" ref="S100">+SUM(IFERROR(VALUE(Q100:R100),0))</f>
        <v>7174487.5300000003</v>
      </c>
    </row>
    <row r="101" spans="1:19" ht="14.4">
      <c r="A101" t="s">
        <v>2250</v>
      </c>
      <c r="B101" t="s">
        <v>2251</v>
      </c>
      <c r="C101" s="27">
        <v>396908.52</v>
      </c>
      <c r="D101" s="28">
        <v>0</v>
      </c>
      <c r="F101" s="9" t="str">
        <f t="shared" si="9"/>
        <v>3000</v>
      </c>
      <c r="G101" s="9">
        <f t="shared" si="10"/>
        <v>396908.52</v>
      </c>
      <c r="H101" s="9">
        <f t="shared" si="11"/>
        <v>0</v>
      </c>
      <c r="I101" s="9">
        <f t="array" ref="I101">+SUM(IFERROR(VALUE(G101:H101),0))</f>
        <v>396908.52</v>
      </c>
      <c r="K101" s="9" t="str">
        <f t="shared" si="12"/>
        <v>300</v>
      </c>
      <c r="L101" s="9">
        <f t="shared" si="13"/>
        <v>396908.52</v>
      </c>
      <c r="M101" s="9">
        <f t="shared" si="14"/>
        <v>0</v>
      </c>
      <c r="N101" s="9">
        <f t="array" ref="N101">+SUM(IFERROR(VALUE(L101:M101),0))</f>
        <v>396908.52</v>
      </c>
      <c r="P101" s="9" t="str">
        <f t="shared" si="15"/>
        <v>30</v>
      </c>
      <c r="Q101" s="9">
        <f t="shared" si="16"/>
        <v>396908.52</v>
      </c>
      <c r="R101" s="9">
        <f t="shared" si="17"/>
        <v>0</v>
      </c>
      <c r="S101" s="9">
        <f t="array" ref="S101">+SUM(IFERROR(VALUE(Q101:R101),0))</f>
        <v>396908.52</v>
      </c>
    </row>
    <row r="102" spans="1:19" ht="14.4">
      <c r="A102" t="s">
        <v>2252</v>
      </c>
      <c r="B102" t="s">
        <v>2253</v>
      </c>
      <c r="C102" s="27">
        <v>26113057.079999998</v>
      </c>
      <c r="D102" s="28">
        <v>0</v>
      </c>
      <c r="F102" s="9" t="str">
        <f t="shared" si="9"/>
        <v>3100</v>
      </c>
      <c r="G102" s="9">
        <f t="shared" si="10"/>
        <v>26113057.079999998</v>
      </c>
      <c r="H102" s="9">
        <f t="shared" si="11"/>
        <v>0</v>
      </c>
      <c r="I102" s="9">
        <f t="array" ref="I102">+SUM(IFERROR(VALUE(G102:H102),0))</f>
        <v>26113057.079999998</v>
      </c>
      <c r="K102" s="9" t="str">
        <f t="shared" si="12"/>
        <v>310</v>
      </c>
      <c r="L102" s="9">
        <f t="shared" si="13"/>
        <v>26113057.079999998</v>
      </c>
      <c r="M102" s="9">
        <f t="shared" si="14"/>
        <v>0</v>
      </c>
      <c r="N102" s="9">
        <f t="array" ref="N102">+SUM(IFERROR(VALUE(L102:M102),0))</f>
        <v>26113057.079999998</v>
      </c>
      <c r="P102" s="9" t="str">
        <f t="shared" si="15"/>
        <v>31</v>
      </c>
      <c r="Q102" s="9">
        <f t="shared" si="16"/>
        <v>26113057.079999998</v>
      </c>
      <c r="R102" s="9">
        <f t="shared" si="17"/>
        <v>0</v>
      </c>
      <c r="S102" s="9">
        <f t="array" ref="S102">+SUM(IFERROR(VALUE(Q102:R102),0))</f>
        <v>26113057.079999998</v>
      </c>
    </row>
    <row r="103" spans="1:19" ht="14.4">
      <c r="A103" t="s">
        <v>2254</v>
      </c>
      <c r="B103" t="s">
        <v>2255</v>
      </c>
      <c r="C103" s="27">
        <v>7315700.54</v>
      </c>
      <c r="D103" s="28">
        <v>0</v>
      </c>
      <c r="F103" s="9" t="str">
        <f t="shared" si="9"/>
        <v>3100</v>
      </c>
      <c r="G103" s="9">
        <f t="shared" si="10"/>
        <v>7315700.54</v>
      </c>
      <c r="H103" s="9">
        <f t="shared" si="11"/>
        <v>0</v>
      </c>
      <c r="I103" s="9">
        <f t="array" ref="I103">+SUM(IFERROR(VALUE(G103:H103),0))</f>
        <v>7315700.54</v>
      </c>
      <c r="K103" s="9" t="str">
        <f t="shared" si="12"/>
        <v>310</v>
      </c>
      <c r="L103" s="9">
        <f t="shared" si="13"/>
        <v>7315700.54</v>
      </c>
      <c r="M103" s="9">
        <f t="shared" si="14"/>
        <v>0</v>
      </c>
      <c r="N103" s="9">
        <f t="array" ref="N103">+SUM(IFERROR(VALUE(L103:M103),0))</f>
        <v>7315700.54</v>
      </c>
      <c r="P103" s="9" t="str">
        <f t="shared" si="15"/>
        <v>31</v>
      </c>
      <c r="Q103" s="9">
        <f t="shared" si="16"/>
        <v>7315700.54</v>
      </c>
      <c r="R103" s="9">
        <f t="shared" si="17"/>
        <v>0</v>
      </c>
      <c r="S103" s="9">
        <f t="array" ref="S103">+SUM(IFERROR(VALUE(Q103:R103),0))</f>
        <v>7315700.54</v>
      </c>
    </row>
    <row r="104" spans="1:19" ht="14.4">
      <c r="A104" t="s">
        <v>2256</v>
      </c>
      <c r="B104" t="s">
        <v>2257</v>
      </c>
      <c r="C104" s="27">
        <v>50030.78</v>
      </c>
      <c r="D104" s="28">
        <v>0</v>
      </c>
      <c r="F104" s="9" t="str">
        <f t="shared" si="9"/>
        <v>3200</v>
      </c>
      <c r="G104" s="9">
        <f t="shared" si="10"/>
        <v>50030.78</v>
      </c>
      <c r="H104" s="9">
        <f t="shared" si="11"/>
        <v>0</v>
      </c>
      <c r="I104" s="9">
        <f t="array" ref="I104">+SUM(IFERROR(VALUE(G104:H104),0))</f>
        <v>50030.78</v>
      </c>
      <c r="K104" s="9" t="str">
        <f t="shared" si="12"/>
        <v>320</v>
      </c>
      <c r="L104" s="9">
        <f t="shared" si="13"/>
        <v>50030.78</v>
      </c>
      <c r="M104" s="9">
        <f t="shared" si="14"/>
        <v>0</v>
      </c>
      <c r="N104" s="9">
        <f t="array" ref="N104">+SUM(IFERROR(VALUE(L104:M104),0))</f>
        <v>50030.78</v>
      </c>
      <c r="P104" s="9" t="str">
        <f t="shared" si="15"/>
        <v>32</v>
      </c>
      <c r="Q104" s="9">
        <f t="shared" si="16"/>
        <v>50030.78</v>
      </c>
      <c r="R104" s="9">
        <f t="shared" si="17"/>
        <v>0</v>
      </c>
      <c r="S104" s="9">
        <f t="array" ref="S104">+SUM(IFERROR(VALUE(Q104:R104),0))</f>
        <v>50030.78</v>
      </c>
    </row>
    <row r="105" spans="1:19" ht="14.4">
      <c r="A105" t="s">
        <v>2258</v>
      </c>
      <c r="B105" t="s">
        <v>2259</v>
      </c>
      <c r="C105" s="27">
        <v>204448.76</v>
      </c>
      <c r="D105" s="28">
        <v>0</v>
      </c>
      <c r="F105" s="9" t="str">
        <f t="shared" si="9"/>
        <v>3270</v>
      </c>
      <c r="G105" s="9">
        <f t="shared" si="10"/>
        <v>204448.76</v>
      </c>
      <c r="H105" s="9">
        <f t="shared" si="11"/>
        <v>0</v>
      </c>
      <c r="I105" s="9">
        <f t="array" ref="I105">+SUM(IFERROR(VALUE(G105:H105),0))</f>
        <v>204448.76</v>
      </c>
      <c r="K105" s="9" t="str">
        <f t="shared" si="12"/>
        <v>327</v>
      </c>
      <c r="L105" s="9">
        <f t="shared" si="13"/>
        <v>204448.76</v>
      </c>
      <c r="M105" s="9">
        <f t="shared" si="14"/>
        <v>0</v>
      </c>
      <c r="N105" s="9">
        <f t="array" ref="N105">+SUM(IFERROR(VALUE(L105:M105),0))</f>
        <v>204448.76</v>
      </c>
      <c r="P105" s="9" t="str">
        <f t="shared" si="15"/>
        <v>32</v>
      </c>
      <c r="Q105" s="9">
        <f t="shared" si="16"/>
        <v>204448.76</v>
      </c>
      <c r="R105" s="9">
        <f t="shared" si="17"/>
        <v>0</v>
      </c>
      <c r="S105" s="9">
        <f t="array" ref="S105">+SUM(IFERROR(VALUE(Q105:R105),0))</f>
        <v>204448.76</v>
      </c>
    </row>
    <row r="106" spans="1:19" ht="14.4">
      <c r="A106" t="s">
        <v>2260</v>
      </c>
      <c r="B106" t="s">
        <v>2261</v>
      </c>
      <c r="C106" s="27">
        <v>4499319.3600000003</v>
      </c>
      <c r="D106" s="28">
        <v>0</v>
      </c>
      <c r="F106" s="9" t="str">
        <f t="shared" si="9"/>
        <v>3500</v>
      </c>
      <c r="G106" s="9">
        <f t="shared" si="10"/>
        <v>4499319.3600000003</v>
      </c>
      <c r="H106" s="9">
        <f t="shared" si="11"/>
        <v>0</v>
      </c>
      <c r="I106" s="9">
        <f t="array" ref="I106">+SUM(IFERROR(VALUE(G106:H106),0))</f>
        <v>4499319.3600000003</v>
      </c>
      <c r="K106" s="9" t="str">
        <f t="shared" si="12"/>
        <v>350</v>
      </c>
      <c r="L106" s="9">
        <f t="shared" si="13"/>
        <v>4499319.3600000003</v>
      </c>
      <c r="M106" s="9">
        <f t="shared" si="14"/>
        <v>0</v>
      </c>
      <c r="N106" s="9">
        <f t="array" ref="N106">+SUM(IFERROR(VALUE(L106:M106),0))</f>
        <v>4499319.3600000003</v>
      </c>
      <c r="P106" s="9" t="str">
        <f t="shared" si="15"/>
        <v>35</v>
      </c>
      <c r="Q106" s="9">
        <f t="shared" si="16"/>
        <v>4499319.3600000003</v>
      </c>
      <c r="R106" s="9">
        <f t="shared" si="17"/>
        <v>0</v>
      </c>
      <c r="S106" s="9">
        <f t="array" ref="S106">+SUM(IFERROR(VALUE(Q106:R106),0))</f>
        <v>4499319.3600000003</v>
      </c>
    </row>
    <row r="107" spans="1:19" ht="14.4">
      <c r="A107" t="s">
        <v>2262</v>
      </c>
      <c r="B107" t="s">
        <v>2263</v>
      </c>
      <c r="C107" s="27">
        <v>47361.599999999999</v>
      </c>
      <c r="D107" s="28">
        <v>0</v>
      </c>
      <c r="F107" s="9" t="str">
        <f t="shared" si="9"/>
        <v>4000</v>
      </c>
      <c r="G107" s="9">
        <f t="shared" si="10"/>
        <v>47361.599999999999</v>
      </c>
      <c r="H107" s="9">
        <f t="shared" si="11"/>
        <v>0</v>
      </c>
      <c r="I107" s="9">
        <f t="array" ref="I107">+SUM(IFERROR(VALUE(G107:H107),0))</f>
        <v>47361.599999999999</v>
      </c>
      <c r="K107" s="9" t="str">
        <f t="shared" si="12"/>
        <v>400</v>
      </c>
      <c r="L107" s="9">
        <f t="shared" si="13"/>
        <v>47361.599999999999</v>
      </c>
      <c r="M107" s="9">
        <f t="shared" si="14"/>
        <v>0</v>
      </c>
      <c r="N107" s="9">
        <f t="array" ref="N107">+SUM(IFERROR(VALUE(L107:M107),0))</f>
        <v>47361.599999999999</v>
      </c>
      <c r="P107" s="9" t="str">
        <f t="shared" si="15"/>
        <v>40</v>
      </c>
      <c r="Q107" s="9">
        <f t="shared" si="16"/>
        <v>47361.599999999999</v>
      </c>
      <c r="R107" s="9">
        <f t="shared" si="17"/>
        <v>0</v>
      </c>
      <c r="S107" s="9">
        <f t="array" ref="S107">+SUM(IFERROR(VALUE(Q107:R107),0))</f>
        <v>47361.599999999999</v>
      </c>
    </row>
    <row r="108" spans="1:19" ht="14.4">
      <c r="A108" t="s">
        <v>2264</v>
      </c>
      <c r="B108" t="s">
        <v>2265</v>
      </c>
      <c r="C108" s="27">
        <v>1121118.53</v>
      </c>
      <c r="D108" s="28">
        <v>0</v>
      </c>
      <c r="F108" s="9" t="str">
        <f t="shared" si="9"/>
        <v>4001</v>
      </c>
      <c r="G108" s="9">
        <f t="shared" si="10"/>
        <v>1121118.53</v>
      </c>
      <c r="H108" s="9">
        <f t="shared" si="11"/>
        <v>0</v>
      </c>
      <c r="I108" s="9">
        <f t="array" ref="I108">+SUM(IFERROR(VALUE(G108:H108),0))</f>
        <v>1121118.53</v>
      </c>
      <c r="K108" s="9" t="str">
        <f t="shared" si="12"/>
        <v>400</v>
      </c>
      <c r="L108" s="9">
        <f t="shared" si="13"/>
        <v>1121118.53</v>
      </c>
      <c r="M108" s="9">
        <f t="shared" si="14"/>
        <v>0</v>
      </c>
      <c r="N108" s="9">
        <f t="array" ref="N108">+SUM(IFERROR(VALUE(L108:M108),0))</f>
        <v>1121118.53</v>
      </c>
      <c r="P108" s="9" t="str">
        <f t="shared" si="15"/>
        <v>40</v>
      </c>
      <c r="Q108" s="9">
        <f t="shared" si="16"/>
        <v>1121118.53</v>
      </c>
      <c r="R108" s="9">
        <f t="shared" si="17"/>
        <v>0</v>
      </c>
      <c r="S108" s="9">
        <f t="array" ref="S108">+SUM(IFERROR(VALUE(Q108:R108),0))</f>
        <v>1121118.53</v>
      </c>
    </row>
    <row r="109" spans="1:19" ht="14.4">
      <c r="A109" t="s">
        <v>2266</v>
      </c>
      <c r="B109" t="s">
        <v>2267</v>
      </c>
      <c r="C109" s="27" t="s">
        <v>1392</v>
      </c>
      <c r="D109" s="28">
        <v>0</v>
      </c>
      <c r="F109" s="9" t="str">
        <f t="shared" si="9"/>
        <v>4002</v>
      </c>
      <c r="G109" s="9" t="str">
        <f t="shared" si="10"/>
        <v/>
      </c>
      <c r="H109" s="9">
        <f t="shared" si="11"/>
        <v>0</v>
      </c>
      <c r="I109" s="9">
        <f t="array" ref="I109">+SUM(IFERROR(VALUE(G109:H109),0))</f>
        <v>0</v>
      </c>
      <c r="K109" s="9" t="str">
        <f t="shared" si="12"/>
        <v>400</v>
      </c>
      <c r="L109" s="9" t="str">
        <f t="shared" si="13"/>
        <v/>
      </c>
      <c r="M109" s="9">
        <f t="shared" si="14"/>
        <v>0</v>
      </c>
      <c r="N109" s="9">
        <f t="array" ref="N109">+SUM(IFERROR(VALUE(L109:M109),0))</f>
        <v>0</v>
      </c>
      <c r="P109" s="9" t="str">
        <f t="shared" si="15"/>
        <v>40</v>
      </c>
      <c r="Q109" s="9" t="str">
        <f t="shared" si="16"/>
        <v/>
      </c>
      <c r="R109" s="9">
        <f t="shared" si="17"/>
        <v>0</v>
      </c>
      <c r="S109" s="9">
        <f t="array" ref="S109">+SUM(IFERROR(VALUE(Q109:R109),0))</f>
        <v>0</v>
      </c>
    </row>
    <row r="110" spans="1:19" ht="14.4">
      <c r="A110" t="s">
        <v>2268</v>
      </c>
      <c r="B110" t="s">
        <v>2269</v>
      </c>
      <c r="C110" s="27">
        <v>0</v>
      </c>
      <c r="D110" s="28">
        <v>155253.31</v>
      </c>
      <c r="F110" s="9" t="str">
        <f t="shared" si="9"/>
        <v>4010</v>
      </c>
      <c r="G110" s="9">
        <f t="shared" si="10"/>
        <v>0</v>
      </c>
      <c r="H110" s="9">
        <f t="shared" si="11"/>
        <v>-155253.31</v>
      </c>
      <c r="I110" s="9">
        <f t="array" ref="I110">+SUM(IFERROR(VALUE(G110:H110),0))</f>
        <v>-155253.31</v>
      </c>
      <c r="K110" s="9" t="str">
        <f t="shared" si="12"/>
        <v>401</v>
      </c>
      <c r="L110" s="9">
        <f t="shared" si="13"/>
        <v>0</v>
      </c>
      <c r="M110" s="9">
        <f t="shared" si="14"/>
        <v>-155253.31</v>
      </c>
      <c r="N110" s="9">
        <f t="array" ref="N110">+SUM(IFERROR(VALUE(L110:M110),0))</f>
        <v>-155253.31</v>
      </c>
      <c r="P110" s="9" t="str">
        <f t="shared" si="15"/>
        <v>40</v>
      </c>
      <c r="Q110" s="9">
        <f t="shared" si="16"/>
        <v>0</v>
      </c>
      <c r="R110" s="9">
        <f t="shared" si="17"/>
        <v>-155253.31</v>
      </c>
      <c r="S110" s="9">
        <f t="array" ref="S110">+SUM(IFERROR(VALUE(Q110:R110),0))</f>
        <v>-155253.31</v>
      </c>
    </row>
    <row r="111" spans="1:19" ht="14.4">
      <c r="A111" t="s">
        <v>2270</v>
      </c>
      <c r="B111" t="s">
        <v>2271</v>
      </c>
      <c r="C111" s="27">
        <v>0</v>
      </c>
      <c r="D111" s="28">
        <v>1121138.53</v>
      </c>
      <c r="F111" s="9" t="str">
        <f t="shared" si="9"/>
        <v>4010</v>
      </c>
      <c r="G111" s="9">
        <f t="shared" si="10"/>
        <v>0</v>
      </c>
      <c r="H111" s="9">
        <f t="shared" si="11"/>
        <v>-1121138.53</v>
      </c>
      <c r="I111" s="9">
        <f t="array" ref="I111">+SUM(IFERROR(VALUE(G111:H111),0))</f>
        <v>-1121138.53</v>
      </c>
      <c r="K111" s="9" t="str">
        <f t="shared" si="12"/>
        <v>401</v>
      </c>
      <c r="L111" s="9">
        <f t="shared" si="13"/>
        <v>0</v>
      </c>
      <c r="M111" s="9">
        <f t="shared" si="14"/>
        <v>-1121138.53</v>
      </c>
      <c r="N111" s="9">
        <f t="array" ref="N111">+SUM(IFERROR(VALUE(L111:M111),0))</f>
        <v>-1121138.53</v>
      </c>
      <c r="P111" s="9" t="str">
        <f t="shared" si="15"/>
        <v>40</v>
      </c>
      <c r="Q111" s="9">
        <f t="shared" si="16"/>
        <v>0</v>
      </c>
      <c r="R111" s="9">
        <f t="shared" si="17"/>
        <v>-1121138.53</v>
      </c>
      <c r="S111" s="9">
        <f t="array" ref="S111">+SUM(IFERROR(VALUE(Q111:R111),0))</f>
        <v>-1121138.53</v>
      </c>
    </row>
    <row r="112" spans="1:19" ht="14.4">
      <c r="A112" t="s">
        <v>2272</v>
      </c>
      <c r="B112" t="s">
        <v>2273</v>
      </c>
      <c r="C112" s="27">
        <v>0</v>
      </c>
      <c r="D112" s="28">
        <v>51120</v>
      </c>
      <c r="F112" s="9" t="str">
        <f t="shared" si="9"/>
        <v>4010</v>
      </c>
      <c r="G112" s="9">
        <f t="shared" si="10"/>
        <v>0</v>
      </c>
      <c r="H112" s="9">
        <f t="shared" si="11"/>
        <v>-51120</v>
      </c>
      <c r="I112" s="9">
        <f t="array" ref="I112">+SUM(IFERROR(VALUE(G112:H112),0))</f>
        <v>-51120</v>
      </c>
      <c r="K112" s="9" t="str">
        <f t="shared" si="12"/>
        <v>401</v>
      </c>
      <c r="L112" s="9">
        <f t="shared" si="13"/>
        <v>0</v>
      </c>
      <c r="M112" s="9">
        <f t="shared" si="14"/>
        <v>-51120</v>
      </c>
      <c r="N112" s="9">
        <f t="array" ref="N112">+SUM(IFERROR(VALUE(L112:M112),0))</f>
        <v>-51120</v>
      </c>
      <c r="P112" s="9" t="str">
        <f t="shared" si="15"/>
        <v>40</v>
      </c>
      <c r="Q112" s="9">
        <f t="shared" si="16"/>
        <v>0</v>
      </c>
      <c r="R112" s="9">
        <f t="shared" si="17"/>
        <v>-51120</v>
      </c>
      <c r="S112" s="9">
        <f t="array" ref="S112">+SUM(IFERROR(VALUE(Q112:R112),0))</f>
        <v>-51120</v>
      </c>
    </row>
    <row r="113" spans="1:19" ht="14.4">
      <c r="A113" t="s">
        <v>2274</v>
      </c>
      <c r="B113" t="s">
        <v>2275</v>
      </c>
      <c r="C113" s="27">
        <v>0</v>
      </c>
      <c r="D113" s="28">
        <v>47236.639999999999</v>
      </c>
      <c r="F113" s="9" t="str">
        <f t="shared" si="9"/>
        <v>4100</v>
      </c>
      <c r="G113" s="9">
        <f t="shared" si="10"/>
        <v>0</v>
      </c>
      <c r="H113" s="9">
        <f t="shared" si="11"/>
        <v>-47236.639999999999</v>
      </c>
      <c r="I113" s="9">
        <f t="array" ref="I113">+SUM(IFERROR(VALUE(G113:H113),0))</f>
        <v>-47236.639999999999</v>
      </c>
      <c r="K113" s="9" t="str">
        <f t="shared" si="12"/>
        <v>410</v>
      </c>
      <c r="L113" s="9">
        <f t="shared" si="13"/>
        <v>0</v>
      </c>
      <c r="M113" s="9">
        <f t="shared" si="14"/>
        <v>-47236.639999999999</v>
      </c>
      <c r="N113" s="9">
        <f t="array" ref="N113">+SUM(IFERROR(VALUE(L113:M113),0))</f>
        <v>-47236.639999999999</v>
      </c>
      <c r="P113" s="9" t="str">
        <f t="shared" si="15"/>
        <v>41</v>
      </c>
      <c r="Q113" s="9">
        <f t="shared" si="16"/>
        <v>0</v>
      </c>
      <c r="R113" s="9">
        <f t="shared" si="17"/>
        <v>-47236.639999999999</v>
      </c>
      <c r="S113" s="9">
        <f t="array" ref="S113">+SUM(IFERROR(VALUE(Q113:R113),0))</f>
        <v>-47236.639999999999</v>
      </c>
    </row>
    <row r="114" spans="1:19" ht="14.4">
      <c r="A114" t="s">
        <v>2276</v>
      </c>
      <c r="B114" t="s">
        <v>2277</v>
      </c>
      <c r="C114" s="27">
        <v>14.5</v>
      </c>
      <c r="D114" s="28">
        <v>0</v>
      </c>
      <c r="F114" s="9" t="str">
        <f t="shared" si="9"/>
        <v>4101</v>
      </c>
      <c r="G114" s="9">
        <f t="shared" si="10"/>
        <v>14.5</v>
      </c>
      <c r="H114" s="9">
        <f t="shared" si="11"/>
        <v>0</v>
      </c>
      <c r="I114" s="9">
        <f t="array" ref="I114">+SUM(IFERROR(VALUE(G114:H114),0))</f>
        <v>14.5</v>
      </c>
      <c r="K114" s="9" t="str">
        <f t="shared" si="12"/>
        <v>410</v>
      </c>
      <c r="L114" s="9">
        <f t="shared" si="13"/>
        <v>14.5</v>
      </c>
      <c r="M114" s="9">
        <f t="shared" si="14"/>
        <v>0</v>
      </c>
      <c r="N114" s="9">
        <f t="array" ref="N114">+SUM(IFERROR(VALUE(L114:M114),0))</f>
        <v>14.5</v>
      </c>
      <c r="P114" s="9" t="str">
        <f t="shared" si="15"/>
        <v>41</v>
      </c>
      <c r="Q114" s="9">
        <f t="shared" si="16"/>
        <v>14.5</v>
      </c>
      <c r="R114" s="9">
        <f t="shared" si="17"/>
        <v>0</v>
      </c>
      <c r="S114" s="9">
        <f t="array" ref="S114">+SUM(IFERROR(VALUE(Q114:R114),0))</f>
        <v>14.5</v>
      </c>
    </row>
    <row r="115" spans="1:19" ht="14.4">
      <c r="A115" t="s">
        <v>2278</v>
      </c>
      <c r="B115" t="s">
        <v>2279</v>
      </c>
      <c r="C115" s="27" t="s">
        <v>1392</v>
      </c>
      <c r="D115" s="28">
        <v>0</v>
      </c>
      <c r="F115" s="9" t="str">
        <f t="shared" si="9"/>
        <v>4102</v>
      </c>
      <c r="G115" s="9" t="str">
        <f t="shared" si="10"/>
        <v/>
      </c>
      <c r="H115" s="9">
        <f t="shared" si="11"/>
        <v>0</v>
      </c>
      <c r="I115" s="9">
        <f t="array" ref="I115">+SUM(IFERROR(VALUE(G115:H115),0))</f>
        <v>0</v>
      </c>
      <c r="K115" s="9" t="str">
        <f t="shared" si="12"/>
        <v>410</v>
      </c>
      <c r="L115" s="9" t="str">
        <f t="shared" si="13"/>
        <v/>
      </c>
      <c r="M115" s="9">
        <f t="shared" si="14"/>
        <v>0</v>
      </c>
      <c r="N115" s="9">
        <f t="array" ref="N115">+SUM(IFERROR(VALUE(L115:M115),0))</f>
        <v>0</v>
      </c>
      <c r="P115" s="9" t="str">
        <f t="shared" si="15"/>
        <v>41</v>
      </c>
      <c r="Q115" s="9" t="str">
        <f t="shared" si="16"/>
        <v/>
      </c>
      <c r="R115" s="9">
        <f t="shared" si="17"/>
        <v>0</v>
      </c>
      <c r="S115" s="9">
        <f t="array" ref="S115">+SUM(IFERROR(VALUE(Q115:R115),0))</f>
        <v>0</v>
      </c>
    </row>
    <row r="116" spans="1:19" ht="14.4">
      <c r="A116" t="s">
        <v>2280</v>
      </c>
      <c r="B116" t="s">
        <v>2281</v>
      </c>
      <c r="C116" s="27">
        <v>0</v>
      </c>
      <c r="D116" s="28">
        <v>210684.16</v>
      </c>
      <c r="F116" s="9" t="str">
        <f t="shared" si="9"/>
        <v>4110</v>
      </c>
      <c r="G116" s="9">
        <f t="shared" si="10"/>
        <v>0</v>
      </c>
      <c r="H116" s="9">
        <f t="shared" si="11"/>
        <v>-210684.16</v>
      </c>
      <c r="I116" s="9">
        <f t="array" ref="I116">+SUM(IFERROR(VALUE(G116:H116),0))</f>
        <v>-210684.16</v>
      </c>
      <c r="K116" s="9" t="str">
        <f t="shared" si="12"/>
        <v>411</v>
      </c>
      <c r="L116" s="9">
        <f t="shared" si="13"/>
        <v>0</v>
      </c>
      <c r="M116" s="9">
        <f t="shared" si="14"/>
        <v>-210684.16</v>
      </c>
      <c r="N116" s="9">
        <f t="array" ref="N116">+SUM(IFERROR(VALUE(L116:M116),0))</f>
        <v>-210684.16</v>
      </c>
      <c r="P116" s="9" t="str">
        <f t="shared" si="15"/>
        <v>41</v>
      </c>
      <c r="Q116" s="9">
        <f t="shared" si="16"/>
        <v>0</v>
      </c>
      <c r="R116" s="9">
        <f t="shared" si="17"/>
        <v>-210684.16</v>
      </c>
      <c r="S116" s="9">
        <f t="array" ref="S116">+SUM(IFERROR(VALUE(Q116:R116),0))</f>
        <v>-210684.16</v>
      </c>
    </row>
    <row r="117" spans="1:19" ht="14.4">
      <c r="A117" t="s">
        <v>2282</v>
      </c>
      <c r="B117" t="s">
        <v>2283</v>
      </c>
      <c r="C117" s="27">
        <v>0</v>
      </c>
      <c r="D117" s="28">
        <v>1208.45</v>
      </c>
      <c r="F117" s="9" t="str">
        <f t="shared" si="9"/>
        <v>4110</v>
      </c>
      <c r="G117" s="9">
        <f t="shared" si="10"/>
        <v>0</v>
      </c>
      <c r="H117" s="9">
        <f t="shared" si="11"/>
        <v>-1208.45</v>
      </c>
      <c r="I117" s="9">
        <f t="array" ref="I117">+SUM(IFERROR(VALUE(G117:H117),0))</f>
        <v>-1208.45</v>
      </c>
      <c r="K117" s="9" t="str">
        <f t="shared" si="12"/>
        <v>411</v>
      </c>
      <c r="L117" s="9">
        <f t="shared" si="13"/>
        <v>0</v>
      </c>
      <c r="M117" s="9">
        <f t="shared" si="14"/>
        <v>-1208.45</v>
      </c>
      <c r="N117" s="9">
        <f t="array" ref="N117">+SUM(IFERROR(VALUE(L117:M117),0))</f>
        <v>-1208.45</v>
      </c>
      <c r="P117" s="9" t="str">
        <f t="shared" si="15"/>
        <v>41</v>
      </c>
      <c r="Q117" s="9">
        <f t="shared" si="16"/>
        <v>0</v>
      </c>
      <c r="R117" s="9">
        <f t="shared" si="17"/>
        <v>-1208.45</v>
      </c>
      <c r="S117" s="9">
        <f t="array" ref="S117">+SUM(IFERROR(VALUE(Q117:R117),0))</f>
        <v>-1208.45</v>
      </c>
    </row>
    <row r="118" spans="1:19" ht="14.4">
      <c r="A118" t="s">
        <v>2284</v>
      </c>
      <c r="B118" t="s">
        <v>2285</v>
      </c>
      <c r="C118" s="27">
        <v>0</v>
      </c>
      <c r="D118" s="28">
        <v>18401</v>
      </c>
      <c r="F118" s="9" t="str">
        <f t="shared" si="9"/>
        <v>4110</v>
      </c>
      <c r="G118" s="9">
        <f t="shared" si="10"/>
        <v>0</v>
      </c>
      <c r="H118" s="9">
        <f t="shared" si="11"/>
        <v>-18401</v>
      </c>
      <c r="I118" s="9">
        <f t="array" ref="I118">+SUM(IFERROR(VALUE(G118:H118),0))</f>
        <v>-18401</v>
      </c>
      <c r="K118" s="9" t="str">
        <f t="shared" si="12"/>
        <v>411</v>
      </c>
      <c r="L118" s="9">
        <f t="shared" si="13"/>
        <v>0</v>
      </c>
      <c r="M118" s="9">
        <f t="shared" si="14"/>
        <v>-18401</v>
      </c>
      <c r="N118" s="9">
        <f t="array" ref="N118">+SUM(IFERROR(VALUE(L118:M118),0))</f>
        <v>-18401</v>
      </c>
      <c r="P118" s="9" t="str">
        <f t="shared" si="15"/>
        <v>41</v>
      </c>
      <c r="Q118" s="9">
        <f t="shared" si="16"/>
        <v>0</v>
      </c>
      <c r="R118" s="9">
        <f t="shared" si="17"/>
        <v>-18401</v>
      </c>
      <c r="S118" s="9">
        <f t="array" ref="S118">+SUM(IFERROR(VALUE(Q118:R118),0))</f>
        <v>-18401</v>
      </c>
    </row>
    <row r="119" spans="1:19" ht="14.4">
      <c r="A119" t="s">
        <v>2286</v>
      </c>
      <c r="B119" t="s">
        <v>2287</v>
      </c>
      <c r="C119" s="27">
        <v>0</v>
      </c>
      <c r="D119" s="28">
        <v>1228574.92</v>
      </c>
      <c r="F119" s="9" t="str">
        <f t="shared" si="9"/>
        <v>4300</v>
      </c>
      <c r="G119" s="9">
        <f t="shared" si="10"/>
        <v>0</v>
      </c>
      <c r="H119" s="9">
        <f t="shared" si="11"/>
        <v>-1228574.92</v>
      </c>
      <c r="I119" s="9">
        <f t="array" ref="I119">+SUM(IFERROR(VALUE(G119:H119),0))</f>
        <v>-1228574.92</v>
      </c>
      <c r="K119" s="9" t="str">
        <f t="shared" si="12"/>
        <v>430</v>
      </c>
      <c r="L119" s="9">
        <f t="shared" si="13"/>
        <v>0</v>
      </c>
      <c r="M119" s="9">
        <f t="shared" si="14"/>
        <v>-1228574.92</v>
      </c>
      <c r="N119" s="9">
        <f t="array" ref="N119">+SUM(IFERROR(VALUE(L119:M119),0))</f>
        <v>-1228574.92</v>
      </c>
      <c r="P119" s="9" t="str">
        <f t="shared" si="15"/>
        <v>43</v>
      </c>
      <c r="Q119" s="9">
        <f t="shared" si="16"/>
        <v>0</v>
      </c>
      <c r="R119" s="9">
        <f t="shared" si="17"/>
        <v>-1228574.92</v>
      </c>
      <c r="S119" s="9">
        <f t="array" ref="S119">+SUM(IFERROR(VALUE(Q119:R119),0))</f>
        <v>-1228574.92</v>
      </c>
    </row>
    <row r="120" spans="1:19" ht="14.4">
      <c r="A120" t="s">
        <v>2288</v>
      </c>
      <c r="B120" t="s">
        <v>2289</v>
      </c>
      <c r="C120" s="27">
        <v>0</v>
      </c>
      <c r="D120" s="28">
        <v>3056.38</v>
      </c>
      <c r="F120" s="9" t="str">
        <f t="shared" si="9"/>
        <v>4302</v>
      </c>
      <c r="G120" s="9">
        <f t="shared" si="10"/>
        <v>0</v>
      </c>
      <c r="H120" s="9">
        <f t="shared" si="11"/>
        <v>-3056.38</v>
      </c>
      <c r="I120" s="9">
        <f t="array" ref="I120">+SUM(IFERROR(VALUE(G120:H120),0))</f>
        <v>-3056.38</v>
      </c>
      <c r="K120" s="9" t="str">
        <f t="shared" si="12"/>
        <v>430</v>
      </c>
      <c r="L120" s="9">
        <f t="shared" si="13"/>
        <v>0</v>
      </c>
      <c r="M120" s="9">
        <f t="shared" si="14"/>
        <v>-3056.38</v>
      </c>
      <c r="N120" s="9">
        <f t="array" ref="N120">+SUM(IFERROR(VALUE(L120:M120),0))</f>
        <v>-3056.38</v>
      </c>
      <c r="P120" s="9" t="str">
        <f t="shared" si="15"/>
        <v>43</v>
      </c>
      <c r="Q120" s="9">
        <f t="shared" si="16"/>
        <v>0</v>
      </c>
      <c r="R120" s="9">
        <f t="shared" si="17"/>
        <v>-3056.38</v>
      </c>
      <c r="S120" s="9">
        <f t="array" ref="S120">+SUM(IFERROR(VALUE(Q120:R120),0))</f>
        <v>-3056.38</v>
      </c>
    </row>
    <row r="121" spans="1:19" ht="14.4">
      <c r="A121" t="s">
        <v>2290</v>
      </c>
      <c r="B121" t="s">
        <v>2291</v>
      </c>
      <c r="C121" s="27">
        <v>0</v>
      </c>
      <c r="D121" s="28">
        <v>199725.01</v>
      </c>
      <c r="F121" s="9" t="str">
        <f t="shared" si="9"/>
        <v>4304</v>
      </c>
      <c r="G121" s="9">
        <f t="shared" si="10"/>
        <v>0</v>
      </c>
      <c r="H121" s="9">
        <f t="shared" si="11"/>
        <v>-199725.01</v>
      </c>
      <c r="I121" s="9">
        <f t="array" ref="I121">+SUM(IFERROR(VALUE(G121:H121),0))</f>
        <v>-199725.01</v>
      </c>
      <c r="K121" s="9" t="str">
        <f t="shared" si="12"/>
        <v>430</v>
      </c>
      <c r="L121" s="9">
        <f t="shared" si="13"/>
        <v>0</v>
      </c>
      <c r="M121" s="9">
        <f t="shared" si="14"/>
        <v>-199725.01</v>
      </c>
      <c r="N121" s="9">
        <f t="array" ref="N121">+SUM(IFERROR(VALUE(L121:M121),0))</f>
        <v>-199725.01</v>
      </c>
      <c r="P121" s="9" t="str">
        <f t="shared" si="15"/>
        <v>43</v>
      </c>
      <c r="Q121" s="9">
        <f t="shared" si="16"/>
        <v>0</v>
      </c>
      <c r="R121" s="9">
        <f t="shared" si="17"/>
        <v>-199725.01</v>
      </c>
      <c r="S121" s="9">
        <f t="array" ref="S121">+SUM(IFERROR(VALUE(Q121:R121),0))</f>
        <v>-199725.01</v>
      </c>
    </row>
    <row r="122" spans="1:19" ht="14.4">
      <c r="A122" t="s">
        <v>2292</v>
      </c>
      <c r="B122" t="s">
        <v>2293</v>
      </c>
      <c r="C122" s="27">
        <v>21413086.760000002</v>
      </c>
      <c r="D122" s="28">
        <v>0</v>
      </c>
      <c r="F122" s="9" t="str">
        <f t="shared" si="9"/>
        <v>4310</v>
      </c>
      <c r="G122" s="9">
        <f t="shared" si="10"/>
        <v>21413086.760000002</v>
      </c>
      <c r="H122" s="9">
        <f t="shared" si="11"/>
        <v>0</v>
      </c>
      <c r="I122" s="9">
        <f t="array" ref="I122">+SUM(IFERROR(VALUE(G122:H122),0))</f>
        <v>21413086.760000002</v>
      </c>
      <c r="K122" s="9" t="str">
        <f t="shared" si="12"/>
        <v>431</v>
      </c>
      <c r="L122" s="9">
        <f t="shared" si="13"/>
        <v>21413086.760000002</v>
      </c>
      <c r="M122" s="9">
        <f t="shared" si="14"/>
        <v>0</v>
      </c>
      <c r="N122" s="9">
        <f t="array" ref="N122">+SUM(IFERROR(VALUE(L122:M122),0))</f>
        <v>21413086.760000002</v>
      </c>
      <c r="P122" s="9" t="str">
        <f t="shared" si="15"/>
        <v>43</v>
      </c>
      <c r="Q122" s="9">
        <f t="shared" si="16"/>
        <v>21413086.760000002</v>
      </c>
      <c r="R122" s="9">
        <f t="shared" si="17"/>
        <v>0</v>
      </c>
      <c r="S122" s="9">
        <f t="array" ref="S122">+SUM(IFERROR(VALUE(Q122:R122),0))</f>
        <v>21413086.760000002</v>
      </c>
    </row>
    <row r="123" spans="1:19" ht="14.4">
      <c r="A123" t="s">
        <v>2294</v>
      </c>
      <c r="B123" t="s">
        <v>2295</v>
      </c>
      <c r="C123" s="27">
        <v>2354912.98</v>
      </c>
      <c r="D123" s="28">
        <v>0</v>
      </c>
      <c r="F123" s="9" t="str">
        <f t="shared" si="9"/>
        <v>4310</v>
      </c>
      <c r="G123" s="9">
        <f t="shared" si="10"/>
        <v>2354912.98</v>
      </c>
      <c r="H123" s="9">
        <f t="shared" si="11"/>
        <v>0</v>
      </c>
      <c r="I123" s="9">
        <f t="array" ref="I123">+SUM(IFERROR(VALUE(G123:H123),0))</f>
        <v>2354912.98</v>
      </c>
      <c r="K123" s="9" t="str">
        <f t="shared" si="12"/>
        <v>431</v>
      </c>
      <c r="L123" s="9">
        <f t="shared" si="13"/>
        <v>2354912.98</v>
      </c>
      <c r="M123" s="9">
        <f t="shared" si="14"/>
        <v>0</v>
      </c>
      <c r="N123" s="9">
        <f t="array" ref="N123">+SUM(IFERROR(VALUE(L123:M123),0))</f>
        <v>2354912.98</v>
      </c>
      <c r="P123" s="9" t="str">
        <f t="shared" si="15"/>
        <v>43</v>
      </c>
      <c r="Q123" s="9">
        <f t="shared" si="16"/>
        <v>2354912.98</v>
      </c>
      <c r="R123" s="9">
        <f t="shared" si="17"/>
        <v>0</v>
      </c>
      <c r="S123" s="9">
        <f t="array" ref="S123">+SUM(IFERROR(VALUE(Q123:R123),0))</f>
        <v>2354912.98</v>
      </c>
    </row>
    <row r="124" spans="1:19" ht="14.4">
      <c r="A124" t="s">
        <v>2296</v>
      </c>
      <c r="B124" t="s">
        <v>2297</v>
      </c>
      <c r="C124" s="27">
        <v>2000944.95</v>
      </c>
      <c r="D124" s="28">
        <v>0</v>
      </c>
      <c r="F124" s="9" t="str">
        <f t="shared" si="9"/>
        <v>4310</v>
      </c>
      <c r="G124" s="9">
        <f t="shared" si="10"/>
        <v>2000944.95</v>
      </c>
      <c r="H124" s="9">
        <f t="shared" si="11"/>
        <v>0</v>
      </c>
      <c r="I124" s="9">
        <f t="array" ref="I124">+SUM(IFERROR(VALUE(G124:H124),0))</f>
        <v>2000944.95</v>
      </c>
      <c r="K124" s="9" t="str">
        <f t="shared" si="12"/>
        <v>431</v>
      </c>
      <c r="L124" s="9">
        <f t="shared" si="13"/>
        <v>2000944.95</v>
      </c>
      <c r="M124" s="9">
        <f t="shared" si="14"/>
        <v>0</v>
      </c>
      <c r="N124" s="9">
        <f t="array" ref="N124">+SUM(IFERROR(VALUE(L124:M124),0))</f>
        <v>2000944.95</v>
      </c>
      <c r="P124" s="9" t="str">
        <f t="shared" si="15"/>
        <v>43</v>
      </c>
      <c r="Q124" s="9">
        <f t="shared" si="16"/>
        <v>2000944.95</v>
      </c>
      <c r="R124" s="9">
        <f t="shared" si="17"/>
        <v>0</v>
      </c>
      <c r="S124" s="9">
        <f t="array" ref="S124">+SUM(IFERROR(VALUE(Q124:R124),0))</f>
        <v>2000944.95</v>
      </c>
    </row>
    <row r="125" spans="1:19" ht="14.4">
      <c r="A125" t="s">
        <v>2298</v>
      </c>
      <c r="B125" t="s">
        <v>2299</v>
      </c>
      <c r="C125" s="27" t="s">
        <v>1392</v>
      </c>
      <c r="D125" s="28">
        <v>0</v>
      </c>
      <c r="F125" s="9" t="str">
        <f t="shared" si="9"/>
        <v>4312</v>
      </c>
      <c r="G125" s="9" t="str">
        <f t="shared" si="10"/>
        <v/>
      </c>
      <c r="H125" s="9">
        <f t="shared" si="11"/>
        <v>0</v>
      </c>
      <c r="I125" s="9">
        <f t="array" ref="I125">+SUM(IFERROR(VALUE(G125:H125),0))</f>
        <v>0</v>
      </c>
      <c r="K125" s="9" t="str">
        <f t="shared" si="12"/>
        <v>431</v>
      </c>
      <c r="L125" s="9" t="str">
        <f t="shared" si="13"/>
        <v/>
      </c>
      <c r="M125" s="9">
        <f t="shared" si="14"/>
        <v>0</v>
      </c>
      <c r="N125" s="9">
        <f t="array" ref="N125">+SUM(IFERROR(VALUE(L125:M125),0))</f>
        <v>0</v>
      </c>
      <c r="P125" s="9" t="str">
        <f t="shared" si="15"/>
        <v>43</v>
      </c>
      <c r="Q125" s="9" t="str">
        <f t="shared" si="16"/>
        <v/>
      </c>
      <c r="R125" s="9">
        <f t="shared" si="17"/>
        <v>0</v>
      </c>
      <c r="S125" s="9">
        <f t="array" ref="S125">+SUM(IFERROR(VALUE(Q125:R125),0))</f>
        <v>0</v>
      </c>
    </row>
    <row r="126" spans="1:19" ht="14.4">
      <c r="A126" t="s">
        <v>2300</v>
      </c>
      <c r="B126" t="s">
        <v>2301</v>
      </c>
      <c r="C126" s="27" t="s">
        <v>1392</v>
      </c>
      <c r="D126" s="28">
        <v>0</v>
      </c>
      <c r="F126" s="9" t="str">
        <f t="shared" si="9"/>
        <v>4314</v>
      </c>
      <c r="G126" s="9" t="str">
        <f t="shared" si="10"/>
        <v/>
      </c>
      <c r="H126" s="9">
        <f t="shared" si="11"/>
        <v>0</v>
      </c>
      <c r="I126" s="9">
        <f t="array" ref="I126">+SUM(IFERROR(VALUE(G126:H126),0))</f>
        <v>0</v>
      </c>
      <c r="K126" s="9" t="str">
        <f t="shared" si="12"/>
        <v>431</v>
      </c>
      <c r="L126" s="9" t="str">
        <f t="shared" si="13"/>
        <v/>
      </c>
      <c r="M126" s="9">
        <f t="shared" si="14"/>
        <v>0</v>
      </c>
      <c r="N126" s="9">
        <f t="array" ref="N126">+SUM(IFERROR(VALUE(L126:M126),0))</f>
        <v>0</v>
      </c>
      <c r="P126" s="9" t="str">
        <f t="shared" si="15"/>
        <v>43</v>
      </c>
      <c r="Q126" s="9" t="str">
        <f t="shared" si="16"/>
        <v/>
      </c>
      <c r="R126" s="9">
        <f t="shared" si="17"/>
        <v>0</v>
      </c>
      <c r="S126" s="9">
        <f t="array" ref="S126">+SUM(IFERROR(VALUE(Q126:R126),0))</f>
        <v>0</v>
      </c>
    </row>
    <row r="127" spans="1:19" ht="14.4">
      <c r="A127" t="s">
        <v>2302</v>
      </c>
      <c r="B127" t="s">
        <v>2303</v>
      </c>
      <c r="C127" s="27" t="s">
        <v>1392</v>
      </c>
      <c r="D127" s="28">
        <v>0</v>
      </c>
      <c r="F127" s="9" t="str">
        <f t="shared" si="9"/>
        <v>4315</v>
      </c>
      <c r="G127" s="9" t="str">
        <f t="shared" si="10"/>
        <v/>
      </c>
      <c r="H127" s="9">
        <f t="shared" si="11"/>
        <v>0</v>
      </c>
      <c r="I127" s="9">
        <f t="array" ref="I127">+SUM(IFERROR(VALUE(G127:H127),0))</f>
        <v>0</v>
      </c>
      <c r="K127" s="9" t="str">
        <f t="shared" si="12"/>
        <v>431</v>
      </c>
      <c r="L127" s="9" t="str">
        <f t="shared" si="13"/>
        <v/>
      </c>
      <c r="M127" s="9">
        <f t="shared" si="14"/>
        <v>0</v>
      </c>
      <c r="N127" s="9">
        <f t="array" ref="N127">+SUM(IFERROR(VALUE(L127:M127),0))</f>
        <v>0</v>
      </c>
      <c r="P127" s="9" t="str">
        <f t="shared" si="15"/>
        <v>43</v>
      </c>
      <c r="Q127" s="9" t="str">
        <f t="shared" si="16"/>
        <v/>
      </c>
      <c r="R127" s="9">
        <f t="shared" si="17"/>
        <v>0</v>
      </c>
      <c r="S127" s="9">
        <f t="array" ref="S127">+SUM(IFERROR(VALUE(Q127:R127),0))</f>
        <v>0</v>
      </c>
    </row>
    <row r="128" spans="1:19" ht="14.4">
      <c r="A128" t="s">
        <v>2304</v>
      </c>
      <c r="B128" t="s">
        <v>2305</v>
      </c>
      <c r="C128" s="27">
        <v>110160</v>
      </c>
      <c r="D128" s="28">
        <v>0</v>
      </c>
      <c r="F128" s="9" t="str">
        <f t="shared" si="9"/>
        <v>4361</v>
      </c>
      <c r="G128" s="9">
        <f t="shared" si="10"/>
        <v>110160</v>
      </c>
      <c r="H128" s="9">
        <f t="shared" si="11"/>
        <v>0</v>
      </c>
      <c r="I128" s="9">
        <f t="array" ref="I128">+SUM(IFERROR(VALUE(G128:H128),0))</f>
        <v>110160</v>
      </c>
      <c r="K128" s="9" t="str">
        <f t="shared" si="12"/>
        <v>436</v>
      </c>
      <c r="L128" s="9">
        <f t="shared" si="13"/>
        <v>110160</v>
      </c>
      <c r="M128" s="9">
        <f t="shared" si="14"/>
        <v>0</v>
      </c>
      <c r="N128" s="9">
        <f t="array" ref="N128">+SUM(IFERROR(VALUE(L128:M128),0))</f>
        <v>110160</v>
      </c>
      <c r="P128" s="9" t="str">
        <f t="shared" si="15"/>
        <v>43</v>
      </c>
      <c r="Q128" s="9">
        <f t="shared" si="16"/>
        <v>110160</v>
      </c>
      <c r="R128" s="9">
        <f t="shared" si="17"/>
        <v>0</v>
      </c>
      <c r="S128" s="9">
        <f t="array" ref="S128">+SUM(IFERROR(VALUE(Q128:R128),0))</f>
        <v>110160</v>
      </c>
    </row>
    <row r="129" spans="1:19" ht="14.4">
      <c r="A129" t="s">
        <v>2306</v>
      </c>
      <c r="B129" t="s">
        <v>2307</v>
      </c>
      <c r="C129" s="27" t="s">
        <v>1392</v>
      </c>
      <c r="D129" s="28">
        <v>0</v>
      </c>
      <c r="F129" s="9" t="str">
        <f t="shared" si="9"/>
        <v>4382</v>
      </c>
      <c r="G129" s="9" t="str">
        <f t="shared" si="10"/>
        <v/>
      </c>
      <c r="H129" s="9">
        <f t="shared" si="11"/>
        <v>0</v>
      </c>
      <c r="I129" s="9">
        <f t="array" ref="I129">+SUM(IFERROR(VALUE(G129:H129),0))</f>
        <v>0</v>
      </c>
      <c r="K129" s="9" t="str">
        <f t="shared" si="12"/>
        <v>438</v>
      </c>
      <c r="L129" s="9" t="str">
        <f t="shared" si="13"/>
        <v/>
      </c>
      <c r="M129" s="9">
        <f t="shared" si="14"/>
        <v>0</v>
      </c>
      <c r="N129" s="9">
        <f t="array" ref="N129">+SUM(IFERROR(VALUE(L129:M129),0))</f>
        <v>0</v>
      </c>
      <c r="P129" s="9" t="str">
        <f t="shared" si="15"/>
        <v>43</v>
      </c>
      <c r="Q129" s="9" t="str">
        <f t="shared" si="16"/>
        <v/>
      </c>
      <c r="R129" s="9">
        <f t="shared" si="17"/>
        <v>0</v>
      </c>
      <c r="S129" s="9">
        <f t="array" ref="S129">+SUM(IFERROR(VALUE(Q129:R129),0))</f>
        <v>0</v>
      </c>
    </row>
    <row r="130" spans="1:19" ht="14.4">
      <c r="A130" t="s">
        <v>2308</v>
      </c>
      <c r="B130" t="s">
        <v>2309</v>
      </c>
      <c r="C130" s="27">
        <v>652.07000000000005</v>
      </c>
      <c r="D130" s="28">
        <v>0</v>
      </c>
      <c r="F130" s="9" t="str">
        <f t="shared" si="9"/>
        <v>4400</v>
      </c>
      <c r="G130" s="9">
        <f t="shared" si="10"/>
        <v>652.07000000000005</v>
      </c>
      <c r="H130" s="9">
        <f t="shared" si="11"/>
        <v>0</v>
      </c>
      <c r="I130" s="9">
        <f t="array" ref="I130">+SUM(IFERROR(VALUE(G130:H130),0))</f>
        <v>652.07000000000005</v>
      </c>
      <c r="K130" s="9" t="str">
        <f t="shared" si="12"/>
        <v>440</v>
      </c>
      <c r="L130" s="9">
        <f t="shared" si="13"/>
        <v>652.07000000000005</v>
      </c>
      <c r="M130" s="9">
        <f t="shared" si="14"/>
        <v>0</v>
      </c>
      <c r="N130" s="9">
        <f t="array" ref="N130">+SUM(IFERROR(VALUE(L130:M130),0))</f>
        <v>652.07000000000005</v>
      </c>
      <c r="P130" s="9" t="str">
        <f t="shared" si="15"/>
        <v>44</v>
      </c>
      <c r="Q130" s="9">
        <f t="shared" si="16"/>
        <v>652.07000000000005</v>
      </c>
      <c r="R130" s="9">
        <f t="shared" si="17"/>
        <v>0</v>
      </c>
      <c r="S130" s="9">
        <f t="array" ref="S130">+SUM(IFERROR(VALUE(Q130:R130),0))</f>
        <v>652.07000000000005</v>
      </c>
    </row>
    <row r="131" spans="1:19" ht="14.4">
      <c r="A131" t="s">
        <v>2310</v>
      </c>
      <c r="B131" t="s">
        <v>2311</v>
      </c>
      <c r="C131" s="27">
        <v>156.09</v>
      </c>
      <c r="D131" s="28">
        <v>0</v>
      </c>
      <c r="F131" s="9" t="str">
        <f t="shared" si="9"/>
        <v>4410</v>
      </c>
      <c r="G131" s="9">
        <f t="shared" si="10"/>
        <v>156.09</v>
      </c>
      <c r="H131" s="9">
        <f t="shared" si="11"/>
        <v>0</v>
      </c>
      <c r="I131" s="9">
        <f t="array" ref="I131">+SUM(IFERROR(VALUE(G131:H131),0))</f>
        <v>156.09</v>
      </c>
      <c r="K131" s="9" t="str">
        <f t="shared" si="12"/>
        <v>441</v>
      </c>
      <c r="L131" s="9">
        <f t="shared" si="13"/>
        <v>156.09</v>
      </c>
      <c r="M131" s="9">
        <f t="shared" si="14"/>
        <v>0</v>
      </c>
      <c r="N131" s="9">
        <f t="array" ref="N131">+SUM(IFERROR(VALUE(L131:M131),0))</f>
        <v>156.09</v>
      </c>
      <c r="P131" s="9" t="str">
        <f t="shared" si="15"/>
        <v>44</v>
      </c>
      <c r="Q131" s="9">
        <f t="shared" si="16"/>
        <v>156.09</v>
      </c>
      <c r="R131" s="9">
        <f t="shared" si="17"/>
        <v>0</v>
      </c>
      <c r="S131" s="9">
        <f t="array" ref="S131">+SUM(IFERROR(VALUE(Q131:R131),0))</f>
        <v>156.09</v>
      </c>
    </row>
    <row r="132" spans="1:19" ht="14.4">
      <c r="A132" t="s">
        <v>2312</v>
      </c>
      <c r="B132" t="s">
        <v>2313</v>
      </c>
      <c r="C132" s="27">
        <v>525</v>
      </c>
      <c r="D132" s="28">
        <v>0</v>
      </c>
      <c r="F132" s="9" t="str">
        <f t="shared" si="9"/>
        <v>4600</v>
      </c>
      <c r="G132" s="9">
        <f t="shared" si="10"/>
        <v>525</v>
      </c>
      <c r="H132" s="9">
        <f t="shared" si="11"/>
        <v>0</v>
      </c>
      <c r="I132" s="9">
        <f t="array" ref="I132">+SUM(IFERROR(VALUE(G132:H132),0))</f>
        <v>525</v>
      </c>
      <c r="K132" s="9" t="str">
        <f t="shared" si="12"/>
        <v>460</v>
      </c>
      <c r="L132" s="9">
        <f t="shared" si="13"/>
        <v>525</v>
      </c>
      <c r="M132" s="9">
        <f t="shared" si="14"/>
        <v>0</v>
      </c>
      <c r="N132" s="9">
        <f t="array" ref="N132">+SUM(IFERROR(VALUE(L132:M132),0))</f>
        <v>525</v>
      </c>
      <c r="P132" s="9" t="str">
        <f t="shared" si="15"/>
        <v>46</v>
      </c>
      <c r="Q132" s="9">
        <f t="shared" si="16"/>
        <v>525</v>
      </c>
      <c r="R132" s="9">
        <f t="shared" si="17"/>
        <v>0</v>
      </c>
      <c r="S132" s="9">
        <f t="array" ref="S132">+SUM(IFERROR(VALUE(Q132:R132),0))</f>
        <v>525</v>
      </c>
    </row>
    <row r="133" spans="1:19" ht="14.4">
      <c r="A133" t="s">
        <v>2314</v>
      </c>
      <c r="B133" t="s">
        <v>2315</v>
      </c>
      <c r="C133" s="27">
        <v>155.01</v>
      </c>
      <c r="D133" s="28">
        <v>0</v>
      </c>
      <c r="F133" s="9" t="str">
        <f t="shared" si="9"/>
        <v>4650</v>
      </c>
      <c r="G133" s="9">
        <f t="shared" si="10"/>
        <v>155.01</v>
      </c>
      <c r="H133" s="9">
        <f t="shared" si="11"/>
        <v>0</v>
      </c>
      <c r="I133" s="9">
        <f t="array" ref="I133">+SUM(IFERROR(VALUE(G133:H133),0))</f>
        <v>155.01</v>
      </c>
      <c r="K133" s="9" t="str">
        <f t="shared" si="12"/>
        <v>465</v>
      </c>
      <c r="L133" s="9">
        <f t="shared" si="13"/>
        <v>155.01</v>
      </c>
      <c r="M133" s="9">
        <f t="shared" si="14"/>
        <v>0</v>
      </c>
      <c r="N133" s="9">
        <f t="array" ref="N133">+SUM(IFERROR(VALUE(L133:M133),0))</f>
        <v>155.01</v>
      </c>
      <c r="P133" s="9" t="str">
        <f t="shared" si="15"/>
        <v>46</v>
      </c>
      <c r="Q133" s="9">
        <f t="shared" si="16"/>
        <v>155.01</v>
      </c>
      <c r="R133" s="9">
        <f t="shared" si="17"/>
        <v>0</v>
      </c>
      <c r="S133" s="9">
        <f t="array" ref="S133">+SUM(IFERROR(VALUE(Q133:R133),0))</f>
        <v>155.01</v>
      </c>
    </row>
    <row r="134" spans="1:19" ht="14.4">
      <c r="A134" t="s">
        <v>2316</v>
      </c>
      <c r="B134" t="s">
        <v>2317</v>
      </c>
      <c r="C134" s="27" t="s">
        <v>1392</v>
      </c>
      <c r="D134" s="28">
        <v>0</v>
      </c>
      <c r="F134" s="9" t="str">
        <f t="shared" ref="F134:F197" si="18">+LEFT(A134,4)</f>
        <v>4708</v>
      </c>
      <c r="G134" s="9" t="str">
        <f t="shared" ref="G134:G197" si="19">+C134</f>
        <v/>
      </c>
      <c r="H134" s="9">
        <f t="shared" ref="H134:H197" si="20">-D134</f>
        <v>0</v>
      </c>
      <c r="I134" s="9">
        <f t="array" ref="I134">+SUM(IFERROR(VALUE(G134:H134),0))</f>
        <v>0</v>
      </c>
      <c r="K134" s="9" t="str">
        <f t="shared" ref="K134:K197" si="21">+LEFT(A134,3)</f>
        <v>470</v>
      </c>
      <c r="L134" s="9" t="str">
        <f t="shared" ref="L134:L197" si="22">+C134</f>
        <v/>
      </c>
      <c r="M134" s="9">
        <f t="shared" ref="M134:M197" si="23">-D134</f>
        <v>0</v>
      </c>
      <c r="N134" s="9">
        <f t="array" ref="N134">+SUM(IFERROR(VALUE(L134:M134),0))</f>
        <v>0</v>
      </c>
      <c r="P134" s="9" t="str">
        <f t="shared" ref="P134:P197" si="24">+LEFT(A134,2)</f>
        <v>47</v>
      </c>
      <c r="Q134" s="9" t="str">
        <f t="shared" ref="Q134:Q197" si="25">+C134</f>
        <v/>
      </c>
      <c r="R134" s="9">
        <f t="shared" ref="R134:R197" si="26">-D134</f>
        <v>0</v>
      </c>
      <c r="S134" s="9">
        <f t="array" ref="S134">+SUM(IFERROR(VALUE(Q134:R134),0))</f>
        <v>0</v>
      </c>
    </row>
    <row r="135" spans="1:19" ht="14.4">
      <c r="A135" t="s">
        <v>2318</v>
      </c>
      <c r="B135" t="s">
        <v>2319</v>
      </c>
      <c r="C135" s="27" t="s">
        <v>1392</v>
      </c>
      <c r="D135" s="28">
        <v>0</v>
      </c>
      <c r="F135" s="9" t="str">
        <f t="shared" si="18"/>
        <v>4709</v>
      </c>
      <c r="G135" s="9" t="str">
        <f t="shared" si="19"/>
        <v/>
      </c>
      <c r="H135" s="9">
        <f t="shared" si="20"/>
        <v>0</v>
      </c>
      <c r="I135" s="9">
        <f t="array" ref="I135">+SUM(IFERROR(VALUE(G135:H135),0))</f>
        <v>0</v>
      </c>
      <c r="K135" s="9" t="str">
        <f t="shared" si="21"/>
        <v>470</v>
      </c>
      <c r="L135" s="9" t="str">
        <f t="shared" si="22"/>
        <v/>
      </c>
      <c r="M135" s="9">
        <f t="shared" si="23"/>
        <v>0</v>
      </c>
      <c r="N135" s="9">
        <f t="array" ref="N135">+SUM(IFERROR(VALUE(L135:M135),0))</f>
        <v>0</v>
      </c>
      <c r="P135" s="9" t="str">
        <f t="shared" si="24"/>
        <v>47</v>
      </c>
      <c r="Q135" s="9" t="str">
        <f t="shared" si="25"/>
        <v/>
      </c>
      <c r="R135" s="9">
        <f t="shared" si="26"/>
        <v>0</v>
      </c>
      <c r="S135" s="9">
        <f t="array" ref="S135">+SUM(IFERROR(VALUE(Q135:R135),0))</f>
        <v>0</v>
      </c>
    </row>
    <row r="136" spans="1:19" ht="14.4">
      <c r="A136" t="s">
        <v>2320</v>
      </c>
      <c r="B136" t="s">
        <v>2321</v>
      </c>
      <c r="C136" s="27">
        <v>1119251.58</v>
      </c>
      <c r="D136" s="28">
        <v>0</v>
      </c>
      <c r="F136" s="9" t="str">
        <f t="shared" si="18"/>
        <v>4709</v>
      </c>
      <c r="G136" s="9">
        <f t="shared" si="19"/>
        <v>1119251.58</v>
      </c>
      <c r="H136" s="9">
        <f t="shared" si="20"/>
        <v>0</v>
      </c>
      <c r="I136" s="9">
        <f t="array" ref="I136">+SUM(IFERROR(VALUE(G136:H136),0))</f>
        <v>1119251.58</v>
      </c>
      <c r="K136" s="9" t="str">
        <f t="shared" si="21"/>
        <v>470</v>
      </c>
      <c r="L136" s="9">
        <f t="shared" si="22"/>
        <v>1119251.58</v>
      </c>
      <c r="M136" s="9">
        <f t="shared" si="23"/>
        <v>0</v>
      </c>
      <c r="N136" s="9">
        <f t="array" ref="N136">+SUM(IFERROR(VALUE(L136:M136),0))</f>
        <v>1119251.58</v>
      </c>
      <c r="P136" s="9" t="str">
        <f t="shared" si="24"/>
        <v>47</v>
      </c>
      <c r="Q136" s="9">
        <f t="shared" si="25"/>
        <v>1119251.58</v>
      </c>
      <c r="R136" s="9">
        <f t="shared" si="26"/>
        <v>0</v>
      </c>
      <c r="S136" s="9">
        <f t="array" ref="S136">+SUM(IFERROR(VALUE(Q136:R136),0))</f>
        <v>1119251.58</v>
      </c>
    </row>
    <row r="137" spans="1:19" ht="14.4">
      <c r="A137" t="s">
        <v>2322</v>
      </c>
      <c r="B137" t="s">
        <v>2323</v>
      </c>
      <c r="C137" s="27" t="s">
        <v>1392</v>
      </c>
      <c r="D137" s="28">
        <v>0</v>
      </c>
      <c r="F137" s="9" t="str">
        <f t="shared" si="18"/>
        <v>4720</v>
      </c>
      <c r="G137" s="9" t="str">
        <f t="shared" si="19"/>
        <v/>
      </c>
      <c r="H137" s="9">
        <f t="shared" si="20"/>
        <v>0</v>
      </c>
      <c r="I137" s="9">
        <f t="array" ref="I137">+SUM(IFERROR(VALUE(G137:H137),0))</f>
        <v>0</v>
      </c>
      <c r="K137" s="9" t="str">
        <f t="shared" si="21"/>
        <v>472</v>
      </c>
      <c r="L137" s="9" t="str">
        <f t="shared" si="22"/>
        <v/>
      </c>
      <c r="M137" s="9">
        <f t="shared" si="23"/>
        <v>0</v>
      </c>
      <c r="N137" s="9">
        <f t="array" ref="N137">+SUM(IFERROR(VALUE(L137:M137),0))</f>
        <v>0</v>
      </c>
      <c r="P137" s="9" t="str">
        <f t="shared" si="24"/>
        <v>47</v>
      </c>
      <c r="Q137" s="9" t="str">
        <f t="shared" si="25"/>
        <v/>
      </c>
      <c r="R137" s="9">
        <f t="shared" si="26"/>
        <v>0</v>
      </c>
      <c r="S137" s="9">
        <f t="array" ref="S137">+SUM(IFERROR(VALUE(Q137:R137),0))</f>
        <v>0</v>
      </c>
    </row>
    <row r="138" spans="1:19" ht="14.4">
      <c r="A138" t="s">
        <v>2324</v>
      </c>
      <c r="B138" t="s">
        <v>2325</v>
      </c>
      <c r="C138" s="27" t="s">
        <v>1392</v>
      </c>
      <c r="D138" s="28">
        <v>0</v>
      </c>
      <c r="F138" s="9" t="str">
        <f t="shared" si="18"/>
        <v>4721</v>
      </c>
      <c r="G138" s="9" t="str">
        <f t="shared" si="19"/>
        <v/>
      </c>
      <c r="H138" s="9">
        <f t="shared" si="20"/>
        <v>0</v>
      </c>
      <c r="I138" s="9">
        <f t="array" ref="I138">+SUM(IFERROR(VALUE(G138:H138),0))</f>
        <v>0</v>
      </c>
      <c r="K138" s="9" t="str">
        <f t="shared" si="21"/>
        <v>472</v>
      </c>
      <c r="L138" s="9" t="str">
        <f t="shared" si="22"/>
        <v/>
      </c>
      <c r="M138" s="9">
        <f t="shared" si="23"/>
        <v>0</v>
      </c>
      <c r="N138" s="9">
        <f t="array" ref="N138">+SUM(IFERROR(VALUE(L138:M138),0))</f>
        <v>0</v>
      </c>
      <c r="P138" s="9" t="str">
        <f t="shared" si="24"/>
        <v>47</v>
      </c>
      <c r="Q138" s="9" t="str">
        <f t="shared" si="25"/>
        <v/>
      </c>
      <c r="R138" s="9">
        <f t="shared" si="26"/>
        <v>0</v>
      </c>
      <c r="S138" s="9">
        <f t="array" ref="S138">+SUM(IFERROR(VALUE(Q138:R138),0))</f>
        <v>0</v>
      </c>
    </row>
    <row r="139" spans="1:19" ht="14.4">
      <c r="A139" t="s">
        <v>2326</v>
      </c>
      <c r="B139" t="s">
        <v>2327</v>
      </c>
      <c r="C139" s="27" t="s">
        <v>1392</v>
      </c>
      <c r="D139" s="28">
        <v>0</v>
      </c>
      <c r="F139" s="9" t="str">
        <f t="shared" si="18"/>
        <v>4722</v>
      </c>
      <c r="G139" s="9" t="str">
        <f t="shared" si="19"/>
        <v/>
      </c>
      <c r="H139" s="9">
        <f t="shared" si="20"/>
        <v>0</v>
      </c>
      <c r="I139" s="9">
        <f t="array" ref="I139">+SUM(IFERROR(VALUE(G139:H139),0))</f>
        <v>0</v>
      </c>
      <c r="K139" s="9" t="str">
        <f t="shared" si="21"/>
        <v>472</v>
      </c>
      <c r="L139" s="9" t="str">
        <f t="shared" si="22"/>
        <v/>
      </c>
      <c r="M139" s="9">
        <f t="shared" si="23"/>
        <v>0</v>
      </c>
      <c r="N139" s="9">
        <f t="array" ref="N139">+SUM(IFERROR(VALUE(L139:M139),0))</f>
        <v>0</v>
      </c>
      <c r="P139" s="9" t="str">
        <f t="shared" si="24"/>
        <v>47</v>
      </c>
      <c r="Q139" s="9" t="str">
        <f t="shared" si="25"/>
        <v/>
      </c>
      <c r="R139" s="9">
        <f t="shared" si="26"/>
        <v>0</v>
      </c>
      <c r="S139" s="9">
        <f t="array" ref="S139">+SUM(IFERROR(VALUE(Q139:R139),0))</f>
        <v>0</v>
      </c>
    </row>
    <row r="140" spans="1:19" ht="14.4">
      <c r="A140" t="s">
        <v>2328</v>
      </c>
      <c r="B140" t="s">
        <v>2329</v>
      </c>
      <c r="C140" s="27" t="s">
        <v>1392</v>
      </c>
      <c r="D140" s="28">
        <v>0</v>
      </c>
      <c r="F140" s="9" t="str">
        <f t="shared" si="18"/>
        <v>4723</v>
      </c>
      <c r="G140" s="9" t="str">
        <f t="shared" si="19"/>
        <v/>
      </c>
      <c r="H140" s="9">
        <f t="shared" si="20"/>
        <v>0</v>
      </c>
      <c r="I140" s="9">
        <f t="array" ref="I140">+SUM(IFERROR(VALUE(G140:H140),0))</f>
        <v>0</v>
      </c>
      <c r="K140" s="9" t="str">
        <f t="shared" si="21"/>
        <v>472</v>
      </c>
      <c r="L140" s="9" t="str">
        <f t="shared" si="22"/>
        <v/>
      </c>
      <c r="M140" s="9">
        <f t="shared" si="23"/>
        <v>0</v>
      </c>
      <c r="N140" s="9">
        <f t="array" ref="N140">+SUM(IFERROR(VALUE(L140:M140),0))</f>
        <v>0</v>
      </c>
      <c r="P140" s="9" t="str">
        <f t="shared" si="24"/>
        <v>47</v>
      </c>
      <c r="Q140" s="9" t="str">
        <f t="shared" si="25"/>
        <v/>
      </c>
      <c r="R140" s="9">
        <f t="shared" si="26"/>
        <v>0</v>
      </c>
      <c r="S140" s="9">
        <f t="array" ref="S140">+SUM(IFERROR(VALUE(Q140:R140),0))</f>
        <v>0</v>
      </c>
    </row>
    <row r="141" spans="1:19" ht="14.4">
      <c r="A141" t="s">
        <v>2330</v>
      </c>
      <c r="B141" t="s">
        <v>2331</v>
      </c>
      <c r="C141" s="27" t="s">
        <v>1392</v>
      </c>
      <c r="D141" s="28">
        <v>0</v>
      </c>
      <c r="F141" s="9" t="str">
        <f t="shared" si="18"/>
        <v>4723</v>
      </c>
      <c r="G141" s="9" t="str">
        <f t="shared" si="19"/>
        <v/>
      </c>
      <c r="H141" s="9">
        <f t="shared" si="20"/>
        <v>0</v>
      </c>
      <c r="I141" s="9">
        <f t="array" ref="I141">+SUM(IFERROR(VALUE(G141:H141),0))</f>
        <v>0</v>
      </c>
      <c r="K141" s="9" t="str">
        <f t="shared" si="21"/>
        <v>472</v>
      </c>
      <c r="L141" s="9" t="str">
        <f t="shared" si="22"/>
        <v/>
      </c>
      <c r="M141" s="9">
        <f t="shared" si="23"/>
        <v>0</v>
      </c>
      <c r="N141" s="9">
        <f t="array" ref="N141">+SUM(IFERROR(VALUE(L141:M141),0))</f>
        <v>0</v>
      </c>
      <c r="P141" s="9" t="str">
        <f t="shared" si="24"/>
        <v>47</v>
      </c>
      <c r="Q141" s="9" t="str">
        <f t="shared" si="25"/>
        <v/>
      </c>
      <c r="R141" s="9">
        <f t="shared" si="26"/>
        <v>0</v>
      </c>
      <c r="S141" s="9">
        <f t="array" ref="S141">+SUM(IFERROR(VALUE(Q141:R141),0))</f>
        <v>0</v>
      </c>
    </row>
    <row r="142" spans="1:19" ht="14.4">
      <c r="A142" t="s">
        <v>2332</v>
      </c>
      <c r="B142" t="s">
        <v>2333</v>
      </c>
      <c r="C142" s="27" t="s">
        <v>1392</v>
      </c>
      <c r="D142" s="28">
        <v>0</v>
      </c>
      <c r="F142" s="9" t="str">
        <f t="shared" si="18"/>
        <v>4723</v>
      </c>
      <c r="G142" s="9" t="str">
        <f t="shared" si="19"/>
        <v/>
      </c>
      <c r="H142" s="9">
        <f t="shared" si="20"/>
        <v>0</v>
      </c>
      <c r="I142" s="9">
        <f t="array" ref="I142">+SUM(IFERROR(VALUE(G142:H142),0))</f>
        <v>0</v>
      </c>
      <c r="K142" s="9" t="str">
        <f t="shared" si="21"/>
        <v>472</v>
      </c>
      <c r="L142" s="9" t="str">
        <f t="shared" si="22"/>
        <v/>
      </c>
      <c r="M142" s="9">
        <f t="shared" si="23"/>
        <v>0</v>
      </c>
      <c r="N142" s="9">
        <f t="array" ref="N142">+SUM(IFERROR(VALUE(L142:M142),0))</f>
        <v>0</v>
      </c>
      <c r="P142" s="9" t="str">
        <f t="shared" si="24"/>
        <v>47</v>
      </c>
      <c r="Q142" s="9" t="str">
        <f t="shared" si="25"/>
        <v/>
      </c>
      <c r="R142" s="9">
        <f t="shared" si="26"/>
        <v>0</v>
      </c>
      <c r="S142" s="9">
        <f t="array" ref="S142">+SUM(IFERROR(VALUE(Q142:R142),0))</f>
        <v>0</v>
      </c>
    </row>
    <row r="143" spans="1:19" ht="14.4">
      <c r="A143" t="s">
        <v>2334</v>
      </c>
      <c r="B143" t="s">
        <v>2335</v>
      </c>
      <c r="C143" s="27">
        <v>28053.48</v>
      </c>
      <c r="D143" s="28">
        <v>0</v>
      </c>
      <c r="F143" s="9" t="str">
        <f t="shared" si="18"/>
        <v>4730</v>
      </c>
      <c r="G143" s="9">
        <f t="shared" si="19"/>
        <v>28053.48</v>
      </c>
      <c r="H143" s="9">
        <f t="shared" si="20"/>
        <v>0</v>
      </c>
      <c r="I143" s="9">
        <f t="array" ref="I143">+SUM(IFERROR(VALUE(G143:H143),0))</f>
        <v>28053.48</v>
      </c>
      <c r="K143" s="9" t="str">
        <f t="shared" si="21"/>
        <v>473</v>
      </c>
      <c r="L143" s="9">
        <f t="shared" si="22"/>
        <v>28053.48</v>
      </c>
      <c r="M143" s="9">
        <f t="shared" si="23"/>
        <v>0</v>
      </c>
      <c r="N143" s="9">
        <f t="array" ref="N143">+SUM(IFERROR(VALUE(L143:M143),0))</f>
        <v>28053.48</v>
      </c>
      <c r="P143" s="9" t="str">
        <f t="shared" si="24"/>
        <v>47</v>
      </c>
      <c r="Q143" s="9">
        <f t="shared" si="25"/>
        <v>28053.48</v>
      </c>
      <c r="R143" s="9">
        <f t="shared" si="26"/>
        <v>0</v>
      </c>
      <c r="S143" s="9">
        <f t="array" ref="S143">+SUM(IFERROR(VALUE(Q143:R143),0))</f>
        <v>28053.48</v>
      </c>
    </row>
    <row r="144" spans="1:19" ht="14.4">
      <c r="A144" t="s">
        <v>2336</v>
      </c>
      <c r="B144" t="s">
        <v>2337</v>
      </c>
      <c r="C144" s="27">
        <v>66730.64</v>
      </c>
      <c r="D144" s="28">
        <v>0</v>
      </c>
      <c r="F144" s="9" t="str">
        <f t="shared" si="18"/>
        <v>4730</v>
      </c>
      <c r="G144" s="9">
        <f t="shared" si="19"/>
        <v>66730.64</v>
      </c>
      <c r="H144" s="9">
        <f t="shared" si="20"/>
        <v>0</v>
      </c>
      <c r="I144" s="9">
        <f t="array" ref="I144">+SUM(IFERROR(VALUE(G144:H144),0))</f>
        <v>66730.64</v>
      </c>
      <c r="K144" s="9" t="str">
        <f t="shared" si="21"/>
        <v>473</v>
      </c>
      <c r="L144" s="9">
        <f t="shared" si="22"/>
        <v>66730.64</v>
      </c>
      <c r="M144" s="9">
        <f t="shared" si="23"/>
        <v>0</v>
      </c>
      <c r="N144" s="9">
        <f t="array" ref="N144">+SUM(IFERROR(VALUE(L144:M144),0))</f>
        <v>66730.64</v>
      </c>
      <c r="P144" s="9" t="str">
        <f t="shared" si="24"/>
        <v>47</v>
      </c>
      <c r="Q144" s="9">
        <f t="shared" si="25"/>
        <v>66730.64</v>
      </c>
      <c r="R144" s="9">
        <f t="shared" si="26"/>
        <v>0</v>
      </c>
      <c r="S144" s="9">
        <f t="array" ref="S144">+SUM(IFERROR(VALUE(Q144:R144),0))</f>
        <v>66730.64</v>
      </c>
    </row>
    <row r="145" spans="1:19" ht="14.4">
      <c r="A145" t="s">
        <v>2338</v>
      </c>
      <c r="B145" t="s">
        <v>2339</v>
      </c>
      <c r="C145" s="27">
        <v>74190.17</v>
      </c>
      <c r="D145" s="28">
        <v>0</v>
      </c>
      <c r="F145" s="9" t="str">
        <f t="shared" si="18"/>
        <v>4730</v>
      </c>
      <c r="G145" s="9">
        <f t="shared" si="19"/>
        <v>74190.17</v>
      </c>
      <c r="H145" s="9">
        <f t="shared" si="20"/>
        <v>0</v>
      </c>
      <c r="I145" s="9">
        <f t="array" ref="I145">+SUM(IFERROR(VALUE(G145:H145),0))</f>
        <v>74190.17</v>
      </c>
      <c r="K145" s="9" t="str">
        <f t="shared" si="21"/>
        <v>473</v>
      </c>
      <c r="L145" s="9">
        <f t="shared" si="22"/>
        <v>74190.17</v>
      </c>
      <c r="M145" s="9">
        <f t="shared" si="23"/>
        <v>0</v>
      </c>
      <c r="N145" s="9">
        <f t="array" ref="N145">+SUM(IFERROR(VALUE(L145:M145),0))</f>
        <v>74190.17</v>
      </c>
      <c r="P145" s="9" t="str">
        <f t="shared" si="24"/>
        <v>47</v>
      </c>
      <c r="Q145" s="9">
        <f t="shared" si="25"/>
        <v>74190.17</v>
      </c>
      <c r="R145" s="9">
        <f t="shared" si="26"/>
        <v>0</v>
      </c>
      <c r="S145" s="9">
        <f t="array" ref="S145">+SUM(IFERROR(VALUE(Q145:R145),0))</f>
        <v>74190.17</v>
      </c>
    </row>
    <row r="146" spans="1:19" ht="14.4">
      <c r="A146" t="s">
        <v>2340</v>
      </c>
      <c r="B146" t="s">
        <v>2341</v>
      </c>
      <c r="C146" s="27">
        <v>265769.58</v>
      </c>
      <c r="D146" s="28">
        <v>0</v>
      </c>
      <c r="F146" s="9" t="str">
        <f t="shared" si="18"/>
        <v>4730</v>
      </c>
      <c r="G146" s="9">
        <f t="shared" si="19"/>
        <v>265769.58</v>
      </c>
      <c r="H146" s="9">
        <f t="shared" si="20"/>
        <v>0</v>
      </c>
      <c r="I146" s="9">
        <f t="array" ref="I146">+SUM(IFERROR(VALUE(G146:H146),0))</f>
        <v>265769.58</v>
      </c>
      <c r="K146" s="9" t="str">
        <f t="shared" si="21"/>
        <v>473</v>
      </c>
      <c r="L146" s="9">
        <f t="shared" si="22"/>
        <v>265769.58</v>
      </c>
      <c r="M146" s="9">
        <f t="shared" si="23"/>
        <v>0</v>
      </c>
      <c r="N146" s="9">
        <f t="array" ref="N146">+SUM(IFERROR(VALUE(L146:M146),0))</f>
        <v>265769.58</v>
      </c>
      <c r="P146" s="9" t="str">
        <f t="shared" si="24"/>
        <v>47</v>
      </c>
      <c r="Q146" s="9">
        <f t="shared" si="25"/>
        <v>265769.58</v>
      </c>
      <c r="R146" s="9">
        <f t="shared" si="26"/>
        <v>0</v>
      </c>
      <c r="S146" s="9">
        <f t="array" ref="S146">+SUM(IFERROR(VALUE(Q146:R146),0))</f>
        <v>265769.58</v>
      </c>
    </row>
    <row r="147" spans="1:19" ht="14.4">
      <c r="A147" t="s">
        <v>2342</v>
      </c>
      <c r="B147" t="s">
        <v>2343</v>
      </c>
      <c r="C147" s="27">
        <v>1191.82</v>
      </c>
      <c r="D147" s="28">
        <v>0</v>
      </c>
      <c r="F147" s="9" t="str">
        <f t="shared" si="18"/>
        <v>4731</v>
      </c>
      <c r="G147" s="9">
        <f t="shared" si="19"/>
        <v>1191.82</v>
      </c>
      <c r="H147" s="9">
        <f t="shared" si="20"/>
        <v>0</v>
      </c>
      <c r="I147" s="9">
        <f t="array" ref="I147">+SUM(IFERROR(VALUE(G147:H147),0))</f>
        <v>1191.82</v>
      </c>
      <c r="K147" s="9" t="str">
        <f t="shared" si="21"/>
        <v>473</v>
      </c>
      <c r="L147" s="9">
        <f t="shared" si="22"/>
        <v>1191.82</v>
      </c>
      <c r="M147" s="9">
        <f t="shared" si="23"/>
        <v>0</v>
      </c>
      <c r="N147" s="9">
        <f t="array" ref="N147">+SUM(IFERROR(VALUE(L147:M147),0))</f>
        <v>1191.82</v>
      </c>
      <c r="P147" s="9" t="str">
        <f t="shared" si="24"/>
        <v>47</v>
      </c>
      <c r="Q147" s="9">
        <f t="shared" si="25"/>
        <v>1191.82</v>
      </c>
      <c r="R147" s="9">
        <f t="shared" si="26"/>
        <v>0</v>
      </c>
      <c r="S147" s="9">
        <f t="array" ref="S147">+SUM(IFERROR(VALUE(Q147:R147),0))</f>
        <v>1191.82</v>
      </c>
    </row>
    <row r="148" spans="1:19" ht="14.4">
      <c r="A148" t="s">
        <v>2344</v>
      </c>
      <c r="B148" t="s">
        <v>2345</v>
      </c>
      <c r="C148" s="27">
        <v>2897.12</v>
      </c>
      <c r="D148" s="28">
        <v>0</v>
      </c>
      <c r="F148" s="9" t="str">
        <f t="shared" si="18"/>
        <v>4731</v>
      </c>
      <c r="G148" s="9">
        <f t="shared" si="19"/>
        <v>2897.12</v>
      </c>
      <c r="H148" s="9">
        <f t="shared" si="20"/>
        <v>0</v>
      </c>
      <c r="I148" s="9">
        <f t="array" ref="I148">+SUM(IFERROR(VALUE(G148:H148),0))</f>
        <v>2897.12</v>
      </c>
      <c r="K148" s="9" t="str">
        <f t="shared" si="21"/>
        <v>473</v>
      </c>
      <c r="L148" s="9">
        <f t="shared" si="22"/>
        <v>2897.12</v>
      </c>
      <c r="M148" s="9">
        <f t="shared" si="23"/>
        <v>0</v>
      </c>
      <c r="N148" s="9">
        <f t="array" ref="N148">+SUM(IFERROR(VALUE(L148:M148),0))</f>
        <v>2897.12</v>
      </c>
      <c r="P148" s="9" t="str">
        <f t="shared" si="24"/>
        <v>47</v>
      </c>
      <c r="Q148" s="9">
        <f t="shared" si="25"/>
        <v>2897.12</v>
      </c>
      <c r="R148" s="9">
        <f t="shared" si="26"/>
        <v>0</v>
      </c>
      <c r="S148" s="9">
        <f t="array" ref="S148">+SUM(IFERROR(VALUE(Q148:R148),0))</f>
        <v>2897.12</v>
      </c>
    </row>
    <row r="149" spans="1:19" ht="14.4">
      <c r="A149" t="s">
        <v>2346</v>
      </c>
      <c r="B149" t="s">
        <v>2347</v>
      </c>
      <c r="C149" s="27">
        <v>537109.62</v>
      </c>
      <c r="D149" s="28">
        <v>0</v>
      </c>
      <c r="F149" s="9" t="str">
        <f t="shared" si="18"/>
        <v>4732</v>
      </c>
      <c r="G149" s="9">
        <f t="shared" si="19"/>
        <v>537109.62</v>
      </c>
      <c r="H149" s="9">
        <f t="shared" si="20"/>
        <v>0</v>
      </c>
      <c r="I149" s="9">
        <f t="array" ref="I149">+SUM(IFERROR(VALUE(G149:H149),0))</f>
        <v>537109.62</v>
      </c>
      <c r="K149" s="9" t="str">
        <f t="shared" si="21"/>
        <v>473</v>
      </c>
      <c r="L149" s="9">
        <f t="shared" si="22"/>
        <v>537109.62</v>
      </c>
      <c r="M149" s="9">
        <f t="shared" si="23"/>
        <v>0</v>
      </c>
      <c r="N149" s="9">
        <f t="array" ref="N149">+SUM(IFERROR(VALUE(L149:M149),0))</f>
        <v>537109.62</v>
      </c>
      <c r="P149" s="9" t="str">
        <f t="shared" si="24"/>
        <v>47</v>
      </c>
      <c r="Q149" s="9">
        <f t="shared" si="25"/>
        <v>537109.62</v>
      </c>
      <c r="R149" s="9">
        <f t="shared" si="26"/>
        <v>0</v>
      </c>
      <c r="S149" s="9">
        <f t="array" ref="S149">+SUM(IFERROR(VALUE(Q149:R149),0))</f>
        <v>537109.62</v>
      </c>
    </row>
    <row r="150" spans="1:19" ht="14.4">
      <c r="A150" t="s">
        <v>2348</v>
      </c>
      <c r="B150" t="s">
        <v>2349</v>
      </c>
      <c r="C150" s="27" t="s">
        <v>1392</v>
      </c>
      <c r="D150" s="28">
        <v>0</v>
      </c>
      <c r="F150" s="9" t="str">
        <f t="shared" si="18"/>
        <v>4732</v>
      </c>
      <c r="G150" s="9" t="str">
        <f t="shared" si="19"/>
        <v/>
      </c>
      <c r="H150" s="9">
        <f t="shared" si="20"/>
        <v>0</v>
      </c>
      <c r="I150" s="9">
        <f t="array" ref="I150">+SUM(IFERROR(VALUE(G150:H150),0))</f>
        <v>0</v>
      </c>
      <c r="K150" s="9" t="str">
        <f t="shared" si="21"/>
        <v>473</v>
      </c>
      <c r="L150" s="9" t="str">
        <f t="shared" si="22"/>
        <v/>
      </c>
      <c r="M150" s="9">
        <f t="shared" si="23"/>
        <v>0</v>
      </c>
      <c r="N150" s="9">
        <f t="array" ref="N150">+SUM(IFERROR(VALUE(L150:M150),0))</f>
        <v>0</v>
      </c>
      <c r="P150" s="9" t="str">
        <f t="shared" si="24"/>
        <v>47</v>
      </c>
      <c r="Q150" s="9" t="str">
        <f t="shared" si="25"/>
        <v/>
      </c>
      <c r="R150" s="9">
        <f t="shared" si="26"/>
        <v>0</v>
      </c>
      <c r="S150" s="9">
        <f t="array" ref="S150">+SUM(IFERROR(VALUE(Q150:R150),0))</f>
        <v>0</v>
      </c>
    </row>
    <row r="151" spans="1:19" ht="14.4">
      <c r="A151" t="s">
        <v>2350</v>
      </c>
      <c r="B151" t="s">
        <v>2351</v>
      </c>
      <c r="C151" s="27">
        <v>1174.3399999999999</v>
      </c>
      <c r="D151" s="28">
        <v>0</v>
      </c>
      <c r="F151" s="9" t="str">
        <f t="shared" si="18"/>
        <v>4732</v>
      </c>
      <c r="G151" s="9">
        <f t="shared" si="19"/>
        <v>1174.3399999999999</v>
      </c>
      <c r="H151" s="9">
        <f t="shared" si="20"/>
        <v>0</v>
      </c>
      <c r="I151" s="9">
        <f t="array" ref="I151">+SUM(IFERROR(VALUE(G151:H151),0))</f>
        <v>1174.3399999999999</v>
      </c>
      <c r="K151" s="9" t="str">
        <f t="shared" si="21"/>
        <v>473</v>
      </c>
      <c r="L151" s="9">
        <f t="shared" si="22"/>
        <v>1174.3399999999999</v>
      </c>
      <c r="M151" s="9">
        <f t="shared" si="23"/>
        <v>0</v>
      </c>
      <c r="N151" s="9">
        <f t="array" ref="N151">+SUM(IFERROR(VALUE(L151:M151),0))</f>
        <v>1174.3399999999999</v>
      </c>
      <c r="P151" s="9" t="str">
        <f t="shared" si="24"/>
        <v>47</v>
      </c>
      <c r="Q151" s="9">
        <f t="shared" si="25"/>
        <v>1174.3399999999999</v>
      </c>
      <c r="R151" s="9">
        <f t="shared" si="26"/>
        <v>0</v>
      </c>
      <c r="S151" s="9">
        <f t="array" ref="S151">+SUM(IFERROR(VALUE(Q151:R151),0))</f>
        <v>1174.3399999999999</v>
      </c>
    </row>
    <row r="152" spans="1:19" ht="14.4">
      <c r="A152" t="s">
        <v>2352</v>
      </c>
      <c r="B152" t="s">
        <v>2353</v>
      </c>
      <c r="C152" s="27">
        <v>285092.95</v>
      </c>
      <c r="D152" s="28">
        <v>0</v>
      </c>
      <c r="F152" s="9" t="str">
        <f t="shared" si="18"/>
        <v>4732</v>
      </c>
      <c r="G152" s="9">
        <f t="shared" si="19"/>
        <v>285092.95</v>
      </c>
      <c r="H152" s="9">
        <f t="shared" si="20"/>
        <v>0</v>
      </c>
      <c r="I152" s="9">
        <f t="array" ref="I152">+SUM(IFERROR(VALUE(G152:H152),0))</f>
        <v>285092.95</v>
      </c>
      <c r="K152" s="9" t="str">
        <f t="shared" si="21"/>
        <v>473</v>
      </c>
      <c r="L152" s="9">
        <f t="shared" si="22"/>
        <v>285092.95</v>
      </c>
      <c r="M152" s="9">
        <f t="shared" si="23"/>
        <v>0</v>
      </c>
      <c r="N152" s="9">
        <f t="array" ref="N152">+SUM(IFERROR(VALUE(L152:M152),0))</f>
        <v>285092.95</v>
      </c>
      <c r="P152" s="9" t="str">
        <f t="shared" si="24"/>
        <v>47</v>
      </c>
      <c r="Q152" s="9">
        <f t="shared" si="25"/>
        <v>285092.95</v>
      </c>
      <c r="R152" s="9">
        <f t="shared" si="26"/>
        <v>0</v>
      </c>
      <c r="S152" s="9">
        <f t="array" ref="S152">+SUM(IFERROR(VALUE(Q152:R152),0))</f>
        <v>285092.95</v>
      </c>
    </row>
    <row r="153" spans="1:19" ht="14.4">
      <c r="A153" t="s">
        <v>2354</v>
      </c>
      <c r="B153" t="s">
        <v>2355</v>
      </c>
      <c r="C153" s="27">
        <v>2963.22</v>
      </c>
      <c r="D153" s="28">
        <v>0</v>
      </c>
      <c r="F153" s="9" t="str">
        <f t="shared" si="18"/>
        <v>4732</v>
      </c>
      <c r="G153" s="9">
        <f t="shared" si="19"/>
        <v>2963.22</v>
      </c>
      <c r="H153" s="9">
        <f t="shared" si="20"/>
        <v>0</v>
      </c>
      <c r="I153" s="9">
        <f t="array" ref="I153">+SUM(IFERROR(VALUE(G153:H153),0))</f>
        <v>2963.22</v>
      </c>
      <c r="K153" s="9" t="str">
        <f t="shared" si="21"/>
        <v>473</v>
      </c>
      <c r="L153" s="9">
        <f t="shared" si="22"/>
        <v>2963.22</v>
      </c>
      <c r="M153" s="9">
        <f t="shared" si="23"/>
        <v>0</v>
      </c>
      <c r="N153" s="9">
        <f t="array" ref="N153">+SUM(IFERROR(VALUE(L153:M153),0))</f>
        <v>2963.22</v>
      </c>
      <c r="P153" s="9" t="str">
        <f t="shared" si="24"/>
        <v>47</v>
      </c>
      <c r="Q153" s="9">
        <f t="shared" si="25"/>
        <v>2963.22</v>
      </c>
      <c r="R153" s="9">
        <f t="shared" si="26"/>
        <v>0</v>
      </c>
      <c r="S153" s="9">
        <f t="array" ref="S153">+SUM(IFERROR(VALUE(Q153:R153),0))</f>
        <v>2963.22</v>
      </c>
    </row>
    <row r="154" spans="1:19" ht="14.4">
      <c r="A154" t="s">
        <v>2356</v>
      </c>
      <c r="B154" t="s">
        <v>2357</v>
      </c>
      <c r="C154" s="27">
        <v>156.36000000000001</v>
      </c>
      <c r="D154" s="28">
        <v>0</v>
      </c>
      <c r="F154" s="9" t="str">
        <f t="shared" si="18"/>
        <v>4732</v>
      </c>
      <c r="G154" s="9">
        <f t="shared" si="19"/>
        <v>156.36000000000001</v>
      </c>
      <c r="H154" s="9">
        <f t="shared" si="20"/>
        <v>0</v>
      </c>
      <c r="I154" s="9">
        <f t="array" ref="I154">+SUM(IFERROR(VALUE(G154:H154),0))</f>
        <v>156.36000000000001</v>
      </c>
      <c r="K154" s="9" t="str">
        <f t="shared" si="21"/>
        <v>473</v>
      </c>
      <c r="L154" s="9">
        <f t="shared" si="22"/>
        <v>156.36000000000001</v>
      </c>
      <c r="M154" s="9">
        <f t="shared" si="23"/>
        <v>0</v>
      </c>
      <c r="N154" s="9">
        <f t="array" ref="N154">+SUM(IFERROR(VALUE(L154:M154),0))</f>
        <v>156.36000000000001</v>
      </c>
      <c r="P154" s="9" t="str">
        <f t="shared" si="24"/>
        <v>47</v>
      </c>
      <c r="Q154" s="9">
        <f t="shared" si="25"/>
        <v>156.36000000000001</v>
      </c>
      <c r="R154" s="9">
        <f t="shared" si="26"/>
        <v>0</v>
      </c>
      <c r="S154" s="9">
        <f t="array" ref="S154">+SUM(IFERROR(VALUE(Q154:R154),0))</f>
        <v>156.36000000000001</v>
      </c>
    </row>
    <row r="155" spans="1:19" ht="14.4">
      <c r="A155" t="s">
        <v>2358</v>
      </c>
      <c r="B155" t="s">
        <v>2359</v>
      </c>
      <c r="C155" s="27" t="s">
        <v>1392</v>
      </c>
      <c r="D155" s="28">
        <v>0</v>
      </c>
      <c r="F155" s="9" t="str">
        <f t="shared" si="18"/>
        <v>4733</v>
      </c>
      <c r="G155" s="9" t="str">
        <f t="shared" si="19"/>
        <v/>
      </c>
      <c r="H155" s="9">
        <f t="shared" si="20"/>
        <v>0</v>
      </c>
      <c r="I155" s="9">
        <f t="array" ref="I155">+SUM(IFERROR(VALUE(G155:H155),0))</f>
        <v>0</v>
      </c>
      <c r="K155" s="9" t="str">
        <f t="shared" si="21"/>
        <v>473</v>
      </c>
      <c r="L155" s="9" t="str">
        <f t="shared" si="22"/>
        <v/>
      </c>
      <c r="M155" s="9">
        <f t="shared" si="23"/>
        <v>0</v>
      </c>
      <c r="N155" s="9">
        <f t="array" ref="N155">+SUM(IFERROR(VALUE(L155:M155),0))</f>
        <v>0</v>
      </c>
      <c r="P155" s="9" t="str">
        <f t="shared" si="24"/>
        <v>47</v>
      </c>
      <c r="Q155" s="9" t="str">
        <f t="shared" si="25"/>
        <v/>
      </c>
      <c r="R155" s="9">
        <f t="shared" si="26"/>
        <v>0</v>
      </c>
      <c r="S155" s="9">
        <f t="array" ref="S155">+SUM(IFERROR(VALUE(Q155:R155),0))</f>
        <v>0</v>
      </c>
    </row>
    <row r="156" spans="1:19" ht="14.4">
      <c r="A156" t="s">
        <v>2360</v>
      </c>
      <c r="B156" t="s">
        <v>2361</v>
      </c>
      <c r="C156" s="27">
        <v>3244562</v>
      </c>
      <c r="D156" s="28">
        <v>0</v>
      </c>
      <c r="F156" s="9" t="str">
        <f t="shared" si="18"/>
        <v>4735</v>
      </c>
      <c r="G156" s="9">
        <f t="shared" si="19"/>
        <v>3244562</v>
      </c>
      <c r="H156" s="9">
        <f t="shared" si="20"/>
        <v>0</v>
      </c>
      <c r="I156" s="16">
        <f t="array" ref="I156">+SUM(IFERROR(VALUE(G156:H156),0))</f>
        <v>3244562</v>
      </c>
      <c r="K156" s="9" t="str">
        <f t="shared" si="21"/>
        <v>473</v>
      </c>
      <c r="L156" s="9">
        <f t="shared" si="22"/>
        <v>3244562</v>
      </c>
      <c r="M156" s="9">
        <f t="shared" si="23"/>
        <v>0</v>
      </c>
      <c r="N156" s="16">
        <f t="array" ref="N156">+SUM(IFERROR(VALUE(L156:M156),0))</f>
        <v>3244562</v>
      </c>
      <c r="P156" s="9" t="str">
        <f t="shared" si="24"/>
        <v>47</v>
      </c>
      <c r="Q156" s="9">
        <f t="shared" si="25"/>
        <v>3244562</v>
      </c>
      <c r="R156" s="9">
        <f t="shared" si="26"/>
        <v>0</v>
      </c>
      <c r="S156" s="9">
        <f t="array" ref="S156">+SUM(IFERROR(VALUE(Q156:R156),0))</f>
        <v>3244562</v>
      </c>
    </row>
    <row r="157" spans="1:19" s="5" customFormat="1" ht="14.4">
      <c r="A157" t="s">
        <v>2362</v>
      </c>
      <c r="B157" t="s">
        <v>2363</v>
      </c>
      <c r="C157" s="27">
        <v>1170.8</v>
      </c>
      <c r="D157" s="28">
        <v>0</v>
      </c>
      <c r="F157" s="9" t="str">
        <f t="shared" si="18"/>
        <v>4740</v>
      </c>
      <c r="G157" s="9">
        <f t="shared" si="19"/>
        <v>1170.8</v>
      </c>
      <c r="H157" s="9">
        <f t="shared" si="20"/>
        <v>0</v>
      </c>
      <c r="I157" s="9">
        <f t="array" ref="I157">+SUM(IFERROR(VALUE(G157:H157),0))</f>
        <v>1170.8</v>
      </c>
      <c r="K157" s="9" t="str">
        <f t="shared" si="21"/>
        <v>474</v>
      </c>
      <c r="L157" s="9">
        <f t="shared" si="22"/>
        <v>1170.8</v>
      </c>
      <c r="M157" s="9">
        <f t="shared" si="23"/>
        <v>0</v>
      </c>
      <c r="N157" s="9">
        <f t="array" ref="N157">+SUM(IFERROR(VALUE(L157:M157),0))</f>
        <v>1170.8</v>
      </c>
      <c r="P157" s="9" t="str">
        <f t="shared" si="24"/>
        <v>47</v>
      </c>
      <c r="Q157" s="9">
        <f t="shared" si="25"/>
        <v>1170.8</v>
      </c>
      <c r="R157" s="9">
        <f t="shared" si="26"/>
        <v>0</v>
      </c>
      <c r="S157" s="9">
        <f t="array" ref="S157">+SUM(IFERROR(VALUE(Q157:R157),0))</f>
        <v>1170.8</v>
      </c>
    </row>
    <row r="158" spans="1:19" ht="14.4">
      <c r="A158" s="1148">
        <v>4740003</v>
      </c>
      <c r="B158" t="s">
        <v>2364</v>
      </c>
      <c r="C158" s="27">
        <v>2082289.74</v>
      </c>
      <c r="D158" s="28">
        <v>0</v>
      </c>
      <c r="F158" s="9" t="str">
        <f t="shared" si="18"/>
        <v>4740</v>
      </c>
      <c r="G158" s="9">
        <f t="shared" si="19"/>
        <v>2082289.74</v>
      </c>
      <c r="H158" s="9">
        <f t="shared" si="20"/>
        <v>0</v>
      </c>
      <c r="I158" s="9">
        <f t="array" ref="I158">+SUM(IFERROR(VALUE(G158:H158),0))</f>
        <v>2082289.74</v>
      </c>
      <c r="K158" s="9" t="str">
        <f t="shared" si="21"/>
        <v>474</v>
      </c>
      <c r="L158" s="9">
        <f t="shared" si="22"/>
        <v>2082289.74</v>
      </c>
      <c r="M158" s="9">
        <f t="shared" si="23"/>
        <v>0</v>
      </c>
      <c r="N158" s="9">
        <f t="array" ref="N158">+SUM(IFERROR(VALUE(L158:M158),0))</f>
        <v>2082289.74</v>
      </c>
      <c r="P158" s="9" t="str">
        <f t="shared" si="24"/>
        <v>47</v>
      </c>
      <c r="Q158" s="9">
        <f t="shared" si="25"/>
        <v>2082289.74</v>
      </c>
      <c r="R158" s="9">
        <f t="shared" si="26"/>
        <v>0</v>
      </c>
      <c r="S158" s="9">
        <f t="array" ref="S158">+SUM(IFERROR(VALUE(Q158:R158),0))</f>
        <v>2082289.74</v>
      </c>
    </row>
    <row r="159" spans="1:19" ht="14.4">
      <c r="A159" s="1148">
        <v>4740104</v>
      </c>
      <c r="B159" t="s">
        <v>2365</v>
      </c>
      <c r="C159" s="27" t="s">
        <v>1392</v>
      </c>
      <c r="D159" s="28">
        <v>0</v>
      </c>
      <c r="F159" s="9" t="str">
        <f t="shared" si="18"/>
        <v>4740</v>
      </c>
      <c r="G159" s="9" t="str">
        <f t="shared" si="19"/>
        <v/>
      </c>
      <c r="H159" s="9">
        <f t="shared" si="20"/>
        <v>0</v>
      </c>
      <c r="I159" s="16">
        <f t="array" ref="I159">+SUM(IFERROR(VALUE(G159:H159),0))</f>
        <v>0</v>
      </c>
      <c r="K159" s="9" t="str">
        <f t="shared" si="21"/>
        <v>474</v>
      </c>
      <c r="L159" s="9" t="str">
        <f t="shared" si="22"/>
        <v/>
      </c>
      <c r="M159" s="9">
        <f t="shared" si="23"/>
        <v>0</v>
      </c>
      <c r="N159" s="16">
        <f t="array" ref="N159">+SUM(IFERROR(VALUE(L159:M159),0))</f>
        <v>0</v>
      </c>
      <c r="P159" s="9" t="str">
        <f t="shared" si="24"/>
        <v>47</v>
      </c>
      <c r="Q159" s="9" t="str">
        <f t="shared" si="25"/>
        <v/>
      </c>
      <c r="R159" s="9">
        <f t="shared" si="26"/>
        <v>0</v>
      </c>
      <c r="S159" s="9">
        <f t="array" ref="S159">+SUM(IFERROR(VALUE(Q159:R159),0))</f>
        <v>0</v>
      </c>
    </row>
    <row r="160" spans="1:19" ht="14.4">
      <c r="A160" s="1148">
        <v>4740105</v>
      </c>
      <c r="B160" t="s">
        <v>2366</v>
      </c>
      <c r="C160" s="27" t="s">
        <v>1392</v>
      </c>
      <c r="D160" s="28">
        <v>0</v>
      </c>
      <c r="F160" s="9" t="str">
        <f t="shared" si="18"/>
        <v>4740</v>
      </c>
      <c r="G160" s="9" t="str">
        <f t="shared" si="19"/>
        <v/>
      </c>
      <c r="H160" s="9">
        <f t="shared" si="20"/>
        <v>0</v>
      </c>
      <c r="I160" s="9">
        <f t="array" ref="I160">+SUM(IFERROR(VALUE(G160:H160),0))</f>
        <v>0</v>
      </c>
      <c r="K160" s="9" t="str">
        <f t="shared" si="21"/>
        <v>474</v>
      </c>
      <c r="L160" s="9" t="str">
        <f t="shared" si="22"/>
        <v/>
      </c>
      <c r="M160" s="9">
        <f t="shared" si="23"/>
        <v>0</v>
      </c>
      <c r="N160" s="9">
        <f t="array" ref="N160">+SUM(IFERROR(VALUE(L160:M160),0))</f>
        <v>0</v>
      </c>
      <c r="P160" s="9" t="str">
        <f t="shared" si="24"/>
        <v>47</v>
      </c>
      <c r="Q160" s="9" t="str">
        <f t="shared" si="25"/>
        <v/>
      </c>
      <c r="R160" s="9">
        <f t="shared" si="26"/>
        <v>0</v>
      </c>
      <c r="S160" s="9">
        <f t="array" ref="S160">+SUM(IFERROR(VALUE(Q160:R160),0))</f>
        <v>0</v>
      </c>
    </row>
    <row r="161" spans="1:19" s="5" customFormat="1" ht="14.4">
      <c r="A161" s="1148">
        <v>4740204</v>
      </c>
      <c r="B161" t="s">
        <v>2367</v>
      </c>
      <c r="C161" s="27" t="s">
        <v>1392</v>
      </c>
      <c r="D161" s="28">
        <v>0</v>
      </c>
      <c r="F161" s="9" t="str">
        <f t="shared" si="18"/>
        <v>4740</v>
      </c>
      <c r="G161" s="9" t="str">
        <f t="shared" si="19"/>
        <v/>
      </c>
      <c r="H161" s="9">
        <f t="shared" si="20"/>
        <v>0</v>
      </c>
      <c r="I161" s="9">
        <f t="array" ref="I161">+SUM(IFERROR(VALUE(G161:H161),0))</f>
        <v>0</v>
      </c>
      <c r="K161" s="9" t="str">
        <f t="shared" si="21"/>
        <v>474</v>
      </c>
      <c r="L161" s="9" t="str">
        <f t="shared" si="22"/>
        <v/>
      </c>
      <c r="M161" s="9">
        <f t="shared" si="23"/>
        <v>0</v>
      </c>
      <c r="N161" s="9">
        <f t="array" ref="N161">+SUM(IFERROR(VALUE(L161:M161),0))</f>
        <v>0</v>
      </c>
      <c r="P161" s="9" t="str">
        <f t="shared" si="24"/>
        <v>47</v>
      </c>
      <c r="Q161" s="9" t="str">
        <f t="shared" si="25"/>
        <v/>
      </c>
      <c r="R161" s="9">
        <f t="shared" si="26"/>
        <v>0</v>
      </c>
      <c r="S161" s="9">
        <f t="array" ref="S161">+SUM(IFERROR(VALUE(Q161:R161),0))</f>
        <v>0</v>
      </c>
    </row>
    <row r="162" spans="1:19" ht="14.4">
      <c r="A162" t="s">
        <v>2368</v>
      </c>
      <c r="B162" t="s">
        <v>2369</v>
      </c>
      <c r="C162" s="27">
        <v>37791.71</v>
      </c>
      <c r="D162" s="28">
        <v>0</v>
      </c>
      <c r="F162" s="9" t="str">
        <f t="shared" si="18"/>
        <v>4742</v>
      </c>
      <c r="G162" s="9">
        <f t="shared" si="19"/>
        <v>37791.71</v>
      </c>
      <c r="H162" s="9">
        <f t="shared" si="20"/>
        <v>0</v>
      </c>
      <c r="I162" s="9">
        <f t="array" ref="I162">+SUM(IFERROR(VALUE(G162:H162),0))</f>
        <v>37791.71</v>
      </c>
      <c r="K162" s="9" t="str">
        <f t="shared" si="21"/>
        <v>474</v>
      </c>
      <c r="L162" s="9">
        <f t="shared" si="22"/>
        <v>37791.71</v>
      </c>
      <c r="M162" s="9">
        <f t="shared" si="23"/>
        <v>0</v>
      </c>
      <c r="N162" s="9">
        <f t="array" ref="N162">+SUM(IFERROR(VALUE(L162:M162),0))</f>
        <v>37791.71</v>
      </c>
      <c r="P162" s="9" t="str">
        <f t="shared" si="24"/>
        <v>47</v>
      </c>
      <c r="Q162" s="9">
        <f t="shared" si="25"/>
        <v>37791.71</v>
      </c>
      <c r="R162" s="9">
        <f t="shared" si="26"/>
        <v>0</v>
      </c>
      <c r="S162" s="9">
        <f t="array" ref="S162">+SUM(IFERROR(VALUE(Q162:R162),0))</f>
        <v>37791.71</v>
      </c>
    </row>
    <row r="163" spans="1:19" ht="14.4">
      <c r="A163" t="s">
        <v>2370</v>
      </c>
      <c r="B163" t="s">
        <v>2371</v>
      </c>
      <c r="C163" s="27">
        <v>238272.06</v>
      </c>
      <c r="D163" s="28">
        <v>0</v>
      </c>
      <c r="F163" s="9" t="str">
        <f t="shared" si="18"/>
        <v>4742</v>
      </c>
      <c r="G163" s="9">
        <f t="shared" si="19"/>
        <v>238272.06</v>
      </c>
      <c r="H163" s="9">
        <f t="shared" si="20"/>
        <v>0</v>
      </c>
      <c r="I163" s="16">
        <f t="array" ref="I163">+SUM(IFERROR(VALUE(G163:H163),0))</f>
        <v>238272.06</v>
      </c>
      <c r="K163" s="9" t="str">
        <f t="shared" si="21"/>
        <v>474</v>
      </c>
      <c r="L163" s="9">
        <f t="shared" si="22"/>
        <v>238272.06</v>
      </c>
      <c r="M163" s="9">
        <f t="shared" si="23"/>
        <v>0</v>
      </c>
      <c r="N163" s="16">
        <f t="array" ref="N163">+SUM(IFERROR(VALUE(L163:M163),0))</f>
        <v>238272.06</v>
      </c>
      <c r="P163" s="9" t="str">
        <f t="shared" si="24"/>
        <v>47</v>
      </c>
      <c r="Q163" s="9">
        <f t="shared" si="25"/>
        <v>238272.06</v>
      </c>
      <c r="R163" s="9">
        <f t="shared" si="26"/>
        <v>0</v>
      </c>
      <c r="S163" s="9">
        <f t="array" ref="S163">+SUM(IFERROR(VALUE(Q163:R163),0))</f>
        <v>238272.06</v>
      </c>
    </row>
    <row r="164" spans="1:19" ht="14.4">
      <c r="A164" t="s">
        <v>2372</v>
      </c>
      <c r="B164" t="s">
        <v>2373</v>
      </c>
      <c r="C164" s="27">
        <v>0</v>
      </c>
      <c r="D164" s="28">
        <v>674546.61</v>
      </c>
      <c r="F164" s="9" t="str">
        <f t="shared" si="18"/>
        <v>4750</v>
      </c>
      <c r="G164" s="9">
        <f t="shared" si="19"/>
        <v>0</v>
      </c>
      <c r="H164" s="9">
        <f t="shared" si="20"/>
        <v>-674546.61</v>
      </c>
      <c r="I164" s="16">
        <f t="array" ref="I164">+SUM(IFERROR(VALUE(G164:H164),0))</f>
        <v>-674546.61</v>
      </c>
      <c r="K164" s="9" t="str">
        <f t="shared" si="21"/>
        <v>475</v>
      </c>
      <c r="L164" s="9">
        <f t="shared" si="22"/>
        <v>0</v>
      </c>
      <c r="M164" s="9">
        <f t="shared" si="23"/>
        <v>-674546.61</v>
      </c>
      <c r="N164" s="16">
        <f t="array" ref="N164">+SUM(IFERROR(VALUE(L164:M164),0))</f>
        <v>-674546.61</v>
      </c>
      <c r="P164" s="9" t="str">
        <f t="shared" si="24"/>
        <v>47</v>
      </c>
      <c r="Q164" s="9">
        <f t="shared" si="25"/>
        <v>0</v>
      </c>
      <c r="R164" s="9">
        <f t="shared" si="26"/>
        <v>-674546.61</v>
      </c>
      <c r="S164" s="9">
        <f t="array" ref="S164">+SUM(IFERROR(VALUE(Q164:R164),0))</f>
        <v>-674546.61</v>
      </c>
    </row>
    <row r="165" spans="1:19" ht="14.4">
      <c r="A165" t="s">
        <v>2374</v>
      </c>
      <c r="B165" t="s">
        <v>2375</v>
      </c>
      <c r="C165" s="27">
        <v>0</v>
      </c>
      <c r="D165" s="28">
        <v>49353.96</v>
      </c>
      <c r="F165" s="9" t="str">
        <f t="shared" si="18"/>
        <v>4751</v>
      </c>
      <c r="G165" s="9">
        <f t="shared" si="19"/>
        <v>0</v>
      </c>
      <c r="H165" s="9">
        <f t="shared" si="20"/>
        <v>-49353.96</v>
      </c>
      <c r="I165" s="16">
        <f t="array" ref="I165">+SUM(IFERROR(VALUE(G165:H165),0))</f>
        <v>-49353.96</v>
      </c>
      <c r="K165" s="9" t="str">
        <f t="shared" si="21"/>
        <v>475</v>
      </c>
      <c r="L165" s="9">
        <f t="shared" si="22"/>
        <v>0</v>
      </c>
      <c r="M165" s="9">
        <f t="shared" si="23"/>
        <v>-49353.96</v>
      </c>
      <c r="N165" s="16">
        <f t="array" ref="N165">+SUM(IFERROR(VALUE(L165:M165),0))</f>
        <v>-49353.96</v>
      </c>
      <c r="P165" s="9" t="str">
        <f t="shared" si="24"/>
        <v>47</v>
      </c>
      <c r="Q165" s="9">
        <f t="shared" si="25"/>
        <v>0</v>
      </c>
      <c r="R165" s="9">
        <f t="shared" si="26"/>
        <v>-49353.96</v>
      </c>
      <c r="S165" s="9">
        <f t="array" ref="S165">+SUM(IFERROR(VALUE(Q165:R165),0))</f>
        <v>-49353.96</v>
      </c>
    </row>
    <row r="166" spans="1:19" ht="14.4">
      <c r="A166" t="s">
        <v>2376</v>
      </c>
      <c r="B166" t="s">
        <v>2377</v>
      </c>
      <c r="C166" s="27">
        <v>0</v>
      </c>
      <c r="D166" s="28">
        <v>88200</v>
      </c>
      <c r="F166" s="9" t="str">
        <f t="shared" si="18"/>
        <v>4751</v>
      </c>
      <c r="G166" s="9">
        <f t="shared" si="19"/>
        <v>0</v>
      </c>
      <c r="H166" s="9">
        <f t="shared" si="20"/>
        <v>-88200</v>
      </c>
      <c r="I166" s="16">
        <f t="array" ref="I166">+SUM(IFERROR(VALUE(G166:H166),0))</f>
        <v>-88200</v>
      </c>
      <c r="K166" s="9" t="str">
        <f t="shared" si="21"/>
        <v>475</v>
      </c>
      <c r="L166" s="9">
        <f t="shared" si="22"/>
        <v>0</v>
      </c>
      <c r="M166" s="9">
        <f t="shared" si="23"/>
        <v>-88200</v>
      </c>
      <c r="N166" s="16">
        <f t="array" ref="N166">+SUM(IFERROR(VALUE(L166:M166),0))</f>
        <v>-88200</v>
      </c>
      <c r="P166" s="9" t="str">
        <f t="shared" si="24"/>
        <v>47</v>
      </c>
      <c r="Q166" s="9">
        <f t="shared" si="25"/>
        <v>0</v>
      </c>
      <c r="R166" s="9">
        <f t="shared" si="26"/>
        <v>-88200</v>
      </c>
      <c r="S166" s="9">
        <f t="array" ref="S166">+SUM(IFERROR(VALUE(Q166:R166),0))</f>
        <v>-88200</v>
      </c>
    </row>
    <row r="167" spans="1:19" s="5" customFormat="1" ht="14.4">
      <c r="A167" t="s">
        <v>2378</v>
      </c>
      <c r="B167" t="s">
        <v>2379</v>
      </c>
      <c r="C167" s="27">
        <v>0</v>
      </c>
      <c r="D167" s="28">
        <v>372.81</v>
      </c>
      <c r="F167" s="9" t="str">
        <f t="shared" si="18"/>
        <v>4751</v>
      </c>
      <c r="G167" s="9">
        <f t="shared" si="19"/>
        <v>0</v>
      </c>
      <c r="H167" s="9">
        <f t="shared" si="20"/>
        <v>-372.81</v>
      </c>
      <c r="I167" s="16">
        <f t="array" ref="I167">+SUM(IFERROR(VALUE(G167:H167),0))</f>
        <v>-372.81</v>
      </c>
      <c r="K167" s="9" t="str">
        <f t="shared" si="21"/>
        <v>475</v>
      </c>
      <c r="L167" s="9">
        <f t="shared" si="22"/>
        <v>0</v>
      </c>
      <c r="M167" s="9">
        <f t="shared" si="23"/>
        <v>-372.81</v>
      </c>
      <c r="N167" s="16">
        <f t="array" ref="N167">+SUM(IFERROR(VALUE(L167:M167),0))</f>
        <v>-372.81</v>
      </c>
      <c r="P167" s="9" t="str">
        <f t="shared" si="24"/>
        <v>47</v>
      </c>
      <c r="Q167" s="9">
        <f t="shared" si="25"/>
        <v>0</v>
      </c>
      <c r="R167" s="9">
        <f t="shared" si="26"/>
        <v>-372.81</v>
      </c>
      <c r="S167" s="9">
        <f t="array" ref="S167">+SUM(IFERROR(VALUE(Q167:R167),0))</f>
        <v>-372.81</v>
      </c>
    </row>
    <row r="168" spans="1:19" ht="14.4">
      <c r="A168" t="s">
        <v>2380</v>
      </c>
      <c r="B168" t="s">
        <v>2381</v>
      </c>
      <c r="C168" s="27">
        <v>0</v>
      </c>
      <c r="D168" s="28">
        <v>8996.9699999999993</v>
      </c>
      <c r="F168" s="9" t="str">
        <f t="shared" si="18"/>
        <v>4751</v>
      </c>
      <c r="G168" s="9">
        <f t="shared" si="19"/>
        <v>0</v>
      </c>
      <c r="H168" s="9">
        <f t="shared" si="20"/>
        <v>-8996.9699999999993</v>
      </c>
      <c r="I168" s="9">
        <f t="array" ref="I168">+SUM(IFERROR(VALUE(G168:H168),0))</f>
        <v>-8996.9699999999993</v>
      </c>
      <c r="K168" s="9" t="str">
        <f t="shared" si="21"/>
        <v>475</v>
      </c>
      <c r="L168" s="9">
        <f t="shared" si="22"/>
        <v>0</v>
      </c>
      <c r="M168" s="9">
        <f t="shared" si="23"/>
        <v>-8996.9699999999993</v>
      </c>
      <c r="N168" s="9">
        <f t="array" ref="N168">+SUM(IFERROR(VALUE(L168:M168),0))</f>
        <v>-8996.9699999999993</v>
      </c>
      <c r="P168" s="9" t="str">
        <f t="shared" si="24"/>
        <v>47</v>
      </c>
      <c r="Q168" s="9">
        <f t="shared" si="25"/>
        <v>0</v>
      </c>
      <c r="R168" s="9">
        <f t="shared" si="26"/>
        <v>-8996.9699999999993</v>
      </c>
      <c r="S168" s="9">
        <f t="array" ref="S168">+SUM(IFERROR(VALUE(Q168:R168),0))</f>
        <v>-8996.9699999999993</v>
      </c>
    </row>
    <row r="169" spans="1:19" ht="14.4">
      <c r="A169" t="s">
        <v>2382</v>
      </c>
      <c r="B169" t="s">
        <v>2383</v>
      </c>
      <c r="C169" s="27">
        <v>0</v>
      </c>
      <c r="D169" s="28">
        <v>538.78</v>
      </c>
      <c r="F169" s="9" t="str">
        <f t="shared" si="18"/>
        <v>4751</v>
      </c>
      <c r="G169" s="9">
        <f t="shared" si="19"/>
        <v>0</v>
      </c>
      <c r="H169" s="9">
        <f t="shared" si="20"/>
        <v>-538.78</v>
      </c>
      <c r="I169" s="9">
        <f t="array" ref="I169">+SUM(IFERROR(VALUE(G169:H169),0))</f>
        <v>-538.78</v>
      </c>
      <c r="K169" s="9" t="str">
        <f t="shared" si="21"/>
        <v>475</v>
      </c>
      <c r="L169" s="9">
        <f t="shared" si="22"/>
        <v>0</v>
      </c>
      <c r="M169" s="9">
        <f t="shared" si="23"/>
        <v>-538.78</v>
      </c>
      <c r="N169" s="9">
        <f t="array" ref="N169">+SUM(IFERROR(VALUE(L169:M169),0))</f>
        <v>-538.78</v>
      </c>
      <c r="P169" s="9" t="str">
        <f t="shared" si="24"/>
        <v>47</v>
      </c>
      <c r="Q169" s="9">
        <f t="shared" si="25"/>
        <v>0</v>
      </c>
      <c r="R169" s="9">
        <f t="shared" si="26"/>
        <v>-538.78</v>
      </c>
      <c r="S169" s="9">
        <f t="array" ref="S169">+SUM(IFERROR(VALUE(Q169:R169),0))</f>
        <v>-538.78</v>
      </c>
    </row>
    <row r="170" spans="1:19" ht="14.4">
      <c r="A170" t="s">
        <v>2384</v>
      </c>
      <c r="B170" t="s">
        <v>2385</v>
      </c>
      <c r="C170" s="27">
        <v>0</v>
      </c>
      <c r="D170" s="28">
        <v>1.5</v>
      </c>
      <c r="F170" s="9" t="str">
        <f t="shared" si="18"/>
        <v>4751</v>
      </c>
      <c r="G170" s="9">
        <f t="shared" si="19"/>
        <v>0</v>
      </c>
      <c r="H170" s="9">
        <f t="shared" si="20"/>
        <v>-1.5</v>
      </c>
      <c r="I170" s="9">
        <f t="array" ref="I170">+SUM(IFERROR(VALUE(G170:H170),0))</f>
        <v>-1.5</v>
      </c>
      <c r="K170" s="9" t="str">
        <f t="shared" si="21"/>
        <v>475</v>
      </c>
      <c r="L170" s="9">
        <f t="shared" si="22"/>
        <v>0</v>
      </c>
      <c r="M170" s="9">
        <f t="shared" si="23"/>
        <v>-1.5</v>
      </c>
      <c r="N170" s="9">
        <f t="array" ref="N170">+SUM(IFERROR(VALUE(L170:M170),0))</f>
        <v>-1.5</v>
      </c>
      <c r="P170" s="9" t="str">
        <f t="shared" si="24"/>
        <v>47</v>
      </c>
      <c r="Q170" s="9">
        <f t="shared" si="25"/>
        <v>0</v>
      </c>
      <c r="R170" s="9">
        <f t="shared" si="26"/>
        <v>-1.5</v>
      </c>
      <c r="S170" s="9">
        <f t="array" ref="S170">+SUM(IFERROR(VALUE(Q170:R170),0))</f>
        <v>-1.5</v>
      </c>
    </row>
    <row r="171" spans="1:19" ht="14.4">
      <c r="A171" t="s">
        <v>2386</v>
      </c>
      <c r="B171" t="s">
        <v>2387</v>
      </c>
      <c r="C171" s="27">
        <v>0</v>
      </c>
      <c r="D171" s="28">
        <v>22637.02</v>
      </c>
      <c r="F171" s="9" t="str">
        <f t="shared" si="18"/>
        <v>4751</v>
      </c>
      <c r="G171" s="9">
        <f t="shared" si="19"/>
        <v>0</v>
      </c>
      <c r="H171" s="9">
        <f t="shared" si="20"/>
        <v>-22637.02</v>
      </c>
      <c r="I171" s="9">
        <f t="array" ref="I171">+SUM(IFERROR(VALUE(G171:H171),0))</f>
        <v>-22637.02</v>
      </c>
      <c r="K171" s="9" t="str">
        <f t="shared" si="21"/>
        <v>475</v>
      </c>
      <c r="L171" s="9">
        <f t="shared" si="22"/>
        <v>0</v>
      </c>
      <c r="M171" s="9">
        <f t="shared" si="23"/>
        <v>-22637.02</v>
      </c>
      <c r="N171" s="9">
        <f t="array" ref="N171">+SUM(IFERROR(VALUE(L171:M171),0))</f>
        <v>-22637.02</v>
      </c>
      <c r="P171" s="9" t="str">
        <f t="shared" si="24"/>
        <v>47</v>
      </c>
      <c r="Q171" s="9">
        <f t="shared" si="25"/>
        <v>0</v>
      </c>
      <c r="R171" s="9">
        <f t="shared" si="26"/>
        <v>-22637.02</v>
      </c>
      <c r="S171" s="9">
        <f t="array" ref="S171">+SUM(IFERROR(VALUE(Q171:R171),0))</f>
        <v>-22637.02</v>
      </c>
    </row>
    <row r="172" spans="1:19" s="5" customFormat="1" ht="14.4">
      <c r="A172" t="s">
        <v>2388</v>
      </c>
      <c r="B172" t="s">
        <v>2389</v>
      </c>
      <c r="C172" s="27">
        <v>0</v>
      </c>
      <c r="D172" s="28">
        <v>52069.54</v>
      </c>
      <c r="F172" s="9" t="str">
        <f t="shared" si="18"/>
        <v>4760</v>
      </c>
      <c r="G172" s="9">
        <f t="shared" si="19"/>
        <v>0</v>
      </c>
      <c r="H172" s="9">
        <f t="shared" si="20"/>
        <v>-52069.54</v>
      </c>
      <c r="I172" s="9">
        <f t="array" ref="I172">+SUM(IFERROR(VALUE(G172:H172),0))</f>
        <v>-52069.54</v>
      </c>
      <c r="K172" s="9" t="str">
        <f t="shared" si="21"/>
        <v>476</v>
      </c>
      <c r="L172" s="9">
        <f t="shared" si="22"/>
        <v>0</v>
      </c>
      <c r="M172" s="9">
        <f t="shared" si="23"/>
        <v>-52069.54</v>
      </c>
      <c r="N172" s="9">
        <f t="array" ref="N172">+SUM(IFERROR(VALUE(L172:M172),0))</f>
        <v>-52069.54</v>
      </c>
      <c r="P172" s="9" t="str">
        <f t="shared" si="24"/>
        <v>47</v>
      </c>
      <c r="Q172" s="9">
        <f t="shared" si="25"/>
        <v>0</v>
      </c>
      <c r="R172" s="9">
        <f t="shared" si="26"/>
        <v>-52069.54</v>
      </c>
      <c r="S172" s="9">
        <f t="array" ref="S172">+SUM(IFERROR(VALUE(Q172:R172),0))</f>
        <v>-52069.54</v>
      </c>
    </row>
    <row r="173" spans="1:19" ht="14.4">
      <c r="A173" t="s">
        <v>2390</v>
      </c>
      <c r="B173" t="s">
        <v>2391</v>
      </c>
      <c r="C173" s="27" t="s">
        <v>1392</v>
      </c>
      <c r="D173" s="28">
        <v>0</v>
      </c>
      <c r="F173" s="9" t="str">
        <f t="shared" si="18"/>
        <v>4770</v>
      </c>
      <c r="G173" s="9" t="str">
        <f t="shared" si="19"/>
        <v/>
      </c>
      <c r="H173" s="9">
        <f t="shared" si="20"/>
        <v>0</v>
      </c>
      <c r="I173" s="9">
        <f t="array" ref="I173">+SUM(IFERROR(VALUE(G173:H173),0))</f>
        <v>0</v>
      </c>
      <c r="K173" s="9" t="str">
        <f t="shared" si="21"/>
        <v>477</v>
      </c>
      <c r="L173" s="9" t="str">
        <f t="shared" si="22"/>
        <v/>
      </c>
      <c r="M173" s="9">
        <f t="shared" si="23"/>
        <v>0</v>
      </c>
      <c r="N173" s="9">
        <f t="array" ref="N173">+SUM(IFERROR(VALUE(L173:M173),0))</f>
        <v>0</v>
      </c>
      <c r="P173" s="9" t="str">
        <f t="shared" si="24"/>
        <v>47</v>
      </c>
      <c r="Q173" s="9" t="str">
        <f t="shared" si="25"/>
        <v/>
      </c>
      <c r="R173" s="9">
        <f t="shared" si="26"/>
        <v>0</v>
      </c>
      <c r="S173" s="9">
        <f t="array" ref="S173">+SUM(IFERROR(VALUE(Q173:R173),0))</f>
        <v>0</v>
      </c>
    </row>
    <row r="174" spans="1:19" ht="14.4">
      <c r="A174" t="s">
        <v>2392</v>
      </c>
      <c r="B174" t="s">
        <v>2393</v>
      </c>
      <c r="C174" s="27" t="s">
        <v>1392</v>
      </c>
      <c r="D174" s="28">
        <v>0</v>
      </c>
      <c r="F174" s="9" t="str">
        <f t="shared" si="18"/>
        <v>4771</v>
      </c>
      <c r="G174" s="9" t="str">
        <f t="shared" si="19"/>
        <v/>
      </c>
      <c r="H174" s="9">
        <f t="shared" si="20"/>
        <v>0</v>
      </c>
      <c r="I174" s="9">
        <f t="array" ref="I174">+SUM(IFERROR(VALUE(G174:H174),0))</f>
        <v>0</v>
      </c>
      <c r="K174" s="9" t="str">
        <f t="shared" si="21"/>
        <v>477</v>
      </c>
      <c r="L174" s="9" t="str">
        <f t="shared" si="22"/>
        <v/>
      </c>
      <c r="M174" s="9">
        <f t="shared" si="23"/>
        <v>0</v>
      </c>
      <c r="N174" s="9">
        <f t="array" ref="N174">+SUM(IFERROR(VALUE(L174:M174),0))</f>
        <v>0</v>
      </c>
      <c r="P174" s="9" t="str">
        <f t="shared" si="24"/>
        <v>47</v>
      </c>
      <c r="Q174" s="9" t="str">
        <f t="shared" si="25"/>
        <v/>
      </c>
      <c r="R174" s="9">
        <f t="shared" si="26"/>
        <v>0</v>
      </c>
      <c r="S174" s="9">
        <f t="array" ref="S174">+SUM(IFERROR(VALUE(Q174:R174),0))</f>
        <v>0</v>
      </c>
    </row>
    <row r="175" spans="1:19" ht="14.4">
      <c r="A175" t="s">
        <v>2394</v>
      </c>
      <c r="B175" t="s">
        <v>2395</v>
      </c>
      <c r="C175" s="27" t="s">
        <v>1392</v>
      </c>
      <c r="D175" s="28">
        <v>0</v>
      </c>
      <c r="F175" s="9" t="str">
        <f t="shared" si="18"/>
        <v>4772</v>
      </c>
      <c r="G175" s="9" t="str">
        <f t="shared" si="19"/>
        <v/>
      </c>
      <c r="H175" s="9">
        <f t="shared" si="20"/>
        <v>0</v>
      </c>
      <c r="I175" s="9">
        <f t="array" ref="I175">+SUM(IFERROR(VALUE(G175:H175),0))</f>
        <v>0</v>
      </c>
      <c r="K175" s="9" t="str">
        <f t="shared" si="21"/>
        <v>477</v>
      </c>
      <c r="L175" s="9" t="str">
        <f t="shared" si="22"/>
        <v/>
      </c>
      <c r="M175" s="9">
        <f t="shared" si="23"/>
        <v>0</v>
      </c>
      <c r="N175" s="9">
        <f t="array" ref="N175">+SUM(IFERROR(VALUE(L175:M175),0))</f>
        <v>0</v>
      </c>
      <c r="P175" s="9" t="str">
        <f t="shared" si="24"/>
        <v>47</v>
      </c>
      <c r="Q175" s="9" t="str">
        <f t="shared" si="25"/>
        <v/>
      </c>
      <c r="R175" s="9">
        <f t="shared" si="26"/>
        <v>0</v>
      </c>
      <c r="S175" s="9">
        <f t="array" ref="S175">+SUM(IFERROR(VALUE(Q175:R175),0))</f>
        <v>0</v>
      </c>
    </row>
    <row r="176" spans="1:19" ht="14.4">
      <c r="A176" t="s">
        <v>2396</v>
      </c>
      <c r="B176" t="s">
        <v>2397</v>
      </c>
      <c r="C176" s="27" t="s">
        <v>1392</v>
      </c>
      <c r="D176" s="28">
        <v>0</v>
      </c>
      <c r="F176" s="9" t="str">
        <f t="shared" si="18"/>
        <v>4773</v>
      </c>
      <c r="G176" s="9" t="str">
        <f t="shared" si="19"/>
        <v/>
      </c>
      <c r="H176" s="9">
        <f t="shared" si="20"/>
        <v>0</v>
      </c>
      <c r="I176" s="9">
        <f t="array" ref="I176">+SUM(IFERROR(VALUE(G176:H176),0))</f>
        <v>0</v>
      </c>
      <c r="K176" s="9" t="str">
        <f t="shared" si="21"/>
        <v>477</v>
      </c>
      <c r="L176" s="9" t="str">
        <f t="shared" si="22"/>
        <v/>
      </c>
      <c r="M176" s="9">
        <f t="shared" si="23"/>
        <v>0</v>
      </c>
      <c r="N176" s="9">
        <f t="array" ref="N176">+SUM(IFERROR(VALUE(L176:M176),0))</f>
        <v>0</v>
      </c>
      <c r="P176" s="9" t="str">
        <f t="shared" si="24"/>
        <v>47</v>
      </c>
      <c r="Q176" s="9" t="str">
        <f t="shared" si="25"/>
        <v/>
      </c>
      <c r="R176" s="9">
        <f t="shared" si="26"/>
        <v>0</v>
      </c>
      <c r="S176" s="9">
        <f t="array" ref="S176">+SUM(IFERROR(VALUE(Q176:R176),0))</f>
        <v>0</v>
      </c>
    </row>
    <row r="177" spans="1:19" ht="14.4">
      <c r="A177" t="s">
        <v>2398</v>
      </c>
      <c r="B177" t="s">
        <v>2399</v>
      </c>
      <c r="C177" s="27" t="s">
        <v>1392</v>
      </c>
      <c r="D177" s="28">
        <v>0</v>
      </c>
      <c r="F177" s="9" t="str">
        <f t="shared" si="18"/>
        <v>4773</v>
      </c>
      <c r="G177" s="9" t="str">
        <f t="shared" si="19"/>
        <v/>
      </c>
      <c r="H177" s="9">
        <f t="shared" si="20"/>
        <v>0</v>
      </c>
      <c r="I177" s="9">
        <f t="array" ref="I177">+SUM(IFERROR(VALUE(G177:H177),0))</f>
        <v>0</v>
      </c>
      <c r="K177" s="9" t="str">
        <f t="shared" si="21"/>
        <v>477</v>
      </c>
      <c r="L177" s="9" t="str">
        <f t="shared" si="22"/>
        <v/>
      </c>
      <c r="M177" s="9">
        <f t="shared" si="23"/>
        <v>0</v>
      </c>
      <c r="N177" s="9">
        <f t="array" ref="N177">+SUM(IFERROR(VALUE(L177:M177),0))</f>
        <v>0</v>
      </c>
      <c r="P177" s="9" t="str">
        <f t="shared" si="24"/>
        <v>47</v>
      </c>
      <c r="Q177" s="9" t="str">
        <f t="shared" si="25"/>
        <v/>
      </c>
      <c r="R177" s="9">
        <f t="shared" si="26"/>
        <v>0</v>
      </c>
      <c r="S177" s="9">
        <f t="array" ref="S177">+SUM(IFERROR(VALUE(Q177:R177),0))</f>
        <v>0</v>
      </c>
    </row>
    <row r="178" spans="1:19" ht="14.4">
      <c r="A178" t="s">
        <v>2400</v>
      </c>
      <c r="B178" t="s">
        <v>2401</v>
      </c>
      <c r="C178" s="27" t="s">
        <v>1392</v>
      </c>
      <c r="D178" s="28">
        <v>0</v>
      </c>
      <c r="F178" s="9" t="str">
        <f t="shared" si="18"/>
        <v>4773</v>
      </c>
      <c r="G178" s="9" t="str">
        <f t="shared" si="19"/>
        <v/>
      </c>
      <c r="H178" s="9">
        <f t="shared" si="20"/>
        <v>0</v>
      </c>
      <c r="I178" s="9">
        <f t="array" ref="I178">+SUM(IFERROR(VALUE(G178:H178),0))</f>
        <v>0</v>
      </c>
      <c r="K178" s="9" t="str">
        <f t="shared" si="21"/>
        <v>477</v>
      </c>
      <c r="L178" s="9" t="str">
        <f t="shared" si="22"/>
        <v/>
      </c>
      <c r="M178" s="9">
        <f t="shared" si="23"/>
        <v>0</v>
      </c>
      <c r="N178" s="9">
        <f t="array" ref="N178">+SUM(IFERROR(VALUE(L178:M178),0))</f>
        <v>0</v>
      </c>
      <c r="P178" s="9" t="str">
        <f t="shared" si="24"/>
        <v>47</v>
      </c>
      <c r="Q178" s="9" t="str">
        <f t="shared" si="25"/>
        <v/>
      </c>
      <c r="R178" s="9">
        <f t="shared" si="26"/>
        <v>0</v>
      </c>
      <c r="S178" s="9">
        <f t="array" ref="S178">+SUM(IFERROR(VALUE(Q178:R178),0))</f>
        <v>0</v>
      </c>
    </row>
    <row r="179" spans="1:19" ht="14.4">
      <c r="A179" t="s">
        <v>2402</v>
      </c>
      <c r="B179" t="s">
        <v>2403</v>
      </c>
      <c r="C179" s="27">
        <v>0</v>
      </c>
      <c r="D179" s="28">
        <v>5906233.4400000004</v>
      </c>
      <c r="F179" s="9" t="str">
        <f t="shared" si="18"/>
        <v>4790</v>
      </c>
      <c r="G179" s="9">
        <f t="shared" si="19"/>
        <v>0</v>
      </c>
      <c r="H179" s="9">
        <f t="shared" si="20"/>
        <v>-5906233.4400000004</v>
      </c>
      <c r="I179" s="9">
        <f t="array" ref="I179">+SUM(IFERROR(VALUE(G179:H179),0))</f>
        <v>-5906233.4400000004</v>
      </c>
      <c r="K179" s="9" t="str">
        <f t="shared" si="21"/>
        <v>479</v>
      </c>
      <c r="L179" s="9">
        <f t="shared" si="22"/>
        <v>0</v>
      </c>
      <c r="M179" s="9">
        <f t="shared" si="23"/>
        <v>-5906233.4400000004</v>
      </c>
      <c r="N179" s="9">
        <f t="array" ref="N179">+SUM(IFERROR(VALUE(L179:M179),0))</f>
        <v>-5906233.4400000004</v>
      </c>
      <c r="P179" s="9" t="str">
        <f t="shared" si="24"/>
        <v>47</v>
      </c>
      <c r="Q179" s="9">
        <f t="shared" si="25"/>
        <v>0</v>
      </c>
      <c r="R179" s="9">
        <f t="shared" si="26"/>
        <v>-5906233.4400000004</v>
      </c>
      <c r="S179" s="9">
        <f t="array" ref="S179">+SUM(IFERROR(VALUE(Q179:R179),0))</f>
        <v>-5906233.4400000004</v>
      </c>
    </row>
    <row r="180" spans="1:19" ht="14.4">
      <c r="A180" t="s">
        <v>2404</v>
      </c>
      <c r="B180" t="s">
        <v>2405</v>
      </c>
      <c r="C180" s="27">
        <v>0</v>
      </c>
      <c r="D180" s="28">
        <v>3380401.62</v>
      </c>
      <c r="F180" s="9" t="str">
        <f t="shared" si="18"/>
        <v>4790</v>
      </c>
      <c r="G180" s="9">
        <f t="shared" si="19"/>
        <v>0</v>
      </c>
      <c r="H180" s="9">
        <f t="shared" si="20"/>
        <v>-3380401.62</v>
      </c>
      <c r="I180" s="9">
        <f t="array" ref="I180">+SUM(IFERROR(VALUE(G180:H180),0))</f>
        <v>-3380401.62</v>
      </c>
      <c r="K180" s="9" t="str">
        <f t="shared" si="21"/>
        <v>479</v>
      </c>
      <c r="L180" s="9">
        <f t="shared" si="22"/>
        <v>0</v>
      </c>
      <c r="M180" s="9">
        <f t="shared" si="23"/>
        <v>-3380401.62</v>
      </c>
      <c r="N180" s="9">
        <f t="array" ref="N180">+SUM(IFERROR(VALUE(L180:M180),0))</f>
        <v>-3380401.62</v>
      </c>
      <c r="P180" s="9" t="str">
        <f t="shared" si="24"/>
        <v>47</v>
      </c>
      <c r="Q180" s="9">
        <f t="shared" si="25"/>
        <v>0</v>
      </c>
      <c r="R180" s="9">
        <f t="shared" si="26"/>
        <v>-3380401.62</v>
      </c>
      <c r="S180" s="9">
        <f t="array" ref="S180">+SUM(IFERROR(VALUE(Q180:R180),0))</f>
        <v>-3380401.62</v>
      </c>
    </row>
    <row r="181" spans="1:19" ht="14.4">
      <c r="A181" t="s">
        <v>2406</v>
      </c>
      <c r="B181" t="s">
        <v>2407</v>
      </c>
      <c r="C181" s="27" t="s">
        <v>1392</v>
      </c>
      <c r="D181" s="28">
        <v>0</v>
      </c>
      <c r="F181" s="9" t="str">
        <f t="shared" si="18"/>
        <v>4790</v>
      </c>
      <c r="G181" s="9" t="str">
        <f t="shared" si="19"/>
        <v/>
      </c>
      <c r="H181" s="9">
        <f t="shared" si="20"/>
        <v>0</v>
      </c>
      <c r="I181" s="9">
        <f t="array" ref="I181">+SUM(IFERROR(VALUE(G181:H181),0))</f>
        <v>0</v>
      </c>
      <c r="K181" s="9" t="str">
        <f t="shared" si="21"/>
        <v>479</v>
      </c>
      <c r="L181" s="9" t="str">
        <f t="shared" si="22"/>
        <v/>
      </c>
      <c r="M181" s="9">
        <f t="shared" si="23"/>
        <v>0</v>
      </c>
      <c r="N181" s="9">
        <f t="array" ref="N181">+SUM(IFERROR(VALUE(L181:M181),0))</f>
        <v>0</v>
      </c>
      <c r="P181" s="9" t="str">
        <f t="shared" si="24"/>
        <v>47</v>
      </c>
      <c r="Q181" s="9" t="str">
        <f t="shared" si="25"/>
        <v/>
      </c>
      <c r="R181" s="9">
        <f t="shared" si="26"/>
        <v>0</v>
      </c>
      <c r="S181" s="9">
        <f t="array" ref="S181">+SUM(IFERROR(VALUE(Q181:R181),0))</f>
        <v>0</v>
      </c>
    </row>
    <row r="182" spans="1:19" ht="14.4">
      <c r="A182" t="s">
        <v>2408</v>
      </c>
      <c r="B182" t="s">
        <v>2409</v>
      </c>
      <c r="C182" s="27">
        <v>0</v>
      </c>
      <c r="D182" s="28">
        <v>7018.25</v>
      </c>
      <c r="F182" s="9" t="str">
        <f t="shared" si="18"/>
        <v>4790</v>
      </c>
      <c r="G182" s="9">
        <f t="shared" si="19"/>
        <v>0</v>
      </c>
      <c r="H182" s="9">
        <f t="shared" si="20"/>
        <v>-7018.25</v>
      </c>
      <c r="I182" s="9">
        <f t="array" ref="I182">+SUM(IFERROR(VALUE(G182:H182),0))</f>
        <v>-7018.25</v>
      </c>
      <c r="K182" s="9" t="str">
        <f t="shared" si="21"/>
        <v>479</v>
      </c>
      <c r="L182" s="9">
        <f t="shared" si="22"/>
        <v>0</v>
      </c>
      <c r="M182" s="9">
        <f t="shared" si="23"/>
        <v>-7018.25</v>
      </c>
      <c r="N182" s="9">
        <f t="array" ref="N182">+SUM(IFERROR(VALUE(L182:M182),0))</f>
        <v>-7018.25</v>
      </c>
      <c r="P182" s="9" t="str">
        <f t="shared" si="24"/>
        <v>47</v>
      </c>
      <c r="Q182" s="9">
        <f t="shared" si="25"/>
        <v>0</v>
      </c>
      <c r="R182" s="9">
        <f t="shared" si="26"/>
        <v>-7018.25</v>
      </c>
      <c r="S182" s="9">
        <f t="array" ref="S182">+SUM(IFERROR(VALUE(Q182:R182),0))</f>
        <v>-7018.25</v>
      </c>
    </row>
    <row r="183" spans="1:19" ht="14.4">
      <c r="A183" t="s">
        <v>2410</v>
      </c>
      <c r="B183" t="s">
        <v>2411</v>
      </c>
      <c r="C183" s="27">
        <v>0</v>
      </c>
      <c r="D183" s="28">
        <v>238403.20000000001</v>
      </c>
      <c r="F183" s="9" t="str">
        <f t="shared" si="18"/>
        <v>4790</v>
      </c>
      <c r="G183" s="9">
        <f t="shared" si="19"/>
        <v>0</v>
      </c>
      <c r="H183" s="9">
        <f t="shared" si="20"/>
        <v>-238403.20000000001</v>
      </c>
      <c r="I183" s="9">
        <f t="array" ref="I183">+SUM(IFERROR(VALUE(G183:H183),0))</f>
        <v>-238403.20000000001</v>
      </c>
      <c r="K183" s="9" t="str">
        <f t="shared" si="21"/>
        <v>479</v>
      </c>
      <c r="L183" s="9">
        <f t="shared" si="22"/>
        <v>0</v>
      </c>
      <c r="M183" s="9">
        <f t="shared" si="23"/>
        <v>-238403.20000000001</v>
      </c>
      <c r="N183" s="9">
        <f t="array" ref="N183">+SUM(IFERROR(VALUE(L183:M183),0))</f>
        <v>-238403.20000000001</v>
      </c>
      <c r="P183" s="9" t="str">
        <f t="shared" si="24"/>
        <v>47</v>
      </c>
      <c r="Q183" s="9">
        <f t="shared" si="25"/>
        <v>0</v>
      </c>
      <c r="R183" s="9">
        <f t="shared" si="26"/>
        <v>-238403.20000000001</v>
      </c>
      <c r="S183" s="9">
        <f t="array" ref="S183">+SUM(IFERROR(VALUE(Q183:R183),0))</f>
        <v>-238403.20000000001</v>
      </c>
    </row>
    <row r="184" spans="1:19" ht="14.4">
      <c r="A184" t="s">
        <v>2412</v>
      </c>
      <c r="B184" t="s">
        <v>2413</v>
      </c>
      <c r="C184" s="27">
        <v>0</v>
      </c>
      <c r="D184" s="28">
        <v>228.77</v>
      </c>
      <c r="F184" s="9" t="str">
        <f t="shared" si="18"/>
        <v>4790</v>
      </c>
      <c r="G184" s="9">
        <f t="shared" si="19"/>
        <v>0</v>
      </c>
      <c r="H184" s="9">
        <f t="shared" si="20"/>
        <v>-228.77</v>
      </c>
      <c r="I184" s="9">
        <f t="array" ref="I184">+SUM(IFERROR(VALUE(G184:H184),0))</f>
        <v>-228.77</v>
      </c>
      <c r="K184" s="9" t="str">
        <f t="shared" si="21"/>
        <v>479</v>
      </c>
      <c r="L184" s="9">
        <f t="shared" si="22"/>
        <v>0</v>
      </c>
      <c r="M184" s="9">
        <f t="shared" si="23"/>
        <v>-228.77</v>
      </c>
      <c r="N184" s="9">
        <f t="array" ref="N184">+SUM(IFERROR(VALUE(L184:M184),0))</f>
        <v>-228.77</v>
      </c>
      <c r="P184" s="9" t="str">
        <f t="shared" si="24"/>
        <v>47</v>
      </c>
      <c r="Q184" s="9">
        <f t="shared" si="25"/>
        <v>0</v>
      </c>
      <c r="R184" s="9">
        <f t="shared" si="26"/>
        <v>-228.77</v>
      </c>
      <c r="S184" s="9">
        <f t="array" ref="S184">+SUM(IFERROR(VALUE(Q184:R184),0))</f>
        <v>-228.77</v>
      </c>
    </row>
    <row r="185" spans="1:19" ht="14.4">
      <c r="A185" t="s">
        <v>2414</v>
      </c>
      <c r="B185" t="s">
        <v>2415</v>
      </c>
      <c r="C185" s="27">
        <v>0</v>
      </c>
      <c r="D185" s="28">
        <v>5296.22</v>
      </c>
      <c r="F185" s="9" t="str">
        <f t="shared" si="18"/>
        <v>4790</v>
      </c>
      <c r="G185" s="9">
        <f t="shared" si="19"/>
        <v>0</v>
      </c>
      <c r="H185" s="9">
        <f t="shared" si="20"/>
        <v>-5296.22</v>
      </c>
      <c r="I185" s="9">
        <f t="array" ref="I185">+SUM(IFERROR(VALUE(G185:H185),0))</f>
        <v>-5296.22</v>
      </c>
      <c r="K185" s="9" t="str">
        <f t="shared" si="21"/>
        <v>479</v>
      </c>
      <c r="L185" s="9">
        <f t="shared" si="22"/>
        <v>0</v>
      </c>
      <c r="M185" s="9">
        <f t="shared" si="23"/>
        <v>-5296.22</v>
      </c>
      <c r="N185" s="9">
        <f t="array" ref="N185">+SUM(IFERROR(VALUE(L185:M185),0))</f>
        <v>-5296.22</v>
      </c>
      <c r="P185" s="9" t="str">
        <f t="shared" si="24"/>
        <v>47</v>
      </c>
      <c r="Q185" s="9">
        <f t="shared" si="25"/>
        <v>0</v>
      </c>
      <c r="R185" s="9">
        <f t="shared" si="26"/>
        <v>-5296.22</v>
      </c>
      <c r="S185" s="9">
        <f t="array" ref="S185">+SUM(IFERROR(VALUE(Q185:R185),0))</f>
        <v>-5296.22</v>
      </c>
    </row>
    <row r="186" spans="1:19" ht="14.4">
      <c r="A186" t="s">
        <v>2416</v>
      </c>
      <c r="B186" t="s">
        <v>2417</v>
      </c>
      <c r="C186" s="27">
        <v>0</v>
      </c>
      <c r="D186" s="28">
        <v>16757.990000000002</v>
      </c>
      <c r="F186" s="9" t="str">
        <f t="shared" si="18"/>
        <v>4790</v>
      </c>
      <c r="G186" s="9">
        <f t="shared" si="19"/>
        <v>0</v>
      </c>
      <c r="H186" s="9">
        <f t="shared" si="20"/>
        <v>-16757.990000000002</v>
      </c>
      <c r="I186" s="9">
        <f t="array" ref="I186">+SUM(IFERROR(VALUE(G186:H186),0))</f>
        <v>-16757.990000000002</v>
      </c>
      <c r="K186" s="9" t="str">
        <f t="shared" si="21"/>
        <v>479</v>
      </c>
      <c r="L186" s="9">
        <f t="shared" si="22"/>
        <v>0</v>
      </c>
      <c r="M186" s="9">
        <f t="shared" si="23"/>
        <v>-16757.990000000002</v>
      </c>
      <c r="N186" s="9">
        <f t="array" ref="N186">+SUM(IFERROR(VALUE(L186:M186),0))</f>
        <v>-16757.990000000002</v>
      </c>
      <c r="P186" s="9" t="str">
        <f t="shared" si="24"/>
        <v>47</v>
      </c>
      <c r="Q186" s="9">
        <f t="shared" si="25"/>
        <v>0</v>
      </c>
      <c r="R186" s="9">
        <f t="shared" si="26"/>
        <v>-16757.990000000002</v>
      </c>
      <c r="S186" s="9">
        <f t="array" ref="S186">+SUM(IFERROR(VALUE(Q186:R186),0))</f>
        <v>-16757.990000000002</v>
      </c>
    </row>
    <row r="187" spans="1:19" ht="14.4">
      <c r="A187" t="s">
        <v>2418</v>
      </c>
      <c r="B187" t="s">
        <v>2419</v>
      </c>
      <c r="C187" s="27">
        <v>0</v>
      </c>
      <c r="D187" s="28">
        <v>280303.8</v>
      </c>
      <c r="F187" s="9" t="str">
        <f t="shared" si="18"/>
        <v>4790</v>
      </c>
      <c r="G187" s="9">
        <f t="shared" si="19"/>
        <v>0</v>
      </c>
      <c r="H187" s="9">
        <f t="shared" si="20"/>
        <v>-280303.8</v>
      </c>
      <c r="I187" s="9">
        <f t="array" ref="I187">+SUM(IFERROR(VALUE(G187:H187),0))</f>
        <v>-280303.8</v>
      </c>
      <c r="K187" s="9" t="str">
        <f t="shared" si="21"/>
        <v>479</v>
      </c>
      <c r="L187" s="9">
        <f t="shared" si="22"/>
        <v>0</v>
      </c>
      <c r="M187" s="9">
        <f t="shared" si="23"/>
        <v>-280303.8</v>
      </c>
      <c r="N187" s="9">
        <f t="array" ref="N187">+SUM(IFERROR(VALUE(L187:M187),0))</f>
        <v>-280303.8</v>
      </c>
      <c r="P187" s="9" t="str">
        <f t="shared" si="24"/>
        <v>47</v>
      </c>
      <c r="Q187" s="9">
        <f t="shared" si="25"/>
        <v>0</v>
      </c>
      <c r="R187" s="9">
        <f t="shared" si="26"/>
        <v>-280303.8</v>
      </c>
      <c r="S187" s="9">
        <f t="array" ref="S187">+SUM(IFERROR(VALUE(Q187:R187),0))</f>
        <v>-280303.8</v>
      </c>
    </row>
    <row r="188" spans="1:19" ht="14.4">
      <c r="A188" t="s">
        <v>2420</v>
      </c>
      <c r="B188" t="s">
        <v>2421</v>
      </c>
      <c r="C188" s="27">
        <v>0</v>
      </c>
      <c r="D188" s="28">
        <v>134971.53</v>
      </c>
      <c r="F188" s="9" t="str">
        <f t="shared" si="18"/>
        <v>4790</v>
      </c>
      <c r="G188" s="9">
        <f t="shared" si="19"/>
        <v>0</v>
      </c>
      <c r="H188" s="9">
        <f t="shared" si="20"/>
        <v>-134971.53</v>
      </c>
      <c r="I188" s="9">
        <f t="array" ref="I188">+SUM(IFERROR(VALUE(G188:H188),0))</f>
        <v>-134971.53</v>
      </c>
      <c r="K188" s="9" t="str">
        <f t="shared" si="21"/>
        <v>479</v>
      </c>
      <c r="L188" s="9">
        <f t="shared" si="22"/>
        <v>0</v>
      </c>
      <c r="M188" s="9">
        <f t="shared" si="23"/>
        <v>-134971.53</v>
      </c>
      <c r="N188" s="9">
        <f t="array" ref="N188">+SUM(IFERROR(VALUE(L188:M188),0))</f>
        <v>-134971.53</v>
      </c>
      <c r="P188" s="9" t="str">
        <f t="shared" si="24"/>
        <v>47</v>
      </c>
      <c r="Q188" s="9">
        <f t="shared" si="25"/>
        <v>0</v>
      </c>
      <c r="R188" s="9">
        <f t="shared" si="26"/>
        <v>-134971.53</v>
      </c>
      <c r="S188" s="9">
        <f t="array" ref="S188">+SUM(IFERROR(VALUE(Q188:R188),0))</f>
        <v>-134971.53</v>
      </c>
    </row>
    <row r="189" spans="1:19" ht="14.4">
      <c r="A189" t="s">
        <v>2422</v>
      </c>
      <c r="B189" t="s">
        <v>2367</v>
      </c>
      <c r="C189" s="27">
        <v>0</v>
      </c>
      <c r="D189" s="28">
        <v>22763.74</v>
      </c>
      <c r="F189" s="9" t="str">
        <f t="shared" si="18"/>
        <v>4790</v>
      </c>
      <c r="G189" s="9">
        <f t="shared" si="19"/>
        <v>0</v>
      </c>
      <c r="H189" s="9">
        <f t="shared" si="20"/>
        <v>-22763.74</v>
      </c>
      <c r="I189" s="9">
        <f t="array" ref="I189">+SUM(IFERROR(VALUE(G189:H189),0))</f>
        <v>-22763.74</v>
      </c>
      <c r="K189" s="9" t="str">
        <f t="shared" si="21"/>
        <v>479</v>
      </c>
      <c r="L189" s="9">
        <f t="shared" si="22"/>
        <v>0</v>
      </c>
      <c r="M189" s="9">
        <f t="shared" si="23"/>
        <v>-22763.74</v>
      </c>
      <c r="N189" s="9">
        <f t="array" ref="N189">+SUM(IFERROR(VALUE(L189:M189),0))</f>
        <v>-22763.74</v>
      </c>
      <c r="P189" s="9" t="str">
        <f t="shared" si="24"/>
        <v>47</v>
      </c>
      <c r="Q189" s="9">
        <f t="shared" si="25"/>
        <v>0</v>
      </c>
      <c r="R189" s="9">
        <f t="shared" si="26"/>
        <v>-22763.74</v>
      </c>
      <c r="S189" s="9">
        <f t="array" ref="S189">+SUM(IFERROR(VALUE(Q189:R189),0))</f>
        <v>-22763.74</v>
      </c>
    </row>
    <row r="190" spans="1:19" ht="14.4">
      <c r="A190" t="s">
        <v>2423</v>
      </c>
      <c r="B190" t="s">
        <v>2424</v>
      </c>
      <c r="C190" s="27">
        <v>156</v>
      </c>
      <c r="D190" s="28">
        <v>0</v>
      </c>
      <c r="F190" s="9" t="str">
        <f t="shared" si="18"/>
        <v>4800</v>
      </c>
      <c r="G190" s="9">
        <f t="shared" si="19"/>
        <v>156</v>
      </c>
      <c r="H190" s="9">
        <f t="shared" si="20"/>
        <v>0</v>
      </c>
      <c r="I190" s="9">
        <f t="array" ref="I190">+SUM(IFERROR(VALUE(G190:H190),0))</f>
        <v>156</v>
      </c>
      <c r="K190" s="9" t="str">
        <f t="shared" si="21"/>
        <v>480</v>
      </c>
      <c r="L190" s="9">
        <f t="shared" si="22"/>
        <v>156</v>
      </c>
      <c r="M190" s="9">
        <f t="shared" si="23"/>
        <v>0</v>
      </c>
      <c r="N190" s="9">
        <f t="array" ref="N190">+SUM(IFERROR(VALUE(L190:M190),0))</f>
        <v>156</v>
      </c>
      <c r="P190" s="9" t="str">
        <f t="shared" si="24"/>
        <v>48</v>
      </c>
      <c r="Q190" s="9">
        <f t="shared" si="25"/>
        <v>156</v>
      </c>
      <c r="R190" s="9">
        <f t="shared" si="26"/>
        <v>0</v>
      </c>
      <c r="S190" s="9">
        <f t="array" ref="S190">+SUM(IFERROR(VALUE(Q190:R190),0))</f>
        <v>156</v>
      </c>
    </row>
    <row r="191" spans="1:19" ht="14.4">
      <c r="A191" t="s">
        <v>2425</v>
      </c>
      <c r="B191" t="s">
        <v>2426</v>
      </c>
      <c r="C191" s="27">
        <v>480.7</v>
      </c>
      <c r="D191" s="28">
        <v>0</v>
      </c>
      <c r="F191" s="9" t="str">
        <f t="shared" si="18"/>
        <v>4800</v>
      </c>
      <c r="G191" s="9">
        <f t="shared" si="19"/>
        <v>480.7</v>
      </c>
      <c r="H191" s="9">
        <f t="shared" si="20"/>
        <v>0</v>
      </c>
      <c r="I191" s="9">
        <f t="array" ref="I191">+SUM(IFERROR(VALUE(G191:H191),0))</f>
        <v>480.7</v>
      </c>
      <c r="K191" s="9" t="str">
        <f t="shared" si="21"/>
        <v>480</v>
      </c>
      <c r="L191" s="9">
        <f t="shared" si="22"/>
        <v>480.7</v>
      </c>
      <c r="M191" s="9">
        <f t="shared" si="23"/>
        <v>0</v>
      </c>
      <c r="N191" s="9">
        <f t="array" ref="N191">+SUM(IFERROR(VALUE(L191:M191),0))</f>
        <v>480.7</v>
      </c>
      <c r="P191" s="9" t="str">
        <f t="shared" si="24"/>
        <v>48</v>
      </c>
      <c r="Q191" s="9">
        <f t="shared" si="25"/>
        <v>480.7</v>
      </c>
      <c r="R191" s="9">
        <f t="shared" si="26"/>
        <v>0</v>
      </c>
      <c r="S191" s="9">
        <f t="array" ref="S191">+SUM(IFERROR(VALUE(Q191:R191),0))</f>
        <v>480.7</v>
      </c>
    </row>
    <row r="192" spans="1:19" ht="14.4">
      <c r="A192" t="s">
        <v>2427</v>
      </c>
      <c r="B192" t="s">
        <v>2428</v>
      </c>
      <c r="C192" s="27">
        <v>666.36</v>
      </c>
      <c r="D192" s="28">
        <v>0</v>
      </c>
      <c r="F192" s="9" t="str">
        <f t="shared" si="18"/>
        <v>4800</v>
      </c>
      <c r="G192" s="9">
        <f t="shared" si="19"/>
        <v>666.36</v>
      </c>
      <c r="H192" s="9">
        <f t="shared" si="20"/>
        <v>0</v>
      </c>
      <c r="I192" s="9">
        <f t="array" ref="I192">+SUM(IFERROR(VALUE(G192:H192),0))</f>
        <v>666.36</v>
      </c>
      <c r="K192" s="9" t="str">
        <f t="shared" si="21"/>
        <v>480</v>
      </c>
      <c r="L192" s="9">
        <f t="shared" si="22"/>
        <v>666.36</v>
      </c>
      <c r="M192" s="9">
        <f t="shared" si="23"/>
        <v>0</v>
      </c>
      <c r="N192" s="9">
        <f t="array" ref="N192">+SUM(IFERROR(VALUE(L192:M192),0))</f>
        <v>666.36</v>
      </c>
      <c r="P192" s="9" t="str">
        <f t="shared" si="24"/>
        <v>48</v>
      </c>
      <c r="Q192" s="9">
        <f t="shared" si="25"/>
        <v>666.36</v>
      </c>
      <c r="R192" s="9">
        <f t="shared" si="26"/>
        <v>0</v>
      </c>
      <c r="S192" s="9">
        <f t="array" ref="S192">+SUM(IFERROR(VALUE(Q192:R192),0))</f>
        <v>666.36</v>
      </c>
    </row>
    <row r="193" spans="1:19" ht="14.4">
      <c r="A193" t="s">
        <v>2429</v>
      </c>
      <c r="B193" t="s">
        <v>2430</v>
      </c>
      <c r="C193" s="27">
        <v>17202.580000000002</v>
      </c>
      <c r="D193" s="28">
        <v>0</v>
      </c>
      <c r="F193" s="9" t="str">
        <f t="shared" si="18"/>
        <v>4800</v>
      </c>
      <c r="G193" s="9">
        <f t="shared" si="19"/>
        <v>17202.580000000002</v>
      </c>
      <c r="H193" s="9">
        <f t="shared" si="20"/>
        <v>0</v>
      </c>
      <c r="I193" s="9">
        <f t="array" ref="I193">+SUM(IFERROR(VALUE(G193:H193),0))</f>
        <v>17202.580000000002</v>
      </c>
      <c r="K193" s="9" t="str">
        <f t="shared" si="21"/>
        <v>480</v>
      </c>
      <c r="L193" s="9">
        <f t="shared" si="22"/>
        <v>17202.580000000002</v>
      </c>
      <c r="M193" s="9">
        <f t="shared" si="23"/>
        <v>0</v>
      </c>
      <c r="N193" s="9">
        <f t="array" ref="N193">+SUM(IFERROR(VALUE(L193:M193),0))</f>
        <v>17202.580000000002</v>
      </c>
      <c r="P193" s="9" t="str">
        <f t="shared" si="24"/>
        <v>48</v>
      </c>
      <c r="Q193" s="9">
        <f t="shared" si="25"/>
        <v>17202.580000000002</v>
      </c>
      <c r="R193" s="9">
        <f t="shared" si="26"/>
        <v>0</v>
      </c>
      <c r="S193" s="9">
        <f t="array" ref="S193">+SUM(IFERROR(VALUE(Q193:R193),0))</f>
        <v>17202.580000000002</v>
      </c>
    </row>
    <row r="194" spans="1:19" ht="14.4">
      <c r="A194" t="s">
        <v>2431</v>
      </c>
      <c r="B194" t="s">
        <v>2432</v>
      </c>
      <c r="C194" s="27">
        <v>0</v>
      </c>
      <c r="D194" s="28">
        <v>110160</v>
      </c>
      <c r="F194" s="9" t="str">
        <f t="shared" si="18"/>
        <v>4900</v>
      </c>
      <c r="G194" s="9">
        <f t="shared" si="19"/>
        <v>0</v>
      </c>
      <c r="H194" s="9">
        <f t="shared" si="20"/>
        <v>-110160</v>
      </c>
      <c r="I194" s="9">
        <f t="array" ref="I194">+SUM(IFERROR(VALUE(G194:H194),0))</f>
        <v>-110160</v>
      </c>
      <c r="K194" s="9" t="str">
        <f t="shared" si="21"/>
        <v>490</v>
      </c>
      <c r="L194" s="9">
        <f t="shared" si="22"/>
        <v>0</v>
      </c>
      <c r="M194" s="9">
        <f t="shared" si="23"/>
        <v>-110160</v>
      </c>
      <c r="N194" s="9">
        <f t="array" ref="N194">+SUM(IFERROR(VALUE(L194:M194),0))</f>
        <v>-110160</v>
      </c>
      <c r="P194" s="9" t="str">
        <f t="shared" si="24"/>
        <v>49</v>
      </c>
      <c r="Q194" s="9">
        <f t="shared" si="25"/>
        <v>0</v>
      </c>
      <c r="R194" s="9">
        <f t="shared" si="26"/>
        <v>-110160</v>
      </c>
      <c r="S194" s="9">
        <f t="array" ref="S194">+SUM(IFERROR(VALUE(Q194:R194),0))</f>
        <v>-110160</v>
      </c>
    </row>
    <row r="195" spans="1:19" ht="14.4">
      <c r="A195" t="s">
        <v>2433</v>
      </c>
      <c r="B195" t="s">
        <v>2434</v>
      </c>
      <c r="C195" s="27">
        <v>0</v>
      </c>
      <c r="D195" s="28">
        <v>652.07000000000005</v>
      </c>
      <c r="F195" s="9" t="str">
        <f t="shared" si="18"/>
        <v>5210</v>
      </c>
      <c r="G195" s="9">
        <f t="shared" si="19"/>
        <v>0</v>
      </c>
      <c r="H195" s="9">
        <f t="shared" si="20"/>
        <v>-652.07000000000005</v>
      </c>
      <c r="I195" s="9">
        <f t="array" ref="I195">+SUM(IFERROR(VALUE(G195:H195),0))</f>
        <v>-652.07000000000005</v>
      </c>
      <c r="K195" s="9" t="str">
        <f t="shared" si="21"/>
        <v>521</v>
      </c>
      <c r="L195" s="9">
        <f t="shared" si="22"/>
        <v>0</v>
      </c>
      <c r="M195" s="9">
        <f t="shared" si="23"/>
        <v>-652.07000000000005</v>
      </c>
      <c r="N195" s="9">
        <f t="array" ref="N195">+SUM(IFERROR(VALUE(L195:M195),0))</f>
        <v>-652.07000000000005</v>
      </c>
      <c r="P195" s="9" t="str">
        <f t="shared" si="24"/>
        <v>52</v>
      </c>
      <c r="Q195" s="9">
        <f t="shared" si="25"/>
        <v>0</v>
      </c>
      <c r="R195" s="9">
        <f t="shared" si="26"/>
        <v>-652.07000000000005</v>
      </c>
      <c r="S195" s="9">
        <f t="array" ref="S195">+SUM(IFERROR(VALUE(Q195:R195),0))</f>
        <v>-652.07000000000005</v>
      </c>
    </row>
    <row r="196" spans="1:19" ht="14.4">
      <c r="A196" t="s">
        <v>2435</v>
      </c>
      <c r="B196" t="s">
        <v>2436</v>
      </c>
      <c r="C196" s="27">
        <v>2904.58</v>
      </c>
      <c r="D196" s="28">
        <v>0</v>
      </c>
      <c r="F196" s="9" t="str">
        <f t="shared" si="18"/>
        <v>5440</v>
      </c>
      <c r="G196" s="9">
        <f t="shared" si="19"/>
        <v>2904.58</v>
      </c>
      <c r="H196" s="9">
        <f t="shared" si="20"/>
        <v>0</v>
      </c>
      <c r="I196" s="9">
        <f t="array" ref="I196">+SUM(IFERROR(VALUE(G196:H196),0))</f>
        <v>2904.58</v>
      </c>
      <c r="K196" s="9" t="str">
        <f t="shared" si="21"/>
        <v>544</v>
      </c>
      <c r="L196" s="9">
        <f t="shared" si="22"/>
        <v>2904.58</v>
      </c>
      <c r="M196" s="9">
        <f t="shared" si="23"/>
        <v>0</v>
      </c>
      <c r="N196" s="9">
        <f t="array" ref="N196">+SUM(IFERROR(VALUE(L196:M196),0))</f>
        <v>2904.58</v>
      </c>
      <c r="P196" s="9" t="str">
        <f t="shared" si="24"/>
        <v>54</v>
      </c>
      <c r="Q196" s="9">
        <f t="shared" si="25"/>
        <v>2904.58</v>
      </c>
      <c r="R196" s="9">
        <f t="shared" si="26"/>
        <v>0</v>
      </c>
      <c r="S196" s="9">
        <f t="array" ref="S196">+SUM(IFERROR(VALUE(Q196:R196),0))</f>
        <v>2904.58</v>
      </c>
    </row>
    <row r="197" spans="1:19" ht="14.4">
      <c r="A197" t="s">
        <v>2437</v>
      </c>
      <c r="B197" t="s">
        <v>2438</v>
      </c>
      <c r="C197" s="27" t="s">
        <v>1392</v>
      </c>
      <c r="D197" s="28">
        <v>0</v>
      </c>
      <c r="F197" s="9" t="str">
        <f t="shared" si="18"/>
        <v>5650</v>
      </c>
      <c r="G197" s="9" t="str">
        <f t="shared" si="19"/>
        <v/>
      </c>
      <c r="H197" s="9">
        <f t="shared" si="20"/>
        <v>0</v>
      </c>
      <c r="I197" s="9">
        <f t="array" ref="I197">+SUM(IFERROR(VALUE(G197:H197),0))</f>
        <v>0</v>
      </c>
      <c r="K197" s="9" t="str">
        <f t="shared" si="21"/>
        <v>565</v>
      </c>
      <c r="L197" s="9" t="str">
        <f t="shared" si="22"/>
        <v/>
      </c>
      <c r="M197" s="9">
        <f t="shared" si="23"/>
        <v>0</v>
      </c>
      <c r="N197" s="9">
        <f t="array" ref="N197">+SUM(IFERROR(VALUE(L197:M197),0))</f>
        <v>0</v>
      </c>
      <c r="P197" s="9" t="str">
        <f t="shared" si="24"/>
        <v>56</v>
      </c>
      <c r="Q197" s="9" t="str">
        <f t="shared" si="25"/>
        <v/>
      </c>
      <c r="R197" s="9">
        <f t="shared" si="26"/>
        <v>0</v>
      </c>
      <c r="S197" s="9">
        <f t="array" ref="S197">+SUM(IFERROR(VALUE(Q197:R197),0))</f>
        <v>0</v>
      </c>
    </row>
    <row r="198" spans="1:19" ht="14.4">
      <c r="A198" t="s">
        <v>2439</v>
      </c>
      <c r="B198" t="s">
        <v>2440</v>
      </c>
      <c r="C198" s="27">
        <v>103027.25</v>
      </c>
      <c r="D198" s="28">
        <v>0</v>
      </c>
      <c r="F198" s="9" t="str">
        <f t="shared" ref="F198:F261" si="27">+LEFT(A198,4)</f>
        <v>5660</v>
      </c>
      <c r="G198" s="9">
        <f t="shared" ref="G198:G261" si="28">+C198</f>
        <v>103027.25</v>
      </c>
      <c r="H198" s="9">
        <f t="shared" ref="H198:H261" si="29">-D198</f>
        <v>0</v>
      </c>
      <c r="I198" s="9">
        <f t="array" ref="I198">+SUM(IFERROR(VALUE(G198:H198),0))</f>
        <v>103027.25</v>
      </c>
      <c r="K198" s="9" t="str">
        <f t="shared" ref="K198:K261" si="30">+LEFT(A198,3)</f>
        <v>566</v>
      </c>
      <c r="L198" s="9">
        <f t="shared" ref="L198:L261" si="31">+C198</f>
        <v>103027.25</v>
      </c>
      <c r="M198" s="9">
        <f t="shared" ref="M198:M261" si="32">-D198</f>
        <v>0</v>
      </c>
      <c r="N198" s="9">
        <f t="array" ref="N198">+SUM(IFERROR(VALUE(L198:M198),0))</f>
        <v>103027.25</v>
      </c>
      <c r="P198" s="9" t="str">
        <f t="shared" ref="P198:P261" si="33">+LEFT(A198,2)</f>
        <v>56</v>
      </c>
      <c r="Q198" s="9">
        <f t="shared" ref="Q198:Q261" si="34">+C198</f>
        <v>103027.25</v>
      </c>
      <c r="R198" s="9">
        <f t="shared" ref="R198:R261" si="35">-D198</f>
        <v>0</v>
      </c>
      <c r="S198" s="9">
        <f t="array" ref="S198">+SUM(IFERROR(VALUE(Q198:R198),0))</f>
        <v>103027.25</v>
      </c>
    </row>
    <row r="199" spans="1:19" ht="14.4">
      <c r="A199" t="s">
        <v>2441</v>
      </c>
      <c r="B199" t="s">
        <v>2442</v>
      </c>
      <c r="C199" s="27">
        <v>793.1</v>
      </c>
      <c r="D199" s="28">
        <v>0</v>
      </c>
      <c r="F199" s="9" t="str">
        <f t="shared" si="27"/>
        <v>5700</v>
      </c>
      <c r="G199" s="9">
        <f t="shared" si="28"/>
        <v>793.1</v>
      </c>
      <c r="H199" s="9">
        <f t="shared" si="29"/>
        <v>0</v>
      </c>
      <c r="I199" s="9">
        <f t="array" ref="I199">+SUM(IFERROR(VALUE(G199:H199),0))</f>
        <v>793.1</v>
      </c>
      <c r="K199" s="9" t="str">
        <f t="shared" si="30"/>
        <v>570</v>
      </c>
      <c r="L199" s="9">
        <f t="shared" si="31"/>
        <v>793.1</v>
      </c>
      <c r="M199" s="9">
        <f t="shared" si="32"/>
        <v>0</v>
      </c>
      <c r="N199" s="9">
        <f t="array" ref="N199">+SUM(IFERROR(VALUE(L199:M199),0))</f>
        <v>793.1</v>
      </c>
      <c r="P199" s="9" t="str">
        <f t="shared" si="33"/>
        <v>57</v>
      </c>
      <c r="Q199" s="9">
        <f t="shared" si="34"/>
        <v>793.1</v>
      </c>
      <c r="R199" s="9">
        <f t="shared" si="35"/>
        <v>0</v>
      </c>
      <c r="S199" s="9">
        <f t="array" ref="S199">+SUM(IFERROR(VALUE(Q199:R199),0))</f>
        <v>793.1</v>
      </c>
    </row>
    <row r="200" spans="1:19" ht="14.4">
      <c r="A200" t="s">
        <v>2443</v>
      </c>
      <c r="B200" t="s">
        <v>2444</v>
      </c>
      <c r="C200" s="27">
        <v>10355133.66</v>
      </c>
      <c r="D200" s="28">
        <v>0</v>
      </c>
      <c r="F200" s="9" t="str">
        <f t="shared" si="27"/>
        <v>5720</v>
      </c>
      <c r="G200" s="9">
        <f t="shared" si="28"/>
        <v>10355133.66</v>
      </c>
      <c r="H200" s="9">
        <f t="shared" si="29"/>
        <v>0</v>
      </c>
      <c r="I200" s="9">
        <f t="array" ref="I200">+SUM(IFERROR(VALUE(G200:H200),0))</f>
        <v>10355133.66</v>
      </c>
      <c r="K200" s="9" t="str">
        <f t="shared" si="30"/>
        <v>572</v>
      </c>
      <c r="L200" s="9">
        <f t="shared" si="31"/>
        <v>10355133.66</v>
      </c>
      <c r="M200" s="9">
        <f t="shared" si="32"/>
        <v>0</v>
      </c>
      <c r="N200" s="9">
        <f t="array" ref="N200">+SUM(IFERROR(VALUE(L200:M200),0))</f>
        <v>10355133.66</v>
      </c>
      <c r="P200" s="9" t="str">
        <f t="shared" si="33"/>
        <v>57</v>
      </c>
      <c r="Q200" s="9">
        <f t="shared" si="34"/>
        <v>10355133.66</v>
      </c>
      <c r="R200" s="9">
        <f t="shared" si="35"/>
        <v>0</v>
      </c>
      <c r="S200" s="9">
        <f t="array" ref="S200">+SUM(IFERROR(VALUE(Q200:R200),0))</f>
        <v>10355133.66</v>
      </c>
    </row>
    <row r="201" spans="1:19" ht="14.4">
      <c r="A201" t="s">
        <v>2445</v>
      </c>
      <c r="B201" t="s">
        <v>2446</v>
      </c>
      <c r="C201" s="27">
        <v>12827585.27</v>
      </c>
      <c r="D201" s="28">
        <v>0</v>
      </c>
      <c r="F201" s="9" t="str">
        <f t="shared" si="27"/>
        <v>5720</v>
      </c>
      <c r="G201" s="9">
        <f t="shared" si="28"/>
        <v>12827585.27</v>
      </c>
      <c r="H201" s="9">
        <f t="shared" si="29"/>
        <v>0</v>
      </c>
      <c r="I201" s="9">
        <f t="array" ref="I201">+SUM(IFERROR(VALUE(G201:H201),0))</f>
        <v>12827585.27</v>
      </c>
      <c r="K201" s="9" t="str">
        <f t="shared" si="30"/>
        <v>572</v>
      </c>
      <c r="L201" s="9">
        <f t="shared" si="31"/>
        <v>12827585.27</v>
      </c>
      <c r="M201" s="9">
        <f t="shared" si="32"/>
        <v>0</v>
      </c>
      <c r="N201" s="9">
        <f t="array" ref="N201">+SUM(IFERROR(VALUE(L201:M201),0))</f>
        <v>12827585.27</v>
      </c>
      <c r="P201" s="9" t="str">
        <f t="shared" si="33"/>
        <v>57</v>
      </c>
      <c r="Q201" s="9">
        <f t="shared" si="34"/>
        <v>12827585.27</v>
      </c>
      <c r="R201" s="9">
        <f t="shared" si="35"/>
        <v>0</v>
      </c>
      <c r="S201" s="9">
        <f t="array" ref="S201">+SUM(IFERROR(VALUE(Q201:R201),0))</f>
        <v>12827585.27</v>
      </c>
    </row>
    <row r="202" spans="1:19" ht="14.4">
      <c r="A202" t="s">
        <v>2447</v>
      </c>
      <c r="B202" t="s">
        <v>2448</v>
      </c>
      <c r="C202" s="27">
        <v>12226536.5</v>
      </c>
      <c r="D202" s="28">
        <v>0</v>
      </c>
      <c r="F202" s="9" t="str">
        <f t="shared" si="27"/>
        <v>5720</v>
      </c>
      <c r="G202" s="9">
        <f t="shared" si="28"/>
        <v>12226536.5</v>
      </c>
      <c r="H202" s="9">
        <f t="shared" si="29"/>
        <v>0</v>
      </c>
      <c r="I202" s="9">
        <f t="array" ref="I202">+SUM(IFERROR(VALUE(G202:H202),0))</f>
        <v>12226536.5</v>
      </c>
      <c r="K202" s="9" t="str">
        <f t="shared" si="30"/>
        <v>572</v>
      </c>
      <c r="L202" s="9">
        <f t="shared" si="31"/>
        <v>12226536.5</v>
      </c>
      <c r="M202" s="9">
        <f t="shared" si="32"/>
        <v>0</v>
      </c>
      <c r="N202" s="9">
        <f t="array" ref="N202">+SUM(IFERROR(VALUE(L202:M202),0))</f>
        <v>12226536.5</v>
      </c>
      <c r="P202" s="9" t="str">
        <f t="shared" si="33"/>
        <v>57</v>
      </c>
      <c r="Q202" s="9">
        <f t="shared" si="34"/>
        <v>12226536.5</v>
      </c>
      <c r="R202" s="9">
        <f t="shared" si="35"/>
        <v>0</v>
      </c>
      <c r="S202" s="9">
        <f t="array" ref="S202">+SUM(IFERROR(VALUE(Q202:R202),0))</f>
        <v>12226536.5</v>
      </c>
    </row>
    <row r="203" spans="1:19" ht="14.4">
      <c r="A203" t="s">
        <v>2449</v>
      </c>
      <c r="B203" t="s">
        <v>2450</v>
      </c>
      <c r="C203" s="27">
        <v>49205455.640000001</v>
      </c>
      <c r="D203" s="28">
        <v>0</v>
      </c>
      <c r="F203" s="9" t="str">
        <f t="shared" si="27"/>
        <v>5720</v>
      </c>
      <c r="G203" s="9">
        <f t="shared" si="28"/>
        <v>49205455.640000001</v>
      </c>
      <c r="H203" s="9">
        <f t="shared" si="29"/>
        <v>0</v>
      </c>
      <c r="I203" s="9">
        <f t="array" ref="I203">+SUM(IFERROR(VALUE(G203:H203),0))</f>
        <v>49205455.640000001</v>
      </c>
      <c r="K203" s="9" t="str">
        <f t="shared" si="30"/>
        <v>572</v>
      </c>
      <c r="L203" s="9">
        <f t="shared" si="31"/>
        <v>49205455.640000001</v>
      </c>
      <c r="M203" s="9">
        <f t="shared" si="32"/>
        <v>0</v>
      </c>
      <c r="N203" s="9">
        <f t="array" ref="N203">+SUM(IFERROR(VALUE(L203:M203),0))</f>
        <v>49205455.640000001</v>
      </c>
      <c r="P203" s="9" t="str">
        <f t="shared" si="33"/>
        <v>57</v>
      </c>
      <c r="Q203" s="9">
        <f t="shared" si="34"/>
        <v>49205455.640000001</v>
      </c>
      <c r="R203" s="9">
        <f t="shared" si="35"/>
        <v>0</v>
      </c>
      <c r="S203" s="9">
        <f t="array" ref="S203">+SUM(IFERROR(VALUE(Q203:R203),0))</f>
        <v>49205455.640000001</v>
      </c>
    </row>
    <row r="204" spans="1:19" ht="14.4">
      <c r="A204" t="s">
        <v>2451</v>
      </c>
      <c r="B204" t="s">
        <v>2452</v>
      </c>
      <c r="C204" s="27">
        <v>951647.52</v>
      </c>
      <c r="D204" s="28">
        <v>0</v>
      </c>
      <c r="F204" s="9" t="str">
        <f t="shared" si="27"/>
        <v>5720</v>
      </c>
      <c r="G204" s="9">
        <f t="shared" si="28"/>
        <v>951647.52</v>
      </c>
      <c r="H204" s="9">
        <f t="shared" si="29"/>
        <v>0</v>
      </c>
      <c r="I204" s="9">
        <f t="array" ref="I204">+SUM(IFERROR(VALUE(G204:H204),0))</f>
        <v>951647.52</v>
      </c>
      <c r="K204" s="9" t="str">
        <f t="shared" si="30"/>
        <v>572</v>
      </c>
      <c r="L204" s="9">
        <f t="shared" si="31"/>
        <v>951647.52</v>
      </c>
      <c r="M204" s="9">
        <f t="shared" si="32"/>
        <v>0</v>
      </c>
      <c r="N204" s="9">
        <f t="array" ref="N204">+SUM(IFERROR(VALUE(L204:M204),0))</f>
        <v>951647.52</v>
      </c>
      <c r="P204" s="9" t="str">
        <f t="shared" si="33"/>
        <v>57</v>
      </c>
      <c r="Q204" s="9">
        <f t="shared" si="34"/>
        <v>951647.52</v>
      </c>
      <c r="R204" s="9">
        <f t="shared" si="35"/>
        <v>0</v>
      </c>
      <c r="S204" s="9">
        <f t="array" ref="S204">+SUM(IFERROR(VALUE(Q204:R204),0))</f>
        <v>951647.52</v>
      </c>
    </row>
    <row r="205" spans="1:19" ht="14.4">
      <c r="A205" t="s">
        <v>2453</v>
      </c>
      <c r="B205" t="s">
        <v>2454</v>
      </c>
      <c r="C205" s="27" t="s">
        <v>1392</v>
      </c>
      <c r="D205" s="28">
        <v>0</v>
      </c>
      <c r="F205" s="9" t="str">
        <f t="shared" si="27"/>
        <v>5720</v>
      </c>
      <c r="G205" s="9" t="str">
        <f t="shared" si="28"/>
        <v/>
      </c>
      <c r="H205" s="9">
        <f t="shared" si="29"/>
        <v>0</v>
      </c>
      <c r="I205" s="9">
        <f t="array" ref="I205">+SUM(IFERROR(VALUE(G205:H205),0))</f>
        <v>0</v>
      </c>
      <c r="K205" s="9" t="str">
        <f t="shared" si="30"/>
        <v>572</v>
      </c>
      <c r="L205" s="9" t="str">
        <f t="shared" si="31"/>
        <v/>
      </c>
      <c r="M205" s="9">
        <f t="shared" si="32"/>
        <v>0</v>
      </c>
      <c r="N205" s="9">
        <f t="array" ref="N205">+SUM(IFERROR(VALUE(L205:M205),0))</f>
        <v>0</v>
      </c>
      <c r="P205" s="9" t="str">
        <f t="shared" si="33"/>
        <v>57</v>
      </c>
      <c r="Q205" s="9" t="str">
        <f t="shared" si="34"/>
        <v/>
      </c>
      <c r="R205" s="9">
        <f t="shared" si="35"/>
        <v>0</v>
      </c>
      <c r="S205" s="9">
        <f t="array" ref="S205">+SUM(IFERROR(VALUE(Q205:R205),0))</f>
        <v>0</v>
      </c>
    </row>
    <row r="206" spans="1:19" ht="14.4">
      <c r="A206" t="s">
        <v>2455</v>
      </c>
      <c r="B206" t="s">
        <v>2456</v>
      </c>
      <c r="C206" s="27">
        <v>1195.3399999999999</v>
      </c>
      <c r="D206" s="28">
        <v>0</v>
      </c>
      <c r="F206" s="9" t="str">
        <f t="shared" si="27"/>
        <v>5730</v>
      </c>
      <c r="G206" s="9">
        <f t="shared" si="28"/>
        <v>1195.3399999999999</v>
      </c>
      <c r="H206" s="9">
        <f t="shared" si="29"/>
        <v>0</v>
      </c>
      <c r="I206" s="9">
        <f t="array" ref="I206">+SUM(IFERROR(VALUE(G206:H206),0))</f>
        <v>1195.3399999999999</v>
      </c>
      <c r="K206" s="9" t="str">
        <f t="shared" si="30"/>
        <v>573</v>
      </c>
      <c r="L206" s="9">
        <f t="shared" si="31"/>
        <v>1195.3399999999999</v>
      </c>
      <c r="M206" s="9">
        <f t="shared" si="32"/>
        <v>0</v>
      </c>
      <c r="N206" s="9">
        <f t="array" ref="N206">+SUM(IFERROR(VALUE(L206:M206),0))</f>
        <v>1195.3399999999999</v>
      </c>
      <c r="P206" s="9" t="str">
        <f t="shared" si="33"/>
        <v>57</v>
      </c>
      <c r="Q206" s="9">
        <f t="shared" si="34"/>
        <v>1195.3399999999999</v>
      </c>
      <c r="R206" s="9">
        <f t="shared" si="35"/>
        <v>0</v>
      </c>
      <c r="S206" s="9">
        <f t="array" ref="S206">+SUM(IFERROR(VALUE(Q206:R206),0))</f>
        <v>1195.3399999999999</v>
      </c>
    </row>
    <row r="207" spans="1:19" ht="14.4">
      <c r="A207" t="s">
        <v>2457</v>
      </c>
      <c r="B207" t="s">
        <v>2458</v>
      </c>
      <c r="C207" s="27">
        <v>5914.31</v>
      </c>
      <c r="D207" s="28">
        <v>0</v>
      </c>
      <c r="F207" s="9" t="str">
        <f t="shared" si="27"/>
        <v>5730</v>
      </c>
      <c r="G207" s="9">
        <f t="shared" si="28"/>
        <v>5914.31</v>
      </c>
      <c r="H207" s="9">
        <f t="shared" si="29"/>
        <v>0</v>
      </c>
      <c r="I207" s="9">
        <f t="array" ref="I207">+SUM(IFERROR(VALUE(G207:H207),0))</f>
        <v>5914.31</v>
      </c>
      <c r="K207" s="9" t="str">
        <f t="shared" si="30"/>
        <v>573</v>
      </c>
      <c r="L207" s="9">
        <f t="shared" si="31"/>
        <v>5914.31</v>
      </c>
      <c r="M207" s="9">
        <f t="shared" si="32"/>
        <v>0</v>
      </c>
      <c r="N207" s="9">
        <f t="array" ref="N207">+SUM(IFERROR(VALUE(L207:M207),0))</f>
        <v>5914.31</v>
      </c>
      <c r="P207" s="9" t="str">
        <f t="shared" si="33"/>
        <v>57</v>
      </c>
      <c r="Q207" s="9">
        <f t="shared" si="34"/>
        <v>5914.31</v>
      </c>
      <c r="R207" s="9">
        <f t="shared" si="35"/>
        <v>0</v>
      </c>
      <c r="S207" s="9">
        <f t="array" ref="S207">+SUM(IFERROR(VALUE(Q207:R207),0))</f>
        <v>5914.31</v>
      </c>
    </row>
    <row r="208" spans="1:19" ht="14.4">
      <c r="A208" t="s">
        <v>2459</v>
      </c>
      <c r="B208" t="s">
        <v>2460</v>
      </c>
      <c r="C208" s="27">
        <v>2897.36</v>
      </c>
      <c r="D208" s="28">
        <v>0</v>
      </c>
      <c r="F208" s="9" t="str">
        <f t="shared" si="27"/>
        <v>5730</v>
      </c>
      <c r="G208" s="9">
        <f t="shared" si="28"/>
        <v>2897.36</v>
      </c>
      <c r="H208" s="9">
        <f t="shared" si="29"/>
        <v>0</v>
      </c>
      <c r="I208" s="9">
        <f t="array" ref="I208">+SUM(IFERROR(VALUE(G208:H208),0))</f>
        <v>2897.36</v>
      </c>
      <c r="K208" s="9" t="str">
        <f t="shared" si="30"/>
        <v>573</v>
      </c>
      <c r="L208" s="9">
        <f t="shared" si="31"/>
        <v>2897.36</v>
      </c>
      <c r="M208" s="9">
        <f t="shared" si="32"/>
        <v>0</v>
      </c>
      <c r="N208" s="9">
        <f t="array" ref="N208">+SUM(IFERROR(VALUE(L208:M208),0))</f>
        <v>2897.36</v>
      </c>
      <c r="P208" s="9" t="str">
        <f t="shared" si="33"/>
        <v>57</v>
      </c>
      <c r="Q208" s="9">
        <f t="shared" si="34"/>
        <v>2897.36</v>
      </c>
      <c r="R208" s="9">
        <f t="shared" si="35"/>
        <v>0</v>
      </c>
      <c r="S208" s="9">
        <f t="array" ref="S208">+SUM(IFERROR(VALUE(Q208:R208),0))</f>
        <v>2897.36</v>
      </c>
    </row>
    <row r="209" spans="1:19" ht="14.4">
      <c r="A209" t="s">
        <v>2461</v>
      </c>
      <c r="B209" t="s">
        <v>2462</v>
      </c>
      <c r="C209" s="27">
        <v>1154890.29</v>
      </c>
      <c r="D209" s="28">
        <v>0</v>
      </c>
      <c r="F209" s="9" t="str">
        <f t="shared" si="27"/>
        <v>6000</v>
      </c>
      <c r="G209" s="9">
        <f t="shared" si="28"/>
        <v>1154890.29</v>
      </c>
      <c r="H209" s="9">
        <f t="shared" si="29"/>
        <v>0</v>
      </c>
      <c r="I209" s="9">
        <f t="array" ref="I209">+SUM(IFERROR(VALUE(G209:H209),0))</f>
        <v>1154890.29</v>
      </c>
      <c r="K209" s="9" t="str">
        <f t="shared" si="30"/>
        <v>600</v>
      </c>
      <c r="L209" s="9">
        <f t="shared" si="31"/>
        <v>1154890.29</v>
      </c>
      <c r="M209" s="9">
        <f t="shared" si="32"/>
        <v>0</v>
      </c>
      <c r="N209" s="9">
        <f t="array" ref="N209">+SUM(IFERROR(VALUE(L209:M209),0))</f>
        <v>1154890.29</v>
      </c>
      <c r="P209" s="9" t="str">
        <f t="shared" si="33"/>
        <v>60</v>
      </c>
      <c r="Q209" s="9">
        <f t="shared" si="34"/>
        <v>1154890.29</v>
      </c>
      <c r="R209" s="9">
        <f t="shared" si="35"/>
        <v>0</v>
      </c>
      <c r="S209" s="9">
        <f t="array" ref="S209">+SUM(IFERROR(VALUE(Q209:R209),0))</f>
        <v>1154890.29</v>
      </c>
    </row>
    <row r="210" spans="1:19" ht="14.4">
      <c r="A210" t="s">
        <v>2463</v>
      </c>
      <c r="B210" t="s">
        <v>2464</v>
      </c>
      <c r="C210" s="27">
        <v>10796.11</v>
      </c>
      <c r="D210" s="28">
        <v>0</v>
      </c>
      <c r="F210" s="9" t="str">
        <f t="shared" si="27"/>
        <v>6000</v>
      </c>
      <c r="G210" s="9">
        <f t="shared" si="28"/>
        <v>10796.11</v>
      </c>
      <c r="H210" s="9">
        <f t="shared" si="29"/>
        <v>0</v>
      </c>
      <c r="I210" s="9">
        <f t="array" ref="I210">+SUM(IFERROR(VALUE(G210:H210),0))</f>
        <v>10796.11</v>
      </c>
      <c r="K210" s="9" t="str">
        <f t="shared" si="30"/>
        <v>600</v>
      </c>
      <c r="L210" s="9">
        <f t="shared" si="31"/>
        <v>10796.11</v>
      </c>
      <c r="M210" s="9">
        <f t="shared" si="32"/>
        <v>0</v>
      </c>
      <c r="N210" s="9">
        <f t="array" ref="N210">+SUM(IFERROR(VALUE(L210:M210),0))</f>
        <v>10796.11</v>
      </c>
      <c r="P210" s="9" t="str">
        <f t="shared" si="33"/>
        <v>60</v>
      </c>
      <c r="Q210" s="9">
        <f t="shared" si="34"/>
        <v>10796.11</v>
      </c>
      <c r="R210" s="9">
        <f t="shared" si="35"/>
        <v>0</v>
      </c>
      <c r="S210" s="9">
        <f t="array" ref="S210">+SUM(IFERROR(VALUE(Q210:R210),0))</f>
        <v>10796.11</v>
      </c>
    </row>
    <row r="211" spans="1:19" ht="14.4">
      <c r="A211" t="s">
        <v>2465</v>
      </c>
      <c r="B211" t="s">
        <v>2466</v>
      </c>
      <c r="C211" s="27">
        <v>18253847.32</v>
      </c>
      <c r="D211" s="28">
        <v>0</v>
      </c>
      <c r="F211" s="9" t="str">
        <f t="shared" si="27"/>
        <v>6001</v>
      </c>
      <c r="G211" s="9">
        <f t="shared" si="28"/>
        <v>18253847.32</v>
      </c>
      <c r="H211" s="9">
        <f t="shared" si="29"/>
        <v>0</v>
      </c>
      <c r="I211" s="9">
        <f t="array" ref="I211">+SUM(IFERROR(VALUE(G211:H211),0))</f>
        <v>18253847.32</v>
      </c>
      <c r="K211" s="9" t="str">
        <f t="shared" si="30"/>
        <v>600</v>
      </c>
      <c r="L211" s="9">
        <f t="shared" si="31"/>
        <v>18253847.32</v>
      </c>
      <c r="M211" s="9">
        <f t="shared" si="32"/>
        <v>0</v>
      </c>
      <c r="N211" s="9">
        <f t="array" ref="N211">+SUM(IFERROR(VALUE(L211:M211),0))</f>
        <v>18253847.32</v>
      </c>
      <c r="P211" s="9" t="str">
        <f t="shared" si="33"/>
        <v>60</v>
      </c>
      <c r="Q211" s="9">
        <f t="shared" si="34"/>
        <v>18253847.32</v>
      </c>
      <c r="R211" s="9">
        <f t="shared" si="35"/>
        <v>0</v>
      </c>
      <c r="S211" s="9">
        <f t="array" ref="S211">+SUM(IFERROR(VALUE(Q211:R211),0))</f>
        <v>18253847.32</v>
      </c>
    </row>
    <row r="212" spans="1:19" ht="14.4">
      <c r="A212" t="s">
        <v>2467</v>
      </c>
      <c r="B212" t="s">
        <v>2468</v>
      </c>
      <c r="C212" s="27">
        <v>1272605.94</v>
      </c>
      <c r="D212" s="28">
        <v>0</v>
      </c>
      <c r="F212" s="9" t="str">
        <f t="shared" si="27"/>
        <v>6001</v>
      </c>
      <c r="G212" s="9">
        <f t="shared" si="28"/>
        <v>1272605.94</v>
      </c>
      <c r="H212" s="9">
        <f t="shared" si="29"/>
        <v>0</v>
      </c>
      <c r="I212" s="9">
        <f t="array" ref="I212">+SUM(IFERROR(VALUE(G212:H212),0))</f>
        <v>1272605.94</v>
      </c>
      <c r="K212" s="9" t="str">
        <f t="shared" si="30"/>
        <v>600</v>
      </c>
      <c r="L212" s="9">
        <f t="shared" si="31"/>
        <v>1272605.94</v>
      </c>
      <c r="M212" s="9">
        <f t="shared" si="32"/>
        <v>0</v>
      </c>
      <c r="N212" s="9">
        <f t="array" ref="N212">+SUM(IFERROR(VALUE(L212:M212),0))</f>
        <v>1272605.94</v>
      </c>
      <c r="P212" s="9" t="str">
        <f t="shared" si="33"/>
        <v>60</v>
      </c>
      <c r="Q212" s="9">
        <f t="shared" si="34"/>
        <v>1272605.94</v>
      </c>
      <c r="R212" s="9">
        <f t="shared" si="35"/>
        <v>0</v>
      </c>
      <c r="S212" s="9">
        <f t="array" ref="S212">+SUM(IFERROR(VALUE(Q212:R212),0))</f>
        <v>1272605.94</v>
      </c>
    </row>
    <row r="213" spans="1:19" ht="14.4">
      <c r="A213" t="s">
        <v>2469</v>
      </c>
      <c r="B213" t="s">
        <v>2470</v>
      </c>
      <c r="C213" s="27">
        <v>158435.35</v>
      </c>
      <c r="D213" s="28">
        <v>0</v>
      </c>
      <c r="F213" s="9" t="str">
        <f t="shared" si="27"/>
        <v>6001</v>
      </c>
      <c r="G213" s="9">
        <f t="shared" si="28"/>
        <v>158435.35</v>
      </c>
      <c r="H213" s="9">
        <f t="shared" si="29"/>
        <v>0</v>
      </c>
      <c r="I213" s="9">
        <f t="array" ref="I213">+SUM(IFERROR(VALUE(G213:H213),0))</f>
        <v>158435.35</v>
      </c>
      <c r="K213" s="9" t="str">
        <f t="shared" si="30"/>
        <v>600</v>
      </c>
      <c r="L213" s="9">
        <f t="shared" si="31"/>
        <v>158435.35</v>
      </c>
      <c r="M213" s="9">
        <f t="shared" si="32"/>
        <v>0</v>
      </c>
      <c r="N213" s="9">
        <f t="array" ref="N213">+SUM(IFERROR(VALUE(L213:M213),0))</f>
        <v>158435.35</v>
      </c>
      <c r="P213" s="9" t="str">
        <f t="shared" si="33"/>
        <v>60</v>
      </c>
      <c r="Q213" s="9">
        <f t="shared" si="34"/>
        <v>158435.35</v>
      </c>
      <c r="R213" s="9">
        <f t="shared" si="35"/>
        <v>0</v>
      </c>
      <c r="S213" s="9">
        <f t="array" ref="S213">+SUM(IFERROR(VALUE(Q213:R213),0))</f>
        <v>158435.35</v>
      </c>
    </row>
    <row r="214" spans="1:19" ht="14.4">
      <c r="A214" t="s">
        <v>2471</v>
      </c>
      <c r="B214" t="s">
        <v>2472</v>
      </c>
      <c r="C214" s="27">
        <v>2375</v>
      </c>
      <c r="D214" s="28">
        <v>0</v>
      </c>
      <c r="F214" s="9" t="str">
        <f t="shared" si="27"/>
        <v>6001</v>
      </c>
      <c r="G214" s="9">
        <f t="shared" si="28"/>
        <v>2375</v>
      </c>
      <c r="H214" s="9">
        <f t="shared" si="29"/>
        <v>0</v>
      </c>
      <c r="I214" s="9">
        <f t="array" ref="I214">+SUM(IFERROR(VALUE(G214:H214),0))</f>
        <v>2375</v>
      </c>
      <c r="K214" s="9" t="str">
        <f t="shared" si="30"/>
        <v>600</v>
      </c>
      <c r="L214" s="9">
        <f t="shared" si="31"/>
        <v>2375</v>
      </c>
      <c r="M214" s="9">
        <f t="shared" si="32"/>
        <v>0</v>
      </c>
      <c r="N214" s="9">
        <f t="array" ref="N214">+SUM(IFERROR(VALUE(L214:M214),0))</f>
        <v>2375</v>
      </c>
      <c r="P214" s="9" t="str">
        <f t="shared" si="33"/>
        <v>60</v>
      </c>
      <c r="Q214" s="9">
        <f t="shared" si="34"/>
        <v>2375</v>
      </c>
      <c r="R214" s="9">
        <f t="shared" si="35"/>
        <v>0</v>
      </c>
      <c r="S214" s="9">
        <f t="array" ref="S214">+SUM(IFERROR(VALUE(Q214:R214),0))</f>
        <v>2375</v>
      </c>
    </row>
    <row r="215" spans="1:19" ht="14.4">
      <c r="A215" t="s">
        <v>2473</v>
      </c>
      <c r="B215" t="s">
        <v>2474</v>
      </c>
      <c r="C215" s="27">
        <v>72200.45</v>
      </c>
      <c r="D215" s="28">
        <v>0</v>
      </c>
      <c r="F215" s="9" t="str">
        <f t="shared" si="27"/>
        <v>6001</v>
      </c>
      <c r="G215" s="9">
        <f t="shared" si="28"/>
        <v>72200.45</v>
      </c>
      <c r="H215" s="9">
        <f t="shared" si="29"/>
        <v>0</v>
      </c>
      <c r="I215" s="9">
        <f t="array" ref="I215">+SUM(IFERROR(VALUE(G215:H215),0))</f>
        <v>72200.45</v>
      </c>
      <c r="K215" s="9" t="str">
        <f t="shared" si="30"/>
        <v>600</v>
      </c>
      <c r="L215" s="9">
        <f t="shared" si="31"/>
        <v>72200.45</v>
      </c>
      <c r="M215" s="9">
        <f t="shared" si="32"/>
        <v>0</v>
      </c>
      <c r="N215" s="9">
        <f t="array" ref="N215">+SUM(IFERROR(VALUE(L215:M215),0))</f>
        <v>72200.45</v>
      </c>
      <c r="P215" s="9" t="str">
        <f t="shared" si="33"/>
        <v>60</v>
      </c>
      <c r="Q215" s="9">
        <f t="shared" si="34"/>
        <v>72200.45</v>
      </c>
      <c r="R215" s="9">
        <f t="shared" si="35"/>
        <v>0</v>
      </c>
      <c r="S215" s="9">
        <f t="array" ref="S215">+SUM(IFERROR(VALUE(Q215:R215),0))</f>
        <v>72200.45</v>
      </c>
    </row>
    <row r="216" spans="1:19" ht="14.4">
      <c r="A216" t="s">
        <v>2475</v>
      </c>
      <c r="B216" t="s">
        <v>2476</v>
      </c>
      <c r="C216" s="27">
        <v>8340.1</v>
      </c>
      <c r="D216" s="28">
        <v>0</v>
      </c>
      <c r="F216" s="9" t="str">
        <f t="shared" si="27"/>
        <v>6001</v>
      </c>
      <c r="G216" s="9">
        <f t="shared" si="28"/>
        <v>8340.1</v>
      </c>
      <c r="H216" s="9">
        <f t="shared" si="29"/>
        <v>0</v>
      </c>
      <c r="I216" s="9">
        <f t="array" ref="I216">+SUM(IFERROR(VALUE(G216:H216),0))</f>
        <v>8340.1</v>
      </c>
      <c r="K216" s="9" t="str">
        <f t="shared" si="30"/>
        <v>600</v>
      </c>
      <c r="L216" s="9">
        <f t="shared" si="31"/>
        <v>8340.1</v>
      </c>
      <c r="M216" s="9">
        <f t="shared" si="32"/>
        <v>0</v>
      </c>
      <c r="N216" s="9">
        <f t="array" ref="N216">+SUM(IFERROR(VALUE(L216:M216),0))</f>
        <v>8340.1</v>
      </c>
      <c r="P216" s="9" t="str">
        <f t="shared" si="33"/>
        <v>60</v>
      </c>
      <c r="Q216" s="9">
        <f t="shared" si="34"/>
        <v>8340.1</v>
      </c>
      <c r="R216" s="9">
        <f t="shared" si="35"/>
        <v>0</v>
      </c>
      <c r="S216" s="9">
        <f t="array" ref="S216">+SUM(IFERROR(VALUE(Q216:R216),0))</f>
        <v>8340.1</v>
      </c>
    </row>
    <row r="217" spans="1:19" ht="14.4">
      <c r="A217" t="s">
        <v>2477</v>
      </c>
      <c r="B217" t="s">
        <v>2478</v>
      </c>
      <c r="C217" s="27">
        <v>20848.63</v>
      </c>
      <c r="D217" s="28">
        <v>0</v>
      </c>
      <c r="F217" s="9" t="str">
        <f t="shared" si="27"/>
        <v>6001</v>
      </c>
      <c r="G217" s="9">
        <f t="shared" si="28"/>
        <v>20848.63</v>
      </c>
      <c r="H217" s="9">
        <f t="shared" si="29"/>
        <v>0</v>
      </c>
      <c r="I217" s="9">
        <f t="array" ref="I217">+SUM(IFERROR(VALUE(G217:H217),0))</f>
        <v>20848.63</v>
      </c>
      <c r="K217" s="9" t="str">
        <f t="shared" si="30"/>
        <v>600</v>
      </c>
      <c r="L217" s="9">
        <f t="shared" si="31"/>
        <v>20848.63</v>
      </c>
      <c r="M217" s="9">
        <f t="shared" si="32"/>
        <v>0</v>
      </c>
      <c r="N217" s="9">
        <f t="array" ref="N217">+SUM(IFERROR(VALUE(L217:M217),0))</f>
        <v>20848.63</v>
      </c>
      <c r="P217" s="9" t="str">
        <f t="shared" si="33"/>
        <v>60</v>
      </c>
      <c r="Q217" s="9">
        <f t="shared" si="34"/>
        <v>20848.63</v>
      </c>
      <c r="R217" s="9">
        <f t="shared" si="35"/>
        <v>0</v>
      </c>
      <c r="S217" s="9">
        <f t="array" ref="S217">+SUM(IFERROR(VALUE(Q217:R217),0))</f>
        <v>20848.63</v>
      </c>
    </row>
    <row r="218" spans="1:19" ht="14.4">
      <c r="A218" t="s">
        <v>2479</v>
      </c>
      <c r="B218" t="s">
        <v>2480</v>
      </c>
      <c r="C218" s="27">
        <v>11892.53</v>
      </c>
      <c r="D218" s="28">
        <v>0</v>
      </c>
      <c r="F218" s="9" t="str">
        <f t="shared" si="27"/>
        <v>6001</v>
      </c>
      <c r="G218" s="9">
        <f t="shared" si="28"/>
        <v>11892.53</v>
      </c>
      <c r="H218" s="9">
        <f t="shared" si="29"/>
        <v>0</v>
      </c>
      <c r="I218" s="9">
        <f t="array" ref="I218">+SUM(IFERROR(VALUE(G218:H218),0))</f>
        <v>11892.53</v>
      </c>
      <c r="K218" s="9" t="str">
        <f t="shared" si="30"/>
        <v>600</v>
      </c>
      <c r="L218" s="9">
        <f t="shared" si="31"/>
        <v>11892.53</v>
      </c>
      <c r="M218" s="9">
        <f t="shared" si="32"/>
        <v>0</v>
      </c>
      <c r="N218" s="9">
        <f t="array" ref="N218">+SUM(IFERROR(VALUE(L218:M218),0))</f>
        <v>11892.53</v>
      </c>
      <c r="P218" s="9" t="str">
        <f t="shared" si="33"/>
        <v>60</v>
      </c>
      <c r="Q218" s="9">
        <f t="shared" si="34"/>
        <v>11892.53</v>
      </c>
      <c r="R218" s="9">
        <f t="shared" si="35"/>
        <v>0</v>
      </c>
      <c r="S218" s="9">
        <f t="array" ref="S218">+SUM(IFERROR(VALUE(Q218:R218),0))</f>
        <v>11892.53</v>
      </c>
    </row>
    <row r="219" spans="1:19" ht="14.4">
      <c r="A219" t="s">
        <v>2481</v>
      </c>
      <c r="B219" t="s">
        <v>2482</v>
      </c>
      <c r="C219" s="27" t="s">
        <v>1392</v>
      </c>
      <c r="D219" s="28">
        <v>0</v>
      </c>
      <c r="F219" s="9" t="str">
        <f t="shared" si="27"/>
        <v>6001</v>
      </c>
      <c r="G219" s="9" t="str">
        <f t="shared" si="28"/>
        <v/>
      </c>
      <c r="H219" s="9">
        <f t="shared" si="29"/>
        <v>0</v>
      </c>
      <c r="I219" s="9">
        <f t="array" ref="I219">+SUM(IFERROR(VALUE(G219:H219),0))</f>
        <v>0</v>
      </c>
      <c r="K219" s="9" t="str">
        <f t="shared" si="30"/>
        <v>600</v>
      </c>
      <c r="L219" s="9" t="str">
        <f t="shared" si="31"/>
        <v/>
      </c>
      <c r="M219" s="9">
        <f t="shared" si="32"/>
        <v>0</v>
      </c>
      <c r="N219" s="9">
        <f t="array" ref="N219">+SUM(IFERROR(VALUE(L219:M219),0))</f>
        <v>0</v>
      </c>
      <c r="P219" s="9" t="str">
        <f t="shared" si="33"/>
        <v>60</v>
      </c>
      <c r="Q219" s="9" t="str">
        <f t="shared" si="34"/>
        <v/>
      </c>
      <c r="R219" s="9">
        <f t="shared" si="35"/>
        <v>0</v>
      </c>
      <c r="S219" s="9">
        <f t="array" ref="S219">+SUM(IFERROR(VALUE(Q219:R219),0))</f>
        <v>0</v>
      </c>
    </row>
    <row r="220" spans="1:19" ht="14.4">
      <c r="A220" t="s">
        <v>2483</v>
      </c>
      <c r="B220" t="s">
        <v>2484</v>
      </c>
      <c r="C220" s="27">
        <v>308012.88</v>
      </c>
      <c r="D220" s="28">
        <v>0</v>
      </c>
      <c r="F220" s="9" t="str">
        <f t="shared" si="27"/>
        <v>6002</v>
      </c>
      <c r="G220" s="9">
        <f t="shared" si="28"/>
        <v>308012.88</v>
      </c>
      <c r="H220" s="9">
        <f t="shared" si="29"/>
        <v>0</v>
      </c>
      <c r="I220" s="9">
        <f t="array" ref="I220">+SUM(IFERROR(VALUE(G220:H220),0))</f>
        <v>308012.88</v>
      </c>
      <c r="K220" s="9" t="str">
        <f t="shared" si="30"/>
        <v>600</v>
      </c>
      <c r="L220" s="9">
        <f t="shared" si="31"/>
        <v>308012.88</v>
      </c>
      <c r="M220" s="9">
        <f t="shared" si="32"/>
        <v>0</v>
      </c>
      <c r="N220" s="9">
        <f t="array" ref="N220">+SUM(IFERROR(VALUE(L220:M220),0))</f>
        <v>308012.88</v>
      </c>
      <c r="P220" s="9" t="str">
        <f t="shared" si="33"/>
        <v>60</v>
      </c>
      <c r="Q220" s="9">
        <f t="shared" si="34"/>
        <v>308012.88</v>
      </c>
      <c r="R220" s="9">
        <f t="shared" si="35"/>
        <v>0</v>
      </c>
      <c r="S220" s="9">
        <f t="array" ref="S220">+SUM(IFERROR(VALUE(Q220:R220),0))</f>
        <v>308012.88</v>
      </c>
    </row>
    <row r="221" spans="1:19" ht="14.4">
      <c r="A221" t="s">
        <v>2485</v>
      </c>
      <c r="B221" t="s">
        <v>2486</v>
      </c>
      <c r="C221" s="27">
        <v>9287.44</v>
      </c>
      <c r="D221" s="28">
        <v>0</v>
      </c>
      <c r="F221" s="9" t="str">
        <f t="shared" si="27"/>
        <v>6002</v>
      </c>
      <c r="G221" s="9">
        <f t="shared" si="28"/>
        <v>9287.44</v>
      </c>
      <c r="H221" s="9">
        <f t="shared" si="29"/>
        <v>0</v>
      </c>
      <c r="I221" s="9">
        <f t="array" ref="I221">+SUM(IFERROR(VALUE(G221:H221),0))</f>
        <v>9287.44</v>
      </c>
      <c r="K221" s="9" t="str">
        <f t="shared" si="30"/>
        <v>600</v>
      </c>
      <c r="L221" s="9">
        <f t="shared" si="31"/>
        <v>9287.44</v>
      </c>
      <c r="M221" s="9">
        <f t="shared" si="32"/>
        <v>0</v>
      </c>
      <c r="N221" s="9">
        <f t="array" ref="N221">+SUM(IFERROR(VALUE(L221:M221),0))</f>
        <v>9287.44</v>
      </c>
      <c r="P221" s="9" t="str">
        <f t="shared" si="33"/>
        <v>60</v>
      </c>
      <c r="Q221" s="9">
        <f t="shared" si="34"/>
        <v>9287.44</v>
      </c>
      <c r="R221" s="9">
        <f t="shared" si="35"/>
        <v>0</v>
      </c>
      <c r="S221" s="9">
        <f t="array" ref="S221">+SUM(IFERROR(VALUE(Q221:R221),0))</f>
        <v>9287.44</v>
      </c>
    </row>
    <row r="222" spans="1:19" ht="14.4">
      <c r="A222" t="s">
        <v>2487</v>
      </c>
      <c r="B222" t="s">
        <v>2488</v>
      </c>
      <c r="C222" s="27">
        <v>396908.52</v>
      </c>
      <c r="D222" s="28">
        <v>0</v>
      </c>
      <c r="F222" s="9" t="str">
        <f t="shared" si="27"/>
        <v>6003</v>
      </c>
      <c r="G222" s="9">
        <f t="shared" si="28"/>
        <v>396908.52</v>
      </c>
      <c r="H222" s="9">
        <f t="shared" si="29"/>
        <v>0</v>
      </c>
      <c r="I222" s="9">
        <f t="array" ref="I222">+SUM(IFERROR(VALUE(G222:H222),0))</f>
        <v>396908.52</v>
      </c>
      <c r="K222" s="9" t="str">
        <f t="shared" si="30"/>
        <v>600</v>
      </c>
      <c r="L222" s="9">
        <f t="shared" si="31"/>
        <v>396908.52</v>
      </c>
      <c r="M222" s="9">
        <f t="shared" si="32"/>
        <v>0</v>
      </c>
      <c r="N222" s="9">
        <f t="array" ref="N222">+SUM(IFERROR(VALUE(L222:M222),0))</f>
        <v>396908.52</v>
      </c>
      <c r="P222" s="9" t="str">
        <f t="shared" si="33"/>
        <v>60</v>
      </c>
      <c r="Q222" s="9">
        <f t="shared" si="34"/>
        <v>396908.52</v>
      </c>
      <c r="R222" s="9">
        <f t="shared" si="35"/>
        <v>0</v>
      </c>
      <c r="S222" s="9">
        <f t="array" ref="S222">+SUM(IFERROR(VALUE(Q222:R222),0))</f>
        <v>396908.52</v>
      </c>
    </row>
    <row r="223" spans="1:19" ht="14.4">
      <c r="A223" t="s">
        <v>2489</v>
      </c>
      <c r="B223" t="s">
        <v>2490</v>
      </c>
      <c r="C223" s="27">
        <v>6449431.04</v>
      </c>
      <c r="D223" s="28">
        <v>0</v>
      </c>
      <c r="F223" s="9" t="str">
        <f t="shared" si="27"/>
        <v>6010</v>
      </c>
      <c r="G223" s="9">
        <f t="shared" si="28"/>
        <v>6449431.04</v>
      </c>
      <c r="H223" s="9">
        <f t="shared" si="29"/>
        <v>0</v>
      </c>
      <c r="I223" s="9">
        <f t="array" ref="I223">+SUM(IFERROR(VALUE(G223:H223),0))</f>
        <v>6449431.04</v>
      </c>
      <c r="K223" s="9" t="str">
        <f t="shared" si="30"/>
        <v>601</v>
      </c>
      <c r="L223" s="9">
        <f t="shared" si="31"/>
        <v>6449431.04</v>
      </c>
      <c r="M223" s="9">
        <f t="shared" si="32"/>
        <v>0</v>
      </c>
      <c r="N223" s="9">
        <f t="array" ref="N223">+SUM(IFERROR(VALUE(L223:M223),0))</f>
        <v>6449431.04</v>
      </c>
      <c r="P223" s="9" t="str">
        <f t="shared" si="33"/>
        <v>60</v>
      </c>
      <c r="Q223" s="9">
        <f t="shared" si="34"/>
        <v>6449431.04</v>
      </c>
      <c r="R223" s="9">
        <f t="shared" si="35"/>
        <v>0</v>
      </c>
      <c r="S223" s="9">
        <f t="array" ref="S223">+SUM(IFERROR(VALUE(Q223:R223),0))</f>
        <v>6449431.04</v>
      </c>
    </row>
    <row r="224" spans="1:19" ht="14.4">
      <c r="A224" t="s">
        <v>2491</v>
      </c>
      <c r="B224" t="s">
        <v>2492</v>
      </c>
      <c r="C224" s="27">
        <v>46896.56</v>
      </c>
      <c r="D224" s="28">
        <v>0</v>
      </c>
      <c r="F224" s="9" t="str">
        <f t="shared" si="27"/>
        <v>6010</v>
      </c>
      <c r="G224" s="9">
        <f t="shared" si="28"/>
        <v>46896.56</v>
      </c>
      <c r="H224" s="9">
        <f t="shared" si="29"/>
        <v>0</v>
      </c>
      <c r="I224" s="9">
        <f t="array" ref="I224">+SUM(IFERROR(VALUE(G224:H224),0))</f>
        <v>46896.56</v>
      </c>
      <c r="K224" s="9" t="str">
        <f t="shared" si="30"/>
        <v>601</v>
      </c>
      <c r="L224" s="9">
        <f t="shared" si="31"/>
        <v>46896.56</v>
      </c>
      <c r="M224" s="9">
        <f t="shared" si="32"/>
        <v>0</v>
      </c>
      <c r="N224" s="9">
        <f t="array" ref="N224">+SUM(IFERROR(VALUE(L224:M224),0))</f>
        <v>46896.56</v>
      </c>
      <c r="P224" s="9" t="str">
        <f t="shared" si="33"/>
        <v>60</v>
      </c>
      <c r="Q224" s="9">
        <f t="shared" si="34"/>
        <v>46896.56</v>
      </c>
      <c r="R224" s="9">
        <f t="shared" si="35"/>
        <v>0</v>
      </c>
      <c r="S224" s="9">
        <f t="array" ref="S224">+SUM(IFERROR(VALUE(Q224:R224),0))</f>
        <v>46896.56</v>
      </c>
    </row>
    <row r="225" spans="1:19" ht="14.4">
      <c r="A225" t="s">
        <v>2493</v>
      </c>
      <c r="B225" t="s">
        <v>2494</v>
      </c>
      <c r="C225" s="27">
        <v>26424756.579999998</v>
      </c>
      <c r="D225" s="28">
        <v>0</v>
      </c>
      <c r="F225" s="9" t="str">
        <f t="shared" si="27"/>
        <v>6011</v>
      </c>
      <c r="G225" s="9">
        <f t="shared" si="28"/>
        <v>26424756.579999998</v>
      </c>
      <c r="H225" s="9">
        <f t="shared" si="29"/>
        <v>0</v>
      </c>
      <c r="I225" s="9">
        <f t="array" ref="I225">+SUM(IFERROR(VALUE(G225:H225),0))</f>
        <v>26424756.579999998</v>
      </c>
      <c r="K225" s="9" t="str">
        <f t="shared" si="30"/>
        <v>601</v>
      </c>
      <c r="L225" s="9">
        <f t="shared" si="31"/>
        <v>26424756.579999998</v>
      </c>
      <c r="M225" s="9">
        <f t="shared" si="32"/>
        <v>0</v>
      </c>
      <c r="N225" s="9">
        <f t="array" ref="N225">+SUM(IFERROR(VALUE(L225:M225),0))</f>
        <v>26424756.579999998</v>
      </c>
      <c r="P225" s="9" t="str">
        <f t="shared" si="33"/>
        <v>60</v>
      </c>
      <c r="Q225" s="9">
        <f t="shared" si="34"/>
        <v>26424756.579999998</v>
      </c>
      <c r="R225" s="9">
        <f t="shared" si="35"/>
        <v>0</v>
      </c>
      <c r="S225" s="9">
        <f t="array" ref="S225">+SUM(IFERROR(VALUE(Q225:R225),0))</f>
        <v>26424756.579999998</v>
      </c>
    </row>
    <row r="226" spans="1:19" ht="14.4">
      <c r="A226" t="s">
        <v>2495</v>
      </c>
      <c r="B226" t="s">
        <v>2496</v>
      </c>
      <c r="C226" s="27">
        <v>966866.33</v>
      </c>
      <c r="D226" s="28">
        <v>0</v>
      </c>
      <c r="F226" s="9" t="str">
        <f t="shared" si="27"/>
        <v>6011</v>
      </c>
      <c r="G226" s="9">
        <f t="shared" si="28"/>
        <v>966866.33</v>
      </c>
      <c r="H226" s="9">
        <f t="shared" si="29"/>
        <v>0</v>
      </c>
      <c r="I226" s="9">
        <f t="array" ref="I226">+SUM(IFERROR(VALUE(G226:H226),0))</f>
        <v>966866.33</v>
      </c>
      <c r="K226" s="9" t="str">
        <f t="shared" si="30"/>
        <v>601</v>
      </c>
      <c r="L226" s="9">
        <f t="shared" si="31"/>
        <v>966866.33</v>
      </c>
      <c r="M226" s="9">
        <f t="shared" si="32"/>
        <v>0</v>
      </c>
      <c r="N226" s="9">
        <f t="array" ref="N226">+SUM(IFERROR(VALUE(L226:M226),0))</f>
        <v>966866.33</v>
      </c>
      <c r="P226" s="9" t="str">
        <f t="shared" si="33"/>
        <v>60</v>
      </c>
      <c r="Q226" s="9">
        <f t="shared" si="34"/>
        <v>966866.33</v>
      </c>
      <c r="R226" s="9">
        <f t="shared" si="35"/>
        <v>0</v>
      </c>
      <c r="S226" s="9">
        <f t="array" ref="S226">+SUM(IFERROR(VALUE(Q226:R226),0))</f>
        <v>966866.33</v>
      </c>
    </row>
    <row r="227" spans="1:19" ht="14.4">
      <c r="A227" t="s">
        <v>2497</v>
      </c>
      <c r="B227" t="s">
        <v>2498</v>
      </c>
      <c r="C227" s="27">
        <v>211089.91</v>
      </c>
      <c r="D227" s="28">
        <v>0</v>
      </c>
      <c r="F227" s="9" t="str">
        <f t="shared" si="27"/>
        <v>6011</v>
      </c>
      <c r="G227" s="9">
        <f t="shared" si="28"/>
        <v>211089.91</v>
      </c>
      <c r="H227" s="9">
        <f t="shared" si="29"/>
        <v>0</v>
      </c>
      <c r="I227" s="9">
        <f t="array" ref="I227">+SUM(IFERROR(VALUE(G227:H227),0))</f>
        <v>211089.91</v>
      </c>
      <c r="K227" s="9" t="str">
        <f t="shared" si="30"/>
        <v>601</v>
      </c>
      <c r="L227" s="9">
        <f t="shared" si="31"/>
        <v>211089.91</v>
      </c>
      <c r="M227" s="9">
        <f t="shared" si="32"/>
        <v>0</v>
      </c>
      <c r="N227" s="9">
        <f t="array" ref="N227">+SUM(IFERROR(VALUE(L227:M227),0))</f>
        <v>211089.91</v>
      </c>
      <c r="P227" s="9" t="str">
        <f t="shared" si="33"/>
        <v>60</v>
      </c>
      <c r="Q227" s="9">
        <f t="shared" si="34"/>
        <v>211089.91</v>
      </c>
      <c r="R227" s="9">
        <f t="shared" si="35"/>
        <v>0</v>
      </c>
      <c r="S227" s="9">
        <f t="array" ref="S227">+SUM(IFERROR(VALUE(Q227:R227),0))</f>
        <v>211089.91</v>
      </c>
    </row>
    <row r="228" spans="1:19" ht="14.4">
      <c r="A228" t="s">
        <v>2499</v>
      </c>
      <c r="B228" t="s">
        <v>2500</v>
      </c>
      <c r="C228" s="27">
        <v>1170</v>
      </c>
      <c r="D228" s="28">
        <v>0</v>
      </c>
      <c r="F228" s="9" t="str">
        <f t="shared" si="27"/>
        <v>6011</v>
      </c>
      <c r="G228" s="9">
        <f t="shared" si="28"/>
        <v>1170</v>
      </c>
      <c r="H228" s="9">
        <f t="shared" si="29"/>
        <v>0</v>
      </c>
      <c r="I228" s="9">
        <f t="array" ref="I228">+SUM(IFERROR(VALUE(G228:H228),0))</f>
        <v>1170</v>
      </c>
      <c r="K228" s="9" t="str">
        <f t="shared" si="30"/>
        <v>601</v>
      </c>
      <c r="L228" s="9">
        <f t="shared" si="31"/>
        <v>1170</v>
      </c>
      <c r="M228" s="9">
        <f t="shared" si="32"/>
        <v>0</v>
      </c>
      <c r="N228" s="9">
        <f t="array" ref="N228">+SUM(IFERROR(VALUE(L228:M228),0))</f>
        <v>1170</v>
      </c>
      <c r="P228" s="9" t="str">
        <f t="shared" si="33"/>
        <v>60</v>
      </c>
      <c r="Q228" s="9">
        <f t="shared" si="34"/>
        <v>1170</v>
      </c>
      <c r="R228" s="9">
        <f t="shared" si="35"/>
        <v>0</v>
      </c>
      <c r="S228" s="9">
        <f t="array" ref="S228">+SUM(IFERROR(VALUE(Q228:R228),0))</f>
        <v>1170</v>
      </c>
    </row>
    <row r="229" spans="1:19" ht="14.4">
      <c r="A229" t="s">
        <v>2501</v>
      </c>
      <c r="B229" t="s">
        <v>2502</v>
      </c>
      <c r="C229" s="27">
        <v>12284.71</v>
      </c>
      <c r="D229" s="28">
        <v>0</v>
      </c>
      <c r="F229" s="9" t="str">
        <f t="shared" si="27"/>
        <v>6011</v>
      </c>
      <c r="G229" s="9">
        <f t="shared" si="28"/>
        <v>12284.71</v>
      </c>
      <c r="H229" s="9">
        <f t="shared" si="29"/>
        <v>0</v>
      </c>
      <c r="I229" s="9">
        <f t="array" ref="I229">+SUM(IFERROR(VALUE(G229:H229),0))</f>
        <v>12284.71</v>
      </c>
      <c r="K229" s="9" t="str">
        <f t="shared" si="30"/>
        <v>601</v>
      </c>
      <c r="L229" s="9">
        <f t="shared" si="31"/>
        <v>12284.71</v>
      </c>
      <c r="M229" s="9">
        <f t="shared" si="32"/>
        <v>0</v>
      </c>
      <c r="N229" s="9">
        <f t="array" ref="N229">+SUM(IFERROR(VALUE(L229:M229),0))</f>
        <v>12284.71</v>
      </c>
      <c r="P229" s="9" t="str">
        <f t="shared" si="33"/>
        <v>60</v>
      </c>
      <c r="Q229" s="9">
        <f t="shared" si="34"/>
        <v>12284.71</v>
      </c>
      <c r="R229" s="9">
        <f t="shared" si="35"/>
        <v>0</v>
      </c>
      <c r="S229" s="9">
        <f t="array" ref="S229">+SUM(IFERROR(VALUE(Q229:R229),0))</f>
        <v>12284.71</v>
      </c>
    </row>
    <row r="230" spans="1:19" ht="14.4">
      <c r="A230" t="s">
        <v>2503</v>
      </c>
      <c r="B230" t="s">
        <v>2504</v>
      </c>
      <c r="C230" s="27">
        <v>876.78</v>
      </c>
      <c r="D230" s="28">
        <v>0</v>
      </c>
      <c r="F230" s="9" t="str">
        <f t="shared" si="27"/>
        <v>6011</v>
      </c>
      <c r="G230" s="9">
        <f t="shared" si="28"/>
        <v>876.78</v>
      </c>
      <c r="H230" s="9">
        <f t="shared" si="29"/>
        <v>0</v>
      </c>
      <c r="I230" s="9">
        <f t="array" ref="I230">+SUM(IFERROR(VALUE(G230:H230),0))</f>
        <v>876.78</v>
      </c>
      <c r="K230" s="9" t="str">
        <f t="shared" si="30"/>
        <v>601</v>
      </c>
      <c r="L230" s="9">
        <f t="shared" si="31"/>
        <v>876.78</v>
      </c>
      <c r="M230" s="9">
        <f t="shared" si="32"/>
        <v>0</v>
      </c>
      <c r="N230" s="9">
        <f t="array" ref="N230">+SUM(IFERROR(VALUE(L230:M230),0))</f>
        <v>876.78</v>
      </c>
      <c r="P230" s="9" t="str">
        <f t="shared" si="33"/>
        <v>60</v>
      </c>
      <c r="Q230" s="9">
        <f t="shared" si="34"/>
        <v>876.78</v>
      </c>
      <c r="R230" s="9">
        <f t="shared" si="35"/>
        <v>0</v>
      </c>
      <c r="S230" s="9">
        <f t="array" ref="S230">+SUM(IFERROR(VALUE(Q230:R230),0))</f>
        <v>876.78</v>
      </c>
    </row>
    <row r="231" spans="1:19" ht="14.4">
      <c r="A231" t="s">
        <v>2505</v>
      </c>
      <c r="B231" t="s">
        <v>2506</v>
      </c>
      <c r="C231" s="27">
        <v>11286.55</v>
      </c>
      <c r="D231" s="28">
        <v>0</v>
      </c>
      <c r="F231" s="9" t="str">
        <f t="shared" si="27"/>
        <v>6011</v>
      </c>
      <c r="G231" s="9">
        <f t="shared" si="28"/>
        <v>11286.55</v>
      </c>
      <c r="H231" s="9">
        <f t="shared" si="29"/>
        <v>0</v>
      </c>
      <c r="I231" s="9">
        <f t="array" ref="I231">+SUM(IFERROR(VALUE(G231:H231),0))</f>
        <v>11286.55</v>
      </c>
      <c r="K231" s="9" t="str">
        <f t="shared" si="30"/>
        <v>601</v>
      </c>
      <c r="L231" s="9">
        <f t="shared" si="31"/>
        <v>11286.55</v>
      </c>
      <c r="M231" s="9">
        <f t="shared" si="32"/>
        <v>0</v>
      </c>
      <c r="N231" s="9">
        <f t="array" ref="N231">+SUM(IFERROR(VALUE(L231:M231),0))</f>
        <v>11286.55</v>
      </c>
      <c r="P231" s="9" t="str">
        <f t="shared" si="33"/>
        <v>60</v>
      </c>
      <c r="Q231" s="9">
        <f t="shared" si="34"/>
        <v>11286.55</v>
      </c>
      <c r="R231" s="9">
        <f t="shared" si="35"/>
        <v>0</v>
      </c>
      <c r="S231" s="9">
        <f t="array" ref="S231">+SUM(IFERROR(VALUE(Q231:R231),0))</f>
        <v>11286.55</v>
      </c>
    </row>
    <row r="232" spans="1:19" ht="14.4">
      <c r="A232" t="s">
        <v>2507</v>
      </c>
      <c r="B232" t="s">
        <v>2508</v>
      </c>
      <c r="C232" s="27">
        <v>1692.9</v>
      </c>
      <c r="D232" s="28">
        <v>0</v>
      </c>
      <c r="F232" s="9" t="str">
        <f t="shared" si="27"/>
        <v>6011</v>
      </c>
      <c r="G232" s="9">
        <f t="shared" si="28"/>
        <v>1692.9</v>
      </c>
      <c r="H232" s="9">
        <f t="shared" si="29"/>
        <v>0</v>
      </c>
      <c r="I232" s="9">
        <f t="array" ref="I232">+SUM(IFERROR(VALUE(G232:H232),0))</f>
        <v>1692.9</v>
      </c>
      <c r="K232" s="9" t="str">
        <f t="shared" si="30"/>
        <v>601</v>
      </c>
      <c r="L232" s="9">
        <f t="shared" si="31"/>
        <v>1692.9</v>
      </c>
      <c r="M232" s="9">
        <f t="shared" si="32"/>
        <v>0</v>
      </c>
      <c r="N232" s="9">
        <f t="array" ref="N232">+SUM(IFERROR(VALUE(L232:M232),0))</f>
        <v>1692.9</v>
      </c>
      <c r="P232" s="9" t="str">
        <f t="shared" si="33"/>
        <v>60</v>
      </c>
      <c r="Q232" s="9">
        <f t="shared" si="34"/>
        <v>1692.9</v>
      </c>
      <c r="R232" s="9">
        <f t="shared" si="35"/>
        <v>0</v>
      </c>
      <c r="S232" s="9">
        <f t="array" ref="S232">+SUM(IFERROR(VALUE(Q232:R232),0))</f>
        <v>1692.9</v>
      </c>
    </row>
    <row r="233" spans="1:19" ht="14.4">
      <c r="A233" t="s">
        <v>2509</v>
      </c>
      <c r="B233" t="s">
        <v>2510</v>
      </c>
      <c r="C233" s="27" t="s">
        <v>1392</v>
      </c>
      <c r="D233" s="28">
        <v>0</v>
      </c>
      <c r="F233" s="9" t="str">
        <f t="shared" si="27"/>
        <v>6011</v>
      </c>
      <c r="G233" s="9" t="str">
        <f t="shared" si="28"/>
        <v/>
      </c>
      <c r="H233" s="9">
        <f t="shared" si="29"/>
        <v>0</v>
      </c>
      <c r="I233" s="9">
        <f t="array" ref="I233">+SUM(IFERROR(VALUE(G233:H233),0))</f>
        <v>0</v>
      </c>
      <c r="K233" s="9" t="str">
        <f t="shared" si="30"/>
        <v>601</v>
      </c>
      <c r="L233" s="9" t="str">
        <f t="shared" si="31"/>
        <v/>
      </c>
      <c r="M233" s="9">
        <f t="shared" si="32"/>
        <v>0</v>
      </c>
      <c r="N233" s="9">
        <f t="array" ref="N233">+SUM(IFERROR(VALUE(L233:M233),0))</f>
        <v>0</v>
      </c>
      <c r="P233" s="9" t="str">
        <f t="shared" si="33"/>
        <v>60</v>
      </c>
      <c r="Q233" s="9" t="str">
        <f t="shared" si="34"/>
        <v/>
      </c>
      <c r="R233" s="9">
        <f t="shared" si="35"/>
        <v>0</v>
      </c>
      <c r="S233" s="9">
        <f t="array" ref="S233">+SUM(IFERROR(VALUE(Q233:R233),0))</f>
        <v>0</v>
      </c>
    </row>
    <row r="234" spans="1:19" ht="14.4">
      <c r="A234" t="s">
        <v>2511</v>
      </c>
      <c r="B234" t="s">
        <v>2512</v>
      </c>
      <c r="C234" s="27">
        <v>77591.66</v>
      </c>
      <c r="D234" s="28">
        <v>0</v>
      </c>
      <c r="F234" s="9" t="str">
        <f t="shared" si="27"/>
        <v>6012</v>
      </c>
      <c r="G234" s="9">
        <f t="shared" si="28"/>
        <v>77591.66</v>
      </c>
      <c r="H234" s="9">
        <f t="shared" si="29"/>
        <v>0</v>
      </c>
      <c r="I234" s="9">
        <f t="array" ref="I234">+SUM(IFERROR(VALUE(G234:H234),0))</f>
        <v>77591.66</v>
      </c>
      <c r="K234" s="9" t="str">
        <f t="shared" si="30"/>
        <v>601</v>
      </c>
      <c r="L234" s="9">
        <f t="shared" si="31"/>
        <v>77591.66</v>
      </c>
      <c r="M234" s="9">
        <f t="shared" si="32"/>
        <v>0</v>
      </c>
      <c r="N234" s="9">
        <f t="array" ref="N234">+SUM(IFERROR(VALUE(L234:M234),0))</f>
        <v>77591.66</v>
      </c>
      <c r="P234" s="9" t="str">
        <f t="shared" si="33"/>
        <v>60</v>
      </c>
      <c r="Q234" s="9">
        <f t="shared" si="34"/>
        <v>77591.66</v>
      </c>
      <c r="R234" s="9">
        <f t="shared" si="35"/>
        <v>0</v>
      </c>
      <c r="S234" s="9">
        <f t="array" ref="S234">+SUM(IFERROR(VALUE(Q234:R234),0))</f>
        <v>77591.66</v>
      </c>
    </row>
    <row r="235" spans="1:19" ht="14.4">
      <c r="A235" t="s">
        <v>2513</v>
      </c>
      <c r="B235" t="s">
        <v>2514</v>
      </c>
      <c r="C235" s="27">
        <v>7315700.54</v>
      </c>
      <c r="D235" s="28">
        <v>0</v>
      </c>
      <c r="F235" s="9" t="str">
        <f t="shared" si="27"/>
        <v>6013</v>
      </c>
      <c r="G235" s="9">
        <f t="shared" si="28"/>
        <v>7315700.54</v>
      </c>
      <c r="H235" s="9">
        <f t="shared" si="29"/>
        <v>0</v>
      </c>
      <c r="I235" s="9">
        <f t="array" ref="I235">+SUM(IFERROR(VALUE(G235:H235),0))</f>
        <v>7315700.54</v>
      </c>
      <c r="K235" s="9" t="str">
        <f t="shared" si="30"/>
        <v>601</v>
      </c>
      <c r="L235" s="9">
        <f t="shared" si="31"/>
        <v>7315700.54</v>
      </c>
      <c r="M235" s="9">
        <f t="shared" si="32"/>
        <v>0</v>
      </c>
      <c r="N235" s="9">
        <f t="array" ref="N235">+SUM(IFERROR(VALUE(L235:M235),0))</f>
        <v>7315700.54</v>
      </c>
      <c r="P235" s="9" t="str">
        <f t="shared" si="33"/>
        <v>60</v>
      </c>
      <c r="Q235" s="9">
        <f t="shared" si="34"/>
        <v>7315700.54</v>
      </c>
      <c r="R235" s="9">
        <f t="shared" si="35"/>
        <v>0</v>
      </c>
      <c r="S235" s="9">
        <f t="array" ref="S235">+SUM(IFERROR(VALUE(Q235:R235),0))</f>
        <v>7315700.54</v>
      </c>
    </row>
    <row r="236" spans="1:19" ht="14.4">
      <c r="A236" t="s">
        <v>2515</v>
      </c>
      <c r="B236" t="s">
        <v>2516</v>
      </c>
      <c r="C236" s="27">
        <v>53047.62</v>
      </c>
      <c r="D236" s="28">
        <v>0</v>
      </c>
      <c r="F236" s="9" t="str">
        <f t="shared" si="27"/>
        <v>6020</v>
      </c>
      <c r="G236" s="9">
        <f t="shared" si="28"/>
        <v>53047.62</v>
      </c>
      <c r="H236" s="9">
        <f t="shared" si="29"/>
        <v>0</v>
      </c>
      <c r="I236" s="9">
        <f t="array" ref="I236">+SUM(IFERROR(VALUE(G236:H236),0))</f>
        <v>53047.62</v>
      </c>
      <c r="K236" s="9" t="str">
        <f t="shared" si="30"/>
        <v>602</v>
      </c>
      <c r="L236" s="9">
        <f t="shared" si="31"/>
        <v>53047.62</v>
      </c>
      <c r="M236" s="9">
        <f t="shared" si="32"/>
        <v>0</v>
      </c>
      <c r="N236" s="9">
        <f t="array" ref="N236">+SUM(IFERROR(VALUE(L236:M236),0))</f>
        <v>53047.62</v>
      </c>
      <c r="P236" s="9" t="str">
        <f t="shared" si="33"/>
        <v>60</v>
      </c>
      <c r="Q236" s="9">
        <f t="shared" si="34"/>
        <v>53047.62</v>
      </c>
      <c r="R236" s="9">
        <f t="shared" si="35"/>
        <v>0</v>
      </c>
      <c r="S236" s="9">
        <f t="array" ref="S236">+SUM(IFERROR(VALUE(Q236:R236),0))</f>
        <v>53047.62</v>
      </c>
    </row>
    <row r="237" spans="1:19" ht="14.4">
      <c r="A237" t="s">
        <v>2517</v>
      </c>
      <c r="B237" t="s">
        <v>2518</v>
      </c>
      <c r="C237" s="27">
        <v>216113.81</v>
      </c>
      <c r="D237" s="28">
        <v>0</v>
      </c>
      <c r="F237" s="9" t="str">
        <f t="shared" si="27"/>
        <v>6026</v>
      </c>
      <c r="G237" s="9">
        <f t="shared" si="28"/>
        <v>216113.81</v>
      </c>
      <c r="H237" s="9">
        <f t="shared" si="29"/>
        <v>0</v>
      </c>
      <c r="I237" s="9">
        <f t="array" ref="I237">+SUM(IFERROR(VALUE(G237:H237),0))</f>
        <v>216113.81</v>
      </c>
      <c r="K237" s="9" t="str">
        <f t="shared" si="30"/>
        <v>602</v>
      </c>
      <c r="L237" s="9">
        <f t="shared" si="31"/>
        <v>216113.81</v>
      </c>
      <c r="M237" s="9">
        <f t="shared" si="32"/>
        <v>0</v>
      </c>
      <c r="N237" s="9">
        <f t="array" ref="N237">+SUM(IFERROR(VALUE(L237:M237),0))</f>
        <v>216113.81</v>
      </c>
      <c r="P237" s="9" t="str">
        <f t="shared" si="33"/>
        <v>60</v>
      </c>
      <c r="Q237" s="9">
        <f t="shared" si="34"/>
        <v>216113.81</v>
      </c>
      <c r="R237" s="9">
        <f t="shared" si="35"/>
        <v>0</v>
      </c>
      <c r="S237" s="9">
        <f t="array" ref="S237">+SUM(IFERROR(VALUE(Q237:R237),0))</f>
        <v>216113.81</v>
      </c>
    </row>
    <row r="238" spans="1:19" ht="14.4">
      <c r="A238" t="s">
        <v>2519</v>
      </c>
      <c r="B238" t="s">
        <v>2520</v>
      </c>
      <c r="C238" s="27">
        <v>128611.23</v>
      </c>
      <c r="D238" s="28">
        <v>0</v>
      </c>
      <c r="F238" s="9" t="str">
        <f t="shared" si="27"/>
        <v>6027</v>
      </c>
      <c r="G238" s="9">
        <f t="shared" si="28"/>
        <v>128611.23</v>
      </c>
      <c r="H238" s="9">
        <f t="shared" si="29"/>
        <v>0</v>
      </c>
      <c r="I238" s="9">
        <f t="array" ref="I238">+SUM(IFERROR(VALUE(G238:H238),0))</f>
        <v>128611.23</v>
      </c>
      <c r="K238" s="9" t="str">
        <f t="shared" si="30"/>
        <v>602</v>
      </c>
      <c r="L238" s="9">
        <f t="shared" si="31"/>
        <v>128611.23</v>
      </c>
      <c r="M238" s="9">
        <f t="shared" si="32"/>
        <v>0</v>
      </c>
      <c r="N238" s="9">
        <f t="array" ref="N238">+SUM(IFERROR(VALUE(L238:M238),0))</f>
        <v>128611.23</v>
      </c>
      <c r="P238" s="9" t="str">
        <f t="shared" si="33"/>
        <v>60</v>
      </c>
      <c r="Q238" s="9">
        <f t="shared" si="34"/>
        <v>128611.23</v>
      </c>
      <c r="R238" s="9">
        <f t="shared" si="35"/>
        <v>0</v>
      </c>
      <c r="S238" s="9">
        <f t="array" ref="S238">+SUM(IFERROR(VALUE(Q238:R238),0))</f>
        <v>128611.23</v>
      </c>
    </row>
    <row r="239" spans="1:19" ht="14.4">
      <c r="A239" t="s">
        <v>2521</v>
      </c>
      <c r="B239" t="s">
        <v>2522</v>
      </c>
      <c r="C239" s="27">
        <v>0</v>
      </c>
      <c r="D239" s="28">
        <v>831.47</v>
      </c>
      <c r="F239" s="9" t="str">
        <f t="shared" si="27"/>
        <v>6062</v>
      </c>
      <c r="G239" s="9">
        <f t="shared" si="28"/>
        <v>0</v>
      </c>
      <c r="H239" s="9">
        <f t="shared" si="29"/>
        <v>-831.47</v>
      </c>
      <c r="I239" s="9">
        <f t="array" ref="I239">+SUM(IFERROR(VALUE(G239:H239),0))</f>
        <v>-831.47</v>
      </c>
      <c r="K239" s="9" t="str">
        <f t="shared" si="30"/>
        <v>606</v>
      </c>
      <c r="L239" s="9">
        <f t="shared" si="31"/>
        <v>0</v>
      </c>
      <c r="M239" s="9">
        <f t="shared" si="32"/>
        <v>-831.47</v>
      </c>
      <c r="N239" s="9">
        <f t="array" ref="N239">+SUM(IFERROR(VALUE(L239:M239),0))</f>
        <v>-831.47</v>
      </c>
      <c r="P239" s="9" t="str">
        <f t="shared" si="33"/>
        <v>60</v>
      </c>
      <c r="Q239" s="9">
        <f t="shared" si="34"/>
        <v>0</v>
      </c>
      <c r="R239" s="9">
        <f t="shared" si="35"/>
        <v>-831.47</v>
      </c>
      <c r="S239" s="9">
        <f t="array" ref="S239">+SUM(IFERROR(VALUE(Q239:R239),0))</f>
        <v>-831.47</v>
      </c>
    </row>
    <row r="240" spans="1:19" ht="14.4">
      <c r="A240" t="s">
        <v>2523</v>
      </c>
      <c r="B240" t="s">
        <v>2524</v>
      </c>
      <c r="C240" s="27">
        <v>0</v>
      </c>
      <c r="D240" s="28">
        <v>1232212.9099999999</v>
      </c>
      <c r="F240" s="9" t="str">
        <f t="shared" si="27"/>
        <v>6100</v>
      </c>
      <c r="G240" s="9">
        <f t="shared" si="28"/>
        <v>0</v>
      </c>
      <c r="H240" s="9">
        <f t="shared" si="29"/>
        <v>-1232212.9099999999</v>
      </c>
      <c r="I240" s="9">
        <f t="array" ref="I240">+SUM(IFERROR(VALUE(G240:H240),0))</f>
        <v>-1232212.9099999999</v>
      </c>
      <c r="K240" s="9" t="str">
        <f t="shared" si="30"/>
        <v>610</v>
      </c>
      <c r="L240" s="9">
        <f t="shared" si="31"/>
        <v>0</v>
      </c>
      <c r="M240" s="9">
        <f t="shared" si="32"/>
        <v>-1232212.9099999999</v>
      </c>
      <c r="N240" s="9">
        <f t="array" ref="N240">+SUM(IFERROR(VALUE(L240:M240),0))</f>
        <v>-1232212.9099999999</v>
      </c>
      <c r="P240" s="9" t="str">
        <f t="shared" si="33"/>
        <v>61</v>
      </c>
      <c r="Q240" s="9">
        <f t="shared" si="34"/>
        <v>0</v>
      </c>
      <c r="R240" s="9">
        <f t="shared" si="35"/>
        <v>-1232212.9099999999</v>
      </c>
      <c r="S240" s="9">
        <f t="array" ref="S240">+SUM(IFERROR(VALUE(Q240:R240),0))</f>
        <v>-1232212.9099999999</v>
      </c>
    </row>
    <row r="241" spans="1:19" ht="14.4">
      <c r="A241" t="s">
        <v>2525</v>
      </c>
      <c r="B241" t="s">
        <v>2526</v>
      </c>
      <c r="C241" s="27">
        <v>0</v>
      </c>
      <c r="D241" s="28">
        <v>5456381.5499999998</v>
      </c>
      <c r="F241" s="9" t="str">
        <f t="shared" si="27"/>
        <v>6110</v>
      </c>
      <c r="G241" s="9">
        <f t="shared" si="28"/>
        <v>0</v>
      </c>
      <c r="H241" s="9">
        <f t="shared" si="29"/>
        <v>-5456381.5499999998</v>
      </c>
      <c r="I241" s="9">
        <f t="array" ref="I241">+SUM(IFERROR(VALUE(G241:H241),0))</f>
        <v>-5456381.5499999998</v>
      </c>
      <c r="K241" s="9" t="str">
        <f t="shared" si="30"/>
        <v>611</v>
      </c>
      <c r="L241" s="9">
        <f t="shared" si="31"/>
        <v>0</v>
      </c>
      <c r="M241" s="9">
        <f t="shared" si="32"/>
        <v>-5456381.5499999998</v>
      </c>
      <c r="N241" s="9">
        <f t="array" ref="N241">+SUM(IFERROR(VALUE(L241:M241),0))</f>
        <v>-5456381.5499999998</v>
      </c>
      <c r="P241" s="9" t="str">
        <f t="shared" si="33"/>
        <v>61</v>
      </c>
      <c r="Q241" s="9">
        <f t="shared" si="34"/>
        <v>0</v>
      </c>
      <c r="R241" s="9">
        <f t="shared" si="35"/>
        <v>-5456381.5499999998</v>
      </c>
      <c r="S241" s="9">
        <f t="array" ref="S241">+SUM(IFERROR(VALUE(Q241:R241),0))</f>
        <v>-5456381.5499999998</v>
      </c>
    </row>
    <row r="242" spans="1:19" ht="14.4">
      <c r="A242" t="s">
        <v>2527</v>
      </c>
      <c r="B242" t="s">
        <v>2528</v>
      </c>
      <c r="C242" s="27">
        <v>25977.61</v>
      </c>
      <c r="D242" s="28">
        <v>0</v>
      </c>
      <c r="F242" s="9" t="str">
        <f t="shared" si="27"/>
        <v>6120</v>
      </c>
      <c r="G242" s="9">
        <f t="shared" si="28"/>
        <v>25977.61</v>
      </c>
      <c r="H242" s="9">
        <f t="shared" si="29"/>
        <v>0</v>
      </c>
      <c r="I242" s="9">
        <f t="array" ref="I242">+SUM(IFERROR(VALUE(G242:H242),0))</f>
        <v>25977.61</v>
      </c>
      <c r="K242" s="9" t="str">
        <f t="shared" si="30"/>
        <v>612</v>
      </c>
      <c r="L242" s="9">
        <f t="shared" si="31"/>
        <v>25977.61</v>
      </c>
      <c r="M242" s="9">
        <f t="shared" si="32"/>
        <v>0</v>
      </c>
      <c r="N242" s="9">
        <f t="array" ref="N242">+SUM(IFERROR(VALUE(L242:M242),0))</f>
        <v>25977.61</v>
      </c>
      <c r="P242" s="9" t="str">
        <f t="shared" si="33"/>
        <v>61</v>
      </c>
      <c r="Q242" s="9">
        <f t="shared" si="34"/>
        <v>25977.61</v>
      </c>
      <c r="R242" s="9">
        <f t="shared" si="35"/>
        <v>0</v>
      </c>
      <c r="S242" s="9">
        <f t="array" ref="S242">+SUM(IFERROR(VALUE(Q242:R242),0))</f>
        <v>25977.61</v>
      </c>
    </row>
    <row r="243" spans="1:19" ht="14.4">
      <c r="A243" t="s">
        <v>2529</v>
      </c>
      <c r="B243" t="s">
        <v>2530</v>
      </c>
      <c r="C243" s="27">
        <v>41512.47</v>
      </c>
      <c r="D243" s="28">
        <v>0</v>
      </c>
      <c r="F243" s="9" t="str">
        <f t="shared" si="27"/>
        <v>6210</v>
      </c>
      <c r="G243" s="9">
        <f t="shared" si="28"/>
        <v>41512.47</v>
      </c>
      <c r="H243" s="9">
        <f t="shared" si="29"/>
        <v>0</v>
      </c>
      <c r="I243" s="9">
        <f t="array" ref="I243">+SUM(IFERROR(VALUE(G243:H243),0))</f>
        <v>41512.47</v>
      </c>
      <c r="K243" s="9" t="str">
        <f t="shared" si="30"/>
        <v>621</v>
      </c>
      <c r="L243" s="9">
        <f t="shared" si="31"/>
        <v>41512.47</v>
      </c>
      <c r="M243" s="9">
        <f t="shared" si="32"/>
        <v>0</v>
      </c>
      <c r="N243" s="9">
        <f t="array" ref="N243">+SUM(IFERROR(VALUE(L243:M243),0))</f>
        <v>41512.47</v>
      </c>
      <c r="P243" s="9" t="str">
        <f t="shared" si="33"/>
        <v>62</v>
      </c>
      <c r="Q243" s="9">
        <f t="shared" si="34"/>
        <v>41512.47</v>
      </c>
      <c r="R243" s="9">
        <f t="shared" si="35"/>
        <v>0</v>
      </c>
      <c r="S243" s="9">
        <f t="array" ref="S243">+SUM(IFERROR(VALUE(Q243:R243),0))</f>
        <v>41512.47</v>
      </c>
    </row>
    <row r="244" spans="1:19" ht="14.4">
      <c r="A244" t="s">
        <v>2531</v>
      </c>
      <c r="B244" t="s">
        <v>2532</v>
      </c>
      <c r="C244" s="27">
        <v>196.08</v>
      </c>
      <c r="D244" s="28">
        <v>0</v>
      </c>
      <c r="F244" s="9" t="str">
        <f t="shared" si="27"/>
        <v>6211</v>
      </c>
      <c r="G244" s="9">
        <f t="shared" si="28"/>
        <v>196.08</v>
      </c>
      <c r="H244" s="9">
        <f t="shared" si="29"/>
        <v>0</v>
      </c>
      <c r="I244" s="9">
        <f t="array" ref="I244">+SUM(IFERROR(VALUE(G244:H244),0))</f>
        <v>196.08</v>
      </c>
      <c r="K244" s="9" t="str">
        <f t="shared" si="30"/>
        <v>621</v>
      </c>
      <c r="L244" s="9">
        <f t="shared" si="31"/>
        <v>196.08</v>
      </c>
      <c r="M244" s="9">
        <f t="shared" si="32"/>
        <v>0</v>
      </c>
      <c r="N244" s="9">
        <f t="array" ref="N244">+SUM(IFERROR(VALUE(L244:M244),0))</f>
        <v>196.08</v>
      </c>
      <c r="P244" s="9" t="str">
        <f t="shared" si="33"/>
        <v>62</v>
      </c>
      <c r="Q244" s="9">
        <f t="shared" si="34"/>
        <v>196.08</v>
      </c>
      <c r="R244" s="9">
        <f t="shared" si="35"/>
        <v>0</v>
      </c>
      <c r="S244" s="9">
        <f t="array" ref="S244">+SUM(IFERROR(VALUE(Q244:R244),0))</f>
        <v>196.08</v>
      </c>
    </row>
    <row r="245" spans="1:19" ht="14.4">
      <c r="A245" t="s">
        <v>2533</v>
      </c>
      <c r="B245" t="s">
        <v>2534</v>
      </c>
      <c r="C245" s="27">
        <v>0</v>
      </c>
      <c r="D245" s="28">
        <v>292</v>
      </c>
      <c r="F245" s="9" t="str">
        <f t="shared" si="27"/>
        <v>6211</v>
      </c>
      <c r="G245" s="9">
        <f t="shared" si="28"/>
        <v>0</v>
      </c>
      <c r="H245" s="9">
        <f t="shared" si="29"/>
        <v>-292</v>
      </c>
      <c r="I245" s="9">
        <f t="array" ref="I245">+SUM(IFERROR(VALUE(G245:H245),0))</f>
        <v>-292</v>
      </c>
      <c r="K245" s="9" t="str">
        <f t="shared" si="30"/>
        <v>621</v>
      </c>
      <c r="L245" s="9">
        <f t="shared" si="31"/>
        <v>0</v>
      </c>
      <c r="M245" s="9">
        <f t="shared" si="32"/>
        <v>-292</v>
      </c>
      <c r="N245" s="9">
        <f t="array" ref="N245">+SUM(IFERROR(VALUE(L245:M245),0))</f>
        <v>-292</v>
      </c>
      <c r="P245" s="9" t="str">
        <f t="shared" si="33"/>
        <v>62</v>
      </c>
      <c r="Q245" s="9">
        <f t="shared" si="34"/>
        <v>0</v>
      </c>
      <c r="R245" s="9">
        <f t="shared" si="35"/>
        <v>-292</v>
      </c>
      <c r="S245" s="9">
        <f t="array" ref="S245">+SUM(IFERROR(VALUE(Q245:R245),0))</f>
        <v>-292</v>
      </c>
    </row>
    <row r="246" spans="1:19" ht="14.4">
      <c r="A246" t="s">
        <v>2535</v>
      </c>
      <c r="B246" t="s">
        <v>2536</v>
      </c>
      <c r="C246" s="27">
        <v>4052.44</v>
      </c>
      <c r="D246" s="28">
        <v>0</v>
      </c>
      <c r="F246" s="9" t="str">
        <f t="shared" si="27"/>
        <v>6211</v>
      </c>
      <c r="G246" s="9">
        <f t="shared" si="28"/>
        <v>4052.44</v>
      </c>
      <c r="H246" s="9">
        <f t="shared" si="29"/>
        <v>0</v>
      </c>
      <c r="I246" s="9">
        <f t="array" ref="I246">+SUM(IFERROR(VALUE(G246:H246),0))</f>
        <v>4052.44</v>
      </c>
      <c r="K246" s="9" t="str">
        <f t="shared" si="30"/>
        <v>621</v>
      </c>
      <c r="L246" s="9">
        <f t="shared" si="31"/>
        <v>4052.44</v>
      </c>
      <c r="M246" s="9">
        <f t="shared" si="32"/>
        <v>0</v>
      </c>
      <c r="N246" s="9">
        <f t="array" ref="N246">+SUM(IFERROR(VALUE(L246:M246),0))</f>
        <v>4052.44</v>
      </c>
      <c r="P246" s="9" t="str">
        <f t="shared" si="33"/>
        <v>62</v>
      </c>
      <c r="Q246" s="9">
        <f t="shared" si="34"/>
        <v>4052.44</v>
      </c>
      <c r="R246" s="9">
        <f t="shared" si="35"/>
        <v>0</v>
      </c>
      <c r="S246" s="9">
        <f t="array" ref="S246">+SUM(IFERROR(VALUE(Q246:R246),0))</f>
        <v>4052.44</v>
      </c>
    </row>
    <row r="247" spans="1:19" ht="14.4">
      <c r="A247" t="s">
        <v>2537</v>
      </c>
      <c r="B247" t="s">
        <v>2538</v>
      </c>
      <c r="C247" s="27">
        <v>138.62</v>
      </c>
      <c r="D247" s="28">
        <v>0</v>
      </c>
      <c r="F247" s="9" t="str">
        <f t="shared" si="27"/>
        <v>6215</v>
      </c>
      <c r="G247" s="9">
        <f t="shared" si="28"/>
        <v>138.62</v>
      </c>
      <c r="H247" s="9">
        <f t="shared" si="29"/>
        <v>0</v>
      </c>
      <c r="I247" s="9">
        <f t="array" ref="I247">+SUM(IFERROR(VALUE(G247:H247),0))</f>
        <v>138.62</v>
      </c>
      <c r="K247" s="9" t="str">
        <f t="shared" si="30"/>
        <v>621</v>
      </c>
      <c r="L247" s="9">
        <f t="shared" si="31"/>
        <v>138.62</v>
      </c>
      <c r="M247" s="9">
        <f t="shared" si="32"/>
        <v>0</v>
      </c>
      <c r="N247" s="9">
        <f t="array" ref="N247">+SUM(IFERROR(VALUE(L247:M247),0))</f>
        <v>138.62</v>
      </c>
      <c r="P247" s="9" t="str">
        <f t="shared" si="33"/>
        <v>62</v>
      </c>
      <c r="Q247" s="9">
        <f t="shared" si="34"/>
        <v>138.62</v>
      </c>
      <c r="R247" s="9">
        <f t="shared" si="35"/>
        <v>0</v>
      </c>
      <c r="S247" s="9">
        <f t="array" ref="S247">+SUM(IFERROR(VALUE(Q247:R247),0))</f>
        <v>138.62</v>
      </c>
    </row>
    <row r="248" spans="1:19" ht="14.4">
      <c r="A248" t="s">
        <v>2539</v>
      </c>
      <c r="B248" t="s">
        <v>2540</v>
      </c>
      <c r="C248" s="27">
        <v>345286.98</v>
      </c>
      <c r="D248" s="28">
        <v>0</v>
      </c>
      <c r="F248" s="9" t="str">
        <f t="shared" si="27"/>
        <v>6220</v>
      </c>
      <c r="G248" s="9">
        <f t="shared" si="28"/>
        <v>345286.98</v>
      </c>
      <c r="H248" s="9">
        <f t="shared" si="29"/>
        <v>0</v>
      </c>
      <c r="I248" s="15">
        <f t="array" ref="I248">+SUM(IFERROR(VALUE(G248:H248),0))</f>
        <v>345286.98</v>
      </c>
      <c r="K248" s="9" t="str">
        <f t="shared" si="30"/>
        <v>622</v>
      </c>
      <c r="L248" s="9">
        <f t="shared" si="31"/>
        <v>345286.98</v>
      </c>
      <c r="M248" s="9">
        <f t="shared" si="32"/>
        <v>0</v>
      </c>
      <c r="N248" s="15">
        <f t="array" ref="N248">+SUM(IFERROR(VALUE(L248:M248),0))</f>
        <v>345286.98</v>
      </c>
      <c r="P248" s="9" t="str">
        <f t="shared" si="33"/>
        <v>62</v>
      </c>
      <c r="Q248" s="9">
        <f t="shared" si="34"/>
        <v>345286.98</v>
      </c>
      <c r="R248" s="9">
        <f t="shared" si="35"/>
        <v>0</v>
      </c>
      <c r="S248" s="9">
        <f t="array" ref="S248">+SUM(IFERROR(VALUE(Q248:R248),0))</f>
        <v>345286.98</v>
      </c>
    </row>
    <row r="249" spans="1:19" ht="14.4">
      <c r="A249" t="s">
        <v>2541</v>
      </c>
      <c r="B249" t="s">
        <v>2542</v>
      </c>
      <c r="C249" s="27">
        <v>34799.699999999997</v>
      </c>
      <c r="D249" s="28">
        <v>0</v>
      </c>
      <c r="F249" s="9" t="str">
        <f t="shared" si="27"/>
        <v>6220</v>
      </c>
      <c r="G249" s="9">
        <f t="shared" si="28"/>
        <v>34799.699999999997</v>
      </c>
      <c r="H249" s="9">
        <f t="shared" si="29"/>
        <v>0</v>
      </c>
      <c r="I249" s="15">
        <f t="array" ref="I249">+SUM(IFERROR(VALUE(G249:H249),0))</f>
        <v>34799.699999999997</v>
      </c>
      <c r="K249" s="9" t="str">
        <f t="shared" si="30"/>
        <v>622</v>
      </c>
      <c r="L249" s="9">
        <f t="shared" si="31"/>
        <v>34799.699999999997</v>
      </c>
      <c r="M249" s="9">
        <f t="shared" si="32"/>
        <v>0</v>
      </c>
      <c r="N249" s="15">
        <f t="array" ref="N249">+SUM(IFERROR(VALUE(L249:M249),0))</f>
        <v>34799.699999999997</v>
      </c>
      <c r="P249" s="9" t="str">
        <f t="shared" si="33"/>
        <v>62</v>
      </c>
      <c r="Q249" s="9">
        <f t="shared" si="34"/>
        <v>34799.699999999997</v>
      </c>
      <c r="R249" s="9">
        <f t="shared" si="35"/>
        <v>0</v>
      </c>
      <c r="S249" s="9">
        <f t="array" ref="S249">+SUM(IFERROR(VALUE(Q249:R249),0))</f>
        <v>34799.699999999997</v>
      </c>
    </row>
    <row r="250" spans="1:19" ht="14.4">
      <c r="A250" t="s">
        <v>2543</v>
      </c>
      <c r="B250" t="s">
        <v>2544</v>
      </c>
      <c r="C250" s="27">
        <v>13090.19</v>
      </c>
      <c r="D250" s="28">
        <v>0</v>
      </c>
      <c r="F250" s="9" t="str">
        <f t="shared" si="27"/>
        <v>6221</v>
      </c>
      <c r="G250" s="9">
        <f t="shared" si="28"/>
        <v>13090.19</v>
      </c>
      <c r="H250" s="9">
        <f t="shared" si="29"/>
        <v>0</v>
      </c>
      <c r="I250" s="15">
        <f t="array" ref="I250">+SUM(IFERROR(VALUE(G250:H250),0))</f>
        <v>13090.19</v>
      </c>
      <c r="K250" s="9" t="str">
        <f t="shared" si="30"/>
        <v>622</v>
      </c>
      <c r="L250" s="9">
        <f t="shared" si="31"/>
        <v>13090.19</v>
      </c>
      <c r="M250" s="9">
        <f t="shared" si="32"/>
        <v>0</v>
      </c>
      <c r="N250" s="15">
        <f t="array" ref="N250">+SUM(IFERROR(VALUE(L250:M250),0))</f>
        <v>13090.19</v>
      </c>
      <c r="P250" s="9" t="str">
        <f t="shared" si="33"/>
        <v>62</v>
      </c>
      <c r="Q250" s="9">
        <f t="shared" si="34"/>
        <v>13090.19</v>
      </c>
      <c r="R250" s="9">
        <f t="shared" si="35"/>
        <v>0</v>
      </c>
      <c r="S250" s="9">
        <f t="array" ref="S250">+SUM(IFERROR(VALUE(Q250:R250),0))</f>
        <v>13090.19</v>
      </c>
    </row>
    <row r="251" spans="1:19" ht="14.4">
      <c r="A251" t="s">
        <v>2545</v>
      </c>
      <c r="B251" t="s">
        <v>2546</v>
      </c>
      <c r="C251" s="27">
        <v>14981.12</v>
      </c>
      <c r="D251" s="28">
        <v>0</v>
      </c>
      <c r="F251" s="9" t="str">
        <f t="shared" si="27"/>
        <v>6221</v>
      </c>
      <c r="G251" s="9">
        <f t="shared" si="28"/>
        <v>14981.12</v>
      </c>
      <c r="H251" s="9">
        <f t="shared" si="29"/>
        <v>0</v>
      </c>
      <c r="I251" s="15">
        <f t="array" ref="I251">+SUM(IFERROR(VALUE(G251:H251),0))</f>
        <v>14981.12</v>
      </c>
      <c r="K251" s="9" t="str">
        <f t="shared" si="30"/>
        <v>622</v>
      </c>
      <c r="L251" s="9">
        <f t="shared" si="31"/>
        <v>14981.12</v>
      </c>
      <c r="M251" s="9">
        <f t="shared" si="32"/>
        <v>0</v>
      </c>
      <c r="N251" s="15">
        <f t="array" ref="N251">+SUM(IFERROR(VALUE(L251:M251),0))</f>
        <v>14981.12</v>
      </c>
      <c r="P251" s="9" t="str">
        <f t="shared" si="33"/>
        <v>62</v>
      </c>
      <c r="Q251" s="9">
        <f t="shared" si="34"/>
        <v>14981.12</v>
      </c>
      <c r="R251" s="9">
        <f t="shared" si="35"/>
        <v>0</v>
      </c>
      <c r="S251" s="9">
        <f t="array" ref="S251">+SUM(IFERROR(VALUE(Q251:R251),0))</f>
        <v>14981.12</v>
      </c>
    </row>
    <row r="252" spans="1:19" ht="14.4">
      <c r="A252" t="s">
        <v>2547</v>
      </c>
      <c r="B252" t="s">
        <v>2548</v>
      </c>
      <c r="C252" s="27">
        <v>10312.5</v>
      </c>
      <c r="D252" s="28">
        <v>0</v>
      </c>
      <c r="F252" s="9" t="str">
        <f t="shared" si="27"/>
        <v>6230</v>
      </c>
      <c r="G252" s="9">
        <f t="shared" si="28"/>
        <v>10312.5</v>
      </c>
      <c r="H252" s="9">
        <f t="shared" si="29"/>
        <v>0</v>
      </c>
      <c r="I252" s="15">
        <f t="array" ref="I252">+SUM(IFERROR(VALUE(G252:H252),0))</f>
        <v>10312.5</v>
      </c>
      <c r="K252" s="9" t="str">
        <f t="shared" si="30"/>
        <v>623</v>
      </c>
      <c r="L252" s="9">
        <f t="shared" si="31"/>
        <v>10312.5</v>
      </c>
      <c r="M252" s="9">
        <f t="shared" si="32"/>
        <v>0</v>
      </c>
      <c r="N252" s="15">
        <f t="array" ref="N252">+SUM(IFERROR(VALUE(L252:M252),0))</f>
        <v>10312.5</v>
      </c>
      <c r="P252" s="9" t="str">
        <f t="shared" si="33"/>
        <v>62</v>
      </c>
      <c r="Q252" s="9">
        <f t="shared" si="34"/>
        <v>10312.5</v>
      </c>
      <c r="R252" s="9">
        <f t="shared" si="35"/>
        <v>0</v>
      </c>
      <c r="S252" s="9">
        <f t="array" ref="S252">+SUM(IFERROR(VALUE(Q252:R252),0))</f>
        <v>10312.5</v>
      </c>
    </row>
    <row r="253" spans="1:19" ht="14.4">
      <c r="A253" t="s">
        <v>2549</v>
      </c>
      <c r="B253" t="s">
        <v>2550</v>
      </c>
      <c r="C253" s="27">
        <v>10427</v>
      </c>
      <c r="D253" s="28">
        <v>0</v>
      </c>
      <c r="F253" s="9" t="str">
        <f t="shared" si="27"/>
        <v>6230</v>
      </c>
      <c r="G253" s="9">
        <f t="shared" si="28"/>
        <v>10427</v>
      </c>
      <c r="H253" s="9">
        <f t="shared" si="29"/>
        <v>0</v>
      </c>
      <c r="I253" s="15">
        <f t="array" ref="I253">+SUM(IFERROR(VALUE(G253:H253),0))</f>
        <v>10427</v>
      </c>
      <c r="K253" s="9" t="str">
        <f t="shared" si="30"/>
        <v>623</v>
      </c>
      <c r="L253" s="9">
        <f t="shared" si="31"/>
        <v>10427</v>
      </c>
      <c r="M253" s="9">
        <f t="shared" si="32"/>
        <v>0</v>
      </c>
      <c r="N253" s="15">
        <f t="array" ref="N253">+SUM(IFERROR(VALUE(L253:M253),0))</f>
        <v>10427</v>
      </c>
      <c r="P253" s="9" t="str">
        <f t="shared" si="33"/>
        <v>62</v>
      </c>
      <c r="Q253" s="9">
        <f t="shared" si="34"/>
        <v>10427</v>
      </c>
      <c r="R253" s="9">
        <f t="shared" si="35"/>
        <v>0</v>
      </c>
      <c r="S253" s="9">
        <f t="array" ref="S253">+SUM(IFERROR(VALUE(Q253:R253),0))</f>
        <v>10427</v>
      </c>
    </row>
    <row r="254" spans="1:19" ht="14.4">
      <c r="A254" t="s">
        <v>2551</v>
      </c>
      <c r="B254" t="s">
        <v>2552</v>
      </c>
      <c r="C254" s="27">
        <v>9390</v>
      </c>
      <c r="D254" s="28">
        <v>0</v>
      </c>
      <c r="F254" s="9" t="str">
        <f t="shared" si="27"/>
        <v>6230</v>
      </c>
      <c r="G254" s="9">
        <f t="shared" si="28"/>
        <v>9390</v>
      </c>
      <c r="H254" s="9">
        <f t="shared" si="29"/>
        <v>0</v>
      </c>
      <c r="I254" s="15">
        <f t="array" ref="I254">+SUM(IFERROR(VALUE(G254:H254),0))</f>
        <v>9390</v>
      </c>
      <c r="K254" s="9" t="str">
        <f t="shared" si="30"/>
        <v>623</v>
      </c>
      <c r="L254" s="9">
        <f t="shared" si="31"/>
        <v>9390</v>
      </c>
      <c r="M254" s="9">
        <f t="shared" si="32"/>
        <v>0</v>
      </c>
      <c r="N254" s="15">
        <f t="array" ref="N254">+SUM(IFERROR(VALUE(L254:M254),0))</f>
        <v>9390</v>
      </c>
      <c r="P254" s="9" t="str">
        <f t="shared" si="33"/>
        <v>62</v>
      </c>
      <c r="Q254" s="9">
        <f t="shared" si="34"/>
        <v>9390</v>
      </c>
      <c r="R254" s="9">
        <f t="shared" si="35"/>
        <v>0</v>
      </c>
      <c r="S254" s="9">
        <f t="array" ref="S254">+SUM(IFERROR(VALUE(Q254:R254),0))</f>
        <v>9390</v>
      </c>
    </row>
    <row r="255" spans="1:19" ht="14.4">
      <c r="A255" t="s">
        <v>2553</v>
      </c>
      <c r="B255" t="s">
        <v>2554</v>
      </c>
      <c r="C255" s="27">
        <v>1335</v>
      </c>
      <c r="D255" s="28">
        <v>0</v>
      </c>
      <c r="F255" s="9" t="str">
        <f t="shared" si="27"/>
        <v>6230</v>
      </c>
      <c r="G255" s="9">
        <f t="shared" si="28"/>
        <v>1335</v>
      </c>
      <c r="H255" s="9">
        <f t="shared" si="29"/>
        <v>0</v>
      </c>
      <c r="I255" s="15">
        <f t="array" ref="I255">+SUM(IFERROR(VALUE(G255:H255),0))</f>
        <v>1335</v>
      </c>
      <c r="K255" s="9" t="str">
        <f t="shared" si="30"/>
        <v>623</v>
      </c>
      <c r="L255" s="9">
        <f t="shared" si="31"/>
        <v>1335</v>
      </c>
      <c r="M255" s="9">
        <f t="shared" si="32"/>
        <v>0</v>
      </c>
      <c r="N255" s="15">
        <f t="array" ref="N255">+SUM(IFERROR(VALUE(L255:M255),0))</f>
        <v>1335</v>
      </c>
      <c r="P255" s="9" t="str">
        <f t="shared" si="33"/>
        <v>62</v>
      </c>
      <c r="Q255" s="9">
        <f t="shared" si="34"/>
        <v>1335</v>
      </c>
      <c r="R255" s="9">
        <f t="shared" si="35"/>
        <v>0</v>
      </c>
      <c r="S255" s="9">
        <f t="array" ref="S255">+SUM(IFERROR(VALUE(Q255:R255),0))</f>
        <v>1335</v>
      </c>
    </row>
    <row r="256" spans="1:19" ht="14.4">
      <c r="A256" t="s">
        <v>2555</v>
      </c>
      <c r="B256" t="s">
        <v>2556</v>
      </c>
      <c r="C256" s="27">
        <v>5652.96</v>
      </c>
      <c r="D256" s="28">
        <v>0</v>
      </c>
      <c r="F256" s="9" t="str">
        <f t="shared" si="27"/>
        <v>6230</v>
      </c>
      <c r="G256" s="9">
        <f t="shared" si="28"/>
        <v>5652.96</v>
      </c>
      <c r="H256" s="9">
        <f t="shared" si="29"/>
        <v>0</v>
      </c>
      <c r="I256" s="15">
        <f t="array" ref="I256">+SUM(IFERROR(VALUE(G256:H256),0))</f>
        <v>5652.96</v>
      </c>
      <c r="K256" s="9" t="str">
        <f t="shared" si="30"/>
        <v>623</v>
      </c>
      <c r="L256" s="9">
        <f t="shared" si="31"/>
        <v>5652.96</v>
      </c>
      <c r="M256" s="9">
        <f t="shared" si="32"/>
        <v>0</v>
      </c>
      <c r="N256" s="15">
        <f t="array" ref="N256">+SUM(IFERROR(VALUE(L256:M256),0))</f>
        <v>5652.96</v>
      </c>
      <c r="P256" s="9" t="str">
        <f t="shared" si="33"/>
        <v>62</v>
      </c>
      <c r="Q256" s="9">
        <f t="shared" si="34"/>
        <v>5652.96</v>
      </c>
      <c r="R256" s="9">
        <f t="shared" si="35"/>
        <v>0</v>
      </c>
      <c r="S256" s="9">
        <f t="array" ref="S256">+SUM(IFERROR(VALUE(Q256:R256),0))</f>
        <v>5652.96</v>
      </c>
    </row>
    <row r="257" spans="1:19" ht="14.4">
      <c r="A257" t="s">
        <v>2557</v>
      </c>
      <c r="B257" t="s">
        <v>2558</v>
      </c>
      <c r="C257" s="27">
        <v>1128.1099999999999</v>
      </c>
      <c r="D257" s="28">
        <v>0</v>
      </c>
      <c r="F257" s="9" t="str">
        <f t="shared" si="27"/>
        <v>6230</v>
      </c>
      <c r="G257" s="9">
        <f t="shared" si="28"/>
        <v>1128.1099999999999</v>
      </c>
      <c r="H257" s="9">
        <f t="shared" si="29"/>
        <v>0</v>
      </c>
      <c r="I257" s="15">
        <f t="array" ref="I257">+SUM(IFERROR(VALUE(G257:H257),0))</f>
        <v>1128.1099999999999</v>
      </c>
      <c r="K257" s="9" t="str">
        <f t="shared" si="30"/>
        <v>623</v>
      </c>
      <c r="L257" s="9">
        <f t="shared" si="31"/>
        <v>1128.1099999999999</v>
      </c>
      <c r="M257" s="9">
        <f t="shared" si="32"/>
        <v>0</v>
      </c>
      <c r="N257" s="15">
        <f t="array" ref="N257">+SUM(IFERROR(VALUE(L257:M257),0))</f>
        <v>1128.1099999999999</v>
      </c>
      <c r="P257" s="9" t="str">
        <f t="shared" si="33"/>
        <v>62</v>
      </c>
      <c r="Q257" s="9">
        <f t="shared" si="34"/>
        <v>1128.1099999999999</v>
      </c>
      <c r="R257" s="9">
        <f t="shared" si="35"/>
        <v>0</v>
      </c>
      <c r="S257" s="9">
        <f t="array" ref="S257">+SUM(IFERROR(VALUE(Q257:R257),0))</f>
        <v>1128.1099999999999</v>
      </c>
    </row>
    <row r="258" spans="1:19" ht="14.4">
      <c r="A258" t="s">
        <v>2559</v>
      </c>
      <c r="B258" t="s">
        <v>2560</v>
      </c>
      <c r="C258" s="27">
        <v>5132.3100000000004</v>
      </c>
      <c r="D258" s="28">
        <v>0</v>
      </c>
      <c r="F258" s="9" t="str">
        <f t="shared" si="27"/>
        <v>6230</v>
      </c>
      <c r="G258" s="9">
        <f t="shared" si="28"/>
        <v>5132.3100000000004</v>
      </c>
      <c r="H258" s="9">
        <f t="shared" si="29"/>
        <v>0</v>
      </c>
      <c r="I258" s="15">
        <f t="array" ref="I258">+SUM(IFERROR(VALUE(G258:H258),0))</f>
        <v>5132.3100000000004</v>
      </c>
      <c r="K258" s="9" t="str">
        <f t="shared" si="30"/>
        <v>623</v>
      </c>
      <c r="L258" s="9">
        <f t="shared" si="31"/>
        <v>5132.3100000000004</v>
      </c>
      <c r="M258" s="9">
        <f t="shared" si="32"/>
        <v>0</v>
      </c>
      <c r="N258" s="15">
        <f t="array" ref="N258">+SUM(IFERROR(VALUE(L258:M258),0))</f>
        <v>5132.3100000000004</v>
      </c>
      <c r="P258" s="9" t="str">
        <f t="shared" si="33"/>
        <v>62</v>
      </c>
      <c r="Q258" s="9">
        <f t="shared" si="34"/>
        <v>5132.3100000000004</v>
      </c>
      <c r="R258" s="9">
        <f t="shared" si="35"/>
        <v>0</v>
      </c>
      <c r="S258" s="9">
        <f t="array" ref="S258">+SUM(IFERROR(VALUE(Q258:R258),0))</f>
        <v>5132.3100000000004</v>
      </c>
    </row>
    <row r="259" spans="1:19" ht="14.4">
      <c r="A259" t="s">
        <v>2561</v>
      </c>
      <c r="B259" t="s">
        <v>2562</v>
      </c>
      <c r="C259" s="27">
        <v>56.08</v>
      </c>
      <c r="D259" s="28">
        <v>0</v>
      </c>
      <c r="F259" s="9" t="str">
        <f t="shared" si="27"/>
        <v>6230</v>
      </c>
      <c r="G259" s="9">
        <f t="shared" si="28"/>
        <v>56.08</v>
      </c>
      <c r="H259" s="9">
        <f t="shared" si="29"/>
        <v>0</v>
      </c>
      <c r="I259" s="15">
        <f t="array" ref="I259">+SUM(IFERROR(VALUE(G259:H259),0))</f>
        <v>56.08</v>
      </c>
      <c r="K259" s="9" t="str">
        <f t="shared" si="30"/>
        <v>623</v>
      </c>
      <c r="L259" s="9">
        <f t="shared" si="31"/>
        <v>56.08</v>
      </c>
      <c r="M259" s="9">
        <f t="shared" si="32"/>
        <v>0</v>
      </c>
      <c r="N259" s="15">
        <f t="array" ref="N259">+SUM(IFERROR(VALUE(L259:M259),0))</f>
        <v>56.08</v>
      </c>
      <c r="P259" s="9" t="str">
        <f t="shared" si="33"/>
        <v>62</v>
      </c>
      <c r="Q259" s="9">
        <f t="shared" si="34"/>
        <v>56.08</v>
      </c>
      <c r="R259" s="9">
        <f t="shared" si="35"/>
        <v>0</v>
      </c>
      <c r="S259" s="9">
        <f t="array" ref="S259">+SUM(IFERROR(VALUE(Q259:R259),0))</f>
        <v>56.08</v>
      </c>
    </row>
    <row r="260" spans="1:19" ht="14.4">
      <c r="A260" t="s">
        <v>2563</v>
      </c>
      <c r="B260" t="s">
        <v>2564</v>
      </c>
      <c r="C260" s="27">
        <v>11523.35</v>
      </c>
      <c r="D260" s="28">
        <v>0</v>
      </c>
      <c r="F260" s="9" t="str">
        <f t="shared" si="27"/>
        <v>6230</v>
      </c>
      <c r="G260" s="9">
        <f t="shared" si="28"/>
        <v>11523.35</v>
      </c>
      <c r="H260" s="9">
        <f t="shared" si="29"/>
        <v>0</v>
      </c>
      <c r="I260" s="15">
        <f t="array" ref="I260">+SUM(IFERROR(VALUE(G260:H260),0))</f>
        <v>11523.35</v>
      </c>
      <c r="K260" s="9" t="str">
        <f t="shared" si="30"/>
        <v>623</v>
      </c>
      <c r="L260" s="9">
        <f t="shared" si="31"/>
        <v>11523.35</v>
      </c>
      <c r="M260" s="9">
        <f t="shared" si="32"/>
        <v>0</v>
      </c>
      <c r="N260" s="15">
        <f t="array" ref="N260">+SUM(IFERROR(VALUE(L260:M260),0))</f>
        <v>11523.35</v>
      </c>
      <c r="P260" s="9" t="str">
        <f t="shared" si="33"/>
        <v>62</v>
      </c>
      <c r="Q260" s="9">
        <f t="shared" si="34"/>
        <v>11523.35</v>
      </c>
      <c r="R260" s="9">
        <f t="shared" si="35"/>
        <v>0</v>
      </c>
      <c r="S260" s="9">
        <f t="array" ref="S260">+SUM(IFERROR(VALUE(Q260:R260),0))</f>
        <v>11523.35</v>
      </c>
    </row>
    <row r="261" spans="1:19" ht="14.4">
      <c r="A261" t="s">
        <v>2565</v>
      </c>
      <c r="B261" t="s">
        <v>2566</v>
      </c>
      <c r="C261" s="27">
        <v>500</v>
      </c>
      <c r="D261" s="28">
        <v>0</v>
      </c>
      <c r="F261" s="9" t="str">
        <f t="shared" si="27"/>
        <v>6230</v>
      </c>
      <c r="G261" s="9">
        <f t="shared" si="28"/>
        <v>500</v>
      </c>
      <c r="H261" s="9">
        <f t="shared" si="29"/>
        <v>0</v>
      </c>
      <c r="I261" s="15">
        <f t="array" ref="I261">+SUM(IFERROR(VALUE(G261:H261),0))</f>
        <v>500</v>
      </c>
      <c r="K261" s="9" t="str">
        <f t="shared" si="30"/>
        <v>623</v>
      </c>
      <c r="L261" s="9">
        <f t="shared" si="31"/>
        <v>500</v>
      </c>
      <c r="M261" s="9">
        <f t="shared" si="32"/>
        <v>0</v>
      </c>
      <c r="N261" s="15">
        <f t="array" ref="N261">+SUM(IFERROR(VALUE(L261:M261),0))</f>
        <v>500</v>
      </c>
      <c r="P261" s="9" t="str">
        <f t="shared" si="33"/>
        <v>62</v>
      </c>
      <c r="Q261" s="9">
        <f t="shared" si="34"/>
        <v>500</v>
      </c>
      <c r="R261" s="9">
        <f t="shared" si="35"/>
        <v>0</v>
      </c>
      <c r="S261" s="9">
        <f t="array" ref="S261">+SUM(IFERROR(VALUE(Q261:R261),0))</f>
        <v>500</v>
      </c>
    </row>
    <row r="262" spans="1:19" ht="14.4">
      <c r="A262" t="s">
        <v>2567</v>
      </c>
      <c r="B262" t="s">
        <v>2568</v>
      </c>
      <c r="C262" s="27">
        <v>15000</v>
      </c>
      <c r="D262" s="28">
        <v>0</v>
      </c>
      <c r="F262" s="9" t="str">
        <f t="shared" ref="F262:F325" si="36">+LEFT(A262,4)</f>
        <v>6230</v>
      </c>
      <c r="G262" s="9">
        <f t="shared" ref="G262:G325" si="37">+C262</f>
        <v>15000</v>
      </c>
      <c r="H262" s="9">
        <f t="shared" ref="H262:H325" si="38">-D262</f>
        <v>0</v>
      </c>
      <c r="I262" s="15">
        <f t="array" ref="I262">+SUM(IFERROR(VALUE(G262:H262),0))</f>
        <v>15000</v>
      </c>
      <c r="K262" s="9" t="str">
        <f t="shared" ref="K262:K325" si="39">+LEFT(A262,3)</f>
        <v>623</v>
      </c>
      <c r="L262" s="9">
        <f t="shared" ref="L262:L325" si="40">+C262</f>
        <v>15000</v>
      </c>
      <c r="M262" s="9">
        <f t="shared" ref="M262:M325" si="41">-D262</f>
        <v>0</v>
      </c>
      <c r="N262" s="15">
        <f t="array" ref="N262">+SUM(IFERROR(VALUE(L262:M262),0))</f>
        <v>15000</v>
      </c>
      <c r="P262" s="9" t="str">
        <f t="shared" ref="P262:P325" si="42">+LEFT(A262,2)</f>
        <v>62</v>
      </c>
      <c r="Q262" s="9">
        <f t="shared" ref="Q262:Q325" si="43">+C262</f>
        <v>15000</v>
      </c>
      <c r="R262" s="9">
        <f t="shared" ref="R262:R325" si="44">-D262</f>
        <v>0</v>
      </c>
      <c r="S262" s="9">
        <f t="array" ref="S262">+SUM(IFERROR(VALUE(Q262:R262),0))</f>
        <v>15000</v>
      </c>
    </row>
    <row r="263" spans="1:19" ht="14.4">
      <c r="A263" t="s">
        <v>2569</v>
      </c>
      <c r="B263" t="s">
        <v>2570</v>
      </c>
      <c r="C263" s="27">
        <v>23288</v>
      </c>
      <c r="D263" s="28">
        <v>0</v>
      </c>
      <c r="F263" s="9" t="str">
        <f t="shared" si="36"/>
        <v>6230</v>
      </c>
      <c r="G263" s="9">
        <f t="shared" si="37"/>
        <v>23288</v>
      </c>
      <c r="H263" s="9">
        <f t="shared" si="38"/>
        <v>0</v>
      </c>
      <c r="I263" s="15">
        <f t="array" ref="I263">+SUM(IFERROR(VALUE(G263:H263),0))</f>
        <v>23288</v>
      </c>
      <c r="K263" s="9" t="str">
        <f t="shared" si="39"/>
        <v>623</v>
      </c>
      <c r="L263" s="9">
        <f t="shared" si="40"/>
        <v>23288</v>
      </c>
      <c r="M263" s="9">
        <f t="shared" si="41"/>
        <v>0</v>
      </c>
      <c r="N263" s="15">
        <f t="array" ref="N263">+SUM(IFERROR(VALUE(L263:M263),0))</f>
        <v>23288</v>
      </c>
      <c r="P263" s="9" t="str">
        <f t="shared" si="42"/>
        <v>62</v>
      </c>
      <c r="Q263" s="9">
        <f t="shared" si="43"/>
        <v>23288</v>
      </c>
      <c r="R263" s="9">
        <f t="shared" si="44"/>
        <v>0</v>
      </c>
      <c r="S263" s="9">
        <f t="array" ref="S263">+SUM(IFERROR(VALUE(Q263:R263),0))</f>
        <v>23288</v>
      </c>
    </row>
    <row r="264" spans="1:19" ht="14.4">
      <c r="A264" t="s">
        <v>2571</v>
      </c>
      <c r="B264" t="s">
        <v>2572</v>
      </c>
      <c r="C264" s="27">
        <v>664</v>
      </c>
      <c r="D264" s="28">
        <v>0</v>
      </c>
      <c r="F264" s="9" t="str">
        <f t="shared" si="36"/>
        <v>6230</v>
      </c>
      <c r="G264" s="9">
        <f t="shared" si="37"/>
        <v>664</v>
      </c>
      <c r="H264" s="9">
        <f t="shared" si="38"/>
        <v>0</v>
      </c>
      <c r="I264" s="15">
        <f t="array" ref="I264">+SUM(IFERROR(VALUE(G264:H264),0))</f>
        <v>664</v>
      </c>
      <c r="K264" s="9" t="str">
        <f t="shared" si="39"/>
        <v>623</v>
      </c>
      <c r="L264" s="9">
        <f t="shared" si="40"/>
        <v>664</v>
      </c>
      <c r="M264" s="9">
        <f t="shared" si="41"/>
        <v>0</v>
      </c>
      <c r="N264" s="15">
        <f t="array" ref="N264">+SUM(IFERROR(VALUE(L264:M264),0))</f>
        <v>664</v>
      </c>
      <c r="P264" s="9" t="str">
        <f t="shared" si="42"/>
        <v>62</v>
      </c>
      <c r="Q264" s="9">
        <f t="shared" si="43"/>
        <v>664</v>
      </c>
      <c r="R264" s="9">
        <f t="shared" si="44"/>
        <v>0</v>
      </c>
      <c r="S264" s="9">
        <f t="array" ref="S264">+SUM(IFERROR(VALUE(Q264:R264),0))</f>
        <v>664</v>
      </c>
    </row>
    <row r="265" spans="1:19" ht="14.4">
      <c r="A265" t="s">
        <v>2573</v>
      </c>
      <c r="B265" t="s">
        <v>2574</v>
      </c>
      <c r="C265" s="27">
        <v>383.29</v>
      </c>
      <c r="D265" s="28">
        <v>0</v>
      </c>
      <c r="F265" s="9" t="str">
        <f t="shared" si="36"/>
        <v>6231</v>
      </c>
      <c r="G265" s="9">
        <f t="shared" si="37"/>
        <v>383.29</v>
      </c>
      <c r="H265" s="9">
        <f t="shared" si="38"/>
        <v>0</v>
      </c>
      <c r="I265" s="15">
        <f t="array" ref="I265">+SUM(IFERROR(VALUE(G265:H265),0))</f>
        <v>383.29</v>
      </c>
      <c r="K265" s="9" t="str">
        <f t="shared" si="39"/>
        <v>623</v>
      </c>
      <c r="L265" s="9">
        <f t="shared" si="40"/>
        <v>383.29</v>
      </c>
      <c r="M265" s="9">
        <f t="shared" si="41"/>
        <v>0</v>
      </c>
      <c r="N265" s="15">
        <f t="array" ref="N265">+SUM(IFERROR(VALUE(L265:M265),0))</f>
        <v>383.29</v>
      </c>
      <c r="P265" s="9" t="str">
        <f t="shared" si="42"/>
        <v>62</v>
      </c>
      <c r="Q265" s="9">
        <f t="shared" si="43"/>
        <v>383.29</v>
      </c>
      <c r="R265" s="9">
        <f t="shared" si="44"/>
        <v>0</v>
      </c>
      <c r="S265" s="9">
        <f t="array" ref="S265">+SUM(IFERROR(VALUE(Q265:R265),0))</f>
        <v>383.29</v>
      </c>
    </row>
    <row r="266" spans="1:19" ht="14.4">
      <c r="A266" t="s">
        <v>2575</v>
      </c>
      <c r="B266" t="s">
        <v>2576</v>
      </c>
      <c r="C266" s="27">
        <v>139.28</v>
      </c>
      <c r="D266" s="28">
        <v>0</v>
      </c>
      <c r="F266" s="9" t="str">
        <f t="shared" si="36"/>
        <v>6231</v>
      </c>
      <c r="G266" s="9">
        <f t="shared" si="37"/>
        <v>139.28</v>
      </c>
      <c r="H266" s="9">
        <f t="shared" si="38"/>
        <v>0</v>
      </c>
      <c r="I266" s="15">
        <f t="array" ref="I266">+SUM(IFERROR(VALUE(G266:H266),0))</f>
        <v>139.28</v>
      </c>
      <c r="K266" s="9" t="str">
        <f t="shared" si="39"/>
        <v>623</v>
      </c>
      <c r="L266" s="9">
        <f t="shared" si="40"/>
        <v>139.28</v>
      </c>
      <c r="M266" s="9">
        <f t="shared" si="41"/>
        <v>0</v>
      </c>
      <c r="N266" s="15">
        <f t="array" ref="N266">+SUM(IFERROR(VALUE(L266:M266),0))</f>
        <v>139.28</v>
      </c>
      <c r="P266" s="9" t="str">
        <f t="shared" si="42"/>
        <v>62</v>
      </c>
      <c r="Q266" s="9">
        <f t="shared" si="43"/>
        <v>139.28</v>
      </c>
      <c r="R266" s="9">
        <f t="shared" si="44"/>
        <v>0</v>
      </c>
      <c r="S266" s="9">
        <f t="array" ref="S266">+SUM(IFERROR(VALUE(Q266:R266),0))</f>
        <v>139.28</v>
      </c>
    </row>
    <row r="267" spans="1:19" ht="14.4">
      <c r="A267" t="s">
        <v>2577</v>
      </c>
      <c r="B267" t="s">
        <v>2578</v>
      </c>
      <c r="C267" s="27">
        <v>5220</v>
      </c>
      <c r="D267" s="28">
        <v>0</v>
      </c>
      <c r="F267" s="9" t="str">
        <f t="shared" si="36"/>
        <v>6231</v>
      </c>
      <c r="G267" s="9">
        <f t="shared" si="37"/>
        <v>5220</v>
      </c>
      <c r="H267" s="9">
        <f t="shared" si="38"/>
        <v>0</v>
      </c>
      <c r="I267" s="15">
        <f t="array" ref="I267">+SUM(IFERROR(VALUE(G267:H267),0))</f>
        <v>5220</v>
      </c>
      <c r="K267" s="9" t="str">
        <f t="shared" si="39"/>
        <v>623</v>
      </c>
      <c r="L267" s="9">
        <f t="shared" si="40"/>
        <v>5220</v>
      </c>
      <c r="M267" s="9">
        <f t="shared" si="41"/>
        <v>0</v>
      </c>
      <c r="N267" s="15">
        <f t="array" ref="N267">+SUM(IFERROR(VALUE(L267:M267),0))</f>
        <v>5220</v>
      </c>
      <c r="P267" s="9" t="str">
        <f t="shared" si="42"/>
        <v>62</v>
      </c>
      <c r="Q267" s="9">
        <f t="shared" si="43"/>
        <v>5220</v>
      </c>
      <c r="R267" s="9">
        <f t="shared" si="44"/>
        <v>0</v>
      </c>
      <c r="S267" s="9">
        <f t="array" ref="S267">+SUM(IFERROR(VALUE(Q267:R267),0))</f>
        <v>5220</v>
      </c>
    </row>
    <row r="268" spans="1:19" ht="14.4">
      <c r="A268" t="s">
        <v>2579</v>
      </c>
      <c r="B268" t="s">
        <v>2580</v>
      </c>
      <c r="C268" s="27">
        <v>4954.25</v>
      </c>
      <c r="D268" s="28">
        <v>0</v>
      </c>
      <c r="F268" s="9" t="str">
        <f t="shared" si="36"/>
        <v>6231</v>
      </c>
      <c r="G268" s="9">
        <f t="shared" si="37"/>
        <v>4954.25</v>
      </c>
      <c r="H268" s="9">
        <f t="shared" si="38"/>
        <v>0</v>
      </c>
      <c r="I268" s="15">
        <f t="array" ref="I268">+SUM(IFERROR(VALUE(G268:H268),0))</f>
        <v>4954.25</v>
      </c>
      <c r="K268" s="9" t="str">
        <f t="shared" si="39"/>
        <v>623</v>
      </c>
      <c r="L268" s="9">
        <f t="shared" si="40"/>
        <v>4954.25</v>
      </c>
      <c r="M268" s="9">
        <f t="shared" si="41"/>
        <v>0</v>
      </c>
      <c r="N268" s="15">
        <f t="array" ref="N268">+SUM(IFERROR(VALUE(L268:M268),0))</f>
        <v>4954.25</v>
      </c>
      <c r="P268" s="9" t="str">
        <f t="shared" si="42"/>
        <v>62</v>
      </c>
      <c r="Q268" s="9">
        <f t="shared" si="43"/>
        <v>4954.25</v>
      </c>
      <c r="R268" s="9">
        <f t="shared" si="44"/>
        <v>0</v>
      </c>
      <c r="S268" s="9">
        <f t="array" ref="S268">+SUM(IFERROR(VALUE(Q268:R268),0))</f>
        <v>4954.25</v>
      </c>
    </row>
    <row r="269" spans="1:19" ht="14.4">
      <c r="A269" t="s">
        <v>2581</v>
      </c>
      <c r="B269" t="s">
        <v>2582</v>
      </c>
      <c r="C269" s="27">
        <v>26155.1</v>
      </c>
      <c r="D269" s="28">
        <v>0</v>
      </c>
      <c r="F269" s="9" t="str">
        <f t="shared" si="36"/>
        <v>6231</v>
      </c>
      <c r="G269" s="9">
        <f t="shared" si="37"/>
        <v>26155.1</v>
      </c>
      <c r="H269" s="9">
        <f t="shared" si="38"/>
        <v>0</v>
      </c>
      <c r="I269" s="15">
        <f t="array" ref="I269">+SUM(IFERROR(VALUE(G269:H269),0))</f>
        <v>26155.1</v>
      </c>
      <c r="K269" s="9" t="str">
        <f t="shared" si="39"/>
        <v>623</v>
      </c>
      <c r="L269" s="9">
        <f t="shared" si="40"/>
        <v>26155.1</v>
      </c>
      <c r="M269" s="9">
        <f t="shared" si="41"/>
        <v>0</v>
      </c>
      <c r="N269" s="15">
        <f t="array" ref="N269">+SUM(IFERROR(VALUE(L269:M269),0))</f>
        <v>26155.1</v>
      </c>
      <c r="P269" s="9" t="str">
        <f t="shared" si="42"/>
        <v>62</v>
      </c>
      <c r="Q269" s="9">
        <f t="shared" si="43"/>
        <v>26155.1</v>
      </c>
      <c r="R269" s="9">
        <f t="shared" si="44"/>
        <v>0</v>
      </c>
      <c r="S269" s="9">
        <f t="array" ref="S269">+SUM(IFERROR(VALUE(Q269:R269),0))</f>
        <v>26155.1</v>
      </c>
    </row>
    <row r="270" spans="1:19" ht="14.4">
      <c r="A270" t="s">
        <v>2583</v>
      </c>
      <c r="B270" t="s">
        <v>2584</v>
      </c>
      <c r="C270" s="27">
        <v>32607.9</v>
      </c>
      <c r="D270" s="28">
        <v>0</v>
      </c>
      <c r="F270" s="9" t="str">
        <f t="shared" si="36"/>
        <v>6232</v>
      </c>
      <c r="G270" s="9">
        <f t="shared" si="37"/>
        <v>32607.9</v>
      </c>
      <c r="H270" s="9">
        <f t="shared" si="38"/>
        <v>0</v>
      </c>
      <c r="I270" s="9">
        <f t="array" ref="I270">+SUM(IFERROR(VALUE(G270:H270),0))</f>
        <v>32607.9</v>
      </c>
      <c r="K270" s="9" t="str">
        <f t="shared" si="39"/>
        <v>623</v>
      </c>
      <c r="L270" s="9">
        <f t="shared" si="40"/>
        <v>32607.9</v>
      </c>
      <c r="M270" s="9">
        <f t="shared" si="41"/>
        <v>0</v>
      </c>
      <c r="N270" s="9">
        <f t="array" ref="N270">+SUM(IFERROR(VALUE(L270:M270),0))</f>
        <v>32607.9</v>
      </c>
      <c r="P270" s="9" t="str">
        <f t="shared" si="42"/>
        <v>62</v>
      </c>
      <c r="Q270" s="9">
        <f t="shared" si="43"/>
        <v>32607.9</v>
      </c>
      <c r="R270" s="9">
        <f t="shared" si="44"/>
        <v>0</v>
      </c>
      <c r="S270" s="9">
        <f t="array" ref="S270">+SUM(IFERROR(VALUE(Q270:R270),0))</f>
        <v>32607.9</v>
      </c>
    </row>
    <row r="271" spans="1:19" ht="14.4">
      <c r="A271" t="s">
        <v>2585</v>
      </c>
      <c r="B271" t="s">
        <v>2586</v>
      </c>
      <c r="C271" s="27">
        <v>875.67</v>
      </c>
      <c r="D271" s="28">
        <v>0</v>
      </c>
      <c r="F271" s="9" t="str">
        <f t="shared" si="36"/>
        <v>6232</v>
      </c>
      <c r="G271" s="9">
        <f t="shared" si="37"/>
        <v>875.67</v>
      </c>
      <c r="H271" s="9">
        <f t="shared" si="38"/>
        <v>0</v>
      </c>
      <c r="I271" s="17">
        <f t="array" ref="I271">+SUM(IFERROR(VALUE(G271:H271),0))</f>
        <v>875.67</v>
      </c>
      <c r="K271" s="9" t="str">
        <f t="shared" si="39"/>
        <v>623</v>
      </c>
      <c r="L271" s="9">
        <f t="shared" si="40"/>
        <v>875.67</v>
      </c>
      <c r="M271" s="9">
        <f t="shared" si="41"/>
        <v>0</v>
      </c>
      <c r="N271" s="17">
        <f t="array" ref="N271">+SUM(IFERROR(VALUE(L271:M271),0))</f>
        <v>875.67</v>
      </c>
      <c r="P271" s="9" t="str">
        <f t="shared" si="42"/>
        <v>62</v>
      </c>
      <c r="Q271" s="9">
        <f t="shared" si="43"/>
        <v>875.67</v>
      </c>
      <c r="R271" s="9">
        <f t="shared" si="44"/>
        <v>0</v>
      </c>
      <c r="S271" s="9">
        <f t="array" ref="S271">+SUM(IFERROR(VALUE(Q271:R271),0))</f>
        <v>875.67</v>
      </c>
    </row>
    <row r="272" spans="1:19" ht="14.4">
      <c r="A272" t="s">
        <v>2587</v>
      </c>
      <c r="B272" t="s">
        <v>2588</v>
      </c>
      <c r="C272" s="27">
        <v>18512</v>
      </c>
      <c r="D272" s="28">
        <v>0</v>
      </c>
      <c r="F272" s="9" t="str">
        <f t="shared" si="36"/>
        <v>6232</v>
      </c>
      <c r="G272" s="9">
        <f t="shared" si="37"/>
        <v>18512</v>
      </c>
      <c r="H272" s="9">
        <f t="shared" si="38"/>
        <v>0</v>
      </c>
      <c r="I272" s="15">
        <f t="array" ref="I272">+SUM(IFERROR(VALUE(G272:H272),0))</f>
        <v>18512</v>
      </c>
      <c r="K272" s="9" t="str">
        <f t="shared" si="39"/>
        <v>623</v>
      </c>
      <c r="L272" s="9">
        <f t="shared" si="40"/>
        <v>18512</v>
      </c>
      <c r="M272" s="9">
        <f t="shared" si="41"/>
        <v>0</v>
      </c>
      <c r="N272" s="15">
        <f t="array" ref="N272">+SUM(IFERROR(VALUE(L272:M272),0))</f>
        <v>18512</v>
      </c>
      <c r="P272" s="9" t="str">
        <f t="shared" si="42"/>
        <v>62</v>
      </c>
      <c r="Q272" s="9">
        <f t="shared" si="43"/>
        <v>18512</v>
      </c>
      <c r="R272" s="9">
        <f t="shared" si="44"/>
        <v>0</v>
      </c>
      <c r="S272" s="9">
        <f t="array" ref="S272">+SUM(IFERROR(VALUE(Q272:R272),0))</f>
        <v>18512</v>
      </c>
    </row>
    <row r="273" spans="1:19" ht="14.4">
      <c r="A273" t="s">
        <v>2589</v>
      </c>
      <c r="B273" t="s">
        <v>2590</v>
      </c>
      <c r="C273" s="27">
        <v>347570.39</v>
      </c>
      <c r="D273" s="28">
        <v>0</v>
      </c>
      <c r="F273" s="9" t="str">
        <f t="shared" si="36"/>
        <v>6232</v>
      </c>
      <c r="G273" s="9">
        <f t="shared" si="37"/>
        <v>347570.39</v>
      </c>
      <c r="H273" s="9">
        <f t="shared" si="38"/>
        <v>0</v>
      </c>
      <c r="I273" s="17">
        <f t="array" ref="I273">+SUM(IFERROR(VALUE(G273:H273),0))</f>
        <v>347570.39</v>
      </c>
      <c r="K273" s="9" t="str">
        <f t="shared" si="39"/>
        <v>623</v>
      </c>
      <c r="L273" s="9">
        <f t="shared" si="40"/>
        <v>347570.39</v>
      </c>
      <c r="M273" s="9">
        <f t="shared" si="41"/>
        <v>0</v>
      </c>
      <c r="N273" s="17">
        <f t="array" ref="N273">+SUM(IFERROR(VALUE(L273:M273),0))</f>
        <v>347570.39</v>
      </c>
      <c r="P273" s="9" t="str">
        <f t="shared" si="42"/>
        <v>62</v>
      </c>
      <c r="Q273" s="9">
        <f t="shared" si="43"/>
        <v>347570.39</v>
      </c>
      <c r="R273" s="9">
        <f t="shared" si="44"/>
        <v>0</v>
      </c>
      <c r="S273" s="9">
        <f t="array" ref="S273">+SUM(IFERROR(VALUE(Q273:R273),0))</f>
        <v>347570.39</v>
      </c>
    </row>
    <row r="274" spans="1:19" ht="14.4">
      <c r="A274" t="s">
        <v>2591</v>
      </c>
      <c r="B274" t="s">
        <v>2592</v>
      </c>
      <c r="C274" s="27">
        <v>388667.7</v>
      </c>
      <c r="D274" s="28">
        <v>0</v>
      </c>
      <c r="F274" s="9" t="str">
        <f t="shared" si="36"/>
        <v>6233</v>
      </c>
      <c r="G274" s="9">
        <f t="shared" si="37"/>
        <v>388667.7</v>
      </c>
      <c r="H274" s="9">
        <f t="shared" si="38"/>
        <v>0</v>
      </c>
      <c r="I274" s="15">
        <f t="array" ref="I274">+SUM(IFERROR(VALUE(G274:H274),0))</f>
        <v>388667.7</v>
      </c>
      <c r="K274" s="9" t="str">
        <f t="shared" si="39"/>
        <v>623</v>
      </c>
      <c r="L274" s="9">
        <f t="shared" si="40"/>
        <v>388667.7</v>
      </c>
      <c r="M274" s="9">
        <f t="shared" si="41"/>
        <v>0</v>
      </c>
      <c r="N274" s="15">
        <f t="array" ref="N274">+SUM(IFERROR(VALUE(L274:M274),0))</f>
        <v>388667.7</v>
      </c>
      <c r="P274" s="9" t="str">
        <f t="shared" si="42"/>
        <v>62</v>
      </c>
      <c r="Q274" s="9">
        <f t="shared" si="43"/>
        <v>388667.7</v>
      </c>
      <c r="R274" s="9">
        <f t="shared" si="44"/>
        <v>0</v>
      </c>
      <c r="S274" s="9">
        <f t="array" ref="S274">+SUM(IFERROR(VALUE(Q274:R274),0))</f>
        <v>388667.7</v>
      </c>
    </row>
    <row r="275" spans="1:19" ht="14.4">
      <c r="A275" t="s">
        <v>2593</v>
      </c>
      <c r="B275" t="s">
        <v>2594</v>
      </c>
      <c r="C275" s="27">
        <v>108832</v>
      </c>
      <c r="D275" s="28">
        <v>0</v>
      </c>
      <c r="F275" s="9" t="str">
        <f t="shared" si="36"/>
        <v>6233</v>
      </c>
      <c r="G275" s="9">
        <f t="shared" si="37"/>
        <v>108832</v>
      </c>
      <c r="H275" s="9">
        <f t="shared" si="38"/>
        <v>0</v>
      </c>
      <c r="I275" s="15">
        <f t="array" ref="I275">+SUM(IFERROR(VALUE(G275:H275),0))</f>
        <v>108832</v>
      </c>
      <c r="K275" s="9" t="str">
        <f t="shared" si="39"/>
        <v>623</v>
      </c>
      <c r="L275" s="9">
        <f t="shared" si="40"/>
        <v>108832</v>
      </c>
      <c r="M275" s="9">
        <f t="shared" si="41"/>
        <v>0</v>
      </c>
      <c r="N275" s="15">
        <f t="array" ref="N275">+SUM(IFERROR(VALUE(L275:M275),0))</f>
        <v>108832</v>
      </c>
      <c r="P275" s="9" t="str">
        <f t="shared" si="42"/>
        <v>62</v>
      </c>
      <c r="Q275" s="9">
        <f t="shared" si="43"/>
        <v>108832</v>
      </c>
      <c r="R275" s="9">
        <f t="shared" si="44"/>
        <v>0</v>
      </c>
      <c r="S275" s="9">
        <f t="array" ref="S275">+SUM(IFERROR(VALUE(Q275:R275),0))</f>
        <v>108832</v>
      </c>
    </row>
    <row r="276" spans="1:19" ht="14.4">
      <c r="A276" t="s">
        <v>2595</v>
      </c>
      <c r="B276" t="s">
        <v>2596</v>
      </c>
      <c r="C276" s="27">
        <v>41099.410000000003</v>
      </c>
      <c r="D276" s="28">
        <v>0</v>
      </c>
      <c r="F276" s="9" t="str">
        <f t="shared" si="36"/>
        <v>6234</v>
      </c>
      <c r="G276" s="9">
        <f t="shared" si="37"/>
        <v>41099.410000000003</v>
      </c>
      <c r="H276" s="9">
        <f t="shared" si="38"/>
        <v>0</v>
      </c>
      <c r="I276" s="15">
        <f t="array" ref="I276">+SUM(IFERROR(VALUE(G276:H276),0))</f>
        <v>41099.410000000003</v>
      </c>
      <c r="K276" s="9" t="str">
        <f t="shared" si="39"/>
        <v>623</v>
      </c>
      <c r="L276" s="9">
        <f t="shared" si="40"/>
        <v>41099.410000000003</v>
      </c>
      <c r="M276" s="9">
        <f t="shared" si="41"/>
        <v>0</v>
      </c>
      <c r="N276" s="15">
        <f t="array" ref="N276">+SUM(IFERROR(VALUE(L276:M276),0))</f>
        <v>41099.410000000003</v>
      </c>
      <c r="P276" s="9" t="str">
        <f t="shared" si="42"/>
        <v>62</v>
      </c>
      <c r="Q276" s="9">
        <f t="shared" si="43"/>
        <v>41099.410000000003</v>
      </c>
      <c r="R276" s="9">
        <f t="shared" si="44"/>
        <v>0</v>
      </c>
      <c r="S276" s="9">
        <f t="array" ref="S276">+SUM(IFERROR(VALUE(Q276:R276),0))</f>
        <v>41099.410000000003</v>
      </c>
    </row>
    <row r="277" spans="1:19" ht="14.4">
      <c r="A277" t="s">
        <v>2597</v>
      </c>
      <c r="B277" t="s">
        <v>2598</v>
      </c>
      <c r="C277" s="27">
        <v>211220.1</v>
      </c>
      <c r="D277" s="28">
        <v>0</v>
      </c>
      <c r="F277" s="9" t="str">
        <f t="shared" si="36"/>
        <v>6234</v>
      </c>
      <c r="G277" s="9">
        <f t="shared" si="37"/>
        <v>211220.1</v>
      </c>
      <c r="H277" s="9">
        <f t="shared" si="38"/>
        <v>0</v>
      </c>
      <c r="I277" s="15">
        <f t="array" ref="I277">+SUM(IFERROR(VALUE(G277:H277),0))</f>
        <v>211220.1</v>
      </c>
      <c r="K277" s="9" t="str">
        <f t="shared" si="39"/>
        <v>623</v>
      </c>
      <c r="L277" s="9">
        <f t="shared" si="40"/>
        <v>211220.1</v>
      </c>
      <c r="M277" s="9">
        <f t="shared" si="41"/>
        <v>0</v>
      </c>
      <c r="N277" s="15">
        <f t="array" ref="N277">+SUM(IFERROR(VALUE(L277:M277),0))</f>
        <v>211220.1</v>
      </c>
      <c r="P277" s="9" t="str">
        <f t="shared" si="42"/>
        <v>62</v>
      </c>
      <c r="Q277" s="9">
        <f t="shared" si="43"/>
        <v>211220.1</v>
      </c>
      <c r="R277" s="9">
        <f t="shared" si="44"/>
        <v>0</v>
      </c>
      <c r="S277" s="9">
        <f t="array" ref="S277">+SUM(IFERROR(VALUE(Q277:R277),0))</f>
        <v>211220.1</v>
      </c>
    </row>
    <row r="278" spans="1:19" ht="14.4">
      <c r="A278" t="s">
        <v>2599</v>
      </c>
      <c r="B278" t="s">
        <v>2600</v>
      </c>
      <c r="C278" s="27">
        <v>5474.59</v>
      </c>
      <c r="D278" s="28">
        <v>0</v>
      </c>
      <c r="F278" s="9" t="str">
        <f t="shared" si="36"/>
        <v>6235</v>
      </c>
      <c r="G278" s="9">
        <f t="shared" si="37"/>
        <v>5474.59</v>
      </c>
      <c r="H278" s="9">
        <f t="shared" si="38"/>
        <v>0</v>
      </c>
      <c r="I278" s="15">
        <f t="array" ref="I278">+SUM(IFERROR(VALUE(G278:H278),0))</f>
        <v>5474.59</v>
      </c>
      <c r="K278" s="9" t="str">
        <f t="shared" si="39"/>
        <v>623</v>
      </c>
      <c r="L278" s="9">
        <f t="shared" si="40"/>
        <v>5474.59</v>
      </c>
      <c r="M278" s="9">
        <f t="shared" si="41"/>
        <v>0</v>
      </c>
      <c r="N278" s="15">
        <f t="array" ref="N278">+SUM(IFERROR(VALUE(L278:M278),0))</f>
        <v>5474.59</v>
      </c>
      <c r="P278" s="9" t="str">
        <f t="shared" si="42"/>
        <v>62</v>
      </c>
      <c r="Q278" s="9">
        <f t="shared" si="43"/>
        <v>5474.59</v>
      </c>
      <c r="R278" s="9">
        <f t="shared" si="44"/>
        <v>0</v>
      </c>
      <c r="S278" s="9">
        <f t="array" ref="S278">+SUM(IFERROR(VALUE(Q278:R278),0))</f>
        <v>5474.59</v>
      </c>
    </row>
    <row r="279" spans="1:19" ht="14.4">
      <c r="A279" t="s">
        <v>2601</v>
      </c>
      <c r="B279" t="s">
        <v>2602</v>
      </c>
      <c r="C279" s="27">
        <v>769.84</v>
      </c>
      <c r="D279" s="28">
        <v>0</v>
      </c>
      <c r="F279" s="9" t="str">
        <f t="shared" si="36"/>
        <v>6235</v>
      </c>
      <c r="G279" s="9">
        <f t="shared" si="37"/>
        <v>769.84</v>
      </c>
      <c r="H279" s="9">
        <f t="shared" si="38"/>
        <v>0</v>
      </c>
      <c r="I279" s="15">
        <f t="array" ref="I279">+SUM(IFERROR(VALUE(G279:H279),0))</f>
        <v>769.84</v>
      </c>
      <c r="K279" s="9" t="str">
        <f t="shared" si="39"/>
        <v>623</v>
      </c>
      <c r="L279" s="9">
        <f t="shared" si="40"/>
        <v>769.84</v>
      </c>
      <c r="M279" s="9">
        <f t="shared" si="41"/>
        <v>0</v>
      </c>
      <c r="N279" s="15">
        <f t="array" ref="N279">+SUM(IFERROR(VALUE(L279:M279),0))</f>
        <v>769.84</v>
      </c>
      <c r="P279" s="9" t="str">
        <f t="shared" si="42"/>
        <v>62</v>
      </c>
      <c r="Q279" s="9">
        <f t="shared" si="43"/>
        <v>769.84</v>
      </c>
      <c r="R279" s="9">
        <f t="shared" si="44"/>
        <v>0</v>
      </c>
      <c r="S279" s="9">
        <f t="array" ref="S279">+SUM(IFERROR(VALUE(Q279:R279),0))</f>
        <v>769.84</v>
      </c>
    </row>
    <row r="280" spans="1:19" ht="14.4">
      <c r="A280" t="s">
        <v>2603</v>
      </c>
      <c r="B280" t="s">
        <v>2604</v>
      </c>
      <c r="C280" s="27">
        <v>3100</v>
      </c>
      <c r="D280" s="28">
        <v>0</v>
      </c>
      <c r="F280" s="9" t="str">
        <f t="shared" si="36"/>
        <v>6236</v>
      </c>
      <c r="G280" s="9">
        <f t="shared" si="37"/>
        <v>3100</v>
      </c>
      <c r="H280" s="9">
        <f t="shared" si="38"/>
        <v>0</v>
      </c>
      <c r="I280" s="9">
        <f t="array" ref="I280">+SUM(IFERROR(VALUE(G280:H280),0))</f>
        <v>3100</v>
      </c>
      <c r="K280" s="9" t="str">
        <f t="shared" si="39"/>
        <v>623</v>
      </c>
      <c r="L280" s="9">
        <f t="shared" si="40"/>
        <v>3100</v>
      </c>
      <c r="M280" s="9">
        <f t="shared" si="41"/>
        <v>0</v>
      </c>
      <c r="N280" s="9">
        <f t="array" ref="N280">+SUM(IFERROR(VALUE(L280:M280),0))</f>
        <v>3100</v>
      </c>
      <c r="P280" s="9" t="str">
        <f t="shared" si="42"/>
        <v>62</v>
      </c>
      <c r="Q280" s="9">
        <f t="shared" si="43"/>
        <v>3100</v>
      </c>
      <c r="R280" s="9">
        <f t="shared" si="44"/>
        <v>0</v>
      </c>
      <c r="S280" s="9">
        <f t="array" ref="S280">+SUM(IFERROR(VALUE(Q280:R280),0))</f>
        <v>3100</v>
      </c>
    </row>
    <row r="281" spans="1:19" ht="14.4">
      <c r="A281" t="s">
        <v>2605</v>
      </c>
      <c r="B281" t="s">
        <v>2606</v>
      </c>
      <c r="C281" s="27">
        <v>949719.31</v>
      </c>
      <c r="D281" s="28">
        <v>0</v>
      </c>
      <c r="F281" s="9" t="str">
        <f t="shared" si="36"/>
        <v>6240</v>
      </c>
      <c r="G281" s="9">
        <f t="shared" si="37"/>
        <v>949719.31</v>
      </c>
      <c r="H281" s="9">
        <f t="shared" si="38"/>
        <v>0</v>
      </c>
      <c r="I281" s="9">
        <f t="array" ref="I281">+SUM(IFERROR(VALUE(G281:H281),0))</f>
        <v>949719.31</v>
      </c>
      <c r="K281" s="9" t="str">
        <f t="shared" si="39"/>
        <v>624</v>
      </c>
      <c r="L281" s="9">
        <f t="shared" si="40"/>
        <v>949719.31</v>
      </c>
      <c r="M281" s="9">
        <f t="shared" si="41"/>
        <v>0</v>
      </c>
      <c r="N281" s="9">
        <f t="array" ref="N281">+SUM(IFERROR(VALUE(L281:M281),0))</f>
        <v>949719.31</v>
      </c>
      <c r="P281" s="9" t="str">
        <f t="shared" si="42"/>
        <v>62</v>
      </c>
      <c r="Q281" s="9">
        <f t="shared" si="43"/>
        <v>949719.31</v>
      </c>
      <c r="R281" s="9">
        <f t="shared" si="44"/>
        <v>0</v>
      </c>
      <c r="S281" s="9">
        <f t="array" ref="S281">+SUM(IFERROR(VALUE(Q281:R281),0))</f>
        <v>949719.31</v>
      </c>
    </row>
    <row r="282" spans="1:19" ht="14.4">
      <c r="A282" t="s">
        <v>2607</v>
      </c>
      <c r="B282" t="s">
        <v>2608</v>
      </c>
      <c r="C282" s="27">
        <v>14493.77</v>
      </c>
      <c r="D282" s="28">
        <v>0</v>
      </c>
      <c r="F282" s="9" t="str">
        <f t="shared" si="36"/>
        <v>6240</v>
      </c>
      <c r="G282" s="9">
        <f t="shared" si="37"/>
        <v>14493.77</v>
      </c>
      <c r="H282" s="9">
        <f t="shared" si="38"/>
        <v>0</v>
      </c>
      <c r="I282" s="9">
        <f t="array" ref="I282">+SUM(IFERROR(VALUE(G282:H282),0))</f>
        <v>14493.77</v>
      </c>
      <c r="K282" s="9" t="str">
        <f t="shared" si="39"/>
        <v>624</v>
      </c>
      <c r="L282" s="9">
        <f t="shared" si="40"/>
        <v>14493.77</v>
      </c>
      <c r="M282" s="9">
        <f t="shared" si="41"/>
        <v>0</v>
      </c>
      <c r="N282" s="9">
        <f t="array" ref="N282">+SUM(IFERROR(VALUE(L282:M282),0))</f>
        <v>14493.77</v>
      </c>
      <c r="P282" s="9" t="str">
        <f t="shared" si="42"/>
        <v>62</v>
      </c>
      <c r="Q282" s="9">
        <f t="shared" si="43"/>
        <v>14493.77</v>
      </c>
      <c r="R282" s="9">
        <f t="shared" si="44"/>
        <v>0</v>
      </c>
      <c r="S282" s="9">
        <f t="array" ref="S282">+SUM(IFERROR(VALUE(Q282:R282),0))</f>
        <v>14493.77</v>
      </c>
    </row>
    <row r="283" spans="1:19" ht="14.4">
      <c r="A283" t="s">
        <v>2609</v>
      </c>
      <c r="B283" t="s">
        <v>2610</v>
      </c>
      <c r="C283" s="27">
        <v>5173</v>
      </c>
      <c r="D283" s="28">
        <v>0</v>
      </c>
      <c r="F283" s="9" t="str">
        <f t="shared" si="36"/>
        <v>6249</v>
      </c>
      <c r="G283" s="9">
        <f t="shared" si="37"/>
        <v>5173</v>
      </c>
      <c r="H283" s="9">
        <f t="shared" si="38"/>
        <v>0</v>
      </c>
      <c r="I283" s="9">
        <f t="array" ref="I283">+SUM(IFERROR(VALUE(G283:H283),0))</f>
        <v>5173</v>
      </c>
      <c r="K283" s="9" t="str">
        <f t="shared" si="39"/>
        <v>624</v>
      </c>
      <c r="L283" s="9">
        <f t="shared" si="40"/>
        <v>5173</v>
      </c>
      <c r="M283" s="9">
        <f t="shared" si="41"/>
        <v>0</v>
      </c>
      <c r="N283" s="9">
        <f t="array" ref="N283">+SUM(IFERROR(VALUE(L283:M283),0))</f>
        <v>5173</v>
      </c>
      <c r="P283" s="9" t="str">
        <f t="shared" si="42"/>
        <v>62</v>
      </c>
      <c r="Q283" s="9">
        <f t="shared" si="43"/>
        <v>5173</v>
      </c>
      <c r="R283" s="9">
        <f t="shared" si="44"/>
        <v>0</v>
      </c>
      <c r="S283" s="9">
        <f t="array" ref="S283">+SUM(IFERROR(VALUE(Q283:R283),0))</f>
        <v>5173</v>
      </c>
    </row>
    <row r="284" spans="1:19" ht="14.4">
      <c r="A284" t="s">
        <v>2611</v>
      </c>
      <c r="B284" t="s">
        <v>2612</v>
      </c>
      <c r="C284" s="27">
        <v>1464.95</v>
      </c>
      <c r="D284" s="28">
        <v>0</v>
      </c>
      <c r="F284" s="9" t="str">
        <f t="shared" si="36"/>
        <v>6250</v>
      </c>
      <c r="G284" s="9">
        <f t="shared" si="37"/>
        <v>1464.95</v>
      </c>
      <c r="H284" s="9">
        <f t="shared" si="38"/>
        <v>0</v>
      </c>
      <c r="I284" s="9">
        <f t="array" ref="I284">+SUM(IFERROR(VALUE(G284:H284),0))</f>
        <v>1464.95</v>
      </c>
      <c r="K284" s="9" t="str">
        <f t="shared" si="39"/>
        <v>625</v>
      </c>
      <c r="L284" s="9">
        <f t="shared" si="40"/>
        <v>1464.95</v>
      </c>
      <c r="M284" s="9">
        <f t="shared" si="41"/>
        <v>0</v>
      </c>
      <c r="N284" s="9">
        <f t="array" ref="N284">+SUM(IFERROR(VALUE(L284:M284),0))</f>
        <v>1464.95</v>
      </c>
      <c r="P284" s="9" t="str">
        <f t="shared" si="42"/>
        <v>62</v>
      </c>
      <c r="Q284" s="9">
        <f t="shared" si="43"/>
        <v>1464.95</v>
      </c>
      <c r="R284" s="9">
        <f t="shared" si="44"/>
        <v>0</v>
      </c>
      <c r="S284" s="9">
        <f t="array" ref="S284">+SUM(IFERROR(VALUE(Q284:R284),0))</f>
        <v>1464.95</v>
      </c>
    </row>
    <row r="285" spans="1:19" ht="14.4">
      <c r="A285" t="s">
        <v>2613</v>
      </c>
      <c r="B285" t="s">
        <v>2614</v>
      </c>
      <c r="C285" s="27">
        <v>7544.91</v>
      </c>
      <c r="D285" s="28">
        <v>0</v>
      </c>
      <c r="F285" s="9" t="str">
        <f t="shared" si="36"/>
        <v>6250</v>
      </c>
      <c r="G285" s="9">
        <f t="shared" si="37"/>
        <v>7544.91</v>
      </c>
      <c r="H285" s="9">
        <f t="shared" si="38"/>
        <v>0</v>
      </c>
      <c r="I285" s="9">
        <f t="array" ref="I285">+SUM(IFERROR(VALUE(G285:H285),0))</f>
        <v>7544.91</v>
      </c>
      <c r="K285" s="9" t="str">
        <f t="shared" si="39"/>
        <v>625</v>
      </c>
      <c r="L285" s="9">
        <f t="shared" si="40"/>
        <v>7544.91</v>
      </c>
      <c r="M285" s="9">
        <f t="shared" si="41"/>
        <v>0</v>
      </c>
      <c r="N285" s="9">
        <f t="array" ref="N285">+SUM(IFERROR(VALUE(L285:M285),0))</f>
        <v>7544.91</v>
      </c>
      <c r="P285" s="9" t="str">
        <f t="shared" si="42"/>
        <v>62</v>
      </c>
      <c r="Q285" s="9">
        <f t="shared" si="43"/>
        <v>7544.91</v>
      </c>
      <c r="R285" s="9">
        <f t="shared" si="44"/>
        <v>0</v>
      </c>
      <c r="S285" s="9">
        <f t="array" ref="S285">+SUM(IFERROR(VALUE(Q285:R285),0))</f>
        <v>7544.91</v>
      </c>
    </row>
    <row r="286" spans="1:19" ht="14.4">
      <c r="A286" t="s">
        <v>2615</v>
      </c>
      <c r="B286" t="s">
        <v>2616</v>
      </c>
      <c r="C286" s="27">
        <v>459.17</v>
      </c>
      <c r="D286" s="28">
        <v>0</v>
      </c>
      <c r="F286" s="9" t="str">
        <f t="shared" si="36"/>
        <v>6250</v>
      </c>
      <c r="G286" s="9">
        <f t="shared" si="37"/>
        <v>459.17</v>
      </c>
      <c r="H286" s="9">
        <f t="shared" si="38"/>
        <v>0</v>
      </c>
      <c r="I286" s="17">
        <f t="array" ref="I286">+SUM(IFERROR(VALUE(G286:H286),0))</f>
        <v>459.17</v>
      </c>
      <c r="K286" s="9" t="str">
        <f t="shared" si="39"/>
        <v>625</v>
      </c>
      <c r="L286" s="9">
        <f t="shared" si="40"/>
        <v>459.17</v>
      </c>
      <c r="M286" s="9">
        <f t="shared" si="41"/>
        <v>0</v>
      </c>
      <c r="N286" s="17">
        <f t="array" ref="N286">+SUM(IFERROR(VALUE(L286:M286),0))</f>
        <v>459.17</v>
      </c>
      <c r="P286" s="9" t="str">
        <f t="shared" si="42"/>
        <v>62</v>
      </c>
      <c r="Q286" s="9">
        <f t="shared" si="43"/>
        <v>459.17</v>
      </c>
      <c r="R286" s="9">
        <f t="shared" si="44"/>
        <v>0</v>
      </c>
      <c r="S286" s="9">
        <f t="array" ref="S286">+SUM(IFERROR(VALUE(Q286:R286),0))</f>
        <v>459.17</v>
      </c>
    </row>
    <row r="287" spans="1:19" ht="14.4">
      <c r="A287" t="s">
        <v>2617</v>
      </c>
      <c r="B287" t="s">
        <v>2618</v>
      </c>
      <c r="C287" s="27">
        <v>74823.83</v>
      </c>
      <c r="D287" s="28">
        <v>0</v>
      </c>
      <c r="F287" s="9" t="str">
        <f t="shared" si="36"/>
        <v>6250</v>
      </c>
      <c r="G287" s="9">
        <f t="shared" si="37"/>
        <v>74823.83</v>
      </c>
      <c r="H287" s="9">
        <f t="shared" si="38"/>
        <v>0</v>
      </c>
      <c r="I287" s="17">
        <f t="array" ref="I287">+SUM(IFERROR(VALUE(G287:H287),0))</f>
        <v>74823.83</v>
      </c>
      <c r="K287" s="9" t="str">
        <f t="shared" si="39"/>
        <v>625</v>
      </c>
      <c r="L287" s="9">
        <f t="shared" si="40"/>
        <v>74823.83</v>
      </c>
      <c r="M287" s="9">
        <f t="shared" si="41"/>
        <v>0</v>
      </c>
      <c r="N287" s="17">
        <f t="array" ref="N287">+SUM(IFERROR(VALUE(L287:M287),0))</f>
        <v>74823.83</v>
      </c>
      <c r="P287" s="9" t="str">
        <f t="shared" si="42"/>
        <v>62</v>
      </c>
      <c r="Q287" s="9">
        <f t="shared" si="43"/>
        <v>74823.83</v>
      </c>
      <c r="R287" s="9">
        <f t="shared" si="44"/>
        <v>0</v>
      </c>
      <c r="S287" s="9">
        <f t="array" ref="S287">+SUM(IFERROR(VALUE(Q287:R287),0))</f>
        <v>74823.83</v>
      </c>
    </row>
    <row r="288" spans="1:19" ht="14.4">
      <c r="A288" t="s">
        <v>2619</v>
      </c>
      <c r="B288" t="s">
        <v>2620</v>
      </c>
      <c r="C288" s="27">
        <v>720.77</v>
      </c>
      <c r="D288" s="28">
        <v>0</v>
      </c>
      <c r="F288" s="9" t="str">
        <f t="shared" si="36"/>
        <v>6250</v>
      </c>
      <c r="G288" s="9">
        <f t="shared" si="37"/>
        <v>720.77</v>
      </c>
      <c r="H288" s="9">
        <f t="shared" si="38"/>
        <v>0</v>
      </c>
      <c r="I288" s="9">
        <f t="array" ref="I288">+SUM(IFERROR(VALUE(G288:H288),0))</f>
        <v>720.77</v>
      </c>
      <c r="K288" s="9" t="str">
        <f t="shared" si="39"/>
        <v>625</v>
      </c>
      <c r="L288" s="9">
        <f t="shared" si="40"/>
        <v>720.77</v>
      </c>
      <c r="M288" s="9">
        <f t="shared" si="41"/>
        <v>0</v>
      </c>
      <c r="N288" s="9">
        <f t="array" ref="N288">+SUM(IFERROR(VALUE(L288:M288),0))</f>
        <v>720.77</v>
      </c>
      <c r="P288" s="9" t="str">
        <f t="shared" si="42"/>
        <v>62</v>
      </c>
      <c r="Q288" s="9">
        <f t="shared" si="43"/>
        <v>720.77</v>
      </c>
      <c r="R288" s="9">
        <f t="shared" si="44"/>
        <v>0</v>
      </c>
      <c r="S288" s="9">
        <f t="array" ref="S288">+SUM(IFERROR(VALUE(Q288:R288),0))</f>
        <v>720.77</v>
      </c>
    </row>
    <row r="289" spans="1:19" ht="14.4">
      <c r="A289" t="s">
        <v>2621</v>
      </c>
      <c r="B289" t="s">
        <v>2622</v>
      </c>
      <c r="C289" s="27">
        <v>18892.580000000002</v>
      </c>
      <c r="D289" s="28">
        <v>0</v>
      </c>
      <c r="F289" s="9" t="str">
        <f t="shared" si="36"/>
        <v>6250</v>
      </c>
      <c r="G289" s="9">
        <f t="shared" si="37"/>
        <v>18892.580000000002</v>
      </c>
      <c r="H289" s="9">
        <f t="shared" si="38"/>
        <v>0</v>
      </c>
      <c r="I289" s="9">
        <f t="array" ref="I289">+SUM(IFERROR(VALUE(G289:H289),0))</f>
        <v>18892.580000000002</v>
      </c>
      <c r="K289" s="9" t="str">
        <f t="shared" si="39"/>
        <v>625</v>
      </c>
      <c r="L289" s="9">
        <f t="shared" si="40"/>
        <v>18892.580000000002</v>
      </c>
      <c r="M289" s="9">
        <f t="shared" si="41"/>
        <v>0</v>
      </c>
      <c r="N289" s="9">
        <f t="array" ref="N289">+SUM(IFERROR(VALUE(L289:M289),0))</f>
        <v>18892.580000000002</v>
      </c>
      <c r="P289" s="9" t="str">
        <f t="shared" si="42"/>
        <v>62</v>
      </c>
      <c r="Q289" s="9">
        <f t="shared" si="43"/>
        <v>18892.580000000002</v>
      </c>
      <c r="R289" s="9">
        <f t="shared" si="44"/>
        <v>0</v>
      </c>
      <c r="S289" s="9">
        <f t="array" ref="S289">+SUM(IFERROR(VALUE(Q289:R289),0))</f>
        <v>18892.580000000002</v>
      </c>
    </row>
    <row r="290" spans="1:19" ht="14.4">
      <c r="A290" t="s">
        <v>2623</v>
      </c>
      <c r="B290" t="s">
        <v>2624</v>
      </c>
      <c r="C290" s="27">
        <v>4647.96</v>
      </c>
      <c r="D290" s="28">
        <v>0</v>
      </c>
      <c r="F290" s="9" t="str">
        <f t="shared" si="36"/>
        <v>6260</v>
      </c>
      <c r="G290" s="9">
        <f t="shared" si="37"/>
        <v>4647.96</v>
      </c>
      <c r="H290" s="9">
        <f t="shared" si="38"/>
        <v>0</v>
      </c>
      <c r="I290" s="9">
        <f t="array" ref="I290">+SUM(IFERROR(VALUE(G290:H290),0))</f>
        <v>4647.96</v>
      </c>
      <c r="K290" s="9" t="str">
        <f t="shared" si="39"/>
        <v>626</v>
      </c>
      <c r="L290" s="9">
        <f t="shared" si="40"/>
        <v>4647.96</v>
      </c>
      <c r="M290" s="9">
        <f t="shared" si="41"/>
        <v>0</v>
      </c>
      <c r="N290" s="9">
        <f t="array" ref="N290">+SUM(IFERROR(VALUE(L290:M290),0))</f>
        <v>4647.96</v>
      </c>
      <c r="P290" s="9" t="str">
        <f t="shared" si="42"/>
        <v>62</v>
      </c>
      <c r="Q290" s="9">
        <f t="shared" si="43"/>
        <v>4647.96</v>
      </c>
      <c r="R290" s="9">
        <f t="shared" si="44"/>
        <v>0</v>
      </c>
      <c r="S290" s="9">
        <f t="array" ref="S290">+SUM(IFERROR(VALUE(Q290:R290),0))</f>
        <v>4647.96</v>
      </c>
    </row>
    <row r="291" spans="1:19" ht="14.4">
      <c r="A291" t="s">
        <v>2625</v>
      </c>
      <c r="B291" t="s">
        <v>2626</v>
      </c>
      <c r="C291" s="27">
        <v>759</v>
      </c>
      <c r="D291" s="28">
        <v>0</v>
      </c>
      <c r="F291" s="9" t="str">
        <f t="shared" si="36"/>
        <v>6260</v>
      </c>
      <c r="G291" s="9">
        <f t="shared" si="37"/>
        <v>759</v>
      </c>
      <c r="H291" s="9">
        <f t="shared" si="38"/>
        <v>0</v>
      </c>
      <c r="I291" s="9">
        <f t="array" ref="I291">+SUM(IFERROR(VALUE(G291:H291),0))</f>
        <v>759</v>
      </c>
      <c r="K291" s="9" t="str">
        <f t="shared" si="39"/>
        <v>626</v>
      </c>
      <c r="L291" s="9">
        <f t="shared" si="40"/>
        <v>759</v>
      </c>
      <c r="M291" s="9">
        <f t="shared" si="41"/>
        <v>0</v>
      </c>
      <c r="N291" s="9">
        <f t="array" ref="N291">+SUM(IFERROR(VALUE(L291:M291),0))</f>
        <v>759</v>
      </c>
      <c r="P291" s="9" t="str">
        <f t="shared" si="42"/>
        <v>62</v>
      </c>
      <c r="Q291" s="9">
        <f t="shared" si="43"/>
        <v>759</v>
      </c>
      <c r="R291" s="9">
        <f t="shared" si="44"/>
        <v>0</v>
      </c>
      <c r="S291" s="9">
        <f t="array" ref="S291">+SUM(IFERROR(VALUE(Q291:R291),0))</f>
        <v>759</v>
      </c>
    </row>
    <row r="292" spans="1:19" ht="14.4">
      <c r="A292" t="s">
        <v>2627</v>
      </c>
      <c r="B292" t="s">
        <v>2628</v>
      </c>
      <c r="C292" s="27">
        <v>36.119999999999997</v>
      </c>
      <c r="D292" s="28">
        <v>0</v>
      </c>
      <c r="F292" s="9" t="str">
        <f t="shared" si="36"/>
        <v>6260</v>
      </c>
      <c r="G292" s="9">
        <f t="shared" si="37"/>
        <v>36.119999999999997</v>
      </c>
      <c r="H292" s="9">
        <f t="shared" si="38"/>
        <v>0</v>
      </c>
      <c r="I292" s="9">
        <f t="array" ref="I292">+SUM(IFERROR(VALUE(G292:H292),0))</f>
        <v>36.119999999999997</v>
      </c>
      <c r="K292" s="9" t="str">
        <f t="shared" si="39"/>
        <v>626</v>
      </c>
      <c r="L292" s="9">
        <f t="shared" si="40"/>
        <v>36.119999999999997</v>
      </c>
      <c r="M292" s="9">
        <f t="shared" si="41"/>
        <v>0</v>
      </c>
      <c r="N292" s="9">
        <f t="array" ref="N292">+SUM(IFERROR(VALUE(L292:M292),0))</f>
        <v>36.119999999999997</v>
      </c>
      <c r="P292" s="9" t="str">
        <f t="shared" si="42"/>
        <v>62</v>
      </c>
      <c r="Q292" s="9">
        <f t="shared" si="43"/>
        <v>36.119999999999997</v>
      </c>
      <c r="R292" s="9">
        <f t="shared" si="44"/>
        <v>0</v>
      </c>
      <c r="S292" s="9">
        <f t="array" ref="S292">+SUM(IFERROR(VALUE(Q292:R292),0))</f>
        <v>36.119999999999997</v>
      </c>
    </row>
    <row r="293" spans="1:19" ht="14.4">
      <c r="A293" t="s">
        <v>2629</v>
      </c>
      <c r="B293" t="s">
        <v>2630</v>
      </c>
      <c r="C293" s="27">
        <v>400</v>
      </c>
      <c r="D293" s="28">
        <v>0</v>
      </c>
      <c r="F293" s="9" t="str">
        <f t="shared" si="36"/>
        <v>6260</v>
      </c>
      <c r="G293" s="9">
        <f t="shared" si="37"/>
        <v>400</v>
      </c>
      <c r="H293" s="9">
        <f t="shared" si="38"/>
        <v>0</v>
      </c>
      <c r="I293" s="9">
        <f t="array" ref="I293">+SUM(IFERROR(VALUE(G293:H293),0))</f>
        <v>400</v>
      </c>
      <c r="K293" s="9" t="str">
        <f t="shared" si="39"/>
        <v>626</v>
      </c>
      <c r="L293" s="9">
        <f t="shared" si="40"/>
        <v>400</v>
      </c>
      <c r="M293" s="9">
        <f t="shared" si="41"/>
        <v>0</v>
      </c>
      <c r="N293" s="9">
        <f t="array" ref="N293">+SUM(IFERROR(VALUE(L293:M293),0))</f>
        <v>400</v>
      </c>
      <c r="P293" s="9" t="str">
        <f t="shared" si="42"/>
        <v>62</v>
      </c>
      <c r="Q293" s="9">
        <f t="shared" si="43"/>
        <v>400</v>
      </c>
      <c r="R293" s="9">
        <f t="shared" si="44"/>
        <v>0</v>
      </c>
      <c r="S293" s="9">
        <f t="array" ref="S293">+SUM(IFERROR(VALUE(Q293:R293),0))</f>
        <v>400</v>
      </c>
    </row>
    <row r="294" spans="1:19" ht="14.4">
      <c r="A294" t="s">
        <v>2631</v>
      </c>
      <c r="B294" t="s">
        <v>2632</v>
      </c>
      <c r="C294" s="27">
        <v>1420.42</v>
      </c>
      <c r="D294" s="28">
        <v>0</v>
      </c>
      <c r="F294" s="9" t="str">
        <f t="shared" si="36"/>
        <v>6260</v>
      </c>
      <c r="G294" s="9">
        <f t="shared" si="37"/>
        <v>1420.42</v>
      </c>
      <c r="H294" s="9">
        <f t="shared" si="38"/>
        <v>0</v>
      </c>
      <c r="I294" s="9">
        <f t="array" ref="I294">+SUM(IFERROR(VALUE(G294:H294),0))</f>
        <v>1420.42</v>
      </c>
      <c r="K294" s="9" t="str">
        <f t="shared" si="39"/>
        <v>626</v>
      </c>
      <c r="L294" s="9">
        <f t="shared" si="40"/>
        <v>1420.42</v>
      </c>
      <c r="M294" s="9">
        <f t="shared" si="41"/>
        <v>0</v>
      </c>
      <c r="N294" s="9">
        <f t="array" ref="N294">+SUM(IFERROR(VALUE(L294:M294),0))</f>
        <v>1420.42</v>
      </c>
      <c r="P294" s="9" t="str">
        <f t="shared" si="42"/>
        <v>62</v>
      </c>
      <c r="Q294" s="9">
        <f t="shared" si="43"/>
        <v>1420.42</v>
      </c>
      <c r="R294" s="9">
        <f t="shared" si="44"/>
        <v>0</v>
      </c>
      <c r="S294" s="9">
        <f t="array" ref="S294">+SUM(IFERROR(VALUE(Q294:R294),0))</f>
        <v>1420.42</v>
      </c>
    </row>
    <row r="295" spans="1:19" ht="14.4">
      <c r="A295" t="s">
        <v>2633</v>
      </c>
      <c r="B295" t="s">
        <v>2634</v>
      </c>
      <c r="C295" s="27">
        <v>10077.040000000001</v>
      </c>
      <c r="D295" s="28">
        <v>0</v>
      </c>
      <c r="F295" s="9" t="str">
        <f t="shared" si="36"/>
        <v>6260</v>
      </c>
      <c r="G295" s="9">
        <f t="shared" si="37"/>
        <v>10077.040000000001</v>
      </c>
      <c r="H295" s="9">
        <f t="shared" si="38"/>
        <v>0</v>
      </c>
      <c r="I295" s="9">
        <f t="array" ref="I295">+SUM(IFERROR(VALUE(G295:H295),0))</f>
        <v>10077.040000000001</v>
      </c>
      <c r="K295" s="9" t="str">
        <f t="shared" si="39"/>
        <v>626</v>
      </c>
      <c r="L295" s="9">
        <f t="shared" si="40"/>
        <v>10077.040000000001</v>
      </c>
      <c r="M295" s="9">
        <f t="shared" si="41"/>
        <v>0</v>
      </c>
      <c r="N295" s="9">
        <f t="array" ref="N295">+SUM(IFERROR(VALUE(L295:M295),0))</f>
        <v>10077.040000000001</v>
      </c>
      <c r="P295" s="9" t="str">
        <f t="shared" si="42"/>
        <v>62</v>
      </c>
      <c r="Q295" s="9">
        <f t="shared" si="43"/>
        <v>10077.040000000001</v>
      </c>
      <c r="R295" s="9">
        <f t="shared" si="44"/>
        <v>0</v>
      </c>
      <c r="S295" s="9">
        <f t="array" ref="S295">+SUM(IFERROR(VALUE(Q295:R295),0))</f>
        <v>10077.040000000001</v>
      </c>
    </row>
    <row r="296" spans="1:19" ht="14.4">
      <c r="A296" t="s">
        <v>2635</v>
      </c>
      <c r="B296" t="s">
        <v>2636</v>
      </c>
      <c r="C296" s="27">
        <v>22361.9</v>
      </c>
      <c r="D296" s="28">
        <v>0</v>
      </c>
      <c r="F296" s="9" t="str">
        <f t="shared" si="36"/>
        <v>6260</v>
      </c>
      <c r="G296" s="9">
        <f t="shared" si="37"/>
        <v>22361.9</v>
      </c>
      <c r="H296" s="9">
        <f t="shared" si="38"/>
        <v>0</v>
      </c>
      <c r="I296" s="9">
        <f t="array" ref="I296">+SUM(IFERROR(VALUE(G296:H296),0))</f>
        <v>22361.9</v>
      </c>
      <c r="K296" s="9" t="str">
        <f t="shared" si="39"/>
        <v>626</v>
      </c>
      <c r="L296" s="9">
        <f t="shared" si="40"/>
        <v>22361.9</v>
      </c>
      <c r="M296" s="9">
        <f t="shared" si="41"/>
        <v>0</v>
      </c>
      <c r="N296" s="9">
        <f t="array" ref="N296">+SUM(IFERROR(VALUE(L296:M296),0))</f>
        <v>22361.9</v>
      </c>
      <c r="P296" s="9" t="str">
        <f t="shared" si="42"/>
        <v>62</v>
      </c>
      <c r="Q296" s="9">
        <f t="shared" si="43"/>
        <v>22361.9</v>
      </c>
      <c r="R296" s="9">
        <f t="shared" si="44"/>
        <v>0</v>
      </c>
      <c r="S296" s="9">
        <f t="array" ref="S296">+SUM(IFERROR(VALUE(Q296:R296),0))</f>
        <v>22361.9</v>
      </c>
    </row>
    <row r="297" spans="1:19" ht="14.4">
      <c r="A297" t="s">
        <v>2637</v>
      </c>
      <c r="B297" t="s">
        <v>2638</v>
      </c>
      <c r="C297" s="27">
        <v>18982.54</v>
      </c>
      <c r="D297" s="28">
        <v>0</v>
      </c>
      <c r="F297" s="9" t="str">
        <f t="shared" si="36"/>
        <v>6260</v>
      </c>
      <c r="G297" s="9">
        <f t="shared" si="37"/>
        <v>18982.54</v>
      </c>
      <c r="H297" s="9">
        <f t="shared" si="38"/>
        <v>0</v>
      </c>
      <c r="I297" s="9">
        <f t="array" ref="I297">+SUM(IFERROR(VALUE(G297:H297),0))</f>
        <v>18982.54</v>
      </c>
      <c r="K297" s="9" t="str">
        <f t="shared" si="39"/>
        <v>626</v>
      </c>
      <c r="L297" s="9">
        <f t="shared" si="40"/>
        <v>18982.54</v>
      </c>
      <c r="M297" s="9">
        <f t="shared" si="41"/>
        <v>0</v>
      </c>
      <c r="N297" s="9">
        <f t="array" ref="N297">+SUM(IFERROR(VALUE(L297:M297),0))</f>
        <v>18982.54</v>
      </c>
      <c r="P297" s="9" t="str">
        <f t="shared" si="42"/>
        <v>62</v>
      </c>
      <c r="Q297" s="9">
        <f t="shared" si="43"/>
        <v>18982.54</v>
      </c>
      <c r="R297" s="9">
        <f t="shared" si="44"/>
        <v>0</v>
      </c>
      <c r="S297" s="9">
        <f t="array" ref="S297">+SUM(IFERROR(VALUE(Q297:R297),0))</f>
        <v>18982.54</v>
      </c>
    </row>
    <row r="298" spans="1:19" ht="14.4">
      <c r="A298" t="s">
        <v>2639</v>
      </c>
      <c r="B298" t="s">
        <v>2640</v>
      </c>
      <c r="C298" s="27">
        <v>49008.95</v>
      </c>
      <c r="D298" s="28">
        <v>0</v>
      </c>
      <c r="F298" s="9" t="str">
        <f t="shared" si="36"/>
        <v>6270</v>
      </c>
      <c r="G298" s="9">
        <f t="shared" si="37"/>
        <v>49008.95</v>
      </c>
      <c r="H298" s="9">
        <f t="shared" si="38"/>
        <v>0</v>
      </c>
      <c r="I298" s="9">
        <f t="array" ref="I298">+SUM(IFERROR(VALUE(G298:H298),0))</f>
        <v>49008.95</v>
      </c>
      <c r="K298" s="9" t="str">
        <f t="shared" si="39"/>
        <v>627</v>
      </c>
      <c r="L298" s="9">
        <f t="shared" si="40"/>
        <v>49008.95</v>
      </c>
      <c r="M298" s="9">
        <f t="shared" si="41"/>
        <v>0</v>
      </c>
      <c r="N298" s="9">
        <f t="array" ref="N298">+SUM(IFERROR(VALUE(L298:M298),0))</f>
        <v>49008.95</v>
      </c>
      <c r="P298" s="9" t="str">
        <f t="shared" si="42"/>
        <v>62</v>
      </c>
      <c r="Q298" s="9">
        <f t="shared" si="43"/>
        <v>49008.95</v>
      </c>
      <c r="R298" s="9">
        <f t="shared" si="44"/>
        <v>0</v>
      </c>
      <c r="S298" s="9">
        <f t="array" ref="S298">+SUM(IFERROR(VALUE(Q298:R298),0))</f>
        <v>49008.95</v>
      </c>
    </row>
    <row r="299" spans="1:19" ht="14.4">
      <c r="A299" t="s">
        <v>2641</v>
      </c>
      <c r="B299" t="s">
        <v>2642</v>
      </c>
      <c r="C299" s="27">
        <v>5038.62</v>
      </c>
      <c r="D299" s="28">
        <v>0</v>
      </c>
      <c r="F299" s="9" t="str">
        <f t="shared" si="36"/>
        <v>6280</v>
      </c>
      <c r="G299" s="9">
        <f t="shared" si="37"/>
        <v>5038.62</v>
      </c>
      <c r="H299" s="9">
        <f t="shared" si="38"/>
        <v>0</v>
      </c>
      <c r="I299" s="17">
        <f t="array" ref="I299">+SUM(IFERROR(VALUE(G299:H299),0))</f>
        <v>5038.62</v>
      </c>
      <c r="K299" s="9" t="str">
        <f t="shared" si="39"/>
        <v>628</v>
      </c>
      <c r="L299" s="9">
        <f t="shared" si="40"/>
        <v>5038.62</v>
      </c>
      <c r="M299" s="9">
        <f t="shared" si="41"/>
        <v>0</v>
      </c>
      <c r="N299" s="17">
        <f t="array" ref="N299">+SUM(IFERROR(VALUE(L299:M299),0))</f>
        <v>5038.62</v>
      </c>
      <c r="P299" s="9" t="str">
        <f t="shared" si="42"/>
        <v>62</v>
      </c>
      <c r="Q299" s="9">
        <f t="shared" si="43"/>
        <v>5038.62</v>
      </c>
      <c r="R299" s="9">
        <f t="shared" si="44"/>
        <v>0</v>
      </c>
      <c r="S299" s="9">
        <f t="array" ref="S299">+SUM(IFERROR(VALUE(Q299:R299),0))</f>
        <v>5038.62</v>
      </c>
    </row>
    <row r="300" spans="1:19" ht="14.4">
      <c r="A300" t="s">
        <v>2643</v>
      </c>
      <c r="B300" t="s">
        <v>2644</v>
      </c>
      <c r="C300" s="27">
        <v>449770.06</v>
      </c>
      <c r="D300" s="28">
        <v>0</v>
      </c>
      <c r="F300" s="9" t="str">
        <f t="shared" si="36"/>
        <v>6280</v>
      </c>
      <c r="G300" s="9">
        <f t="shared" si="37"/>
        <v>449770.06</v>
      </c>
      <c r="H300" s="9">
        <f t="shared" si="38"/>
        <v>0</v>
      </c>
      <c r="I300" s="9">
        <f t="array" ref="I300">+SUM(IFERROR(VALUE(G300:H300),0))</f>
        <v>449770.06</v>
      </c>
      <c r="K300" s="9" t="str">
        <f t="shared" si="39"/>
        <v>628</v>
      </c>
      <c r="L300" s="9">
        <f t="shared" si="40"/>
        <v>449770.06</v>
      </c>
      <c r="M300" s="9">
        <f t="shared" si="41"/>
        <v>0</v>
      </c>
      <c r="N300" s="9">
        <f t="array" ref="N300">+SUM(IFERROR(VALUE(L300:M300),0))</f>
        <v>449770.06</v>
      </c>
      <c r="P300" s="9" t="str">
        <f t="shared" si="42"/>
        <v>62</v>
      </c>
      <c r="Q300" s="9">
        <f t="shared" si="43"/>
        <v>449770.06</v>
      </c>
      <c r="R300" s="9">
        <f t="shared" si="44"/>
        <v>0</v>
      </c>
      <c r="S300" s="9">
        <f t="array" ref="S300">+SUM(IFERROR(VALUE(Q300:R300),0))</f>
        <v>449770.06</v>
      </c>
    </row>
    <row r="301" spans="1:19" ht="14.4">
      <c r="A301" t="s">
        <v>2645</v>
      </c>
      <c r="B301" t="s">
        <v>2646</v>
      </c>
      <c r="C301" s="27">
        <v>4249.76</v>
      </c>
      <c r="D301" s="28">
        <v>0</v>
      </c>
      <c r="F301" s="9" t="str">
        <f t="shared" si="36"/>
        <v>6280</v>
      </c>
      <c r="G301" s="9">
        <f t="shared" si="37"/>
        <v>4249.76</v>
      </c>
      <c r="H301" s="9">
        <f t="shared" si="38"/>
        <v>0</v>
      </c>
      <c r="I301" s="9">
        <f t="array" ref="I301">+SUM(IFERROR(VALUE(G301:H301),0))</f>
        <v>4249.76</v>
      </c>
      <c r="K301" s="9" t="str">
        <f t="shared" si="39"/>
        <v>628</v>
      </c>
      <c r="L301" s="9">
        <f t="shared" si="40"/>
        <v>4249.76</v>
      </c>
      <c r="M301" s="9">
        <f t="shared" si="41"/>
        <v>0</v>
      </c>
      <c r="N301" s="9">
        <f t="array" ref="N301">+SUM(IFERROR(VALUE(L301:M301),0))</f>
        <v>4249.76</v>
      </c>
      <c r="P301" s="9" t="str">
        <f t="shared" si="42"/>
        <v>62</v>
      </c>
      <c r="Q301" s="9">
        <f t="shared" si="43"/>
        <v>4249.76</v>
      </c>
      <c r="R301" s="9">
        <f t="shared" si="44"/>
        <v>0</v>
      </c>
      <c r="S301" s="9">
        <f t="array" ref="S301">+SUM(IFERROR(VALUE(Q301:R301),0))</f>
        <v>4249.76</v>
      </c>
    </row>
    <row r="302" spans="1:19" ht="14.4">
      <c r="A302" t="s">
        <v>2647</v>
      </c>
      <c r="B302" t="s">
        <v>2648</v>
      </c>
      <c r="C302" s="27">
        <v>361500.97</v>
      </c>
      <c r="D302" s="28">
        <v>0</v>
      </c>
      <c r="F302" s="9" t="str">
        <f t="shared" si="36"/>
        <v>6280</v>
      </c>
      <c r="G302" s="9">
        <f t="shared" si="37"/>
        <v>361500.97</v>
      </c>
      <c r="H302" s="9">
        <f t="shared" si="38"/>
        <v>0</v>
      </c>
      <c r="I302" s="9">
        <f t="array" ref="I302">+SUM(IFERROR(VALUE(G302:H302),0))</f>
        <v>361500.97</v>
      </c>
      <c r="K302" s="9" t="str">
        <f t="shared" si="39"/>
        <v>628</v>
      </c>
      <c r="L302" s="9">
        <f t="shared" si="40"/>
        <v>361500.97</v>
      </c>
      <c r="M302" s="9">
        <f t="shared" si="41"/>
        <v>0</v>
      </c>
      <c r="N302" s="9">
        <f t="array" ref="N302">+SUM(IFERROR(VALUE(L302:M302),0))</f>
        <v>361500.97</v>
      </c>
      <c r="P302" s="9" t="str">
        <f t="shared" si="42"/>
        <v>62</v>
      </c>
      <c r="Q302" s="9">
        <f t="shared" si="43"/>
        <v>361500.97</v>
      </c>
      <c r="R302" s="9">
        <f t="shared" si="44"/>
        <v>0</v>
      </c>
      <c r="S302" s="9">
        <f t="array" ref="S302">+SUM(IFERROR(VALUE(Q302:R302),0))</f>
        <v>361500.97</v>
      </c>
    </row>
    <row r="303" spans="1:19" ht="14.4">
      <c r="A303" t="s">
        <v>2649</v>
      </c>
      <c r="B303" t="s">
        <v>2650</v>
      </c>
      <c r="C303" s="27">
        <v>53103.63</v>
      </c>
      <c r="D303" s="28">
        <v>0</v>
      </c>
      <c r="F303" s="9" t="str">
        <f t="shared" si="36"/>
        <v>6280</v>
      </c>
      <c r="G303" s="9">
        <f t="shared" si="37"/>
        <v>53103.63</v>
      </c>
      <c r="H303" s="9">
        <f t="shared" si="38"/>
        <v>0</v>
      </c>
      <c r="I303" s="9">
        <f t="array" ref="I303">+SUM(IFERROR(VALUE(G303:H303),0))</f>
        <v>53103.63</v>
      </c>
      <c r="K303" s="9" t="str">
        <f t="shared" si="39"/>
        <v>628</v>
      </c>
      <c r="L303" s="9">
        <f t="shared" si="40"/>
        <v>53103.63</v>
      </c>
      <c r="M303" s="9">
        <f t="shared" si="41"/>
        <v>0</v>
      </c>
      <c r="N303" s="9">
        <f t="array" ref="N303">+SUM(IFERROR(VALUE(L303:M303),0))</f>
        <v>53103.63</v>
      </c>
      <c r="P303" s="9" t="str">
        <f t="shared" si="42"/>
        <v>62</v>
      </c>
      <c r="Q303" s="9">
        <f t="shared" si="43"/>
        <v>53103.63</v>
      </c>
      <c r="R303" s="9">
        <f t="shared" si="44"/>
        <v>0</v>
      </c>
      <c r="S303" s="9">
        <f t="array" ref="S303">+SUM(IFERROR(VALUE(Q303:R303),0))</f>
        <v>53103.63</v>
      </c>
    </row>
    <row r="304" spans="1:19" ht="14.4">
      <c r="A304" t="s">
        <v>2651</v>
      </c>
      <c r="B304" t="s">
        <v>2652</v>
      </c>
      <c r="C304" s="27">
        <v>104158.48</v>
      </c>
      <c r="D304" s="28">
        <v>0</v>
      </c>
      <c r="F304" s="9" t="str">
        <f t="shared" si="36"/>
        <v>6280</v>
      </c>
      <c r="G304" s="9">
        <f t="shared" si="37"/>
        <v>104158.48</v>
      </c>
      <c r="H304" s="9">
        <f t="shared" si="38"/>
        <v>0</v>
      </c>
      <c r="I304" s="9">
        <f t="array" ref="I304">+SUM(IFERROR(VALUE(G304:H304),0))</f>
        <v>104158.48</v>
      </c>
      <c r="K304" s="9" t="str">
        <f t="shared" si="39"/>
        <v>628</v>
      </c>
      <c r="L304" s="9">
        <f t="shared" si="40"/>
        <v>104158.48</v>
      </c>
      <c r="M304" s="9">
        <f t="shared" si="41"/>
        <v>0</v>
      </c>
      <c r="N304" s="9">
        <f t="array" ref="N304">+SUM(IFERROR(VALUE(L304:M304),0))</f>
        <v>104158.48</v>
      </c>
      <c r="P304" s="9" t="str">
        <f t="shared" si="42"/>
        <v>62</v>
      </c>
      <c r="Q304" s="9">
        <f t="shared" si="43"/>
        <v>104158.48</v>
      </c>
      <c r="R304" s="9">
        <f t="shared" si="44"/>
        <v>0</v>
      </c>
      <c r="S304" s="9">
        <f t="array" ref="S304">+SUM(IFERROR(VALUE(Q304:R304),0))</f>
        <v>104158.48</v>
      </c>
    </row>
    <row r="305" spans="1:19" ht="14.4">
      <c r="A305" t="s">
        <v>2653</v>
      </c>
      <c r="B305" t="s">
        <v>2654</v>
      </c>
      <c r="C305" s="27">
        <v>2824.56</v>
      </c>
      <c r="D305" s="28">
        <v>0</v>
      </c>
      <c r="F305" s="9" t="str">
        <f t="shared" si="36"/>
        <v>6280</v>
      </c>
      <c r="G305" s="9">
        <f t="shared" si="37"/>
        <v>2824.56</v>
      </c>
      <c r="H305" s="9">
        <f t="shared" si="38"/>
        <v>0</v>
      </c>
      <c r="I305" s="9">
        <f t="array" ref="I305">+SUM(IFERROR(VALUE(G305:H305),0))</f>
        <v>2824.56</v>
      </c>
      <c r="K305" s="9" t="str">
        <f t="shared" si="39"/>
        <v>628</v>
      </c>
      <c r="L305" s="9">
        <f t="shared" si="40"/>
        <v>2824.56</v>
      </c>
      <c r="M305" s="9">
        <f t="shared" si="41"/>
        <v>0</v>
      </c>
      <c r="N305" s="9">
        <f t="array" ref="N305">+SUM(IFERROR(VALUE(L305:M305),0))</f>
        <v>2824.56</v>
      </c>
      <c r="P305" s="9" t="str">
        <f t="shared" si="42"/>
        <v>62</v>
      </c>
      <c r="Q305" s="9">
        <f t="shared" si="43"/>
        <v>2824.56</v>
      </c>
      <c r="R305" s="9">
        <f t="shared" si="44"/>
        <v>0</v>
      </c>
      <c r="S305" s="9">
        <f t="array" ref="S305">+SUM(IFERROR(VALUE(Q305:R305),0))</f>
        <v>2824.56</v>
      </c>
    </row>
    <row r="306" spans="1:19" ht="14.4">
      <c r="A306" t="s">
        <v>2655</v>
      </c>
      <c r="B306" t="s">
        <v>2656</v>
      </c>
      <c r="C306" s="27">
        <v>22134.1</v>
      </c>
      <c r="D306" s="28">
        <v>0</v>
      </c>
      <c r="F306" s="9" t="str">
        <f t="shared" si="36"/>
        <v>6280</v>
      </c>
      <c r="G306" s="9">
        <f t="shared" si="37"/>
        <v>22134.1</v>
      </c>
      <c r="H306" s="9">
        <f t="shared" si="38"/>
        <v>0</v>
      </c>
      <c r="I306" s="9">
        <f t="array" ref="I306">+SUM(IFERROR(VALUE(G306:H306),0))</f>
        <v>22134.1</v>
      </c>
      <c r="K306" s="9" t="str">
        <f t="shared" si="39"/>
        <v>628</v>
      </c>
      <c r="L306" s="9">
        <f t="shared" si="40"/>
        <v>22134.1</v>
      </c>
      <c r="M306" s="9">
        <f t="shared" si="41"/>
        <v>0</v>
      </c>
      <c r="N306" s="9">
        <f t="array" ref="N306">+SUM(IFERROR(VALUE(L306:M306),0))</f>
        <v>22134.1</v>
      </c>
      <c r="P306" s="9" t="str">
        <f t="shared" si="42"/>
        <v>62</v>
      </c>
      <c r="Q306" s="9">
        <f t="shared" si="43"/>
        <v>22134.1</v>
      </c>
      <c r="R306" s="9">
        <f t="shared" si="44"/>
        <v>0</v>
      </c>
      <c r="S306" s="9">
        <f t="array" ref="S306">+SUM(IFERROR(VALUE(Q306:R306),0))</f>
        <v>22134.1</v>
      </c>
    </row>
    <row r="307" spans="1:19" ht="14.4">
      <c r="A307" t="s">
        <v>2657</v>
      </c>
      <c r="B307" t="s">
        <v>2658</v>
      </c>
      <c r="C307" s="27">
        <v>10760.53</v>
      </c>
      <c r="D307" s="28">
        <v>0</v>
      </c>
      <c r="F307" s="9" t="str">
        <f t="shared" si="36"/>
        <v>6280</v>
      </c>
      <c r="G307" s="9">
        <f t="shared" si="37"/>
        <v>10760.53</v>
      </c>
      <c r="H307" s="9">
        <f t="shared" si="38"/>
        <v>0</v>
      </c>
      <c r="I307" s="9">
        <f t="array" ref="I307">+SUM(IFERROR(VALUE(G307:H307),0))</f>
        <v>10760.53</v>
      </c>
      <c r="K307" s="9" t="str">
        <f t="shared" si="39"/>
        <v>628</v>
      </c>
      <c r="L307" s="9">
        <f t="shared" si="40"/>
        <v>10760.53</v>
      </c>
      <c r="M307" s="9">
        <f t="shared" si="41"/>
        <v>0</v>
      </c>
      <c r="N307" s="9">
        <f t="array" ref="N307">+SUM(IFERROR(VALUE(L307:M307),0))</f>
        <v>10760.53</v>
      </c>
      <c r="P307" s="9" t="str">
        <f t="shared" si="42"/>
        <v>62</v>
      </c>
      <c r="Q307" s="9">
        <f t="shared" si="43"/>
        <v>10760.53</v>
      </c>
      <c r="R307" s="9">
        <f t="shared" si="44"/>
        <v>0</v>
      </c>
      <c r="S307" s="9">
        <f t="array" ref="S307">+SUM(IFERROR(VALUE(Q307:R307),0))</f>
        <v>10760.53</v>
      </c>
    </row>
    <row r="308" spans="1:19" ht="14.4">
      <c r="A308" t="s">
        <v>2659</v>
      </c>
      <c r="B308" t="s">
        <v>2660</v>
      </c>
      <c r="C308" s="27">
        <v>28886.880000000001</v>
      </c>
      <c r="D308" s="28">
        <v>0</v>
      </c>
      <c r="F308" s="9" t="str">
        <f t="shared" si="36"/>
        <v>6280</v>
      </c>
      <c r="G308" s="9">
        <f t="shared" si="37"/>
        <v>28886.880000000001</v>
      </c>
      <c r="H308" s="9">
        <f t="shared" si="38"/>
        <v>0</v>
      </c>
      <c r="I308" s="9">
        <f t="array" ref="I308">+SUM(IFERROR(VALUE(G308:H308),0))</f>
        <v>28886.880000000001</v>
      </c>
      <c r="K308" s="9" t="str">
        <f t="shared" si="39"/>
        <v>628</v>
      </c>
      <c r="L308" s="9">
        <f t="shared" si="40"/>
        <v>28886.880000000001</v>
      </c>
      <c r="M308" s="9">
        <f t="shared" si="41"/>
        <v>0</v>
      </c>
      <c r="N308" s="9">
        <f t="array" ref="N308">+SUM(IFERROR(VALUE(L308:M308),0))</f>
        <v>28886.880000000001</v>
      </c>
      <c r="P308" s="9" t="str">
        <f t="shared" si="42"/>
        <v>62</v>
      </c>
      <c r="Q308" s="9">
        <f t="shared" si="43"/>
        <v>28886.880000000001</v>
      </c>
      <c r="R308" s="9">
        <f t="shared" si="44"/>
        <v>0</v>
      </c>
      <c r="S308" s="9">
        <f t="array" ref="S308">+SUM(IFERROR(VALUE(Q308:R308),0))</f>
        <v>28886.880000000001</v>
      </c>
    </row>
    <row r="309" spans="1:19" ht="14.4">
      <c r="A309" t="s">
        <v>2661</v>
      </c>
      <c r="B309" t="s">
        <v>2662</v>
      </c>
      <c r="C309" s="27">
        <v>40355.25</v>
      </c>
      <c r="D309" s="28">
        <v>0</v>
      </c>
      <c r="F309" s="9" t="str">
        <f t="shared" si="36"/>
        <v>6280</v>
      </c>
      <c r="G309" s="9">
        <f t="shared" si="37"/>
        <v>40355.25</v>
      </c>
      <c r="H309" s="9">
        <f t="shared" si="38"/>
        <v>0</v>
      </c>
      <c r="I309" s="9">
        <f t="array" ref="I309">+SUM(IFERROR(VALUE(G309:H309),0))</f>
        <v>40355.25</v>
      </c>
      <c r="K309" s="9" t="str">
        <f t="shared" si="39"/>
        <v>628</v>
      </c>
      <c r="L309" s="9">
        <f t="shared" si="40"/>
        <v>40355.25</v>
      </c>
      <c r="M309" s="9">
        <f t="shared" si="41"/>
        <v>0</v>
      </c>
      <c r="N309" s="9">
        <f t="array" ref="N309">+SUM(IFERROR(VALUE(L309:M309),0))</f>
        <v>40355.25</v>
      </c>
      <c r="P309" s="9" t="str">
        <f t="shared" si="42"/>
        <v>62</v>
      </c>
      <c r="Q309" s="9">
        <f t="shared" si="43"/>
        <v>40355.25</v>
      </c>
      <c r="R309" s="9">
        <f t="shared" si="44"/>
        <v>0</v>
      </c>
      <c r="S309" s="9">
        <f t="array" ref="S309">+SUM(IFERROR(VALUE(Q309:R309),0))</f>
        <v>40355.25</v>
      </c>
    </row>
    <row r="310" spans="1:19" ht="14.4">
      <c r="A310" t="s">
        <v>2663</v>
      </c>
      <c r="B310" t="s">
        <v>2664</v>
      </c>
      <c r="C310" s="27">
        <v>8970.1299999999992</v>
      </c>
      <c r="D310" s="28">
        <v>0</v>
      </c>
      <c r="F310" s="9" t="str">
        <f t="shared" si="36"/>
        <v>6281</v>
      </c>
      <c r="G310" s="9">
        <f t="shared" si="37"/>
        <v>8970.1299999999992</v>
      </c>
      <c r="H310" s="9">
        <f t="shared" si="38"/>
        <v>0</v>
      </c>
      <c r="I310" s="9">
        <f t="array" ref="I310">+SUM(IFERROR(VALUE(G310:H310),0))</f>
        <v>8970.1299999999992</v>
      </c>
      <c r="K310" s="9" t="str">
        <f t="shared" si="39"/>
        <v>628</v>
      </c>
      <c r="L310" s="9">
        <f t="shared" si="40"/>
        <v>8970.1299999999992</v>
      </c>
      <c r="M310" s="9">
        <f t="shared" si="41"/>
        <v>0</v>
      </c>
      <c r="N310" s="9">
        <f t="array" ref="N310">+SUM(IFERROR(VALUE(L310:M310),0))</f>
        <v>8970.1299999999992</v>
      </c>
      <c r="P310" s="9" t="str">
        <f t="shared" si="42"/>
        <v>62</v>
      </c>
      <c r="Q310" s="9">
        <f t="shared" si="43"/>
        <v>8970.1299999999992</v>
      </c>
      <c r="R310" s="9">
        <f t="shared" si="44"/>
        <v>0</v>
      </c>
      <c r="S310" s="9">
        <f t="array" ref="S310">+SUM(IFERROR(VALUE(Q310:R310),0))</f>
        <v>8970.1299999999992</v>
      </c>
    </row>
    <row r="311" spans="1:19" ht="14.4">
      <c r="A311" t="s">
        <v>2665</v>
      </c>
      <c r="B311" t="s">
        <v>2666</v>
      </c>
      <c r="C311" s="27">
        <v>74.28</v>
      </c>
      <c r="D311" s="28">
        <v>0</v>
      </c>
      <c r="F311" s="9" t="str">
        <f t="shared" si="36"/>
        <v>6281</v>
      </c>
      <c r="G311" s="9">
        <f t="shared" si="37"/>
        <v>74.28</v>
      </c>
      <c r="H311" s="9">
        <f t="shared" si="38"/>
        <v>0</v>
      </c>
      <c r="I311" s="9">
        <f t="array" ref="I311">+SUM(IFERROR(VALUE(G311:H311),0))</f>
        <v>74.28</v>
      </c>
      <c r="K311" s="9" t="str">
        <f t="shared" si="39"/>
        <v>628</v>
      </c>
      <c r="L311" s="9">
        <f t="shared" si="40"/>
        <v>74.28</v>
      </c>
      <c r="M311" s="9">
        <f t="shared" si="41"/>
        <v>0</v>
      </c>
      <c r="N311" s="9">
        <f t="array" ref="N311">+SUM(IFERROR(VALUE(L311:M311),0))</f>
        <v>74.28</v>
      </c>
      <c r="P311" s="9" t="str">
        <f t="shared" si="42"/>
        <v>62</v>
      </c>
      <c r="Q311" s="9">
        <f t="shared" si="43"/>
        <v>74.28</v>
      </c>
      <c r="R311" s="9">
        <f t="shared" si="44"/>
        <v>0</v>
      </c>
      <c r="S311" s="9">
        <f t="array" ref="S311">+SUM(IFERROR(VALUE(Q311:R311),0))</f>
        <v>74.28</v>
      </c>
    </row>
    <row r="312" spans="1:19" ht="14.4">
      <c r="A312" t="s">
        <v>2667</v>
      </c>
      <c r="B312" t="s">
        <v>2668</v>
      </c>
      <c r="C312" s="27">
        <v>592.32000000000005</v>
      </c>
      <c r="D312" s="28">
        <v>0</v>
      </c>
      <c r="F312" s="9" t="str">
        <f t="shared" si="36"/>
        <v>6281</v>
      </c>
      <c r="G312" s="9">
        <f t="shared" si="37"/>
        <v>592.32000000000005</v>
      </c>
      <c r="H312" s="9">
        <f t="shared" si="38"/>
        <v>0</v>
      </c>
      <c r="I312" s="9">
        <f t="array" ref="I312">+SUM(IFERROR(VALUE(G312:H312),0))</f>
        <v>592.32000000000005</v>
      </c>
      <c r="K312" s="9" t="str">
        <f t="shared" si="39"/>
        <v>628</v>
      </c>
      <c r="L312" s="9">
        <f t="shared" si="40"/>
        <v>592.32000000000005</v>
      </c>
      <c r="M312" s="9">
        <f t="shared" si="41"/>
        <v>0</v>
      </c>
      <c r="N312" s="9">
        <f t="array" ref="N312">+SUM(IFERROR(VALUE(L312:M312),0))</f>
        <v>592.32000000000005</v>
      </c>
      <c r="P312" s="9" t="str">
        <f t="shared" si="42"/>
        <v>62</v>
      </c>
      <c r="Q312" s="9">
        <f t="shared" si="43"/>
        <v>592.32000000000005</v>
      </c>
      <c r="R312" s="9">
        <f t="shared" si="44"/>
        <v>0</v>
      </c>
      <c r="S312" s="9">
        <f t="array" ref="S312">+SUM(IFERROR(VALUE(Q312:R312),0))</f>
        <v>592.32000000000005</v>
      </c>
    </row>
    <row r="313" spans="1:19" ht="14.4">
      <c r="A313" t="s">
        <v>2669</v>
      </c>
      <c r="B313" t="s">
        <v>2670</v>
      </c>
      <c r="C313" s="27">
        <v>12008.05</v>
      </c>
      <c r="D313" s="28">
        <v>0</v>
      </c>
      <c r="F313" s="9" t="str">
        <f t="shared" si="36"/>
        <v>6282</v>
      </c>
      <c r="G313" s="9">
        <f t="shared" si="37"/>
        <v>12008.05</v>
      </c>
      <c r="H313" s="9">
        <f t="shared" si="38"/>
        <v>0</v>
      </c>
      <c r="I313" s="9">
        <f t="array" ref="I313">+SUM(IFERROR(VALUE(G313:H313),0))</f>
        <v>12008.05</v>
      </c>
      <c r="K313" s="9" t="str">
        <f t="shared" si="39"/>
        <v>628</v>
      </c>
      <c r="L313" s="9">
        <f t="shared" si="40"/>
        <v>12008.05</v>
      </c>
      <c r="M313" s="9">
        <f t="shared" si="41"/>
        <v>0</v>
      </c>
      <c r="N313" s="9">
        <f t="array" ref="N313">+SUM(IFERROR(VALUE(L313:M313),0))</f>
        <v>12008.05</v>
      </c>
      <c r="P313" s="9" t="str">
        <f t="shared" si="42"/>
        <v>62</v>
      </c>
      <c r="Q313" s="9">
        <f t="shared" si="43"/>
        <v>12008.05</v>
      </c>
      <c r="R313" s="9">
        <f t="shared" si="44"/>
        <v>0</v>
      </c>
      <c r="S313" s="9">
        <f t="array" ref="S313">+SUM(IFERROR(VALUE(Q313:R313),0))</f>
        <v>12008.05</v>
      </c>
    </row>
    <row r="314" spans="1:19" ht="14.4">
      <c r="A314" t="s">
        <v>2671</v>
      </c>
      <c r="B314" t="s">
        <v>2672</v>
      </c>
      <c r="C314" s="27">
        <v>162037.62</v>
      </c>
      <c r="D314" s="28">
        <v>0</v>
      </c>
      <c r="F314" s="9" t="str">
        <f t="shared" si="36"/>
        <v>6283</v>
      </c>
      <c r="G314" s="9">
        <f t="shared" si="37"/>
        <v>162037.62</v>
      </c>
      <c r="H314" s="9">
        <f t="shared" si="38"/>
        <v>0</v>
      </c>
      <c r="I314" s="9">
        <f t="array" ref="I314">+SUM(IFERROR(VALUE(G314:H314),0))</f>
        <v>162037.62</v>
      </c>
      <c r="K314" s="9" t="str">
        <f t="shared" si="39"/>
        <v>628</v>
      </c>
      <c r="L314" s="9">
        <f t="shared" si="40"/>
        <v>162037.62</v>
      </c>
      <c r="M314" s="9">
        <f t="shared" si="41"/>
        <v>0</v>
      </c>
      <c r="N314" s="9">
        <f t="array" ref="N314">+SUM(IFERROR(VALUE(L314:M314),0))</f>
        <v>162037.62</v>
      </c>
      <c r="P314" s="9" t="str">
        <f t="shared" si="42"/>
        <v>62</v>
      </c>
      <c r="Q314" s="9">
        <f t="shared" si="43"/>
        <v>162037.62</v>
      </c>
      <c r="R314" s="9">
        <f t="shared" si="44"/>
        <v>0</v>
      </c>
      <c r="S314" s="9">
        <f t="array" ref="S314">+SUM(IFERROR(VALUE(Q314:R314),0))</f>
        <v>162037.62</v>
      </c>
    </row>
    <row r="315" spans="1:19" ht="14.4">
      <c r="A315" t="s">
        <v>2673</v>
      </c>
      <c r="B315" t="s">
        <v>2674</v>
      </c>
      <c r="C315" s="27">
        <v>1913.88</v>
      </c>
      <c r="D315" s="28">
        <v>0</v>
      </c>
      <c r="F315" s="9" t="str">
        <f t="shared" si="36"/>
        <v>6283</v>
      </c>
      <c r="G315" s="9">
        <f t="shared" si="37"/>
        <v>1913.88</v>
      </c>
      <c r="H315" s="9">
        <f t="shared" si="38"/>
        <v>0</v>
      </c>
      <c r="I315" s="9">
        <f t="array" ref="I315">+SUM(IFERROR(VALUE(G315:H315),0))</f>
        <v>1913.88</v>
      </c>
      <c r="K315" s="9" t="str">
        <f t="shared" si="39"/>
        <v>628</v>
      </c>
      <c r="L315" s="9">
        <f t="shared" si="40"/>
        <v>1913.88</v>
      </c>
      <c r="M315" s="9">
        <f t="shared" si="41"/>
        <v>0</v>
      </c>
      <c r="N315" s="9">
        <f t="array" ref="N315">+SUM(IFERROR(VALUE(L315:M315),0))</f>
        <v>1913.88</v>
      </c>
      <c r="P315" s="9" t="str">
        <f t="shared" si="42"/>
        <v>62</v>
      </c>
      <c r="Q315" s="9">
        <f t="shared" si="43"/>
        <v>1913.88</v>
      </c>
      <c r="R315" s="9">
        <f t="shared" si="44"/>
        <v>0</v>
      </c>
      <c r="S315" s="9">
        <f t="array" ref="S315">+SUM(IFERROR(VALUE(Q315:R315),0))</f>
        <v>1913.88</v>
      </c>
    </row>
    <row r="316" spans="1:19" ht="14.4">
      <c r="A316" t="s">
        <v>2675</v>
      </c>
      <c r="B316" t="s">
        <v>2676</v>
      </c>
      <c r="C316" s="27">
        <v>21640.21</v>
      </c>
      <c r="D316" s="28">
        <v>0</v>
      </c>
      <c r="F316" s="9" t="str">
        <f t="shared" si="36"/>
        <v>6283</v>
      </c>
      <c r="G316" s="9">
        <f t="shared" si="37"/>
        <v>21640.21</v>
      </c>
      <c r="H316" s="9">
        <f t="shared" si="38"/>
        <v>0</v>
      </c>
      <c r="I316" s="9">
        <f t="array" ref="I316">+SUM(IFERROR(VALUE(G316:H316),0))</f>
        <v>21640.21</v>
      </c>
      <c r="K316" s="9" t="str">
        <f t="shared" si="39"/>
        <v>628</v>
      </c>
      <c r="L316" s="9">
        <f t="shared" si="40"/>
        <v>21640.21</v>
      </c>
      <c r="M316" s="9">
        <f t="shared" si="41"/>
        <v>0</v>
      </c>
      <c r="N316" s="9">
        <f t="array" ref="N316">+SUM(IFERROR(VALUE(L316:M316),0))</f>
        <v>21640.21</v>
      </c>
      <c r="P316" s="9" t="str">
        <f t="shared" si="42"/>
        <v>62</v>
      </c>
      <c r="Q316" s="9">
        <f t="shared" si="43"/>
        <v>21640.21</v>
      </c>
      <c r="R316" s="9">
        <f t="shared" si="44"/>
        <v>0</v>
      </c>
      <c r="S316" s="9">
        <f t="array" ref="S316">+SUM(IFERROR(VALUE(Q316:R316),0))</f>
        <v>21640.21</v>
      </c>
    </row>
    <row r="317" spans="1:19" ht="14.4">
      <c r="A317" t="s">
        <v>2677</v>
      </c>
      <c r="B317" t="s">
        <v>2678</v>
      </c>
      <c r="C317" s="27">
        <v>11136.4</v>
      </c>
      <c r="D317" s="28">
        <v>0</v>
      </c>
      <c r="F317" s="9" t="str">
        <f t="shared" si="36"/>
        <v>6283</v>
      </c>
      <c r="G317" s="9">
        <f t="shared" si="37"/>
        <v>11136.4</v>
      </c>
      <c r="H317" s="9">
        <f t="shared" si="38"/>
        <v>0</v>
      </c>
      <c r="I317" s="9">
        <f t="array" ref="I317">+SUM(IFERROR(VALUE(G317:H317),0))</f>
        <v>11136.4</v>
      </c>
      <c r="K317" s="9" t="str">
        <f t="shared" si="39"/>
        <v>628</v>
      </c>
      <c r="L317" s="9">
        <f t="shared" si="40"/>
        <v>11136.4</v>
      </c>
      <c r="M317" s="9">
        <f t="shared" si="41"/>
        <v>0</v>
      </c>
      <c r="N317" s="9">
        <f t="array" ref="N317">+SUM(IFERROR(VALUE(L317:M317),0))</f>
        <v>11136.4</v>
      </c>
      <c r="P317" s="9" t="str">
        <f t="shared" si="42"/>
        <v>62</v>
      </c>
      <c r="Q317" s="9">
        <f t="shared" si="43"/>
        <v>11136.4</v>
      </c>
      <c r="R317" s="9">
        <f t="shared" si="44"/>
        <v>0</v>
      </c>
      <c r="S317" s="9">
        <f t="array" ref="S317">+SUM(IFERROR(VALUE(Q317:R317),0))</f>
        <v>11136.4</v>
      </c>
    </row>
    <row r="318" spans="1:19" ht="14.4">
      <c r="A318" t="s">
        <v>2679</v>
      </c>
      <c r="B318" t="s">
        <v>2680</v>
      </c>
      <c r="C318" s="27">
        <v>27821.69</v>
      </c>
      <c r="D318" s="28">
        <v>0</v>
      </c>
      <c r="F318" s="9" t="str">
        <f t="shared" si="36"/>
        <v>6283</v>
      </c>
      <c r="G318" s="9">
        <f t="shared" si="37"/>
        <v>27821.69</v>
      </c>
      <c r="H318" s="9">
        <f t="shared" si="38"/>
        <v>0</v>
      </c>
      <c r="I318" s="9">
        <f t="array" ref="I318">+SUM(IFERROR(VALUE(G318:H318),0))</f>
        <v>27821.69</v>
      </c>
      <c r="K318" s="9" t="str">
        <f t="shared" si="39"/>
        <v>628</v>
      </c>
      <c r="L318" s="9">
        <f t="shared" si="40"/>
        <v>27821.69</v>
      </c>
      <c r="M318" s="9">
        <f t="shared" si="41"/>
        <v>0</v>
      </c>
      <c r="N318" s="9">
        <f t="array" ref="N318">+SUM(IFERROR(VALUE(L318:M318),0))</f>
        <v>27821.69</v>
      </c>
      <c r="P318" s="9" t="str">
        <f t="shared" si="42"/>
        <v>62</v>
      </c>
      <c r="Q318" s="9">
        <f t="shared" si="43"/>
        <v>27821.69</v>
      </c>
      <c r="R318" s="9">
        <f t="shared" si="44"/>
        <v>0</v>
      </c>
      <c r="S318" s="9">
        <f t="array" ref="S318">+SUM(IFERROR(VALUE(Q318:R318),0))</f>
        <v>27821.69</v>
      </c>
    </row>
    <row r="319" spans="1:19" ht="14.4">
      <c r="A319" t="s">
        <v>2681</v>
      </c>
      <c r="B319" t="s">
        <v>2682</v>
      </c>
      <c r="C319" s="27">
        <v>58323.28</v>
      </c>
      <c r="D319" s="28">
        <v>0</v>
      </c>
      <c r="F319" s="9" t="str">
        <f t="shared" si="36"/>
        <v>6283</v>
      </c>
      <c r="G319" s="9">
        <f t="shared" si="37"/>
        <v>58323.28</v>
      </c>
      <c r="H319" s="9">
        <f t="shared" si="38"/>
        <v>0</v>
      </c>
      <c r="I319" s="9">
        <f t="array" ref="I319">+SUM(IFERROR(VALUE(G319:H319),0))</f>
        <v>58323.28</v>
      </c>
      <c r="K319" s="9" t="str">
        <f t="shared" si="39"/>
        <v>628</v>
      </c>
      <c r="L319" s="9">
        <f t="shared" si="40"/>
        <v>58323.28</v>
      </c>
      <c r="M319" s="9">
        <f t="shared" si="41"/>
        <v>0</v>
      </c>
      <c r="N319" s="9">
        <f t="array" ref="N319">+SUM(IFERROR(VALUE(L319:M319),0))</f>
        <v>58323.28</v>
      </c>
      <c r="P319" s="9" t="str">
        <f t="shared" si="42"/>
        <v>62</v>
      </c>
      <c r="Q319" s="9">
        <f t="shared" si="43"/>
        <v>58323.28</v>
      </c>
      <c r="R319" s="9">
        <f t="shared" si="44"/>
        <v>0</v>
      </c>
      <c r="S319" s="9">
        <f t="array" ref="S319">+SUM(IFERROR(VALUE(Q319:R319),0))</f>
        <v>58323.28</v>
      </c>
    </row>
    <row r="320" spans="1:19" ht="14.4">
      <c r="A320" t="s">
        <v>2683</v>
      </c>
      <c r="B320" t="s">
        <v>2684</v>
      </c>
      <c r="C320" s="27">
        <v>577.47</v>
      </c>
      <c r="D320" s="28">
        <v>0</v>
      </c>
      <c r="F320" s="9" t="str">
        <f t="shared" si="36"/>
        <v>6291</v>
      </c>
      <c r="G320" s="9">
        <f t="shared" si="37"/>
        <v>577.47</v>
      </c>
      <c r="H320" s="9">
        <f t="shared" si="38"/>
        <v>0</v>
      </c>
      <c r="I320" s="9">
        <f t="array" ref="I320">+SUM(IFERROR(VALUE(G320:H320),0))</f>
        <v>577.47</v>
      </c>
      <c r="K320" s="9" t="str">
        <f t="shared" si="39"/>
        <v>629</v>
      </c>
      <c r="L320" s="9">
        <f t="shared" si="40"/>
        <v>577.47</v>
      </c>
      <c r="M320" s="9">
        <f t="shared" si="41"/>
        <v>0</v>
      </c>
      <c r="N320" s="9">
        <f t="array" ref="N320">+SUM(IFERROR(VALUE(L320:M320),0))</f>
        <v>577.47</v>
      </c>
      <c r="P320" s="9" t="str">
        <f t="shared" si="42"/>
        <v>62</v>
      </c>
      <c r="Q320" s="9">
        <f t="shared" si="43"/>
        <v>577.47</v>
      </c>
      <c r="R320" s="9">
        <f t="shared" si="44"/>
        <v>0</v>
      </c>
      <c r="S320" s="9">
        <f t="array" ref="S320">+SUM(IFERROR(VALUE(Q320:R320),0))</f>
        <v>577.47</v>
      </c>
    </row>
    <row r="321" spans="1:19" ht="14.4">
      <c r="A321" t="s">
        <v>2685</v>
      </c>
      <c r="B321" t="s">
        <v>2686</v>
      </c>
      <c r="C321" s="27">
        <v>6497.02</v>
      </c>
      <c r="D321" s="28">
        <v>0</v>
      </c>
      <c r="F321" s="9" t="str">
        <f t="shared" si="36"/>
        <v>6291</v>
      </c>
      <c r="G321" s="9">
        <f t="shared" si="37"/>
        <v>6497.02</v>
      </c>
      <c r="H321" s="9">
        <f t="shared" si="38"/>
        <v>0</v>
      </c>
      <c r="I321" s="9">
        <f t="array" ref="I321">+SUM(IFERROR(VALUE(G321:H321),0))</f>
        <v>6497.02</v>
      </c>
      <c r="K321" s="9" t="str">
        <f t="shared" si="39"/>
        <v>629</v>
      </c>
      <c r="L321" s="9">
        <f t="shared" si="40"/>
        <v>6497.02</v>
      </c>
      <c r="M321" s="9">
        <f t="shared" si="41"/>
        <v>0</v>
      </c>
      <c r="N321" s="9">
        <f t="array" ref="N321">+SUM(IFERROR(VALUE(L321:M321),0))</f>
        <v>6497.02</v>
      </c>
      <c r="P321" s="9" t="str">
        <f t="shared" si="42"/>
        <v>62</v>
      </c>
      <c r="Q321" s="9">
        <f t="shared" si="43"/>
        <v>6497.02</v>
      </c>
      <c r="R321" s="9">
        <f t="shared" si="44"/>
        <v>0</v>
      </c>
      <c r="S321" s="9">
        <f t="array" ref="S321">+SUM(IFERROR(VALUE(Q321:R321),0))</f>
        <v>6497.02</v>
      </c>
    </row>
    <row r="322" spans="1:19" ht="14.4">
      <c r="A322" t="s">
        <v>2687</v>
      </c>
      <c r="B322" t="s">
        <v>2688</v>
      </c>
      <c r="C322" s="27">
        <v>997.18</v>
      </c>
      <c r="D322" s="28">
        <v>0</v>
      </c>
      <c r="F322" s="9" t="str">
        <f t="shared" si="36"/>
        <v>6291</v>
      </c>
      <c r="G322" s="9">
        <f t="shared" si="37"/>
        <v>997.18</v>
      </c>
      <c r="H322" s="9">
        <f t="shared" si="38"/>
        <v>0</v>
      </c>
      <c r="I322" s="9">
        <f t="array" ref="I322">+SUM(IFERROR(VALUE(G322:H322),0))</f>
        <v>997.18</v>
      </c>
      <c r="K322" s="9" t="str">
        <f t="shared" si="39"/>
        <v>629</v>
      </c>
      <c r="L322" s="9">
        <f t="shared" si="40"/>
        <v>997.18</v>
      </c>
      <c r="M322" s="9">
        <f t="shared" si="41"/>
        <v>0</v>
      </c>
      <c r="N322" s="9">
        <f t="array" ref="N322">+SUM(IFERROR(VALUE(L322:M322),0))</f>
        <v>997.18</v>
      </c>
      <c r="P322" s="9" t="str">
        <f t="shared" si="42"/>
        <v>62</v>
      </c>
      <c r="Q322" s="9">
        <f t="shared" si="43"/>
        <v>997.18</v>
      </c>
      <c r="R322" s="9">
        <f t="shared" si="44"/>
        <v>0</v>
      </c>
      <c r="S322" s="9">
        <f t="array" ref="S322">+SUM(IFERROR(VALUE(Q322:R322),0))</f>
        <v>997.18</v>
      </c>
    </row>
    <row r="323" spans="1:19" ht="14.4">
      <c r="A323" t="s">
        <v>2689</v>
      </c>
      <c r="B323" t="s">
        <v>2690</v>
      </c>
      <c r="C323" s="27">
        <v>8522.09</v>
      </c>
      <c r="D323" s="28">
        <v>0</v>
      </c>
      <c r="F323" s="9" t="str">
        <f t="shared" si="36"/>
        <v>6291</v>
      </c>
      <c r="G323" s="9">
        <f t="shared" si="37"/>
        <v>8522.09</v>
      </c>
      <c r="H323" s="9">
        <f t="shared" si="38"/>
        <v>0</v>
      </c>
      <c r="I323" s="9">
        <f t="array" ref="I323">+SUM(IFERROR(VALUE(G323:H323),0))</f>
        <v>8522.09</v>
      </c>
      <c r="K323" s="9" t="str">
        <f t="shared" si="39"/>
        <v>629</v>
      </c>
      <c r="L323" s="9">
        <f t="shared" si="40"/>
        <v>8522.09</v>
      </c>
      <c r="M323" s="9">
        <f t="shared" si="41"/>
        <v>0</v>
      </c>
      <c r="N323" s="9">
        <f t="array" ref="N323">+SUM(IFERROR(VALUE(L323:M323),0))</f>
        <v>8522.09</v>
      </c>
      <c r="P323" s="9" t="str">
        <f t="shared" si="42"/>
        <v>62</v>
      </c>
      <c r="Q323" s="9">
        <f t="shared" si="43"/>
        <v>8522.09</v>
      </c>
      <c r="R323" s="9">
        <f t="shared" si="44"/>
        <v>0</v>
      </c>
      <c r="S323" s="9">
        <f t="array" ref="S323">+SUM(IFERROR(VALUE(Q323:R323),0))</f>
        <v>8522.09</v>
      </c>
    </row>
    <row r="324" spans="1:19" ht="14.4">
      <c r="A324" t="s">
        <v>2691</v>
      </c>
      <c r="B324" t="s">
        <v>2692</v>
      </c>
      <c r="C324" s="27">
        <v>109.01</v>
      </c>
      <c r="D324" s="28">
        <v>0</v>
      </c>
      <c r="F324" s="9" t="str">
        <f t="shared" si="36"/>
        <v>6291</v>
      </c>
      <c r="G324" s="9">
        <f t="shared" si="37"/>
        <v>109.01</v>
      </c>
      <c r="H324" s="9">
        <f t="shared" si="38"/>
        <v>0</v>
      </c>
      <c r="I324" s="9">
        <f t="array" ref="I324">+SUM(IFERROR(VALUE(G324:H324),0))</f>
        <v>109.01</v>
      </c>
      <c r="K324" s="9" t="str">
        <f t="shared" si="39"/>
        <v>629</v>
      </c>
      <c r="L324" s="9">
        <f t="shared" si="40"/>
        <v>109.01</v>
      </c>
      <c r="M324" s="9">
        <f t="shared" si="41"/>
        <v>0</v>
      </c>
      <c r="N324" s="9">
        <f t="array" ref="N324">+SUM(IFERROR(VALUE(L324:M324),0))</f>
        <v>109.01</v>
      </c>
      <c r="P324" s="9" t="str">
        <f t="shared" si="42"/>
        <v>62</v>
      </c>
      <c r="Q324" s="9">
        <f t="shared" si="43"/>
        <v>109.01</v>
      </c>
      <c r="R324" s="9">
        <f t="shared" si="44"/>
        <v>0</v>
      </c>
      <c r="S324" s="9">
        <f t="array" ref="S324">+SUM(IFERROR(VALUE(Q324:R324),0))</f>
        <v>109.01</v>
      </c>
    </row>
    <row r="325" spans="1:19" ht="14.4">
      <c r="A325" t="s">
        <v>2693</v>
      </c>
      <c r="B325" t="s">
        <v>2694</v>
      </c>
      <c r="C325" s="27">
        <v>6241.6</v>
      </c>
      <c r="D325" s="28">
        <v>0</v>
      </c>
      <c r="F325" s="9" t="str">
        <f t="shared" si="36"/>
        <v>6291</v>
      </c>
      <c r="G325" s="9">
        <f t="shared" si="37"/>
        <v>6241.6</v>
      </c>
      <c r="H325" s="9">
        <f t="shared" si="38"/>
        <v>0</v>
      </c>
      <c r="I325" s="9">
        <f t="array" ref="I325">+SUM(IFERROR(VALUE(G325:H325),0))</f>
        <v>6241.6</v>
      </c>
      <c r="K325" s="9" t="str">
        <f t="shared" si="39"/>
        <v>629</v>
      </c>
      <c r="L325" s="9">
        <f t="shared" si="40"/>
        <v>6241.6</v>
      </c>
      <c r="M325" s="9">
        <f t="shared" si="41"/>
        <v>0</v>
      </c>
      <c r="N325" s="9">
        <f t="array" ref="N325">+SUM(IFERROR(VALUE(L325:M325),0))</f>
        <v>6241.6</v>
      </c>
      <c r="P325" s="9" t="str">
        <f t="shared" si="42"/>
        <v>62</v>
      </c>
      <c r="Q325" s="9">
        <f t="shared" si="43"/>
        <v>6241.6</v>
      </c>
      <c r="R325" s="9">
        <f t="shared" si="44"/>
        <v>0</v>
      </c>
      <c r="S325" s="9">
        <f t="array" ref="S325">+SUM(IFERROR(VALUE(Q325:R325),0))</f>
        <v>6241.6</v>
      </c>
    </row>
    <row r="326" spans="1:19" ht="14.4">
      <c r="A326" t="s">
        <v>2695</v>
      </c>
      <c r="B326" t="s">
        <v>2696</v>
      </c>
      <c r="C326" s="27">
        <v>7684.5</v>
      </c>
      <c r="D326" s="28">
        <v>0</v>
      </c>
      <c r="F326" s="9" t="str">
        <f t="shared" ref="F326:F389" si="45">+LEFT(A326,4)</f>
        <v>6291</v>
      </c>
      <c r="G326" s="9">
        <f t="shared" ref="G326:G389" si="46">+C326</f>
        <v>7684.5</v>
      </c>
      <c r="H326" s="9">
        <f t="shared" ref="H326:H389" si="47">-D326</f>
        <v>0</v>
      </c>
      <c r="I326" s="9">
        <f t="array" ref="I326">+SUM(IFERROR(VALUE(G326:H326),0))</f>
        <v>7684.5</v>
      </c>
      <c r="K326" s="9" t="str">
        <f t="shared" ref="K326:K389" si="48">+LEFT(A326,3)</f>
        <v>629</v>
      </c>
      <c r="L326" s="9">
        <f t="shared" ref="L326:L389" si="49">+C326</f>
        <v>7684.5</v>
      </c>
      <c r="M326" s="9">
        <f t="shared" ref="M326:M389" si="50">-D326</f>
        <v>0</v>
      </c>
      <c r="N326" s="9">
        <f t="array" ref="N326">+SUM(IFERROR(VALUE(L326:M326),0))</f>
        <v>7684.5</v>
      </c>
      <c r="P326" s="9" t="str">
        <f t="shared" ref="P326:P389" si="51">+LEFT(A326,2)</f>
        <v>62</v>
      </c>
      <c r="Q326" s="9">
        <f t="shared" ref="Q326:Q389" si="52">+C326</f>
        <v>7684.5</v>
      </c>
      <c r="R326" s="9">
        <f t="shared" ref="R326:R389" si="53">-D326</f>
        <v>0</v>
      </c>
      <c r="S326" s="9">
        <f t="array" ref="S326">+SUM(IFERROR(VALUE(Q326:R326),0))</f>
        <v>7684.5</v>
      </c>
    </row>
    <row r="327" spans="1:19" ht="14.4">
      <c r="A327" t="s">
        <v>2697</v>
      </c>
      <c r="B327" t="s">
        <v>2698</v>
      </c>
      <c r="C327" s="27">
        <v>314.52</v>
      </c>
      <c r="D327" s="28">
        <v>0</v>
      </c>
      <c r="F327" s="9" t="str">
        <f t="shared" si="45"/>
        <v>6291</v>
      </c>
      <c r="G327" s="9">
        <f t="shared" si="46"/>
        <v>314.52</v>
      </c>
      <c r="H327" s="9">
        <f t="shared" si="47"/>
        <v>0</v>
      </c>
      <c r="I327" s="9">
        <f t="array" ref="I327">+SUM(IFERROR(VALUE(G327:H327),0))</f>
        <v>314.52</v>
      </c>
      <c r="K327" s="9" t="str">
        <f t="shared" si="48"/>
        <v>629</v>
      </c>
      <c r="L327" s="9">
        <f t="shared" si="49"/>
        <v>314.52</v>
      </c>
      <c r="M327" s="9">
        <f t="shared" si="50"/>
        <v>0</v>
      </c>
      <c r="N327" s="9">
        <f t="array" ref="N327">+SUM(IFERROR(VALUE(L327:M327),0))</f>
        <v>314.52</v>
      </c>
      <c r="P327" s="9" t="str">
        <f t="shared" si="51"/>
        <v>62</v>
      </c>
      <c r="Q327" s="9">
        <f t="shared" si="52"/>
        <v>314.52</v>
      </c>
      <c r="R327" s="9">
        <f t="shared" si="53"/>
        <v>0</v>
      </c>
      <c r="S327" s="9">
        <f t="array" ref="S327">+SUM(IFERROR(VALUE(Q327:R327),0))</f>
        <v>314.52</v>
      </c>
    </row>
    <row r="328" spans="1:19" ht="14.4">
      <c r="A328" t="s">
        <v>2699</v>
      </c>
      <c r="B328" t="s">
        <v>2700</v>
      </c>
      <c r="C328" s="27">
        <v>1492.61</v>
      </c>
      <c r="D328" s="28">
        <v>0</v>
      </c>
      <c r="F328" s="9" t="str">
        <f t="shared" si="45"/>
        <v>6291</v>
      </c>
      <c r="G328" s="9">
        <f t="shared" si="46"/>
        <v>1492.61</v>
      </c>
      <c r="H328" s="9">
        <f t="shared" si="47"/>
        <v>0</v>
      </c>
      <c r="I328" s="9">
        <f t="array" ref="I328">+SUM(IFERROR(VALUE(G328:H328),0))</f>
        <v>1492.61</v>
      </c>
      <c r="K328" s="9" t="str">
        <f t="shared" si="48"/>
        <v>629</v>
      </c>
      <c r="L328" s="9">
        <f t="shared" si="49"/>
        <v>1492.61</v>
      </c>
      <c r="M328" s="9">
        <f t="shared" si="50"/>
        <v>0</v>
      </c>
      <c r="N328" s="9">
        <f t="array" ref="N328">+SUM(IFERROR(VALUE(L328:M328),0))</f>
        <v>1492.61</v>
      </c>
      <c r="P328" s="9" t="str">
        <f t="shared" si="51"/>
        <v>62</v>
      </c>
      <c r="Q328" s="9">
        <f t="shared" si="52"/>
        <v>1492.61</v>
      </c>
      <c r="R328" s="9">
        <f t="shared" si="53"/>
        <v>0</v>
      </c>
      <c r="S328" s="9">
        <f t="array" ref="S328">+SUM(IFERROR(VALUE(Q328:R328),0))</f>
        <v>1492.61</v>
      </c>
    </row>
    <row r="329" spans="1:19" ht="14.4">
      <c r="A329" t="s">
        <v>2701</v>
      </c>
      <c r="B329" t="s">
        <v>2702</v>
      </c>
      <c r="C329" s="27">
        <v>2777.58</v>
      </c>
      <c r="D329" s="28">
        <v>0</v>
      </c>
      <c r="F329" s="9" t="str">
        <f t="shared" si="45"/>
        <v>6291</v>
      </c>
      <c r="G329" s="9">
        <f t="shared" si="46"/>
        <v>2777.58</v>
      </c>
      <c r="H329" s="9">
        <f t="shared" si="47"/>
        <v>0</v>
      </c>
      <c r="I329" s="9">
        <f t="array" ref="I329">+SUM(IFERROR(VALUE(G329:H329),0))</f>
        <v>2777.58</v>
      </c>
      <c r="K329" s="9" t="str">
        <f t="shared" si="48"/>
        <v>629</v>
      </c>
      <c r="L329" s="9">
        <f t="shared" si="49"/>
        <v>2777.58</v>
      </c>
      <c r="M329" s="9">
        <f t="shared" si="50"/>
        <v>0</v>
      </c>
      <c r="N329" s="9">
        <f t="array" ref="N329">+SUM(IFERROR(VALUE(L329:M329),0))</f>
        <v>2777.58</v>
      </c>
      <c r="P329" s="9" t="str">
        <f t="shared" si="51"/>
        <v>62</v>
      </c>
      <c r="Q329" s="9">
        <f t="shared" si="52"/>
        <v>2777.58</v>
      </c>
      <c r="R329" s="9">
        <f t="shared" si="53"/>
        <v>0</v>
      </c>
      <c r="S329" s="9">
        <f t="array" ref="S329">+SUM(IFERROR(VALUE(Q329:R329),0))</f>
        <v>2777.58</v>
      </c>
    </row>
    <row r="330" spans="1:19" ht="14.4">
      <c r="A330" t="s">
        <v>2703</v>
      </c>
      <c r="B330" t="s">
        <v>2704</v>
      </c>
      <c r="C330" s="27">
        <v>3462.99</v>
      </c>
      <c r="D330" s="28">
        <v>0</v>
      </c>
      <c r="F330" s="9" t="str">
        <f t="shared" si="45"/>
        <v>6292</v>
      </c>
      <c r="G330" s="9">
        <f t="shared" si="46"/>
        <v>3462.99</v>
      </c>
      <c r="H330" s="9">
        <f t="shared" si="47"/>
        <v>0</v>
      </c>
      <c r="I330" s="9">
        <f t="array" ref="I330">+SUM(IFERROR(VALUE(G330:H330),0))</f>
        <v>3462.99</v>
      </c>
      <c r="K330" s="9" t="str">
        <f t="shared" si="48"/>
        <v>629</v>
      </c>
      <c r="L330" s="9">
        <f t="shared" si="49"/>
        <v>3462.99</v>
      </c>
      <c r="M330" s="9">
        <f t="shared" si="50"/>
        <v>0</v>
      </c>
      <c r="N330" s="9">
        <f t="array" ref="N330">+SUM(IFERROR(VALUE(L330:M330),0))</f>
        <v>3462.99</v>
      </c>
      <c r="P330" s="9" t="str">
        <f t="shared" si="51"/>
        <v>62</v>
      </c>
      <c r="Q330" s="9">
        <f t="shared" si="52"/>
        <v>3462.99</v>
      </c>
      <c r="R330" s="9">
        <f t="shared" si="53"/>
        <v>0</v>
      </c>
      <c r="S330" s="9">
        <f t="array" ref="S330">+SUM(IFERROR(VALUE(Q330:R330),0))</f>
        <v>3462.99</v>
      </c>
    </row>
    <row r="331" spans="1:19" ht="14.4">
      <c r="A331" t="s">
        <v>2705</v>
      </c>
      <c r="B331" t="s">
        <v>2706</v>
      </c>
      <c r="C331" s="27">
        <v>41978.91</v>
      </c>
      <c r="D331" s="28">
        <v>0</v>
      </c>
      <c r="F331" s="9" t="str">
        <f t="shared" si="45"/>
        <v>6294</v>
      </c>
      <c r="G331" s="9">
        <f t="shared" si="46"/>
        <v>41978.91</v>
      </c>
      <c r="H331" s="9">
        <f t="shared" si="47"/>
        <v>0</v>
      </c>
      <c r="I331" s="9">
        <f t="array" ref="I331">+SUM(IFERROR(VALUE(G331:H331),0))</f>
        <v>41978.91</v>
      </c>
      <c r="K331" s="9" t="str">
        <f t="shared" si="48"/>
        <v>629</v>
      </c>
      <c r="L331" s="9">
        <f t="shared" si="49"/>
        <v>41978.91</v>
      </c>
      <c r="M331" s="9">
        <f t="shared" si="50"/>
        <v>0</v>
      </c>
      <c r="N331" s="9">
        <f t="array" ref="N331">+SUM(IFERROR(VALUE(L331:M331),0))</f>
        <v>41978.91</v>
      </c>
      <c r="P331" s="9" t="str">
        <f t="shared" si="51"/>
        <v>62</v>
      </c>
      <c r="Q331" s="9">
        <f t="shared" si="52"/>
        <v>41978.91</v>
      </c>
      <c r="R331" s="9">
        <f t="shared" si="53"/>
        <v>0</v>
      </c>
      <c r="S331" s="9">
        <f t="array" ref="S331">+SUM(IFERROR(VALUE(Q331:R331),0))</f>
        <v>41978.91</v>
      </c>
    </row>
    <row r="332" spans="1:19" ht="14.4">
      <c r="A332" t="s">
        <v>2707</v>
      </c>
      <c r="B332" t="s">
        <v>2708</v>
      </c>
      <c r="C332" s="27">
        <v>44373.31</v>
      </c>
      <c r="D332" s="28">
        <v>0</v>
      </c>
      <c r="F332" s="9" t="str">
        <f t="shared" si="45"/>
        <v>6294</v>
      </c>
      <c r="G332" s="9">
        <f t="shared" si="46"/>
        <v>44373.31</v>
      </c>
      <c r="H332" s="9">
        <f t="shared" si="47"/>
        <v>0</v>
      </c>
      <c r="I332" s="9">
        <f t="array" ref="I332">+SUM(IFERROR(VALUE(G332:H332),0))</f>
        <v>44373.31</v>
      </c>
      <c r="K332" s="9" t="str">
        <f t="shared" si="48"/>
        <v>629</v>
      </c>
      <c r="L332" s="9">
        <f t="shared" si="49"/>
        <v>44373.31</v>
      </c>
      <c r="M332" s="9">
        <f t="shared" si="50"/>
        <v>0</v>
      </c>
      <c r="N332" s="9">
        <f t="array" ref="N332">+SUM(IFERROR(VALUE(L332:M332),0))</f>
        <v>44373.31</v>
      </c>
      <c r="P332" s="9" t="str">
        <f t="shared" si="51"/>
        <v>62</v>
      </c>
      <c r="Q332" s="9">
        <f t="shared" si="52"/>
        <v>44373.31</v>
      </c>
      <c r="R332" s="9">
        <f t="shared" si="53"/>
        <v>0</v>
      </c>
      <c r="S332" s="9">
        <f t="array" ref="S332">+SUM(IFERROR(VALUE(Q332:R332),0))</f>
        <v>44373.31</v>
      </c>
    </row>
    <row r="333" spans="1:19" ht="14.4">
      <c r="A333" t="s">
        <v>2709</v>
      </c>
      <c r="B333" t="s">
        <v>2710</v>
      </c>
      <c r="C333" s="27">
        <v>10549.5</v>
      </c>
      <c r="D333" s="28">
        <v>0</v>
      </c>
      <c r="F333" s="9" t="str">
        <f t="shared" si="45"/>
        <v>6294</v>
      </c>
      <c r="G333" s="9">
        <f t="shared" si="46"/>
        <v>10549.5</v>
      </c>
      <c r="H333" s="9">
        <f t="shared" si="47"/>
        <v>0</v>
      </c>
      <c r="I333" s="9">
        <f t="array" ref="I333">+SUM(IFERROR(VALUE(G333:H333),0))</f>
        <v>10549.5</v>
      </c>
      <c r="K333" s="9" t="str">
        <f t="shared" si="48"/>
        <v>629</v>
      </c>
      <c r="L333" s="9">
        <f t="shared" si="49"/>
        <v>10549.5</v>
      </c>
      <c r="M333" s="9">
        <f t="shared" si="50"/>
        <v>0</v>
      </c>
      <c r="N333" s="9">
        <f t="array" ref="N333">+SUM(IFERROR(VALUE(L333:M333),0))</f>
        <v>10549.5</v>
      </c>
      <c r="P333" s="9" t="str">
        <f t="shared" si="51"/>
        <v>62</v>
      </c>
      <c r="Q333" s="9">
        <f t="shared" si="52"/>
        <v>10549.5</v>
      </c>
      <c r="R333" s="9">
        <f t="shared" si="53"/>
        <v>0</v>
      </c>
      <c r="S333" s="9">
        <f t="array" ref="S333">+SUM(IFERROR(VALUE(Q333:R333),0))</f>
        <v>10549.5</v>
      </c>
    </row>
    <row r="334" spans="1:19" ht="14.4">
      <c r="A334" t="s">
        <v>2711</v>
      </c>
      <c r="B334" t="s">
        <v>2712</v>
      </c>
      <c r="C334" s="27">
        <v>740</v>
      </c>
      <c r="D334" s="28">
        <v>0</v>
      </c>
      <c r="F334" s="9" t="str">
        <f t="shared" si="45"/>
        <v>6294</v>
      </c>
      <c r="G334" s="9">
        <f t="shared" si="46"/>
        <v>740</v>
      </c>
      <c r="H334" s="9">
        <f t="shared" si="47"/>
        <v>0</v>
      </c>
      <c r="I334" s="9">
        <f t="array" ref="I334">+SUM(IFERROR(VALUE(G334:H334),0))</f>
        <v>740</v>
      </c>
      <c r="K334" s="9" t="str">
        <f t="shared" si="48"/>
        <v>629</v>
      </c>
      <c r="L334" s="9">
        <f t="shared" si="49"/>
        <v>740</v>
      </c>
      <c r="M334" s="9">
        <f t="shared" si="50"/>
        <v>0</v>
      </c>
      <c r="N334" s="9">
        <f t="array" ref="N334">+SUM(IFERROR(VALUE(L334:M334),0))</f>
        <v>740</v>
      </c>
      <c r="P334" s="9" t="str">
        <f t="shared" si="51"/>
        <v>62</v>
      </c>
      <c r="Q334" s="9">
        <f t="shared" si="52"/>
        <v>740</v>
      </c>
      <c r="R334" s="9">
        <f t="shared" si="53"/>
        <v>0</v>
      </c>
      <c r="S334" s="9">
        <f t="array" ref="S334">+SUM(IFERROR(VALUE(Q334:R334),0))</f>
        <v>740</v>
      </c>
    </row>
    <row r="335" spans="1:19" ht="14.4">
      <c r="A335" t="s">
        <v>2713</v>
      </c>
      <c r="B335" t="s">
        <v>2714</v>
      </c>
      <c r="C335" s="27">
        <v>30726</v>
      </c>
      <c r="D335" s="28">
        <v>0</v>
      </c>
      <c r="F335" s="9" t="str">
        <f t="shared" si="45"/>
        <v>6294</v>
      </c>
      <c r="G335" s="9">
        <f t="shared" si="46"/>
        <v>30726</v>
      </c>
      <c r="H335" s="9">
        <f t="shared" si="47"/>
        <v>0</v>
      </c>
      <c r="I335" s="9">
        <f t="array" ref="I335">+SUM(IFERROR(VALUE(G335:H335),0))</f>
        <v>30726</v>
      </c>
      <c r="K335" s="9" t="str">
        <f t="shared" si="48"/>
        <v>629</v>
      </c>
      <c r="L335" s="9">
        <f t="shared" si="49"/>
        <v>30726</v>
      </c>
      <c r="M335" s="9">
        <f t="shared" si="50"/>
        <v>0</v>
      </c>
      <c r="N335" s="9">
        <f t="array" ref="N335">+SUM(IFERROR(VALUE(L335:M335),0))</f>
        <v>30726</v>
      </c>
      <c r="P335" s="9" t="str">
        <f t="shared" si="51"/>
        <v>62</v>
      </c>
      <c r="Q335" s="9">
        <f t="shared" si="52"/>
        <v>30726</v>
      </c>
      <c r="R335" s="9">
        <f t="shared" si="53"/>
        <v>0</v>
      </c>
      <c r="S335" s="9">
        <f t="array" ref="S335">+SUM(IFERROR(VALUE(Q335:R335),0))</f>
        <v>30726</v>
      </c>
    </row>
    <row r="336" spans="1:19" ht="14.4">
      <c r="A336" t="s">
        <v>2715</v>
      </c>
      <c r="B336" t="s">
        <v>2716</v>
      </c>
      <c r="C336" s="27">
        <v>26314.57</v>
      </c>
      <c r="D336" s="28">
        <v>0</v>
      </c>
      <c r="F336" s="9" t="str">
        <f t="shared" si="45"/>
        <v>6294</v>
      </c>
      <c r="G336" s="9">
        <f t="shared" si="46"/>
        <v>26314.57</v>
      </c>
      <c r="H336" s="9">
        <f t="shared" si="47"/>
        <v>0</v>
      </c>
      <c r="I336" s="9">
        <f t="array" ref="I336">+SUM(IFERROR(VALUE(G336:H336),0))</f>
        <v>26314.57</v>
      </c>
      <c r="K336" s="9" t="str">
        <f t="shared" si="48"/>
        <v>629</v>
      </c>
      <c r="L336" s="9">
        <f t="shared" si="49"/>
        <v>26314.57</v>
      </c>
      <c r="M336" s="9">
        <f t="shared" si="50"/>
        <v>0</v>
      </c>
      <c r="N336" s="9">
        <f t="array" ref="N336">+SUM(IFERROR(VALUE(L336:M336),0))</f>
        <v>26314.57</v>
      </c>
      <c r="P336" s="9" t="str">
        <f t="shared" si="51"/>
        <v>62</v>
      </c>
      <c r="Q336" s="9">
        <f t="shared" si="52"/>
        <v>26314.57</v>
      </c>
      <c r="R336" s="9">
        <f t="shared" si="53"/>
        <v>0</v>
      </c>
      <c r="S336" s="9">
        <f t="array" ref="S336">+SUM(IFERROR(VALUE(Q336:R336),0))</f>
        <v>26314.57</v>
      </c>
    </row>
    <row r="337" spans="1:19" ht="14.4">
      <c r="A337" t="s">
        <v>2717</v>
      </c>
      <c r="B337" t="s">
        <v>2718</v>
      </c>
      <c r="C337" s="27">
        <v>5000</v>
      </c>
      <c r="D337" s="28">
        <v>0</v>
      </c>
      <c r="F337" s="9" t="str">
        <f t="shared" si="45"/>
        <v>6294</v>
      </c>
      <c r="G337" s="9">
        <f t="shared" si="46"/>
        <v>5000</v>
      </c>
      <c r="H337" s="9">
        <f t="shared" si="47"/>
        <v>0</v>
      </c>
      <c r="I337" s="9">
        <f t="array" ref="I337">+SUM(IFERROR(VALUE(G337:H337),0))</f>
        <v>5000</v>
      </c>
      <c r="K337" s="9" t="str">
        <f t="shared" si="48"/>
        <v>629</v>
      </c>
      <c r="L337" s="9">
        <f t="shared" si="49"/>
        <v>5000</v>
      </c>
      <c r="M337" s="9">
        <f t="shared" si="50"/>
        <v>0</v>
      </c>
      <c r="N337" s="9">
        <f t="array" ref="N337">+SUM(IFERROR(VALUE(L337:M337),0))</f>
        <v>5000</v>
      </c>
      <c r="P337" s="9" t="str">
        <f t="shared" si="51"/>
        <v>62</v>
      </c>
      <c r="Q337" s="9">
        <f t="shared" si="52"/>
        <v>5000</v>
      </c>
      <c r="R337" s="9">
        <f t="shared" si="53"/>
        <v>0</v>
      </c>
      <c r="S337" s="9">
        <f t="array" ref="S337">+SUM(IFERROR(VALUE(Q337:R337),0))</f>
        <v>5000</v>
      </c>
    </row>
    <row r="338" spans="1:19" ht="14.4">
      <c r="A338" t="s">
        <v>2719</v>
      </c>
      <c r="B338" t="s">
        <v>2720</v>
      </c>
      <c r="C338" s="27">
        <v>2845.5</v>
      </c>
      <c r="D338" s="28">
        <v>0</v>
      </c>
      <c r="F338" s="9" t="str">
        <f t="shared" si="45"/>
        <v>6294</v>
      </c>
      <c r="G338" s="9">
        <f t="shared" si="46"/>
        <v>2845.5</v>
      </c>
      <c r="H338" s="9">
        <f t="shared" si="47"/>
        <v>0</v>
      </c>
      <c r="I338" s="9">
        <f t="array" ref="I338">+SUM(IFERROR(VALUE(G338:H338),0))</f>
        <v>2845.5</v>
      </c>
      <c r="K338" s="9" t="str">
        <f t="shared" si="48"/>
        <v>629</v>
      </c>
      <c r="L338" s="9">
        <f t="shared" si="49"/>
        <v>2845.5</v>
      </c>
      <c r="M338" s="9">
        <f t="shared" si="50"/>
        <v>0</v>
      </c>
      <c r="N338" s="9">
        <f t="array" ref="N338">+SUM(IFERROR(VALUE(L338:M338),0))</f>
        <v>2845.5</v>
      </c>
      <c r="P338" s="9" t="str">
        <f t="shared" si="51"/>
        <v>62</v>
      </c>
      <c r="Q338" s="9">
        <f t="shared" si="52"/>
        <v>2845.5</v>
      </c>
      <c r="R338" s="9">
        <f t="shared" si="53"/>
        <v>0</v>
      </c>
      <c r="S338" s="9">
        <f t="array" ref="S338">+SUM(IFERROR(VALUE(Q338:R338),0))</f>
        <v>2845.5</v>
      </c>
    </row>
    <row r="339" spans="1:19" ht="14.4">
      <c r="A339" t="s">
        <v>2721</v>
      </c>
      <c r="B339" t="s">
        <v>2722</v>
      </c>
      <c r="C339" s="27">
        <v>11515.69</v>
      </c>
      <c r="D339" s="28">
        <v>0</v>
      </c>
      <c r="F339" s="9" t="str">
        <f t="shared" si="45"/>
        <v>6294</v>
      </c>
      <c r="G339" s="9">
        <f t="shared" si="46"/>
        <v>11515.69</v>
      </c>
      <c r="H339" s="9">
        <f t="shared" si="47"/>
        <v>0</v>
      </c>
      <c r="I339" s="9">
        <f t="array" ref="I339">+SUM(IFERROR(VALUE(G339:H339),0))</f>
        <v>11515.69</v>
      </c>
      <c r="K339" s="9" t="str">
        <f t="shared" si="48"/>
        <v>629</v>
      </c>
      <c r="L339" s="9">
        <f t="shared" si="49"/>
        <v>11515.69</v>
      </c>
      <c r="M339" s="9">
        <f t="shared" si="50"/>
        <v>0</v>
      </c>
      <c r="N339" s="9">
        <f t="array" ref="N339">+SUM(IFERROR(VALUE(L339:M339),0))</f>
        <v>11515.69</v>
      </c>
      <c r="P339" s="9" t="str">
        <f t="shared" si="51"/>
        <v>62</v>
      </c>
      <c r="Q339" s="9">
        <f t="shared" si="52"/>
        <v>11515.69</v>
      </c>
      <c r="R339" s="9">
        <f t="shared" si="53"/>
        <v>0</v>
      </c>
      <c r="S339" s="9">
        <f t="array" ref="S339">+SUM(IFERROR(VALUE(Q339:R339),0))</f>
        <v>11515.69</v>
      </c>
    </row>
    <row r="340" spans="1:19" ht="14.4">
      <c r="A340" t="s">
        <v>2723</v>
      </c>
      <c r="B340" t="s">
        <v>2724</v>
      </c>
      <c r="C340" s="27">
        <v>4725</v>
      </c>
      <c r="D340" s="28">
        <v>0</v>
      </c>
      <c r="F340" s="9" t="str">
        <f t="shared" si="45"/>
        <v>6294</v>
      </c>
      <c r="G340" s="9">
        <f t="shared" si="46"/>
        <v>4725</v>
      </c>
      <c r="H340" s="9">
        <f t="shared" si="47"/>
        <v>0</v>
      </c>
      <c r="I340" s="9">
        <f t="array" ref="I340">+SUM(IFERROR(VALUE(G340:H340),0))</f>
        <v>4725</v>
      </c>
      <c r="K340" s="9" t="str">
        <f t="shared" si="48"/>
        <v>629</v>
      </c>
      <c r="L340" s="9">
        <f t="shared" si="49"/>
        <v>4725</v>
      </c>
      <c r="M340" s="9">
        <f t="shared" si="50"/>
        <v>0</v>
      </c>
      <c r="N340" s="9">
        <f t="array" ref="N340">+SUM(IFERROR(VALUE(L340:M340),0))</f>
        <v>4725</v>
      </c>
      <c r="P340" s="9" t="str">
        <f t="shared" si="51"/>
        <v>62</v>
      </c>
      <c r="Q340" s="9">
        <f t="shared" si="52"/>
        <v>4725</v>
      </c>
      <c r="R340" s="9">
        <f t="shared" si="53"/>
        <v>0</v>
      </c>
      <c r="S340" s="9">
        <f t="array" ref="S340">+SUM(IFERROR(VALUE(Q340:R340),0))</f>
        <v>4725</v>
      </c>
    </row>
    <row r="341" spans="1:19" ht="14.4">
      <c r="A341" t="s">
        <v>2725</v>
      </c>
      <c r="B341" t="s">
        <v>2726</v>
      </c>
      <c r="C341" s="27">
        <v>35194.449999999997</v>
      </c>
      <c r="D341" s="28">
        <v>0</v>
      </c>
      <c r="F341" s="9" t="str">
        <f t="shared" si="45"/>
        <v>6294</v>
      </c>
      <c r="G341" s="9">
        <f t="shared" si="46"/>
        <v>35194.449999999997</v>
      </c>
      <c r="H341" s="9">
        <f t="shared" si="47"/>
        <v>0</v>
      </c>
      <c r="I341" s="9">
        <f t="array" ref="I341">+SUM(IFERROR(VALUE(G341:H341),0))</f>
        <v>35194.449999999997</v>
      </c>
      <c r="K341" s="9" t="str">
        <f t="shared" si="48"/>
        <v>629</v>
      </c>
      <c r="L341" s="9">
        <f t="shared" si="49"/>
        <v>35194.449999999997</v>
      </c>
      <c r="M341" s="9">
        <f t="shared" si="50"/>
        <v>0</v>
      </c>
      <c r="N341" s="9">
        <f t="array" ref="N341">+SUM(IFERROR(VALUE(L341:M341),0))</f>
        <v>35194.449999999997</v>
      </c>
      <c r="P341" s="9" t="str">
        <f t="shared" si="51"/>
        <v>62</v>
      </c>
      <c r="Q341" s="9">
        <f t="shared" si="52"/>
        <v>35194.449999999997</v>
      </c>
      <c r="R341" s="9">
        <f t="shared" si="53"/>
        <v>0</v>
      </c>
      <c r="S341" s="9">
        <f t="array" ref="S341">+SUM(IFERROR(VALUE(Q341:R341),0))</f>
        <v>35194.449999999997</v>
      </c>
    </row>
    <row r="342" spans="1:19" ht="14.4">
      <c r="A342" t="s">
        <v>2727</v>
      </c>
      <c r="B342" t="s">
        <v>2728</v>
      </c>
      <c r="C342" s="27">
        <v>57520.66</v>
      </c>
      <c r="D342" s="28">
        <v>0</v>
      </c>
      <c r="F342" s="9" t="str">
        <f t="shared" si="45"/>
        <v>6294</v>
      </c>
      <c r="G342" s="9">
        <f t="shared" si="46"/>
        <v>57520.66</v>
      </c>
      <c r="H342" s="9">
        <f t="shared" si="47"/>
        <v>0</v>
      </c>
      <c r="I342" s="9">
        <f t="array" ref="I342">+SUM(IFERROR(VALUE(G342:H342),0))</f>
        <v>57520.66</v>
      </c>
      <c r="K342" s="9" t="str">
        <f t="shared" si="48"/>
        <v>629</v>
      </c>
      <c r="L342" s="9">
        <f t="shared" si="49"/>
        <v>57520.66</v>
      </c>
      <c r="M342" s="9">
        <f t="shared" si="50"/>
        <v>0</v>
      </c>
      <c r="N342" s="9">
        <f t="array" ref="N342">+SUM(IFERROR(VALUE(L342:M342),0))</f>
        <v>57520.66</v>
      </c>
      <c r="P342" s="9" t="str">
        <f t="shared" si="51"/>
        <v>62</v>
      </c>
      <c r="Q342" s="9">
        <f t="shared" si="52"/>
        <v>57520.66</v>
      </c>
      <c r="R342" s="9">
        <f t="shared" si="53"/>
        <v>0</v>
      </c>
      <c r="S342" s="9">
        <f t="array" ref="S342">+SUM(IFERROR(VALUE(Q342:R342),0))</f>
        <v>57520.66</v>
      </c>
    </row>
    <row r="343" spans="1:19" ht="14.4">
      <c r="A343" t="s">
        <v>2729</v>
      </c>
      <c r="B343" t="s">
        <v>2730</v>
      </c>
      <c r="C343" s="27">
        <v>2680.14</v>
      </c>
      <c r="D343" s="28">
        <v>0</v>
      </c>
      <c r="F343" s="9" t="str">
        <f t="shared" si="45"/>
        <v>6294</v>
      </c>
      <c r="G343" s="9">
        <f t="shared" si="46"/>
        <v>2680.14</v>
      </c>
      <c r="H343" s="9">
        <f t="shared" si="47"/>
        <v>0</v>
      </c>
      <c r="I343" s="9">
        <f t="array" ref="I343">+SUM(IFERROR(VALUE(G343:H343),0))</f>
        <v>2680.14</v>
      </c>
      <c r="K343" s="9" t="str">
        <f t="shared" si="48"/>
        <v>629</v>
      </c>
      <c r="L343" s="9">
        <f t="shared" si="49"/>
        <v>2680.14</v>
      </c>
      <c r="M343" s="9">
        <f t="shared" si="50"/>
        <v>0</v>
      </c>
      <c r="N343" s="9">
        <f t="array" ref="N343">+SUM(IFERROR(VALUE(L343:M343),0))</f>
        <v>2680.14</v>
      </c>
      <c r="P343" s="9" t="str">
        <f t="shared" si="51"/>
        <v>62</v>
      </c>
      <c r="Q343" s="9">
        <f t="shared" si="52"/>
        <v>2680.14</v>
      </c>
      <c r="R343" s="9">
        <f t="shared" si="53"/>
        <v>0</v>
      </c>
      <c r="S343" s="9">
        <f t="array" ref="S343">+SUM(IFERROR(VALUE(Q343:R343),0))</f>
        <v>2680.14</v>
      </c>
    </row>
    <row r="344" spans="1:19" ht="14.4">
      <c r="A344" t="s">
        <v>2731</v>
      </c>
      <c r="B344" t="s">
        <v>2732</v>
      </c>
      <c r="C344" s="27">
        <v>5632</v>
      </c>
      <c r="D344" s="28">
        <v>0</v>
      </c>
      <c r="F344" s="9" t="str">
        <f t="shared" si="45"/>
        <v>6295</v>
      </c>
      <c r="G344" s="9">
        <f t="shared" si="46"/>
        <v>5632</v>
      </c>
      <c r="H344" s="9">
        <f t="shared" si="47"/>
        <v>0</v>
      </c>
      <c r="I344" s="9">
        <f t="array" ref="I344">+SUM(IFERROR(VALUE(G344:H344),0))</f>
        <v>5632</v>
      </c>
      <c r="K344" s="9" t="str">
        <f t="shared" si="48"/>
        <v>629</v>
      </c>
      <c r="L344" s="9">
        <f t="shared" si="49"/>
        <v>5632</v>
      </c>
      <c r="M344" s="9">
        <f t="shared" si="50"/>
        <v>0</v>
      </c>
      <c r="N344" s="9">
        <f t="array" ref="N344">+SUM(IFERROR(VALUE(L344:M344),0))</f>
        <v>5632</v>
      </c>
      <c r="P344" s="9" t="str">
        <f t="shared" si="51"/>
        <v>62</v>
      </c>
      <c r="Q344" s="9">
        <f t="shared" si="52"/>
        <v>5632</v>
      </c>
      <c r="R344" s="9">
        <f t="shared" si="53"/>
        <v>0</v>
      </c>
      <c r="S344" s="9">
        <f t="array" ref="S344">+SUM(IFERROR(VALUE(Q344:R344),0))</f>
        <v>5632</v>
      </c>
    </row>
    <row r="345" spans="1:19" ht="14.4">
      <c r="A345" t="s">
        <v>2733</v>
      </c>
      <c r="B345" t="s">
        <v>2734</v>
      </c>
      <c r="C345" s="27">
        <v>1860</v>
      </c>
      <c r="D345" s="28">
        <v>0</v>
      </c>
      <c r="F345" s="9" t="str">
        <f t="shared" si="45"/>
        <v>6295</v>
      </c>
      <c r="G345" s="9">
        <f t="shared" si="46"/>
        <v>1860</v>
      </c>
      <c r="H345" s="9">
        <f t="shared" si="47"/>
        <v>0</v>
      </c>
      <c r="I345" s="9">
        <f t="array" ref="I345">+SUM(IFERROR(VALUE(G345:H345),0))</f>
        <v>1860</v>
      </c>
      <c r="K345" s="9" t="str">
        <f t="shared" si="48"/>
        <v>629</v>
      </c>
      <c r="L345" s="9">
        <f t="shared" si="49"/>
        <v>1860</v>
      </c>
      <c r="M345" s="9">
        <f t="shared" si="50"/>
        <v>0</v>
      </c>
      <c r="N345" s="9">
        <f t="array" ref="N345">+SUM(IFERROR(VALUE(L345:M345),0))</f>
        <v>1860</v>
      </c>
      <c r="P345" s="9" t="str">
        <f t="shared" si="51"/>
        <v>62</v>
      </c>
      <c r="Q345" s="9">
        <f t="shared" si="52"/>
        <v>1860</v>
      </c>
      <c r="R345" s="9">
        <f t="shared" si="53"/>
        <v>0</v>
      </c>
      <c r="S345" s="9">
        <f t="array" ref="S345">+SUM(IFERROR(VALUE(Q345:R345),0))</f>
        <v>1860</v>
      </c>
    </row>
    <row r="346" spans="1:19" ht="14.4">
      <c r="A346" t="s">
        <v>2735</v>
      </c>
      <c r="B346" t="s">
        <v>2736</v>
      </c>
      <c r="C346" s="27">
        <v>11249.5</v>
      </c>
      <c r="D346" s="28">
        <v>0</v>
      </c>
      <c r="F346" s="9" t="str">
        <f t="shared" si="45"/>
        <v>6296</v>
      </c>
      <c r="G346" s="9">
        <f t="shared" si="46"/>
        <v>11249.5</v>
      </c>
      <c r="H346" s="9">
        <f t="shared" si="47"/>
        <v>0</v>
      </c>
      <c r="I346" s="9">
        <f t="array" ref="I346">+SUM(IFERROR(VALUE(G346:H346),0))</f>
        <v>11249.5</v>
      </c>
      <c r="K346" s="9" t="str">
        <f t="shared" si="48"/>
        <v>629</v>
      </c>
      <c r="L346" s="9">
        <f t="shared" si="49"/>
        <v>11249.5</v>
      </c>
      <c r="M346" s="9">
        <f t="shared" si="50"/>
        <v>0</v>
      </c>
      <c r="N346" s="9">
        <f t="array" ref="N346">+SUM(IFERROR(VALUE(L346:M346),0))</f>
        <v>11249.5</v>
      </c>
      <c r="P346" s="9" t="str">
        <f t="shared" si="51"/>
        <v>62</v>
      </c>
      <c r="Q346" s="9">
        <f t="shared" si="52"/>
        <v>11249.5</v>
      </c>
      <c r="R346" s="9">
        <f t="shared" si="53"/>
        <v>0</v>
      </c>
      <c r="S346" s="9">
        <f t="array" ref="S346">+SUM(IFERROR(VALUE(Q346:R346),0))</f>
        <v>11249.5</v>
      </c>
    </row>
    <row r="347" spans="1:19" ht="14.4">
      <c r="A347" t="s">
        <v>2737</v>
      </c>
      <c r="B347" t="s">
        <v>2738</v>
      </c>
      <c r="C347" s="27">
        <v>16049</v>
      </c>
      <c r="D347" s="28">
        <v>0</v>
      </c>
      <c r="F347" s="9" t="str">
        <f t="shared" si="45"/>
        <v>6298</v>
      </c>
      <c r="G347" s="9">
        <f t="shared" si="46"/>
        <v>16049</v>
      </c>
      <c r="H347" s="9">
        <f t="shared" si="47"/>
        <v>0</v>
      </c>
      <c r="I347" s="9">
        <f t="array" ref="I347">+SUM(IFERROR(VALUE(G347:H347),0))</f>
        <v>16049</v>
      </c>
      <c r="K347" s="9" t="str">
        <f t="shared" si="48"/>
        <v>629</v>
      </c>
      <c r="L347" s="9">
        <f t="shared" si="49"/>
        <v>16049</v>
      </c>
      <c r="M347" s="9">
        <f t="shared" si="50"/>
        <v>0</v>
      </c>
      <c r="N347" s="9">
        <f t="array" ref="N347">+SUM(IFERROR(VALUE(L347:M347),0))</f>
        <v>16049</v>
      </c>
      <c r="P347" s="9" t="str">
        <f t="shared" si="51"/>
        <v>62</v>
      </c>
      <c r="Q347" s="9">
        <f t="shared" si="52"/>
        <v>16049</v>
      </c>
      <c r="R347" s="9">
        <f t="shared" si="53"/>
        <v>0</v>
      </c>
      <c r="S347" s="9">
        <f t="array" ref="S347">+SUM(IFERROR(VALUE(Q347:R347),0))</f>
        <v>16049</v>
      </c>
    </row>
    <row r="348" spans="1:19" ht="14.4">
      <c r="A348" t="s">
        <v>2739</v>
      </c>
      <c r="B348" t="s">
        <v>2740</v>
      </c>
      <c r="C348" s="27">
        <v>6882</v>
      </c>
      <c r="D348" s="28">
        <v>0</v>
      </c>
      <c r="F348" s="9" t="str">
        <f t="shared" si="45"/>
        <v>6299</v>
      </c>
      <c r="G348" s="9">
        <f t="shared" si="46"/>
        <v>6882</v>
      </c>
      <c r="H348" s="9">
        <f t="shared" si="47"/>
        <v>0</v>
      </c>
      <c r="I348" s="9">
        <f t="array" ref="I348">+SUM(IFERROR(VALUE(G348:H348),0))</f>
        <v>6882</v>
      </c>
      <c r="K348" s="9" t="str">
        <f t="shared" si="48"/>
        <v>629</v>
      </c>
      <c r="L348" s="9">
        <f t="shared" si="49"/>
        <v>6882</v>
      </c>
      <c r="M348" s="9">
        <f t="shared" si="50"/>
        <v>0</v>
      </c>
      <c r="N348" s="9">
        <f t="array" ref="N348">+SUM(IFERROR(VALUE(L348:M348),0))</f>
        <v>6882</v>
      </c>
      <c r="P348" s="9" t="str">
        <f t="shared" si="51"/>
        <v>62</v>
      </c>
      <c r="Q348" s="9">
        <f t="shared" si="52"/>
        <v>6882</v>
      </c>
      <c r="R348" s="9">
        <f t="shared" si="53"/>
        <v>0</v>
      </c>
      <c r="S348" s="9">
        <f t="array" ref="S348">+SUM(IFERROR(VALUE(Q348:R348),0))</f>
        <v>6882</v>
      </c>
    </row>
    <row r="349" spans="1:19" ht="14.4">
      <c r="A349" t="s">
        <v>2741</v>
      </c>
      <c r="B349" t="s">
        <v>2742</v>
      </c>
      <c r="C349" s="27">
        <v>7239.1</v>
      </c>
      <c r="D349" s="28">
        <v>0</v>
      </c>
      <c r="F349" s="9" t="str">
        <f t="shared" si="45"/>
        <v>6299</v>
      </c>
      <c r="G349" s="9">
        <f t="shared" si="46"/>
        <v>7239.1</v>
      </c>
      <c r="H349" s="9">
        <f t="shared" si="47"/>
        <v>0</v>
      </c>
      <c r="I349" s="9">
        <f t="array" ref="I349">+SUM(IFERROR(VALUE(G349:H349),0))</f>
        <v>7239.1</v>
      </c>
      <c r="K349" s="9" t="str">
        <f t="shared" si="48"/>
        <v>629</v>
      </c>
      <c r="L349" s="9">
        <f t="shared" si="49"/>
        <v>7239.1</v>
      </c>
      <c r="M349" s="9">
        <f t="shared" si="50"/>
        <v>0</v>
      </c>
      <c r="N349" s="9">
        <f t="array" ref="N349">+SUM(IFERROR(VALUE(L349:M349),0))</f>
        <v>7239.1</v>
      </c>
      <c r="P349" s="9" t="str">
        <f t="shared" si="51"/>
        <v>62</v>
      </c>
      <c r="Q349" s="9">
        <f t="shared" si="52"/>
        <v>7239.1</v>
      </c>
      <c r="R349" s="9">
        <f t="shared" si="53"/>
        <v>0</v>
      </c>
      <c r="S349" s="9">
        <f t="array" ref="S349">+SUM(IFERROR(VALUE(Q349:R349),0))</f>
        <v>7239.1</v>
      </c>
    </row>
    <row r="350" spans="1:19" ht="14.4">
      <c r="A350" t="s">
        <v>2743</v>
      </c>
      <c r="B350" t="s">
        <v>2744</v>
      </c>
      <c r="C350" s="27">
        <v>5925.4</v>
      </c>
      <c r="D350" s="28">
        <v>0</v>
      </c>
      <c r="F350" s="9" t="str">
        <f t="shared" si="45"/>
        <v>6299</v>
      </c>
      <c r="G350" s="9">
        <f t="shared" si="46"/>
        <v>5925.4</v>
      </c>
      <c r="H350" s="9">
        <f t="shared" si="47"/>
        <v>0</v>
      </c>
      <c r="I350" s="9">
        <f t="array" ref="I350">+SUM(IFERROR(VALUE(G350:H350),0))</f>
        <v>5925.4</v>
      </c>
      <c r="K350" s="9" t="str">
        <f t="shared" si="48"/>
        <v>629</v>
      </c>
      <c r="L350" s="9">
        <f t="shared" si="49"/>
        <v>5925.4</v>
      </c>
      <c r="M350" s="9">
        <f t="shared" si="50"/>
        <v>0</v>
      </c>
      <c r="N350" s="9">
        <f t="array" ref="N350">+SUM(IFERROR(VALUE(L350:M350),0))</f>
        <v>5925.4</v>
      </c>
      <c r="P350" s="9" t="str">
        <f t="shared" si="51"/>
        <v>62</v>
      </c>
      <c r="Q350" s="9">
        <f t="shared" si="52"/>
        <v>5925.4</v>
      </c>
      <c r="R350" s="9">
        <f t="shared" si="53"/>
        <v>0</v>
      </c>
      <c r="S350" s="9">
        <f t="array" ref="S350">+SUM(IFERROR(VALUE(Q350:R350),0))</f>
        <v>5925.4</v>
      </c>
    </row>
    <row r="351" spans="1:19" ht="14.4">
      <c r="A351" t="s">
        <v>2745</v>
      </c>
      <c r="B351" t="s">
        <v>2746</v>
      </c>
      <c r="C351" s="27">
        <v>99083.28</v>
      </c>
      <c r="D351" s="28">
        <v>0</v>
      </c>
      <c r="F351" s="9" t="str">
        <f t="shared" si="45"/>
        <v>6310</v>
      </c>
      <c r="G351" s="9">
        <f t="shared" si="46"/>
        <v>99083.28</v>
      </c>
      <c r="H351" s="9">
        <f t="shared" si="47"/>
        <v>0</v>
      </c>
      <c r="I351" s="9">
        <f t="array" ref="I351">+SUM(IFERROR(VALUE(G351:H351),0))</f>
        <v>99083.28</v>
      </c>
      <c r="K351" s="9" t="str">
        <f t="shared" si="48"/>
        <v>631</v>
      </c>
      <c r="L351" s="9">
        <f t="shared" si="49"/>
        <v>99083.28</v>
      </c>
      <c r="M351" s="9">
        <f t="shared" si="50"/>
        <v>0</v>
      </c>
      <c r="N351" s="9">
        <f t="array" ref="N351">+SUM(IFERROR(VALUE(L351:M351),0))</f>
        <v>99083.28</v>
      </c>
      <c r="P351" s="9" t="str">
        <f t="shared" si="51"/>
        <v>63</v>
      </c>
      <c r="Q351" s="9">
        <f t="shared" si="52"/>
        <v>99083.28</v>
      </c>
      <c r="R351" s="9">
        <f t="shared" si="53"/>
        <v>0</v>
      </c>
      <c r="S351" s="9">
        <f t="array" ref="S351">+SUM(IFERROR(VALUE(Q351:R351),0))</f>
        <v>99083.28</v>
      </c>
    </row>
    <row r="352" spans="1:19" ht="14.4">
      <c r="A352" t="s">
        <v>2747</v>
      </c>
      <c r="B352" t="s">
        <v>2748</v>
      </c>
      <c r="C352" s="27">
        <v>67259.14</v>
      </c>
      <c r="D352" s="28">
        <v>0</v>
      </c>
      <c r="F352" s="9" t="str">
        <f t="shared" si="45"/>
        <v>6310</v>
      </c>
      <c r="G352" s="9">
        <f t="shared" si="46"/>
        <v>67259.14</v>
      </c>
      <c r="H352" s="9">
        <f t="shared" si="47"/>
        <v>0</v>
      </c>
      <c r="I352" s="9">
        <f t="array" ref="I352">+SUM(IFERROR(VALUE(G352:H352),0))</f>
        <v>67259.14</v>
      </c>
      <c r="K352" s="9" t="str">
        <f t="shared" si="48"/>
        <v>631</v>
      </c>
      <c r="L352" s="9">
        <f t="shared" si="49"/>
        <v>67259.14</v>
      </c>
      <c r="M352" s="9">
        <f t="shared" si="50"/>
        <v>0</v>
      </c>
      <c r="N352" s="9">
        <f t="array" ref="N352">+SUM(IFERROR(VALUE(L352:M352),0))</f>
        <v>67259.14</v>
      </c>
      <c r="P352" s="9" t="str">
        <f t="shared" si="51"/>
        <v>63</v>
      </c>
      <c r="Q352" s="9">
        <f t="shared" si="52"/>
        <v>67259.14</v>
      </c>
      <c r="R352" s="9">
        <f t="shared" si="53"/>
        <v>0</v>
      </c>
      <c r="S352" s="9">
        <f t="array" ref="S352">+SUM(IFERROR(VALUE(Q352:R352),0))</f>
        <v>67259.14</v>
      </c>
    </row>
    <row r="353" spans="1:19" ht="14.4">
      <c r="A353" t="s">
        <v>2749</v>
      </c>
      <c r="B353" t="s">
        <v>2750</v>
      </c>
      <c r="C353" s="27">
        <v>4500.6099999999997</v>
      </c>
      <c r="D353" s="28">
        <v>0</v>
      </c>
      <c r="F353" s="9" t="str">
        <f t="shared" si="45"/>
        <v>6310</v>
      </c>
      <c r="G353" s="9">
        <f t="shared" si="46"/>
        <v>4500.6099999999997</v>
      </c>
      <c r="H353" s="9">
        <f t="shared" si="47"/>
        <v>0</v>
      </c>
      <c r="I353" s="9">
        <f t="array" ref="I353">+SUM(IFERROR(VALUE(G353:H353),0))</f>
        <v>4500.6099999999997</v>
      </c>
      <c r="K353" s="9" t="str">
        <f t="shared" si="48"/>
        <v>631</v>
      </c>
      <c r="L353" s="9">
        <f t="shared" si="49"/>
        <v>4500.6099999999997</v>
      </c>
      <c r="M353" s="9">
        <f t="shared" si="50"/>
        <v>0</v>
      </c>
      <c r="N353" s="9">
        <f t="array" ref="N353">+SUM(IFERROR(VALUE(L353:M353),0))</f>
        <v>4500.6099999999997</v>
      </c>
      <c r="P353" s="9" t="str">
        <f t="shared" si="51"/>
        <v>63</v>
      </c>
      <c r="Q353" s="9">
        <f t="shared" si="52"/>
        <v>4500.6099999999997</v>
      </c>
      <c r="R353" s="9">
        <f t="shared" si="53"/>
        <v>0</v>
      </c>
      <c r="S353" s="9">
        <f t="array" ref="S353">+SUM(IFERROR(VALUE(Q353:R353),0))</f>
        <v>4500.6099999999997</v>
      </c>
    </row>
    <row r="354" spans="1:19" ht="14.4">
      <c r="A354" t="s">
        <v>2751</v>
      </c>
      <c r="B354" t="s">
        <v>2752</v>
      </c>
      <c r="C354" s="27">
        <v>40706.75</v>
      </c>
      <c r="D354" s="28">
        <v>0</v>
      </c>
      <c r="F354" s="9" t="str">
        <f t="shared" si="45"/>
        <v>6310</v>
      </c>
      <c r="G354" s="9">
        <f t="shared" si="46"/>
        <v>40706.75</v>
      </c>
      <c r="H354" s="9">
        <f t="shared" si="47"/>
        <v>0</v>
      </c>
      <c r="I354" s="9">
        <f t="array" ref="I354">+SUM(IFERROR(VALUE(G354:H354),0))</f>
        <v>40706.75</v>
      </c>
      <c r="K354" s="9" t="str">
        <f t="shared" si="48"/>
        <v>631</v>
      </c>
      <c r="L354" s="9">
        <f t="shared" si="49"/>
        <v>40706.75</v>
      </c>
      <c r="M354" s="9">
        <f t="shared" si="50"/>
        <v>0</v>
      </c>
      <c r="N354" s="9">
        <f t="array" ref="N354">+SUM(IFERROR(VALUE(L354:M354),0))</f>
        <v>40706.75</v>
      </c>
      <c r="P354" s="9" t="str">
        <f t="shared" si="51"/>
        <v>63</v>
      </c>
      <c r="Q354" s="9">
        <f t="shared" si="52"/>
        <v>40706.75</v>
      </c>
      <c r="R354" s="9">
        <f t="shared" si="53"/>
        <v>0</v>
      </c>
      <c r="S354" s="9">
        <f t="array" ref="S354">+SUM(IFERROR(VALUE(Q354:R354),0))</f>
        <v>40706.75</v>
      </c>
    </row>
    <row r="355" spans="1:19" ht="14.4">
      <c r="A355" t="s">
        <v>2753</v>
      </c>
      <c r="B355" t="s">
        <v>2754</v>
      </c>
      <c r="C355" s="27">
        <v>5666.48</v>
      </c>
      <c r="D355" s="28">
        <v>0</v>
      </c>
      <c r="F355" s="9" t="str">
        <f t="shared" si="45"/>
        <v>6310</v>
      </c>
      <c r="G355" s="9">
        <f t="shared" si="46"/>
        <v>5666.48</v>
      </c>
      <c r="H355" s="9">
        <f t="shared" si="47"/>
        <v>0</v>
      </c>
      <c r="I355" s="9">
        <f t="array" ref="I355">+SUM(IFERROR(VALUE(G355:H355),0))</f>
        <v>5666.48</v>
      </c>
      <c r="K355" s="9" t="str">
        <f t="shared" si="48"/>
        <v>631</v>
      </c>
      <c r="L355" s="9">
        <f t="shared" si="49"/>
        <v>5666.48</v>
      </c>
      <c r="M355" s="9">
        <f t="shared" si="50"/>
        <v>0</v>
      </c>
      <c r="N355" s="9">
        <f t="array" ref="N355">+SUM(IFERROR(VALUE(L355:M355),0))</f>
        <v>5666.48</v>
      </c>
      <c r="P355" s="9" t="str">
        <f t="shared" si="51"/>
        <v>63</v>
      </c>
      <c r="Q355" s="9">
        <f t="shared" si="52"/>
        <v>5666.48</v>
      </c>
      <c r="R355" s="9">
        <f t="shared" si="53"/>
        <v>0</v>
      </c>
      <c r="S355" s="9">
        <f t="array" ref="S355">+SUM(IFERROR(VALUE(Q355:R355),0))</f>
        <v>5666.48</v>
      </c>
    </row>
    <row r="356" spans="1:19" ht="14.4">
      <c r="A356" t="s">
        <v>2755</v>
      </c>
      <c r="B356" t="s">
        <v>2756</v>
      </c>
      <c r="C356" s="27">
        <v>605.61</v>
      </c>
      <c r="D356" s="28">
        <v>0</v>
      </c>
      <c r="F356" s="9" t="str">
        <f t="shared" si="45"/>
        <v>6311</v>
      </c>
      <c r="G356" s="9">
        <f t="shared" si="46"/>
        <v>605.61</v>
      </c>
      <c r="H356" s="9">
        <f t="shared" si="47"/>
        <v>0</v>
      </c>
      <c r="I356" s="9">
        <f t="array" ref="I356">+SUM(IFERROR(VALUE(G356:H356),0))</f>
        <v>605.61</v>
      </c>
      <c r="K356" s="9" t="str">
        <f t="shared" si="48"/>
        <v>631</v>
      </c>
      <c r="L356" s="9">
        <f t="shared" si="49"/>
        <v>605.61</v>
      </c>
      <c r="M356" s="9">
        <f t="shared" si="50"/>
        <v>0</v>
      </c>
      <c r="N356" s="9">
        <f t="array" ref="N356">+SUM(IFERROR(VALUE(L356:M356),0))</f>
        <v>605.61</v>
      </c>
      <c r="P356" s="9" t="str">
        <f t="shared" si="51"/>
        <v>63</v>
      </c>
      <c r="Q356" s="9">
        <f t="shared" si="52"/>
        <v>605.61</v>
      </c>
      <c r="R356" s="9">
        <f t="shared" si="53"/>
        <v>0</v>
      </c>
      <c r="S356" s="9">
        <f t="array" ref="S356">+SUM(IFERROR(VALUE(Q356:R356),0))</f>
        <v>605.61</v>
      </c>
    </row>
    <row r="357" spans="1:19" ht="14.4">
      <c r="A357" t="s">
        <v>2757</v>
      </c>
      <c r="B357" t="s">
        <v>2758</v>
      </c>
      <c r="C357" s="27">
        <v>1856576.06</v>
      </c>
      <c r="D357" s="28">
        <v>0</v>
      </c>
      <c r="F357" s="9" t="str">
        <f t="shared" si="45"/>
        <v>6401</v>
      </c>
      <c r="G357" s="9">
        <f t="shared" si="46"/>
        <v>1856576.06</v>
      </c>
      <c r="H357" s="9">
        <f t="shared" si="47"/>
        <v>0</v>
      </c>
      <c r="I357" s="9">
        <f t="array" ref="I357">+SUM(IFERROR(VALUE(G357:H357),0))</f>
        <v>1856576.06</v>
      </c>
      <c r="K357" s="9" t="str">
        <f t="shared" si="48"/>
        <v>640</v>
      </c>
      <c r="L357" s="9">
        <f t="shared" si="49"/>
        <v>1856576.06</v>
      </c>
      <c r="M357" s="9">
        <f t="shared" si="50"/>
        <v>0</v>
      </c>
      <c r="N357" s="9">
        <f t="array" ref="N357">+SUM(IFERROR(VALUE(L357:M357),0))</f>
        <v>1856576.06</v>
      </c>
      <c r="P357" s="9" t="str">
        <f t="shared" si="51"/>
        <v>64</v>
      </c>
      <c r="Q357" s="9">
        <f t="shared" si="52"/>
        <v>1856576.06</v>
      </c>
      <c r="R357" s="9">
        <f t="shared" si="53"/>
        <v>0</v>
      </c>
      <c r="S357" s="9">
        <f t="array" ref="S357">+SUM(IFERROR(VALUE(Q357:R357),0))</f>
        <v>1856576.06</v>
      </c>
    </row>
    <row r="358" spans="1:19" ht="14.4">
      <c r="A358" t="s">
        <v>2759</v>
      </c>
      <c r="B358" t="s">
        <v>2760</v>
      </c>
      <c r="C358" s="27">
        <v>1008000</v>
      </c>
      <c r="D358" s="28">
        <v>0</v>
      </c>
      <c r="F358" s="9" t="str">
        <f t="shared" si="45"/>
        <v>6402</v>
      </c>
      <c r="G358" s="9">
        <f t="shared" si="46"/>
        <v>1008000</v>
      </c>
      <c r="H358" s="9">
        <f t="shared" si="47"/>
        <v>0</v>
      </c>
      <c r="I358" s="9">
        <f t="array" ref="I358">+SUM(IFERROR(VALUE(G358:H358),0))</f>
        <v>1008000</v>
      </c>
      <c r="K358" s="9" t="str">
        <f t="shared" si="48"/>
        <v>640</v>
      </c>
      <c r="L358" s="9">
        <f t="shared" si="49"/>
        <v>1008000</v>
      </c>
      <c r="M358" s="9">
        <f t="shared" si="50"/>
        <v>0</v>
      </c>
      <c r="N358" s="9">
        <f t="array" ref="N358">+SUM(IFERROR(VALUE(L358:M358),0))</f>
        <v>1008000</v>
      </c>
      <c r="P358" s="9" t="str">
        <f t="shared" si="51"/>
        <v>64</v>
      </c>
      <c r="Q358" s="9">
        <f t="shared" si="52"/>
        <v>1008000</v>
      </c>
      <c r="R358" s="9">
        <f t="shared" si="53"/>
        <v>0</v>
      </c>
      <c r="S358" s="9">
        <f t="array" ref="S358">+SUM(IFERROR(VALUE(Q358:R358),0))</f>
        <v>1008000</v>
      </c>
    </row>
    <row r="359" spans="1:19" ht="14.4">
      <c r="A359" t="s">
        <v>2761</v>
      </c>
      <c r="B359" t="s">
        <v>2762</v>
      </c>
      <c r="C359" s="27">
        <v>487685.67</v>
      </c>
      <c r="D359" s="28">
        <v>0</v>
      </c>
      <c r="F359" s="9" t="str">
        <f t="shared" si="45"/>
        <v>6402</v>
      </c>
      <c r="G359" s="9">
        <f t="shared" si="46"/>
        <v>487685.67</v>
      </c>
      <c r="H359" s="9">
        <f t="shared" si="47"/>
        <v>0</v>
      </c>
      <c r="I359" s="9">
        <f t="array" ref="I359">+SUM(IFERROR(VALUE(G359:H359),0))</f>
        <v>487685.67</v>
      </c>
      <c r="K359" s="9" t="str">
        <f t="shared" si="48"/>
        <v>640</v>
      </c>
      <c r="L359" s="9">
        <f t="shared" si="49"/>
        <v>487685.67</v>
      </c>
      <c r="M359" s="9">
        <f t="shared" si="50"/>
        <v>0</v>
      </c>
      <c r="N359" s="9">
        <f t="array" ref="N359">+SUM(IFERROR(VALUE(L359:M359),0))</f>
        <v>487685.67</v>
      </c>
      <c r="P359" s="9" t="str">
        <f t="shared" si="51"/>
        <v>64</v>
      </c>
      <c r="Q359" s="9">
        <f t="shared" si="52"/>
        <v>487685.67</v>
      </c>
      <c r="R359" s="9">
        <f t="shared" si="53"/>
        <v>0</v>
      </c>
      <c r="S359" s="9">
        <f t="array" ref="S359">+SUM(IFERROR(VALUE(Q359:R359),0))</f>
        <v>487685.67</v>
      </c>
    </row>
    <row r="360" spans="1:19" ht="14.4">
      <c r="A360" t="s">
        <v>2763</v>
      </c>
      <c r="B360" t="s">
        <v>2764</v>
      </c>
      <c r="C360" s="27">
        <v>37352.629999999997</v>
      </c>
      <c r="D360" s="28">
        <v>0</v>
      </c>
      <c r="F360" s="9" t="str">
        <f t="shared" si="45"/>
        <v>6410</v>
      </c>
      <c r="G360" s="9">
        <f t="shared" si="46"/>
        <v>37352.629999999997</v>
      </c>
      <c r="H360" s="9">
        <f t="shared" si="47"/>
        <v>0</v>
      </c>
      <c r="I360" s="9">
        <f t="array" ref="I360">+SUM(IFERROR(VALUE(G360:H360),0))</f>
        <v>37352.629999999997</v>
      </c>
      <c r="K360" s="9" t="str">
        <f t="shared" si="48"/>
        <v>641</v>
      </c>
      <c r="L360" s="9">
        <f t="shared" si="49"/>
        <v>37352.629999999997</v>
      </c>
      <c r="M360" s="9">
        <f t="shared" si="50"/>
        <v>0</v>
      </c>
      <c r="N360" s="9">
        <f t="array" ref="N360">+SUM(IFERROR(VALUE(L360:M360),0))</f>
        <v>37352.629999999997</v>
      </c>
      <c r="P360" s="9" t="str">
        <f t="shared" si="51"/>
        <v>64</v>
      </c>
      <c r="Q360" s="9">
        <f t="shared" si="52"/>
        <v>37352.629999999997</v>
      </c>
      <c r="R360" s="9">
        <f t="shared" si="53"/>
        <v>0</v>
      </c>
      <c r="S360" s="9">
        <f t="array" ref="S360">+SUM(IFERROR(VALUE(Q360:R360),0))</f>
        <v>37352.629999999997</v>
      </c>
    </row>
    <row r="361" spans="1:19" ht="14.4">
      <c r="A361" t="s">
        <v>2765</v>
      </c>
      <c r="B361" t="s">
        <v>2766</v>
      </c>
      <c r="C361" s="27">
        <v>622414.17000000004</v>
      </c>
      <c r="D361" s="28">
        <v>0</v>
      </c>
      <c r="F361" s="9" t="str">
        <f t="shared" si="45"/>
        <v>6420</v>
      </c>
      <c r="G361" s="9">
        <f t="shared" si="46"/>
        <v>622414.17000000004</v>
      </c>
      <c r="H361" s="9">
        <f t="shared" si="47"/>
        <v>0</v>
      </c>
      <c r="I361" s="9">
        <f t="array" ref="I361">+SUM(IFERROR(VALUE(G361:H361),0))</f>
        <v>622414.17000000004</v>
      </c>
      <c r="K361" s="9" t="str">
        <f t="shared" si="48"/>
        <v>642</v>
      </c>
      <c r="L361" s="9">
        <f t="shared" si="49"/>
        <v>622414.17000000004</v>
      </c>
      <c r="M361" s="9">
        <f t="shared" si="50"/>
        <v>0</v>
      </c>
      <c r="N361" s="9">
        <f t="array" ref="N361">+SUM(IFERROR(VALUE(L361:M361),0))</f>
        <v>622414.17000000004</v>
      </c>
      <c r="P361" s="9" t="str">
        <f t="shared" si="51"/>
        <v>64</v>
      </c>
      <c r="Q361" s="9">
        <f t="shared" si="52"/>
        <v>622414.17000000004</v>
      </c>
      <c r="R361" s="9">
        <f t="shared" si="53"/>
        <v>0</v>
      </c>
      <c r="S361" s="9">
        <f t="array" ref="S361">+SUM(IFERROR(VALUE(Q361:R361),0))</f>
        <v>622414.17000000004</v>
      </c>
    </row>
    <row r="362" spans="1:19" ht="14.4">
      <c r="A362" t="s">
        <v>2767</v>
      </c>
      <c r="B362" t="s">
        <v>2768</v>
      </c>
      <c r="C362" s="27">
        <v>11816.43</v>
      </c>
      <c r="D362" s="28">
        <v>0</v>
      </c>
      <c r="F362" s="9" t="str">
        <f t="shared" si="45"/>
        <v>6490</v>
      </c>
      <c r="G362" s="9">
        <f t="shared" si="46"/>
        <v>11816.43</v>
      </c>
      <c r="H362" s="9">
        <f t="shared" si="47"/>
        <v>0</v>
      </c>
      <c r="I362" s="9">
        <f t="array" ref="I362">+SUM(IFERROR(VALUE(G362:H362),0))</f>
        <v>11816.43</v>
      </c>
      <c r="K362" s="9" t="str">
        <f t="shared" si="48"/>
        <v>649</v>
      </c>
      <c r="L362" s="9">
        <f t="shared" si="49"/>
        <v>11816.43</v>
      </c>
      <c r="M362" s="9">
        <f t="shared" si="50"/>
        <v>0</v>
      </c>
      <c r="N362" s="9">
        <f t="array" ref="N362">+SUM(IFERROR(VALUE(L362:M362),0))</f>
        <v>11816.43</v>
      </c>
      <c r="P362" s="9" t="str">
        <f t="shared" si="51"/>
        <v>64</v>
      </c>
      <c r="Q362" s="9">
        <f t="shared" si="52"/>
        <v>11816.43</v>
      </c>
      <c r="R362" s="9">
        <f t="shared" si="53"/>
        <v>0</v>
      </c>
      <c r="S362" s="9">
        <f t="array" ref="S362">+SUM(IFERROR(VALUE(Q362:R362),0))</f>
        <v>11816.43</v>
      </c>
    </row>
    <row r="363" spans="1:19" ht="14.4">
      <c r="A363" t="s">
        <v>2769</v>
      </c>
      <c r="B363" t="s">
        <v>2770</v>
      </c>
      <c r="C363" s="27">
        <v>163746.87</v>
      </c>
      <c r="D363" s="28">
        <v>0</v>
      </c>
      <c r="F363" s="9" t="str">
        <f t="shared" si="45"/>
        <v>6680</v>
      </c>
      <c r="G363" s="9">
        <f t="shared" si="46"/>
        <v>163746.87</v>
      </c>
      <c r="H363" s="9">
        <f t="shared" si="47"/>
        <v>0</v>
      </c>
      <c r="I363" s="9">
        <f t="array" ref="I363">+SUM(IFERROR(VALUE(G363:H363),0))</f>
        <v>163746.87</v>
      </c>
      <c r="K363" s="9" t="str">
        <f t="shared" si="48"/>
        <v>668</v>
      </c>
      <c r="L363" s="9">
        <f t="shared" si="49"/>
        <v>163746.87</v>
      </c>
      <c r="M363" s="9">
        <f t="shared" si="50"/>
        <v>0</v>
      </c>
      <c r="N363" s="9">
        <f t="array" ref="N363">+SUM(IFERROR(VALUE(L363:M363),0))</f>
        <v>163746.87</v>
      </c>
      <c r="P363" s="9" t="str">
        <f t="shared" si="51"/>
        <v>66</v>
      </c>
      <c r="Q363" s="9">
        <f t="shared" si="52"/>
        <v>163746.87</v>
      </c>
      <c r="R363" s="9">
        <f t="shared" si="53"/>
        <v>0</v>
      </c>
      <c r="S363" s="9">
        <f t="array" ref="S363">+SUM(IFERROR(VALUE(Q363:R363),0))</f>
        <v>163746.87</v>
      </c>
    </row>
    <row r="364" spans="1:19" ht="14.4">
      <c r="A364" t="s">
        <v>2771</v>
      </c>
      <c r="B364" t="s">
        <v>2772</v>
      </c>
      <c r="C364" s="27">
        <v>36.19</v>
      </c>
      <c r="D364" s="28">
        <v>0</v>
      </c>
      <c r="F364" s="9" t="str">
        <f t="shared" si="45"/>
        <v>6680</v>
      </c>
      <c r="G364" s="9">
        <f t="shared" si="46"/>
        <v>36.19</v>
      </c>
      <c r="H364" s="9">
        <f t="shared" si="47"/>
        <v>0</v>
      </c>
      <c r="I364" s="9">
        <f t="array" ref="I364">+SUM(IFERROR(VALUE(G364:H364),0))</f>
        <v>36.19</v>
      </c>
      <c r="K364" s="9" t="str">
        <f t="shared" si="48"/>
        <v>668</v>
      </c>
      <c r="L364" s="9">
        <f t="shared" si="49"/>
        <v>36.19</v>
      </c>
      <c r="M364" s="9">
        <f t="shared" si="50"/>
        <v>0</v>
      </c>
      <c r="N364" s="9">
        <f t="array" ref="N364">+SUM(IFERROR(VALUE(L364:M364),0))</f>
        <v>36.19</v>
      </c>
      <c r="P364" s="9" t="str">
        <f t="shared" si="51"/>
        <v>66</v>
      </c>
      <c r="Q364" s="9">
        <f t="shared" si="52"/>
        <v>36.19</v>
      </c>
      <c r="R364" s="9">
        <f t="shared" si="53"/>
        <v>0</v>
      </c>
      <c r="S364" s="9">
        <f t="array" ref="S364">+SUM(IFERROR(VALUE(Q364:R364),0))</f>
        <v>36.19</v>
      </c>
    </row>
    <row r="365" spans="1:19" ht="14.4">
      <c r="A365" t="s">
        <v>2773</v>
      </c>
      <c r="B365" t="s">
        <v>2774</v>
      </c>
      <c r="C365" s="27">
        <v>138283.04</v>
      </c>
      <c r="D365" s="28">
        <v>0</v>
      </c>
      <c r="F365" s="9" t="str">
        <f t="shared" si="45"/>
        <v>6693</v>
      </c>
      <c r="G365" s="9">
        <f t="shared" si="46"/>
        <v>138283.04</v>
      </c>
      <c r="H365" s="9">
        <f t="shared" si="47"/>
        <v>0</v>
      </c>
      <c r="I365" s="9">
        <f t="array" ref="I365">+SUM(IFERROR(VALUE(G365:H365),0))</f>
        <v>138283.04</v>
      </c>
      <c r="K365" s="9" t="str">
        <f t="shared" si="48"/>
        <v>669</v>
      </c>
      <c r="L365" s="9">
        <f t="shared" si="49"/>
        <v>138283.04</v>
      </c>
      <c r="M365" s="9">
        <f t="shared" si="50"/>
        <v>0</v>
      </c>
      <c r="N365" s="9">
        <f t="array" ref="N365">+SUM(IFERROR(VALUE(L365:M365),0))</f>
        <v>138283.04</v>
      </c>
      <c r="P365" s="9" t="str">
        <f t="shared" si="51"/>
        <v>66</v>
      </c>
      <c r="Q365" s="9">
        <f t="shared" si="52"/>
        <v>138283.04</v>
      </c>
      <c r="R365" s="9">
        <f t="shared" si="53"/>
        <v>0</v>
      </c>
      <c r="S365" s="9">
        <f t="array" ref="S365">+SUM(IFERROR(VALUE(Q365:R365),0))</f>
        <v>138283.04</v>
      </c>
    </row>
    <row r="366" spans="1:19" ht="14.4">
      <c r="A366" t="s">
        <v>2775</v>
      </c>
      <c r="B366" t="s">
        <v>2776</v>
      </c>
      <c r="C366" s="27">
        <v>3.17</v>
      </c>
      <c r="D366" s="28">
        <v>0</v>
      </c>
      <c r="F366" s="9" t="str">
        <f t="shared" si="45"/>
        <v>6780</v>
      </c>
      <c r="G366" s="9">
        <f t="shared" si="46"/>
        <v>3.17</v>
      </c>
      <c r="H366" s="9">
        <f t="shared" si="47"/>
        <v>0</v>
      </c>
      <c r="I366" s="9">
        <f t="array" ref="I366">+SUM(IFERROR(VALUE(G366:H366),0))</f>
        <v>3.17</v>
      </c>
      <c r="K366" s="9" t="str">
        <f t="shared" si="48"/>
        <v>678</v>
      </c>
      <c r="L366" s="9">
        <f t="shared" si="49"/>
        <v>3.17</v>
      </c>
      <c r="M366" s="9">
        <f t="shared" si="50"/>
        <v>0</v>
      </c>
      <c r="N366" s="9">
        <f t="array" ref="N366">+SUM(IFERROR(VALUE(L366:M366),0))</f>
        <v>3.17</v>
      </c>
      <c r="P366" s="9" t="str">
        <f t="shared" si="51"/>
        <v>67</v>
      </c>
      <c r="Q366" s="9">
        <f t="shared" si="52"/>
        <v>3.17</v>
      </c>
      <c r="R366" s="9">
        <f t="shared" si="53"/>
        <v>0</v>
      </c>
      <c r="S366" s="9">
        <f t="array" ref="S366">+SUM(IFERROR(VALUE(Q366:R366),0))</f>
        <v>3.17</v>
      </c>
    </row>
    <row r="367" spans="1:19" ht="14.4">
      <c r="A367" t="s">
        <v>2777</v>
      </c>
      <c r="B367" t="s">
        <v>2778</v>
      </c>
      <c r="C367" s="27">
        <v>24706.46</v>
      </c>
      <c r="D367" s="28">
        <v>0</v>
      </c>
      <c r="F367" s="9" t="str">
        <f t="shared" si="45"/>
        <v>6800</v>
      </c>
      <c r="G367" s="9">
        <f t="shared" si="46"/>
        <v>24706.46</v>
      </c>
      <c r="H367" s="9">
        <f t="shared" si="47"/>
        <v>0</v>
      </c>
      <c r="I367" s="9">
        <f t="array" ref="I367">+SUM(IFERROR(VALUE(G367:H367),0))</f>
        <v>24706.46</v>
      </c>
      <c r="K367" s="9" t="str">
        <f t="shared" si="48"/>
        <v>680</v>
      </c>
      <c r="L367" s="9">
        <f t="shared" si="49"/>
        <v>24706.46</v>
      </c>
      <c r="M367" s="9">
        <f t="shared" si="50"/>
        <v>0</v>
      </c>
      <c r="N367" s="9">
        <f t="array" ref="N367">+SUM(IFERROR(VALUE(L367:M367),0))</f>
        <v>24706.46</v>
      </c>
      <c r="P367" s="9" t="str">
        <f t="shared" si="51"/>
        <v>68</v>
      </c>
      <c r="Q367" s="9">
        <f t="shared" si="52"/>
        <v>24706.46</v>
      </c>
      <c r="R367" s="9">
        <f t="shared" si="53"/>
        <v>0</v>
      </c>
      <c r="S367" s="9">
        <f t="array" ref="S367">+SUM(IFERROR(VALUE(Q367:R367),0))</f>
        <v>24706.46</v>
      </c>
    </row>
    <row r="368" spans="1:19" ht="14.4">
      <c r="A368" t="s">
        <v>2779</v>
      </c>
      <c r="B368" t="s">
        <v>2780</v>
      </c>
      <c r="C368" s="27">
        <v>527719.55000000005</v>
      </c>
      <c r="D368" s="28">
        <v>0</v>
      </c>
      <c r="F368" s="9" t="str">
        <f t="shared" si="45"/>
        <v>6810</v>
      </c>
      <c r="G368" s="9">
        <f t="shared" si="46"/>
        <v>527719.55000000005</v>
      </c>
      <c r="H368" s="9">
        <f t="shared" si="47"/>
        <v>0</v>
      </c>
      <c r="I368" s="9">
        <f t="array" ref="I368">+SUM(IFERROR(VALUE(G368:H368),0))</f>
        <v>527719.55000000005</v>
      </c>
      <c r="K368" s="9" t="str">
        <f t="shared" si="48"/>
        <v>681</v>
      </c>
      <c r="L368" s="9">
        <f t="shared" si="49"/>
        <v>527719.55000000005</v>
      </c>
      <c r="M368" s="9">
        <f t="shared" si="50"/>
        <v>0</v>
      </c>
      <c r="N368" s="9">
        <f t="array" ref="N368">+SUM(IFERROR(VALUE(L368:M368),0))</f>
        <v>527719.55000000005</v>
      </c>
      <c r="P368" s="9" t="str">
        <f t="shared" si="51"/>
        <v>68</v>
      </c>
      <c r="Q368" s="9">
        <f t="shared" si="52"/>
        <v>527719.55000000005</v>
      </c>
      <c r="R368" s="9">
        <f t="shared" si="53"/>
        <v>0</v>
      </c>
      <c r="S368" s="9">
        <f t="array" ref="S368">+SUM(IFERROR(VALUE(Q368:R368),0))</f>
        <v>527719.55000000005</v>
      </c>
    </row>
    <row r="369" spans="1:19" ht="14.4">
      <c r="A369" t="s">
        <v>2781</v>
      </c>
      <c r="B369" t="s">
        <v>2782</v>
      </c>
      <c r="C369" s="27">
        <v>358611.1</v>
      </c>
      <c r="D369" s="28">
        <v>0</v>
      </c>
      <c r="F369" s="9" t="str">
        <f t="shared" si="45"/>
        <v>6820</v>
      </c>
      <c r="G369" s="9">
        <f t="shared" si="46"/>
        <v>358611.1</v>
      </c>
      <c r="H369" s="9">
        <f t="shared" si="47"/>
        <v>0</v>
      </c>
      <c r="I369" s="9">
        <f t="array" ref="I369">+SUM(IFERROR(VALUE(G369:H369),0))</f>
        <v>358611.1</v>
      </c>
      <c r="K369" s="9" t="str">
        <f t="shared" si="48"/>
        <v>682</v>
      </c>
      <c r="L369" s="9">
        <f t="shared" si="49"/>
        <v>358611.1</v>
      </c>
      <c r="M369" s="9">
        <f t="shared" si="50"/>
        <v>0</v>
      </c>
      <c r="N369" s="9">
        <f t="array" ref="N369">+SUM(IFERROR(VALUE(L369:M369),0))</f>
        <v>358611.1</v>
      </c>
      <c r="P369" s="9" t="str">
        <f t="shared" si="51"/>
        <v>68</v>
      </c>
      <c r="Q369" s="9">
        <f t="shared" si="52"/>
        <v>358611.1</v>
      </c>
      <c r="R369" s="9">
        <f t="shared" si="53"/>
        <v>0</v>
      </c>
      <c r="S369" s="9">
        <f t="array" ref="S369">+SUM(IFERROR(VALUE(Q369:R369),0))</f>
        <v>358611.1</v>
      </c>
    </row>
    <row r="370" spans="1:19" ht="14.4">
      <c r="A370" t="s">
        <v>2783</v>
      </c>
      <c r="B370" t="s">
        <v>2784</v>
      </c>
      <c r="C370" s="27">
        <v>110160</v>
      </c>
      <c r="D370" s="28">
        <v>0</v>
      </c>
      <c r="F370" s="9" t="str">
        <f t="shared" si="45"/>
        <v>6940</v>
      </c>
      <c r="G370" s="9">
        <f t="shared" si="46"/>
        <v>110160</v>
      </c>
      <c r="H370" s="9">
        <f t="shared" si="47"/>
        <v>0</v>
      </c>
      <c r="I370" s="9">
        <f t="array" ref="I370">+SUM(IFERROR(VALUE(G370:H370),0))</f>
        <v>110160</v>
      </c>
      <c r="K370" s="9" t="str">
        <f t="shared" si="48"/>
        <v>694</v>
      </c>
      <c r="L370" s="9">
        <f t="shared" si="49"/>
        <v>110160</v>
      </c>
      <c r="M370" s="9">
        <f t="shared" si="50"/>
        <v>0</v>
      </c>
      <c r="N370" s="9">
        <f t="array" ref="N370">+SUM(IFERROR(VALUE(L370:M370),0))</f>
        <v>110160</v>
      </c>
      <c r="P370" s="9" t="str">
        <f t="shared" si="51"/>
        <v>69</v>
      </c>
      <c r="Q370" s="9">
        <f t="shared" si="52"/>
        <v>110160</v>
      </c>
      <c r="R370" s="9">
        <f t="shared" si="53"/>
        <v>0</v>
      </c>
      <c r="S370" s="9">
        <f t="array" ref="S370">+SUM(IFERROR(VALUE(Q370:R370),0))</f>
        <v>110160</v>
      </c>
    </row>
    <row r="371" spans="1:19" ht="14.4">
      <c r="A371" t="s">
        <v>2785</v>
      </c>
      <c r="B371" t="s">
        <v>2786</v>
      </c>
      <c r="C371" s="27">
        <v>0</v>
      </c>
      <c r="D371" s="28">
        <v>23439167.969999999</v>
      </c>
      <c r="F371" s="9" t="str">
        <f t="shared" si="45"/>
        <v>7000</v>
      </c>
      <c r="G371" s="9">
        <f t="shared" si="46"/>
        <v>0</v>
      </c>
      <c r="H371" s="9">
        <f t="shared" si="47"/>
        <v>-23439167.969999999</v>
      </c>
      <c r="I371" s="9">
        <f t="array" ref="I371">+SUM(IFERROR(VALUE(G371:H371),0))</f>
        <v>-23439167.969999999</v>
      </c>
      <c r="K371" s="9" t="str">
        <f t="shared" si="48"/>
        <v>700</v>
      </c>
      <c r="L371" s="9">
        <f t="shared" si="49"/>
        <v>0</v>
      </c>
      <c r="M371" s="9">
        <f t="shared" si="50"/>
        <v>-23439167.969999999</v>
      </c>
      <c r="N371" s="9">
        <f t="array" ref="N371">+SUM(IFERROR(VALUE(L371:M371),0))</f>
        <v>-23439167.969999999</v>
      </c>
      <c r="P371" s="9" t="str">
        <f t="shared" si="51"/>
        <v>70</v>
      </c>
      <c r="Q371" s="9">
        <f t="shared" si="52"/>
        <v>0</v>
      </c>
      <c r="R371" s="9">
        <f t="shared" si="53"/>
        <v>-23439167.969999999</v>
      </c>
      <c r="S371" s="9">
        <f t="array" ref="S371">+SUM(IFERROR(VALUE(Q371:R371),0))</f>
        <v>-23439167.969999999</v>
      </c>
    </row>
    <row r="372" spans="1:19" ht="14.4">
      <c r="A372" t="s">
        <v>2787</v>
      </c>
      <c r="B372" t="s">
        <v>2788</v>
      </c>
      <c r="C372" s="27">
        <v>0</v>
      </c>
      <c r="D372" s="28">
        <v>107817.26</v>
      </c>
      <c r="F372" s="9" t="str">
        <f t="shared" si="45"/>
        <v>7000</v>
      </c>
      <c r="G372" s="9">
        <f t="shared" si="46"/>
        <v>0</v>
      </c>
      <c r="H372" s="9">
        <f t="shared" si="47"/>
        <v>-107817.26</v>
      </c>
      <c r="I372" s="9">
        <f t="array" ref="I372">+SUM(IFERROR(VALUE(G372:H372),0))</f>
        <v>-107817.26</v>
      </c>
      <c r="K372" s="9" t="str">
        <f t="shared" si="48"/>
        <v>700</v>
      </c>
      <c r="L372" s="9">
        <f t="shared" si="49"/>
        <v>0</v>
      </c>
      <c r="M372" s="9">
        <f t="shared" si="50"/>
        <v>-107817.26</v>
      </c>
      <c r="N372" s="9">
        <f t="array" ref="N372">+SUM(IFERROR(VALUE(L372:M372),0))</f>
        <v>-107817.26</v>
      </c>
      <c r="P372" s="9" t="str">
        <f t="shared" si="51"/>
        <v>70</v>
      </c>
      <c r="Q372" s="9">
        <f t="shared" si="52"/>
        <v>0</v>
      </c>
      <c r="R372" s="9">
        <f t="shared" si="53"/>
        <v>-107817.26</v>
      </c>
      <c r="S372" s="9">
        <f t="array" ref="S372">+SUM(IFERROR(VALUE(Q372:R372),0))</f>
        <v>-107817.26</v>
      </c>
    </row>
    <row r="373" spans="1:19" ht="14.4">
      <c r="A373" t="s">
        <v>2789</v>
      </c>
      <c r="B373" t="s">
        <v>2790</v>
      </c>
      <c r="C373" s="27">
        <v>0</v>
      </c>
      <c r="D373" s="28">
        <v>111188.3</v>
      </c>
      <c r="F373" s="9" t="str">
        <f t="shared" si="45"/>
        <v>7001</v>
      </c>
      <c r="G373" s="9">
        <f t="shared" si="46"/>
        <v>0</v>
      </c>
      <c r="H373" s="9">
        <f t="shared" si="47"/>
        <v>-111188.3</v>
      </c>
      <c r="I373" s="9">
        <f t="array" ref="I373">+SUM(IFERROR(VALUE(G373:H373),0))</f>
        <v>-111188.3</v>
      </c>
      <c r="K373" s="9" t="str">
        <f t="shared" si="48"/>
        <v>700</v>
      </c>
      <c r="L373" s="9">
        <f t="shared" si="49"/>
        <v>0</v>
      </c>
      <c r="M373" s="9">
        <f t="shared" si="50"/>
        <v>-111188.3</v>
      </c>
      <c r="N373" s="9">
        <f t="array" ref="N373">+SUM(IFERROR(VALUE(L373:M373),0))</f>
        <v>-111188.3</v>
      </c>
      <c r="P373" s="9" t="str">
        <f t="shared" si="51"/>
        <v>70</v>
      </c>
      <c r="Q373" s="9">
        <f t="shared" si="52"/>
        <v>0</v>
      </c>
      <c r="R373" s="9">
        <f t="shared" si="53"/>
        <v>-111188.3</v>
      </c>
      <c r="S373" s="9">
        <f t="array" ref="S373">+SUM(IFERROR(VALUE(Q373:R373),0))</f>
        <v>-111188.3</v>
      </c>
    </row>
    <row r="374" spans="1:19" ht="14.4">
      <c r="A374" t="s">
        <v>2791</v>
      </c>
      <c r="B374" t="s">
        <v>2792</v>
      </c>
      <c r="C374" s="27">
        <v>0</v>
      </c>
      <c r="D374" s="28">
        <v>4464</v>
      </c>
      <c r="F374" s="9" t="str">
        <f t="shared" si="45"/>
        <v>7001</v>
      </c>
      <c r="G374" s="9">
        <f t="shared" si="46"/>
        <v>0</v>
      </c>
      <c r="H374" s="9">
        <f t="shared" si="47"/>
        <v>-4464</v>
      </c>
      <c r="I374" s="9">
        <f t="array" ref="I374">+SUM(IFERROR(VALUE(G374:H374),0))</f>
        <v>-4464</v>
      </c>
      <c r="K374" s="9" t="str">
        <f t="shared" si="48"/>
        <v>700</v>
      </c>
      <c r="L374" s="9">
        <f t="shared" si="49"/>
        <v>0</v>
      </c>
      <c r="M374" s="9">
        <f t="shared" si="50"/>
        <v>-4464</v>
      </c>
      <c r="N374" s="9">
        <f t="array" ref="N374">+SUM(IFERROR(VALUE(L374:M374),0))</f>
        <v>-4464</v>
      </c>
      <c r="P374" s="9" t="str">
        <f t="shared" si="51"/>
        <v>70</v>
      </c>
      <c r="Q374" s="9">
        <f t="shared" si="52"/>
        <v>0</v>
      </c>
      <c r="R374" s="9">
        <f t="shared" si="53"/>
        <v>-4464</v>
      </c>
      <c r="S374" s="9">
        <f t="array" ref="S374">+SUM(IFERROR(VALUE(Q374:R374),0))</f>
        <v>-4464</v>
      </c>
    </row>
    <row r="375" spans="1:19" ht="14.4">
      <c r="A375" t="s">
        <v>2793</v>
      </c>
      <c r="B375" t="s">
        <v>2794</v>
      </c>
      <c r="C375" s="27">
        <v>0</v>
      </c>
      <c r="D375" s="28">
        <v>118945.05</v>
      </c>
      <c r="F375" s="9" t="str">
        <f t="shared" si="45"/>
        <v>7002</v>
      </c>
      <c r="G375" s="9">
        <f t="shared" si="46"/>
        <v>0</v>
      </c>
      <c r="H375" s="9">
        <f t="shared" si="47"/>
        <v>-118945.05</v>
      </c>
      <c r="I375" s="9">
        <f t="array" ref="I375">+SUM(IFERROR(VALUE(G375:H375),0))</f>
        <v>-118945.05</v>
      </c>
      <c r="K375" s="9" t="str">
        <f t="shared" si="48"/>
        <v>700</v>
      </c>
      <c r="L375" s="9">
        <f t="shared" si="49"/>
        <v>0</v>
      </c>
      <c r="M375" s="9">
        <f t="shared" si="50"/>
        <v>-118945.05</v>
      </c>
      <c r="N375" s="9">
        <f t="array" ref="N375">+SUM(IFERROR(VALUE(L375:M375),0))</f>
        <v>-118945.05</v>
      </c>
      <c r="P375" s="9" t="str">
        <f t="shared" si="51"/>
        <v>70</v>
      </c>
      <c r="Q375" s="9">
        <f t="shared" si="52"/>
        <v>0</v>
      </c>
      <c r="R375" s="9">
        <f t="shared" si="53"/>
        <v>-118945.05</v>
      </c>
      <c r="S375" s="9">
        <f t="array" ref="S375">+SUM(IFERROR(VALUE(Q375:R375),0))</f>
        <v>-118945.05</v>
      </c>
    </row>
    <row r="376" spans="1:19" ht="14.4">
      <c r="A376" t="s">
        <v>2795</v>
      </c>
      <c r="B376" t="s">
        <v>2796</v>
      </c>
      <c r="C376" s="27">
        <v>0</v>
      </c>
      <c r="D376" s="28">
        <v>31827618.460000001</v>
      </c>
      <c r="F376" s="9" t="str">
        <f t="shared" si="45"/>
        <v>7010</v>
      </c>
      <c r="G376" s="9">
        <f t="shared" si="46"/>
        <v>0</v>
      </c>
      <c r="H376" s="9">
        <f t="shared" si="47"/>
        <v>-31827618.460000001</v>
      </c>
      <c r="I376" s="9">
        <f t="array" ref="I376">+SUM(IFERROR(VALUE(G376:H376),0))</f>
        <v>-31827618.460000001</v>
      </c>
      <c r="K376" s="9" t="str">
        <f t="shared" si="48"/>
        <v>701</v>
      </c>
      <c r="L376" s="9">
        <f t="shared" si="49"/>
        <v>0</v>
      </c>
      <c r="M376" s="9">
        <f t="shared" si="50"/>
        <v>-31827618.460000001</v>
      </c>
      <c r="N376" s="9">
        <f t="array" ref="N376">+SUM(IFERROR(VALUE(L376:M376),0))</f>
        <v>-31827618.460000001</v>
      </c>
      <c r="P376" s="9" t="str">
        <f t="shared" si="51"/>
        <v>70</v>
      </c>
      <c r="Q376" s="9">
        <f t="shared" si="52"/>
        <v>0</v>
      </c>
      <c r="R376" s="9">
        <f t="shared" si="53"/>
        <v>-31827618.460000001</v>
      </c>
      <c r="S376" s="9">
        <f t="array" ref="S376">+SUM(IFERROR(VALUE(Q376:R376),0))</f>
        <v>-31827618.460000001</v>
      </c>
    </row>
    <row r="377" spans="1:19" ht="14.4">
      <c r="A377" t="s">
        <v>2797</v>
      </c>
      <c r="B377" t="s">
        <v>2788</v>
      </c>
      <c r="C377" s="27">
        <v>0</v>
      </c>
      <c r="D377" s="28">
        <v>47763.55</v>
      </c>
      <c r="F377" s="9" t="str">
        <f t="shared" si="45"/>
        <v>7010</v>
      </c>
      <c r="G377" s="9">
        <f t="shared" si="46"/>
        <v>0</v>
      </c>
      <c r="H377" s="9">
        <f t="shared" si="47"/>
        <v>-47763.55</v>
      </c>
      <c r="I377" s="9">
        <f t="array" ref="I377">+SUM(IFERROR(VALUE(G377:H377),0))</f>
        <v>-47763.55</v>
      </c>
      <c r="K377" s="9" t="str">
        <f t="shared" si="48"/>
        <v>701</v>
      </c>
      <c r="L377" s="9">
        <f t="shared" si="49"/>
        <v>0</v>
      </c>
      <c r="M377" s="9">
        <f t="shared" si="50"/>
        <v>-47763.55</v>
      </c>
      <c r="N377" s="9">
        <f t="array" ref="N377">+SUM(IFERROR(VALUE(L377:M377),0))</f>
        <v>-47763.55</v>
      </c>
      <c r="P377" s="9" t="str">
        <f t="shared" si="51"/>
        <v>70</v>
      </c>
      <c r="Q377" s="9">
        <f t="shared" si="52"/>
        <v>0</v>
      </c>
      <c r="R377" s="9">
        <f t="shared" si="53"/>
        <v>-47763.55</v>
      </c>
      <c r="S377" s="9">
        <f t="array" ref="S377">+SUM(IFERROR(VALUE(Q377:R377),0))</f>
        <v>-47763.55</v>
      </c>
    </row>
    <row r="378" spans="1:19" ht="14.4">
      <c r="A378" t="s">
        <v>2798</v>
      </c>
      <c r="B378" t="s">
        <v>2799</v>
      </c>
      <c r="C378" s="27">
        <v>0</v>
      </c>
      <c r="D378" s="28">
        <v>8130289.7699999996</v>
      </c>
      <c r="F378" s="9" t="str">
        <f t="shared" si="45"/>
        <v>7011</v>
      </c>
      <c r="G378" s="9">
        <f t="shared" si="46"/>
        <v>0</v>
      </c>
      <c r="H378" s="9">
        <f t="shared" si="47"/>
        <v>-8130289.7699999996</v>
      </c>
      <c r="I378" s="9">
        <f t="array" ref="I378">+SUM(IFERROR(VALUE(G378:H378),0))</f>
        <v>-8130289.7699999996</v>
      </c>
      <c r="K378" s="9" t="str">
        <f t="shared" si="48"/>
        <v>701</v>
      </c>
      <c r="L378" s="9">
        <f t="shared" si="49"/>
        <v>0</v>
      </c>
      <c r="M378" s="9">
        <f t="shared" si="50"/>
        <v>-8130289.7699999996</v>
      </c>
      <c r="N378" s="9">
        <f t="array" ref="N378">+SUM(IFERROR(VALUE(L378:M378),0))</f>
        <v>-8130289.7699999996</v>
      </c>
      <c r="P378" s="9" t="str">
        <f t="shared" si="51"/>
        <v>70</v>
      </c>
      <c r="Q378" s="9">
        <f t="shared" si="52"/>
        <v>0</v>
      </c>
      <c r="R378" s="9">
        <f t="shared" si="53"/>
        <v>-8130289.7699999996</v>
      </c>
      <c r="S378" s="9">
        <f t="array" ref="S378">+SUM(IFERROR(VALUE(Q378:R378),0))</f>
        <v>-8130289.7699999996</v>
      </c>
    </row>
    <row r="379" spans="1:19" ht="14.4">
      <c r="A379" t="s">
        <v>2800</v>
      </c>
      <c r="B379" t="s">
        <v>2792</v>
      </c>
      <c r="C379" s="27">
        <v>0</v>
      </c>
      <c r="D379" s="28">
        <v>19001</v>
      </c>
      <c r="F379" s="9" t="str">
        <f t="shared" si="45"/>
        <v>7011</v>
      </c>
      <c r="G379" s="9">
        <f t="shared" si="46"/>
        <v>0</v>
      </c>
      <c r="H379" s="9">
        <f t="shared" si="47"/>
        <v>-19001</v>
      </c>
      <c r="I379" s="9">
        <f t="array" ref="I379">+SUM(IFERROR(VALUE(G379:H379),0))</f>
        <v>-19001</v>
      </c>
      <c r="K379" s="9" t="str">
        <f t="shared" si="48"/>
        <v>701</v>
      </c>
      <c r="L379" s="9">
        <f t="shared" si="49"/>
        <v>0</v>
      </c>
      <c r="M379" s="9">
        <f t="shared" si="50"/>
        <v>-19001</v>
      </c>
      <c r="N379" s="9">
        <f t="array" ref="N379">+SUM(IFERROR(VALUE(L379:M379),0))</f>
        <v>-19001</v>
      </c>
      <c r="P379" s="9" t="str">
        <f t="shared" si="51"/>
        <v>70</v>
      </c>
      <c r="Q379" s="9">
        <f t="shared" si="52"/>
        <v>0</v>
      </c>
      <c r="R379" s="9">
        <f t="shared" si="53"/>
        <v>-19001</v>
      </c>
      <c r="S379" s="9">
        <f t="array" ref="S379">+SUM(IFERROR(VALUE(Q379:R379),0))</f>
        <v>-19001</v>
      </c>
    </row>
    <row r="380" spans="1:19" ht="14.4">
      <c r="A380" t="s">
        <v>2801</v>
      </c>
      <c r="B380" t="s">
        <v>2802</v>
      </c>
      <c r="C380" s="27">
        <v>0</v>
      </c>
      <c r="D380" s="28">
        <v>8259919.6299999999</v>
      </c>
      <c r="F380" s="9" t="str">
        <f t="shared" si="45"/>
        <v>7012</v>
      </c>
      <c r="G380" s="9">
        <f t="shared" si="46"/>
        <v>0</v>
      </c>
      <c r="H380" s="9">
        <f t="shared" si="47"/>
        <v>-8259919.6299999999</v>
      </c>
      <c r="I380" s="9">
        <f t="array" ref="I380">+SUM(IFERROR(VALUE(G380:H380),0))</f>
        <v>-8259919.6299999999</v>
      </c>
      <c r="K380" s="9" t="str">
        <f t="shared" si="48"/>
        <v>701</v>
      </c>
      <c r="L380" s="9">
        <f t="shared" si="49"/>
        <v>0</v>
      </c>
      <c r="M380" s="9">
        <f t="shared" si="50"/>
        <v>-8259919.6299999999</v>
      </c>
      <c r="N380" s="9">
        <f t="array" ref="N380">+SUM(IFERROR(VALUE(L380:M380),0))</f>
        <v>-8259919.6299999999</v>
      </c>
      <c r="P380" s="9" t="str">
        <f t="shared" si="51"/>
        <v>70</v>
      </c>
      <c r="Q380" s="9">
        <f t="shared" si="52"/>
        <v>0</v>
      </c>
      <c r="R380" s="9">
        <f t="shared" si="53"/>
        <v>-8259919.6299999999</v>
      </c>
      <c r="S380" s="9">
        <f t="array" ref="S380">+SUM(IFERROR(VALUE(Q380:R380),0))</f>
        <v>-8259919.6299999999</v>
      </c>
    </row>
    <row r="381" spans="1:19" ht="14.4">
      <c r="A381" t="s">
        <v>2803</v>
      </c>
      <c r="B381" t="s">
        <v>2804</v>
      </c>
      <c r="C381" s="27">
        <v>0</v>
      </c>
      <c r="D381" s="28">
        <v>72324</v>
      </c>
      <c r="F381" s="9" t="str">
        <f t="shared" si="45"/>
        <v>7012</v>
      </c>
      <c r="G381" s="9">
        <f t="shared" si="46"/>
        <v>0</v>
      </c>
      <c r="H381" s="9">
        <f t="shared" si="47"/>
        <v>-72324</v>
      </c>
      <c r="I381" s="9">
        <f t="array" ref="I381">+SUM(IFERROR(VALUE(G381:H381),0))</f>
        <v>-72324</v>
      </c>
      <c r="K381" s="9" t="str">
        <f t="shared" si="48"/>
        <v>701</v>
      </c>
      <c r="L381" s="9">
        <f t="shared" si="49"/>
        <v>0</v>
      </c>
      <c r="M381" s="9">
        <f t="shared" si="50"/>
        <v>-72324</v>
      </c>
      <c r="N381" s="9">
        <f t="array" ref="N381">+SUM(IFERROR(VALUE(L381:M381),0))</f>
        <v>-72324</v>
      </c>
      <c r="P381" s="9" t="str">
        <f t="shared" si="51"/>
        <v>70</v>
      </c>
      <c r="Q381" s="9">
        <f t="shared" si="52"/>
        <v>0</v>
      </c>
      <c r="R381" s="9">
        <f t="shared" si="53"/>
        <v>-72324</v>
      </c>
      <c r="S381" s="9">
        <f t="array" ref="S381">+SUM(IFERROR(VALUE(Q381:R381),0))</f>
        <v>-72324</v>
      </c>
    </row>
    <row r="382" spans="1:19" ht="14.4">
      <c r="A382" t="s">
        <v>2805</v>
      </c>
      <c r="B382" t="s">
        <v>2806</v>
      </c>
      <c r="C382" s="27">
        <v>0</v>
      </c>
      <c r="D382" s="28">
        <v>959447.96</v>
      </c>
      <c r="F382" s="9" t="str">
        <f t="shared" si="45"/>
        <v>7051</v>
      </c>
      <c r="G382" s="9">
        <f t="shared" si="46"/>
        <v>0</v>
      </c>
      <c r="H382" s="9">
        <f t="shared" si="47"/>
        <v>-959447.96</v>
      </c>
      <c r="I382" s="9">
        <f t="array" ref="I382">+SUM(IFERROR(VALUE(G382:H382),0))</f>
        <v>-959447.96</v>
      </c>
      <c r="K382" s="9" t="str">
        <f t="shared" si="48"/>
        <v>705</v>
      </c>
      <c r="L382" s="9">
        <f t="shared" si="49"/>
        <v>0</v>
      </c>
      <c r="M382" s="9">
        <f t="shared" si="50"/>
        <v>-959447.96</v>
      </c>
      <c r="N382" s="9">
        <f t="array" ref="N382">+SUM(IFERROR(VALUE(L382:M382),0))</f>
        <v>-959447.96</v>
      </c>
      <c r="P382" s="9" t="str">
        <f t="shared" si="51"/>
        <v>70</v>
      </c>
      <c r="Q382" s="9">
        <f t="shared" si="52"/>
        <v>0</v>
      </c>
      <c r="R382" s="9">
        <f t="shared" si="53"/>
        <v>-959447.96</v>
      </c>
      <c r="S382" s="9">
        <f t="array" ref="S382">+SUM(IFERROR(VALUE(Q382:R382),0))</f>
        <v>-959447.96</v>
      </c>
    </row>
    <row r="383" spans="1:19" ht="14.4">
      <c r="A383" t="s">
        <v>2807</v>
      </c>
      <c r="B383" t="s">
        <v>2808</v>
      </c>
      <c r="C383" s="27">
        <v>0</v>
      </c>
      <c r="D383" s="28">
        <v>717749.18</v>
      </c>
      <c r="F383" s="9" t="str">
        <f t="shared" si="45"/>
        <v>7051</v>
      </c>
      <c r="G383" s="9">
        <f t="shared" si="46"/>
        <v>0</v>
      </c>
      <c r="H383" s="9">
        <f t="shared" si="47"/>
        <v>-717749.18</v>
      </c>
      <c r="I383" s="9">
        <f t="array" ref="I383">+SUM(IFERROR(VALUE(G383:H383),0))</f>
        <v>-717749.18</v>
      </c>
      <c r="K383" s="9" t="str">
        <f t="shared" si="48"/>
        <v>705</v>
      </c>
      <c r="L383" s="9">
        <f t="shared" si="49"/>
        <v>0</v>
      </c>
      <c r="M383" s="9">
        <f t="shared" si="50"/>
        <v>-717749.18</v>
      </c>
      <c r="N383" s="9">
        <f t="array" ref="N383">+SUM(IFERROR(VALUE(L383:M383),0))</f>
        <v>-717749.18</v>
      </c>
      <c r="P383" s="9" t="str">
        <f t="shared" si="51"/>
        <v>70</v>
      </c>
      <c r="Q383" s="9">
        <f t="shared" si="52"/>
        <v>0</v>
      </c>
      <c r="R383" s="9">
        <f t="shared" si="53"/>
        <v>-717749.18</v>
      </c>
      <c r="S383" s="9">
        <f t="array" ref="S383">+SUM(IFERROR(VALUE(Q383:R383),0))</f>
        <v>-717749.18</v>
      </c>
    </row>
    <row r="384" spans="1:19" ht="14.4">
      <c r="A384" t="s">
        <v>2809</v>
      </c>
      <c r="B384" t="s">
        <v>2810</v>
      </c>
      <c r="C384" s="27">
        <v>3003.21</v>
      </c>
      <c r="D384" s="28">
        <v>0</v>
      </c>
      <c r="F384" s="9" t="str">
        <f t="shared" si="45"/>
        <v>7061</v>
      </c>
      <c r="G384" s="9">
        <f t="shared" si="46"/>
        <v>3003.21</v>
      </c>
      <c r="H384" s="9">
        <f t="shared" si="47"/>
        <v>0</v>
      </c>
      <c r="I384" s="9">
        <f t="array" ref="I384">+SUM(IFERROR(VALUE(G384:H384),0))</f>
        <v>3003.21</v>
      </c>
      <c r="K384" s="9" t="str">
        <f t="shared" si="48"/>
        <v>706</v>
      </c>
      <c r="L384" s="9">
        <f t="shared" si="49"/>
        <v>3003.21</v>
      </c>
      <c r="M384" s="9">
        <f t="shared" si="50"/>
        <v>0</v>
      </c>
      <c r="N384" s="9">
        <f t="array" ref="N384">+SUM(IFERROR(VALUE(L384:M384),0))</f>
        <v>3003.21</v>
      </c>
      <c r="P384" s="9" t="str">
        <f t="shared" si="51"/>
        <v>70</v>
      </c>
      <c r="Q384" s="9">
        <f t="shared" si="52"/>
        <v>3003.21</v>
      </c>
      <c r="R384" s="9">
        <f t="shared" si="53"/>
        <v>0</v>
      </c>
      <c r="S384" s="9">
        <f t="array" ref="S384">+SUM(IFERROR(VALUE(Q384:R384),0))</f>
        <v>3003.21</v>
      </c>
    </row>
    <row r="385" spans="1:19" ht="14.4">
      <c r="A385" t="s">
        <v>2811</v>
      </c>
      <c r="B385" t="s">
        <v>2812</v>
      </c>
      <c r="C385" s="27">
        <v>21692.58</v>
      </c>
      <c r="D385" s="28">
        <v>0</v>
      </c>
      <c r="F385" s="9" t="str">
        <f t="shared" si="45"/>
        <v>7090</v>
      </c>
      <c r="G385" s="9">
        <f t="shared" si="46"/>
        <v>21692.58</v>
      </c>
      <c r="H385" s="9">
        <f t="shared" si="47"/>
        <v>0</v>
      </c>
      <c r="I385" s="9">
        <f t="array" ref="I385">+SUM(IFERROR(VALUE(G385:H385),0))</f>
        <v>21692.58</v>
      </c>
      <c r="K385" s="9" t="str">
        <f t="shared" si="48"/>
        <v>709</v>
      </c>
      <c r="L385" s="9">
        <f t="shared" si="49"/>
        <v>21692.58</v>
      </c>
      <c r="M385" s="9">
        <f t="shared" si="50"/>
        <v>0</v>
      </c>
      <c r="N385" s="9">
        <f t="array" ref="N385">+SUM(IFERROR(VALUE(L385:M385),0))</f>
        <v>21692.58</v>
      </c>
      <c r="P385" s="9" t="str">
        <f t="shared" si="51"/>
        <v>70</v>
      </c>
      <c r="Q385" s="9">
        <f t="shared" si="52"/>
        <v>21692.58</v>
      </c>
      <c r="R385" s="9">
        <f t="shared" si="53"/>
        <v>0</v>
      </c>
      <c r="S385" s="9">
        <f t="array" ref="S385">+SUM(IFERROR(VALUE(Q385:R385),0))</f>
        <v>21692.58</v>
      </c>
    </row>
    <row r="386" spans="1:19" ht="14.4">
      <c r="A386" t="s">
        <v>2813</v>
      </c>
      <c r="B386" t="s">
        <v>2814</v>
      </c>
      <c r="C386" s="27">
        <v>6913.92</v>
      </c>
      <c r="D386" s="28">
        <v>0</v>
      </c>
      <c r="F386" s="9" t="str">
        <f t="shared" si="45"/>
        <v>7091</v>
      </c>
      <c r="G386" s="9">
        <f t="shared" si="46"/>
        <v>6913.92</v>
      </c>
      <c r="H386" s="9">
        <f t="shared" si="47"/>
        <v>0</v>
      </c>
      <c r="I386" s="9">
        <f t="array" ref="I386">+SUM(IFERROR(VALUE(G386:H386),0))</f>
        <v>6913.92</v>
      </c>
      <c r="K386" s="9" t="str">
        <f t="shared" si="48"/>
        <v>709</v>
      </c>
      <c r="L386" s="9">
        <f t="shared" si="49"/>
        <v>6913.92</v>
      </c>
      <c r="M386" s="9">
        <f t="shared" si="50"/>
        <v>0</v>
      </c>
      <c r="N386" s="9">
        <f t="array" ref="N386">+SUM(IFERROR(VALUE(L386:M386),0))</f>
        <v>6913.92</v>
      </c>
      <c r="P386" s="9" t="str">
        <f t="shared" si="51"/>
        <v>70</v>
      </c>
      <c r="Q386" s="9">
        <f t="shared" si="52"/>
        <v>6913.92</v>
      </c>
      <c r="R386" s="9">
        <f t="shared" si="53"/>
        <v>0</v>
      </c>
      <c r="S386" s="9">
        <f t="array" ref="S386">+SUM(IFERROR(VALUE(Q386:R386),0))</f>
        <v>6913.92</v>
      </c>
    </row>
    <row r="387" spans="1:19" ht="14.4">
      <c r="A387" t="s">
        <v>2815</v>
      </c>
      <c r="B387" t="s">
        <v>2816</v>
      </c>
      <c r="C387" s="27">
        <v>1046.1500000000001</v>
      </c>
      <c r="D387" s="28">
        <v>0</v>
      </c>
      <c r="F387" s="9" t="str">
        <f t="shared" si="45"/>
        <v>7091</v>
      </c>
      <c r="G387" s="9">
        <f t="shared" si="46"/>
        <v>1046.1500000000001</v>
      </c>
      <c r="H387" s="9">
        <f t="shared" si="47"/>
        <v>0</v>
      </c>
      <c r="I387" s="9">
        <f t="array" ref="I387">+SUM(IFERROR(VALUE(G387:H387),0))</f>
        <v>1046.1500000000001</v>
      </c>
      <c r="K387" s="9" t="str">
        <f t="shared" si="48"/>
        <v>709</v>
      </c>
      <c r="L387" s="9">
        <f t="shared" si="49"/>
        <v>1046.1500000000001</v>
      </c>
      <c r="M387" s="9">
        <f t="shared" si="50"/>
        <v>0</v>
      </c>
      <c r="N387" s="9">
        <f t="array" ref="N387">+SUM(IFERROR(VALUE(L387:M387),0))</f>
        <v>1046.1500000000001</v>
      </c>
      <c r="P387" s="9" t="str">
        <f t="shared" si="51"/>
        <v>70</v>
      </c>
      <c r="Q387" s="9">
        <f t="shared" si="52"/>
        <v>1046.1500000000001</v>
      </c>
      <c r="R387" s="9">
        <f t="shared" si="53"/>
        <v>0</v>
      </c>
      <c r="S387" s="9">
        <f t="array" ref="S387">+SUM(IFERROR(VALUE(Q387:R387),0))</f>
        <v>1046.1500000000001</v>
      </c>
    </row>
    <row r="388" spans="1:19" ht="14.4">
      <c r="A388" t="s">
        <v>2817</v>
      </c>
      <c r="B388" t="s">
        <v>2818</v>
      </c>
      <c r="C388" s="27">
        <v>2581878.4300000002</v>
      </c>
      <c r="D388" s="28">
        <v>0</v>
      </c>
      <c r="F388" s="9" t="str">
        <f t="shared" si="45"/>
        <v>7120</v>
      </c>
      <c r="G388" s="9">
        <f t="shared" si="46"/>
        <v>2581878.4300000002</v>
      </c>
      <c r="H388" s="9">
        <f t="shared" si="47"/>
        <v>0</v>
      </c>
      <c r="I388" s="9">
        <f t="array" ref="I388">+SUM(IFERROR(VALUE(G388:H388),0))</f>
        <v>2581878.4300000002</v>
      </c>
      <c r="K388" s="9" t="str">
        <f t="shared" si="48"/>
        <v>712</v>
      </c>
      <c r="L388" s="9">
        <f t="shared" si="49"/>
        <v>2581878.4300000002</v>
      </c>
      <c r="M388" s="9">
        <f t="shared" si="50"/>
        <v>0</v>
      </c>
      <c r="N388" s="9">
        <f t="array" ref="N388">+SUM(IFERROR(VALUE(L388:M388),0))</f>
        <v>2581878.4300000002</v>
      </c>
      <c r="P388" s="9" t="str">
        <f t="shared" si="51"/>
        <v>71</v>
      </c>
      <c r="Q388" s="9">
        <f t="shared" si="52"/>
        <v>2581878.4300000002</v>
      </c>
      <c r="R388" s="9">
        <f t="shared" si="53"/>
        <v>0</v>
      </c>
      <c r="S388" s="9">
        <f t="array" ref="S388">+SUM(IFERROR(VALUE(Q388:R388),0))</f>
        <v>2581878.4300000002</v>
      </c>
    </row>
    <row r="389" spans="1:19" ht="14.4">
      <c r="A389" t="s">
        <v>2819</v>
      </c>
      <c r="B389" t="s">
        <v>2820</v>
      </c>
      <c r="C389" s="27">
        <v>0</v>
      </c>
      <c r="D389" s="28">
        <v>6654.87</v>
      </c>
      <c r="F389" s="9" t="str">
        <f t="shared" si="45"/>
        <v>7400</v>
      </c>
      <c r="G389" s="9">
        <f t="shared" si="46"/>
        <v>0</v>
      </c>
      <c r="H389" s="9">
        <f t="shared" si="47"/>
        <v>-6654.87</v>
      </c>
      <c r="I389" s="9">
        <f t="array" ref="I389">+SUM(IFERROR(VALUE(G389:H389),0))</f>
        <v>-6654.87</v>
      </c>
      <c r="K389" s="9" t="str">
        <f t="shared" si="48"/>
        <v>740</v>
      </c>
      <c r="L389" s="9">
        <f t="shared" si="49"/>
        <v>0</v>
      </c>
      <c r="M389" s="9">
        <f t="shared" si="50"/>
        <v>-6654.87</v>
      </c>
      <c r="N389" s="9">
        <f t="array" ref="N389">+SUM(IFERROR(VALUE(L389:M389),0))</f>
        <v>-6654.87</v>
      </c>
      <c r="P389" s="9" t="str">
        <f t="shared" si="51"/>
        <v>74</v>
      </c>
      <c r="Q389" s="9">
        <f t="shared" si="52"/>
        <v>0</v>
      </c>
      <c r="R389" s="9">
        <f t="shared" si="53"/>
        <v>-6654.87</v>
      </c>
      <c r="S389" s="9">
        <f t="array" ref="S389">+SUM(IFERROR(VALUE(Q389:R389),0))</f>
        <v>-6654.87</v>
      </c>
    </row>
    <row r="390" spans="1:19" ht="14.4">
      <c r="A390" t="s">
        <v>2821</v>
      </c>
      <c r="B390" t="s">
        <v>2822</v>
      </c>
      <c r="C390" s="27">
        <v>0</v>
      </c>
      <c r="D390" s="28">
        <v>4725.3500000000004</v>
      </c>
      <c r="F390" s="9" t="str">
        <f t="shared" ref="F390:F453" si="54">+LEFT(A390,4)</f>
        <v>7590</v>
      </c>
      <c r="G390" s="9">
        <f t="shared" ref="G390:G453" si="55">+C390</f>
        <v>0</v>
      </c>
      <c r="H390" s="9">
        <f t="shared" ref="H390:H453" si="56">-D390</f>
        <v>-4725.3500000000004</v>
      </c>
      <c r="I390" s="9">
        <f t="array" ref="I390">+SUM(IFERROR(VALUE(G390:H390),0))</f>
        <v>-4725.3500000000004</v>
      </c>
      <c r="K390" s="9" t="str">
        <f t="shared" ref="K390:K453" si="57">+LEFT(A390,3)</f>
        <v>759</v>
      </c>
      <c r="L390" s="9">
        <f t="shared" ref="L390:L453" si="58">+C390</f>
        <v>0</v>
      </c>
      <c r="M390" s="9">
        <f t="shared" ref="M390:M453" si="59">-D390</f>
        <v>-4725.3500000000004</v>
      </c>
      <c r="N390" s="9">
        <f t="array" ref="N390">+SUM(IFERROR(VALUE(L390:M390),0))</f>
        <v>-4725.3500000000004</v>
      </c>
      <c r="P390" s="9" t="str">
        <f t="shared" ref="P390:P453" si="60">+LEFT(A390,2)</f>
        <v>75</v>
      </c>
      <c r="Q390" s="9">
        <f t="shared" ref="Q390:Q453" si="61">+C390</f>
        <v>0</v>
      </c>
      <c r="R390" s="9">
        <f t="shared" ref="R390:R453" si="62">-D390</f>
        <v>-4725.3500000000004</v>
      </c>
      <c r="S390" s="9">
        <f t="array" ref="S390">+SUM(IFERROR(VALUE(Q390:R390),0))</f>
        <v>-4725.3500000000004</v>
      </c>
    </row>
    <row r="391" spans="1:19" ht="14.4">
      <c r="A391" t="s">
        <v>2823</v>
      </c>
      <c r="B391" t="s">
        <v>2824</v>
      </c>
      <c r="C391" s="27">
        <v>0</v>
      </c>
      <c r="D391" s="28">
        <v>323.07</v>
      </c>
      <c r="F391" s="9" t="str">
        <f t="shared" si="54"/>
        <v>7590</v>
      </c>
      <c r="G391" s="9">
        <f t="shared" si="55"/>
        <v>0</v>
      </c>
      <c r="H391" s="9">
        <f t="shared" si="56"/>
        <v>-323.07</v>
      </c>
      <c r="I391" s="9">
        <f t="array" ref="I391">+SUM(IFERROR(VALUE(G391:H391),0))</f>
        <v>-323.07</v>
      </c>
      <c r="K391" s="9" t="str">
        <f t="shared" si="57"/>
        <v>759</v>
      </c>
      <c r="L391" s="9">
        <f t="shared" si="58"/>
        <v>0</v>
      </c>
      <c r="M391" s="9">
        <f t="shared" si="59"/>
        <v>-323.07</v>
      </c>
      <c r="N391" s="9">
        <f t="array" ref="N391">+SUM(IFERROR(VALUE(L391:M391),0))</f>
        <v>-323.07</v>
      </c>
      <c r="P391" s="9" t="str">
        <f t="shared" si="60"/>
        <v>75</v>
      </c>
      <c r="Q391" s="9">
        <f t="shared" si="61"/>
        <v>0</v>
      </c>
      <c r="R391" s="9">
        <f t="shared" si="62"/>
        <v>-323.07</v>
      </c>
      <c r="S391" s="9">
        <f t="array" ref="S391">+SUM(IFERROR(VALUE(Q391:R391),0))</f>
        <v>-323.07</v>
      </c>
    </row>
    <row r="392" spans="1:19" ht="14.4">
      <c r="A392" t="s">
        <v>2825</v>
      </c>
      <c r="B392" t="s">
        <v>2826</v>
      </c>
      <c r="C392" s="27">
        <v>0</v>
      </c>
      <c r="D392" s="28">
        <v>2801562.15</v>
      </c>
      <c r="F392" s="9" t="str">
        <f t="shared" si="54"/>
        <v>7603</v>
      </c>
      <c r="G392" s="9">
        <f t="shared" si="55"/>
        <v>0</v>
      </c>
      <c r="H392" s="9">
        <f t="shared" si="56"/>
        <v>-2801562.15</v>
      </c>
      <c r="I392" s="9">
        <f t="array" ref="I392">+SUM(IFERROR(VALUE(G392:H392),0))</f>
        <v>-2801562.15</v>
      </c>
      <c r="K392" s="9" t="str">
        <f t="shared" si="57"/>
        <v>760</v>
      </c>
      <c r="L392" s="9">
        <f t="shared" si="58"/>
        <v>0</v>
      </c>
      <c r="M392" s="9">
        <f t="shared" si="59"/>
        <v>-2801562.15</v>
      </c>
      <c r="N392" s="9">
        <f t="array" ref="N392">+SUM(IFERROR(VALUE(L392:M392),0))</f>
        <v>-2801562.15</v>
      </c>
      <c r="P392" s="9" t="str">
        <f t="shared" si="60"/>
        <v>76</v>
      </c>
      <c r="Q392" s="9">
        <f t="shared" si="61"/>
        <v>0</v>
      </c>
      <c r="R392" s="9">
        <f t="shared" si="62"/>
        <v>-2801562.15</v>
      </c>
      <c r="S392" s="9">
        <f t="array" ref="S392">+SUM(IFERROR(VALUE(Q392:R392),0))</f>
        <v>-2801562.15</v>
      </c>
    </row>
    <row r="393" spans="1:19" ht="14.4">
      <c r="A393" t="s">
        <v>2827</v>
      </c>
      <c r="B393" t="s">
        <v>2828</v>
      </c>
      <c r="C393" s="27">
        <v>0</v>
      </c>
      <c r="D393" s="28">
        <v>2863020.42</v>
      </c>
      <c r="F393" s="9" t="str">
        <f t="shared" si="54"/>
        <v>7603</v>
      </c>
      <c r="G393" s="9">
        <f t="shared" si="55"/>
        <v>0</v>
      </c>
      <c r="H393" s="9">
        <f t="shared" si="56"/>
        <v>-2863020.42</v>
      </c>
      <c r="I393" s="9">
        <f t="array" ref="I393">+SUM(IFERROR(VALUE(G393:H393),0))</f>
        <v>-2863020.42</v>
      </c>
      <c r="K393" s="9" t="str">
        <f t="shared" si="57"/>
        <v>760</v>
      </c>
      <c r="L393" s="9">
        <f t="shared" si="58"/>
        <v>0</v>
      </c>
      <c r="M393" s="9">
        <f t="shared" si="59"/>
        <v>-2863020.42</v>
      </c>
      <c r="N393" s="9">
        <f t="array" ref="N393">+SUM(IFERROR(VALUE(L393:M393),0))</f>
        <v>-2863020.42</v>
      </c>
      <c r="P393" s="9" t="str">
        <f t="shared" si="60"/>
        <v>76</v>
      </c>
      <c r="Q393" s="9">
        <f t="shared" si="61"/>
        <v>0</v>
      </c>
      <c r="R393" s="9">
        <f t="shared" si="62"/>
        <v>-2863020.42</v>
      </c>
      <c r="S393" s="9">
        <f t="array" ref="S393">+SUM(IFERROR(VALUE(Q393:R393),0))</f>
        <v>-2863020.42</v>
      </c>
    </row>
    <row r="394" spans="1:19" ht="14.4">
      <c r="A394" t="s">
        <v>2829</v>
      </c>
      <c r="B394" t="s">
        <v>2830</v>
      </c>
      <c r="C394" s="27">
        <v>0</v>
      </c>
      <c r="D394" s="28">
        <v>827926.8</v>
      </c>
      <c r="F394" s="9" t="str">
        <f t="shared" si="54"/>
        <v>7603</v>
      </c>
      <c r="G394" s="9">
        <f t="shared" si="55"/>
        <v>0</v>
      </c>
      <c r="H394" s="9">
        <f t="shared" si="56"/>
        <v>-827926.8</v>
      </c>
      <c r="I394" s="9">
        <f t="array" ref="I394">+SUM(IFERROR(VALUE(G394:H394),0))</f>
        <v>-827926.8</v>
      </c>
      <c r="K394" s="9" t="str">
        <f t="shared" si="57"/>
        <v>760</v>
      </c>
      <c r="L394" s="9">
        <f t="shared" si="58"/>
        <v>0</v>
      </c>
      <c r="M394" s="9">
        <f t="shared" si="59"/>
        <v>-827926.8</v>
      </c>
      <c r="N394" s="9">
        <f t="array" ref="N394">+SUM(IFERROR(VALUE(L394:M394),0))</f>
        <v>-827926.8</v>
      </c>
      <c r="P394" s="9" t="str">
        <f t="shared" si="60"/>
        <v>76</v>
      </c>
      <c r="Q394" s="9">
        <f t="shared" si="61"/>
        <v>0</v>
      </c>
      <c r="R394" s="9">
        <f t="shared" si="62"/>
        <v>-827926.8</v>
      </c>
      <c r="S394" s="9">
        <f t="array" ref="S394">+SUM(IFERROR(VALUE(Q394:R394),0))</f>
        <v>-827926.8</v>
      </c>
    </row>
    <row r="395" spans="1:19" ht="14.4">
      <c r="A395" t="s">
        <v>2831</v>
      </c>
      <c r="B395" t="s">
        <v>2832</v>
      </c>
      <c r="C395" s="27">
        <v>0</v>
      </c>
      <c r="D395" s="28">
        <v>6180.74</v>
      </c>
      <c r="F395" s="9" t="str">
        <f t="shared" si="54"/>
        <v>7603</v>
      </c>
      <c r="G395" s="9">
        <f t="shared" si="55"/>
        <v>0</v>
      </c>
      <c r="H395" s="9">
        <f t="shared" si="56"/>
        <v>-6180.74</v>
      </c>
      <c r="I395" s="9">
        <f t="array" ref="I395">+SUM(IFERROR(VALUE(G395:H395),0))</f>
        <v>-6180.74</v>
      </c>
      <c r="K395" s="9" t="str">
        <f t="shared" si="57"/>
        <v>760</v>
      </c>
      <c r="L395" s="9">
        <f t="shared" si="58"/>
        <v>0</v>
      </c>
      <c r="M395" s="9">
        <f t="shared" si="59"/>
        <v>-6180.74</v>
      </c>
      <c r="N395" s="9">
        <f t="array" ref="N395">+SUM(IFERROR(VALUE(L395:M395),0))</f>
        <v>-6180.74</v>
      </c>
      <c r="P395" s="9" t="str">
        <f t="shared" si="60"/>
        <v>76</v>
      </c>
      <c r="Q395" s="9">
        <f t="shared" si="61"/>
        <v>0</v>
      </c>
      <c r="R395" s="9">
        <f t="shared" si="62"/>
        <v>-6180.74</v>
      </c>
      <c r="S395" s="9">
        <f t="array" ref="S395">+SUM(IFERROR(VALUE(Q395:R395),0))</f>
        <v>-6180.74</v>
      </c>
    </row>
    <row r="396" spans="1:19" ht="14.4">
      <c r="A396" t="s">
        <v>2833</v>
      </c>
      <c r="B396" t="s">
        <v>2834</v>
      </c>
      <c r="C396" s="27">
        <v>0</v>
      </c>
      <c r="D396" s="28">
        <v>25330.58</v>
      </c>
      <c r="F396" s="9" t="str">
        <f t="shared" si="54"/>
        <v>7604</v>
      </c>
      <c r="G396" s="9">
        <f t="shared" si="55"/>
        <v>0</v>
      </c>
      <c r="H396" s="9">
        <f t="shared" si="56"/>
        <v>-25330.58</v>
      </c>
      <c r="I396" s="9">
        <f t="array" ref="I396">+SUM(IFERROR(VALUE(G396:H396),0))</f>
        <v>-25330.58</v>
      </c>
      <c r="K396" s="9" t="str">
        <f t="shared" si="57"/>
        <v>760</v>
      </c>
      <c r="L396" s="9">
        <f t="shared" si="58"/>
        <v>0</v>
      </c>
      <c r="M396" s="9">
        <f t="shared" si="59"/>
        <v>-25330.58</v>
      </c>
      <c r="N396" s="9">
        <f t="array" ref="N396">+SUM(IFERROR(VALUE(L396:M396),0))</f>
        <v>-25330.58</v>
      </c>
      <c r="P396" s="9" t="str">
        <f t="shared" si="60"/>
        <v>76</v>
      </c>
      <c r="Q396" s="9">
        <f t="shared" si="61"/>
        <v>0</v>
      </c>
      <c r="R396" s="9">
        <f t="shared" si="62"/>
        <v>-25330.58</v>
      </c>
      <c r="S396" s="9">
        <f t="array" ref="S396">+SUM(IFERROR(VALUE(Q396:R396),0))</f>
        <v>-25330.58</v>
      </c>
    </row>
    <row r="397" spans="1:19" ht="14.4">
      <c r="A397" t="s">
        <v>2835</v>
      </c>
      <c r="B397" t="s">
        <v>2836</v>
      </c>
      <c r="C397" s="27">
        <v>0</v>
      </c>
      <c r="D397" s="28">
        <v>3504561.87</v>
      </c>
      <c r="F397" s="9" t="str">
        <f t="shared" si="54"/>
        <v>7632</v>
      </c>
      <c r="G397" s="9">
        <f t="shared" si="55"/>
        <v>0</v>
      </c>
      <c r="H397" s="9">
        <f t="shared" si="56"/>
        <v>-3504561.87</v>
      </c>
      <c r="I397" s="9">
        <f t="array" ref="I397">+SUM(IFERROR(VALUE(G397:H397),0))</f>
        <v>-3504561.87</v>
      </c>
      <c r="K397" s="9" t="str">
        <f t="shared" si="57"/>
        <v>763</v>
      </c>
      <c r="L397" s="9">
        <f t="shared" si="58"/>
        <v>0</v>
      </c>
      <c r="M397" s="9">
        <f t="shared" si="59"/>
        <v>-3504561.87</v>
      </c>
      <c r="N397" s="9">
        <f t="array" ref="N397">+SUM(IFERROR(VALUE(L397:M397),0))</f>
        <v>-3504561.87</v>
      </c>
      <c r="P397" s="9" t="str">
        <f t="shared" si="60"/>
        <v>76</v>
      </c>
      <c r="Q397" s="9">
        <f t="shared" si="61"/>
        <v>0</v>
      </c>
      <c r="R397" s="9">
        <f t="shared" si="62"/>
        <v>-3504561.87</v>
      </c>
      <c r="S397" s="9">
        <f t="array" ref="S397">+SUM(IFERROR(VALUE(Q397:R397),0))</f>
        <v>-3504561.87</v>
      </c>
    </row>
    <row r="398" spans="1:19" ht="14.4">
      <c r="A398" t="s">
        <v>2837</v>
      </c>
      <c r="B398" t="s">
        <v>2838</v>
      </c>
      <c r="C398" s="27">
        <v>0</v>
      </c>
      <c r="D398" s="28">
        <v>622701.62</v>
      </c>
      <c r="F398" s="9" t="str">
        <f t="shared" si="54"/>
        <v>7663</v>
      </c>
      <c r="G398" s="9">
        <f t="shared" si="55"/>
        <v>0</v>
      </c>
      <c r="H398" s="9">
        <f t="shared" si="56"/>
        <v>-622701.62</v>
      </c>
      <c r="I398" s="9">
        <f t="array" ref="I398">+SUM(IFERROR(VALUE(G398:H398),0))</f>
        <v>-622701.62</v>
      </c>
      <c r="K398" s="9" t="str">
        <f t="shared" si="57"/>
        <v>766</v>
      </c>
      <c r="L398" s="9">
        <f t="shared" si="58"/>
        <v>0</v>
      </c>
      <c r="M398" s="9">
        <f t="shared" si="59"/>
        <v>-622701.62</v>
      </c>
      <c r="N398" s="9">
        <f t="array" ref="N398">+SUM(IFERROR(VALUE(L398:M398),0))</f>
        <v>-622701.62</v>
      </c>
      <c r="P398" s="9" t="str">
        <f t="shared" si="60"/>
        <v>76</v>
      </c>
      <c r="Q398" s="9">
        <f t="shared" si="61"/>
        <v>0</v>
      </c>
      <c r="R398" s="9">
        <f t="shared" si="62"/>
        <v>-622701.62</v>
      </c>
      <c r="S398" s="9">
        <f t="array" ref="S398">+SUM(IFERROR(VALUE(Q398:R398),0))</f>
        <v>-622701.62</v>
      </c>
    </row>
    <row r="399" spans="1:19" ht="14.4">
      <c r="A399" t="s">
        <v>2839</v>
      </c>
      <c r="B399" t="s">
        <v>2840</v>
      </c>
      <c r="C399" s="27">
        <v>0</v>
      </c>
      <c r="D399" s="28">
        <v>15595.92</v>
      </c>
      <c r="F399" s="9" t="str">
        <f t="shared" si="54"/>
        <v>7663</v>
      </c>
      <c r="G399" s="9">
        <f t="shared" si="55"/>
        <v>0</v>
      </c>
      <c r="H399" s="9">
        <f t="shared" si="56"/>
        <v>-15595.92</v>
      </c>
      <c r="I399" s="9">
        <f t="array" ref="I399">+SUM(IFERROR(VALUE(G399:H399),0))</f>
        <v>-15595.92</v>
      </c>
      <c r="K399" s="9" t="str">
        <f t="shared" si="57"/>
        <v>766</v>
      </c>
      <c r="L399" s="9">
        <f t="shared" si="58"/>
        <v>0</v>
      </c>
      <c r="M399" s="9">
        <f t="shared" si="59"/>
        <v>-15595.92</v>
      </c>
      <c r="N399" s="9">
        <f t="array" ref="N399">+SUM(IFERROR(VALUE(L399:M399),0))</f>
        <v>-15595.92</v>
      </c>
      <c r="P399" s="9" t="str">
        <f t="shared" si="60"/>
        <v>76</v>
      </c>
      <c r="Q399" s="9">
        <f t="shared" si="61"/>
        <v>0</v>
      </c>
      <c r="R399" s="9">
        <f t="shared" si="62"/>
        <v>-15595.92</v>
      </c>
      <c r="S399" s="9">
        <f t="array" ref="S399">+SUM(IFERROR(VALUE(Q399:R399),0))</f>
        <v>-15595.92</v>
      </c>
    </row>
    <row r="400" spans="1:19" ht="14.4">
      <c r="A400" t="s">
        <v>2841</v>
      </c>
      <c r="B400" t="s">
        <v>2842</v>
      </c>
      <c r="C400" s="27">
        <v>0</v>
      </c>
      <c r="D400" s="28">
        <v>822.96</v>
      </c>
      <c r="F400" s="9" t="str">
        <f t="shared" si="54"/>
        <v>7663</v>
      </c>
      <c r="G400" s="9">
        <f t="shared" si="55"/>
        <v>0</v>
      </c>
      <c r="H400" s="9">
        <f t="shared" si="56"/>
        <v>-822.96</v>
      </c>
      <c r="I400" s="9">
        <f t="array" ref="I400">+SUM(IFERROR(VALUE(G400:H400),0))</f>
        <v>-822.96</v>
      </c>
      <c r="K400" s="9" t="str">
        <f t="shared" si="57"/>
        <v>766</v>
      </c>
      <c r="L400" s="9">
        <f t="shared" si="58"/>
        <v>0</v>
      </c>
      <c r="M400" s="9">
        <f t="shared" si="59"/>
        <v>-822.96</v>
      </c>
      <c r="N400" s="9">
        <f t="array" ref="N400">+SUM(IFERROR(VALUE(L400:M400),0))</f>
        <v>-822.96</v>
      </c>
      <c r="P400" s="9" t="str">
        <f t="shared" si="60"/>
        <v>76</v>
      </c>
      <c r="Q400" s="9">
        <f t="shared" si="61"/>
        <v>0</v>
      </c>
      <c r="R400" s="9">
        <f t="shared" si="62"/>
        <v>-822.96</v>
      </c>
      <c r="S400" s="9">
        <f t="array" ref="S400">+SUM(IFERROR(VALUE(Q400:R400),0))</f>
        <v>-822.96</v>
      </c>
    </row>
    <row r="401" spans="1:19" ht="14.4">
      <c r="A401" t="s">
        <v>2843</v>
      </c>
      <c r="B401" t="s">
        <v>2844</v>
      </c>
      <c r="C401" s="27">
        <v>0</v>
      </c>
      <c r="D401" s="28">
        <v>160713.98000000001</v>
      </c>
      <c r="F401" s="9" t="str">
        <f t="shared" si="54"/>
        <v>7680</v>
      </c>
      <c r="G401" s="9">
        <f t="shared" si="55"/>
        <v>0</v>
      </c>
      <c r="H401" s="9">
        <f t="shared" si="56"/>
        <v>-160713.98000000001</v>
      </c>
      <c r="I401" s="9">
        <f t="array" ref="I401">+SUM(IFERROR(VALUE(G401:H401),0))</f>
        <v>-160713.98000000001</v>
      </c>
      <c r="K401" s="9" t="str">
        <f t="shared" si="57"/>
        <v>768</v>
      </c>
      <c r="L401" s="9">
        <f t="shared" si="58"/>
        <v>0</v>
      </c>
      <c r="M401" s="9">
        <f t="shared" si="59"/>
        <v>-160713.98000000001</v>
      </c>
      <c r="N401" s="9">
        <f t="array" ref="N401">+SUM(IFERROR(VALUE(L401:M401),0))</f>
        <v>-160713.98000000001</v>
      </c>
      <c r="P401" s="9" t="str">
        <f t="shared" si="60"/>
        <v>76</v>
      </c>
      <c r="Q401" s="9">
        <f t="shared" si="61"/>
        <v>0</v>
      </c>
      <c r="R401" s="9">
        <f t="shared" si="62"/>
        <v>-160713.98000000001</v>
      </c>
      <c r="S401" s="9">
        <f t="array" ref="S401">+SUM(IFERROR(VALUE(Q401:R401),0))</f>
        <v>-160713.98000000001</v>
      </c>
    </row>
    <row r="402" spans="1:19" ht="14.4">
      <c r="A402" t="s">
        <v>2845</v>
      </c>
      <c r="B402" t="s">
        <v>2846</v>
      </c>
      <c r="C402" s="27">
        <v>11.27</v>
      </c>
      <c r="D402" s="28">
        <v>0</v>
      </c>
      <c r="F402" s="9" t="str">
        <f t="shared" si="54"/>
        <v>7680</v>
      </c>
      <c r="G402" s="9">
        <f t="shared" si="55"/>
        <v>11.27</v>
      </c>
      <c r="H402" s="9">
        <f t="shared" si="56"/>
        <v>0</v>
      </c>
      <c r="I402" s="9">
        <f t="array" ref="I402">+SUM(IFERROR(VALUE(G402:H402),0))</f>
        <v>11.27</v>
      </c>
      <c r="K402" s="9" t="str">
        <f t="shared" si="57"/>
        <v>768</v>
      </c>
      <c r="L402" s="9">
        <f t="shared" si="58"/>
        <v>11.27</v>
      </c>
      <c r="M402" s="9">
        <f t="shared" si="59"/>
        <v>0</v>
      </c>
      <c r="N402" s="9">
        <f t="array" ref="N402">+SUM(IFERROR(VALUE(L402:M402),0))</f>
        <v>11.27</v>
      </c>
      <c r="P402" s="9" t="str">
        <f t="shared" si="60"/>
        <v>76</v>
      </c>
      <c r="Q402" s="9">
        <f t="shared" si="61"/>
        <v>11.27</v>
      </c>
      <c r="R402" s="9">
        <f t="shared" si="62"/>
        <v>0</v>
      </c>
      <c r="S402" s="9">
        <f t="array" ref="S402">+SUM(IFERROR(VALUE(Q402:R402),0))</f>
        <v>11.27</v>
      </c>
    </row>
    <row r="403" spans="1:19" ht="14.4">
      <c r="A403" t="s">
        <v>2847</v>
      </c>
      <c r="B403" t="s">
        <v>2848</v>
      </c>
      <c r="C403" s="27">
        <v>0</v>
      </c>
      <c r="D403" s="28">
        <v>147649.67000000001</v>
      </c>
      <c r="F403" s="9" t="str">
        <f t="shared" si="54"/>
        <v>7690</v>
      </c>
      <c r="G403" s="9">
        <f t="shared" si="55"/>
        <v>0</v>
      </c>
      <c r="H403" s="9">
        <f t="shared" si="56"/>
        <v>-147649.67000000001</v>
      </c>
      <c r="I403" s="9">
        <f t="array" ref="I403">+SUM(IFERROR(VALUE(G403:H403),0))</f>
        <v>-147649.67000000001</v>
      </c>
      <c r="K403" s="9" t="str">
        <f t="shared" si="57"/>
        <v>769</v>
      </c>
      <c r="L403" s="9">
        <f t="shared" si="58"/>
        <v>0</v>
      </c>
      <c r="M403" s="9">
        <f t="shared" si="59"/>
        <v>-147649.67000000001</v>
      </c>
      <c r="N403" s="9">
        <f t="array" ref="N403">+SUM(IFERROR(VALUE(L403:M403),0))</f>
        <v>-147649.67000000001</v>
      </c>
      <c r="P403" s="9" t="str">
        <f t="shared" si="60"/>
        <v>76</v>
      </c>
      <c r="Q403" s="9">
        <f t="shared" si="61"/>
        <v>0</v>
      </c>
      <c r="R403" s="9">
        <f t="shared" si="62"/>
        <v>-147649.67000000001</v>
      </c>
      <c r="S403" s="9">
        <f t="array" ref="S403">+SUM(IFERROR(VALUE(Q403:R403),0))</f>
        <v>-147649.67000000001</v>
      </c>
    </row>
    <row r="404" spans="1:19" ht="14.4">
      <c r="A404" t="s">
        <v>2849</v>
      </c>
      <c r="B404" t="s">
        <v>2850</v>
      </c>
      <c r="C404" s="27">
        <v>0</v>
      </c>
      <c r="D404" s="28">
        <v>351213.99</v>
      </c>
      <c r="F404" s="9" t="str">
        <f t="shared" si="54"/>
        <v>7690</v>
      </c>
      <c r="G404" s="9">
        <f t="shared" si="55"/>
        <v>0</v>
      </c>
      <c r="H404" s="9">
        <f t="shared" si="56"/>
        <v>-351213.99</v>
      </c>
      <c r="I404" s="9">
        <f t="array" ref="I404">+SUM(IFERROR(VALUE(G404:H404),0))</f>
        <v>-351213.99</v>
      </c>
      <c r="K404" s="9" t="str">
        <f t="shared" si="57"/>
        <v>769</v>
      </c>
      <c r="L404" s="9">
        <f t="shared" si="58"/>
        <v>0</v>
      </c>
      <c r="M404" s="9">
        <f t="shared" si="59"/>
        <v>-351213.99</v>
      </c>
      <c r="N404" s="9">
        <f t="array" ref="N404">+SUM(IFERROR(VALUE(L404:M404),0))</f>
        <v>-351213.99</v>
      </c>
      <c r="P404" s="9" t="str">
        <f t="shared" si="60"/>
        <v>76</v>
      </c>
      <c r="Q404" s="9">
        <f t="shared" si="61"/>
        <v>0</v>
      </c>
      <c r="R404" s="9">
        <f t="shared" si="62"/>
        <v>-351213.99</v>
      </c>
      <c r="S404" s="9">
        <f t="array" ref="S404">+SUM(IFERROR(VALUE(Q404:R404),0))</f>
        <v>-351213.99</v>
      </c>
    </row>
    <row r="405" spans="1:19" ht="14.4">
      <c r="A405" t="s">
        <v>2851</v>
      </c>
      <c r="B405" t="s">
        <v>2852</v>
      </c>
      <c r="C405" s="27">
        <v>0</v>
      </c>
      <c r="D405" s="28">
        <v>390474.54</v>
      </c>
      <c r="F405" s="9" t="str">
        <f t="shared" si="54"/>
        <v>7690</v>
      </c>
      <c r="G405" s="9">
        <f t="shared" si="55"/>
        <v>0</v>
      </c>
      <c r="H405" s="9">
        <f t="shared" si="56"/>
        <v>-390474.54</v>
      </c>
      <c r="I405" s="9">
        <f t="array" ref="I405">+SUM(IFERROR(VALUE(G405:H405),0))</f>
        <v>-390474.54</v>
      </c>
      <c r="K405" s="9" t="str">
        <f t="shared" si="57"/>
        <v>769</v>
      </c>
      <c r="L405" s="9">
        <f t="shared" si="58"/>
        <v>0</v>
      </c>
      <c r="M405" s="9">
        <f t="shared" si="59"/>
        <v>-390474.54</v>
      </c>
      <c r="N405" s="9">
        <f t="array" ref="N405">+SUM(IFERROR(VALUE(L405:M405),0))</f>
        <v>-390474.54</v>
      </c>
      <c r="P405" s="9" t="str">
        <f t="shared" si="60"/>
        <v>76</v>
      </c>
      <c r="Q405" s="9">
        <f t="shared" si="61"/>
        <v>0</v>
      </c>
      <c r="R405" s="9">
        <f t="shared" si="62"/>
        <v>-390474.54</v>
      </c>
      <c r="S405" s="9">
        <f t="array" ref="S405">+SUM(IFERROR(VALUE(Q405:R405),0))</f>
        <v>-390474.54</v>
      </c>
    </row>
    <row r="406" spans="1:19" ht="14.4">
      <c r="A406" t="s">
        <v>2853</v>
      </c>
      <c r="B406" t="s">
        <v>2854</v>
      </c>
      <c r="C406" s="27">
        <v>0</v>
      </c>
      <c r="D406" s="28">
        <v>1398787.25</v>
      </c>
      <c r="F406" s="9" t="str">
        <f t="shared" si="54"/>
        <v>7690</v>
      </c>
      <c r="G406" s="9">
        <f t="shared" si="55"/>
        <v>0</v>
      </c>
      <c r="H406" s="9">
        <f t="shared" si="56"/>
        <v>-1398787.25</v>
      </c>
      <c r="I406" s="9">
        <f t="array" ref="I406">+SUM(IFERROR(VALUE(G406:H406),0))</f>
        <v>-1398787.25</v>
      </c>
      <c r="K406" s="9" t="str">
        <f t="shared" si="57"/>
        <v>769</v>
      </c>
      <c r="L406" s="9">
        <f t="shared" si="58"/>
        <v>0</v>
      </c>
      <c r="M406" s="9">
        <f t="shared" si="59"/>
        <v>-1398787.25</v>
      </c>
      <c r="N406" s="9">
        <f t="array" ref="N406">+SUM(IFERROR(VALUE(L406:M406),0))</f>
        <v>-1398787.25</v>
      </c>
      <c r="P406" s="9" t="str">
        <f t="shared" si="60"/>
        <v>76</v>
      </c>
      <c r="Q406" s="9">
        <f t="shared" si="61"/>
        <v>0</v>
      </c>
      <c r="R406" s="9">
        <f t="shared" si="62"/>
        <v>-1398787.25</v>
      </c>
      <c r="S406" s="9">
        <f t="array" ref="S406">+SUM(IFERROR(VALUE(Q406:R406),0))</f>
        <v>-1398787.25</v>
      </c>
    </row>
    <row r="407" spans="1:19" ht="14.4">
      <c r="A407" t="s">
        <v>2855</v>
      </c>
      <c r="B407" t="s">
        <v>2856</v>
      </c>
      <c r="C407" s="27">
        <v>0</v>
      </c>
      <c r="D407" s="28">
        <v>6272.79</v>
      </c>
      <c r="F407" s="9" t="str">
        <f t="shared" si="54"/>
        <v>7691</v>
      </c>
      <c r="G407" s="9">
        <f t="shared" si="55"/>
        <v>0</v>
      </c>
      <c r="H407" s="9">
        <f t="shared" si="56"/>
        <v>-6272.79</v>
      </c>
      <c r="I407" s="9">
        <f t="array" ref="I407">+SUM(IFERROR(VALUE(G407:H407),0))</f>
        <v>-6272.79</v>
      </c>
      <c r="K407" s="9" t="str">
        <f t="shared" si="57"/>
        <v>769</v>
      </c>
      <c r="L407" s="9">
        <f t="shared" si="58"/>
        <v>0</v>
      </c>
      <c r="M407" s="9">
        <f t="shared" si="59"/>
        <v>-6272.79</v>
      </c>
      <c r="N407" s="9">
        <f t="array" ref="N407">+SUM(IFERROR(VALUE(L407:M407),0))</f>
        <v>-6272.79</v>
      </c>
      <c r="P407" s="9" t="str">
        <f t="shared" si="60"/>
        <v>76</v>
      </c>
      <c r="Q407" s="9">
        <f t="shared" si="61"/>
        <v>0</v>
      </c>
      <c r="R407" s="9">
        <f t="shared" si="62"/>
        <v>-6272.79</v>
      </c>
      <c r="S407" s="9">
        <f t="array" ref="S407">+SUM(IFERROR(VALUE(Q407:R407),0))</f>
        <v>-6272.79</v>
      </c>
    </row>
    <row r="408" spans="1:19" ht="14.4">
      <c r="A408" t="s">
        <v>2857</v>
      </c>
      <c r="B408" t="s">
        <v>2858</v>
      </c>
      <c r="C408" s="27">
        <v>0</v>
      </c>
      <c r="D408" s="28">
        <v>15248.05</v>
      </c>
      <c r="F408" s="9" t="str">
        <f t="shared" si="54"/>
        <v>7691</v>
      </c>
      <c r="G408" s="9">
        <f t="shared" si="55"/>
        <v>0</v>
      </c>
      <c r="H408" s="9">
        <f t="shared" si="56"/>
        <v>-15248.05</v>
      </c>
      <c r="I408" s="9">
        <f t="array" ref="I408">+SUM(IFERROR(VALUE(G408:H408),0))</f>
        <v>-15248.05</v>
      </c>
      <c r="K408" s="9" t="str">
        <f t="shared" si="57"/>
        <v>769</v>
      </c>
      <c r="L408" s="9">
        <f t="shared" si="58"/>
        <v>0</v>
      </c>
      <c r="M408" s="9">
        <f t="shared" si="59"/>
        <v>-15248.05</v>
      </c>
      <c r="N408" s="9">
        <f t="array" ref="N408">+SUM(IFERROR(VALUE(L408:M408),0))</f>
        <v>-15248.05</v>
      </c>
      <c r="P408" s="9" t="str">
        <f t="shared" si="60"/>
        <v>76</v>
      </c>
      <c r="Q408" s="9">
        <f t="shared" si="61"/>
        <v>0</v>
      </c>
      <c r="R408" s="9">
        <f t="shared" si="62"/>
        <v>-15248.05</v>
      </c>
      <c r="S408" s="9">
        <f t="array" ref="S408">+SUM(IFERROR(VALUE(Q408:R408),0))</f>
        <v>-15248.05</v>
      </c>
    </row>
    <row r="409" spans="1:19" ht="14.4">
      <c r="A409" t="s">
        <v>2859</v>
      </c>
      <c r="B409" t="s">
        <v>2860</v>
      </c>
      <c r="C409" s="27">
        <v>0</v>
      </c>
      <c r="D409" s="28">
        <v>4500</v>
      </c>
      <c r="F409" s="9" t="str">
        <f t="shared" si="54"/>
        <v>7710</v>
      </c>
      <c r="G409" s="9">
        <f t="shared" si="55"/>
        <v>0</v>
      </c>
      <c r="H409" s="9">
        <f t="shared" si="56"/>
        <v>-4500</v>
      </c>
      <c r="I409" s="9">
        <f t="array" ref="I409">+SUM(IFERROR(VALUE(G409:H409),0))</f>
        <v>-4500</v>
      </c>
      <c r="K409" s="9" t="str">
        <f t="shared" si="57"/>
        <v>771</v>
      </c>
      <c r="L409" s="9">
        <f t="shared" si="58"/>
        <v>0</v>
      </c>
      <c r="M409" s="9">
        <f t="shared" si="59"/>
        <v>-4500</v>
      </c>
      <c r="N409" s="9">
        <f t="array" ref="N409">+SUM(IFERROR(VALUE(L409:M409),0))</f>
        <v>-4500</v>
      </c>
      <c r="P409" s="9" t="str">
        <f t="shared" si="60"/>
        <v>77</v>
      </c>
      <c r="Q409" s="9">
        <f t="shared" si="61"/>
        <v>0</v>
      </c>
      <c r="R409" s="9">
        <f t="shared" si="62"/>
        <v>-4500</v>
      </c>
      <c r="S409" s="9">
        <f t="array" ref="S409">+SUM(IFERROR(VALUE(Q409:R409),0))</f>
        <v>-4500</v>
      </c>
    </row>
    <row r="410" spans="1:19" ht="14.4">
      <c r="A410" t="s">
        <v>2861</v>
      </c>
      <c r="B410" t="s">
        <v>2862</v>
      </c>
      <c r="C410" s="27">
        <v>0</v>
      </c>
      <c r="D410" s="28">
        <v>231.49</v>
      </c>
      <c r="F410" s="9" t="str">
        <f t="shared" si="54"/>
        <v>7780</v>
      </c>
      <c r="G410" s="9">
        <f t="shared" si="55"/>
        <v>0</v>
      </c>
      <c r="H410" s="9">
        <f t="shared" si="56"/>
        <v>-231.49</v>
      </c>
      <c r="I410" s="9">
        <f t="array" ref="I410">+SUM(IFERROR(VALUE(G410:H410),0))</f>
        <v>-231.49</v>
      </c>
      <c r="K410" s="9" t="str">
        <f t="shared" si="57"/>
        <v>778</v>
      </c>
      <c r="L410" s="9">
        <f t="shared" si="58"/>
        <v>0</v>
      </c>
      <c r="M410" s="9">
        <f t="shared" si="59"/>
        <v>-231.49</v>
      </c>
      <c r="N410" s="9">
        <f t="array" ref="N410">+SUM(IFERROR(VALUE(L410:M410),0))</f>
        <v>-231.49</v>
      </c>
      <c r="P410" s="9" t="str">
        <f t="shared" si="60"/>
        <v>77</v>
      </c>
      <c r="Q410" s="9">
        <f t="shared" si="61"/>
        <v>0</v>
      </c>
      <c r="R410" s="9">
        <f t="shared" si="62"/>
        <v>-231.49</v>
      </c>
      <c r="S410" s="9">
        <f t="array" ref="S410">+SUM(IFERROR(VALUE(Q410:R410),0))</f>
        <v>-231.49</v>
      </c>
    </row>
    <row r="411" spans="1:19" ht="14.4">
      <c r="A411" t="s">
        <v>2863</v>
      </c>
      <c r="B411" t="s">
        <v>2864</v>
      </c>
      <c r="C411" s="27">
        <v>0</v>
      </c>
      <c r="D411" s="28">
        <v>37.11</v>
      </c>
      <c r="F411" s="9" t="str">
        <f t="shared" si="54"/>
        <v>7780</v>
      </c>
      <c r="G411" s="9">
        <f t="shared" si="55"/>
        <v>0</v>
      </c>
      <c r="H411" s="9">
        <f t="shared" si="56"/>
        <v>-37.11</v>
      </c>
      <c r="I411" s="9">
        <f t="array" ref="I411">+SUM(IFERROR(VALUE(G411:H411),0))</f>
        <v>-37.11</v>
      </c>
      <c r="K411" s="9" t="str">
        <f t="shared" si="57"/>
        <v>778</v>
      </c>
      <c r="L411" s="9">
        <f t="shared" si="58"/>
        <v>0</v>
      </c>
      <c r="M411" s="9">
        <f t="shared" si="59"/>
        <v>-37.11</v>
      </c>
      <c r="N411" s="9">
        <f t="array" ref="N411">+SUM(IFERROR(VALUE(L411:M411),0))</f>
        <v>-37.11</v>
      </c>
      <c r="P411" s="9" t="str">
        <f t="shared" si="60"/>
        <v>77</v>
      </c>
      <c r="Q411" s="9">
        <f t="shared" si="61"/>
        <v>0</v>
      </c>
      <c r="R411" s="9">
        <f t="shared" si="62"/>
        <v>-37.11</v>
      </c>
      <c r="S411" s="9">
        <f t="array" ref="S411">+SUM(IFERROR(VALUE(Q411:R411),0))</f>
        <v>-37.11</v>
      </c>
    </row>
    <row r="412" spans="1:19" ht="14.4">
      <c r="A412" t="s">
        <v>2865</v>
      </c>
      <c r="B412" t="s">
        <v>2866</v>
      </c>
      <c r="C412" s="27" t="s">
        <v>1392</v>
      </c>
      <c r="D412" s="28">
        <v>0</v>
      </c>
      <c r="F412" s="9" t="str">
        <f t="shared" si="54"/>
        <v>8002</v>
      </c>
      <c r="G412" s="9" t="str">
        <f t="shared" si="55"/>
        <v/>
      </c>
      <c r="H412" s="9">
        <f t="shared" si="56"/>
        <v>0</v>
      </c>
      <c r="I412" s="9">
        <f t="array" ref="I412">+SUM(IFERROR(VALUE(G412:H412),0))</f>
        <v>0</v>
      </c>
      <c r="K412" s="9" t="str">
        <f t="shared" si="57"/>
        <v>800</v>
      </c>
      <c r="L412" s="9" t="str">
        <f t="shared" si="58"/>
        <v/>
      </c>
      <c r="M412" s="9">
        <f t="shared" si="59"/>
        <v>0</v>
      </c>
      <c r="N412" s="9">
        <f t="array" ref="N412">+SUM(IFERROR(VALUE(L412:M412),0))</f>
        <v>0</v>
      </c>
      <c r="P412" s="9" t="str">
        <f t="shared" si="60"/>
        <v>80</v>
      </c>
      <c r="Q412" s="9" t="str">
        <f t="shared" si="61"/>
        <v/>
      </c>
      <c r="R412" s="9">
        <f t="shared" si="62"/>
        <v>0</v>
      </c>
      <c r="S412" s="9">
        <f t="array" ref="S412">+SUM(IFERROR(VALUE(Q412:R412),0))</f>
        <v>0</v>
      </c>
    </row>
    <row r="413" spans="1:19" ht="14.4">
      <c r="A413" t="s">
        <v>2867</v>
      </c>
      <c r="B413" t="s">
        <v>2868</v>
      </c>
      <c r="C413" s="27" t="s">
        <v>1392</v>
      </c>
      <c r="D413" s="28">
        <v>0</v>
      </c>
      <c r="F413" s="9" t="str">
        <f t="shared" si="54"/>
        <v>8002</v>
      </c>
      <c r="G413" s="9" t="str">
        <f t="shared" si="55"/>
        <v/>
      </c>
      <c r="H413" s="9">
        <f t="shared" si="56"/>
        <v>0</v>
      </c>
      <c r="I413" s="9">
        <f t="array" ref="I413">+SUM(IFERROR(VALUE(G413:H413),0))</f>
        <v>0</v>
      </c>
      <c r="K413" s="9" t="str">
        <f t="shared" si="57"/>
        <v>800</v>
      </c>
      <c r="L413" s="9" t="str">
        <f t="shared" si="58"/>
        <v/>
      </c>
      <c r="M413" s="9">
        <f t="shared" si="59"/>
        <v>0</v>
      </c>
      <c r="N413" s="9">
        <f t="array" ref="N413">+SUM(IFERROR(VALUE(L413:M413),0))</f>
        <v>0</v>
      </c>
      <c r="P413" s="9" t="str">
        <f t="shared" si="60"/>
        <v>80</v>
      </c>
      <c r="Q413" s="9" t="str">
        <f t="shared" si="61"/>
        <v/>
      </c>
      <c r="R413" s="9">
        <f t="shared" si="62"/>
        <v>0</v>
      </c>
      <c r="S413" s="9">
        <f t="array" ref="S413">+SUM(IFERROR(VALUE(Q413:R413),0))</f>
        <v>0</v>
      </c>
    </row>
    <row r="414" spans="1:19" ht="14.4">
      <c r="A414" t="s">
        <v>2869</v>
      </c>
      <c r="B414" t="s">
        <v>2836</v>
      </c>
      <c r="C414" s="27" t="s">
        <v>1392</v>
      </c>
      <c r="D414" s="28">
        <v>0</v>
      </c>
      <c r="F414" s="9" t="str">
        <f t="shared" si="54"/>
        <v>8020</v>
      </c>
      <c r="G414" s="9" t="str">
        <f t="shared" si="55"/>
        <v/>
      </c>
      <c r="H414" s="9">
        <f t="shared" si="56"/>
        <v>0</v>
      </c>
      <c r="I414" s="9">
        <f t="array" ref="I414">+SUM(IFERROR(VALUE(G414:H414),0))</f>
        <v>0</v>
      </c>
      <c r="K414" s="9" t="str">
        <f t="shared" si="57"/>
        <v>802</v>
      </c>
      <c r="L414" s="9" t="str">
        <f t="shared" si="58"/>
        <v/>
      </c>
      <c r="M414" s="9">
        <f t="shared" si="59"/>
        <v>0</v>
      </c>
      <c r="N414" s="9">
        <f t="array" ref="N414">+SUM(IFERROR(VALUE(L414:M414),0))</f>
        <v>0</v>
      </c>
      <c r="P414" s="9" t="str">
        <f t="shared" si="60"/>
        <v>80</v>
      </c>
      <c r="Q414" s="9" t="str">
        <f t="shared" si="61"/>
        <v/>
      </c>
      <c r="R414" s="9">
        <f t="shared" si="62"/>
        <v>0</v>
      </c>
      <c r="S414" s="9">
        <f t="array" ref="S414">+SUM(IFERROR(VALUE(Q414:R414),0))</f>
        <v>0</v>
      </c>
    </row>
    <row r="415" spans="1:19" ht="14.4">
      <c r="A415" t="s">
        <v>2870</v>
      </c>
      <c r="B415" t="s">
        <v>2871</v>
      </c>
      <c r="C415" s="27" t="s">
        <v>1392</v>
      </c>
      <c r="D415" s="28">
        <v>0</v>
      </c>
      <c r="F415" s="9" t="str">
        <f t="shared" si="54"/>
        <v>8021</v>
      </c>
      <c r="G415" s="9" t="str">
        <f t="shared" si="55"/>
        <v/>
      </c>
      <c r="H415" s="9">
        <f t="shared" si="56"/>
        <v>0</v>
      </c>
      <c r="I415" s="9">
        <f t="array" ref="I415">+SUM(IFERROR(VALUE(G415:H415),0))</f>
        <v>0</v>
      </c>
      <c r="K415" s="9" t="str">
        <f t="shared" si="57"/>
        <v>802</v>
      </c>
      <c r="L415" s="9" t="str">
        <f t="shared" si="58"/>
        <v/>
      </c>
      <c r="M415" s="9">
        <f t="shared" si="59"/>
        <v>0</v>
      </c>
      <c r="N415" s="9">
        <f t="array" ref="N415">+SUM(IFERROR(VALUE(L415:M415),0))</f>
        <v>0</v>
      </c>
      <c r="P415" s="9" t="str">
        <f t="shared" si="60"/>
        <v>80</v>
      </c>
      <c r="Q415" s="9" t="str">
        <f t="shared" si="61"/>
        <v/>
      </c>
      <c r="R415" s="9">
        <f t="shared" si="62"/>
        <v>0</v>
      </c>
      <c r="S415" s="9">
        <f t="array" ref="S415">+SUM(IFERROR(VALUE(Q415:R415),0))</f>
        <v>0</v>
      </c>
    </row>
    <row r="416" spans="1:19" ht="14.4">
      <c r="A416" t="s">
        <v>2872</v>
      </c>
      <c r="B416" t="s">
        <v>2873</v>
      </c>
      <c r="C416" s="27" t="s">
        <v>1392</v>
      </c>
      <c r="D416" s="28">
        <v>0</v>
      </c>
      <c r="F416" s="9" t="str">
        <f t="shared" si="54"/>
        <v>8021</v>
      </c>
      <c r="G416" s="9" t="str">
        <f t="shared" si="55"/>
        <v/>
      </c>
      <c r="H416" s="9">
        <f t="shared" si="56"/>
        <v>0</v>
      </c>
      <c r="I416" s="9">
        <f t="array" ref="I416">+SUM(IFERROR(VALUE(G416:H416),0))</f>
        <v>0</v>
      </c>
      <c r="K416" s="9" t="str">
        <f t="shared" si="57"/>
        <v>802</v>
      </c>
      <c r="L416" s="9" t="str">
        <f t="shared" si="58"/>
        <v/>
      </c>
      <c r="M416" s="9">
        <f t="shared" si="59"/>
        <v>0</v>
      </c>
      <c r="N416" s="9">
        <f t="array" ref="N416">+SUM(IFERROR(VALUE(L416:M416),0))</f>
        <v>0</v>
      </c>
      <c r="P416" s="9" t="str">
        <f t="shared" si="60"/>
        <v>80</v>
      </c>
      <c r="Q416" s="9" t="str">
        <f t="shared" si="61"/>
        <v/>
      </c>
      <c r="R416" s="9">
        <f t="shared" si="62"/>
        <v>0</v>
      </c>
      <c r="S416" s="9">
        <f t="array" ref="S416">+SUM(IFERROR(VALUE(Q416:R416),0))</f>
        <v>0</v>
      </c>
    </row>
    <row r="417" spans="1:19" ht="14.4">
      <c r="A417" t="s">
        <v>2874</v>
      </c>
      <c r="B417" t="s">
        <v>2875</v>
      </c>
      <c r="C417" s="27" t="s">
        <v>1392</v>
      </c>
      <c r="D417" s="28">
        <v>0</v>
      </c>
      <c r="F417" s="9" t="str">
        <f t="shared" si="54"/>
        <v>8021</v>
      </c>
      <c r="G417" s="9" t="str">
        <f t="shared" si="55"/>
        <v/>
      </c>
      <c r="H417" s="9">
        <f t="shared" si="56"/>
        <v>0</v>
      </c>
      <c r="I417" s="9">
        <f t="array" ref="I417">+SUM(IFERROR(VALUE(G417:H417),0))</f>
        <v>0</v>
      </c>
      <c r="K417" s="9" t="str">
        <f t="shared" si="57"/>
        <v>802</v>
      </c>
      <c r="L417" s="9" t="str">
        <f t="shared" si="58"/>
        <v/>
      </c>
      <c r="M417" s="9">
        <f t="shared" si="59"/>
        <v>0</v>
      </c>
      <c r="N417" s="9">
        <f t="array" ref="N417">+SUM(IFERROR(VALUE(L417:M417),0))</f>
        <v>0</v>
      </c>
      <c r="P417" s="9" t="str">
        <f t="shared" si="60"/>
        <v>80</v>
      </c>
      <c r="Q417" s="9" t="str">
        <f t="shared" si="61"/>
        <v/>
      </c>
      <c r="R417" s="9">
        <f t="shared" si="62"/>
        <v>0</v>
      </c>
      <c r="S417" s="9">
        <f t="array" ref="S417">+SUM(IFERROR(VALUE(Q417:R417),0))</f>
        <v>0</v>
      </c>
    </row>
    <row r="418" spans="1:19" ht="14.4">
      <c r="A418" t="s">
        <v>2876</v>
      </c>
      <c r="B418" t="s">
        <v>2877</v>
      </c>
      <c r="C418" s="27" t="s">
        <v>1392</v>
      </c>
      <c r="D418" s="28">
        <v>0</v>
      </c>
      <c r="F418" s="9" t="str">
        <f t="shared" si="54"/>
        <v>8301</v>
      </c>
      <c r="G418" s="9" t="str">
        <f t="shared" si="55"/>
        <v/>
      </c>
      <c r="H418" s="9">
        <f t="shared" si="56"/>
        <v>0</v>
      </c>
      <c r="I418" s="9">
        <f t="array" ref="I418">+SUM(IFERROR(VALUE(G418:H418),0))</f>
        <v>0</v>
      </c>
      <c r="K418" s="9" t="str">
        <f t="shared" si="57"/>
        <v>830</v>
      </c>
      <c r="L418" s="9" t="str">
        <f t="shared" si="58"/>
        <v/>
      </c>
      <c r="M418" s="9">
        <f t="shared" si="59"/>
        <v>0</v>
      </c>
      <c r="N418" s="9">
        <f t="array" ref="N418">+SUM(IFERROR(VALUE(L418:M418),0))</f>
        <v>0</v>
      </c>
      <c r="P418" s="9" t="str">
        <f t="shared" si="60"/>
        <v>83</v>
      </c>
      <c r="Q418" s="9" t="str">
        <f t="shared" si="61"/>
        <v/>
      </c>
      <c r="R418" s="9">
        <f t="shared" si="62"/>
        <v>0</v>
      </c>
      <c r="S418" s="9">
        <f t="array" ref="S418">+SUM(IFERROR(VALUE(Q418:R418),0))</f>
        <v>0</v>
      </c>
    </row>
    <row r="419" spans="1:19" ht="14.4">
      <c r="A419" t="s">
        <v>2878</v>
      </c>
      <c r="B419" t="s">
        <v>2879</v>
      </c>
      <c r="C419" s="27" t="s">
        <v>1392</v>
      </c>
      <c r="D419" s="28">
        <v>0</v>
      </c>
      <c r="F419" s="9" t="str">
        <f t="shared" si="54"/>
        <v>8301</v>
      </c>
      <c r="G419" s="9" t="str">
        <f t="shared" si="55"/>
        <v/>
      </c>
      <c r="H419" s="9">
        <f t="shared" si="56"/>
        <v>0</v>
      </c>
      <c r="I419" s="9">
        <f t="array" ref="I419">+SUM(IFERROR(VALUE(G419:H419),0))</f>
        <v>0</v>
      </c>
      <c r="K419" s="9" t="str">
        <f t="shared" si="57"/>
        <v>830</v>
      </c>
      <c r="L419" s="9" t="str">
        <f t="shared" si="58"/>
        <v/>
      </c>
      <c r="M419" s="9">
        <f t="shared" si="59"/>
        <v>0</v>
      </c>
      <c r="N419" s="9">
        <f t="array" ref="N419">+SUM(IFERROR(VALUE(L419:M419),0))</f>
        <v>0</v>
      </c>
      <c r="P419" s="9" t="str">
        <f t="shared" si="60"/>
        <v>83</v>
      </c>
      <c r="Q419" s="9" t="str">
        <f t="shared" si="61"/>
        <v/>
      </c>
      <c r="R419" s="9">
        <f t="shared" si="62"/>
        <v>0</v>
      </c>
      <c r="S419" s="9">
        <f t="array" ref="S419">+SUM(IFERROR(VALUE(Q419:R419),0))</f>
        <v>0</v>
      </c>
    </row>
    <row r="420" spans="1:19" ht="14.4">
      <c r="A420" t="s">
        <v>2880</v>
      </c>
      <c r="B420" t="s">
        <v>2881</v>
      </c>
      <c r="C420" s="27" t="s">
        <v>1392</v>
      </c>
      <c r="D420" s="28">
        <v>0</v>
      </c>
      <c r="F420" s="9" t="str">
        <f t="shared" si="54"/>
        <v>8301</v>
      </c>
      <c r="G420" s="9" t="str">
        <f t="shared" si="55"/>
        <v/>
      </c>
      <c r="H420" s="9">
        <f t="shared" si="56"/>
        <v>0</v>
      </c>
      <c r="I420" s="9">
        <f t="array" ref="I420">+SUM(IFERROR(VALUE(G420:H420),0))</f>
        <v>0</v>
      </c>
      <c r="K420" s="9" t="str">
        <f t="shared" si="57"/>
        <v>830</v>
      </c>
      <c r="L420" s="9" t="str">
        <f t="shared" si="58"/>
        <v/>
      </c>
      <c r="M420" s="9">
        <f t="shared" si="59"/>
        <v>0</v>
      </c>
      <c r="N420" s="9">
        <f t="array" ref="N420">+SUM(IFERROR(VALUE(L420:M420),0))</f>
        <v>0</v>
      </c>
      <c r="P420" s="9" t="str">
        <f t="shared" si="60"/>
        <v>83</v>
      </c>
      <c r="Q420" s="9" t="str">
        <f t="shared" si="61"/>
        <v/>
      </c>
      <c r="R420" s="9">
        <f t="shared" si="62"/>
        <v>0</v>
      </c>
      <c r="S420" s="9">
        <f t="array" ref="S420">+SUM(IFERROR(VALUE(Q420:R420),0))</f>
        <v>0</v>
      </c>
    </row>
    <row r="421" spans="1:19" ht="14.4">
      <c r="A421" t="s">
        <v>2882</v>
      </c>
      <c r="B421" t="s">
        <v>2883</v>
      </c>
      <c r="C421" s="27" t="s">
        <v>1392</v>
      </c>
      <c r="D421" s="28">
        <v>0</v>
      </c>
      <c r="F421" s="9" t="str">
        <f t="shared" si="54"/>
        <v>8301</v>
      </c>
      <c r="G421" s="9" t="str">
        <f t="shared" si="55"/>
        <v/>
      </c>
      <c r="H421" s="9">
        <f t="shared" si="56"/>
        <v>0</v>
      </c>
      <c r="I421" s="9">
        <f t="array" ref="I421">+SUM(IFERROR(VALUE(G421:H421),0))</f>
        <v>0</v>
      </c>
      <c r="K421" s="9" t="str">
        <f t="shared" si="57"/>
        <v>830</v>
      </c>
      <c r="L421" s="9" t="str">
        <f t="shared" si="58"/>
        <v/>
      </c>
      <c r="M421" s="9">
        <f t="shared" si="59"/>
        <v>0</v>
      </c>
      <c r="N421" s="9">
        <f t="array" ref="N421">+SUM(IFERROR(VALUE(L421:M421),0))</f>
        <v>0</v>
      </c>
      <c r="P421" s="9" t="str">
        <f t="shared" si="60"/>
        <v>83</v>
      </c>
      <c r="Q421" s="9" t="str">
        <f t="shared" si="61"/>
        <v/>
      </c>
      <c r="R421" s="9">
        <f t="shared" si="62"/>
        <v>0</v>
      </c>
      <c r="S421" s="9">
        <f t="array" ref="S421">+SUM(IFERROR(VALUE(Q421:R421),0))</f>
        <v>0</v>
      </c>
    </row>
    <row r="422" spans="1:19" ht="14.4">
      <c r="A422" t="s">
        <v>2884</v>
      </c>
      <c r="B422" t="s">
        <v>2885</v>
      </c>
      <c r="C422" s="27" t="s">
        <v>1392</v>
      </c>
      <c r="D422" s="28">
        <v>0</v>
      </c>
      <c r="F422" s="9" t="str">
        <f t="shared" si="54"/>
        <v>8301</v>
      </c>
      <c r="G422" s="9" t="str">
        <f t="shared" si="55"/>
        <v/>
      </c>
      <c r="H422" s="9">
        <f t="shared" si="56"/>
        <v>0</v>
      </c>
      <c r="I422" s="9">
        <f t="array" ref="I422">+SUM(IFERROR(VALUE(G422:H422),0))</f>
        <v>0</v>
      </c>
      <c r="K422" s="9" t="str">
        <f t="shared" si="57"/>
        <v>830</v>
      </c>
      <c r="L422" s="9" t="str">
        <f t="shared" si="58"/>
        <v/>
      </c>
      <c r="M422" s="9">
        <f t="shared" si="59"/>
        <v>0</v>
      </c>
      <c r="N422" s="9">
        <f t="array" ref="N422">+SUM(IFERROR(VALUE(L422:M422),0))</f>
        <v>0</v>
      </c>
      <c r="P422" s="9" t="str">
        <f t="shared" si="60"/>
        <v>83</v>
      </c>
      <c r="Q422" s="9" t="str">
        <f t="shared" si="61"/>
        <v/>
      </c>
      <c r="R422" s="9">
        <f t="shared" si="62"/>
        <v>0</v>
      </c>
      <c r="S422" s="9">
        <f t="array" ref="S422">+SUM(IFERROR(VALUE(Q422:R422),0))</f>
        <v>0</v>
      </c>
    </row>
    <row r="423" spans="1:19" ht="14.4">
      <c r="A423" t="s">
        <v>2886</v>
      </c>
      <c r="B423" t="s">
        <v>2887</v>
      </c>
      <c r="C423" s="27" t="s">
        <v>1392</v>
      </c>
      <c r="D423" s="28">
        <v>0</v>
      </c>
      <c r="F423" s="9" t="str">
        <f t="shared" si="54"/>
        <v>8301</v>
      </c>
      <c r="G423" s="9" t="str">
        <f t="shared" si="55"/>
        <v/>
      </c>
      <c r="H423" s="9">
        <f t="shared" si="56"/>
        <v>0</v>
      </c>
      <c r="I423" s="9">
        <f t="array" ref="I423">+SUM(IFERROR(VALUE(G423:H423),0))</f>
        <v>0</v>
      </c>
      <c r="K423" s="9" t="str">
        <f t="shared" si="57"/>
        <v>830</v>
      </c>
      <c r="L423" s="9" t="str">
        <f t="shared" si="58"/>
        <v/>
      </c>
      <c r="M423" s="9">
        <f t="shared" si="59"/>
        <v>0</v>
      </c>
      <c r="N423" s="9">
        <f t="array" ref="N423">+SUM(IFERROR(VALUE(L423:M423),0))</f>
        <v>0</v>
      </c>
      <c r="P423" s="9" t="str">
        <f t="shared" si="60"/>
        <v>83</v>
      </c>
      <c r="Q423" s="9" t="str">
        <f t="shared" si="61"/>
        <v/>
      </c>
      <c r="R423" s="9">
        <f t="shared" si="62"/>
        <v>0</v>
      </c>
      <c r="S423" s="9">
        <f t="array" ref="S423">+SUM(IFERROR(VALUE(Q423:R423),0))</f>
        <v>0</v>
      </c>
    </row>
    <row r="424" spans="1:19" ht="14.4">
      <c r="A424" t="s">
        <v>2888</v>
      </c>
      <c r="B424" t="s">
        <v>2889</v>
      </c>
      <c r="C424" s="27" t="s">
        <v>1392</v>
      </c>
      <c r="D424" s="28">
        <v>0</v>
      </c>
      <c r="F424" s="9" t="str">
        <f t="shared" si="54"/>
        <v>8301</v>
      </c>
      <c r="G424" s="9" t="str">
        <f t="shared" si="55"/>
        <v/>
      </c>
      <c r="H424" s="9">
        <f t="shared" si="56"/>
        <v>0</v>
      </c>
      <c r="I424" s="9">
        <f t="array" ref="I424">+SUM(IFERROR(VALUE(G424:H424),0))</f>
        <v>0</v>
      </c>
      <c r="K424" s="9" t="str">
        <f t="shared" si="57"/>
        <v>830</v>
      </c>
      <c r="L424" s="9" t="str">
        <f t="shared" si="58"/>
        <v/>
      </c>
      <c r="M424" s="9">
        <f t="shared" si="59"/>
        <v>0</v>
      </c>
      <c r="N424" s="9">
        <f t="array" ref="N424">+SUM(IFERROR(VALUE(L424:M424),0))</f>
        <v>0</v>
      </c>
      <c r="P424" s="9" t="str">
        <f t="shared" si="60"/>
        <v>83</v>
      </c>
      <c r="Q424" s="9" t="str">
        <f t="shared" si="61"/>
        <v/>
      </c>
      <c r="R424" s="9">
        <f t="shared" si="62"/>
        <v>0</v>
      </c>
      <c r="S424" s="9">
        <f t="array" ref="S424">+SUM(IFERROR(VALUE(Q424:R424),0))</f>
        <v>0</v>
      </c>
    </row>
    <row r="425" spans="1:19" ht="14.4">
      <c r="A425" t="s">
        <v>2890</v>
      </c>
      <c r="B425" t="s">
        <v>2891</v>
      </c>
      <c r="C425" s="27" t="s">
        <v>1392</v>
      </c>
      <c r="D425" s="28">
        <v>0</v>
      </c>
      <c r="F425" s="9" t="str">
        <f t="shared" si="54"/>
        <v>8301</v>
      </c>
      <c r="G425" s="9" t="str">
        <f t="shared" si="55"/>
        <v/>
      </c>
      <c r="H425" s="9">
        <f t="shared" si="56"/>
        <v>0</v>
      </c>
      <c r="I425" s="9">
        <f t="array" ref="I425">+SUM(IFERROR(VALUE(G425:H425),0))</f>
        <v>0</v>
      </c>
      <c r="K425" s="9" t="str">
        <f t="shared" si="57"/>
        <v>830</v>
      </c>
      <c r="L425" s="9" t="str">
        <f t="shared" si="58"/>
        <v/>
      </c>
      <c r="M425" s="9">
        <f t="shared" si="59"/>
        <v>0</v>
      </c>
      <c r="N425" s="9">
        <f t="array" ref="N425">+SUM(IFERROR(VALUE(L425:M425),0))</f>
        <v>0</v>
      </c>
      <c r="P425" s="9" t="str">
        <f t="shared" si="60"/>
        <v>83</v>
      </c>
      <c r="Q425" s="9" t="str">
        <f t="shared" si="61"/>
        <v/>
      </c>
      <c r="R425" s="9">
        <f t="shared" si="62"/>
        <v>0</v>
      </c>
      <c r="S425" s="9">
        <f t="array" ref="S425">+SUM(IFERROR(VALUE(Q425:R425),0))</f>
        <v>0</v>
      </c>
    </row>
    <row r="426" spans="1:19" ht="14.4">
      <c r="A426" t="s">
        <v>2892</v>
      </c>
      <c r="B426" t="s">
        <v>2893</v>
      </c>
      <c r="C426" s="27" t="s">
        <v>1392</v>
      </c>
      <c r="D426" s="28">
        <v>0</v>
      </c>
      <c r="F426" s="9" t="str">
        <f t="shared" si="54"/>
        <v>8301</v>
      </c>
      <c r="G426" s="9" t="str">
        <f t="shared" si="55"/>
        <v/>
      </c>
      <c r="H426" s="9">
        <f t="shared" si="56"/>
        <v>0</v>
      </c>
      <c r="I426" s="9">
        <f t="array" ref="I426">+SUM(IFERROR(VALUE(G426:H426),0))</f>
        <v>0</v>
      </c>
      <c r="K426" s="9" t="str">
        <f t="shared" si="57"/>
        <v>830</v>
      </c>
      <c r="L426" s="9" t="str">
        <f t="shared" si="58"/>
        <v/>
      </c>
      <c r="M426" s="9">
        <f t="shared" si="59"/>
        <v>0</v>
      </c>
      <c r="N426" s="9">
        <f t="array" ref="N426">+SUM(IFERROR(VALUE(L426:M426),0))</f>
        <v>0</v>
      </c>
      <c r="P426" s="9" t="str">
        <f t="shared" si="60"/>
        <v>83</v>
      </c>
      <c r="Q426" s="9" t="str">
        <f t="shared" si="61"/>
        <v/>
      </c>
      <c r="R426" s="9">
        <f t="shared" si="62"/>
        <v>0</v>
      </c>
      <c r="S426" s="9">
        <f t="array" ref="S426">+SUM(IFERROR(VALUE(Q426:R426),0))</f>
        <v>0</v>
      </c>
    </row>
    <row r="427" spans="1:19" ht="14.4">
      <c r="A427" t="s">
        <v>2894</v>
      </c>
      <c r="B427" t="s">
        <v>2895</v>
      </c>
      <c r="C427" s="27" t="s">
        <v>1392</v>
      </c>
      <c r="D427" s="28">
        <v>0</v>
      </c>
      <c r="F427" s="9" t="str">
        <f t="shared" si="54"/>
        <v>8301</v>
      </c>
      <c r="G427" s="9" t="str">
        <f t="shared" si="55"/>
        <v/>
      </c>
      <c r="H427" s="9">
        <f t="shared" si="56"/>
        <v>0</v>
      </c>
      <c r="I427" s="9">
        <f t="array" ref="I427">+SUM(IFERROR(VALUE(G427:H427),0))</f>
        <v>0</v>
      </c>
      <c r="K427" s="9" t="str">
        <f t="shared" si="57"/>
        <v>830</v>
      </c>
      <c r="L427" s="9" t="str">
        <f t="shared" si="58"/>
        <v/>
      </c>
      <c r="M427" s="9">
        <f t="shared" si="59"/>
        <v>0</v>
      </c>
      <c r="N427" s="9">
        <f t="array" ref="N427">+SUM(IFERROR(VALUE(L427:M427),0))</f>
        <v>0</v>
      </c>
      <c r="P427" s="9" t="str">
        <f t="shared" si="60"/>
        <v>83</v>
      </c>
      <c r="Q427" s="9" t="str">
        <f t="shared" si="61"/>
        <v/>
      </c>
      <c r="R427" s="9">
        <f t="shared" si="62"/>
        <v>0</v>
      </c>
      <c r="S427" s="9">
        <f t="array" ref="S427">+SUM(IFERROR(VALUE(Q427:R427),0))</f>
        <v>0</v>
      </c>
    </row>
    <row r="428" spans="1:19" ht="14.4">
      <c r="A428" t="s">
        <v>2896</v>
      </c>
      <c r="B428" t="s">
        <v>2897</v>
      </c>
      <c r="C428" s="27" t="s">
        <v>1392</v>
      </c>
      <c r="D428" s="28">
        <v>0</v>
      </c>
      <c r="F428" s="9" t="str">
        <f t="shared" si="54"/>
        <v>8301</v>
      </c>
      <c r="G428" s="9" t="str">
        <f t="shared" si="55"/>
        <v/>
      </c>
      <c r="H428" s="9">
        <f t="shared" si="56"/>
        <v>0</v>
      </c>
      <c r="I428" s="9">
        <f t="array" ref="I428">+SUM(IFERROR(VALUE(G428:H428),0))</f>
        <v>0</v>
      </c>
      <c r="K428" s="9" t="str">
        <f t="shared" si="57"/>
        <v>830</v>
      </c>
      <c r="L428" s="9" t="str">
        <f t="shared" si="58"/>
        <v/>
      </c>
      <c r="M428" s="9">
        <f t="shared" si="59"/>
        <v>0</v>
      </c>
      <c r="N428" s="9">
        <f t="array" ref="N428">+SUM(IFERROR(VALUE(L428:M428),0))</f>
        <v>0</v>
      </c>
      <c r="P428" s="9" t="str">
        <f t="shared" si="60"/>
        <v>83</v>
      </c>
      <c r="Q428" s="9" t="str">
        <f t="shared" si="61"/>
        <v/>
      </c>
      <c r="R428" s="9">
        <f t="shared" si="62"/>
        <v>0</v>
      </c>
      <c r="S428" s="9">
        <f t="array" ref="S428">+SUM(IFERROR(VALUE(Q428:R428),0))</f>
        <v>0</v>
      </c>
    </row>
    <row r="429" spans="1:19" ht="14.4">
      <c r="A429" t="s">
        <v>2898</v>
      </c>
      <c r="B429" t="s">
        <v>2899</v>
      </c>
      <c r="C429" s="27" t="s">
        <v>1392</v>
      </c>
      <c r="D429" s="28">
        <v>0</v>
      </c>
      <c r="F429" s="9" t="str">
        <f t="shared" si="54"/>
        <v>8301</v>
      </c>
      <c r="G429" s="9" t="str">
        <f t="shared" si="55"/>
        <v/>
      </c>
      <c r="H429" s="9">
        <f t="shared" si="56"/>
        <v>0</v>
      </c>
      <c r="I429" s="9">
        <f t="array" ref="I429">+SUM(IFERROR(VALUE(G429:H429),0))</f>
        <v>0</v>
      </c>
      <c r="K429" s="9" t="str">
        <f t="shared" si="57"/>
        <v>830</v>
      </c>
      <c r="L429" s="9" t="str">
        <f t="shared" si="58"/>
        <v/>
      </c>
      <c r="M429" s="9">
        <f t="shared" si="59"/>
        <v>0</v>
      </c>
      <c r="N429" s="9">
        <f t="array" ref="N429">+SUM(IFERROR(VALUE(L429:M429),0))</f>
        <v>0</v>
      </c>
      <c r="P429" s="9" t="str">
        <f t="shared" si="60"/>
        <v>83</v>
      </c>
      <c r="Q429" s="9" t="str">
        <f t="shared" si="61"/>
        <v/>
      </c>
      <c r="R429" s="9">
        <f t="shared" si="62"/>
        <v>0</v>
      </c>
      <c r="S429" s="9">
        <f t="array" ref="S429">+SUM(IFERROR(VALUE(Q429:R429),0))</f>
        <v>0</v>
      </c>
    </row>
    <row r="430" spans="1:19" ht="14.4">
      <c r="A430" t="s">
        <v>2900</v>
      </c>
      <c r="B430" t="s">
        <v>2901</v>
      </c>
      <c r="C430" s="27" t="s">
        <v>1392</v>
      </c>
      <c r="D430" s="28">
        <v>0</v>
      </c>
      <c r="F430" s="9" t="str">
        <f t="shared" si="54"/>
        <v>9000</v>
      </c>
      <c r="G430" s="9" t="str">
        <f t="shared" si="55"/>
        <v/>
      </c>
      <c r="H430" s="9">
        <f t="shared" si="56"/>
        <v>0</v>
      </c>
      <c r="I430" s="9">
        <f t="array" ref="I430">+SUM(IFERROR(VALUE(G430:H430),0))</f>
        <v>0</v>
      </c>
      <c r="K430" s="9" t="str">
        <f t="shared" si="57"/>
        <v>900</v>
      </c>
      <c r="L430" s="9" t="str">
        <f t="shared" si="58"/>
        <v/>
      </c>
      <c r="M430" s="9">
        <f t="shared" si="59"/>
        <v>0</v>
      </c>
      <c r="N430" s="9">
        <f t="array" ref="N430">+SUM(IFERROR(VALUE(L430:M430),0))</f>
        <v>0</v>
      </c>
      <c r="P430" s="9" t="str">
        <f t="shared" si="60"/>
        <v>90</v>
      </c>
      <c r="Q430" s="9" t="str">
        <f t="shared" si="61"/>
        <v/>
      </c>
      <c r="R430" s="9">
        <f t="shared" si="62"/>
        <v>0</v>
      </c>
      <c r="S430" s="9">
        <f t="array" ref="S430">+SUM(IFERROR(VALUE(Q430:R430),0))</f>
        <v>0</v>
      </c>
    </row>
    <row r="431" spans="1:19" ht="14.4">
      <c r="A431" t="s">
        <v>2902</v>
      </c>
      <c r="B431" t="s">
        <v>2903</v>
      </c>
      <c r="C431" s="27" t="s">
        <v>1392</v>
      </c>
      <c r="D431" s="28">
        <v>0</v>
      </c>
      <c r="F431" s="9" t="str">
        <f t="shared" si="54"/>
        <v>9000</v>
      </c>
      <c r="G431" s="9" t="str">
        <f t="shared" si="55"/>
        <v/>
      </c>
      <c r="H431" s="9">
        <f t="shared" si="56"/>
        <v>0</v>
      </c>
      <c r="I431" s="9">
        <f t="array" ref="I431">+SUM(IFERROR(VALUE(G431:H431),0))</f>
        <v>0</v>
      </c>
      <c r="K431" s="9" t="str">
        <f t="shared" si="57"/>
        <v>900</v>
      </c>
      <c r="L431" s="9" t="str">
        <f t="shared" si="58"/>
        <v/>
      </c>
      <c r="M431" s="9">
        <f t="shared" si="59"/>
        <v>0</v>
      </c>
      <c r="N431" s="9">
        <f t="array" ref="N431">+SUM(IFERROR(VALUE(L431:M431),0))</f>
        <v>0</v>
      </c>
      <c r="P431" s="9" t="str">
        <f t="shared" si="60"/>
        <v>90</v>
      </c>
      <c r="Q431" s="9" t="str">
        <f t="shared" si="61"/>
        <v/>
      </c>
      <c r="R431" s="9">
        <f t="shared" si="62"/>
        <v>0</v>
      </c>
      <c r="S431" s="9">
        <f t="array" ref="S431">+SUM(IFERROR(VALUE(Q431:R431),0))</f>
        <v>0</v>
      </c>
    </row>
    <row r="432" spans="1:19" ht="14.4">
      <c r="A432" t="s">
        <v>2904</v>
      </c>
      <c r="B432" t="s">
        <v>2905</v>
      </c>
      <c r="C432" s="27" t="s">
        <v>1392</v>
      </c>
      <c r="D432" s="28">
        <v>0</v>
      </c>
      <c r="F432" s="9" t="str">
        <f t="shared" si="54"/>
        <v>9000</v>
      </c>
      <c r="G432" s="9" t="str">
        <f t="shared" si="55"/>
        <v/>
      </c>
      <c r="H432" s="9">
        <f t="shared" si="56"/>
        <v>0</v>
      </c>
      <c r="I432" s="9">
        <f t="array" ref="I432">+SUM(IFERROR(VALUE(G432:H432),0))</f>
        <v>0</v>
      </c>
      <c r="K432" s="9" t="str">
        <f t="shared" si="57"/>
        <v>900</v>
      </c>
      <c r="L432" s="9" t="str">
        <f t="shared" si="58"/>
        <v/>
      </c>
      <c r="M432" s="9">
        <f t="shared" si="59"/>
        <v>0</v>
      </c>
      <c r="N432" s="9">
        <f t="array" ref="N432">+SUM(IFERROR(VALUE(L432:M432),0))</f>
        <v>0</v>
      </c>
      <c r="P432" s="9" t="str">
        <f t="shared" si="60"/>
        <v>90</v>
      </c>
      <c r="Q432" s="9" t="str">
        <f t="shared" si="61"/>
        <v/>
      </c>
      <c r="R432" s="9">
        <f t="shared" si="62"/>
        <v>0</v>
      </c>
      <c r="S432" s="9">
        <f t="array" ref="S432">+SUM(IFERROR(VALUE(Q432:R432),0))</f>
        <v>0</v>
      </c>
    </row>
    <row r="433" spans="1:19" ht="14.4">
      <c r="A433" t="s">
        <v>2906</v>
      </c>
      <c r="B433" t="s">
        <v>2907</v>
      </c>
      <c r="C433" s="27" t="s">
        <v>1392</v>
      </c>
      <c r="D433" s="28">
        <v>0</v>
      </c>
      <c r="F433" s="9" t="str">
        <f t="shared" si="54"/>
        <v>9000</v>
      </c>
      <c r="G433" s="9" t="str">
        <f t="shared" si="55"/>
        <v/>
      </c>
      <c r="H433" s="9">
        <f t="shared" si="56"/>
        <v>0</v>
      </c>
      <c r="I433" s="9">
        <f t="array" ref="I433">+SUM(IFERROR(VALUE(G433:H433),0))</f>
        <v>0</v>
      </c>
      <c r="K433" s="9" t="str">
        <f t="shared" si="57"/>
        <v>900</v>
      </c>
      <c r="L433" s="9" t="str">
        <f t="shared" si="58"/>
        <v/>
      </c>
      <c r="M433" s="9">
        <f t="shared" si="59"/>
        <v>0</v>
      </c>
      <c r="N433" s="9">
        <f t="array" ref="N433">+SUM(IFERROR(VALUE(L433:M433),0))</f>
        <v>0</v>
      </c>
      <c r="P433" s="9" t="str">
        <f t="shared" si="60"/>
        <v>90</v>
      </c>
      <c r="Q433" s="9" t="str">
        <f t="shared" si="61"/>
        <v/>
      </c>
      <c r="R433" s="9">
        <f t="shared" si="62"/>
        <v>0</v>
      </c>
      <c r="S433" s="9">
        <f t="array" ref="S433">+SUM(IFERROR(VALUE(Q433:R433),0))</f>
        <v>0</v>
      </c>
    </row>
    <row r="434" spans="1:19" ht="14.4">
      <c r="A434" t="s">
        <v>2908</v>
      </c>
      <c r="B434" t="s">
        <v>2909</v>
      </c>
      <c r="C434" s="27" t="s">
        <v>1392</v>
      </c>
      <c r="D434" s="28">
        <v>0</v>
      </c>
      <c r="F434" s="9" t="str">
        <f t="shared" si="54"/>
        <v>9000</v>
      </c>
      <c r="G434" s="9" t="str">
        <f t="shared" si="55"/>
        <v/>
      </c>
      <c r="H434" s="9">
        <f t="shared" si="56"/>
        <v>0</v>
      </c>
      <c r="I434" s="9">
        <f t="array" ref="I434">+SUM(IFERROR(VALUE(G434:H434),0))</f>
        <v>0</v>
      </c>
      <c r="K434" s="9" t="str">
        <f t="shared" si="57"/>
        <v>900</v>
      </c>
      <c r="L434" s="9" t="str">
        <f t="shared" si="58"/>
        <v/>
      </c>
      <c r="M434" s="9">
        <f t="shared" si="59"/>
        <v>0</v>
      </c>
      <c r="N434" s="9">
        <f t="array" ref="N434">+SUM(IFERROR(VALUE(L434:M434),0))</f>
        <v>0</v>
      </c>
      <c r="P434" s="9" t="str">
        <f t="shared" si="60"/>
        <v>90</v>
      </c>
      <c r="Q434" s="9" t="str">
        <f t="shared" si="61"/>
        <v/>
      </c>
      <c r="R434" s="9">
        <f t="shared" si="62"/>
        <v>0</v>
      </c>
      <c r="S434" s="9">
        <f t="array" ref="S434">+SUM(IFERROR(VALUE(Q434:R434),0))</f>
        <v>0</v>
      </c>
    </row>
    <row r="435" spans="1:19" ht="14.4">
      <c r="A435" t="s">
        <v>2910</v>
      </c>
      <c r="B435" t="s">
        <v>2911</v>
      </c>
      <c r="C435" s="27" t="s">
        <v>1392</v>
      </c>
      <c r="D435" s="28">
        <v>0</v>
      </c>
      <c r="F435" s="9" t="str">
        <f t="shared" si="54"/>
        <v>9001</v>
      </c>
      <c r="G435" s="9" t="str">
        <f t="shared" si="55"/>
        <v/>
      </c>
      <c r="H435" s="9">
        <f t="shared" si="56"/>
        <v>0</v>
      </c>
      <c r="I435" s="9">
        <f t="array" ref="I435">+SUM(IFERROR(VALUE(G435:H435),0))</f>
        <v>0</v>
      </c>
      <c r="K435" s="9" t="str">
        <f t="shared" si="57"/>
        <v>900</v>
      </c>
      <c r="L435" s="9" t="str">
        <f t="shared" si="58"/>
        <v/>
      </c>
      <c r="M435" s="9">
        <f t="shared" si="59"/>
        <v>0</v>
      </c>
      <c r="N435" s="9">
        <f t="array" ref="N435">+SUM(IFERROR(VALUE(L435:M435),0))</f>
        <v>0</v>
      </c>
      <c r="P435" s="9" t="str">
        <f t="shared" si="60"/>
        <v>90</v>
      </c>
      <c r="Q435" s="9" t="str">
        <f t="shared" si="61"/>
        <v/>
      </c>
      <c r="R435" s="9">
        <f t="shared" si="62"/>
        <v>0</v>
      </c>
      <c r="S435" s="9">
        <f t="array" ref="S435">+SUM(IFERROR(VALUE(Q435:R435),0))</f>
        <v>0</v>
      </c>
    </row>
    <row r="436" spans="1:19" ht="14.4">
      <c r="A436" t="s">
        <v>2912</v>
      </c>
      <c r="B436" t="s">
        <v>2913</v>
      </c>
      <c r="C436" s="27" t="s">
        <v>1392</v>
      </c>
      <c r="D436" s="28">
        <v>0</v>
      </c>
      <c r="F436" s="9" t="str">
        <f t="shared" si="54"/>
        <v>9001</v>
      </c>
      <c r="G436" s="9" t="str">
        <f t="shared" si="55"/>
        <v/>
      </c>
      <c r="H436" s="9">
        <f t="shared" si="56"/>
        <v>0</v>
      </c>
      <c r="I436" s="9">
        <f t="array" ref="I436">+SUM(IFERROR(VALUE(G436:H436),0))</f>
        <v>0</v>
      </c>
      <c r="K436" s="9" t="str">
        <f t="shared" si="57"/>
        <v>900</v>
      </c>
      <c r="L436" s="9" t="str">
        <f t="shared" si="58"/>
        <v/>
      </c>
      <c r="M436" s="9">
        <f t="shared" si="59"/>
        <v>0</v>
      </c>
      <c r="N436" s="9">
        <f t="array" ref="N436">+SUM(IFERROR(VALUE(L436:M436),0))</f>
        <v>0</v>
      </c>
      <c r="P436" s="9" t="str">
        <f t="shared" si="60"/>
        <v>90</v>
      </c>
      <c r="Q436" s="9" t="str">
        <f t="shared" si="61"/>
        <v/>
      </c>
      <c r="R436" s="9">
        <f t="shared" si="62"/>
        <v>0</v>
      </c>
      <c r="S436" s="9">
        <f t="array" ref="S436">+SUM(IFERROR(VALUE(Q436:R436),0))</f>
        <v>0</v>
      </c>
    </row>
    <row r="437" spans="1:19" ht="14.4">
      <c r="A437" t="s">
        <v>2914</v>
      </c>
      <c r="B437" t="s">
        <v>2915</v>
      </c>
      <c r="C437" s="27" t="s">
        <v>1392</v>
      </c>
      <c r="D437" s="28">
        <v>0</v>
      </c>
      <c r="F437" s="9" t="str">
        <f t="shared" si="54"/>
        <v>9001</v>
      </c>
      <c r="G437" s="9" t="str">
        <f t="shared" si="55"/>
        <v/>
      </c>
      <c r="H437" s="9">
        <f t="shared" si="56"/>
        <v>0</v>
      </c>
      <c r="I437" s="9">
        <f t="array" ref="I437">+SUM(IFERROR(VALUE(G437:H437),0))</f>
        <v>0</v>
      </c>
      <c r="K437" s="9" t="str">
        <f t="shared" si="57"/>
        <v>900</v>
      </c>
      <c r="L437" s="9" t="str">
        <f t="shared" si="58"/>
        <v/>
      </c>
      <c r="M437" s="9">
        <f t="shared" si="59"/>
        <v>0</v>
      </c>
      <c r="N437" s="9">
        <f t="array" ref="N437">+SUM(IFERROR(VALUE(L437:M437),0))</f>
        <v>0</v>
      </c>
      <c r="P437" s="9" t="str">
        <f t="shared" si="60"/>
        <v>90</v>
      </c>
      <c r="Q437" s="9" t="str">
        <f t="shared" si="61"/>
        <v/>
      </c>
      <c r="R437" s="9">
        <f t="shared" si="62"/>
        <v>0</v>
      </c>
      <c r="S437" s="9">
        <f t="array" ref="S437">+SUM(IFERROR(VALUE(Q437:R437),0))</f>
        <v>0</v>
      </c>
    </row>
    <row r="438" spans="1:19" ht="14.4">
      <c r="A438" t="s">
        <v>2916</v>
      </c>
      <c r="B438" t="s">
        <v>2917</v>
      </c>
      <c r="C438" s="27" t="s">
        <v>1392</v>
      </c>
      <c r="D438" s="28">
        <v>0</v>
      </c>
      <c r="F438" s="9" t="str">
        <f t="shared" si="54"/>
        <v>9002</v>
      </c>
      <c r="G438" s="9" t="str">
        <f t="shared" si="55"/>
        <v/>
      </c>
      <c r="H438" s="9">
        <f t="shared" si="56"/>
        <v>0</v>
      </c>
      <c r="I438" s="9">
        <f t="array" ref="I438">+SUM(IFERROR(VALUE(G438:H438),0))</f>
        <v>0</v>
      </c>
      <c r="K438" s="9" t="str">
        <f t="shared" si="57"/>
        <v>900</v>
      </c>
      <c r="L438" s="9" t="str">
        <f t="shared" si="58"/>
        <v/>
      </c>
      <c r="M438" s="9">
        <f t="shared" si="59"/>
        <v>0</v>
      </c>
      <c r="N438" s="9">
        <f t="array" ref="N438">+SUM(IFERROR(VALUE(L438:M438),0))</f>
        <v>0</v>
      </c>
      <c r="P438" s="9" t="str">
        <f t="shared" si="60"/>
        <v>90</v>
      </c>
      <c r="Q438" s="9" t="str">
        <f t="shared" si="61"/>
        <v/>
      </c>
      <c r="R438" s="9">
        <f t="shared" si="62"/>
        <v>0</v>
      </c>
      <c r="S438" s="9">
        <f t="array" ref="S438">+SUM(IFERROR(VALUE(Q438:R438),0))</f>
        <v>0</v>
      </c>
    </row>
    <row r="439" spans="1:19" ht="14.4">
      <c r="A439" t="s">
        <v>2918</v>
      </c>
      <c r="B439" t="s">
        <v>2919</v>
      </c>
      <c r="C439" s="27" t="s">
        <v>1392</v>
      </c>
      <c r="D439" s="28">
        <v>0</v>
      </c>
      <c r="F439" s="9" t="str">
        <f t="shared" si="54"/>
        <v>9002</v>
      </c>
      <c r="G439" s="9" t="str">
        <f t="shared" si="55"/>
        <v/>
      </c>
      <c r="H439" s="9">
        <f t="shared" si="56"/>
        <v>0</v>
      </c>
      <c r="I439" s="9">
        <f t="array" ref="I439">+SUM(IFERROR(VALUE(G439:H439),0))</f>
        <v>0</v>
      </c>
      <c r="K439" s="9" t="str">
        <f t="shared" si="57"/>
        <v>900</v>
      </c>
      <c r="L439" s="9" t="str">
        <f t="shared" si="58"/>
        <v/>
      </c>
      <c r="M439" s="9">
        <f t="shared" si="59"/>
        <v>0</v>
      </c>
      <c r="N439" s="9">
        <f t="array" ref="N439">+SUM(IFERROR(VALUE(L439:M439),0))</f>
        <v>0</v>
      </c>
      <c r="P439" s="9" t="str">
        <f t="shared" si="60"/>
        <v>90</v>
      </c>
      <c r="Q439" s="9" t="str">
        <f t="shared" si="61"/>
        <v/>
      </c>
      <c r="R439" s="9">
        <f t="shared" si="62"/>
        <v>0</v>
      </c>
      <c r="S439" s="9">
        <f t="array" ref="S439">+SUM(IFERROR(VALUE(Q439:R439),0))</f>
        <v>0</v>
      </c>
    </row>
    <row r="440" spans="1:19" ht="14.4">
      <c r="A440"/>
      <c r="B440"/>
      <c r="C440" s="27"/>
      <c r="D440" s="28"/>
      <c r="F440" s="9" t="str">
        <f t="shared" si="54"/>
        <v/>
      </c>
      <c r="G440" s="9">
        <f t="shared" si="55"/>
        <v>0</v>
      </c>
      <c r="H440" s="9">
        <f t="shared" si="56"/>
        <v>0</v>
      </c>
      <c r="I440" s="9">
        <f t="array" ref="I440">+SUM(IFERROR(VALUE(G440:H440),0))</f>
        <v>0</v>
      </c>
      <c r="K440" s="9" t="str">
        <f t="shared" si="57"/>
        <v/>
      </c>
      <c r="L440" s="9">
        <f t="shared" si="58"/>
        <v>0</v>
      </c>
      <c r="M440" s="9">
        <f t="shared" si="59"/>
        <v>0</v>
      </c>
      <c r="N440" s="9">
        <f t="array" ref="N440">+SUM(IFERROR(VALUE(L440:M440),0))</f>
        <v>0</v>
      </c>
      <c r="P440" s="9" t="str">
        <f t="shared" si="60"/>
        <v/>
      </c>
      <c r="Q440" s="9">
        <f t="shared" si="61"/>
        <v>0</v>
      </c>
      <c r="R440" s="9">
        <f t="shared" si="62"/>
        <v>0</v>
      </c>
      <c r="S440" s="9">
        <f t="array" ref="S440">+SUM(IFERROR(VALUE(Q440:R440),0))</f>
        <v>0</v>
      </c>
    </row>
    <row r="441" spans="1:19" ht="14.4">
      <c r="A441"/>
      <c r="B441"/>
      <c r="C441" s="27"/>
      <c r="D441" s="28"/>
      <c r="F441" s="9" t="str">
        <f t="shared" si="54"/>
        <v/>
      </c>
      <c r="G441" s="9">
        <f t="shared" si="55"/>
        <v>0</v>
      </c>
      <c r="H441" s="9">
        <f t="shared" si="56"/>
        <v>0</v>
      </c>
      <c r="I441" s="9">
        <f t="array" ref="I441">+SUM(IFERROR(VALUE(G441:H441),0))</f>
        <v>0</v>
      </c>
      <c r="K441" s="9" t="str">
        <f t="shared" si="57"/>
        <v/>
      </c>
      <c r="L441" s="9">
        <f t="shared" si="58"/>
        <v>0</v>
      </c>
      <c r="M441" s="9">
        <f t="shared" si="59"/>
        <v>0</v>
      </c>
      <c r="N441" s="9">
        <f t="array" ref="N441">+SUM(IFERROR(VALUE(L441:M441),0))</f>
        <v>0</v>
      </c>
      <c r="P441" s="9" t="str">
        <f t="shared" si="60"/>
        <v/>
      </c>
      <c r="Q441" s="9">
        <f t="shared" si="61"/>
        <v>0</v>
      </c>
      <c r="R441" s="9">
        <f t="shared" si="62"/>
        <v>0</v>
      </c>
      <c r="S441" s="9">
        <f t="array" ref="S441">+SUM(IFERROR(VALUE(Q441:R441),0))</f>
        <v>0</v>
      </c>
    </row>
    <row r="442" spans="1:19" ht="14.4">
      <c r="A442"/>
      <c r="B442"/>
      <c r="C442" s="27"/>
      <c r="D442" s="28"/>
      <c r="F442" s="9" t="str">
        <f t="shared" si="54"/>
        <v/>
      </c>
      <c r="G442" s="9">
        <f t="shared" si="55"/>
        <v>0</v>
      </c>
      <c r="H442" s="9">
        <f t="shared" si="56"/>
        <v>0</v>
      </c>
      <c r="I442" s="9">
        <f t="array" ref="I442">+SUM(IFERROR(VALUE(G442:H442),0))</f>
        <v>0</v>
      </c>
      <c r="K442" s="9" t="str">
        <f t="shared" si="57"/>
        <v/>
      </c>
      <c r="L442" s="9">
        <f t="shared" si="58"/>
        <v>0</v>
      </c>
      <c r="M442" s="9">
        <f t="shared" si="59"/>
        <v>0</v>
      </c>
      <c r="N442" s="9">
        <f t="array" ref="N442">+SUM(IFERROR(VALUE(L442:M442),0))</f>
        <v>0</v>
      </c>
      <c r="P442" s="9" t="str">
        <f t="shared" si="60"/>
        <v/>
      </c>
      <c r="Q442" s="9">
        <f t="shared" si="61"/>
        <v>0</v>
      </c>
      <c r="R442" s="9">
        <f t="shared" si="62"/>
        <v>0</v>
      </c>
      <c r="S442" s="9">
        <f t="array" ref="S442">+SUM(IFERROR(VALUE(Q442:R442),0))</f>
        <v>0</v>
      </c>
    </row>
    <row r="443" spans="1:19" ht="14.4">
      <c r="A443"/>
      <c r="B443"/>
      <c r="C443" s="27"/>
      <c r="D443" s="28"/>
      <c r="F443" s="9" t="str">
        <f t="shared" si="54"/>
        <v/>
      </c>
      <c r="G443" s="9">
        <f t="shared" si="55"/>
        <v>0</v>
      </c>
      <c r="H443" s="9">
        <f t="shared" si="56"/>
        <v>0</v>
      </c>
      <c r="I443" s="9">
        <f t="array" ref="I443">+SUM(IFERROR(VALUE(G443:H443),0))</f>
        <v>0</v>
      </c>
      <c r="K443" s="9" t="str">
        <f t="shared" si="57"/>
        <v/>
      </c>
      <c r="L443" s="9">
        <f t="shared" si="58"/>
        <v>0</v>
      </c>
      <c r="M443" s="9">
        <f t="shared" si="59"/>
        <v>0</v>
      </c>
      <c r="N443" s="9">
        <f t="array" ref="N443">+SUM(IFERROR(VALUE(L443:M443),0))</f>
        <v>0</v>
      </c>
      <c r="P443" s="9" t="str">
        <f t="shared" si="60"/>
        <v/>
      </c>
      <c r="Q443" s="9">
        <f t="shared" si="61"/>
        <v>0</v>
      </c>
      <c r="R443" s="9">
        <f t="shared" si="62"/>
        <v>0</v>
      </c>
      <c r="S443" s="9">
        <f t="array" ref="S443">+SUM(IFERROR(VALUE(Q443:R443),0))</f>
        <v>0</v>
      </c>
    </row>
    <row r="444" spans="1:19" ht="14.4">
      <c r="A444"/>
      <c r="B444"/>
      <c r="C444" s="27"/>
      <c r="D444" s="28"/>
      <c r="F444" s="9" t="str">
        <f t="shared" si="54"/>
        <v/>
      </c>
      <c r="G444" s="9">
        <f t="shared" si="55"/>
        <v>0</v>
      </c>
      <c r="H444" s="9">
        <f t="shared" si="56"/>
        <v>0</v>
      </c>
      <c r="I444" s="9">
        <f t="array" ref="I444">+SUM(IFERROR(VALUE(G444:H444),0))</f>
        <v>0</v>
      </c>
      <c r="K444" s="9" t="str">
        <f t="shared" si="57"/>
        <v/>
      </c>
      <c r="L444" s="9">
        <f t="shared" si="58"/>
        <v>0</v>
      </c>
      <c r="M444" s="9">
        <f t="shared" si="59"/>
        <v>0</v>
      </c>
      <c r="N444" s="9">
        <f t="array" ref="N444">+SUM(IFERROR(VALUE(L444:M444),0))</f>
        <v>0</v>
      </c>
      <c r="P444" s="9" t="str">
        <f t="shared" si="60"/>
        <v/>
      </c>
      <c r="Q444" s="9">
        <f t="shared" si="61"/>
        <v>0</v>
      </c>
      <c r="R444" s="9">
        <f t="shared" si="62"/>
        <v>0</v>
      </c>
      <c r="S444" s="9">
        <f t="array" ref="S444">+SUM(IFERROR(VALUE(Q444:R444),0))</f>
        <v>0</v>
      </c>
    </row>
    <row r="445" spans="1:19" ht="14.4">
      <c r="A445"/>
      <c r="B445"/>
      <c r="C445" s="27"/>
      <c r="D445" s="28"/>
      <c r="F445" s="9" t="str">
        <f t="shared" si="54"/>
        <v/>
      </c>
      <c r="G445" s="9">
        <f t="shared" si="55"/>
        <v>0</v>
      </c>
      <c r="H445" s="9">
        <f t="shared" si="56"/>
        <v>0</v>
      </c>
      <c r="I445" s="9">
        <f t="array" ref="I445">+SUM(IFERROR(VALUE(G445:H445),0))</f>
        <v>0</v>
      </c>
      <c r="K445" s="9" t="str">
        <f t="shared" si="57"/>
        <v/>
      </c>
      <c r="L445" s="9">
        <f t="shared" si="58"/>
        <v>0</v>
      </c>
      <c r="M445" s="9">
        <f t="shared" si="59"/>
        <v>0</v>
      </c>
      <c r="N445" s="9">
        <f t="array" ref="N445">+SUM(IFERROR(VALUE(L445:M445),0))</f>
        <v>0</v>
      </c>
      <c r="P445" s="9" t="str">
        <f t="shared" si="60"/>
        <v/>
      </c>
      <c r="Q445" s="9">
        <f t="shared" si="61"/>
        <v>0</v>
      </c>
      <c r="R445" s="9">
        <f t="shared" si="62"/>
        <v>0</v>
      </c>
      <c r="S445" s="9">
        <f t="array" ref="S445">+SUM(IFERROR(VALUE(Q445:R445),0))</f>
        <v>0</v>
      </c>
    </row>
    <row r="446" spans="1:19" ht="14.4">
      <c r="A446"/>
      <c r="B446"/>
      <c r="C446" s="27"/>
      <c r="D446" s="28"/>
      <c r="F446" s="9" t="str">
        <f t="shared" si="54"/>
        <v/>
      </c>
      <c r="G446" s="9">
        <f t="shared" si="55"/>
        <v>0</v>
      </c>
      <c r="H446" s="9">
        <f t="shared" si="56"/>
        <v>0</v>
      </c>
      <c r="I446" s="9">
        <f t="array" ref="I446">+SUM(IFERROR(VALUE(G446:H446),0))</f>
        <v>0</v>
      </c>
      <c r="K446" s="9" t="str">
        <f t="shared" si="57"/>
        <v/>
      </c>
      <c r="L446" s="9">
        <f t="shared" si="58"/>
        <v>0</v>
      </c>
      <c r="M446" s="9">
        <f t="shared" si="59"/>
        <v>0</v>
      </c>
      <c r="N446" s="9">
        <f t="array" ref="N446">+SUM(IFERROR(VALUE(L446:M446),0))</f>
        <v>0</v>
      </c>
      <c r="P446" s="9" t="str">
        <f t="shared" si="60"/>
        <v/>
      </c>
      <c r="Q446" s="9">
        <f t="shared" si="61"/>
        <v>0</v>
      </c>
      <c r="R446" s="9">
        <f t="shared" si="62"/>
        <v>0</v>
      </c>
      <c r="S446" s="9">
        <f t="array" ref="S446">+SUM(IFERROR(VALUE(Q446:R446),0))</f>
        <v>0</v>
      </c>
    </row>
    <row r="447" spans="1:19" ht="14.4">
      <c r="A447"/>
      <c r="B447"/>
      <c r="C447" s="27"/>
      <c r="D447" s="28"/>
      <c r="F447" s="9" t="str">
        <f t="shared" si="54"/>
        <v/>
      </c>
      <c r="G447" s="9">
        <f t="shared" si="55"/>
        <v>0</v>
      </c>
      <c r="H447" s="9">
        <f t="shared" si="56"/>
        <v>0</v>
      </c>
      <c r="I447" s="9">
        <f t="array" ref="I447">+SUM(IFERROR(VALUE(G447:H447),0))</f>
        <v>0</v>
      </c>
      <c r="K447" s="9" t="str">
        <f t="shared" si="57"/>
        <v/>
      </c>
      <c r="L447" s="9">
        <f t="shared" si="58"/>
        <v>0</v>
      </c>
      <c r="M447" s="9">
        <f t="shared" si="59"/>
        <v>0</v>
      </c>
      <c r="N447" s="9">
        <f t="array" ref="N447">+SUM(IFERROR(VALUE(L447:M447),0))</f>
        <v>0</v>
      </c>
      <c r="P447" s="9" t="str">
        <f t="shared" si="60"/>
        <v/>
      </c>
      <c r="Q447" s="9">
        <f t="shared" si="61"/>
        <v>0</v>
      </c>
      <c r="R447" s="9">
        <f t="shared" si="62"/>
        <v>0</v>
      </c>
      <c r="S447" s="9">
        <f t="array" ref="S447">+SUM(IFERROR(VALUE(Q447:R447),0))</f>
        <v>0</v>
      </c>
    </row>
    <row r="448" spans="1:19" ht="14.4">
      <c r="A448"/>
      <c r="B448"/>
      <c r="C448" s="27"/>
      <c r="D448" s="28"/>
      <c r="F448" s="9" t="str">
        <f t="shared" si="54"/>
        <v/>
      </c>
      <c r="G448" s="9">
        <f t="shared" si="55"/>
        <v>0</v>
      </c>
      <c r="H448" s="9">
        <f t="shared" si="56"/>
        <v>0</v>
      </c>
      <c r="I448" s="9">
        <f t="array" ref="I448">+SUM(IFERROR(VALUE(G448:H448),0))</f>
        <v>0</v>
      </c>
      <c r="K448" s="9" t="str">
        <f t="shared" si="57"/>
        <v/>
      </c>
      <c r="L448" s="9">
        <f t="shared" si="58"/>
        <v>0</v>
      </c>
      <c r="M448" s="9">
        <f t="shared" si="59"/>
        <v>0</v>
      </c>
      <c r="N448" s="9">
        <f t="array" ref="N448">+SUM(IFERROR(VALUE(L448:M448),0))</f>
        <v>0</v>
      </c>
      <c r="P448" s="9" t="str">
        <f t="shared" si="60"/>
        <v/>
      </c>
      <c r="Q448" s="9">
        <f t="shared" si="61"/>
        <v>0</v>
      </c>
      <c r="R448" s="9">
        <f t="shared" si="62"/>
        <v>0</v>
      </c>
      <c r="S448" s="9">
        <f t="array" ref="S448">+SUM(IFERROR(VALUE(Q448:R448),0))</f>
        <v>0</v>
      </c>
    </row>
    <row r="449" spans="1:19" ht="14.4">
      <c r="A449"/>
      <c r="B449"/>
      <c r="C449" s="27"/>
      <c r="D449" s="28"/>
      <c r="F449" s="9" t="str">
        <f t="shared" si="54"/>
        <v/>
      </c>
      <c r="G449" s="9">
        <f t="shared" si="55"/>
        <v>0</v>
      </c>
      <c r="H449" s="9">
        <f t="shared" si="56"/>
        <v>0</v>
      </c>
      <c r="I449" s="9">
        <f t="array" ref="I449">+SUM(IFERROR(VALUE(G449:H449),0))</f>
        <v>0</v>
      </c>
      <c r="K449" s="9" t="str">
        <f t="shared" si="57"/>
        <v/>
      </c>
      <c r="L449" s="9">
        <f t="shared" si="58"/>
        <v>0</v>
      </c>
      <c r="M449" s="9">
        <f t="shared" si="59"/>
        <v>0</v>
      </c>
      <c r="N449" s="9">
        <f t="array" ref="N449">+SUM(IFERROR(VALUE(L449:M449),0))</f>
        <v>0</v>
      </c>
      <c r="P449" s="9" t="str">
        <f t="shared" si="60"/>
        <v/>
      </c>
      <c r="Q449" s="9">
        <f t="shared" si="61"/>
        <v>0</v>
      </c>
      <c r="R449" s="9">
        <f t="shared" si="62"/>
        <v>0</v>
      </c>
      <c r="S449" s="9">
        <f t="array" ref="S449">+SUM(IFERROR(VALUE(Q449:R449),0))</f>
        <v>0</v>
      </c>
    </row>
    <row r="450" spans="1:19" ht="14.4">
      <c r="A450"/>
      <c r="B450"/>
      <c r="C450" s="27"/>
      <c r="D450" s="28"/>
      <c r="F450" s="9" t="str">
        <f t="shared" si="54"/>
        <v/>
      </c>
      <c r="G450" s="9">
        <f t="shared" si="55"/>
        <v>0</v>
      </c>
      <c r="H450" s="9">
        <f t="shared" si="56"/>
        <v>0</v>
      </c>
      <c r="I450" s="9">
        <f t="array" ref="I450">+SUM(IFERROR(VALUE(G450:H450),0))</f>
        <v>0</v>
      </c>
      <c r="K450" s="9" t="str">
        <f t="shared" si="57"/>
        <v/>
      </c>
      <c r="L450" s="9">
        <f t="shared" si="58"/>
        <v>0</v>
      </c>
      <c r="M450" s="9">
        <f t="shared" si="59"/>
        <v>0</v>
      </c>
      <c r="N450" s="9">
        <f t="array" ref="N450">+SUM(IFERROR(VALUE(L450:M450),0))</f>
        <v>0</v>
      </c>
      <c r="P450" s="9" t="str">
        <f t="shared" si="60"/>
        <v/>
      </c>
      <c r="Q450" s="9">
        <f t="shared" si="61"/>
        <v>0</v>
      </c>
      <c r="R450" s="9">
        <f t="shared" si="62"/>
        <v>0</v>
      </c>
      <c r="S450" s="9">
        <f t="array" ref="S450">+SUM(IFERROR(VALUE(Q450:R450),0))</f>
        <v>0</v>
      </c>
    </row>
    <row r="451" spans="1:19" ht="14.4">
      <c r="A451"/>
      <c r="B451"/>
      <c r="C451" s="27"/>
      <c r="D451" s="28"/>
      <c r="F451" s="9" t="str">
        <f t="shared" si="54"/>
        <v/>
      </c>
      <c r="G451" s="9">
        <f t="shared" si="55"/>
        <v>0</v>
      </c>
      <c r="H451" s="9">
        <f t="shared" si="56"/>
        <v>0</v>
      </c>
      <c r="I451" s="9">
        <f t="array" ref="I451">+SUM(IFERROR(VALUE(G451:H451),0))</f>
        <v>0</v>
      </c>
      <c r="K451" s="9" t="str">
        <f t="shared" si="57"/>
        <v/>
      </c>
      <c r="L451" s="9">
        <f t="shared" si="58"/>
        <v>0</v>
      </c>
      <c r="M451" s="9">
        <f t="shared" si="59"/>
        <v>0</v>
      </c>
      <c r="N451" s="9">
        <f t="array" ref="N451">+SUM(IFERROR(VALUE(L451:M451),0))</f>
        <v>0</v>
      </c>
      <c r="P451" s="9" t="str">
        <f t="shared" si="60"/>
        <v/>
      </c>
      <c r="Q451" s="9">
        <f t="shared" si="61"/>
        <v>0</v>
      </c>
      <c r="R451" s="9">
        <f t="shared" si="62"/>
        <v>0</v>
      </c>
      <c r="S451" s="9">
        <f t="array" ref="S451">+SUM(IFERROR(VALUE(Q451:R451),0))</f>
        <v>0</v>
      </c>
    </row>
    <row r="452" spans="1:19" ht="14.4">
      <c r="A452"/>
      <c r="B452"/>
      <c r="C452" s="27"/>
      <c r="D452" s="28"/>
      <c r="F452" s="9" t="str">
        <f t="shared" si="54"/>
        <v/>
      </c>
      <c r="G452" s="9">
        <f t="shared" si="55"/>
        <v>0</v>
      </c>
      <c r="H452" s="9">
        <f t="shared" si="56"/>
        <v>0</v>
      </c>
      <c r="I452" s="9">
        <f t="array" ref="I452">+SUM(IFERROR(VALUE(G452:H452),0))</f>
        <v>0</v>
      </c>
      <c r="K452" s="9" t="str">
        <f t="shared" si="57"/>
        <v/>
      </c>
      <c r="L452" s="9">
        <f t="shared" si="58"/>
        <v>0</v>
      </c>
      <c r="M452" s="9">
        <f t="shared" si="59"/>
        <v>0</v>
      </c>
      <c r="N452" s="9">
        <f t="array" ref="N452">+SUM(IFERROR(VALUE(L452:M452),0))</f>
        <v>0</v>
      </c>
      <c r="P452" s="9" t="str">
        <f t="shared" si="60"/>
        <v/>
      </c>
      <c r="Q452" s="9">
        <f t="shared" si="61"/>
        <v>0</v>
      </c>
      <c r="R452" s="9">
        <f t="shared" si="62"/>
        <v>0</v>
      </c>
      <c r="S452" s="9">
        <f t="array" ref="S452">+SUM(IFERROR(VALUE(Q452:R452),0))</f>
        <v>0</v>
      </c>
    </row>
    <row r="453" spans="1:19" ht="14.4">
      <c r="A453"/>
      <c r="B453"/>
      <c r="C453" s="27"/>
      <c r="D453" s="28"/>
      <c r="F453" s="9" t="str">
        <f t="shared" si="54"/>
        <v/>
      </c>
      <c r="G453" s="9">
        <f t="shared" si="55"/>
        <v>0</v>
      </c>
      <c r="H453" s="9">
        <f t="shared" si="56"/>
        <v>0</v>
      </c>
      <c r="I453" s="9">
        <f t="array" ref="I453">+SUM(IFERROR(VALUE(G453:H453),0))</f>
        <v>0</v>
      </c>
      <c r="K453" s="9" t="str">
        <f t="shared" si="57"/>
        <v/>
      </c>
      <c r="L453" s="9">
        <f t="shared" si="58"/>
        <v>0</v>
      </c>
      <c r="M453" s="9">
        <f t="shared" si="59"/>
        <v>0</v>
      </c>
      <c r="N453" s="9">
        <f t="array" ref="N453">+SUM(IFERROR(VALUE(L453:M453),0))</f>
        <v>0</v>
      </c>
      <c r="P453" s="9" t="str">
        <f t="shared" si="60"/>
        <v/>
      </c>
      <c r="Q453" s="9">
        <f t="shared" si="61"/>
        <v>0</v>
      </c>
      <c r="R453" s="9">
        <f t="shared" si="62"/>
        <v>0</v>
      </c>
      <c r="S453" s="9">
        <f t="array" ref="S453">+SUM(IFERROR(VALUE(Q453:R453),0))</f>
        <v>0</v>
      </c>
    </row>
    <row r="454" spans="1:19" ht="14.4">
      <c r="A454"/>
      <c r="B454"/>
      <c r="C454" s="27"/>
      <c r="D454" s="28"/>
      <c r="F454" s="9" t="str">
        <f t="shared" ref="F454:F517" si="63">+LEFT(A454,4)</f>
        <v/>
      </c>
      <c r="G454" s="9">
        <f t="shared" ref="G454:G517" si="64">+C454</f>
        <v>0</v>
      </c>
      <c r="H454" s="9">
        <f t="shared" ref="H454:H517" si="65">-D454</f>
        <v>0</v>
      </c>
      <c r="I454" s="9">
        <f t="array" ref="I454">+SUM(IFERROR(VALUE(G454:H454),0))</f>
        <v>0</v>
      </c>
      <c r="K454" s="9" t="str">
        <f t="shared" ref="K454:K517" si="66">+LEFT(A454,3)</f>
        <v/>
      </c>
      <c r="L454" s="9">
        <f t="shared" ref="L454:L517" si="67">+C454</f>
        <v>0</v>
      </c>
      <c r="M454" s="9">
        <f t="shared" ref="M454:M517" si="68">-D454</f>
        <v>0</v>
      </c>
      <c r="N454" s="9">
        <f t="array" ref="N454">+SUM(IFERROR(VALUE(L454:M454),0))</f>
        <v>0</v>
      </c>
      <c r="P454" s="9" t="str">
        <f t="shared" ref="P454:P517" si="69">+LEFT(A454,2)</f>
        <v/>
      </c>
      <c r="Q454" s="9">
        <f t="shared" ref="Q454:Q517" si="70">+C454</f>
        <v>0</v>
      </c>
      <c r="R454" s="9">
        <f t="shared" ref="R454:R517" si="71">-D454</f>
        <v>0</v>
      </c>
      <c r="S454" s="9">
        <f t="array" ref="S454">+SUM(IFERROR(VALUE(Q454:R454),0))</f>
        <v>0</v>
      </c>
    </row>
    <row r="455" spans="1:19" ht="14.4">
      <c r="A455"/>
      <c r="B455"/>
      <c r="C455" s="27"/>
      <c r="D455" s="28"/>
      <c r="F455" s="9" t="str">
        <f t="shared" si="63"/>
        <v/>
      </c>
      <c r="G455" s="9">
        <f t="shared" si="64"/>
        <v>0</v>
      </c>
      <c r="H455" s="9">
        <f t="shared" si="65"/>
        <v>0</v>
      </c>
      <c r="I455" s="9">
        <f t="array" ref="I455">+SUM(IFERROR(VALUE(G455:H455),0))</f>
        <v>0</v>
      </c>
      <c r="K455" s="9" t="str">
        <f t="shared" si="66"/>
        <v/>
      </c>
      <c r="L455" s="9">
        <f t="shared" si="67"/>
        <v>0</v>
      </c>
      <c r="M455" s="9">
        <f t="shared" si="68"/>
        <v>0</v>
      </c>
      <c r="N455" s="9">
        <f t="array" ref="N455">+SUM(IFERROR(VALUE(L455:M455),0))</f>
        <v>0</v>
      </c>
      <c r="P455" s="9" t="str">
        <f t="shared" si="69"/>
        <v/>
      </c>
      <c r="Q455" s="9">
        <f t="shared" si="70"/>
        <v>0</v>
      </c>
      <c r="R455" s="9">
        <f t="shared" si="71"/>
        <v>0</v>
      </c>
      <c r="S455" s="9">
        <f t="array" ref="S455">+SUM(IFERROR(VALUE(Q455:R455),0))</f>
        <v>0</v>
      </c>
    </row>
    <row r="456" spans="1:19" ht="14.4">
      <c r="A456"/>
      <c r="B456"/>
      <c r="C456" s="27"/>
      <c r="D456" s="28"/>
      <c r="F456" s="9" t="str">
        <f t="shared" si="63"/>
        <v/>
      </c>
      <c r="G456" s="9">
        <f t="shared" si="64"/>
        <v>0</v>
      </c>
      <c r="H456" s="9">
        <f t="shared" si="65"/>
        <v>0</v>
      </c>
      <c r="I456" s="9">
        <f t="array" ref="I456">+SUM(IFERROR(VALUE(G456:H456),0))</f>
        <v>0</v>
      </c>
      <c r="K456" s="9" t="str">
        <f t="shared" si="66"/>
        <v/>
      </c>
      <c r="L456" s="9">
        <f t="shared" si="67"/>
        <v>0</v>
      </c>
      <c r="M456" s="9">
        <f t="shared" si="68"/>
        <v>0</v>
      </c>
      <c r="N456" s="9">
        <f t="array" ref="N456">+SUM(IFERROR(VALUE(L456:M456),0))</f>
        <v>0</v>
      </c>
      <c r="P456" s="9" t="str">
        <f t="shared" si="69"/>
        <v/>
      </c>
      <c r="Q456" s="9">
        <f t="shared" si="70"/>
        <v>0</v>
      </c>
      <c r="R456" s="9">
        <f t="shared" si="71"/>
        <v>0</v>
      </c>
      <c r="S456" s="9">
        <f t="array" ref="S456">+SUM(IFERROR(VALUE(Q456:R456),0))</f>
        <v>0</v>
      </c>
    </row>
    <row r="457" spans="1:19" ht="14.4">
      <c r="A457"/>
      <c r="B457"/>
      <c r="C457" s="27"/>
      <c r="D457" s="28"/>
      <c r="F457" s="9" t="str">
        <f t="shared" si="63"/>
        <v/>
      </c>
      <c r="G457" s="9">
        <f t="shared" si="64"/>
        <v>0</v>
      </c>
      <c r="H457" s="9">
        <f t="shared" si="65"/>
        <v>0</v>
      </c>
      <c r="I457" s="9">
        <f t="array" ref="I457">+SUM(IFERROR(VALUE(G457:H457),0))</f>
        <v>0</v>
      </c>
      <c r="K457" s="9" t="str">
        <f t="shared" si="66"/>
        <v/>
      </c>
      <c r="L457" s="9">
        <f t="shared" si="67"/>
        <v>0</v>
      </c>
      <c r="M457" s="9">
        <f t="shared" si="68"/>
        <v>0</v>
      </c>
      <c r="N457" s="9">
        <f t="array" ref="N457">+SUM(IFERROR(VALUE(L457:M457),0))</f>
        <v>0</v>
      </c>
      <c r="P457" s="9" t="str">
        <f t="shared" si="69"/>
        <v/>
      </c>
      <c r="Q457" s="9">
        <f t="shared" si="70"/>
        <v>0</v>
      </c>
      <c r="R457" s="9">
        <f t="shared" si="71"/>
        <v>0</v>
      </c>
      <c r="S457" s="9">
        <f t="array" ref="S457">+SUM(IFERROR(VALUE(Q457:R457),0))</f>
        <v>0</v>
      </c>
    </row>
    <row r="458" spans="1:19" ht="14.4">
      <c r="A458"/>
      <c r="B458"/>
      <c r="C458" s="27"/>
      <c r="D458" s="28"/>
      <c r="F458" s="9" t="str">
        <f t="shared" si="63"/>
        <v/>
      </c>
      <c r="G458" s="9">
        <f t="shared" si="64"/>
        <v>0</v>
      </c>
      <c r="H458" s="9">
        <f t="shared" si="65"/>
        <v>0</v>
      </c>
      <c r="I458" s="9">
        <f t="array" ref="I458">+SUM(IFERROR(VALUE(G458:H458),0))</f>
        <v>0</v>
      </c>
      <c r="K458" s="9" t="str">
        <f t="shared" si="66"/>
        <v/>
      </c>
      <c r="L458" s="9">
        <f t="shared" si="67"/>
        <v>0</v>
      </c>
      <c r="M458" s="9">
        <f t="shared" si="68"/>
        <v>0</v>
      </c>
      <c r="N458" s="9">
        <f t="array" ref="N458">+SUM(IFERROR(VALUE(L458:M458),0))</f>
        <v>0</v>
      </c>
      <c r="P458" s="9" t="str">
        <f t="shared" si="69"/>
        <v/>
      </c>
      <c r="Q458" s="9">
        <f t="shared" si="70"/>
        <v>0</v>
      </c>
      <c r="R458" s="9">
        <f t="shared" si="71"/>
        <v>0</v>
      </c>
      <c r="S458" s="9">
        <f t="array" ref="S458">+SUM(IFERROR(VALUE(Q458:R458),0))</f>
        <v>0</v>
      </c>
    </row>
    <row r="459" spans="1:19" ht="14.4">
      <c r="A459"/>
      <c r="B459"/>
      <c r="C459" s="27"/>
      <c r="D459" s="28"/>
      <c r="F459" s="9" t="str">
        <f t="shared" si="63"/>
        <v/>
      </c>
      <c r="G459" s="9">
        <f t="shared" si="64"/>
        <v>0</v>
      </c>
      <c r="H459" s="9">
        <f t="shared" si="65"/>
        <v>0</v>
      </c>
      <c r="I459" s="9">
        <f t="array" ref="I459">+SUM(IFERROR(VALUE(G459:H459),0))</f>
        <v>0</v>
      </c>
      <c r="K459" s="9" t="str">
        <f t="shared" si="66"/>
        <v/>
      </c>
      <c r="L459" s="9">
        <f t="shared" si="67"/>
        <v>0</v>
      </c>
      <c r="M459" s="9">
        <f t="shared" si="68"/>
        <v>0</v>
      </c>
      <c r="N459" s="9">
        <f t="array" ref="N459">+SUM(IFERROR(VALUE(L459:M459),0))</f>
        <v>0</v>
      </c>
      <c r="P459" s="9" t="str">
        <f t="shared" si="69"/>
        <v/>
      </c>
      <c r="Q459" s="9">
        <f t="shared" si="70"/>
        <v>0</v>
      </c>
      <c r="R459" s="9">
        <f t="shared" si="71"/>
        <v>0</v>
      </c>
      <c r="S459" s="9">
        <f t="array" ref="S459">+SUM(IFERROR(VALUE(Q459:R459),0))</f>
        <v>0</v>
      </c>
    </row>
    <row r="460" spans="1:19" ht="14.4">
      <c r="A460"/>
      <c r="B460"/>
      <c r="C460" s="27"/>
      <c r="D460" s="28"/>
      <c r="F460" s="9" t="str">
        <f t="shared" si="63"/>
        <v/>
      </c>
      <c r="G460" s="9">
        <f t="shared" si="64"/>
        <v>0</v>
      </c>
      <c r="H460" s="9">
        <f t="shared" si="65"/>
        <v>0</v>
      </c>
      <c r="I460" s="9">
        <f t="array" ref="I460">+SUM(IFERROR(VALUE(G460:H460),0))</f>
        <v>0</v>
      </c>
      <c r="K460" s="9" t="str">
        <f t="shared" si="66"/>
        <v/>
      </c>
      <c r="L460" s="9">
        <f t="shared" si="67"/>
        <v>0</v>
      </c>
      <c r="M460" s="9">
        <f t="shared" si="68"/>
        <v>0</v>
      </c>
      <c r="N460" s="9">
        <f t="array" ref="N460">+SUM(IFERROR(VALUE(L460:M460),0))</f>
        <v>0</v>
      </c>
      <c r="P460" s="9" t="str">
        <f t="shared" si="69"/>
        <v/>
      </c>
      <c r="Q460" s="9">
        <f t="shared" si="70"/>
        <v>0</v>
      </c>
      <c r="R460" s="9">
        <f t="shared" si="71"/>
        <v>0</v>
      </c>
      <c r="S460" s="9">
        <f t="array" ref="S460">+SUM(IFERROR(VALUE(Q460:R460),0))</f>
        <v>0</v>
      </c>
    </row>
    <row r="461" spans="1:19" ht="14.4">
      <c r="A461"/>
      <c r="B461"/>
      <c r="C461" s="27"/>
      <c r="D461" s="28"/>
      <c r="F461" s="9" t="str">
        <f t="shared" si="63"/>
        <v/>
      </c>
      <c r="G461" s="9">
        <f t="shared" si="64"/>
        <v>0</v>
      </c>
      <c r="H461" s="9">
        <f t="shared" si="65"/>
        <v>0</v>
      </c>
      <c r="I461" s="9">
        <f t="array" ref="I461">+SUM(IFERROR(VALUE(G461:H461),0))</f>
        <v>0</v>
      </c>
      <c r="K461" s="9" t="str">
        <f t="shared" si="66"/>
        <v/>
      </c>
      <c r="L461" s="9">
        <f t="shared" si="67"/>
        <v>0</v>
      </c>
      <c r="M461" s="9">
        <f t="shared" si="68"/>
        <v>0</v>
      </c>
      <c r="N461" s="9">
        <f t="array" ref="N461">+SUM(IFERROR(VALUE(L461:M461),0))</f>
        <v>0</v>
      </c>
      <c r="P461" s="9" t="str">
        <f t="shared" si="69"/>
        <v/>
      </c>
      <c r="Q461" s="9">
        <f t="shared" si="70"/>
        <v>0</v>
      </c>
      <c r="R461" s="9">
        <f t="shared" si="71"/>
        <v>0</v>
      </c>
      <c r="S461" s="9">
        <f t="array" ref="S461">+SUM(IFERROR(VALUE(Q461:R461),0))</f>
        <v>0</v>
      </c>
    </row>
    <row r="462" spans="1:19" ht="14.4">
      <c r="A462"/>
      <c r="B462"/>
      <c r="C462" s="27"/>
      <c r="D462" s="28"/>
      <c r="F462" s="9" t="str">
        <f t="shared" si="63"/>
        <v/>
      </c>
      <c r="G462" s="9">
        <f t="shared" si="64"/>
        <v>0</v>
      </c>
      <c r="H462" s="9">
        <f t="shared" si="65"/>
        <v>0</v>
      </c>
      <c r="I462" s="9">
        <f t="array" ref="I462">+SUM(IFERROR(VALUE(G462:H462),0))</f>
        <v>0</v>
      </c>
      <c r="K462" s="9" t="str">
        <f t="shared" si="66"/>
        <v/>
      </c>
      <c r="L462" s="9">
        <f t="shared" si="67"/>
        <v>0</v>
      </c>
      <c r="M462" s="9">
        <f t="shared" si="68"/>
        <v>0</v>
      </c>
      <c r="N462" s="9">
        <f t="array" ref="N462">+SUM(IFERROR(VALUE(L462:M462),0))</f>
        <v>0</v>
      </c>
      <c r="P462" s="9" t="str">
        <f t="shared" si="69"/>
        <v/>
      </c>
      <c r="Q462" s="9">
        <f t="shared" si="70"/>
        <v>0</v>
      </c>
      <c r="R462" s="9">
        <f t="shared" si="71"/>
        <v>0</v>
      </c>
      <c r="S462" s="9">
        <f t="array" ref="S462">+SUM(IFERROR(VALUE(Q462:R462),0))</f>
        <v>0</v>
      </c>
    </row>
    <row r="463" spans="1:19" ht="14.4">
      <c r="A463"/>
      <c r="B463"/>
      <c r="C463" s="27"/>
      <c r="D463" s="28"/>
      <c r="F463" s="9" t="str">
        <f t="shared" si="63"/>
        <v/>
      </c>
      <c r="G463" s="9">
        <f t="shared" si="64"/>
        <v>0</v>
      </c>
      <c r="H463" s="9">
        <f t="shared" si="65"/>
        <v>0</v>
      </c>
      <c r="I463" s="9">
        <f t="array" ref="I463">+SUM(IFERROR(VALUE(G463:H463),0))</f>
        <v>0</v>
      </c>
      <c r="K463" s="9" t="str">
        <f t="shared" si="66"/>
        <v/>
      </c>
      <c r="L463" s="9">
        <f t="shared" si="67"/>
        <v>0</v>
      </c>
      <c r="M463" s="9">
        <f t="shared" si="68"/>
        <v>0</v>
      </c>
      <c r="N463" s="9">
        <f t="array" ref="N463">+SUM(IFERROR(VALUE(L463:M463),0))</f>
        <v>0</v>
      </c>
      <c r="P463" s="9" t="str">
        <f t="shared" si="69"/>
        <v/>
      </c>
      <c r="Q463" s="9">
        <f t="shared" si="70"/>
        <v>0</v>
      </c>
      <c r="R463" s="9">
        <f t="shared" si="71"/>
        <v>0</v>
      </c>
      <c r="S463" s="9">
        <f t="array" ref="S463">+SUM(IFERROR(VALUE(Q463:R463),0))</f>
        <v>0</v>
      </c>
    </row>
    <row r="464" spans="1:19" ht="14.4">
      <c r="A464"/>
      <c r="B464"/>
      <c r="C464" s="27"/>
      <c r="D464" s="28"/>
      <c r="F464" s="9" t="str">
        <f t="shared" si="63"/>
        <v/>
      </c>
      <c r="G464" s="9">
        <f t="shared" si="64"/>
        <v>0</v>
      </c>
      <c r="H464" s="9">
        <f t="shared" si="65"/>
        <v>0</v>
      </c>
      <c r="I464" s="9">
        <f t="array" ref="I464">+SUM(IFERROR(VALUE(G464:H464),0))</f>
        <v>0</v>
      </c>
      <c r="K464" s="9" t="str">
        <f t="shared" si="66"/>
        <v/>
      </c>
      <c r="L464" s="9">
        <f t="shared" si="67"/>
        <v>0</v>
      </c>
      <c r="M464" s="9">
        <f t="shared" si="68"/>
        <v>0</v>
      </c>
      <c r="N464" s="9">
        <f t="array" ref="N464">+SUM(IFERROR(VALUE(L464:M464),0))</f>
        <v>0</v>
      </c>
      <c r="P464" s="9" t="str">
        <f t="shared" si="69"/>
        <v/>
      </c>
      <c r="Q464" s="9">
        <f t="shared" si="70"/>
        <v>0</v>
      </c>
      <c r="R464" s="9">
        <f t="shared" si="71"/>
        <v>0</v>
      </c>
      <c r="S464" s="9">
        <f t="array" ref="S464">+SUM(IFERROR(VALUE(Q464:R464),0))</f>
        <v>0</v>
      </c>
    </row>
    <row r="465" spans="1:19" ht="14.4">
      <c r="A465"/>
      <c r="B465"/>
      <c r="C465" s="27"/>
      <c r="D465" s="28"/>
      <c r="F465" s="9" t="str">
        <f t="shared" si="63"/>
        <v/>
      </c>
      <c r="G465" s="9">
        <f t="shared" si="64"/>
        <v>0</v>
      </c>
      <c r="H465" s="9">
        <f t="shared" si="65"/>
        <v>0</v>
      </c>
      <c r="I465" s="9">
        <f t="array" ref="I465">+SUM(IFERROR(VALUE(G465:H465),0))</f>
        <v>0</v>
      </c>
      <c r="K465" s="9" t="str">
        <f t="shared" si="66"/>
        <v/>
      </c>
      <c r="L465" s="9">
        <f t="shared" si="67"/>
        <v>0</v>
      </c>
      <c r="M465" s="9">
        <f t="shared" si="68"/>
        <v>0</v>
      </c>
      <c r="N465" s="9">
        <f t="array" ref="N465">+SUM(IFERROR(VALUE(L465:M465),0))</f>
        <v>0</v>
      </c>
      <c r="P465" s="9" t="str">
        <f t="shared" si="69"/>
        <v/>
      </c>
      <c r="Q465" s="9">
        <f t="shared" si="70"/>
        <v>0</v>
      </c>
      <c r="R465" s="9">
        <f t="shared" si="71"/>
        <v>0</v>
      </c>
      <c r="S465" s="9">
        <f t="array" ref="S465">+SUM(IFERROR(VALUE(Q465:R465),0))</f>
        <v>0</v>
      </c>
    </row>
    <row r="466" spans="1:19" ht="14.4">
      <c r="A466"/>
      <c r="B466"/>
      <c r="C466" s="27"/>
      <c r="D466" s="28"/>
      <c r="F466" s="9" t="str">
        <f t="shared" si="63"/>
        <v/>
      </c>
      <c r="G466" s="9">
        <f t="shared" si="64"/>
        <v>0</v>
      </c>
      <c r="H466" s="9">
        <f t="shared" si="65"/>
        <v>0</v>
      </c>
      <c r="I466" s="9">
        <f t="array" ref="I466">+SUM(IFERROR(VALUE(G466:H466),0))</f>
        <v>0</v>
      </c>
      <c r="K466" s="9" t="str">
        <f t="shared" si="66"/>
        <v/>
      </c>
      <c r="L466" s="9">
        <f t="shared" si="67"/>
        <v>0</v>
      </c>
      <c r="M466" s="9">
        <f t="shared" si="68"/>
        <v>0</v>
      </c>
      <c r="N466" s="9">
        <f t="array" ref="N466">+SUM(IFERROR(VALUE(L466:M466),0))</f>
        <v>0</v>
      </c>
      <c r="P466" s="9" t="str">
        <f t="shared" si="69"/>
        <v/>
      </c>
      <c r="Q466" s="9">
        <f t="shared" si="70"/>
        <v>0</v>
      </c>
      <c r="R466" s="9">
        <f t="shared" si="71"/>
        <v>0</v>
      </c>
      <c r="S466" s="9">
        <f t="array" ref="S466">+SUM(IFERROR(VALUE(Q466:R466),0))</f>
        <v>0</v>
      </c>
    </row>
    <row r="467" spans="1:19" ht="14.4">
      <c r="A467"/>
      <c r="B467"/>
      <c r="C467" s="27"/>
      <c r="D467" s="28"/>
      <c r="F467" s="9" t="str">
        <f t="shared" si="63"/>
        <v/>
      </c>
      <c r="G467" s="9">
        <f t="shared" si="64"/>
        <v>0</v>
      </c>
      <c r="H467" s="9">
        <f t="shared" si="65"/>
        <v>0</v>
      </c>
      <c r="I467" s="9">
        <f t="array" ref="I467">+SUM(IFERROR(VALUE(G467:H467),0))</f>
        <v>0</v>
      </c>
      <c r="K467" s="9" t="str">
        <f t="shared" si="66"/>
        <v/>
      </c>
      <c r="L467" s="9">
        <f t="shared" si="67"/>
        <v>0</v>
      </c>
      <c r="M467" s="9">
        <f t="shared" si="68"/>
        <v>0</v>
      </c>
      <c r="N467" s="9">
        <f t="array" ref="N467">+SUM(IFERROR(VALUE(L467:M467),0))</f>
        <v>0</v>
      </c>
      <c r="P467" s="9" t="str">
        <f t="shared" si="69"/>
        <v/>
      </c>
      <c r="Q467" s="9">
        <f t="shared" si="70"/>
        <v>0</v>
      </c>
      <c r="R467" s="9">
        <f t="shared" si="71"/>
        <v>0</v>
      </c>
      <c r="S467" s="9">
        <f t="array" ref="S467">+SUM(IFERROR(VALUE(Q467:R467),0))</f>
        <v>0</v>
      </c>
    </row>
    <row r="468" spans="1:19" ht="14.4">
      <c r="A468"/>
      <c r="B468"/>
      <c r="C468" s="27"/>
      <c r="D468" s="28"/>
      <c r="F468" s="9" t="str">
        <f t="shared" si="63"/>
        <v/>
      </c>
      <c r="G468" s="9">
        <f t="shared" si="64"/>
        <v>0</v>
      </c>
      <c r="H468" s="9">
        <f t="shared" si="65"/>
        <v>0</v>
      </c>
      <c r="I468" s="9">
        <f t="array" ref="I468">+SUM(IFERROR(VALUE(G468:H468),0))</f>
        <v>0</v>
      </c>
      <c r="K468" s="9" t="str">
        <f t="shared" si="66"/>
        <v/>
      </c>
      <c r="L468" s="9">
        <f t="shared" si="67"/>
        <v>0</v>
      </c>
      <c r="M468" s="9">
        <f t="shared" si="68"/>
        <v>0</v>
      </c>
      <c r="N468" s="9">
        <f t="array" ref="N468">+SUM(IFERROR(VALUE(L468:M468),0))</f>
        <v>0</v>
      </c>
      <c r="P468" s="9" t="str">
        <f t="shared" si="69"/>
        <v/>
      </c>
      <c r="Q468" s="9">
        <f t="shared" si="70"/>
        <v>0</v>
      </c>
      <c r="R468" s="9">
        <f t="shared" si="71"/>
        <v>0</v>
      </c>
      <c r="S468" s="9">
        <f t="array" ref="S468">+SUM(IFERROR(VALUE(Q468:R468),0))</f>
        <v>0</v>
      </c>
    </row>
    <row r="469" spans="1:19" ht="14.4">
      <c r="A469"/>
      <c r="B469"/>
      <c r="C469" s="27"/>
      <c r="D469" s="28"/>
      <c r="F469" s="9" t="str">
        <f t="shared" si="63"/>
        <v/>
      </c>
      <c r="G469" s="9">
        <f t="shared" si="64"/>
        <v>0</v>
      </c>
      <c r="H469" s="9">
        <f t="shared" si="65"/>
        <v>0</v>
      </c>
      <c r="I469" s="9">
        <f t="array" ref="I469">+SUM(IFERROR(VALUE(G469:H469),0))</f>
        <v>0</v>
      </c>
      <c r="K469" s="9" t="str">
        <f t="shared" si="66"/>
        <v/>
      </c>
      <c r="L469" s="9">
        <f t="shared" si="67"/>
        <v>0</v>
      </c>
      <c r="M469" s="9">
        <f t="shared" si="68"/>
        <v>0</v>
      </c>
      <c r="N469" s="9">
        <f t="array" ref="N469">+SUM(IFERROR(VALUE(L469:M469),0))</f>
        <v>0</v>
      </c>
      <c r="P469" s="9" t="str">
        <f t="shared" si="69"/>
        <v/>
      </c>
      <c r="Q469" s="9">
        <f t="shared" si="70"/>
        <v>0</v>
      </c>
      <c r="R469" s="9">
        <f t="shared" si="71"/>
        <v>0</v>
      </c>
      <c r="S469" s="9">
        <f t="array" ref="S469">+SUM(IFERROR(VALUE(Q469:R469),0))</f>
        <v>0</v>
      </c>
    </row>
    <row r="470" spans="1:19" ht="14.4">
      <c r="A470"/>
      <c r="B470"/>
      <c r="C470" s="27"/>
      <c r="D470" s="28"/>
      <c r="F470" s="9" t="str">
        <f t="shared" si="63"/>
        <v/>
      </c>
      <c r="G470" s="9">
        <f t="shared" si="64"/>
        <v>0</v>
      </c>
      <c r="H470" s="9">
        <f t="shared" si="65"/>
        <v>0</v>
      </c>
      <c r="I470" s="9">
        <f t="array" ref="I470">+SUM(IFERROR(VALUE(G470:H470),0))</f>
        <v>0</v>
      </c>
      <c r="K470" s="9" t="str">
        <f t="shared" si="66"/>
        <v/>
      </c>
      <c r="L470" s="9">
        <f t="shared" si="67"/>
        <v>0</v>
      </c>
      <c r="M470" s="9">
        <f t="shared" si="68"/>
        <v>0</v>
      </c>
      <c r="N470" s="9">
        <f t="array" ref="N470">+SUM(IFERROR(VALUE(L470:M470),0))</f>
        <v>0</v>
      </c>
      <c r="P470" s="9" t="str">
        <f t="shared" si="69"/>
        <v/>
      </c>
      <c r="Q470" s="9">
        <f t="shared" si="70"/>
        <v>0</v>
      </c>
      <c r="R470" s="9">
        <f t="shared" si="71"/>
        <v>0</v>
      </c>
      <c r="S470" s="9">
        <f t="array" ref="S470">+SUM(IFERROR(VALUE(Q470:R470),0))</f>
        <v>0</v>
      </c>
    </row>
    <row r="471" spans="1:19" ht="14.4">
      <c r="A471"/>
      <c r="B471"/>
      <c r="C471" s="27"/>
      <c r="D471" s="28"/>
      <c r="F471" s="9" t="str">
        <f t="shared" si="63"/>
        <v/>
      </c>
      <c r="G471" s="9">
        <f t="shared" si="64"/>
        <v>0</v>
      </c>
      <c r="H471" s="9">
        <f t="shared" si="65"/>
        <v>0</v>
      </c>
      <c r="I471" s="9">
        <f t="array" ref="I471">+SUM(IFERROR(VALUE(G471:H471),0))</f>
        <v>0</v>
      </c>
      <c r="K471" s="9" t="str">
        <f t="shared" si="66"/>
        <v/>
      </c>
      <c r="L471" s="9">
        <f t="shared" si="67"/>
        <v>0</v>
      </c>
      <c r="M471" s="9">
        <f t="shared" si="68"/>
        <v>0</v>
      </c>
      <c r="N471" s="9">
        <f t="array" ref="N471">+SUM(IFERROR(VALUE(L471:M471),0))</f>
        <v>0</v>
      </c>
      <c r="P471" s="9" t="str">
        <f t="shared" si="69"/>
        <v/>
      </c>
      <c r="Q471" s="9">
        <f t="shared" si="70"/>
        <v>0</v>
      </c>
      <c r="R471" s="9">
        <f t="shared" si="71"/>
        <v>0</v>
      </c>
      <c r="S471" s="9">
        <f t="array" ref="S471">+SUM(IFERROR(VALUE(Q471:R471),0))</f>
        <v>0</v>
      </c>
    </row>
    <row r="472" spans="1:19" ht="14.4">
      <c r="A472"/>
      <c r="B472"/>
      <c r="C472" s="27"/>
      <c r="D472" s="28"/>
      <c r="F472" s="9" t="str">
        <f t="shared" si="63"/>
        <v/>
      </c>
      <c r="G472" s="9">
        <f t="shared" si="64"/>
        <v>0</v>
      </c>
      <c r="H472" s="9">
        <f t="shared" si="65"/>
        <v>0</v>
      </c>
      <c r="I472" s="9">
        <f t="array" ref="I472">+SUM(IFERROR(VALUE(G472:H472),0))</f>
        <v>0</v>
      </c>
      <c r="K472" s="9" t="str">
        <f t="shared" si="66"/>
        <v/>
      </c>
      <c r="L472" s="9">
        <f t="shared" si="67"/>
        <v>0</v>
      </c>
      <c r="M472" s="9">
        <f t="shared" si="68"/>
        <v>0</v>
      </c>
      <c r="N472" s="9">
        <f t="array" ref="N472">+SUM(IFERROR(VALUE(L472:M472),0))</f>
        <v>0</v>
      </c>
      <c r="P472" s="9" t="str">
        <f t="shared" si="69"/>
        <v/>
      </c>
      <c r="Q472" s="9">
        <f t="shared" si="70"/>
        <v>0</v>
      </c>
      <c r="R472" s="9">
        <f t="shared" si="71"/>
        <v>0</v>
      </c>
      <c r="S472" s="9">
        <f t="array" ref="S472">+SUM(IFERROR(VALUE(Q472:R472),0))</f>
        <v>0</v>
      </c>
    </row>
    <row r="473" spans="1:19" ht="14.4">
      <c r="A473"/>
      <c r="B473"/>
      <c r="C473" s="27"/>
      <c r="D473" s="28"/>
      <c r="F473" s="9" t="str">
        <f t="shared" si="63"/>
        <v/>
      </c>
      <c r="G473" s="9">
        <f t="shared" si="64"/>
        <v>0</v>
      </c>
      <c r="H473" s="9">
        <f t="shared" si="65"/>
        <v>0</v>
      </c>
      <c r="I473" s="9">
        <f t="array" ref="I473">+SUM(IFERROR(VALUE(G473:H473),0))</f>
        <v>0</v>
      </c>
      <c r="K473" s="9" t="str">
        <f t="shared" si="66"/>
        <v/>
      </c>
      <c r="L473" s="9">
        <f t="shared" si="67"/>
        <v>0</v>
      </c>
      <c r="M473" s="9">
        <f t="shared" si="68"/>
        <v>0</v>
      </c>
      <c r="N473" s="9">
        <f t="array" ref="N473">+SUM(IFERROR(VALUE(L473:M473),0))</f>
        <v>0</v>
      </c>
      <c r="P473" s="9" t="str">
        <f t="shared" si="69"/>
        <v/>
      </c>
      <c r="Q473" s="9">
        <f t="shared" si="70"/>
        <v>0</v>
      </c>
      <c r="R473" s="9">
        <f t="shared" si="71"/>
        <v>0</v>
      </c>
      <c r="S473" s="9">
        <f t="array" ref="S473">+SUM(IFERROR(VALUE(Q473:R473),0))</f>
        <v>0</v>
      </c>
    </row>
    <row r="474" spans="1:19" ht="14.4">
      <c r="A474"/>
      <c r="B474"/>
      <c r="C474" s="27"/>
      <c r="D474" s="28"/>
      <c r="F474" s="9" t="str">
        <f t="shared" si="63"/>
        <v/>
      </c>
      <c r="G474" s="9">
        <f t="shared" si="64"/>
        <v>0</v>
      </c>
      <c r="H474" s="9">
        <f t="shared" si="65"/>
        <v>0</v>
      </c>
      <c r="I474" s="9">
        <f t="array" ref="I474">+SUM(IFERROR(VALUE(G474:H474),0))</f>
        <v>0</v>
      </c>
      <c r="K474" s="9" t="str">
        <f t="shared" si="66"/>
        <v/>
      </c>
      <c r="L474" s="9">
        <f t="shared" si="67"/>
        <v>0</v>
      </c>
      <c r="M474" s="9">
        <f t="shared" si="68"/>
        <v>0</v>
      </c>
      <c r="N474" s="9">
        <f t="array" ref="N474">+SUM(IFERROR(VALUE(L474:M474),0))</f>
        <v>0</v>
      </c>
      <c r="P474" s="9" t="str">
        <f t="shared" si="69"/>
        <v/>
      </c>
      <c r="Q474" s="9">
        <f t="shared" si="70"/>
        <v>0</v>
      </c>
      <c r="R474" s="9">
        <f t="shared" si="71"/>
        <v>0</v>
      </c>
      <c r="S474" s="9">
        <f t="array" ref="S474">+SUM(IFERROR(VALUE(Q474:R474),0))</f>
        <v>0</v>
      </c>
    </row>
    <row r="475" spans="1:19" ht="14.4">
      <c r="A475"/>
      <c r="B475"/>
      <c r="C475" s="27"/>
      <c r="D475" s="28"/>
      <c r="F475" s="9" t="str">
        <f t="shared" si="63"/>
        <v/>
      </c>
      <c r="G475" s="9">
        <f t="shared" si="64"/>
        <v>0</v>
      </c>
      <c r="H475" s="9">
        <f t="shared" si="65"/>
        <v>0</v>
      </c>
      <c r="I475" s="9">
        <f t="array" ref="I475">+SUM(IFERROR(VALUE(G475:H475),0))</f>
        <v>0</v>
      </c>
      <c r="K475" s="9" t="str">
        <f t="shared" si="66"/>
        <v/>
      </c>
      <c r="L475" s="9">
        <f t="shared" si="67"/>
        <v>0</v>
      </c>
      <c r="M475" s="9">
        <f t="shared" si="68"/>
        <v>0</v>
      </c>
      <c r="N475" s="9">
        <f t="array" ref="N475">+SUM(IFERROR(VALUE(L475:M475),0))</f>
        <v>0</v>
      </c>
      <c r="P475" s="9" t="str">
        <f t="shared" si="69"/>
        <v/>
      </c>
      <c r="Q475" s="9">
        <f t="shared" si="70"/>
        <v>0</v>
      </c>
      <c r="R475" s="9">
        <f t="shared" si="71"/>
        <v>0</v>
      </c>
      <c r="S475" s="9">
        <f t="array" ref="S475">+SUM(IFERROR(VALUE(Q475:R475),0))</f>
        <v>0</v>
      </c>
    </row>
    <row r="476" spans="1:19" ht="14.4">
      <c r="A476"/>
      <c r="B476"/>
      <c r="C476" s="27"/>
      <c r="D476" s="28"/>
      <c r="F476" s="9" t="str">
        <f t="shared" si="63"/>
        <v/>
      </c>
      <c r="G476" s="9">
        <f t="shared" si="64"/>
        <v>0</v>
      </c>
      <c r="H476" s="9">
        <f t="shared" si="65"/>
        <v>0</v>
      </c>
      <c r="I476" s="9">
        <f t="array" ref="I476">+SUM(IFERROR(VALUE(G476:H476),0))</f>
        <v>0</v>
      </c>
      <c r="K476" s="9" t="str">
        <f t="shared" si="66"/>
        <v/>
      </c>
      <c r="L476" s="9">
        <f t="shared" si="67"/>
        <v>0</v>
      </c>
      <c r="M476" s="9">
        <f t="shared" si="68"/>
        <v>0</v>
      </c>
      <c r="N476" s="9">
        <f t="array" ref="N476">+SUM(IFERROR(VALUE(L476:M476),0))</f>
        <v>0</v>
      </c>
      <c r="P476" s="9" t="str">
        <f t="shared" si="69"/>
        <v/>
      </c>
      <c r="Q476" s="9">
        <f t="shared" si="70"/>
        <v>0</v>
      </c>
      <c r="R476" s="9">
        <f t="shared" si="71"/>
        <v>0</v>
      </c>
      <c r="S476" s="9">
        <f t="array" ref="S476">+SUM(IFERROR(VALUE(Q476:R476),0))</f>
        <v>0</v>
      </c>
    </row>
    <row r="477" spans="1:19" ht="14.4">
      <c r="A477"/>
      <c r="B477"/>
      <c r="C477" s="27"/>
      <c r="D477" s="28"/>
      <c r="F477" s="9" t="str">
        <f t="shared" si="63"/>
        <v/>
      </c>
      <c r="G477" s="9">
        <f t="shared" si="64"/>
        <v>0</v>
      </c>
      <c r="H477" s="9">
        <f t="shared" si="65"/>
        <v>0</v>
      </c>
      <c r="I477" s="9">
        <f t="array" ref="I477">+SUM(IFERROR(VALUE(G477:H477),0))</f>
        <v>0</v>
      </c>
      <c r="K477" s="9" t="str">
        <f t="shared" si="66"/>
        <v/>
      </c>
      <c r="L477" s="9">
        <f t="shared" si="67"/>
        <v>0</v>
      </c>
      <c r="M477" s="9">
        <f t="shared" si="68"/>
        <v>0</v>
      </c>
      <c r="N477" s="9">
        <f t="array" ref="N477">+SUM(IFERROR(VALUE(L477:M477),0))</f>
        <v>0</v>
      </c>
      <c r="P477" s="9" t="str">
        <f t="shared" si="69"/>
        <v/>
      </c>
      <c r="Q477" s="9">
        <f t="shared" si="70"/>
        <v>0</v>
      </c>
      <c r="R477" s="9">
        <f t="shared" si="71"/>
        <v>0</v>
      </c>
      <c r="S477" s="9">
        <f t="array" ref="S477">+SUM(IFERROR(VALUE(Q477:R477),0))</f>
        <v>0</v>
      </c>
    </row>
    <row r="478" spans="1:19" ht="14.4">
      <c r="A478"/>
      <c r="B478"/>
      <c r="C478" s="27"/>
      <c r="D478" s="28"/>
      <c r="F478" s="9" t="str">
        <f t="shared" si="63"/>
        <v/>
      </c>
      <c r="G478" s="9">
        <f t="shared" si="64"/>
        <v>0</v>
      </c>
      <c r="H478" s="9">
        <f t="shared" si="65"/>
        <v>0</v>
      </c>
      <c r="I478" s="9">
        <f t="array" ref="I478">+SUM(IFERROR(VALUE(G478:H478),0))</f>
        <v>0</v>
      </c>
      <c r="K478" s="9" t="str">
        <f t="shared" si="66"/>
        <v/>
      </c>
      <c r="L478" s="9">
        <f t="shared" si="67"/>
        <v>0</v>
      </c>
      <c r="M478" s="9">
        <f t="shared" si="68"/>
        <v>0</v>
      </c>
      <c r="N478" s="9">
        <f t="array" ref="N478">+SUM(IFERROR(VALUE(L478:M478),0))</f>
        <v>0</v>
      </c>
      <c r="P478" s="9" t="str">
        <f t="shared" si="69"/>
        <v/>
      </c>
      <c r="Q478" s="9">
        <f t="shared" si="70"/>
        <v>0</v>
      </c>
      <c r="R478" s="9">
        <f t="shared" si="71"/>
        <v>0</v>
      </c>
      <c r="S478" s="9">
        <f t="array" ref="S478">+SUM(IFERROR(VALUE(Q478:R478),0))</f>
        <v>0</v>
      </c>
    </row>
    <row r="479" spans="1:19" ht="14.4">
      <c r="A479"/>
      <c r="B479"/>
      <c r="C479" s="27"/>
      <c r="D479" s="28"/>
      <c r="F479" s="9" t="str">
        <f t="shared" si="63"/>
        <v/>
      </c>
      <c r="G479" s="9">
        <f t="shared" si="64"/>
        <v>0</v>
      </c>
      <c r="H479" s="9">
        <f t="shared" si="65"/>
        <v>0</v>
      </c>
      <c r="I479" s="9">
        <f t="array" ref="I479">+SUM(IFERROR(VALUE(G479:H479),0))</f>
        <v>0</v>
      </c>
      <c r="K479" s="9" t="str">
        <f t="shared" si="66"/>
        <v/>
      </c>
      <c r="L479" s="9">
        <f t="shared" si="67"/>
        <v>0</v>
      </c>
      <c r="M479" s="9">
        <f t="shared" si="68"/>
        <v>0</v>
      </c>
      <c r="N479" s="9">
        <f t="array" ref="N479">+SUM(IFERROR(VALUE(L479:M479),0))</f>
        <v>0</v>
      </c>
      <c r="P479" s="9" t="str">
        <f t="shared" si="69"/>
        <v/>
      </c>
      <c r="Q479" s="9">
        <f t="shared" si="70"/>
        <v>0</v>
      </c>
      <c r="R479" s="9">
        <f t="shared" si="71"/>
        <v>0</v>
      </c>
      <c r="S479" s="9">
        <f t="array" ref="S479">+SUM(IFERROR(VALUE(Q479:R479),0))</f>
        <v>0</v>
      </c>
    </row>
    <row r="480" spans="1:19" ht="14.4">
      <c r="A480"/>
      <c r="B480"/>
      <c r="C480" s="27"/>
      <c r="D480" s="28"/>
      <c r="F480" s="9" t="str">
        <f t="shared" si="63"/>
        <v/>
      </c>
      <c r="G480" s="9">
        <f t="shared" si="64"/>
        <v>0</v>
      </c>
      <c r="H480" s="9">
        <f t="shared" si="65"/>
        <v>0</v>
      </c>
      <c r="I480" s="9">
        <f t="array" ref="I480">+SUM(IFERROR(VALUE(G480:H480),0))</f>
        <v>0</v>
      </c>
      <c r="K480" s="9" t="str">
        <f t="shared" si="66"/>
        <v/>
      </c>
      <c r="L480" s="9">
        <f t="shared" si="67"/>
        <v>0</v>
      </c>
      <c r="M480" s="9">
        <f t="shared" si="68"/>
        <v>0</v>
      </c>
      <c r="N480" s="9">
        <f t="array" ref="N480">+SUM(IFERROR(VALUE(L480:M480),0))</f>
        <v>0</v>
      </c>
      <c r="P480" s="9" t="str">
        <f t="shared" si="69"/>
        <v/>
      </c>
      <c r="Q480" s="9">
        <f t="shared" si="70"/>
        <v>0</v>
      </c>
      <c r="R480" s="9">
        <f t="shared" si="71"/>
        <v>0</v>
      </c>
      <c r="S480" s="9">
        <f t="array" ref="S480">+SUM(IFERROR(VALUE(Q480:R480),0))</f>
        <v>0</v>
      </c>
    </row>
    <row r="481" spans="1:19" ht="14.4">
      <c r="A481"/>
      <c r="B481"/>
      <c r="C481" s="27"/>
      <c r="D481" s="28"/>
      <c r="F481" s="9" t="str">
        <f t="shared" si="63"/>
        <v/>
      </c>
      <c r="G481" s="9">
        <f t="shared" si="64"/>
        <v>0</v>
      </c>
      <c r="H481" s="9">
        <f t="shared" si="65"/>
        <v>0</v>
      </c>
      <c r="I481" s="9">
        <f t="array" ref="I481">+SUM(IFERROR(VALUE(G481:H481),0))</f>
        <v>0</v>
      </c>
      <c r="K481" s="9" t="str">
        <f t="shared" si="66"/>
        <v/>
      </c>
      <c r="L481" s="9">
        <f t="shared" si="67"/>
        <v>0</v>
      </c>
      <c r="M481" s="9">
        <f t="shared" si="68"/>
        <v>0</v>
      </c>
      <c r="N481" s="9">
        <f t="array" ref="N481">+SUM(IFERROR(VALUE(L481:M481),0))</f>
        <v>0</v>
      </c>
      <c r="P481" s="9" t="str">
        <f t="shared" si="69"/>
        <v/>
      </c>
      <c r="Q481" s="9">
        <f t="shared" si="70"/>
        <v>0</v>
      </c>
      <c r="R481" s="9">
        <f t="shared" si="71"/>
        <v>0</v>
      </c>
      <c r="S481" s="9">
        <f t="array" ref="S481">+SUM(IFERROR(VALUE(Q481:R481),0))</f>
        <v>0</v>
      </c>
    </row>
    <row r="482" spans="1:19" ht="14.4">
      <c r="A482"/>
      <c r="B482"/>
      <c r="C482" s="27"/>
      <c r="D482" s="28"/>
      <c r="F482" s="9" t="str">
        <f t="shared" si="63"/>
        <v/>
      </c>
      <c r="G482" s="9">
        <f t="shared" si="64"/>
        <v>0</v>
      </c>
      <c r="H482" s="9">
        <f t="shared" si="65"/>
        <v>0</v>
      </c>
      <c r="I482" s="9">
        <f t="array" ref="I482">+SUM(IFERROR(VALUE(G482:H482),0))</f>
        <v>0</v>
      </c>
      <c r="K482" s="9" t="str">
        <f t="shared" si="66"/>
        <v/>
      </c>
      <c r="L482" s="9">
        <f t="shared" si="67"/>
        <v>0</v>
      </c>
      <c r="M482" s="9">
        <f t="shared" si="68"/>
        <v>0</v>
      </c>
      <c r="N482" s="9">
        <f t="array" ref="N482">+SUM(IFERROR(VALUE(L482:M482),0))</f>
        <v>0</v>
      </c>
      <c r="P482" s="9" t="str">
        <f t="shared" si="69"/>
        <v/>
      </c>
      <c r="Q482" s="9">
        <f t="shared" si="70"/>
        <v>0</v>
      </c>
      <c r="R482" s="9">
        <f t="shared" si="71"/>
        <v>0</v>
      </c>
      <c r="S482" s="9">
        <f t="array" ref="S482">+SUM(IFERROR(VALUE(Q482:R482),0))</f>
        <v>0</v>
      </c>
    </row>
    <row r="483" spans="1:19" ht="14.4">
      <c r="A483"/>
      <c r="B483"/>
      <c r="C483" s="27"/>
      <c r="D483" s="28"/>
      <c r="F483" s="9" t="str">
        <f t="shared" si="63"/>
        <v/>
      </c>
      <c r="G483" s="9">
        <f t="shared" si="64"/>
        <v>0</v>
      </c>
      <c r="H483" s="9">
        <f t="shared" si="65"/>
        <v>0</v>
      </c>
      <c r="I483" s="9">
        <f t="array" ref="I483">+SUM(IFERROR(VALUE(G483:H483),0))</f>
        <v>0</v>
      </c>
      <c r="K483" s="9" t="str">
        <f t="shared" si="66"/>
        <v/>
      </c>
      <c r="L483" s="9">
        <f t="shared" si="67"/>
        <v>0</v>
      </c>
      <c r="M483" s="9">
        <f t="shared" si="68"/>
        <v>0</v>
      </c>
      <c r="N483" s="9">
        <f t="array" ref="N483">+SUM(IFERROR(VALUE(L483:M483),0))</f>
        <v>0</v>
      </c>
      <c r="P483" s="9" t="str">
        <f t="shared" si="69"/>
        <v/>
      </c>
      <c r="Q483" s="9">
        <f t="shared" si="70"/>
        <v>0</v>
      </c>
      <c r="R483" s="9">
        <f t="shared" si="71"/>
        <v>0</v>
      </c>
      <c r="S483" s="9">
        <f t="array" ref="S483">+SUM(IFERROR(VALUE(Q483:R483),0))</f>
        <v>0</v>
      </c>
    </row>
    <row r="484" spans="1:19" ht="14.4">
      <c r="A484"/>
      <c r="B484"/>
      <c r="C484" s="27"/>
      <c r="D484" s="28"/>
      <c r="F484" s="9" t="str">
        <f t="shared" si="63"/>
        <v/>
      </c>
      <c r="G484" s="9">
        <f t="shared" si="64"/>
        <v>0</v>
      </c>
      <c r="H484" s="9">
        <f t="shared" si="65"/>
        <v>0</v>
      </c>
      <c r="I484" s="9">
        <f t="array" ref="I484">+SUM(IFERROR(VALUE(G484:H484),0))</f>
        <v>0</v>
      </c>
      <c r="K484" s="9" t="str">
        <f t="shared" si="66"/>
        <v/>
      </c>
      <c r="L484" s="9">
        <f t="shared" si="67"/>
        <v>0</v>
      </c>
      <c r="M484" s="9">
        <f t="shared" si="68"/>
        <v>0</v>
      </c>
      <c r="N484" s="9">
        <f t="array" ref="N484">+SUM(IFERROR(VALUE(L484:M484),0))</f>
        <v>0</v>
      </c>
      <c r="P484" s="9" t="str">
        <f t="shared" si="69"/>
        <v/>
      </c>
      <c r="Q484" s="9">
        <f t="shared" si="70"/>
        <v>0</v>
      </c>
      <c r="R484" s="9">
        <f t="shared" si="71"/>
        <v>0</v>
      </c>
      <c r="S484" s="9">
        <f t="array" ref="S484">+SUM(IFERROR(VALUE(Q484:R484),0))</f>
        <v>0</v>
      </c>
    </row>
    <row r="485" spans="1:19" ht="14.4">
      <c r="A485"/>
      <c r="B485"/>
      <c r="C485" s="27"/>
      <c r="D485" s="28"/>
      <c r="F485" s="9" t="str">
        <f t="shared" si="63"/>
        <v/>
      </c>
      <c r="G485" s="9">
        <f t="shared" si="64"/>
        <v>0</v>
      </c>
      <c r="H485" s="9">
        <f t="shared" si="65"/>
        <v>0</v>
      </c>
      <c r="I485" s="9">
        <f t="array" ref="I485">+SUM(IFERROR(VALUE(G485:H485),0))</f>
        <v>0</v>
      </c>
      <c r="K485" s="9" t="str">
        <f t="shared" si="66"/>
        <v/>
      </c>
      <c r="L485" s="9">
        <f t="shared" si="67"/>
        <v>0</v>
      </c>
      <c r="M485" s="9">
        <f t="shared" si="68"/>
        <v>0</v>
      </c>
      <c r="N485" s="9">
        <f t="array" ref="N485">+SUM(IFERROR(VALUE(L485:M485),0))</f>
        <v>0</v>
      </c>
      <c r="P485" s="9" t="str">
        <f t="shared" si="69"/>
        <v/>
      </c>
      <c r="Q485" s="9">
        <f t="shared" si="70"/>
        <v>0</v>
      </c>
      <c r="R485" s="9">
        <f t="shared" si="71"/>
        <v>0</v>
      </c>
      <c r="S485" s="9">
        <f t="array" ref="S485">+SUM(IFERROR(VALUE(Q485:R485),0))</f>
        <v>0</v>
      </c>
    </row>
    <row r="486" spans="1:19" ht="14.4">
      <c r="A486"/>
      <c r="B486"/>
      <c r="C486" s="27"/>
      <c r="D486" s="28"/>
      <c r="F486" s="9" t="str">
        <f t="shared" si="63"/>
        <v/>
      </c>
      <c r="G486" s="9">
        <f t="shared" si="64"/>
        <v>0</v>
      </c>
      <c r="H486" s="9">
        <f t="shared" si="65"/>
        <v>0</v>
      </c>
      <c r="I486" s="9">
        <f t="array" ref="I486">+SUM(IFERROR(VALUE(G486:H486),0))</f>
        <v>0</v>
      </c>
      <c r="K486" s="9" t="str">
        <f t="shared" si="66"/>
        <v/>
      </c>
      <c r="L486" s="9">
        <f t="shared" si="67"/>
        <v>0</v>
      </c>
      <c r="M486" s="9">
        <f t="shared" si="68"/>
        <v>0</v>
      </c>
      <c r="N486" s="9">
        <f t="array" ref="N486">+SUM(IFERROR(VALUE(L486:M486),0))</f>
        <v>0</v>
      </c>
      <c r="P486" s="9" t="str">
        <f t="shared" si="69"/>
        <v/>
      </c>
      <c r="Q486" s="9">
        <f t="shared" si="70"/>
        <v>0</v>
      </c>
      <c r="R486" s="9">
        <f t="shared" si="71"/>
        <v>0</v>
      </c>
      <c r="S486" s="9">
        <f t="array" ref="S486">+SUM(IFERROR(VALUE(Q486:R486),0))</f>
        <v>0</v>
      </c>
    </row>
    <row r="487" spans="1:19" ht="14.4">
      <c r="A487"/>
      <c r="B487"/>
      <c r="C487" s="27"/>
      <c r="D487" s="28"/>
      <c r="F487" s="9" t="str">
        <f t="shared" si="63"/>
        <v/>
      </c>
      <c r="G487" s="9">
        <f t="shared" si="64"/>
        <v>0</v>
      </c>
      <c r="H487" s="9">
        <f t="shared" si="65"/>
        <v>0</v>
      </c>
      <c r="I487" s="9">
        <f t="array" ref="I487">+SUM(IFERROR(VALUE(G487:H487),0))</f>
        <v>0</v>
      </c>
      <c r="K487" s="9" t="str">
        <f t="shared" si="66"/>
        <v/>
      </c>
      <c r="L487" s="9">
        <f t="shared" si="67"/>
        <v>0</v>
      </c>
      <c r="M487" s="9">
        <f t="shared" si="68"/>
        <v>0</v>
      </c>
      <c r="N487" s="9">
        <f t="array" ref="N487">+SUM(IFERROR(VALUE(L487:M487),0))</f>
        <v>0</v>
      </c>
      <c r="P487" s="9" t="str">
        <f t="shared" si="69"/>
        <v/>
      </c>
      <c r="Q487" s="9">
        <f t="shared" si="70"/>
        <v>0</v>
      </c>
      <c r="R487" s="9">
        <f t="shared" si="71"/>
        <v>0</v>
      </c>
      <c r="S487" s="9">
        <f t="array" ref="S487">+SUM(IFERROR(VALUE(Q487:R487),0))</f>
        <v>0</v>
      </c>
    </row>
    <row r="488" spans="1:19" ht="14.4">
      <c r="A488"/>
      <c r="B488"/>
      <c r="C488" s="27"/>
      <c r="D488" s="28"/>
      <c r="F488" s="9" t="str">
        <f t="shared" si="63"/>
        <v/>
      </c>
      <c r="G488" s="9">
        <f t="shared" si="64"/>
        <v>0</v>
      </c>
      <c r="H488" s="9">
        <f t="shared" si="65"/>
        <v>0</v>
      </c>
      <c r="I488" s="9">
        <f t="array" ref="I488">+SUM(IFERROR(VALUE(G488:H488),0))</f>
        <v>0</v>
      </c>
      <c r="K488" s="9" t="str">
        <f t="shared" si="66"/>
        <v/>
      </c>
      <c r="L488" s="9">
        <f t="shared" si="67"/>
        <v>0</v>
      </c>
      <c r="M488" s="9">
        <f t="shared" si="68"/>
        <v>0</v>
      </c>
      <c r="N488" s="9">
        <f t="array" ref="N488">+SUM(IFERROR(VALUE(L488:M488),0))</f>
        <v>0</v>
      </c>
      <c r="P488" s="9" t="str">
        <f t="shared" si="69"/>
        <v/>
      </c>
      <c r="Q488" s="9">
        <f t="shared" si="70"/>
        <v>0</v>
      </c>
      <c r="R488" s="9">
        <f t="shared" si="71"/>
        <v>0</v>
      </c>
      <c r="S488" s="9">
        <f t="array" ref="S488">+SUM(IFERROR(VALUE(Q488:R488),0))</f>
        <v>0</v>
      </c>
    </row>
    <row r="489" spans="1:19" ht="14.4">
      <c r="A489"/>
      <c r="B489"/>
      <c r="C489" s="27"/>
      <c r="D489" s="28"/>
      <c r="F489" s="9" t="str">
        <f t="shared" si="63"/>
        <v/>
      </c>
      <c r="G489" s="9">
        <f t="shared" si="64"/>
        <v>0</v>
      </c>
      <c r="H489" s="9">
        <f t="shared" si="65"/>
        <v>0</v>
      </c>
      <c r="I489" s="9">
        <f t="array" ref="I489">+SUM(IFERROR(VALUE(G489:H489),0))</f>
        <v>0</v>
      </c>
      <c r="K489" s="9" t="str">
        <f t="shared" si="66"/>
        <v/>
      </c>
      <c r="L489" s="9">
        <f t="shared" si="67"/>
        <v>0</v>
      </c>
      <c r="M489" s="9">
        <f t="shared" si="68"/>
        <v>0</v>
      </c>
      <c r="N489" s="9">
        <f t="array" ref="N489">+SUM(IFERROR(VALUE(L489:M489),0))</f>
        <v>0</v>
      </c>
      <c r="P489" s="9" t="str">
        <f t="shared" si="69"/>
        <v/>
      </c>
      <c r="Q489" s="9">
        <f t="shared" si="70"/>
        <v>0</v>
      </c>
      <c r="R489" s="9">
        <f t="shared" si="71"/>
        <v>0</v>
      </c>
      <c r="S489" s="9">
        <f t="array" ref="S489">+SUM(IFERROR(VALUE(Q489:R489),0))</f>
        <v>0</v>
      </c>
    </row>
    <row r="490" spans="1:19" ht="14.4">
      <c r="A490"/>
      <c r="B490"/>
      <c r="C490" s="27"/>
      <c r="D490" s="28"/>
      <c r="F490" s="9" t="str">
        <f t="shared" si="63"/>
        <v/>
      </c>
      <c r="G490" s="9">
        <f t="shared" si="64"/>
        <v>0</v>
      </c>
      <c r="H490" s="9">
        <f t="shared" si="65"/>
        <v>0</v>
      </c>
      <c r="I490" s="9">
        <f t="array" ref="I490">+SUM(IFERROR(VALUE(G490:H490),0))</f>
        <v>0</v>
      </c>
      <c r="K490" s="9" t="str">
        <f t="shared" si="66"/>
        <v/>
      </c>
      <c r="L490" s="9">
        <f t="shared" si="67"/>
        <v>0</v>
      </c>
      <c r="M490" s="9">
        <f t="shared" si="68"/>
        <v>0</v>
      </c>
      <c r="N490" s="9">
        <f t="array" ref="N490">+SUM(IFERROR(VALUE(L490:M490),0))</f>
        <v>0</v>
      </c>
      <c r="P490" s="9" t="str">
        <f t="shared" si="69"/>
        <v/>
      </c>
      <c r="Q490" s="9">
        <f t="shared" si="70"/>
        <v>0</v>
      </c>
      <c r="R490" s="9">
        <f t="shared" si="71"/>
        <v>0</v>
      </c>
      <c r="S490" s="9">
        <f t="array" ref="S490">+SUM(IFERROR(VALUE(Q490:R490),0))</f>
        <v>0</v>
      </c>
    </row>
    <row r="491" spans="1:19" ht="14.4">
      <c r="A491"/>
      <c r="B491"/>
      <c r="C491" s="27"/>
      <c r="D491" s="28"/>
      <c r="F491" s="9" t="str">
        <f t="shared" si="63"/>
        <v/>
      </c>
      <c r="G491" s="9">
        <f t="shared" si="64"/>
        <v>0</v>
      </c>
      <c r="H491" s="9">
        <f t="shared" si="65"/>
        <v>0</v>
      </c>
      <c r="I491" s="9">
        <f t="array" ref="I491">+SUM(IFERROR(VALUE(G491:H491),0))</f>
        <v>0</v>
      </c>
      <c r="K491" s="9" t="str">
        <f t="shared" si="66"/>
        <v/>
      </c>
      <c r="L491" s="9">
        <f t="shared" si="67"/>
        <v>0</v>
      </c>
      <c r="M491" s="9">
        <f t="shared" si="68"/>
        <v>0</v>
      </c>
      <c r="N491" s="9">
        <f t="array" ref="N491">+SUM(IFERROR(VALUE(L491:M491),0))</f>
        <v>0</v>
      </c>
      <c r="P491" s="9" t="str">
        <f t="shared" si="69"/>
        <v/>
      </c>
      <c r="Q491" s="9">
        <f t="shared" si="70"/>
        <v>0</v>
      </c>
      <c r="R491" s="9">
        <f t="shared" si="71"/>
        <v>0</v>
      </c>
      <c r="S491" s="9">
        <f t="array" ref="S491">+SUM(IFERROR(VALUE(Q491:R491),0))</f>
        <v>0</v>
      </c>
    </row>
    <row r="492" spans="1:19" ht="14.4">
      <c r="A492"/>
      <c r="B492"/>
      <c r="C492" s="27"/>
      <c r="D492" s="28"/>
      <c r="F492" s="9" t="str">
        <f t="shared" si="63"/>
        <v/>
      </c>
      <c r="G492" s="9">
        <f t="shared" si="64"/>
        <v>0</v>
      </c>
      <c r="H492" s="9">
        <f t="shared" si="65"/>
        <v>0</v>
      </c>
      <c r="I492" s="9">
        <f t="array" ref="I492">+SUM(IFERROR(VALUE(G492:H492),0))</f>
        <v>0</v>
      </c>
      <c r="K492" s="9" t="str">
        <f t="shared" si="66"/>
        <v/>
      </c>
      <c r="L492" s="9">
        <f t="shared" si="67"/>
        <v>0</v>
      </c>
      <c r="M492" s="9">
        <f t="shared" si="68"/>
        <v>0</v>
      </c>
      <c r="N492" s="9">
        <f t="array" ref="N492">+SUM(IFERROR(VALUE(L492:M492),0))</f>
        <v>0</v>
      </c>
      <c r="P492" s="9" t="str">
        <f t="shared" si="69"/>
        <v/>
      </c>
      <c r="Q492" s="9">
        <f t="shared" si="70"/>
        <v>0</v>
      </c>
      <c r="R492" s="9">
        <f t="shared" si="71"/>
        <v>0</v>
      </c>
      <c r="S492" s="9">
        <f t="array" ref="S492">+SUM(IFERROR(VALUE(Q492:R492),0))</f>
        <v>0</v>
      </c>
    </row>
    <row r="493" spans="1:19" ht="14.4">
      <c r="A493"/>
      <c r="B493"/>
      <c r="C493" s="27"/>
      <c r="D493" s="28"/>
      <c r="F493" s="9" t="str">
        <f t="shared" si="63"/>
        <v/>
      </c>
      <c r="G493" s="9">
        <f t="shared" si="64"/>
        <v>0</v>
      </c>
      <c r="H493" s="9">
        <f t="shared" si="65"/>
        <v>0</v>
      </c>
      <c r="I493" s="9">
        <f t="array" ref="I493">+SUM(IFERROR(VALUE(G493:H493),0))</f>
        <v>0</v>
      </c>
      <c r="K493" s="9" t="str">
        <f t="shared" si="66"/>
        <v/>
      </c>
      <c r="L493" s="9">
        <f t="shared" si="67"/>
        <v>0</v>
      </c>
      <c r="M493" s="9">
        <f t="shared" si="68"/>
        <v>0</v>
      </c>
      <c r="N493" s="9">
        <f t="array" ref="N493">+SUM(IFERROR(VALUE(L493:M493),0))</f>
        <v>0</v>
      </c>
      <c r="P493" s="9" t="str">
        <f t="shared" si="69"/>
        <v/>
      </c>
      <c r="Q493" s="9">
        <f t="shared" si="70"/>
        <v>0</v>
      </c>
      <c r="R493" s="9">
        <f t="shared" si="71"/>
        <v>0</v>
      </c>
      <c r="S493" s="9">
        <f t="array" ref="S493">+SUM(IFERROR(VALUE(Q493:R493),0))</f>
        <v>0</v>
      </c>
    </row>
    <row r="494" spans="1:19" ht="14.4">
      <c r="A494"/>
      <c r="B494"/>
      <c r="C494" s="27"/>
      <c r="D494" s="28"/>
      <c r="F494" s="9" t="str">
        <f t="shared" si="63"/>
        <v/>
      </c>
      <c r="G494" s="9">
        <f t="shared" si="64"/>
        <v>0</v>
      </c>
      <c r="H494" s="9">
        <f t="shared" si="65"/>
        <v>0</v>
      </c>
      <c r="I494" s="9">
        <f t="array" ref="I494">+SUM(IFERROR(VALUE(G494:H494),0))</f>
        <v>0</v>
      </c>
      <c r="K494" s="9" t="str">
        <f t="shared" si="66"/>
        <v/>
      </c>
      <c r="L494" s="9">
        <f t="shared" si="67"/>
        <v>0</v>
      </c>
      <c r="M494" s="9">
        <f t="shared" si="68"/>
        <v>0</v>
      </c>
      <c r="N494" s="9">
        <f t="array" ref="N494">+SUM(IFERROR(VALUE(L494:M494),0))</f>
        <v>0</v>
      </c>
      <c r="P494" s="9" t="str">
        <f t="shared" si="69"/>
        <v/>
      </c>
      <c r="Q494" s="9">
        <f t="shared" si="70"/>
        <v>0</v>
      </c>
      <c r="R494" s="9">
        <f t="shared" si="71"/>
        <v>0</v>
      </c>
      <c r="S494" s="9">
        <f t="array" ref="S494">+SUM(IFERROR(VALUE(Q494:R494),0))</f>
        <v>0</v>
      </c>
    </row>
    <row r="495" spans="1:19" ht="14.4">
      <c r="A495"/>
      <c r="B495"/>
      <c r="C495" s="27"/>
      <c r="D495" s="28"/>
      <c r="F495" s="9" t="str">
        <f t="shared" si="63"/>
        <v/>
      </c>
      <c r="G495" s="9">
        <f t="shared" si="64"/>
        <v>0</v>
      </c>
      <c r="H495" s="9">
        <f t="shared" si="65"/>
        <v>0</v>
      </c>
      <c r="I495" s="9">
        <f t="array" ref="I495">+SUM(IFERROR(VALUE(G495:H495),0))</f>
        <v>0</v>
      </c>
      <c r="K495" s="9" t="str">
        <f t="shared" si="66"/>
        <v/>
      </c>
      <c r="L495" s="9">
        <f t="shared" si="67"/>
        <v>0</v>
      </c>
      <c r="M495" s="9">
        <f t="shared" si="68"/>
        <v>0</v>
      </c>
      <c r="N495" s="9">
        <f t="array" ref="N495">+SUM(IFERROR(VALUE(L495:M495),0))</f>
        <v>0</v>
      </c>
      <c r="P495" s="9" t="str">
        <f t="shared" si="69"/>
        <v/>
      </c>
      <c r="Q495" s="9">
        <f t="shared" si="70"/>
        <v>0</v>
      </c>
      <c r="R495" s="9">
        <f t="shared" si="71"/>
        <v>0</v>
      </c>
      <c r="S495" s="9">
        <f t="array" ref="S495">+SUM(IFERROR(VALUE(Q495:R495),0))</f>
        <v>0</v>
      </c>
    </row>
    <row r="496" spans="1:19" ht="14.4">
      <c r="A496"/>
      <c r="B496"/>
      <c r="C496" s="27"/>
      <c r="D496" s="28"/>
      <c r="F496" s="9" t="str">
        <f t="shared" si="63"/>
        <v/>
      </c>
      <c r="G496" s="9">
        <f t="shared" si="64"/>
        <v>0</v>
      </c>
      <c r="H496" s="9">
        <f t="shared" si="65"/>
        <v>0</v>
      </c>
      <c r="I496" s="9">
        <f t="array" ref="I496">+SUM(IFERROR(VALUE(G496:H496),0))</f>
        <v>0</v>
      </c>
      <c r="K496" s="9" t="str">
        <f t="shared" si="66"/>
        <v/>
      </c>
      <c r="L496" s="9">
        <f t="shared" si="67"/>
        <v>0</v>
      </c>
      <c r="M496" s="9">
        <f t="shared" si="68"/>
        <v>0</v>
      </c>
      <c r="N496" s="9">
        <f t="array" ref="N496">+SUM(IFERROR(VALUE(L496:M496),0))</f>
        <v>0</v>
      </c>
      <c r="P496" s="9" t="str">
        <f t="shared" si="69"/>
        <v/>
      </c>
      <c r="Q496" s="9">
        <f t="shared" si="70"/>
        <v>0</v>
      </c>
      <c r="R496" s="9">
        <f t="shared" si="71"/>
        <v>0</v>
      </c>
      <c r="S496" s="9">
        <f t="array" ref="S496">+SUM(IFERROR(VALUE(Q496:R496),0))</f>
        <v>0</v>
      </c>
    </row>
    <row r="497" spans="1:19" ht="14.4">
      <c r="A497"/>
      <c r="B497"/>
      <c r="C497" s="27"/>
      <c r="D497" s="28"/>
      <c r="F497" s="9" t="str">
        <f t="shared" si="63"/>
        <v/>
      </c>
      <c r="G497" s="9">
        <f t="shared" si="64"/>
        <v>0</v>
      </c>
      <c r="H497" s="9">
        <f t="shared" si="65"/>
        <v>0</v>
      </c>
      <c r="I497" s="9">
        <f t="array" ref="I497">+SUM(IFERROR(VALUE(G497:H497),0))</f>
        <v>0</v>
      </c>
      <c r="K497" s="9" t="str">
        <f t="shared" si="66"/>
        <v/>
      </c>
      <c r="L497" s="9">
        <f t="shared" si="67"/>
        <v>0</v>
      </c>
      <c r="M497" s="9">
        <f t="shared" si="68"/>
        <v>0</v>
      </c>
      <c r="N497" s="9">
        <f t="array" ref="N497">+SUM(IFERROR(VALUE(L497:M497),0))</f>
        <v>0</v>
      </c>
      <c r="P497" s="9" t="str">
        <f t="shared" si="69"/>
        <v/>
      </c>
      <c r="Q497" s="9">
        <f t="shared" si="70"/>
        <v>0</v>
      </c>
      <c r="R497" s="9">
        <f t="shared" si="71"/>
        <v>0</v>
      </c>
      <c r="S497" s="9">
        <f t="array" ref="S497">+SUM(IFERROR(VALUE(Q497:R497),0))</f>
        <v>0</v>
      </c>
    </row>
    <row r="498" spans="1:19" ht="14.4">
      <c r="A498"/>
      <c r="B498"/>
      <c r="C498" s="27"/>
      <c r="D498" s="28"/>
      <c r="F498" s="9" t="str">
        <f t="shared" si="63"/>
        <v/>
      </c>
      <c r="G498" s="9">
        <f t="shared" si="64"/>
        <v>0</v>
      </c>
      <c r="H498" s="9">
        <f t="shared" si="65"/>
        <v>0</v>
      </c>
      <c r="I498" s="9">
        <f t="array" ref="I498">+SUM(IFERROR(VALUE(G498:H498),0))</f>
        <v>0</v>
      </c>
      <c r="K498" s="9" t="str">
        <f t="shared" si="66"/>
        <v/>
      </c>
      <c r="L498" s="9">
        <f t="shared" si="67"/>
        <v>0</v>
      </c>
      <c r="M498" s="9">
        <f t="shared" si="68"/>
        <v>0</v>
      </c>
      <c r="N498" s="9">
        <f t="array" ref="N498">+SUM(IFERROR(VALUE(L498:M498),0))</f>
        <v>0</v>
      </c>
      <c r="P498" s="9" t="str">
        <f t="shared" si="69"/>
        <v/>
      </c>
      <c r="Q498" s="9">
        <f t="shared" si="70"/>
        <v>0</v>
      </c>
      <c r="R498" s="9">
        <f t="shared" si="71"/>
        <v>0</v>
      </c>
      <c r="S498" s="9">
        <f t="array" ref="S498">+SUM(IFERROR(VALUE(Q498:R498),0))</f>
        <v>0</v>
      </c>
    </row>
    <row r="499" spans="1:19" ht="14.4">
      <c r="A499"/>
      <c r="B499"/>
      <c r="C499" s="27"/>
      <c r="D499" s="28"/>
      <c r="F499" s="9" t="str">
        <f t="shared" si="63"/>
        <v/>
      </c>
      <c r="G499" s="9">
        <f t="shared" si="64"/>
        <v>0</v>
      </c>
      <c r="H499" s="9">
        <f t="shared" si="65"/>
        <v>0</v>
      </c>
      <c r="I499" s="9">
        <f t="array" ref="I499">+SUM(IFERROR(VALUE(G499:H499),0))</f>
        <v>0</v>
      </c>
      <c r="K499" s="9" t="str">
        <f t="shared" si="66"/>
        <v/>
      </c>
      <c r="L499" s="9">
        <f t="shared" si="67"/>
        <v>0</v>
      </c>
      <c r="M499" s="9">
        <f t="shared" si="68"/>
        <v>0</v>
      </c>
      <c r="N499" s="9">
        <f t="array" ref="N499">+SUM(IFERROR(VALUE(L499:M499),0))</f>
        <v>0</v>
      </c>
      <c r="P499" s="9" t="str">
        <f t="shared" si="69"/>
        <v/>
      </c>
      <c r="Q499" s="9">
        <f t="shared" si="70"/>
        <v>0</v>
      </c>
      <c r="R499" s="9">
        <f t="shared" si="71"/>
        <v>0</v>
      </c>
      <c r="S499" s="9">
        <f t="array" ref="S499">+SUM(IFERROR(VALUE(Q499:R499),0))</f>
        <v>0</v>
      </c>
    </row>
    <row r="500" spans="1:19" ht="14.4">
      <c r="A500"/>
      <c r="B500"/>
      <c r="C500" s="27"/>
      <c r="D500" s="28"/>
      <c r="F500" s="9" t="str">
        <f t="shared" si="63"/>
        <v/>
      </c>
      <c r="G500" s="9">
        <f t="shared" si="64"/>
        <v>0</v>
      </c>
      <c r="H500" s="9">
        <f t="shared" si="65"/>
        <v>0</v>
      </c>
      <c r="I500" s="9">
        <f t="array" ref="I500">+SUM(IFERROR(VALUE(G500:H500),0))</f>
        <v>0</v>
      </c>
      <c r="K500" s="9" t="str">
        <f t="shared" si="66"/>
        <v/>
      </c>
      <c r="L500" s="9">
        <f t="shared" si="67"/>
        <v>0</v>
      </c>
      <c r="M500" s="9">
        <f t="shared" si="68"/>
        <v>0</v>
      </c>
      <c r="N500" s="9">
        <f t="array" ref="N500">+SUM(IFERROR(VALUE(L500:M500),0))</f>
        <v>0</v>
      </c>
      <c r="P500" s="9" t="str">
        <f t="shared" si="69"/>
        <v/>
      </c>
      <c r="Q500" s="9">
        <f t="shared" si="70"/>
        <v>0</v>
      </c>
      <c r="R500" s="9">
        <f t="shared" si="71"/>
        <v>0</v>
      </c>
      <c r="S500" s="9">
        <f t="array" ref="S500">+SUM(IFERROR(VALUE(Q500:R500),0))</f>
        <v>0</v>
      </c>
    </row>
    <row r="501" spans="1:19" ht="14.4">
      <c r="A501"/>
      <c r="B501"/>
      <c r="C501" s="27"/>
      <c r="D501" s="28"/>
      <c r="F501" s="9" t="str">
        <f t="shared" si="63"/>
        <v/>
      </c>
      <c r="G501" s="9">
        <f t="shared" si="64"/>
        <v>0</v>
      </c>
      <c r="H501" s="9">
        <f t="shared" si="65"/>
        <v>0</v>
      </c>
      <c r="I501" s="9">
        <f t="array" ref="I501">+SUM(IFERROR(VALUE(G501:H501),0))</f>
        <v>0</v>
      </c>
      <c r="K501" s="9" t="str">
        <f t="shared" si="66"/>
        <v/>
      </c>
      <c r="L501" s="9">
        <f t="shared" si="67"/>
        <v>0</v>
      </c>
      <c r="M501" s="9">
        <f t="shared" si="68"/>
        <v>0</v>
      </c>
      <c r="N501" s="9">
        <f t="array" ref="N501">+SUM(IFERROR(VALUE(L501:M501),0))</f>
        <v>0</v>
      </c>
      <c r="P501" s="9" t="str">
        <f t="shared" si="69"/>
        <v/>
      </c>
      <c r="Q501" s="9">
        <f t="shared" si="70"/>
        <v>0</v>
      </c>
      <c r="R501" s="9">
        <f t="shared" si="71"/>
        <v>0</v>
      </c>
      <c r="S501" s="9">
        <f t="array" ref="S501">+SUM(IFERROR(VALUE(Q501:R501),0))</f>
        <v>0</v>
      </c>
    </row>
    <row r="502" spans="1:19" ht="14.4">
      <c r="A502"/>
      <c r="B502"/>
      <c r="C502" s="27"/>
      <c r="D502" s="28"/>
      <c r="F502" s="9" t="str">
        <f t="shared" si="63"/>
        <v/>
      </c>
      <c r="G502" s="9">
        <f t="shared" si="64"/>
        <v>0</v>
      </c>
      <c r="H502" s="9">
        <f t="shared" si="65"/>
        <v>0</v>
      </c>
      <c r="I502" s="9">
        <f t="array" ref="I502">+SUM(IFERROR(VALUE(G502:H502),0))</f>
        <v>0</v>
      </c>
      <c r="K502" s="9" t="str">
        <f t="shared" si="66"/>
        <v/>
      </c>
      <c r="L502" s="9">
        <f t="shared" si="67"/>
        <v>0</v>
      </c>
      <c r="M502" s="9">
        <f t="shared" si="68"/>
        <v>0</v>
      </c>
      <c r="N502" s="9">
        <f t="array" ref="N502">+SUM(IFERROR(VALUE(L502:M502),0))</f>
        <v>0</v>
      </c>
      <c r="P502" s="9" t="str">
        <f t="shared" si="69"/>
        <v/>
      </c>
      <c r="Q502" s="9">
        <f t="shared" si="70"/>
        <v>0</v>
      </c>
      <c r="R502" s="9">
        <f t="shared" si="71"/>
        <v>0</v>
      </c>
      <c r="S502" s="9">
        <f t="array" ref="S502">+SUM(IFERROR(VALUE(Q502:R502),0))</f>
        <v>0</v>
      </c>
    </row>
    <row r="503" spans="1:19" ht="14.4">
      <c r="A503"/>
      <c r="B503"/>
      <c r="C503" s="27"/>
      <c r="D503" s="28"/>
      <c r="F503" s="9" t="str">
        <f t="shared" si="63"/>
        <v/>
      </c>
      <c r="G503" s="9">
        <f t="shared" si="64"/>
        <v>0</v>
      </c>
      <c r="H503" s="9">
        <f t="shared" si="65"/>
        <v>0</v>
      </c>
      <c r="I503" s="9">
        <f t="array" ref="I503">+SUM(IFERROR(VALUE(G503:H503),0))</f>
        <v>0</v>
      </c>
      <c r="K503" s="9" t="str">
        <f t="shared" si="66"/>
        <v/>
      </c>
      <c r="L503" s="9">
        <f t="shared" si="67"/>
        <v>0</v>
      </c>
      <c r="M503" s="9">
        <f t="shared" si="68"/>
        <v>0</v>
      </c>
      <c r="N503" s="9">
        <f t="array" ref="N503">+SUM(IFERROR(VALUE(L503:M503),0))</f>
        <v>0</v>
      </c>
      <c r="P503" s="9" t="str">
        <f t="shared" si="69"/>
        <v/>
      </c>
      <c r="Q503" s="9">
        <f t="shared" si="70"/>
        <v>0</v>
      </c>
      <c r="R503" s="9">
        <f t="shared" si="71"/>
        <v>0</v>
      </c>
      <c r="S503" s="9">
        <f t="array" ref="S503">+SUM(IFERROR(VALUE(Q503:R503),0))</f>
        <v>0</v>
      </c>
    </row>
    <row r="504" spans="1:19" ht="14.4">
      <c r="A504"/>
      <c r="B504"/>
      <c r="C504" s="27"/>
      <c r="D504" s="28"/>
      <c r="F504" s="9" t="str">
        <f t="shared" si="63"/>
        <v/>
      </c>
      <c r="G504" s="9">
        <f t="shared" si="64"/>
        <v>0</v>
      </c>
      <c r="H504" s="9">
        <f t="shared" si="65"/>
        <v>0</v>
      </c>
      <c r="I504" s="9">
        <f t="array" ref="I504">+SUM(IFERROR(VALUE(G504:H504),0))</f>
        <v>0</v>
      </c>
      <c r="K504" s="9" t="str">
        <f t="shared" si="66"/>
        <v/>
      </c>
      <c r="L504" s="9">
        <f t="shared" si="67"/>
        <v>0</v>
      </c>
      <c r="M504" s="9">
        <f t="shared" si="68"/>
        <v>0</v>
      </c>
      <c r="N504" s="9">
        <f t="array" ref="N504">+SUM(IFERROR(VALUE(L504:M504),0))</f>
        <v>0</v>
      </c>
      <c r="P504" s="9" t="str">
        <f t="shared" si="69"/>
        <v/>
      </c>
      <c r="Q504" s="9">
        <f t="shared" si="70"/>
        <v>0</v>
      </c>
      <c r="R504" s="9">
        <f t="shared" si="71"/>
        <v>0</v>
      </c>
      <c r="S504" s="9">
        <f t="array" ref="S504">+SUM(IFERROR(VALUE(Q504:R504),0))</f>
        <v>0</v>
      </c>
    </row>
    <row r="505" spans="1:19" ht="14.4">
      <c r="A505"/>
      <c r="B505"/>
      <c r="C505" s="27"/>
      <c r="D505" s="28"/>
      <c r="F505" s="9" t="str">
        <f t="shared" si="63"/>
        <v/>
      </c>
      <c r="G505" s="9">
        <f t="shared" si="64"/>
        <v>0</v>
      </c>
      <c r="H505" s="9">
        <f t="shared" si="65"/>
        <v>0</v>
      </c>
      <c r="I505" s="9">
        <f t="array" ref="I505">+SUM(IFERROR(VALUE(G505:H505),0))</f>
        <v>0</v>
      </c>
      <c r="K505" s="9" t="str">
        <f t="shared" si="66"/>
        <v/>
      </c>
      <c r="L505" s="9">
        <f t="shared" si="67"/>
        <v>0</v>
      </c>
      <c r="M505" s="9">
        <f t="shared" si="68"/>
        <v>0</v>
      </c>
      <c r="N505" s="9">
        <f t="array" ref="N505">+SUM(IFERROR(VALUE(L505:M505),0))</f>
        <v>0</v>
      </c>
      <c r="P505" s="9" t="str">
        <f t="shared" si="69"/>
        <v/>
      </c>
      <c r="Q505" s="9">
        <f t="shared" si="70"/>
        <v>0</v>
      </c>
      <c r="R505" s="9">
        <f t="shared" si="71"/>
        <v>0</v>
      </c>
      <c r="S505" s="9">
        <f t="array" ref="S505">+SUM(IFERROR(VALUE(Q505:R505),0))</f>
        <v>0</v>
      </c>
    </row>
    <row r="506" spans="1:19" ht="14.4">
      <c r="A506"/>
      <c r="B506"/>
      <c r="C506" s="27"/>
      <c r="D506" s="28"/>
      <c r="F506" s="9" t="str">
        <f t="shared" si="63"/>
        <v/>
      </c>
      <c r="G506" s="9">
        <f t="shared" si="64"/>
        <v>0</v>
      </c>
      <c r="H506" s="9">
        <f t="shared" si="65"/>
        <v>0</v>
      </c>
      <c r="I506" s="9">
        <f t="array" ref="I506">+SUM(IFERROR(VALUE(G506:H506),0))</f>
        <v>0</v>
      </c>
      <c r="K506" s="9" t="str">
        <f t="shared" si="66"/>
        <v/>
      </c>
      <c r="L506" s="9">
        <f t="shared" si="67"/>
        <v>0</v>
      </c>
      <c r="M506" s="9">
        <f t="shared" si="68"/>
        <v>0</v>
      </c>
      <c r="N506" s="9">
        <f t="array" ref="N506">+SUM(IFERROR(VALUE(L506:M506),0))</f>
        <v>0</v>
      </c>
      <c r="P506" s="9" t="str">
        <f t="shared" si="69"/>
        <v/>
      </c>
      <c r="Q506" s="9">
        <f t="shared" si="70"/>
        <v>0</v>
      </c>
      <c r="R506" s="9">
        <f t="shared" si="71"/>
        <v>0</v>
      </c>
      <c r="S506" s="9">
        <f t="array" ref="S506">+SUM(IFERROR(VALUE(Q506:R506),0))</f>
        <v>0</v>
      </c>
    </row>
    <row r="507" spans="1:19" ht="14.4">
      <c r="A507"/>
      <c r="B507"/>
      <c r="C507" s="27"/>
      <c r="D507" s="28"/>
      <c r="F507" s="9" t="str">
        <f t="shared" si="63"/>
        <v/>
      </c>
      <c r="G507" s="9">
        <f t="shared" si="64"/>
        <v>0</v>
      </c>
      <c r="H507" s="9">
        <f t="shared" si="65"/>
        <v>0</v>
      </c>
      <c r="I507" s="9">
        <f t="array" ref="I507">+SUM(IFERROR(VALUE(G507:H507),0))</f>
        <v>0</v>
      </c>
      <c r="K507" s="9" t="str">
        <f t="shared" si="66"/>
        <v/>
      </c>
      <c r="L507" s="9">
        <f t="shared" si="67"/>
        <v>0</v>
      </c>
      <c r="M507" s="9">
        <f t="shared" si="68"/>
        <v>0</v>
      </c>
      <c r="N507" s="9">
        <f t="array" ref="N507">+SUM(IFERROR(VALUE(L507:M507),0))</f>
        <v>0</v>
      </c>
      <c r="P507" s="9" t="str">
        <f t="shared" si="69"/>
        <v/>
      </c>
      <c r="Q507" s="9">
        <f t="shared" si="70"/>
        <v>0</v>
      </c>
      <c r="R507" s="9">
        <f t="shared" si="71"/>
        <v>0</v>
      </c>
      <c r="S507" s="9">
        <f t="array" ref="S507">+SUM(IFERROR(VALUE(Q507:R507),0))</f>
        <v>0</v>
      </c>
    </row>
    <row r="508" spans="1:19" ht="14.4">
      <c r="A508"/>
      <c r="B508"/>
      <c r="C508" s="27"/>
      <c r="D508" s="28"/>
      <c r="F508" s="9" t="str">
        <f t="shared" si="63"/>
        <v/>
      </c>
      <c r="G508" s="9">
        <f t="shared" si="64"/>
        <v>0</v>
      </c>
      <c r="H508" s="9">
        <f t="shared" si="65"/>
        <v>0</v>
      </c>
      <c r="I508" s="9">
        <f t="array" ref="I508">+SUM(IFERROR(VALUE(G508:H508),0))</f>
        <v>0</v>
      </c>
      <c r="K508" s="9" t="str">
        <f t="shared" si="66"/>
        <v/>
      </c>
      <c r="L508" s="9">
        <f t="shared" si="67"/>
        <v>0</v>
      </c>
      <c r="M508" s="9">
        <f t="shared" si="68"/>
        <v>0</v>
      </c>
      <c r="N508" s="9">
        <f t="array" ref="N508">+SUM(IFERROR(VALUE(L508:M508),0))</f>
        <v>0</v>
      </c>
      <c r="P508" s="9" t="str">
        <f t="shared" si="69"/>
        <v/>
      </c>
      <c r="Q508" s="9">
        <f t="shared" si="70"/>
        <v>0</v>
      </c>
      <c r="R508" s="9">
        <f t="shared" si="71"/>
        <v>0</v>
      </c>
      <c r="S508" s="9">
        <f t="array" ref="S508">+SUM(IFERROR(VALUE(Q508:R508),0))</f>
        <v>0</v>
      </c>
    </row>
    <row r="509" spans="1:19" ht="14.4">
      <c r="A509"/>
      <c r="B509"/>
      <c r="C509" s="27"/>
      <c r="D509" s="28"/>
      <c r="F509" s="9" t="str">
        <f t="shared" si="63"/>
        <v/>
      </c>
      <c r="G509" s="9">
        <f t="shared" si="64"/>
        <v>0</v>
      </c>
      <c r="H509" s="9">
        <f t="shared" si="65"/>
        <v>0</v>
      </c>
      <c r="I509" s="9">
        <f t="array" ref="I509">+SUM(IFERROR(VALUE(G509:H509),0))</f>
        <v>0</v>
      </c>
      <c r="K509" s="9" t="str">
        <f t="shared" si="66"/>
        <v/>
      </c>
      <c r="L509" s="9">
        <f t="shared" si="67"/>
        <v>0</v>
      </c>
      <c r="M509" s="9">
        <f t="shared" si="68"/>
        <v>0</v>
      </c>
      <c r="N509" s="9">
        <f t="array" ref="N509">+SUM(IFERROR(VALUE(L509:M509),0))</f>
        <v>0</v>
      </c>
      <c r="P509" s="9" t="str">
        <f t="shared" si="69"/>
        <v/>
      </c>
      <c r="Q509" s="9">
        <f t="shared" si="70"/>
        <v>0</v>
      </c>
      <c r="R509" s="9">
        <f t="shared" si="71"/>
        <v>0</v>
      </c>
      <c r="S509" s="9">
        <f t="array" ref="S509">+SUM(IFERROR(VALUE(Q509:R509),0))</f>
        <v>0</v>
      </c>
    </row>
    <row r="510" spans="1:19" ht="14.4">
      <c r="A510"/>
      <c r="B510"/>
      <c r="C510" s="27"/>
      <c r="D510" s="28"/>
      <c r="F510" s="9" t="str">
        <f t="shared" si="63"/>
        <v/>
      </c>
      <c r="G510" s="9">
        <f t="shared" si="64"/>
        <v>0</v>
      </c>
      <c r="H510" s="9">
        <f t="shared" si="65"/>
        <v>0</v>
      </c>
      <c r="I510" s="9">
        <f t="array" ref="I510">+SUM(IFERROR(VALUE(G510:H510),0))</f>
        <v>0</v>
      </c>
      <c r="K510" s="9" t="str">
        <f t="shared" si="66"/>
        <v/>
      </c>
      <c r="L510" s="9">
        <f t="shared" si="67"/>
        <v>0</v>
      </c>
      <c r="M510" s="9">
        <f t="shared" si="68"/>
        <v>0</v>
      </c>
      <c r="N510" s="9">
        <f t="array" ref="N510">+SUM(IFERROR(VALUE(L510:M510),0))</f>
        <v>0</v>
      </c>
      <c r="P510" s="9" t="str">
        <f t="shared" si="69"/>
        <v/>
      </c>
      <c r="Q510" s="9">
        <f t="shared" si="70"/>
        <v>0</v>
      </c>
      <c r="R510" s="9">
        <f t="shared" si="71"/>
        <v>0</v>
      </c>
      <c r="S510" s="9">
        <f t="array" ref="S510">+SUM(IFERROR(VALUE(Q510:R510),0))</f>
        <v>0</v>
      </c>
    </row>
    <row r="511" spans="1:19" ht="14.4">
      <c r="A511"/>
      <c r="B511"/>
      <c r="C511" s="27"/>
      <c r="D511" s="28"/>
      <c r="F511" s="9" t="str">
        <f t="shared" si="63"/>
        <v/>
      </c>
      <c r="G511" s="9">
        <f t="shared" si="64"/>
        <v>0</v>
      </c>
      <c r="H511" s="9">
        <f t="shared" si="65"/>
        <v>0</v>
      </c>
      <c r="I511" s="9">
        <f t="array" ref="I511">+SUM(IFERROR(VALUE(G511:H511),0))</f>
        <v>0</v>
      </c>
      <c r="K511" s="9" t="str">
        <f t="shared" si="66"/>
        <v/>
      </c>
      <c r="L511" s="9">
        <f t="shared" si="67"/>
        <v>0</v>
      </c>
      <c r="M511" s="9">
        <f t="shared" si="68"/>
        <v>0</v>
      </c>
      <c r="N511" s="9">
        <f t="array" ref="N511">+SUM(IFERROR(VALUE(L511:M511),0))</f>
        <v>0</v>
      </c>
      <c r="P511" s="9" t="str">
        <f t="shared" si="69"/>
        <v/>
      </c>
      <c r="Q511" s="9">
        <f t="shared" si="70"/>
        <v>0</v>
      </c>
      <c r="R511" s="9">
        <f t="shared" si="71"/>
        <v>0</v>
      </c>
      <c r="S511" s="9">
        <f t="array" ref="S511">+SUM(IFERROR(VALUE(Q511:R511),0))</f>
        <v>0</v>
      </c>
    </row>
    <row r="512" spans="1:19" ht="14.4">
      <c r="A512"/>
      <c r="B512"/>
      <c r="C512" s="27"/>
      <c r="D512" s="28"/>
      <c r="F512" s="9" t="str">
        <f t="shared" si="63"/>
        <v/>
      </c>
      <c r="G512" s="9">
        <f t="shared" si="64"/>
        <v>0</v>
      </c>
      <c r="H512" s="9">
        <f t="shared" si="65"/>
        <v>0</v>
      </c>
      <c r="I512" s="9">
        <f t="array" ref="I512">+SUM(IFERROR(VALUE(G512:H512),0))</f>
        <v>0</v>
      </c>
      <c r="K512" s="9" t="str">
        <f t="shared" si="66"/>
        <v/>
      </c>
      <c r="L512" s="9">
        <f t="shared" si="67"/>
        <v>0</v>
      </c>
      <c r="M512" s="9">
        <f t="shared" si="68"/>
        <v>0</v>
      </c>
      <c r="N512" s="9">
        <f t="array" ref="N512">+SUM(IFERROR(VALUE(L512:M512),0))</f>
        <v>0</v>
      </c>
      <c r="P512" s="9" t="str">
        <f t="shared" si="69"/>
        <v/>
      </c>
      <c r="Q512" s="9">
        <f t="shared" si="70"/>
        <v>0</v>
      </c>
      <c r="R512" s="9">
        <f t="shared" si="71"/>
        <v>0</v>
      </c>
      <c r="S512" s="9">
        <f t="array" ref="S512">+SUM(IFERROR(VALUE(Q512:R512),0))</f>
        <v>0</v>
      </c>
    </row>
    <row r="513" spans="1:19" ht="14.4">
      <c r="A513"/>
      <c r="B513"/>
      <c r="C513" s="27"/>
      <c r="D513" s="28"/>
      <c r="F513" s="9" t="str">
        <f t="shared" si="63"/>
        <v/>
      </c>
      <c r="G513" s="9">
        <f t="shared" si="64"/>
        <v>0</v>
      </c>
      <c r="H513" s="9">
        <f t="shared" si="65"/>
        <v>0</v>
      </c>
      <c r="I513" s="9">
        <f t="array" ref="I513">+SUM(IFERROR(VALUE(G513:H513),0))</f>
        <v>0</v>
      </c>
      <c r="K513" s="9" t="str">
        <f t="shared" si="66"/>
        <v/>
      </c>
      <c r="L513" s="9">
        <f t="shared" si="67"/>
        <v>0</v>
      </c>
      <c r="M513" s="9">
        <f t="shared" si="68"/>
        <v>0</v>
      </c>
      <c r="N513" s="9">
        <f t="array" ref="N513">+SUM(IFERROR(VALUE(L513:M513),0))</f>
        <v>0</v>
      </c>
      <c r="P513" s="9" t="str">
        <f t="shared" si="69"/>
        <v/>
      </c>
      <c r="Q513" s="9">
        <f t="shared" si="70"/>
        <v>0</v>
      </c>
      <c r="R513" s="9">
        <f t="shared" si="71"/>
        <v>0</v>
      </c>
      <c r="S513" s="9">
        <f t="array" ref="S513">+SUM(IFERROR(VALUE(Q513:R513),0))</f>
        <v>0</v>
      </c>
    </row>
    <row r="514" spans="1:19" ht="14.4">
      <c r="A514"/>
      <c r="B514"/>
      <c r="C514" s="27"/>
      <c r="D514" s="28"/>
      <c r="F514" s="9" t="str">
        <f t="shared" si="63"/>
        <v/>
      </c>
      <c r="G514" s="9">
        <f t="shared" si="64"/>
        <v>0</v>
      </c>
      <c r="H514" s="9">
        <f t="shared" si="65"/>
        <v>0</v>
      </c>
      <c r="I514" s="9">
        <f t="array" ref="I514">+SUM(IFERROR(VALUE(G514:H514),0))</f>
        <v>0</v>
      </c>
      <c r="K514" s="9" t="str">
        <f t="shared" si="66"/>
        <v/>
      </c>
      <c r="L514" s="9">
        <f t="shared" si="67"/>
        <v>0</v>
      </c>
      <c r="M514" s="9">
        <f t="shared" si="68"/>
        <v>0</v>
      </c>
      <c r="N514" s="9">
        <f t="array" ref="N514">+SUM(IFERROR(VALUE(L514:M514),0))</f>
        <v>0</v>
      </c>
      <c r="P514" s="9" t="str">
        <f t="shared" si="69"/>
        <v/>
      </c>
      <c r="Q514" s="9">
        <f t="shared" si="70"/>
        <v>0</v>
      </c>
      <c r="R514" s="9">
        <f t="shared" si="71"/>
        <v>0</v>
      </c>
      <c r="S514" s="9">
        <f t="array" ref="S514">+SUM(IFERROR(VALUE(Q514:R514),0))</f>
        <v>0</v>
      </c>
    </row>
    <row r="515" spans="1:19" ht="14.4">
      <c r="A515"/>
      <c r="B515"/>
      <c r="C515" s="27"/>
      <c r="D515" s="28"/>
      <c r="F515" s="9" t="str">
        <f t="shared" si="63"/>
        <v/>
      </c>
      <c r="G515" s="9">
        <f t="shared" si="64"/>
        <v>0</v>
      </c>
      <c r="H515" s="9">
        <f t="shared" si="65"/>
        <v>0</v>
      </c>
      <c r="I515" s="9">
        <f t="array" ref="I515">+SUM(IFERROR(VALUE(G515:H515),0))</f>
        <v>0</v>
      </c>
      <c r="K515" s="9" t="str">
        <f t="shared" si="66"/>
        <v/>
      </c>
      <c r="L515" s="9">
        <f t="shared" si="67"/>
        <v>0</v>
      </c>
      <c r="M515" s="9">
        <f t="shared" si="68"/>
        <v>0</v>
      </c>
      <c r="N515" s="9">
        <f t="array" ref="N515">+SUM(IFERROR(VALUE(L515:M515),0))</f>
        <v>0</v>
      </c>
      <c r="P515" s="9" t="str">
        <f t="shared" si="69"/>
        <v/>
      </c>
      <c r="Q515" s="9">
        <f t="shared" si="70"/>
        <v>0</v>
      </c>
      <c r="R515" s="9">
        <f t="shared" si="71"/>
        <v>0</v>
      </c>
      <c r="S515" s="9">
        <f t="array" ref="S515">+SUM(IFERROR(VALUE(Q515:R515),0))</f>
        <v>0</v>
      </c>
    </row>
    <row r="516" spans="1:19" ht="14.4">
      <c r="A516"/>
      <c r="B516"/>
      <c r="C516" s="27"/>
      <c r="D516" s="28"/>
      <c r="F516" s="9" t="str">
        <f t="shared" si="63"/>
        <v/>
      </c>
      <c r="G516" s="9">
        <f t="shared" si="64"/>
        <v>0</v>
      </c>
      <c r="H516" s="9">
        <f t="shared" si="65"/>
        <v>0</v>
      </c>
      <c r="I516" s="9">
        <f t="array" ref="I516">+SUM(IFERROR(VALUE(G516:H516),0))</f>
        <v>0</v>
      </c>
      <c r="K516" s="9" t="str">
        <f t="shared" si="66"/>
        <v/>
      </c>
      <c r="L516" s="9">
        <f t="shared" si="67"/>
        <v>0</v>
      </c>
      <c r="M516" s="9">
        <f t="shared" si="68"/>
        <v>0</v>
      </c>
      <c r="N516" s="9">
        <f t="array" ref="N516">+SUM(IFERROR(VALUE(L516:M516),0))</f>
        <v>0</v>
      </c>
      <c r="P516" s="9" t="str">
        <f t="shared" si="69"/>
        <v/>
      </c>
      <c r="Q516" s="9">
        <f t="shared" si="70"/>
        <v>0</v>
      </c>
      <c r="R516" s="9">
        <f t="shared" si="71"/>
        <v>0</v>
      </c>
      <c r="S516" s="9">
        <f t="array" ref="S516">+SUM(IFERROR(VALUE(Q516:R516),0))</f>
        <v>0</v>
      </c>
    </row>
    <row r="517" spans="1:19" ht="14.4">
      <c r="A517"/>
      <c r="B517"/>
      <c r="C517" s="27"/>
      <c r="D517" s="28"/>
      <c r="F517" s="9" t="str">
        <f t="shared" si="63"/>
        <v/>
      </c>
      <c r="G517" s="9">
        <f t="shared" si="64"/>
        <v>0</v>
      </c>
      <c r="H517" s="9">
        <f t="shared" si="65"/>
        <v>0</v>
      </c>
      <c r="I517" s="9">
        <f t="array" ref="I517">+SUM(IFERROR(VALUE(G517:H517),0))</f>
        <v>0</v>
      </c>
      <c r="K517" s="9" t="str">
        <f t="shared" si="66"/>
        <v/>
      </c>
      <c r="L517" s="9">
        <f t="shared" si="67"/>
        <v>0</v>
      </c>
      <c r="M517" s="9">
        <f t="shared" si="68"/>
        <v>0</v>
      </c>
      <c r="N517" s="9">
        <f t="array" ref="N517">+SUM(IFERROR(VALUE(L517:M517),0))</f>
        <v>0</v>
      </c>
      <c r="P517" s="9" t="str">
        <f t="shared" si="69"/>
        <v/>
      </c>
      <c r="Q517" s="9">
        <f t="shared" si="70"/>
        <v>0</v>
      </c>
      <c r="R517" s="9">
        <f t="shared" si="71"/>
        <v>0</v>
      </c>
      <c r="S517" s="9">
        <f t="array" ref="S517">+SUM(IFERROR(VALUE(Q517:R517),0))</f>
        <v>0</v>
      </c>
    </row>
    <row r="518" spans="1:19" ht="14.4">
      <c r="A518"/>
      <c r="B518"/>
      <c r="C518" s="27"/>
      <c r="D518" s="28"/>
      <c r="F518" s="9" t="str">
        <f t="shared" ref="F518:F581" si="72">+LEFT(A518,4)</f>
        <v/>
      </c>
      <c r="G518" s="9">
        <f t="shared" ref="G518:G581" si="73">+C518</f>
        <v>0</v>
      </c>
      <c r="H518" s="9">
        <f t="shared" ref="H518:H581" si="74">-D518</f>
        <v>0</v>
      </c>
      <c r="I518" s="9">
        <f t="array" ref="I518">+SUM(IFERROR(VALUE(G518:H518),0))</f>
        <v>0</v>
      </c>
      <c r="K518" s="9" t="str">
        <f t="shared" ref="K518:K581" si="75">+LEFT(A518,3)</f>
        <v/>
      </c>
      <c r="L518" s="9">
        <f t="shared" ref="L518:L581" si="76">+C518</f>
        <v>0</v>
      </c>
      <c r="M518" s="9">
        <f t="shared" ref="M518:M581" si="77">-D518</f>
        <v>0</v>
      </c>
      <c r="N518" s="9">
        <f t="array" ref="N518">+SUM(IFERROR(VALUE(L518:M518),0))</f>
        <v>0</v>
      </c>
      <c r="P518" s="9" t="str">
        <f t="shared" ref="P518:P581" si="78">+LEFT(A518,2)</f>
        <v/>
      </c>
      <c r="Q518" s="9">
        <f t="shared" ref="Q518:Q581" si="79">+C518</f>
        <v>0</v>
      </c>
      <c r="R518" s="9">
        <f t="shared" ref="R518:R581" si="80">-D518</f>
        <v>0</v>
      </c>
      <c r="S518" s="9">
        <f t="array" ref="S518">+SUM(IFERROR(VALUE(Q518:R518),0))</f>
        <v>0</v>
      </c>
    </row>
    <row r="519" spans="1:19" ht="14.4">
      <c r="A519"/>
      <c r="B519"/>
      <c r="C519" s="27"/>
      <c r="D519" s="28"/>
      <c r="F519" s="9" t="str">
        <f t="shared" si="72"/>
        <v/>
      </c>
      <c r="G519" s="9">
        <f t="shared" si="73"/>
        <v>0</v>
      </c>
      <c r="H519" s="9">
        <f t="shared" si="74"/>
        <v>0</v>
      </c>
      <c r="I519" s="9">
        <f t="array" ref="I519">+SUM(IFERROR(VALUE(G519:H519),0))</f>
        <v>0</v>
      </c>
      <c r="K519" s="9" t="str">
        <f t="shared" si="75"/>
        <v/>
      </c>
      <c r="L519" s="9">
        <f t="shared" si="76"/>
        <v>0</v>
      </c>
      <c r="M519" s="9">
        <f t="shared" si="77"/>
        <v>0</v>
      </c>
      <c r="N519" s="9">
        <f t="array" ref="N519">+SUM(IFERROR(VALUE(L519:M519),0))</f>
        <v>0</v>
      </c>
      <c r="P519" s="9" t="str">
        <f t="shared" si="78"/>
        <v/>
      </c>
      <c r="Q519" s="9">
        <f t="shared" si="79"/>
        <v>0</v>
      </c>
      <c r="R519" s="9">
        <f t="shared" si="80"/>
        <v>0</v>
      </c>
      <c r="S519" s="9">
        <f t="array" ref="S519">+SUM(IFERROR(VALUE(Q519:R519),0))</f>
        <v>0</v>
      </c>
    </row>
    <row r="520" spans="1:19" ht="14.4">
      <c r="A520"/>
      <c r="B520"/>
      <c r="C520" s="27"/>
      <c r="D520" s="28"/>
      <c r="F520" s="9" t="str">
        <f t="shared" si="72"/>
        <v/>
      </c>
      <c r="G520" s="9">
        <f t="shared" si="73"/>
        <v>0</v>
      </c>
      <c r="H520" s="9">
        <f t="shared" si="74"/>
        <v>0</v>
      </c>
      <c r="I520" s="9">
        <f t="array" ref="I520">+SUM(IFERROR(VALUE(G520:H520),0))</f>
        <v>0</v>
      </c>
      <c r="K520" s="9" t="str">
        <f t="shared" si="75"/>
        <v/>
      </c>
      <c r="L520" s="9">
        <f t="shared" si="76"/>
        <v>0</v>
      </c>
      <c r="M520" s="9">
        <f t="shared" si="77"/>
        <v>0</v>
      </c>
      <c r="N520" s="9">
        <f t="array" ref="N520">+SUM(IFERROR(VALUE(L520:M520),0))</f>
        <v>0</v>
      </c>
      <c r="P520" s="9" t="str">
        <f t="shared" si="78"/>
        <v/>
      </c>
      <c r="Q520" s="9">
        <f t="shared" si="79"/>
        <v>0</v>
      </c>
      <c r="R520" s="9">
        <f t="shared" si="80"/>
        <v>0</v>
      </c>
      <c r="S520" s="9">
        <f t="array" ref="S520">+SUM(IFERROR(VALUE(Q520:R520),0))</f>
        <v>0</v>
      </c>
    </row>
    <row r="521" spans="1:19" ht="14.4">
      <c r="A521"/>
      <c r="B521"/>
      <c r="C521" s="27"/>
      <c r="D521" s="28"/>
      <c r="F521" s="9" t="str">
        <f t="shared" si="72"/>
        <v/>
      </c>
      <c r="G521" s="9">
        <f t="shared" si="73"/>
        <v>0</v>
      </c>
      <c r="H521" s="9">
        <f t="shared" si="74"/>
        <v>0</v>
      </c>
      <c r="I521" s="9">
        <f t="array" ref="I521">+SUM(IFERROR(VALUE(G521:H521),0))</f>
        <v>0</v>
      </c>
      <c r="K521" s="9" t="str">
        <f t="shared" si="75"/>
        <v/>
      </c>
      <c r="L521" s="9">
        <f t="shared" si="76"/>
        <v>0</v>
      </c>
      <c r="M521" s="9">
        <f t="shared" si="77"/>
        <v>0</v>
      </c>
      <c r="N521" s="9">
        <f t="array" ref="N521">+SUM(IFERROR(VALUE(L521:M521),0))</f>
        <v>0</v>
      </c>
      <c r="P521" s="9" t="str">
        <f t="shared" si="78"/>
        <v/>
      </c>
      <c r="Q521" s="9">
        <f t="shared" si="79"/>
        <v>0</v>
      </c>
      <c r="R521" s="9">
        <f t="shared" si="80"/>
        <v>0</v>
      </c>
      <c r="S521" s="9">
        <f t="array" ref="S521">+SUM(IFERROR(VALUE(Q521:R521),0))</f>
        <v>0</v>
      </c>
    </row>
    <row r="522" spans="1:19" ht="14.4">
      <c r="A522"/>
      <c r="B522"/>
      <c r="C522" s="27"/>
      <c r="D522" s="28"/>
      <c r="F522" s="9" t="str">
        <f t="shared" si="72"/>
        <v/>
      </c>
      <c r="G522" s="9">
        <f t="shared" si="73"/>
        <v>0</v>
      </c>
      <c r="H522" s="9">
        <f t="shared" si="74"/>
        <v>0</v>
      </c>
      <c r="I522" s="9">
        <f t="array" ref="I522">+SUM(IFERROR(VALUE(G522:H522),0))</f>
        <v>0</v>
      </c>
      <c r="K522" s="9" t="str">
        <f t="shared" si="75"/>
        <v/>
      </c>
      <c r="L522" s="9">
        <f t="shared" si="76"/>
        <v>0</v>
      </c>
      <c r="M522" s="9">
        <f t="shared" si="77"/>
        <v>0</v>
      </c>
      <c r="N522" s="9">
        <f t="array" ref="N522">+SUM(IFERROR(VALUE(L522:M522),0))</f>
        <v>0</v>
      </c>
      <c r="P522" s="9" t="str">
        <f t="shared" si="78"/>
        <v/>
      </c>
      <c r="Q522" s="9">
        <f t="shared" si="79"/>
        <v>0</v>
      </c>
      <c r="R522" s="9">
        <f t="shared" si="80"/>
        <v>0</v>
      </c>
      <c r="S522" s="9">
        <f t="array" ref="S522">+SUM(IFERROR(VALUE(Q522:R522),0))</f>
        <v>0</v>
      </c>
    </row>
    <row r="523" spans="1:19" ht="14.4">
      <c r="A523"/>
      <c r="B523"/>
      <c r="C523" s="27"/>
      <c r="D523" s="28"/>
      <c r="F523" s="9" t="str">
        <f t="shared" si="72"/>
        <v/>
      </c>
      <c r="G523" s="9">
        <f t="shared" si="73"/>
        <v>0</v>
      </c>
      <c r="H523" s="9">
        <f t="shared" si="74"/>
        <v>0</v>
      </c>
      <c r="I523" s="9">
        <f t="array" ref="I523">+SUM(IFERROR(VALUE(G523:H523),0))</f>
        <v>0</v>
      </c>
      <c r="K523" s="9" t="str">
        <f t="shared" si="75"/>
        <v/>
      </c>
      <c r="L523" s="9">
        <f t="shared" si="76"/>
        <v>0</v>
      </c>
      <c r="M523" s="9">
        <f t="shared" si="77"/>
        <v>0</v>
      </c>
      <c r="N523" s="9">
        <f t="array" ref="N523">+SUM(IFERROR(VALUE(L523:M523),0))</f>
        <v>0</v>
      </c>
      <c r="P523" s="9" t="str">
        <f t="shared" si="78"/>
        <v/>
      </c>
      <c r="Q523" s="9">
        <f t="shared" si="79"/>
        <v>0</v>
      </c>
      <c r="R523" s="9">
        <f t="shared" si="80"/>
        <v>0</v>
      </c>
      <c r="S523" s="9">
        <f t="array" ref="S523">+SUM(IFERROR(VALUE(Q523:R523),0))</f>
        <v>0</v>
      </c>
    </row>
    <row r="524" spans="1:19" ht="14.4">
      <c r="A524"/>
      <c r="B524"/>
      <c r="C524" s="27"/>
      <c r="D524" s="28"/>
      <c r="F524" s="9" t="str">
        <f t="shared" si="72"/>
        <v/>
      </c>
      <c r="G524" s="9">
        <f t="shared" si="73"/>
        <v>0</v>
      </c>
      <c r="H524" s="9">
        <f t="shared" si="74"/>
        <v>0</v>
      </c>
      <c r="I524" s="9">
        <f t="array" ref="I524">+SUM(IFERROR(VALUE(G524:H524),0))</f>
        <v>0</v>
      </c>
      <c r="K524" s="9" t="str">
        <f t="shared" si="75"/>
        <v/>
      </c>
      <c r="L524" s="9">
        <f t="shared" si="76"/>
        <v>0</v>
      </c>
      <c r="M524" s="9">
        <f t="shared" si="77"/>
        <v>0</v>
      </c>
      <c r="N524" s="9">
        <f t="array" ref="N524">+SUM(IFERROR(VALUE(L524:M524),0))</f>
        <v>0</v>
      </c>
      <c r="P524" s="9" t="str">
        <f t="shared" si="78"/>
        <v/>
      </c>
      <c r="Q524" s="9">
        <f t="shared" si="79"/>
        <v>0</v>
      </c>
      <c r="R524" s="9">
        <f t="shared" si="80"/>
        <v>0</v>
      </c>
      <c r="S524" s="9">
        <f t="array" ref="S524">+SUM(IFERROR(VALUE(Q524:R524),0))</f>
        <v>0</v>
      </c>
    </row>
    <row r="525" spans="1:19" ht="14.4">
      <c r="A525"/>
      <c r="B525"/>
      <c r="C525" s="27"/>
      <c r="D525" s="28"/>
      <c r="F525" s="9" t="str">
        <f t="shared" si="72"/>
        <v/>
      </c>
      <c r="G525" s="9">
        <f t="shared" si="73"/>
        <v>0</v>
      </c>
      <c r="H525" s="9">
        <f t="shared" si="74"/>
        <v>0</v>
      </c>
      <c r="I525" s="9">
        <f t="array" ref="I525">+SUM(IFERROR(VALUE(G525:H525),0))</f>
        <v>0</v>
      </c>
      <c r="K525" s="9" t="str">
        <f t="shared" si="75"/>
        <v/>
      </c>
      <c r="L525" s="9">
        <f t="shared" si="76"/>
        <v>0</v>
      </c>
      <c r="M525" s="9">
        <f t="shared" si="77"/>
        <v>0</v>
      </c>
      <c r="N525" s="9">
        <f t="array" ref="N525">+SUM(IFERROR(VALUE(L525:M525),0))</f>
        <v>0</v>
      </c>
      <c r="P525" s="9" t="str">
        <f t="shared" si="78"/>
        <v/>
      </c>
      <c r="Q525" s="9">
        <f t="shared" si="79"/>
        <v>0</v>
      </c>
      <c r="R525" s="9">
        <f t="shared" si="80"/>
        <v>0</v>
      </c>
      <c r="S525" s="9">
        <f t="array" ref="S525">+SUM(IFERROR(VALUE(Q525:R525),0))</f>
        <v>0</v>
      </c>
    </row>
    <row r="526" spans="1:19" ht="14.4">
      <c r="A526"/>
      <c r="B526"/>
      <c r="C526" s="27"/>
      <c r="D526" s="28"/>
      <c r="F526" s="9" t="str">
        <f t="shared" si="72"/>
        <v/>
      </c>
      <c r="G526" s="9">
        <f t="shared" si="73"/>
        <v>0</v>
      </c>
      <c r="H526" s="9">
        <f t="shared" si="74"/>
        <v>0</v>
      </c>
      <c r="I526" s="9">
        <f t="array" ref="I526">+SUM(IFERROR(VALUE(G526:H526),0))</f>
        <v>0</v>
      </c>
      <c r="K526" s="9" t="str">
        <f t="shared" si="75"/>
        <v/>
      </c>
      <c r="L526" s="9">
        <f t="shared" si="76"/>
        <v>0</v>
      </c>
      <c r="M526" s="9">
        <f t="shared" si="77"/>
        <v>0</v>
      </c>
      <c r="N526" s="9">
        <f t="array" ref="N526">+SUM(IFERROR(VALUE(L526:M526),0))</f>
        <v>0</v>
      </c>
      <c r="P526" s="9" t="str">
        <f t="shared" si="78"/>
        <v/>
      </c>
      <c r="Q526" s="9">
        <f t="shared" si="79"/>
        <v>0</v>
      </c>
      <c r="R526" s="9">
        <f t="shared" si="80"/>
        <v>0</v>
      </c>
      <c r="S526" s="9">
        <f t="array" ref="S526">+SUM(IFERROR(VALUE(Q526:R526),0))</f>
        <v>0</v>
      </c>
    </row>
    <row r="527" spans="1:19" ht="14.4">
      <c r="A527"/>
      <c r="B527"/>
      <c r="C527" s="27"/>
      <c r="D527" s="28"/>
      <c r="F527" s="9" t="str">
        <f t="shared" si="72"/>
        <v/>
      </c>
      <c r="G527" s="9">
        <f t="shared" si="73"/>
        <v>0</v>
      </c>
      <c r="H527" s="9">
        <f t="shared" si="74"/>
        <v>0</v>
      </c>
      <c r="I527" s="9">
        <f t="array" ref="I527">+SUM(IFERROR(VALUE(G527:H527),0))</f>
        <v>0</v>
      </c>
      <c r="K527" s="9" t="str">
        <f t="shared" si="75"/>
        <v/>
      </c>
      <c r="L527" s="9">
        <f t="shared" si="76"/>
        <v>0</v>
      </c>
      <c r="M527" s="9">
        <f t="shared" si="77"/>
        <v>0</v>
      </c>
      <c r="N527" s="9">
        <f t="array" ref="N527">+SUM(IFERROR(VALUE(L527:M527),0))</f>
        <v>0</v>
      </c>
      <c r="P527" s="9" t="str">
        <f t="shared" si="78"/>
        <v/>
      </c>
      <c r="Q527" s="9">
        <f t="shared" si="79"/>
        <v>0</v>
      </c>
      <c r="R527" s="9">
        <f t="shared" si="80"/>
        <v>0</v>
      </c>
      <c r="S527" s="9">
        <f t="array" ref="S527">+SUM(IFERROR(VALUE(Q527:R527),0))</f>
        <v>0</v>
      </c>
    </row>
    <row r="528" spans="1:19" ht="14.4">
      <c r="A528"/>
      <c r="B528"/>
      <c r="C528" s="27"/>
      <c r="D528" s="28"/>
      <c r="F528" s="9" t="str">
        <f t="shared" si="72"/>
        <v/>
      </c>
      <c r="G528" s="9">
        <f t="shared" si="73"/>
        <v>0</v>
      </c>
      <c r="H528" s="9">
        <f t="shared" si="74"/>
        <v>0</v>
      </c>
      <c r="I528" s="9">
        <f t="array" ref="I528">+SUM(IFERROR(VALUE(G528:H528),0))</f>
        <v>0</v>
      </c>
      <c r="K528" s="9" t="str">
        <f t="shared" si="75"/>
        <v/>
      </c>
      <c r="L528" s="9">
        <f t="shared" si="76"/>
        <v>0</v>
      </c>
      <c r="M528" s="9">
        <f t="shared" si="77"/>
        <v>0</v>
      </c>
      <c r="N528" s="9">
        <f t="array" ref="N528">+SUM(IFERROR(VALUE(L528:M528),0))</f>
        <v>0</v>
      </c>
      <c r="P528" s="9" t="str">
        <f t="shared" si="78"/>
        <v/>
      </c>
      <c r="Q528" s="9">
        <f t="shared" si="79"/>
        <v>0</v>
      </c>
      <c r="R528" s="9">
        <f t="shared" si="80"/>
        <v>0</v>
      </c>
      <c r="S528" s="9">
        <f t="array" ref="S528">+SUM(IFERROR(VALUE(Q528:R528),0))</f>
        <v>0</v>
      </c>
    </row>
    <row r="529" spans="1:19" ht="14.4">
      <c r="A529"/>
      <c r="B529"/>
      <c r="C529" s="27"/>
      <c r="D529" s="28"/>
      <c r="F529" s="9" t="str">
        <f t="shared" si="72"/>
        <v/>
      </c>
      <c r="G529" s="9">
        <f t="shared" si="73"/>
        <v>0</v>
      </c>
      <c r="H529" s="9">
        <f t="shared" si="74"/>
        <v>0</v>
      </c>
      <c r="I529" s="9">
        <f t="array" ref="I529">+SUM(IFERROR(VALUE(G529:H529),0))</f>
        <v>0</v>
      </c>
      <c r="K529" s="9" t="str">
        <f t="shared" si="75"/>
        <v/>
      </c>
      <c r="L529" s="9">
        <f t="shared" si="76"/>
        <v>0</v>
      </c>
      <c r="M529" s="9">
        <f t="shared" si="77"/>
        <v>0</v>
      </c>
      <c r="N529" s="9">
        <f t="array" ref="N529">+SUM(IFERROR(VALUE(L529:M529),0))</f>
        <v>0</v>
      </c>
      <c r="P529" s="9" t="str">
        <f t="shared" si="78"/>
        <v/>
      </c>
      <c r="Q529" s="9">
        <f t="shared" si="79"/>
        <v>0</v>
      </c>
      <c r="R529" s="9">
        <f t="shared" si="80"/>
        <v>0</v>
      </c>
      <c r="S529" s="9">
        <f t="array" ref="S529">+SUM(IFERROR(VALUE(Q529:R529),0))</f>
        <v>0</v>
      </c>
    </row>
    <row r="530" spans="1:19" ht="14.4">
      <c r="A530"/>
      <c r="B530"/>
      <c r="C530" s="27"/>
      <c r="D530" s="28"/>
      <c r="F530" s="9" t="str">
        <f t="shared" si="72"/>
        <v/>
      </c>
      <c r="G530" s="9">
        <f t="shared" si="73"/>
        <v>0</v>
      </c>
      <c r="H530" s="9">
        <f t="shared" si="74"/>
        <v>0</v>
      </c>
      <c r="I530" s="9">
        <f t="array" ref="I530">+SUM(IFERROR(VALUE(G530:H530),0))</f>
        <v>0</v>
      </c>
      <c r="K530" s="9" t="str">
        <f t="shared" si="75"/>
        <v/>
      </c>
      <c r="L530" s="9">
        <f t="shared" si="76"/>
        <v>0</v>
      </c>
      <c r="M530" s="9">
        <f t="shared" si="77"/>
        <v>0</v>
      </c>
      <c r="N530" s="9">
        <f t="array" ref="N530">+SUM(IFERROR(VALUE(L530:M530),0))</f>
        <v>0</v>
      </c>
      <c r="P530" s="9" t="str">
        <f t="shared" si="78"/>
        <v/>
      </c>
      <c r="Q530" s="9">
        <f t="shared" si="79"/>
        <v>0</v>
      </c>
      <c r="R530" s="9">
        <f t="shared" si="80"/>
        <v>0</v>
      </c>
      <c r="S530" s="9">
        <f t="array" ref="S530">+SUM(IFERROR(VALUE(Q530:R530),0))</f>
        <v>0</v>
      </c>
    </row>
    <row r="531" spans="1:19" ht="14.4">
      <c r="A531"/>
      <c r="B531"/>
      <c r="C531" s="27"/>
      <c r="D531" s="28"/>
      <c r="F531" s="9" t="str">
        <f t="shared" si="72"/>
        <v/>
      </c>
      <c r="G531" s="9">
        <f t="shared" si="73"/>
        <v>0</v>
      </c>
      <c r="H531" s="9">
        <f t="shared" si="74"/>
        <v>0</v>
      </c>
      <c r="I531" s="9">
        <f t="array" ref="I531">+SUM(IFERROR(VALUE(G531:H531),0))</f>
        <v>0</v>
      </c>
      <c r="K531" s="9" t="str">
        <f t="shared" si="75"/>
        <v/>
      </c>
      <c r="L531" s="9">
        <f t="shared" si="76"/>
        <v>0</v>
      </c>
      <c r="M531" s="9">
        <f t="shared" si="77"/>
        <v>0</v>
      </c>
      <c r="N531" s="9">
        <f t="array" ref="N531">+SUM(IFERROR(VALUE(L531:M531),0))</f>
        <v>0</v>
      </c>
      <c r="P531" s="9" t="str">
        <f t="shared" si="78"/>
        <v/>
      </c>
      <c r="Q531" s="9">
        <f t="shared" si="79"/>
        <v>0</v>
      </c>
      <c r="R531" s="9">
        <f t="shared" si="80"/>
        <v>0</v>
      </c>
      <c r="S531" s="9">
        <f t="array" ref="S531">+SUM(IFERROR(VALUE(Q531:R531),0))</f>
        <v>0</v>
      </c>
    </row>
    <row r="532" spans="1:19" ht="14.4">
      <c r="A532"/>
      <c r="B532"/>
      <c r="C532" s="27"/>
      <c r="D532" s="28"/>
      <c r="F532" s="9" t="str">
        <f t="shared" si="72"/>
        <v/>
      </c>
      <c r="G532" s="9">
        <f t="shared" si="73"/>
        <v>0</v>
      </c>
      <c r="H532" s="9">
        <f t="shared" si="74"/>
        <v>0</v>
      </c>
      <c r="I532" s="9">
        <f t="array" ref="I532">+SUM(IFERROR(VALUE(G532:H532),0))</f>
        <v>0</v>
      </c>
      <c r="K532" s="9" t="str">
        <f t="shared" si="75"/>
        <v/>
      </c>
      <c r="L532" s="9">
        <f t="shared" si="76"/>
        <v>0</v>
      </c>
      <c r="M532" s="9">
        <f t="shared" si="77"/>
        <v>0</v>
      </c>
      <c r="N532" s="9">
        <f t="array" ref="N532">+SUM(IFERROR(VALUE(L532:M532),0))</f>
        <v>0</v>
      </c>
      <c r="P532" s="9" t="str">
        <f t="shared" si="78"/>
        <v/>
      </c>
      <c r="Q532" s="9">
        <f t="shared" si="79"/>
        <v>0</v>
      </c>
      <c r="R532" s="9">
        <f t="shared" si="80"/>
        <v>0</v>
      </c>
      <c r="S532" s="9">
        <f t="array" ref="S532">+SUM(IFERROR(VALUE(Q532:R532),0))</f>
        <v>0</v>
      </c>
    </row>
    <row r="533" spans="1:19" ht="14.4">
      <c r="A533"/>
      <c r="B533"/>
      <c r="C533" s="27"/>
      <c r="D533" s="28"/>
      <c r="F533" s="9" t="str">
        <f t="shared" si="72"/>
        <v/>
      </c>
      <c r="G533" s="9">
        <f t="shared" si="73"/>
        <v>0</v>
      </c>
      <c r="H533" s="9">
        <f t="shared" si="74"/>
        <v>0</v>
      </c>
      <c r="I533" s="9">
        <f t="array" ref="I533">+SUM(IFERROR(VALUE(G533:H533),0))</f>
        <v>0</v>
      </c>
      <c r="K533" s="9" t="str">
        <f t="shared" si="75"/>
        <v/>
      </c>
      <c r="L533" s="9">
        <f t="shared" si="76"/>
        <v>0</v>
      </c>
      <c r="M533" s="9">
        <f t="shared" si="77"/>
        <v>0</v>
      </c>
      <c r="N533" s="9">
        <f t="array" ref="N533">+SUM(IFERROR(VALUE(L533:M533),0))</f>
        <v>0</v>
      </c>
      <c r="P533" s="9" t="str">
        <f t="shared" si="78"/>
        <v/>
      </c>
      <c r="Q533" s="9">
        <f t="shared" si="79"/>
        <v>0</v>
      </c>
      <c r="R533" s="9">
        <f t="shared" si="80"/>
        <v>0</v>
      </c>
      <c r="S533" s="9">
        <f t="array" ref="S533">+SUM(IFERROR(VALUE(Q533:R533),0))</f>
        <v>0</v>
      </c>
    </row>
    <row r="534" spans="1:19" ht="14.4">
      <c r="A534"/>
      <c r="B534"/>
      <c r="C534" s="27"/>
      <c r="D534" s="28"/>
      <c r="F534" s="9" t="str">
        <f t="shared" si="72"/>
        <v/>
      </c>
      <c r="G534" s="9">
        <f t="shared" si="73"/>
        <v>0</v>
      </c>
      <c r="H534" s="9">
        <f t="shared" si="74"/>
        <v>0</v>
      </c>
      <c r="I534" s="9">
        <f t="array" ref="I534">+SUM(IFERROR(VALUE(G534:H534),0))</f>
        <v>0</v>
      </c>
      <c r="K534" s="9" t="str">
        <f t="shared" si="75"/>
        <v/>
      </c>
      <c r="L534" s="9">
        <f t="shared" si="76"/>
        <v>0</v>
      </c>
      <c r="M534" s="9">
        <f t="shared" si="77"/>
        <v>0</v>
      </c>
      <c r="N534" s="9">
        <f t="array" ref="N534">+SUM(IFERROR(VALUE(L534:M534),0))</f>
        <v>0</v>
      </c>
      <c r="P534" s="9" t="str">
        <f t="shared" si="78"/>
        <v/>
      </c>
      <c r="Q534" s="9">
        <f t="shared" si="79"/>
        <v>0</v>
      </c>
      <c r="R534" s="9">
        <f t="shared" si="80"/>
        <v>0</v>
      </c>
      <c r="S534" s="9">
        <f t="array" ref="S534">+SUM(IFERROR(VALUE(Q534:R534),0))</f>
        <v>0</v>
      </c>
    </row>
    <row r="535" spans="1:19" ht="14.4">
      <c r="A535"/>
      <c r="B535"/>
      <c r="C535" s="27"/>
      <c r="D535" s="28"/>
      <c r="F535" s="9" t="str">
        <f t="shared" si="72"/>
        <v/>
      </c>
      <c r="G535" s="9">
        <f t="shared" si="73"/>
        <v>0</v>
      </c>
      <c r="H535" s="9">
        <f t="shared" si="74"/>
        <v>0</v>
      </c>
      <c r="I535" s="9">
        <f t="array" ref="I535">+SUM(IFERROR(VALUE(G535:H535),0))</f>
        <v>0</v>
      </c>
      <c r="K535" s="9" t="str">
        <f t="shared" si="75"/>
        <v/>
      </c>
      <c r="L535" s="9">
        <f t="shared" si="76"/>
        <v>0</v>
      </c>
      <c r="M535" s="9">
        <f t="shared" si="77"/>
        <v>0</v>
      </c>
      <c r="N535" s="9">
        <f t="array" ref="N535">+SUM(IFERROR(VALUE(L535:M535),0))</f>
        <v>0</v>
      </c>
      <c r="P535" s="9" t="str">
        <f t="shared" si="78"/>
        <v/>
      </c>
      <c r="Q535" s="9">
        <f t="shared" si="79"/>
        <v>0</v>
      </c>
      <c r="R535" s="9">
        <f t="shared" si="80"/>
        <v>0</v>
      </c>
      <c r="S535" s="9">
        <f t="array" ref="S535">+SUM(IFERROR(VALUE(Q535:R535),0))</f>
        <v>0</v>
      </c>
    </row>
    <row r="536" spans="1:19" ht="14.4">
      <c r="A536"/>
      <c r="B536"/>
      <c r="C536" s="27"/>
      <c r="D536" s="28"/>
      <c r="F536" s="9" t="str">
        <f t="shared" si="72"/>
        <v/>
      </c>
      <c r="G536" s="9">
        <f t="shared" si="73"/>
        <v>0</v>
      </c>
      <c r="H536" s="9">
        <f t="shared" si="74"/>
        <v>0</v>
      </c>
      <c r="I536" s="9">
        <f t="array" ref="I536">+SUM(IFERROR(VALUE(G536:H536),0))</f>
        <v>0</v>
      </c>
      <c r="K536" s="9" t="str">
        <f t="shared" si="75"/>
        <v/>
      </c>
      <c r="L536" s="9">
        <f t="shared" si="76"/>
        <v>0</v>
      </c>
      <c r="M536" s="9">
        <f t="shared" si="77"/>
        <v>0</v>
      </c>
      <c r="N536" s="9">
        <f t="array" ref="N536">+SUM(IFERROR(VALUE(L536:M536),0))</f>
        <v>0</v>
      </c>
      <c r="P536" s="9" t="str">
        <f t="shared" si="78"/>
        <v/>
      </c>
      <c r="Q536" s="9">
        <f t="shared" si="79"/>
        <v>0</v>
      </c>
      <c r="R536" s="9">
        <f t="shared" si="80"/>
        <v>0</v>
      </c>
      <c r="S536" s="9">
        <f t="array" ref="S536">+SUM(IFERROR(VALUE(Q536:R536),0))</f>
        <v>0</v>
      </c>
    </row>
    <row r="537" spans="1:19" ht="14.4">
      <c r="A537"/>
      <c r="B537"/>
      <c r="C537" s="27"/>
      <c r="D537" s="28"/>
      <c r="F537" s="9" t="str">
        <f t="shared" si="72"/>
        <v/>
      </c>
      <c r="G537" s="9">
        <f t="shared" si="73"/>
        <v>0</v>
      </c>
      <c r="H537" s="9">
        <f t="shared" si="74"/>
        <v>0</v>
      </c>
      <c r="I537" s="9">
        <f t="array" ref="I537">+SUM(IFERROR(VALUE(G537:H537),0))</f>
        <v>0</v>
      </c>
      <c r="K537" s="9" t="str">
        <f t="shared" si="75"/>
        <v/>
      </c>
      <c r="L537" s="9">
        <f t="shared" si="76"/>
        <v>0</v>
      </c>
      <c r="M537" s="9">
        <f t="shared" si="77"/>
        <v>0</v>
      </c>
      <c r="N537" s="9">
        <f t="array" ref="N537">+SUM(IFERROR(VALUE(L537:M537),0))</f>
        <v>0</v>
      </c>
      <c r="P537" s="9" t="str">
        <f t="shared" si="78"/>
        <v/>
      </c>
      <c r="Q537" s="9">
        <f t="shared" si="79"/>
        <v>0</v>
      </c>
      <c r="R537" s="9">
        <f t="shared" si="80"/>
        <v>0</v>
      </c>
      <c r="S537" s="9">
        <f t="array" ref="S537">+SUM(IFERROR(VALUE(Q537:R537),0))</f>
        <v>0</v>
      </c>
    </row>
    <row r="538" spans="1:19" ht="14.4">
      <c r="A538"/>
      <c r="B538"/>
      <c r="C538" s="27"/>
      <c r="D538" s="28"/>
      <c r="F538" s="9" t="str">
        <f t="shared" si="72"/>
        <v/>
      </c>
      <c r="G538" s="9">
        <f t="shared" si="73"/>
        <v>0</v>
      </c>
      <c r="H538" s="9">
        <f t="shared" si="74"/>
        <v>0</v>
      </c>
      <c r="I538" s="9">
        <f t="array" ref="I538">+SUM(IFERROR(VALUE(G538:H538),0))</f>
        <v>0</v>
      </c>
      <c r="K538" s="9" t="str">
        <f t="shared" si="75"/>
        <v/>
      </c>
      <c r="L538" s="9">
        <f t="shared" si="76"/>
        <v>0</v>
      </c>
      <c r="M538" s="9">
        <f t="shared" si="77"/>
        <v>0</v>
      </c>
      <c r="N538" s="9">
        <f t="array" ref="N538">+SUM(IFERROR(VALUE(L538:M538),0))</f>
        <v>0</v>
      </c>
      <c r="P538" s="9" t="str">
        <f t="shared" si="78"/>
        <v/>
      </c>
      <c r="Q538" s="9">
        <f t="shared" si="79"/>
        <v>0</v>
      </c>
      <c r="R538" s="9">
        <f t="shared" si="80"/>
        <v>0</v>
      </c>
      <c r="S538" s="9">
        <f t="array" ref="S538">+SUM(IFERROR(VALUE(Q538:R538),0))</f>
        <v>0</v>
      </c>
    </row>
    <row r="539" spans="1:19" ht="14.4">
      <c r="A539"/>
      <c r="B539"/>
      <c r="C539" s="27"/>
      <c r="D539" s="28"/>
      <c r="F539" s="9" t="str">
        <f t="shared" si="72"/>
        <v/>
      </c>
      <c r="G539" s="9">
        <f t="shared" si="73"/>
        <v>0</v>
      </c>
      <c r="H539" s="9">
        <f t="shared" si="74"/>
        <v>0</v>
      </c>
      <c r="I539" s="9">
        <f t="array" ref="I539">+SUM(IFERROR(VALUE(G539:H539),0))</f>
        <v>0</v>
      </c>
      <c r="K539" s="9" t="str">
        <f t="shared" si="75"/>
        <v/>
      </c>
      <c r="L539" s="9">
        <f t="shared" si="76"/>
        <v>0</v>
      </c>
      <c r="M539" s="9">
        <f t="shared" si="77"/>
        <v>0</v>
      </c>
      <c r="N539" s="9">
        <f t="array" ref="N539">+SUM(IFERROR(VALUE(L539:M539),0))</f>
        <v>0</v>
      </c>
      <c r="P539" s="9" t="str">
        <f t="shared" si="78"/>
        <v/>
      </c>
      <c r="Q539" s="9">
        <f t="shared" si="79"/>
        <v>0</v>
      </c>
      <c r="R539" s="9">
        <f t="shared" si="80"/>
        <v>0</v>
      </c>
      <c r="S539" s="9">
        <f t="array" ref="S539">+SUM(IFERROR(VALUE(Q539:R539),0))</f>
        <v>0</v>
      </c>
    </row>
    <row r="540" spans="1:19" ht="14.4">
      <c r="A540"/>
      <c r="B540"/>
      <c r="C540" s="27"/>
      <c r="D540" s="28"/>
      <c r="F540" s="9" t="str">
        <f t="shared" si="72"/>
        <v/>
      </c>
      <c r="G540" s="9">
        <f t="shared" si="73"/>
        <v>0</v>
      </c>
      <c r="H540" s="9">
        <f t="shared" si="74"/>
        <v>0</v>
      </c>
      <c r="I540" s="9">
        <f t="array" ref="I540">+SUM(IFERROR(VALUE(G540:H540),0))</f>
        <v>0</v>
      </c>
      <c r="K540" s="9" t="str">
        <f t="shared" si="75"/>
        <v/>
      </c>
      <c r="L540" s="9">
        <f t="shared" si="76"/>
        <v>0</v>
      </c>
      <c r="M540" s="9">
        <f t="shared" si="77"/>
        <v>0</v>
      </c>
      <c r="N540" s="9">
        <f t="array" ref="N540">+SUM(IFERROR(VALUE(L540:M540),0))</f>
        <v>0</v>
      </c>
      <c r="P540" s="9" t="str">
        <f t="shared" si="78"/>
        <v/>
      </c>
      <c r="Q540" s="9">
        <f t="shared" si="79"/>
        <v>0</v>
      </c>
      <c r="R540" s="9">
        <f t="shared" si="80"/>
        <v>0</v>
      </c>
      <c r="S540" s="9">
        <f t="array" ref="S540">+SUM(IFERROR(VALUE(Q540:R540),0))</f>
        <v>0</v>
      </c>
    </row>
    <row r="541" spans="1:19" ht="14.4">
      <c r="A541"/>
      <c r="B541"/>
      <c r="C541" s="27"/>
      <c r="D541" s="28"/>
      <c r="F541" s="9" t="str">
        <f t="shared" si="72"/>
        <v/>
      </c>
      <c r="G541" s="9">
        <f t="shared" si="73"/>
        <v>0</v>
      </c>
      <c r="H541" s="9">
        <f t="shared" si="74"/>
        <v>0</v>
      </c>
      <c r="I541" s="9">
        <f t="array" ref="I541">+SUM(IFERROR(VALUE(G541:H541),0))</f>
        <v>0</v>
      </c>
      <c r="K541" s="9" t="str">
        <f t="shared" si="75"/>
        <v/>
      </c>
      <c r="L541" s="9">
        <f t="shared" si="76"/>
        <v>0</v>
      </c>
      <c r="M541" s="9">
        <f t="shared" si="77"/>
        <v>0</v>
      </c>
      <c r="N541" s="9">
        <f t="array" ref="N541">+SUM(IFERROR(VALUE(L541:M541),0))</f>
        <v>0</v>
      </c>
      <c r="P541" s="9" t="str">
        <f t="shared" si="78"/>
        <v/>
      </c>
      <c r="Q541" s="9">
        <f t="shared" si="79"/>
        <v>0</v>
      </c>
      <c r="R541" s="9">
        <f t="shared" si="80"/>
        <v>0</v>
      </c>
      <c r="S541" s="9">
        <f t="array" ref="S541">+SUM(IFERROR(VALUE(Q541:R541),0))</f>
        <v>0</v>
      </c>
    </row>
    <row r="542" spans="1:19" ht="14.4">
      <c r="A542"/>
      <c r="B542"/>
      <c r="C542" s="27"/>
      <c r="D542" s="28"/>
      <c r="F542" s="9" t="str">
        <f t="shared" si="72"/>
        <v/>
      </c>
      <c r="G542" s="9">
        <f t="shared" si="73"/>
        <v>0</v>
      </c>
      <c r="H542" s="9">
        <f t="shared" si="74"/>
        <v>0</v>
      </c>
      <c r="I542" s="9">
        <f t="array" ref="I542">+SUM(IFERROR(VALUE(G542:H542),0))</f>
        <v>0</v>
      </c>
      <c r="K542" s="9" t="str">
        <f t="shared" si="75"/>
        <v/>
      </c>
      <c r="L542" s="9">
        <f t="shared" si="76"/>
        <v>0</v>
      </c>
      <c r="M542" s="9">
        <f t="shared" si="77"/>
        <v>0</v>
      </c>
      <c r="N542" s="9">
        <f t="array" ref="N542">+SUM(IFERROR(VALUE(L542:M542),0))</f>
        <v>0</v>
      </c>
      <c r="P542" s="9" t="str">
        <f t="shared" si="78"/>
        <v/>
      </c>
      <c r="Q542" s="9">
        <f t="shared" si="79"/>
        <v>0</v>
      </c>
      <c r="R542" s="9">
        <f t="shared" si="80"/>
        <v>0</v>
      </c>
      <c r="S542" s="9">
        <f t="array" ref="S542">+SUM(IFERROR(VALUE(Q542:R542),0))</f>
        <v>0</v>
      </c>
    </row>
    <row r="543" spans="1:19" ht="14.4">
      <c r="A543"/>
      <c r="B543"/>
      <c r="C543" s="27"/>
      <c r="D543" s="28"/>
      <c r="F543" s="9" t="str">
        <f t="shared" si="72"/>
        <v/>
      </c>
      <c r="G543" s="9">
        <f t="shared" si="73"/>
        <v>0</v>
      </c>
      <c r="H543" s="9">
        <f t="shared" si="74"/>
        <v>0</v>
      </c>
      <c r="I543" s="9">
        <f t="array" ref="I543">+SUM(IFERROR(VALUE(G543:H543),0))</f>
        <v>0</v>
      </c>
      <c r="K543" s="9" t="str">
        <f t="shared" si="75"/>
        <v/>
      </c>
      <c r="L543" s="9">
        <f t="shared" si="76"/>
        <v>0</v>
      </c>
      <c r="M543" s="9">
        <f t="shared" si="77"/>
        <v>0</v>
      </c>
      <c r="N543" s="9">
        <f t="array" ref="N543">+SUM(IFERROR(VALUE(L543:M543),0))</f>
        <v>0</v>
      </c>
      <c r="P543" s="9" t="str">
        <f t="shared" si="78"/>
        <v/>
      </c>
      <c r="Q543" s="9">
        <f t="shared" si="79"/>
        <v>0</v>
      </c>
      <c r="R543" s="9">
        <f t="shared" si="80"/>
        <v>0</v>
      </c>
      <c r="S543" s="9">
        <f t="array" ref="S543">+SUM(IFERROR(VALUE(Q543:R543),0))</f>
        <v>0</v>
      </c>
    </row>
    <row r="544" spans="1:19" ht="14.4">
      <c r="A544"/>
      <c r="B544"/>
      <c r="C544" s="27"/>
      <c r="D544" s="28"/>
      <c r="F544" s="9" t="str">
        <f t="shared" si="72"/>
        <v/>
      </c>
      <c r="G544" s="9">
        <f t="shared" si="73"/>
        <v>0</v>
      </c>
      <c r="H544" s="9">
        <f t="shared" si="74"/>
        <v>0</v>
      </c>
      <c r="I544" s="9">
        <f t="array" ref="I544">+SUM(IFERROR(VALUE(G544:H544),0))</f>
        <v>0</v>
      </c>
      <c r="K544" s="9" t="str">
        <f t="shared" si="75"/>
        <v/>
      </c>
      <c r="L544" s="9">
        <f t="shared" si="76"/>
        <v>0</v>
      </c>
      <c r="M544" s="9">
        <f t="shared" si="77"/>
        <v>0</v>
      </c>
      <c r="N544" s="9">
        <f t="array" ref="N544">+SUM(IFERROR(VALUE(L544:M544),0))</f>
        <v>0</v>
      </c>
      <c r="P544" s="9" t="str">
        <f t="shared" si="78"/>
        <v/>
      </c>
      <c r="Q544" s="9">
        <f t="shared" si="79"/>
        <v>0</v>
      </c>
      <c r="R544" s="9">
        <f t="shared" si="80"/>
        <v>0</v>
      </c>
      <c r="S544" s="9">
        <f t="array" ref="S544">+SUM(IFERROR(VALUE(Q544:R544),0))</f>
        <v>0</v>
      </c>
    </row>
    <row r="545" spans="1:19" ht="14.4">
      <c r="A545"/>
      <c r="B545"/>
      <c r="C545" s="27"/>
      <c r="D545" s="28"/>
      <c r="F545" s="9" t="str">
        <f t="shared" si="72"/>
        <v/>
      </c>
      <c r="G545" s="9">
        <f t="shared" si="73"/>
        <v>0</v>
      </c>
      <c r="H545" s="9">
        <f t="shared" si="74"/>
        <v>0</v>
      </c>
      <c r="I545" s="9">
        <f t="array" ref="I545">+SUM(IFERROR(VALUE(G545:H545),0))</f>
        <v>0</v>
      </c>
      <c r="K545" s="9" t="str">
        <f t="shared" si="75"/>
        <v/>
      </c>
      <c r="L545" s="9">
        <f t="shared" si="76"/>
        <v>0</v>
      </c>
      <c r="M545" s="9">
        <f t="shared" si="77"/>
        <v>0</v>
      </c>
      <c r="N545" s="9">
        <f t="array" ref="N545">+SUM(IFERROR(VALUE(L545:M545),0))</f>
        <v>0</v>
      </c>
      <c r="P545" s="9" t="str">
        <f t="shared" si="78"/>
        <v/>
      </c>
      <c r="Q545" s="9">
        <f t="shared" si="79"/>
        <v>0</v>
      </c>
      <c r="R545" s="9">
        <f t="shared" si="80"/>
        <v>0</v>
      </c>
      <c r="S545" s="9">
        <f t="array" ref="S545">+SUM(IFERROR(VALUE(Q545:R545),0))</f>
        <v>0</v>
      </c>
    </row>
    <row r="546" spans="1:19" ht="14.4">
      <c r="A546"/>
      <c r="B546"/>
      <c r="C546" s="27"/>
      <c r="D546" s="28"/>
      <c r="F546" s="9" t="str">
        <f t="shared" si="72"/>
        <v/>
      </c>
      <c r="G546" s="9">
        <f t="shared" si="73"/>
        <v>0</v>
      </c>
      <c r="H546" s="9">
        <f t="shared" si="74"/>
        <v>0</v>
      </c>
      <c r="I546" s="9">
        <f t="array" ref="I546">+SUM(IFERROR(VALUE(G546:H546),0))</f>
        <v>0</v>
      </c>
      <c r="K546" s="9" t="str">
        <f t="shared" si="75"/>
        <v/>
      </c>
      <c r="L546" s="9">
        <f t="shared" si="76"/>
        <v>0</v>
      </c>
      <c r="M546" s="9">
        <f t="shared" si="77"/>
        <v>0</v>
      </c>
      <c r="N546" s="9">
        <f t="array" ref="N546">+SUM(IFERROR(VALUE(L546:M546),0))</f>
        <v>0</v>
      </c>
      <c r="P546" s="9" t="str">
        <f t="shared" si="78"/>
        <v/>
      </c>
      <c r="Q546" s="9">
        <f t="shared" si="79"/>
        <v>0</v>
      </c>
      <c r="R546" s="9">
        <f t="shared" si="80"/>
        <v>0</v>
      </c>
      <c r="S546" s="9">
        <f t="array" ref="S546">+SUM(IFERROR(VALUE(Q546:R546),0))</f>
        <v>0</v>
      </c>
    </row>
    <row r="547" spans="1:19" ht="14.4">
      <c r="A547"/>
      <c r="B547"/>
      <c r="C547" s="27"/>
      <c r="D547" s="28"/>
      <c r="F547" s="9" t="str">
        <f t="shared" si="72"/>
        <v/>
      </c>
      <c r="G547" s="9">
        <f t="shared" si="73"/>
        <v>0</v>
      </c>
      <c r="H547" s="9">
        <f t="shared" si="74"/>
        <v>0</v>
      </c>
      <c r="I547" s="9">
        <f t="array" ref="I547">+SUM(IFERROR(VALUE(G547:H547),0))</f>
        <v>0</v>
      </c>
      <c r="K547" s="9" t="str">
        <f t="shared" si="75"/>
        <v/>
      </c>
      <c r="L547" s="9">
        <f t="shared" si="76"/>
        <v>0</v>
      </c>
      <c r="M547" s="9">
        <f t="shared" si="77"/>
        <v>0</v>
      </c>
      <c r="N547" s="9">
        <f t="array" ref="N547">+SUM(IFERROR(VALUE(L547:M547),0))</f>
        <v>0</v>
      </c>
      <c r="P547" s="9" t="str">
        <f t="shared" si="78"/>
        <v/>
      </c>
      <c r="Q547" s="9">
        <f t="shared" si="79"/>
        <v>0</v>
      </c>
      <c r="R547" s="9">
        <f t="shared" si="80"/>
        <v>0</v>
      </c>
      <c r="S547" s="9">
        <f t="array" ref="S547">+SUM(IFERROR(VALUE(Q547:R547),0))</f>
        <v>0</v>
      </c>
    </row>
    <row r="548" spans="1:19" ht="14.4">
      <c r="A548"/>
      <c r="B548"/>
      <c r="C548" s="27"/>
      <c r="D548" s="28"/>
      <c r="F548" s="9" t="str">
        <f t="shared" si="72"/>
        <v/>
      </c>
      <c r="G548" s="9">
        <f t="shared" si="73"/>
        <v>0</v>
      </c>
      <c r="H548" s="9">
        <f t="shared" si="74"/>
        <v>0</v>
      </c>
      <c r="I548" s="9">
        <f t="array" ref="I548">+SUM(IFERROR(VALUE(G548:H548),0))</f>
        <v>0</v>
      </c>
      <c r="K548" s="9" t="str">
        <f t="shared" si="75"/>
        <v/>
      </c>
      <c r="L548" s="9">
        <f t="shared" si="76"/>
        <v>0</v>
      </c>
      <c r="M548" s="9">
        <f t="shared" si="77"/>
        <v>0</v>
      </c>
      <c r="N548" s="9">
        <f t="array" ref="N548">+SUM(IFERROR(VALUE(L548:M548),0))</f>
        <v>0</v>
      </c>
      <c r="P548" s="9" t="str">
        <f t="shared" si="78"/>
        <v/>
      </c>
      <c r="Q548" s="9">
        <f t="shared" si="79"/>
        <v>0</v>
      </c>
      <c r="R548" s="9">
        <f t="shared" si="80"/>
        <v>0</v>
      </c>
      <c r="S548" s="9">
        <f t="array" ref="S548">+SUM(IFERROR(VALUE(Q548:R548),0))</f>
        <v>0</v>
      </c>
    </row>
    <row r="549" spans="1:19" ht="14.4">
      <c r="A549"/>
      <c r="B549"/>
      <c r="C549" s="27"/>
      <c r="D549" s="28"/>
      <c r="F549" s="9" t="str">
        <f t="shared" si="72"/>
        <v/>
      </c>
      <c r="G549" s="9">
        <f t="shared" si="73"/>
        <v>0</v>
      </c>
      <c r="H549" s="9">
        <f t="shared" si="74"/>
        <v>0</v>
      </c>
      <c r="I549" s="9">
        <f t="array" ref="I549">+SUM(IFERROR(VALUE(G549:H549),0))</f>
        <v>0</v>
      </c>
      <c r="K549" s="9" t="str">
        <f t="shared" si="75"/>
        <v/>
      </c>
      <c r="L549" s="9">
        <f t="shared" si="76"/>
        <v>0</v>
      </c>
      <c r="M549" s="9">
        <f t="shared" si="77"/>
        <v>0</v>
      </c>
      <c r="N549" s="9">
        <f t="array" ref="N549">+SUM(IFERROR(VALUE(L549:M549),0))</f>
        <v>0</v>
      </c>
      <c r="P549" s="9" t="str">
        <f t="shared" si="78"/>
        <v/>
      </c>
      <c r="Q549" s="9">
        <f t="shared" si="79"/>
        <v>0</v>
      </c>
      <c r="R549" s="9">
        <f t="shared" si="80"/>
        <v>0</v>
      </c>
      <c r="S549" s="9">
        <f t="array" ref="S549">+SUM(IFERROR(VALUE(Q549:R549),0))</f>
        <v>0</v>
      </c>
    </row>
    <row r="550" spans="1:19" ht="14.4">
      <c r="A550"/>
      <c r="B550"/>
      <c r="C550" s="27"/>
      <c r="D550" s="28"/>
      <c r="F550" s="9" t="str">
        <f t="shared" si="72"/>
        <v/>
      </c>
      <c r="G550" s="9">
        <f t="shared" si="73"/>
        <v>0</v>
      </c>
      <c r="H550" s="9">
        <f t="shared" si="74"/>
        <v>0</v>
      </c>
      <c r="I550" s="9">
        <f t="array" ref="I550">+SUM(IFERROR(VALUE(G550:H550),0))</f>
        <v>0</v>
      </c>
      <c r="K550" s="9" t="str">
        <f t="shared" si="75"/>
        <v/>
      </c>
      <c r="L550" s="9">
        <f t="shared" si="76"/>
        <v>0</v>
      </c>
      <c r="M550" s="9">
        <f t="shared" si="77"/>
        <v>0</v>
      </c>
      <c r="N550" s="9">
        <f t="array" ref="N550">+SUM(IFERROR(VALUE(L550:M550),0))</f>
        <v>0</v>
      </c>
      <c r="P550" s="9" t="str">
        <f t="shared" si="78"/>
        <v/>
      </c>
      <c r="Q550" s="9">
        <f t="shared" si="79"/>
        <v>0</v>
      </c>
      <c r="R550" s="9">
        <f t="shared" si="80"/>
        <v>0</v>
      </c>
      <c r="S550" s="9">
        <f t="array" ref="S550">+SUM(IFERROR(VALUE(Q550:R550),0))</f>
        <v>0</v>
      </c>
    </row>
    <row r="551" spans="1:19" ht="14.4">
      <c r="A551"/>
      <c r="B551"/>
      <c r="C551" s="27"/>
      <c r="D551" s="28"/>
      <c r="F551" s="9" t="str">
        <f t="shared" si="72"/>
        <v/>
      </c>
      <c r="G551" s="9">
        <f t="shared" si="73"/>
        <v>0</v>
      </c>
      <c r="H551" s="9">
        <f t="shared" si="74"/>
        <v>0</v>
      </c>
      <c r="I551" s="9">
        <f t="array" ref="I551">+SUM(IFERROR(VALUE(G551:H551),0))</f>
        <v>0</v>
      </c>
      <c r="K551" s="9" t="str">
        <f t="shared" si="75"/>
        <v/>
      </c>
      <c r="L551" s="9">
        <f t="shared" si="76"/>
        <v>0</v>
      </c>
      <c r="M551" s="9">
        <f t="shared" si="77"/>
        <v>0</v>
      </c>
      <c r="N551" s="9">
        <f t="array" ref="N551">+SUM(IFERROR(VALUE(L551:M551),0))</f>
        <v>0</v>
      </c>
      <c r="P551" s="9" t="str">
        <f t="shared" si="78"/>
        <v/>
      </c>
      <c r="Q551" s="9">
        <f t="shared" si="79"/>
        <v>0</v>
      </c>
      <c r="R551" s="9">
        <f t="shared" si="80"/>
        <v>0</v>
      </c>
      <c r="S551" s="9">
        <f t="array" ref="S551">+SUM(IFERROR(VALUE(Q551:R551),0))</f>
        <v>0</v>
      </c>
    </row>
    <row r="552" spans="1:19" ht="14.4">
      <c r="A552"/>
      <c r="B552"/>
      <c r="C552" s="27"/>
      <c r="D552" s="28"/>
      <c r="F552" s="9" t="str">
        <f t="shared" si="72"/>
        <v/>
      </c>
      <c r="G552" s="9">
        <f t="shared" si="73"/>
        <v>0</v>
      </c>
      <c r="H552" s="9">
        <f t="shared" si="74"/>
        <v>0</v>
      </c>
      <c r="I552" s="9">
        <f t="array" ref="I552">+SUM(IFERROR(VALUE(G552:H552),0))</f>
        <v>0</v>
      </c>
      <c r="K552" s="9" t="str">
        <f t="shared" si="75"/>
        <v/>
      </c>
      <c r="L552" s="9">
        <f t="shared" si="76"/>
        <v>0</v>
      </c>
      <c r="M552" s="9">
        <f t="shared" si="77"/>
        <v>0</v>
      </c>
      <c r="N552" s="9">
        <f t="array" ref="N552">+SUM(IFERROR(VALUE(L552:M552),0))</f>
        <v>0</v>
      </c>
      <c r="P552" s="9" t="str">
        <f t="shared" si="78"/>
        <v/>
      </c>
      <c r="Q552" s="9">
        <f t="shared" si="79"/>
        <v>0</v>
      </c>
      <c r="R552" s="9">
        <f t="shared" si="80"/>
        <v>0</v>
      </c>
      <c r="S552" s="9">
        <f t="array" ref="S552">+SUM(IFERROR(VALUE(Q552:R552),0))</f>
        <v>0</v>
      </c>
    </row>
    <row r="553" spans="1:19" ht="14.4">
      <c r="A553"/>
      <c r="B553"/>
      <c r="C553" s="27"/>
      <c r="D553" s="28"/>
      <c r="F553" s="9" t="str">
        <f t="shared" si="72"/>
        <v/>
      </c>
      <c r="G553" s="9">
        <f t="shared" si="73"/>
        <v>0</v>
      </c>
      <c r="H553" s="9">
        <f t="shared" si="74"/>
        <v>0</v>
      </c>
      <c r="I553" s="9">
        <f t="array" ref="I553">+SUM(IFERROR(VALUE(G553:H553),0))</f>
        <v>0</v>
      </c>
      <c r="K553" s="9" t="str">
        <f t="shared" si="75"/>
        <v/>
      </c>
      <c r="L553" s="9">
        <f t="shared" si="76"/>
        <v>0</v>
      </c>
      <c r="M553" s="9">
        <f t="shared" si="77"/>
        <v>0</v>
      </c>
      <c r="N553" s="9">
        <f t="array" ref="N553">+SUM(IFERROR(VALUE(L553:M553),0))</f>
        <v>0</v>
      </c>
      <c r="P553" s="9" t="str">
        <f t="shared" si="78"/>
        <v/>
      </c>
      <c r="Q553" s="9">
        <f t="shared" si="79"/>
        <v>0</v>
      </c>
      <c r="R553" s="9">
        <f t="shared" si="80"/>
        <v>0</v>
      </c>
      <c r="S553" s="9">
        <f t="array" ref="S553">+SUM(IFERROR(VALUE(Q553:R553),0))</f>
        <v>0</v>
      </c>
    </row>
    <row r="554" spans="1:19" ht="14.4">
      <c r="A554"/>
      <c r="B554"/>
      <c r="C554" s="27"/>
      <c r="D554" s="28"/>
      <c r="F554" s="9" t="str">
        <f t="shared" si="72"/>
        <v/>
      </c>
      <c r="G554" s="9">
        <f t="shared" si="73"/>
        <v>0</v>
      </c>
      <c r="H554" s="9">
        <f t="shared" si="74"/>
        <v>0</v>
      </c>
      <c r="I554" s="9">
        <f t="array" ref="I554">+SUM(IFERROR(VALUE(G554:H554),0))</f>
        <v>0</v>
      </c>
      <c r="K554" s="9" t="str">
        <f t="shared" si="75"/>
        <v/>
      </c>
      <c r="L554" s="9">
        <f t="shared" si="76"/>
        <v>0</v>
      </c>
      <c r="M554" s="9">
        <f t="shared" si="77"/>
        <v>0</v>
      </c>
      <c r="N554" s="9">
        <f t="array" ref="N554">+SUM(IFERROR(VALUE(L554:M554),0))</f>
        <v>0</v>
      </c>
      <c r="P554" s="9" t="str">
        <f t="shared" si="78"/>
        <v/>
      </c>
      <c r="Q554" s="9">
        <f t="shared" si="79"/>
        <v>0</v>
      </c>
      <c r="R554" s="9">
        <f t="shared" si="80"/>
        <v>0</v>
      </c>
      <c r="S554" s="9">
        <f t="array" ref="S554">+SUM(IFERROR(VALUE(Q554:R554),0))</f>
        <v>0</v>
      </c>
    </row>
    <row r="555" spans="1:19" ht="14.4">
      <c r="A555"/>
      <c r="B555"/>
      <c r="C555" s="27"/>
      <c r="D555" s="28"/>
      <c r="F555" s="9" t="str">
        <f t="shared" si="72"/>
        <v/>
      </c>
      <c r="G555" s="9">
        <f t="shared" si="73"/>
        <v>0</v>
      </c>
      <c r="H555" s="9">
        <f t="shared" si="74"/>
        <v>0</v>
      </c>
      <c r="I555" s="9">
        <f t="array" ref="I555">+SUM(IFERROR(VALUE(G555:H555),0))</f>
        <v>0</v>
      </c>
      <c r="K555" s="9" t="str">
        <f t="shared" si="75"/>
        <v/>
      </c>
      <c r="L555" s="9">
        <f t="shared" si="76"/>
        <v>0</v>
      </c>
      <c r="M555" s="9">
        <f t="shared" si="77"/>
        <v>0</v>
      </c>
      <c r="N555" s="9">
        <f t="array" ref="N555">+SUM(IFERROR(VALUE(L555:M555),0))</f>
        <v>0</v>
      </c>
      <c r="P555" s="9" t="str">
        <f t="shared" si="78"/>
        <v/>
      </c>
      <c r="Q555" s="9">
        <f t="shared" si="79"/>
        <v>0</v>
      </c>
      <c r="R555" s="9">
        <f t="shared" si="80"/>
        <v>0</v>
      </c>
      <c r="S555" s="9">
        <f t="array" ref="S555">+SUM(IFERROR(VALUE(Q555:R555),0))</f>
        <v>0</v>
      </c>
    </row>
    <row r="556" spans="1:19" ht="14.4">
      <c r="A556"/>
      <c r="B556"/>
      <c r="C556" s="27"/>
      <c r="D556" s="28"/>
      <c r="F556" s="9" t="str">
        <f t="shared" si="72"/>
        <v/>
      </c>
      <c r="G556" s="9">
        <f t="shared" si="73"/>
        <v>0</v>
      </c>
      <c r="H556" s="9">
        <f t="shared" si="74"/>
        <v>0</v>
      </c>
      <c r="I556" s="9">
        <f t="array" ref="I556">+SUM(IFERROR(VALUE(G556:H556),0))</f>
        <v>0</v>
      </c>
      <c r="K556" s="9" t="str">
        <f t="shared" si="75"/>
        <v/>
      </c>
      <c r="L556" s="9">
        <f t="shared" si="76"/>
        <v>0</v>
      </c>
      <c r="M556" s="9">
        <f t="shared" si="77"/>
        <v>0</v>
      </c>
      <c r="N556" s="9">
        <f t="array" ref="N556">+SUM(IFERROR(VALUE(L556:M556),0))</f>
        <v>0</v>
      </c>
      <c r="P556" s="9" t="str">
        <f t="shared" si="78"/>
        <v/>
      </c>
      <c r="Q556" s="9">
        <f t="shared" si="79"/>
        <v>0</v>
      </c>
      <c r="R556" s="9">
        <f t="shared" si="80"/>
        <v>0</v>
      </c>
      <c r="S556" s="9">
        <f t="array" ref="S556">+SUM(IFERROR(VALUE(Q556:R556),0))</f>
        <v>0</v>
      </c>
    </row>
    <row r="557" spans="1:19" ht="14.4">
      <c r="A557"/>
      <c r="B557"/>
      <c r="C557" s="27"/>
      <c r="D557" s="28"/>
      <c r="F557" s="9" t="str">
        <f t="shared" si="72"/>
        <v/>
      </c>
      <c r="G557" s="9">
        <f t="shared" si="73"/>
        <v>0</v>
      </c>
      <c r="H557" s="9">
        <f t="shared" si="74"/>
        <v>0</v>
      </c>
      <c r="I557" s="9">
        <f t="array" ref="I557">+SUM(IFERROR(VALUE(G557:H557),0))</f>
        <v>0</v>
      </c>
      <c r="K557" s="9" t="str">
        <f t="shared" si="75"/>
        <v/>
      </c>
      <c r="L557" s="9">
        <f t="shared" si="76"/>
        <v>0</v>
      </c>
      <c r="M557" s="9">
        <f t="shared" si="77"/>
        <v>0</v>
      </c>
      <c r="N557" s="9">
        <f t="array" ref="N557">+SUM(IFERROR(VALUE(L557:M557),0))</f>
        <v>0</v>
      </c>
      <c r="P557" s="9" t="str">
        <f t="shared" si="78"/>
        <v/>
      </c>
      <c r="Q557" s="9">
        <f t="shared" si="79"/>
        <v>0</v>
      </c>
      <c r="R557" s="9">
        <f t="shared" si="80"/>
        <v>0</v>
      </c>
      <c r="S557" s="9">
        <f t="array" ref="S557">+SUM(IFERROR(VALUE(Q557:R557),0))</f>
        <v>0</v>
      </c>
    </row>
    <row r="558" spans="1:19" ht="14.4">
      <c r="A558"/>
      <c r="B558"/>
      <c r="C558" s="27"/>
      <c r="D558" s="28"/>
      <c r="F558" s="9" t="str">
        <f t="shared" si="72"/>
        <v/>
      </c>
      <c r="G558" s="9">
        <f t="shared" si="73"/>
        <v>0</v>
      </c>
      <c r="H558" s="9">
        <f t="shared" si="74"/>
        <v>0</v>
      </c>
      <c r="I558" s="9">
        <f t="array" ref="I558">+SUM(IFERROR(VALUE(G558:H558),0))</f>
        <v>0</v>
      </c>
      <c r="K558" s="9" t="str">
        <f t="shared" si="75"/>
        <v/>
      </c>
      <c r="L558" s="9">
        <f t="shared" si="76"/>
        <v>0</v>
      </c>
      <c r="M558" s="9">
        <f t="shared" si="77"/>
        <v>0</v>
      </c>
      <c r="N558" s="9">
        <f t="array" ref="N558">+SUM(IFERROR(VALUE(L558:M558),0))</f>
        <v>0</v>
      </c>
      <c r="P558" s="9" t="str">
        <f t="shared" si="78"/>
        <v/>
      </c>
      <c r="Q558" s="9">
        <f t="shared" si="79"/>
        <v>0</v>
      </c>
      <c r="R558" s="9">
        <f t="shared" si="80"/>
        <v>0</v>
      </c>
      <c r="S558" s="9">
        <f t="array" ref="S558">+SUM(IFERROR(VALUE(Q558:R558),0))</f>
        <v>0</v>
      </c>
    </row>
    <row r="559" spans="1:19" ht="14.4">
      <c r="A559"/>
      <c r="B559"/>
      <c r="C559" s="27"/>
      <c r="D559" s="28"/>
      <c r="F559" s="9" t="str">
        <f t="shared" si="72"/>
        <v/>
      </c>
      <c r="G559" s="9">
        <f t="shared" si="73"/>
        <v>0</v>
      </c>
      <c r="H559" s="9">
        <f t="shared" si="74"/>
        <v>0</v>
      </c>
      <c r="I559" s="9">
        <f t="array" ref="I559">+SUM(IFERROR(VALUE(G559:H559),0))</f>
        <v>0</v>
      </c>
      <c r="K559" s="9" t="str">
        <f t="shared" si="75"/>
        <v/>
      </c>
      <c r="L559" s="9">
        <f t="shared" si="76"/>
        <v>0</v>
      </c>
      <c r="M559" s="9">
        <f t="shared" si="77"/>
        <v>0</v>
      </c>
      <c r="N559" s="9">
        <f t="array" ref="N559">+SUM(IFERROR(VALUE(L559:M559),0))</f>
        <v>0</v>
      </c>
      <c r="P559" s="9" t="str">
        <f t="shared" si="78"/>
        <v/>
      </c>
      <c r="Q559" s="9">
        <f t="shared" si="79"/>
        <v>0</v>
      </c>
      <c r="R559" s="9">
        <f t="shared" si="80"/>
        <v>0</v>
      </c>
      <c r="S559" s="9">
        <f t="array" ref="S559">+SUM(IFERROR(VALUE(Q559:R559),0))</f>
        <v>0</v>
      </c>
    </row>
    <row r="560" spans="1:19" ht="14.4">
      <c r="A560"/>
      <c r="B560"/>
      <c r="C560" s="27"/>
      <c r="D560" s="28"/>
      <c r="F560" s="9" t="str">
        <f t="shared" si="72"/>
        <v/>
      </c>
      <c r="G560" s="9">
        <f t="shared" si="73"/>
        <v>0</v>
      </c>
      <c r="H560" s="9">
        <f t="shared" si="74"/>
        <v>0</v>
      </c>
      <c r="I560" s="9">
        <f t="array" ref="I560">+SUM(IFERROR(VALUE(G560:H560),0))</f>
        <v>0</v>
      </c>
      <c r="K560" s="9" t="str">
        <f t="shared" si="75"/>
        <v/>
      </c>
      <c r="L560" s="9">
        <f t="shared" si="76"/>
        <v>0</v>
      </c>
      <c r="M560" s="9">
        <f t="shared" si="77"/>
        <v>0</v>
      </c>
      <c r="N560" s="9">
        <f t="array" ref="N560">+SUM(IFERROR(VALUE(L560:M560),0))</f>
        <v>0</v>
      </c>
      <c r="P560" s="9" t="str">
        <f t="shared" si="78"/>
        <v/>
      </c>
      <c r="Q560" s="9">
        <f t="shared" si="79"/>
        <v>0</v>
      </c>
      <c r="R560" s="9">
        <f t="shared" si="80"/>
        <v>0</v>
      </c>
      <c r="S560" s="9">
        <f t="array" ref="S560">+SUM(IFERROR(VALUE(Q560:R560),0))</f>
        <v>0</v>
      </c>
    </row>
    <row r="561" spans="1:19" ht="14.4">
      <c r="A561"/>
      <c r="B561"/>
      <c r="C561" s="27"/>
      <c r="D561" s="28"/>
      <c r="F561" s="9" t="str">
        <f t="shared" si="72"/>
        <v/>
      </c>
      <c r="G561" s="9">
        <f t="shared" si="73"/>
        <v>0</v>
      </c>
      <c r="H561" s="9">
        <f t="shared" si="74"/>
        <v>0</v>
      </c>
      <c r="I561" s="9">
        <f t="array" ref="I561">+SUM(IFERROR(VALUE(G561:H561),0))</f>
        <v>0</v>
      </c>
      <c r="K561" s="9" t="str">
        <f t="shared" si="75"/>
        <v/>
      </c>
      <c r="L561" s="9">
        <f t="shared" si="76"/>
        <v>0</v>
      </c>
      <c r="M561" s="9">
        <f t="shared" si="77"/>
        <v>0</v>
      </c>
      <c r="N561" s="9">
        <f t="array" ref="N561">+SUM(IFERROR(VALUE(L561:M561),0))</f>
        <v>0</v>
      </c>
      <c r="P561" s="9" t="str">
        <f t="shared" si="78"/>
        <v/>
      </c>
      <c r="Q561" s="9">
        <f t="shared" si="79"/>
        <v>0</v>
      </c>
      <c r="R561" s="9">
        <f t="shared" si="80"/>
        <v>0</v>
      </c>
      <c r="S561" s="9">
        <f t="array" ref="S561">+SUM(IFERROR(VALUE(Q561:R561),0))</f>
        <v>0</v>
      </c>
    </row>
    <row r="562" spans="1:19" ht="14.4">
      <c r="A562"/>
      <c r="B562"/>
      <c r="C562" s="27"/>
      <c r="D562" s="28"/>
      <c r="F562" s="9" t="str">
        <f t="shared" si="72"/>
        <v/>
      </c>
      <c r="G562" s="9">
        <f t="shared" si="73"/>
        <v>0</v>
      </c>
      <c r="H562" s="9">
        <f t="shared" si="74"/>
        <v>0</v>
      </c>
      <c r="I562" s="9">
        <f t="array" ref="I562">+SUM(IFERROR(VALUE(G562:H562),0))</f>
        <v>0</v>
      </c>
      <c r="K562" s="9" t="str">
        <f t="shared" si="75"/>
        <v/>
      </c>
      <c r="L562" s="9">
        <f t="shared" si="76"/>
        <v>0</v>
      </c>
      <c r="M562" s="9">
        <f t="shared" si="77"/>
        <v>0</v>
      </c>
      <c r="N562" s="9">
        <f t="array" ref="N562">+SUM(IFERROR(VALUE(L562:M562),0))</f>
        <v>0</v>
      </c>
      <c r="P562" s="9" t="str">
        <f t="shared" si="78"/>
        <v/>
      </c>
      <c r="Q562" s="9">
        <f t="shared" si="79"/>
        <v>0</v>
      </c>
      <c r="R562" s="9">
        <f t="shared" si="80"/>
        <v>0</v>
      </c>
      <c r="S562" s="9">
        <f t="array" ref="S562">+SUM(IFERROR(VALUE(Q562:R562),0))</f>
        <v>0</v>
      </c>
    </row>
    <row r="563" spans="1:19" ht="14.4">
      <c r="A563"/>
      <c r="B563"/>
      <c r="C563" s="27"/>
      <c r="D563" s="28"/>
      <c r="F563" s="9" t="str">
        <f t="shared" si="72"/>
        <v/>
      </c>
      <c r="G563" s="9">
        <f t="shared" si="73"/>
        <v>0</v>
      </c>
      <c r="H563" s="9">
        <f t="shared" si="74"/>
        <v>0</v>
      </c>
      <c r="I563" s="9">
        <f t="array" ref="I563">+SUM(IFERROR(VALUE(G563:H563),0))</f>
        <v>0</v>
      </c>
      <c r="K563" s="9" t="str">
        <f t="shared" si="75"/>
        <v/>
      </c>
      <c r="L563" s="9">
        <f t="shared" si="76"/>
        <v>0</v>
      </c>
      <c r="M563" s="9">
        <f t="shared" si="77"/>
        <v>0</v>
      </c>
      <c r="N563" s="9">
        <f t="array" ref="N563">+SUM(IFERROR(VALUE(L563:M563),0))</f>
        <v>0</v>
      </c>
      <c r="P563" s="9" t="str">
        <f t="shared" si="78"/>
        <v/>
      </c>
      <c r="Q563" s="9">
        <f t="shared" si="79"/>
        <v>0</v>
      </c>
      <c r="R563" s="9">
        <f t="shared" si="80"/>
        <v>0</v>
      </c>
      <c r="S563" s="9">
        <f t="array" ref="S563">+SUM(IFERROR(VALUE(Q563:R563),0))</f>
        <v>0</v>
      </c>
    </row>
    <row r="564" spans="1:19" ht="14.4">
      <c r="A564"/>
      <c r="B564"/>
      <c r="C564" s="27"/>
      <c r="D564" s="28"/>
      <c r="F564" s="9" t="str">
        <f t="shared" si="72"/>
        <v/>
      </c>
      <c r="G564" s="9">
        <f t="shared" si="73"/>
        <v>0</v>
      </c>
      <c r="H564" s="9">
        <f t="shared" si="74"/>
        <v>0</v>
      </c>
      <c r="I564" s="9">
        <f t="array" ref="I564">+SUM(IFERROR(VALUE(G564:H564),0))</f>
        <v>0</v>
      </c>
      <c r="K564" s="9" t="str">
        <f t="shared" si="75"/>
        <v/>
      </c>
      <c r="L564" s="9">
        <f t="shared" si="76"/>
        <v>0</v>
      </c>
      <c r="M564" s="9">
        <f t="shared" si="77"/>
        <v>0</v>
      </c>
      <c r="N564" s="9">
        <f t="array" ref="N564">+SUM(IFERROR(VALUE(L564:M564),0))</f>
        <v>0</v>
      </c>
      <c r="P564" s="9" t="str">
        <f t="shared" si="78"/>
        <v/>
      </c>
      <c r="Q564" s="9">
        <f t="shared" si="79"/>
        <v>0</v>
      </c>
      <c r="R564" s="9">
        <f t="shared" si="80"/>
        <v>0</v>
      </c>
      <c r="S564" s="9">
        <f t="array" ref="S564">+SUM(IFERROR(VALUE(Q564:R564),0))</f>
        <v>0</v>
      </c>
    </row>
    <row r="565" spans="1:19" ht="14.4">
      <c r="A565"/>
      <c r="B565"/>
      <c r="C565" s="27"/>
      <c r="D565" s="28"/>
      <c r="F565" s="9" t="str">
        <f t="shared" si="72"/>
        <v/>
      </c>
      <c r="G565" s="9">
        <f t="shared" si="73"/>
        <v>0</v>
      </c>
      <c r="H565" s="9">
        <f t="shared" si="74"/>
        <v>0</v>
      </c>
      <c r="I565" s="9">
        <f t="array" ref="I565">+SUM(IFERROR(VALUE(G565:H565),0))</f>
        <v>0</v>
      </c>
      <c r="K565" s="9" t="str">
        <f t="shared" si="75"/>
        <v/>
      </c>
      <c r="L565" s="9">
        <f t="shared" si="76"/>
        <v>0</v>
      </c>
      <c r="M565" s="9">
        <f t="shared" si="77"/>
        <v>0</v>
      </c>
      <c r="N565" s="9">
        <f t="array" ref="N565">+SUM(IFERROR(VALUE(L565:M565),0))</f>
        <v>0</v>
      </c>
      <c r="P565" s="9" t="str">
        <f t="shared" si="78"/>
        <v/>
      </c>
      <c r="Q565" s="9">
        <f t="shared" si="79"/>
        <v>0</v>
      </c>
      <c r="R565" s="9">
        <f t="shared" si="80"/>
        <v>0</v>
      </c>
      <c r="S565" s="9">
        <f t="array" ref="S565">+SUM(IFERROR(VALUE(Q565:R565),0))</f>
        <v>0</v>
      </c>
    </row>
    <row r="566" spans="1:19" ht="14.4">
      <c r="A566"/>
      <c r="B566"/>
      <c r="C566" s="27"/>
      <c r="D566" s="28"/>
      <c r="F566" s="9" t="str">
        <f t="shared" si="72"/>
        <v/>
      </c>
      <c r="G566" s="9">
        <f t="shared" si="73"/>
        <v>0</v>
      </c>
      <c r="H566" s="9">
        <f t="shared" si="74"/>
        <v>0</v>
      </c>
      <c r="I566" s="9">
        <f t="array" ref="I566">+SUM(IFERROR(VALUE(G566:H566),0))</f>
        <v>0</v>
      </c>
      <c r="K566" s="9" t="str">
        <f t="shared" si="75"/>
        <v/>
      </c>
      <c r="L566" s="9">
        <f t="shared" si="76"/>
        <v>0</v>
      </c>
      <c r="M566" s="9">
        <f t="shared" si="77"/>
        <v>0</v>
      </c>
      <c r="N566" s="9">
        <f t="array" ref="N566">+SUM(IFERROR(VALUE(L566:M566),0))</f>
        <v>0</v>
      </c>
      <c r="P566" s="9" t="str">
        <f t="shared" si="78"/>
        <v/>
      </c>
      <c r="Q566" s="9">
        <f t="shared" si="79"/>
        <v>0</v>
      </c>
      <c r="R566" s="9">
        <f t="shared" si="80"/>
        <v>0</v>
      </c>
      <c r="S566" s="9">
        <f t="array" ref="S566">+SUM(IFERROR(VALUE(Q566:R566),0))</f>
        <v>0</v>
      </c>
    </row>
    <row r="567" spans="1:19" ht="14.4">
      <c r="A567"/>
      <c r="B567"/>
      <c r="C567" s="27"/>
      <c r="D567" s="28"/>
      <c r="F567" s="9" t="str">
        <f t="shared" si="72"/>
        <v/>
      </c>
      <c r="G567" s="9">
        <f t="shared" si="73"/>
        <v>0</v>
      </c>
      <c r="H567" s="9">
        <f t="shared" si="74"/>
        <v>0</v>
      </c>
      <c r="I567" s="9">
        <f t="array" ref="I567">+SUM(IFERROR(VALUE(G567:H567),0))</f>
        <v>0</v>
      </c>
      <c r="K567" s="9" t="str">
        <f t="shared" si="75"/>
        <v/>
      </c>
      <c r="L567" s="9">
        <f t="shared" si="76"/>
        <v>0</v>
      </c>
      <c r="M567" s="9">
        <f t="shared" si="77"/>
        <v>0</v>
      </c>
      <c r="N567" s="9">
        <f t="array" ref="N567">+SUM(IFERROR(VALUE(L567:M567),0))</f>
        <v>0</v>
      </c>
      <c r="P567" s="9" t="str">
        <f t="shared" si="78"/>
        <v/>
      </c>
      <c r="Q567" s="9">
        <f t="shared" si="79"/>
        <v>0</v>
      </c>
      <c r="R567" s="9">
        <f t="shared" si="80"/>
        <v>0</v>
      </c>
      <c r="S567" s="9">
        <f t="array" ref="S567">+SUM(IFERROR(VALUE(Q567:R567),0))</f>
        <v>0</v>
      </c>
    </row>
    <row r="568" spans="1:19" ht="14.4">
      <c r="A568"/>
      <c r="B568"/>
      <c r="C568" s="27"/>
      <c r="D568" s="28"/>
      <c r="F568" s="9" t="str">
        <f t="shared" si="72"/>
        <v/>
      </c>
      <c r="G568" s="9">
        <f t="shared" si="73"/>
        <v>0</v>
      </c>
      <c r="H568" s="9">
        <f t="shared" si="74"/>
        <v>0</v>
      </c>
      <c r="I568" s="9">
        <f t="array" ref="I568">+SUM(IFERROR(VALUE(G568:H568),0))</f>
        <v>0</v>
      </c>
      <c r="K568" s="9" t="str">
        <f t="shared" si="75"/>
        <v/>
      </c>
      <c r="L568" s="9">
        <f t="shared" si="76"/>
        <v>0</v>
      </c>
      <c r="M568" s="9">
        <f t="shared" si="77"/>
        <v>0</v>
      </c>
      <c r="N568" s="9">
        <f t="array" ref="N568">+SUM(IFERROR(VALUE(L568:M568),0))</f>
        <v>0</v>
      </c>
      <c r="P568" s="9" t="str">
        <f t="shared" si="78"/>
        <v/>
      </c>
      <c r="Q568" s="9">
        <f t="shared" si="79"/>
        <v>0</v>
      </c>
      <c r="R568" s="9">
        <f t="shared" si="80"/>
        <v>0</v>
      </c>
      <c r="S568" s="9">
        <f t="array" ref="S568">+SUM(IFERROR(VALUE(Q568:R568),0))</f>
        <v>0</v>
      </c>
    </row>
    <row r="569" spans="1:19" ht="14.4">
      <c r="A569"/>
      <c r="B569"/>
      <c r="C569" s="27"/>
      <c r="D569" s="28"/>
      <c r="F569" s="9" t="str">
        <f t="shared" si="72"/>
        <v/>
      </c>
      <c r="G569" s="9">
        <f t="shared" si="73"/>
        <v>0</v>
      </c>
      <c r="H569" s="9">
        <f t="shared" si="74"/>
        <v>0</v>
      </c>
      <c r="I569" s="9">
        <f t="array" ref="I569">+SUM(IFERROR(VALUE(G569:H569),0))</f>
        <v>0</v>
      </c>
      <c r="K569" s="9" t="str">
        <f t="shared" si="75"/>
        <v/>
      </c>
      <c r="L569" s="9">
        <f t="shared" si="76"/>
        <v>0</v>
      </c>
      <c r="M569" s="9">
        <f t="shared" si="77"/>
        <v>0</v>
      </c>
      <c r="N569" s="9">
        <f t="array" ref="N569">+SUM(IFERROR(VALUE(L569:M569),0))</f>
        <v>0</v>
      </c>
      <c r="P569" s="9" t="str">
        <f t="shared" si="78"/>
        <v/>
      </c>
      <c r="Q569" s="9">
        <f t="shared" si="79"/>
        <v>0</v>
      </c>
      <c r="R569" s="9">
        <f t="shared" si="80"/>
        <v>0</v>
      </c>
      <c r="S569" s="9">
        <f t="array" ref="S569">+SUM(IFERROR(VALUE(Q569:R569),0))</f>
        <v>0</v>
      </c>
    </row>
    <row r="570" spans="1:19" ht="14.4">
      <c r="A570"/>
      <c r="B570"/>
      <c r="C570" s="27"/>
      <c r="D570" s="28"/>
      <c r="F570" s="9" t="str">
        <f t="shared" si="72"/>
        <v/>
      </c>
      <c r="G570" s="9">
        <f t="shared" si="73"/>
        <v>0</v>
      </c>
      <c r="H570" s="9">
        <f t="shared" si="74"/>
        <v>0</v>
      </c>
      <c r="I570" s="9">
        <f t="array" ref="I570">+SUM(IFERROR(VALUE(G570:H570),0))</f>
        <v>0</v>
      </c>
      <c r="K570" s="9" t="str">
        <f t="shared" si="75"/>
        <v/>
      </c>
      <c r="L570" s="9">
        <f t="shared" si="76"/>
        <v>0</v>
      </c>
      <c r="M570" s="9">
        <f t="shared" si="77"/>
        <v>0</v>
      </c>
      <c r="N570" s="9">
        <f t="array" ref="N570">+SUM(IFERROR(VALUE(L570:M570),0))</f>
        <v>0</v>
      </c>
      <c r="P570" s="9" t="str">
        <f t="shared" si="78"/>
        <v/>
      </c>
      <c r="Q570" s="9">
        <f t="shared" si="79"/>
        <v>0</v>
      </c>
      <c r="R570" s="9">
        <f t="shared" si="80"/>
        <v>0</v>
      </c>
      <c r="S570" s="9">
        <f t="array" ref="S570">+SUM(IFERROR(VALUE(Q570:R570),0))</f>
        <v>0</v>
      </c>
    </row>
    <row r="571" spans="1:19" ht="14.4">
      <c r="A571"/>
      <c r="B571"/>
      <c r="C571" s="27"/>
      <c r="D571" s="28"/>
      <c r="F571" s="9" t="str">
        <f t="shared" si="72"/>
        <v/>
      </c>
      <c r="G571" s="9">
        <f t="shared" si="73"/>
        <v>0</v>
      </c>
      <c r="H571" s="9">
        <f t="shared" si="74"/>
        <v>0</v>
      </c>
      <c r="I571" s="9">
        <f t="array" ref="I571">+SUM(IFERROR(VALUE(G571:H571),0))</f>
        <v>0</v>
      </c>
      <c r="K571" s="9" t="str">
        <f t="shared" si="75"/>
        <v/>
      </c>
      <c r="L571" s="9">
        <f t="shared" si="76"/>
        <v>0</v>
      </c>
      <c r="M571" s="9">
        <f t="shared" si="77"/>
        <v>0</v>
      </c>
      <c r="N571" s="9">
        <f t="array" ref="N571">+SUM(IFERROR(VALUE(L571:M571),0))</f>
        <v>0</v>
      </c>
      <c r="P571" s="9" t="str">
        <f t="shared" si="78"/>
        <v/>
      </c>
      <c r="Q571" s="9">
        <f t="shared" si="79"/>
        <v>0</v>
      </c>
      <c r="R571" s="9">
        <f t="shared" si="80"/>
        <v>0</v>
      </c>
      <c r="S571" s="9">
        <f t="array" ref="S571">+SUM(IFERROR(VALUE(Q571:R571),0))</f>
        <v>0</v>
      </c>
    </row>
    <row r="572" spans="1:19" ht="14.4">
      <c r="A572"/>
      <c r="B572"/>
      <c r="C572" s="27"/>
      <c r="D572" s="28"/>
      <c r="F572" s="9" t="str">
        <f t="shared" si="72"/>
        <v/>
      </c>
      <c r="G572" s="9">
        <f t="shared" si="73"/>
        <v>0</v>
      </c>
      <c r="H572" s="9">
        <f t="shared" si="74"/>
        <v>0</v>
      </c>
      <c r="I572" s="9">
        <f t="array" ref="I572">+SUM(IFERROR(VALUE(G572:H572),0))</f>
        <v>0</v>
      </c>
      <c r="K572" s="9" t="str">
        <f t="shared" si="75"/>
        <v/>
      </c>
      <c r="L572" s="9">
        <f t="shared" si="76"/>
        <v>0</v>
      </c>
      <c r="M572" s="9">
        <f t="shared" si="77"/>
        <v>0</v>
      </c>
      <c r="N572" s="9">
        <f t="array" ref="N572">+SUM(IFERROR(VALUE(L572:M572),0))</f>
        <v>0</v>
      </c>
      <c r="P572" s="9" t="str">
        <f t="shared" si="78"/>
        <v/>
      </c>
      <c r="Q572" s="9">
        <f t="shared" si="79"/>
        <v>0</v>
      </c>
      <c r="R572" s="9">
        <f t="shared" si="80"/>
        <v>0</v>
      </c>
      <c r="S572" s="9">
        <f t="array" ref="S572">+SUM(IFERROR(VALUE(Q572:R572),0))</f>
        <v>0</v>
      </c>
    </row>
    <row r="573" spans="1:19" ht="14.4">
      <c r="A573"/>
      <c r="B573"/>
      <c r="C573" s="27"/>
      <c r="D573" s="28"/>
      <c r="F573" s="9" t="str">
        <f t="shared" si="72"/>
        <v/>
      </c>
      <c r="G573" s="9">
        <f t="shared" si="73"/>
        <v>0</v>
      </c>
      <c r="H573" s="9">
        <f t="shared" si="74"/>
        <v>0</v>
      </c>
      <c r="I573" s="9">
        <f t="array" ref="I573">+SUM(IFERROR(VALUE(G573:H573),0))</f>
        <v>0</v>
      </c>
      <c r="K573" s="9" t="str">
        <f t="shared" si="75"/>
        <v/>
      </c>
      <c r="L573" s="9">
        <f t="shared" si="76"/>
        <v>0</v>
      </c>
      <c r="M573" s="9">
        <f t="shared" si="77"/>
        <v>0</v>
      </c>
      <c r="N573" s="9">
        <f t="array" ref="N573">+SUM(IFERROR(VALUE(L573:M573),0))</f>
        <v>0</v>
      </c>
      <c r="P573" s="9" t="str">
        <f t="shared" si="78"/>
        <v/>
      </c>
      <c r="Q573" s="9">
        <f t="shared" si="79"/>
        <v>0</v>
      </c>
      <c r="R573" s="9">
        <f t="shared" si="80"/>
        <v>0</v>
      </c>
      <c r="S573" s="9">
        <f t="array" ref="S573">+SUM(IFERROR(VALUE(Q573:R573),0))</f>
        <v>0</v>
      </c>
    </row>
    <row r="574" spans="1:19" ht="14.4">
      <c r="A574"/>
      <c r="B574"/>
      <c r="C574" s="27"/>
      <c r="D574" s="28"/>
      <c r="F574" s="9" t="str">
        <f t="shared" si="72"/>
        <v/>
      </c>
      <c r="G574" s="9">
        <f t="shared" si="73"/>
        <v>0</v>
      </c>
      <c r="H574" s="9">
        <f t="shared" si="74"/>
        <v>0</v>
      </c>
      <c r="I574" s="9">
        <f t="array" ref="I574">+SUM(IFERROR(VALUE(G574:H574),0))</f>
        <v>0</v>
      </c>
      <c r="K574" s="9" t="str">
        <f t="shared" si="75"/>
        <v/>
      </c>
      <c r="L574" s="9">
        <f t="shared" si="76"/>
        <v>0</v>
      </c>
      <c r="M574" s="9">
        <f t="shared" si="77"/>
        <v>0</v>
      </c>
      <c r="N574" s="9">
        <f t="array" ref="N574">+SUM(IFERROR(VALUE(L574:M574),0))</f>
        <v>0</v>
      </c>
      <c r="P574" s="9" t="str">
        <f t="shared" si="78"/>
        <v/>
      </c>
      <c r="Q574" s="9">
        <f t="shared" si="79"/>
        <v>0</v>
      </c>
      <c r="R574" s="9">
        <f t="shared" si="80"/>
        <v>0</v>
      </c>
      <c r="S574" s="9">
        <f t="array" ref="S574">+SUM(IFERROR(VALUE(Q574:R574),0))</f>
        <v>0</v>
      </c>
    </row>
    <row r="575" spans="1:19" ht="14.4">
      <c r="A575"/>
      <c r="B575"/>
      <c r="C575" s="27"/>
      <c r="D575" s="28"/>
      <c r="F575" s="9" t="str">
        <f t="shared" si="72"/>
        <v/>
      </c>
      <c r="G575" s="9">
        <f t="shared" si="73"/>
        <v>0</v>
      </c>
      <c r="H575" s="9">
        <f t="shared" si="74"/>
        <v>0</v>
      </c>
      <c r="I575" s="9">
        <f t="array" ref="I575">+SUM(IFERROR(VALUE(G575:H575),0))</f>
        <v>0</v>
      </c>
      <c r="K575" s="9" t="str">
        <f t="shared" si="75"/>
        <v/>
      </c>
      <c r="L575" s="9">
        <f t="shared" si="76"/>
        <v>0</v>
      </c>
      <c r="M575" s="9">
        <f t="shared" si="77"/>
        <v>0</v>
      </c>
      <c r="N575" s="9">
        <f t="array" ref="N575">+SUM(IFERROR(VALUE(L575:M575),0))</f>
        <v>0</v>
      </c>
      <c r="P575" s="9" t="str">
        <f t="shared" si="78"/>
        <v/>
      </c>
      <c r="Q575" s="9">
        <f t="shared" si="79"/>
        <v>0</v>
      </c>
      <c r="R575" s="9">
        <f t="shared" si="80"/>
        <v>0</v>
      </c>
      <c r="S575" s="9">
        <f t="array" ref="S575">+SUM(IFERROR(VALUE(Q575:R575),0))</f>
        <v>0</v>
      </c>
    </row>
    <row r="576" spans="1:19" ht="14.4">
      <c r="A576"/>
      <c r="B576"/>
      <c r="C576" s="27"/>
      <c r="D576" s="28"/>
      <c r="F576" s="9" t="str">
        <f t="shared" si="72"/>
        <v/>
      </c>
      <c r="G576" s="9">
        <f t="shared" si="73"/>
        <v>0</v>
      </c>
      <c r="H576" s="9">
        <f t="shared" si="74"/>
        <v>0</v>
      </c>
      <c r="I576" s="9">
        <f t="array" ref="I576">+SUM(IFERROR(VALUE(G576:H576),0))</f>
        <v>0</v>
      </c>
      <c r="K576" s="9" t="str">
        <f t="shared" si="75"/>
        <v/>
      </c>
      <c r="L576" s="9">
        <f t="shared" si="76"/>
        <v>0</v>
      </c>
      <c r="M576" s="9">
        <f t="shared" si="77"/>
        <v>0</v>
      </c>
      <c r="N576" s="9">
        <f t="array" ref="N576">+SUM(IFERROR(VALUE(L576:M576),0))</f>
        <v>0</v>
      </c>
      <c r="P576" s="9" t="str">
        <f t="shared" si="78"/>
        <v/>
      </c>
      <c r="Q576" s="9">
        <f t="shared" si="79"/>
        <v>0</v>
      </c>
      <c r="R576" s="9">
        <f t="shared" si="80"/>
        <v>0</v>
      </c>
      <c r="S576" s="9">
        <f t="array" ref="S576">+SUM(IFERROR(VALUE(Q576:R576),0))</f>
        <v>0</v>
      </c>
    </row>
    <row r="577" spans="1:19" ht="14.4">
      <c r="A577"/>
      <c r="B577"/>
      <c r="C577" s="27"/>
      <c r="D577" s="28"/>
      <c r="F577" s="9" t="str">
        <f t="shared" si="72"/>
        <v/>
      </c>
      <c r="G577" s="9">
        <f t="shared" si="73"/>
        <v>0</v>
      </c>
      <c r="H577" s="9">
        <f t="shared" si="74"/>
        <v>0</v>
      </c>
      <c r="I577" s="9">
        <f t="array" ref="I577">+SUM(IFERROR(VALUE(G577:H577),0))</f>
        <v>0</v>
      </c>
      <c r="K577" s="9" t="str">
        <f t="shared" si="75"/>
        <v/>
      </c>
      <c r="L577" s="9">
        <f t="shared" si="76"/>
        <v>0</v>
      </c>
      <c r="M577" s="9">
        <f t="shared" si="77"/>
        <v>0</v>
      </c>
      <c r="N577" s="9">
        <f t="array" ref="N577">+SUM(IFERROR(VALUE(L577:M577),0))</f>
        <v>0</v>
      </c>
      <c r="P577" s="9" t="str">
        <f t="shared" si="78"/>
        <v/>
      </c>
      <c r="Q577" s="9">
        <f t="shared" si="79"/>
        <v>0</v>
      </c>
      <c r="R577" s="9">
        <f t="shared" si="80"/>
        <v>0</v>
      </c>
      <c r="S577" s="9">
        <f t="array" ref="S577">+SUM(IFERROR(VALUE(Q577:R577),0))</f>
        <v>0</v>
      </c>
    </row>
    <row r="578" spans="1:19" ht="14.4">
      <c r="A578"/>
      <c r="B578"/>
      <c r="C578" s="27"/>
      <c r="D578" s="28"/>
      <c r="F578" s="9" t="str">
        <f t="shared" si="72"/>
        <v/>
      </c>
      <c r="G578" s="9">
        <f t="shared" si="73"/>
        <v>0</v>
      </c>
      <c r="H578" s="9">
        <f t="shared" si="74"/>
        <v>0</v>
      </c>
      <c r="I578" s="9">
        <f t="array" ref="I578">+SUM(IFERROR(VALUE(G578:H578),0))</f>
        <v>0</v>
      </c>
      <c r="K578" s="9" t="str">
        <f t="shared" si="75"/>
        <v/>
      </c>
      <c r="L578" s="9">
        <f t="shared" si="76"/>
        <v>0</v>
      </c>
      <c r="M578" s="9">
        <f t="shared" si="77"/>
        <v>0</v>
      </c>
      <c r="N578" s="9">
        <f t="array" ref="N578">+SUM(IFERROR(VALUE(L578:M578),0))</f>
        <v>0</v>
      </c>
      <c r="P578" s="9" t="str">
        <f t="shared" si="78"/>
        <v/>
      </c>
      <c r="Q578" s="9">
        <f t="shared" si="79"/>
        <v>0</v>
      </c>
      <c r="R578" s="9">
        <f t="shared" si="80"/>
        <v>0</v>
      </c>
      <c r="S578" s="9">
        <f t="array" ref="S578">+SUM(IFERROR(VALUE(Q578:R578),0))</f>
        <v>0</v>
      </c>
    </row>
    <row r="579" spans="1:19" ht="14.4">
      <c r="A579"/>
      <c r="B579"/>
      <c r="C579" s="27"/>
      <c r="D579" s="28"/>
      <c r="F579" s="9" t="str">
        <f t="shared" si="72"/>
        <v/>
      </c>
      <c r="G579" s="9">
        <f t="shared" si="73"/>
        <v>0</v>
      </c>
      <c r="H579" s="9">
        <f t="shared" si="74"/>
        <v>0</v>
      </c>
      <c r="I579" s="9">
        <f t="array" ref="I579">+SUM(IFERROR(VALUE(G579:H579),0))</f>
        <v>0</v>
      </c>
      <c r="K579" s="9" t="str">
        <f t="shared" si="75"/>
        <v/>
      </c>
      <c r="L579" s="9">
        <f t="shared" si="76"/>
        <v>0</v>
      </c>
      <c r="M579" s="9">
        <f t="shared" si="77"/>
        <v>0</v>
      </c>
      <c r="N579" s="9">
        <f t="array" ref="N579">+SUM(IFERROR(VALUE(L579:M579),0))</f>
        <v>0</v>
      </c>
      <c r="P579" s="9" t="str">
        <f t="shared" si="78"/>
        <v/>
      </c>
      <c r="Q579" s="9">
        <f t="shared" si="79"/>
        <v>0</v>
      </c>
      <c r="R579" s="9">
        <f t="shared" si="80"/>
        <v>0</v>
      </c>
      <c r="S579" s="9">
        <f t="array" ref="S579">+SUM(IFERROR(VALUE(Q579:R579),0))</f>
        <v>0</v>
      </c>
    </row>
    <row r="580" spans="1:19" ht="14.4">
      <c r="A580"/>
      <c r="B580"/>
      <c r="C580" s="27"/>
      <c r="D580" s="28"/>
      <c r="F580" s="9" t="str">
        <f t="shared" si="72"/>
        <v/>
      </c>
      <c r="G580" s="9">
        <f t="shared" si="73"/>
        <v>0</v>
      </c>
      <c r="H580" s="9">
        <f t="shared" si="74"/>
        <v>0</v>
      </c>
      <c r="I580" s="9">
        <f t="array" ref="I580">+SUM(IFERROR(VALUE(G580:H580),0))</f>
        <v>0</v>
      </c>
      <c r="K580" s="9" t="str">
        <f t="shared" si="75"/>
        <v/>
      </c>
      <c r="L580" s="9">
        <f t="shared" si="76"/>
        <v>0</v>
      </c>
      <c r="M580" s="9">
        <f t="shared" si="77"/>
        <v>0</v>
      </c>
      <c r="N580" s="9">
        <f t="array" ref="N580">+SUM(IFERROR(VALUE(L580:M580),0))</f>
        <v>0</v>
      </c>
      <c r="P580" s="9" t="str">
        <f t="shared" si="78"/>
        <v/>
      </c>
      <c r="Q580" s="9">
        <f t="shared" si="79"/>
        <v>0</v>
      </c>
      <c r="R580" s="9">
        <f t="shared" si="80"/>
        <v>0</v>
      </c>
      <c r="S580" s="9">
        <f t="array" ref="S580">+SUM(IFERROR(VALUE(Q580:R580),0))</f>
        <v>0</v>
      </c>
    </row>
    <row r="581" spans="1:19" ht="14.4">
      <c r="A581"/>
      <c r="B581"/>
      <c r="C581" s="27"/>
      <c r="D581" s="28"/>
      <c r="F581" s="9" t="str">
        <f t="shared" si="72"/>
        <v/>
      </c>
      <c r="G581" s="9">
        <f t="shared" si="73"/>
        <v>0</v>
      </c>
      <c r="H581" s="9">
        <f t="shared" si="74"/>
        <v>0</v>
      </c>
      <c r="I581" s="9">
        <f t="array" ref="I581">+SUM(IFERROR(VALUE(G581:H581),0))</f>
        <v>0</v>
      </c>
      <c r="K581" s="9" t="str">
        <f t="shared" si="75"/>
        <v/>
      </c>
      <c r="L581" s="9">
        <f t="shared" si="76"/>
        <v>0</v>
      </c>
      <c r="M581" s="9">
        <f t="shared" si="77"/>
        <v>0</v>
      </c>
      <c r="N581" s="9">
        <f t="array" ref="N581">+SUM(IFERROR(VALUE(L581:M581),0))</f>
        <v>0</v>
      </c>
      <c r="P581" s="9" t="str">
        <f t="shared" si="78"/>
        <v/>
      </c>
      <c r="Q581" s="9">
        <f t="shared" si="79"/>
        <v>0</v>
      </c>
      <c r="R581" s="9">
        <f t="shared" si="80"/>
        <v>0</v>
      </c>
      <c r="S581" s="9">
        <f t="array" ref="S581">+SUM(IFERROR(VALUE(Q581:R581),0))</f>
        <v>0</v>
      </c>
    </row>
    <row r="582" spans="1:19" ht="14.4">
      <c r="A582"/>
      <c r="B582"/>
      <c r="C582" s="27"/>
      <c r="D582" s="28"/>
      <c r="F582" s="9" t="str">
        <f t="shared" ref="F582:F645" si="81">+LEFT(A582,4)</f>
        <v/>
      </c>
      <c r="G582" s="9">
        <f t="shared" ref="G582:G645" si="82">+C582</f>
        <v>0</v>
      </c>
      <c r="H582" s="9">
        <f t="shared" ref="H582:H645" si="83">-D582</f>
        <v>0</v>
      </c>
      <c r="I582" s="9">
        <f t="array" ref="I582">+SUM(IFERROR(VALUE(G582:H582),0))</f>
        <v>0</v>
      </c>
      <c r="K582" s="9" t="str">
        <f t="shared" ref="K582:K645" si="84">+LEFT(A582,3)</f>
        <v/>
      </c>
      <c r="L582" s="9">
        <f t="shared" ref="L582:L645" si="85">+C582</f>
        <v>0</v>
      </c>
      <c r="M582" s="9">
        <f t="shared" ref="M582:M645" si="86">-D582</f>
        <v>0</v>
      </c>
      <c r="N582" s="9">
        <f t="array" ref="N582">+SUM(IFERROR(VALUE(L582:M582),0))</f>
        <v>0</v>
      </c>
      <c r="P582" s="9" t="str">
        <f t="shared" ref="P582:P645" si="87">+LEFT(A582,2)</f>
        <v/>
      </c>
      <c r="Q582" s="9">
        <f t="shared" ref="Q582:Q645" si="88">+C582</f>
        <v>0</v>
      </c>
      <c r="R582" s="9">
        <f t="shared" ref="R582:R645" si="89">-D582</f>
        <v>0</v>
      </c>
      <c r="S582" s="9">
        <f t="array" ref="S582">+SUM(IFERROR(VALUE(Q582:R582),0))</f>
        <v>0</v>
      </c>
    </row>
    <row r="583" spans="1:19" ht="14.4">
      <c r="A583"/>
      <c r="B583"/>
      <c r="C583" s="27"/>
      <c r="D583" s="28"/>
      <c r="F583" s="9" t="str">
        <f t="shared" si="81"/>
        <v/>
      </c>
      <c r="G583" s="9">
        <f t="shared" si="82"/>
        <v>0</v>
      </c>
      <c r="H583" s="9">
        <f t="shared" si="83"/>
        <v>0</v>
      </c>
      <c r="I583" s="9">
        <f t="array" ref="I583">+SUM(IFERROR(VALUE(G583:H583),0))</f>
        <v>0</v>
      </c>
      <c r="K583" s="9" t="str">
        <f t="shared" si="84"/>
        <v/>
      </c>
      <c r="L583" s="9">
        <f t="shared" si="85"/>
        <v>0</v>
      </c>
      <c r="M583" s="9">
        <f t="shared" si="86"/>
        <v>0</v>
      </c>
      <c r="N583" s="9">
        <f t="array" ref="N583">+SUM(IFERROR(VALUE(L583:M583),0))</f>
        <v>0</v>
      </c>
      <c r="P583" s="9" t="str">
        <f t="shared" si="87"/>
        <v/>
      </c>
      <c r="Q583" s="9">
        <f t="shared" si="88"/>
        <v>0</v>
      </c>
      <c r="R583" s="9">
        <f t="shared" si="89"/>
        <v>0</v>
      </c>
      <c r="S583" s="9">
        <f t="array" ref="S583">+SUM(IFERROR(VALUE(Q583:R583),0))</f>
        <v>0</v>
      </c>
    </row>
    <row r="584" spans="1:19" ht="14.4">
      <c r="A584"/>
      <c r="B584"/>
      <c r="C584" s="27"/>
      <c r="D584" s="28"/>
      <c r="F584" s="9" t="str">
        <f t="shared" si="81"/>
        <v/>
      </c>
      <c r="G584" s="9">
        <f t="shared" si="82"/>
        <v>0</v>
      </c>
      <c r="H584" s="9">
        <f t="shared" si="83"/>
        <v>0</v>
      </c>
      <c r="I584" s="9">
        <f t="array" ref="I584">+SUM(IFERROR(VALUE(G584:H584),0))</f>
        <v>0</v>
      </c>
      <c r="K584" s="9" t="str">
        <f t="shared" si="84"/>
        <v/>
      </c>
      <c r="L584" s="9">
        <f t="shared" si="85"/>
        <v>0</v>
      </c>
      <c r="M584" s="9">
        <f t="shared" si="86"/>
        <v>0</v>
      </c>
      <c r="N584" s="9">
        <f t="array" ref="N584">+SUM(IFERROR(VALUE(L584:M584),0))</f>
        <v>0</v>
      </c>
      <c r="P584" s="9" t="str">
        <f t="shared" si="87"/>
        <v/>
      </c>
      <c r="Q584" s="9">
        <f t="shared" si="88"/>
        <v>0</v>
      </c>
      <c r="R584" s="9">
        <f t="shared" si="89"/>
        <v>0</v>
      </c>
      <c r="S584" s="9">
        <f t="array" ref="S584">+SUM(IFERROR(VALUE(Q584:R584),0))</f>
        <v>0</v>
      </c>
    </row>
    <row r="585" spans="1:19" ht="14.4">
      <c r="A585"/>
      <c r="B585"/>
      <c r="C585" s="27"/>
      <c r="D585" s="28"/>
      <c r="F585" s="9" t="str">
        <f t="shared" si="81"/>
        <v/>
      </c>
      <c r="G585" s="9">
        <f t="shared" si="82"/>
        <v>0</v>
      </c>
      <c r="H585" s="9">
        <f t="shared" si="83"/>
        <v>0</v>
      </c>
      <c r="I585" s="9">
        <f t="array" ref="I585">+SUM(IFERROR(VALUE(G585:H585),0))</f>
        <v>0</v>
      </c>
      <c r="K585" s="9" t="str">
        <f t="shared" si="84"/>
        <v/>
      </c>
      <c r="L585" s="9">
        <f t="shared" si="85"/>
        <v>0</v>
      </c>
      <c r="M585" s="9">
        <f t="shared" si="86"/>
        <v>0</v>
      </c>
      <c r="N585" s="9">
        <f t="array" ref="N585">+SUM(IFERROR(VALUE(L585:M585),0))</f>
        <v>0</v>
      </c>
      <c r="P585" s="9" t="str">
        <f t="shared" si="87"/>
        <v/>
      </c>
      <c r="Q585" s="9">
        <f t="shared" si="88"/>
        <v>0</v>
      </c>
      <c r="R585" s="9">
        <f t="shared" si="89"/>
        <v>0</v>
      </c>
      <c r="S585" s="9">
        <f t="array" ref="S585">+SUM(IFERROR(VALUE(Q585:R585),0))</f>
        <v>0</v>
      </c>
    </row>
    <row r="586" spans="1:19" ht="14.4">
      <c r="A586"/>
      <c r="B586"/>
      <c r="C586" s="27"/>
      <c r="D586" s="28"/>
      <c r="F586" s="9" t="str">
        <f t="shared" si="81"/>
        <v/>
      </c>
      <c r="G586" s="9">
        <f t="shared" si="82"/>
        <v>0</v>
      </c>
      <c r="H586" s="9">
        <f t="shared" si="83"/>
        <v>0</v>
      </c>
      <c r="I586" s="9">
        <f t="array" ref="I586">+SUM(IFERROR(VALUE(G586:H586),0))</f>
        <v>0</v>
      </c>
      <c r="K586" s="9" t="str">
        <f t="shared" si="84"/>
        <v/>
      </c>
      <c r="L586" s="9">
        <f t="shared" si="85"/>
        <v>0</v>
      </c>
      <c r="M586" s="9">
        <f t="shared" si="86"/>
        <v>0</v>
      </c>
      <c r="N586" s="9">
        <f t="array" ref="N586">+SUM(IFERROR(VALUE(L586:M586),0))</f>
        <v>0</v>
      </c>
      <c r="P586" s="9" t="str">
        <f t="shared" si="87"/>
        <v/>
      </c>
      <c r="Q586" s="9">
        <f t="shared" si="88"/>
        <v>0</v>
      </c>
      <c r="R586" s="9">
        <f t="shared" si="89"/>
        <v>0</v>
      </c>
      <c r="S586" s="9">
        <f t="array" ref="S586">+SUM(IFERROR(VALUE(Q586:R586),0))</f>
        <v>0</v>
      </c>
    </row>
    <row r="587" spans="1:19" ht="14.4">
      <c r="A587"/>
      <c r="B587"/>
      <c r="C587" s="27"/>
      <c r="D587" s="28"/>
      <c r="F587" s="9" t="str">
        <f t="shared" si="81"/>
        <v/>
      </c>
      <c r="G587" s="9">
        <f t="shared" si="82"/>
        <v>0</v>
      </c>
      <c r="H587" s="9">
        <f t="shared" si="83"/>
        <v>0</v>
      </c>
      <c r="I587" s="9">
        <f t="array" ref="I587">+SUM(IFERROR(VALUE(G587:H587),0))</f>
        <v>0</v>
      </c>
      <c r="K587" s="9" t="str">
        <f t="shared" si="84"/>
        <v/>
      </c>
      <c r="L587" s="9">
        <f t="shared" si="85"/>
        <v>0</v>
      </c>
      <c r="M587" s="9">
        <f t="shared" si="86"/>
        <v>0</v>
      </c>
      <c r="N587" s="9">
        <f t="array" ref="N587">+SUM(IFERROR(VALUE(L587:M587),0))</f>
        <v>0</v>
      </c>
      <c r="P587" s="9" t="str">
        <f t="shared" si="87"/>
        <v/>
      </c>
      <c r="Q587" s="9">
        <f t="shared" si="88"/>
        <v>0</v>
      </c>
      <c r="R587" s="9">
        <f t="shared" si="89"/>
        <v>0</v>
      </c>
      <c r="S587" s="9">
        <f t="array" ref="S587">+SUM(IFERROR(VALUE(Q587:R587),0))</f>
        <v>0</v>
      </c>
    </row>
    <row r="588" spans="1:19" ht="14.4">
      <c r="A588"/>
      <c r="B588"/>
      <c r="C588" s="27"/>
      <c r="D588" s="28"/>
      <c r="F588" s="9" t="str">
        <f t="shared" si="81"/>
        <v/>
      </c>
      <c r="G588" s="9">
        <f t="shared" si="82"/>
        <v>0</v>
      </c>
      <c r="H588" s="9">
        <f t="shared" si="83"/>
        <v>0</v>
      </c>
      <c r="I588" s="9">
        <f t="array" ref="I588">+SUM(IFERROR(VALUE(G588:H588),0))</f>
        <v>0</v>
      </c>
      <c r="K588" s="9" t="str">
        <f t="shared" si="84"/>
        <v/>
      </c>
      <c r="L588" s="9">
        <f t="shared" si="85"/>
        <v>0</v>
      </c>
      <c r="M588" s="9">
        <f t="shared" si="86"/>
        <v>0</v>
      </c>
      <c r="N588" s="9">
        <f t="array" ref="N588">+SUM(IFERROR(VALUE(L588:M588),0))</f>
        <v>0</v>
      </c>
      <c r="P588" s="9" t="str">
        <f t="shared" si="87"/>
        <v/>
      </c>
      <c r="Q588" s="9">
        <f t="shared" si="88"/>
        <v>0</v>
      </c>
      <c r="R588" s="9">
        <f t="shared" si="89"/>
        <v>0</v>
      </c>
      <c r="S588" s="9">
        <f t="array" ref="S588">+SUM(IFERROR(VALUE(Q588:R588),0))</f>
        <v>0</v>
      </c>
    </row>
    <row r="589" spans="1:19" ht="14.4">
      <c r="A589"/>
      <c r="B589"/>
      <c r="C589" s="27"/>
      <c r="D589" s="28"/>
      <c r="F589" s="9" t="str">
        <f t="shared" si="81"/>
        <v/>
      </c>
      <c r="G589" s="9">
        <f t="shared" si="82"/>
        <v>0</v>
      </c>
      <c r="H589" s="9">
        <f t="shared" si="83"/>
        <v>0</v>
      </c>
      <c r="I589" s="9">
        <f t="array" ref="I589">+SUM(IFERROR(VALUE(G589:H589),0))</f>
        <v>0</v>
      </c>
      <c r="K589" s="9" t="str">
        <f t="shared" si="84"/>
        <v/>
      </c>
      <c r="L589" s="9">
        <f t="shared" si="85"/>
        <v>0</v>
      </c>
      <c r="M589" s="9">
        <f t="shared" si="86"/>
        <v>0</v>
      </c>
      <c r="N589" s="9">
        <f t="array" ref="N589">+SUM(IFERROR(VALUE(L589:M589),0))</f>
        <v>0</v>
      </c>
      <c r="P589" s="9" t="str">
        <f t="shared" si="87"/>
        <v/>
      </c>
      <c r="Q589" s="9">
        <f t="shared" si="88"/>
        <v>0</v>
      </c>
      <c r="R589" s="9">
        <f t="shared" si="89"/>
        <v>0</v>
      </c>
      <c r="S589" s="9">
        <f t="array" ref="S589">+SUM(IFERROR(VALUE(Q589:R589),0))</f>
        <v>0</v>
      </c>
    </row>
    <row r="590" spans="1:19" ht="14.4">
      <c r="A590"/>
      <c r="B590"/>
      <c r="C590" s="27"/>
      <c r="D590" s="28"/>
      <c r="F590" s="9" t="str">
        <f t="shared" si="81"/>
        <v/>
      </c>
      <c r="G590" s="9">
        <f t="shared" si="82"/>
        <v>0</v>
      </c>
      <c r="H590" s="9">
        <f t="shared" si="83"/>
        <v>0</v>
      </c>
      <c r="I590" s="9">
        <f t="array" ref="I590">+SUM(IFERROR(VALUE(G590:H590),0))</f>
        <v>0</v>
      </c>
      <c r="K590" s="9" t="str">
        <f t="shared" si="84"/>
        <v/>
      </c>
      <c r="L590" s="9">
        <f t="shared" si="85"/>
        <v>0</v>
      </c>
      <c r="M590" s="9">
        <f t="shared" si="86"/>
        <v>0</v>
      </c>
      <c r="N590" s="9">
        <f t="array" ref="N590">+SUM(IFERROR(VALUE(L590:M590),0))</f>
        <v>0</v>
      </c>
      <c r="P590" s="9" t="str">
        <f t="shared" si="87"/>
        <v/>
      </c>
      <c r="Q590" s="9">
        <f t="shared" si="88"/>
        <v>0</v>
      </c>
      <c r="R590" s="9">
        <f t="shared" si="89"/>
        <v>0</v>
      </c>
      <c r="S590" s="9">
        <f t="array" ref="S590">+SUM(IFERROR(VALUE(Q590:R590),0))</f>
        <v>0</v>
      </c>
    </row>
    <row r="591" spans="1:19" ht="14.4">
      <c r="A591"/>
      <c r="B591"/>
      <c r="C591" s="27"/>
      <c r="D591" s="28"/>
      <c r="F591" s="9" t="str">
        <f t="shared" si="81"/>
        <v/>
      </c>
      <c r="G591" s="9">
        <f t="shared" si="82"/>
        <v>0</v>
      </c>
      <c r="H591" s="9">
        <f t="shared" si="83"/>
        <v>0</v>
      </c>
      <c r="I591" s="9">
        <f t="array" ref="I591">+SUM(IFERROR(VALUE(G591:H591),0))</f>
        <v>0</v>
      </c>
      <c r="K591" s="9" t="str">
        <f t="shared" si="84"/>
        <v/>
      </c>
      <c r="L591" s="9">
        <f t="shared" si="85"/>
        <v>0</v>
      </c>
      <c r="M591" s="9">
        <f t="shared" si="86"/>
        <v>0</v>
      </c>
      <c r="N591" s="9">
        <f t="array" ref="N591">+SUM(IFERROR(VALUE(L591:M591),0))</f>
        <v>0</v>
      </c>
      <c r="P591" s="9" t="str">
        <f t="shared" si="87"/>
        <v/>
      </c>
      <c r="Q591" s="9">
        <f t="shared" si="88"/>
        <v>0</v>
      </c>
      <c r="R591" s="9">
        <f t="shared" si="89"/>
        <v>0</v>
      </c>
      <c r="S591" s="9">
        <f t="array" ref="S591">+SUM(IFERROR(VALUE(Q591:R591),0))</f>
        <v>0</v>
      </c>
    </row>
    <row r="592" spans="1:19" ht="14.4">
      <c r="A592"/>
      <c r="B592"/>
      <c r="C592" s="27"/>
      <c r="D592" s="28"/>
      <c r="F592" s="9" t="str">
        <f t="shared" si="81"/>
        <v/>
      </c>
      <c r="G592" s="9">
        <f t="shared" si="82"/>
        <v>0</v>
      </c>
      <c r="H592" s="9">
        <f t="shared" si="83"/>
        <v>0</v>
      </c>
      <c r="I592" s="9">
        <f t="array" ref="I592">+SUM(IFERROR(VALUE(G592:H592),0))</f>
        <v>0</v>
      </c>
      <c r="K592" s="9" t="str">
        <f t="shared" si="84"/>
        <v/>
      </c>
      <c r="L592" s="9">
        <f t="shared" si="85"/>
        <v>0</v>
      </c>
      <c r="M592" s="9">
        <f t="shared" si="86"/>
        <v>0</v>
      </c>
      <c r="N592" s="9">
        <f t="array" ref="N592">+SUM(IFERROR(VALUE(L592:M592),0))</f>
        <v>0</v>
      </c>
      <c r="P592" s="9" t="str">
        <f t="shared" si="87"/>
        <v/>
      </c>
      <c r="Q592" s="9">
        <f t="shared" si="88"/>
        <v>0</v>
      </c>
      <c r="R592" s="9">
        <f t="shared" si="89"/>
        <v>0</v>
      </c>
      <c r="S592" s="9">
        <f t="array" ref="S592">+SUM(IFERROR(VALUE(Q592:R592),0))</f>
        <v>0</v>
      </c>
    </row>
    <row r="593" spans="1:19" ht="14.4">
      <c r="A593"/>
      <c r="B593"/>
      <c r="C593" s="27"/>
      <c r="D593" s="28"/>
      <c r="F593" s="9" t="str">
        <f t="shared" si="81"/>
        <v/>
      </c>
      <c r="G593" s="9">
        <f t="shared" si="82"/>
        <v>0</v>
      </c>
      <c r="H593" s="9">
        <f t="shared" si="83"/>
        <v>0</v>
      </c>
      <c r="I593" s="9">
        <f t="array" ref="I593">+SUM(IFERROR(VALUE(G593:H593),0))</f>
        <v>0</v>
      </c>
      <c r="K593" s="9" t="str">
        <f t="shared" si="84"/>
        <v/>
      </c>
      <c r="L593" s="9">
        <f t="shared" si="85"/>
        <v>0</v>
      </c>
      <c r="M593" s="9">
        <f t="shared" si="86"/>
        <v>0</v>
      </c>
      <c r="N593" s="9">
        <f t="array" ref="N593">+SUM(IFERROR(VALUE(L593:M593),0))</f>
        <v>0</v>
      </c>
      <c r="P593" s="9" t="str">
        <f t="shared" si="87"/>
        <v/>
      </c>
      <c r="Q593" s="9">
        <f t="shared" si="88"/>
        <v>0</v>
      </c>
      <c r="R593" s="9">
        <f t="shared" si="89"/>
        <v>0</v>
      </c>
      <c r="S593" s="9">
        <f t="array" ref="S593">+SUM(IFERROR(VALUE(Q593:R593),0))</f>
        <v>0</v>
      </c>
    </row>
    <row r="594" spans="1:19" ht="14.4">
      <c r="A594"/>
      <c r="B594"/>
      <c r="C594" s="27"/>
      <c r="D594" s="28"/>
      <c r="F594" s="9" t="str">
        <f t="shared" si="81"/>
        <v/>
      </c>
      <c r="G594" s="9">
        <f t="shared" si="82"/>
        <v>0</v>
      </c>
      <c r="H594" s="9">
        <f t="shared" si="83"/>
        <v>0</v>
      </c>
      <c r="I594" s="9">
        <f t="array" ref="I594">+SUM(IFERROR(VALUE(G594:H594),0))</f>
        <v>0</v>
      </c>
      <c r="K594" s="9" t="str">
        <f t="shared" si="84"/>
        <v/>
      </c>
      <c r="L594" s="9">
        <f t="shared" si="85"/>
        <v>0</v>
      </c>
      <c r="M594" s="9">
        <f t="shared" si="86"/>
        <v>0</v>
      </c>
      <c r="N594" s="9">
        <f t="array" ref="N594">+SUM(IFERROR(VALUE(L594:M594),0))</f>
        <v>0</v>
      </c>
      <c r="P594" s="9" t="str">
        <f t="shared" si="87"/>
        <v/>
      </c>
      <c r="Q594" s="9">
        <f t="shared" si="88"/>
        <v>0</v>
      </c>
      <c r="R594" s="9">
        <f t="shared" si="89"/>
        <v>0</v>
      </c>
      <c r="S594" s="9">
        <f t="array" ref="S594">+SUM(IFERROR(VALUE(Q594:R594),0))</f>
        <v>0</v>
      </c>
    </row>
    <row r="595" spans="1:19" ht="14.4">
      <c r="A595"/>
      <c r="B595"/>
      <c r="C595" s="27"/>
      <c r="D595" s="28"/>
      <c r="F595" s="9" t="str">
        <f t="shared" si="81"/>
        <v/>
      </c>
      <c r="G595" s="9">
        <f t="shared" si="82"/>
        <v>0</v>
      </c>
      <c r="H595" s="9">
        <f t="shared" si="83"/>
        <v>0</v>
      </c>
      <c r="I595" s="9">
        <f t="array" ref="I595">+SUM(IFERROR(VALUE(G595:H595),0))</f>
        <v>0</v>
      </c>
      <c r="K595" s="9" t="str">
        <f t="shared" si="84"/>
        <v/>
      </c>
      <c r="L595" s="9">
        <f t="shared" si="85"/>
        <v>0</v>
      </c>
      <c r="M595" s="9">
        <f t="shared" si="86"/>
        <v>0</v>
      </c>
      <c r="N595" s="9">
        <f t="array" ref="N595">+SUM(IFERROR(VALUE(L595:M595),0))</f>
        <v>0</v>
      </c>
      <c r="P595" s="9" t="str">
        <f t="shared" si="87"/>
        <v/>
      </c>
      <c r="Q595" s="9">
        <f t="shared" si="88"/>
        <v>0</v>
      </c>
      <c r="R595" s="9">
        <f t="shared" si="89"/>
        <v>0</v>
      </c>
      <c r="S595" s="9">
        <f t="array" ref="S595">+SUM(IFERROR(VALUE(Q595:R595),0))</f>
        <v>0</v>
      </c>
    </row>
    <row r="596" spans="1:19" ht="14.4">
      <c r="A596"/>
      <c r="B596"/>
      <c r="C596" s="27"/>
      <c r="D596" s="28"/>
      <c r="F596" s="9" t="str">
        <f t="shared" si="81"/>
        <v/>
      </c>
      <c r="G596" s="9">
        <f t="shared" si="82"/>
        <v>0</v>
      </c>
      <c r="H596" s="9">
        <f t="shared" si="83"/>
        <v>0</v>
      </c>
      <c r="I596" s="9">
        <f t="array" ref="I596">+SUM(IFERROR(VALUE(G596:H596),0))</f>
        <v>0</v>
      </c>
      <c r="K596" s="9" t="str">
        <f t="shared" si="84"/>
        <v/>
      </c>
      <c r="L596" s="9">
        <f t="shared" si="85"/>
        <v>0</v>
      </c>
      <c r="M596" s="9">
        <f t="shared" si="86"/>
        <v>0</v>
      </c>
      <c r="N596" s="9">
        <f t="array" ref="N596">+SUM(IFERROR(VALUE(L596:M596),0))</f>
        <v>0</v>
      </c>
      <c r="P596" s="9" t="str">
        <f t="shared" si="87"/>
        <v/>
      </c>
      <c r="Q596" s="9">
        <f t="shared" si="88"/>
        <v>0</v>
      </c>
      <c r="R596" s="9">
        <f t="shared" si="89"/>
        <v>0</v>
      </c>
      <c r="S596" s="9">
        <f t="array" ref="S596">+SUM(IFERROR(VALUE(Q596:R596),0))</f>
        <v>0</v>
      </c>
    </row>
    <row r="597" spans="1:19" ht="14.4">
      <c r="A597"/>
      <c r="B597"/>
      <c r="C597" s="27"/>
      <c r="D597" s="28"/>
      <c r="F597" s="9" t="str">
        <f t="shared" si="81"/>
        <v/>
      </c>
      <c r="G597" s="9">
        <f t="shared" si="82"/>
        <v>0</v>
      </c>
      <c r="H597" s="9">
        <f t="shared" si="83"/>
        <v>0</v>
      </c>
      <c r="I597" s="9">
        <f t="array" ref="I597">+SUM(IFERROR(VALUE(G597:H597),0))</f>
        <v>0</v>
      </c>
      <c r="K597" s="9" t="str">
        <f t="shared" si="84"/>
        <v/>
      </c>
      <c r="L597" s="9">
        <f t="shared" si="85"/>
        <v>0</v>
      </c>
      <c r="M597" s="9">
        <f t="shared" si="86"/>
        <v>0</v>
      </c>
      <c r="N597" s="9">
        <f t="array" ref="N597">+SUM(IFERROR(VALUE(L597:M597),0))</f>
        <v>0</v>
      </c>
      <c r="P597" s="9" t="str">
        <f t="shared" si="87"/>
        <v/>
      </c>
      <c r="Q597" s="9">
        <f t="shared" si="88"/>
        <v>0</v>
      </c>
      <c r="R597" s="9">
        <f t="shared" si="89"/>
        <v>0</v>
      </c>
      <c r="S597" s="9">
        <f t="array" ref="S597">+SUM(IFERROR(VALUE(Q597:R597),0))</f>
        <v>0</v>
      </c>
    </row>
    <row r="598" spans="1:19" ht="14.4">
      <c r="A598"/>
      <c r="B598"/>
      <c r="C598" s="27"/>
      <c r="D598" s="28"/>
      <c r="F598" s="9" t="str">
        <f t="shared" si="81"/>
        <v/>
      </c>
      <c r="G598" s="9">
        <f t="shared" si="82"/>
        <v>0</v>
      </c>
      <c r="H598" s="9">
        <f t="shared" si="83"/>
        <v>0</v>
      </c>
      <c r="I598" s="9">
        <f t="array" ref="I598">+SUM(IFERROR(VALUE(G598:H598),0))</f>
        <v>0</v>
      </c>
      <c r="K598" s="9" t="str">
        <f t="shared" si="84"/>
        <v/>
      </c>
      <c r="L598" s="9">
        <f t="shared" si="85"/>
        <v>0</v>
      </c>
      <c r="M598" s="9">
        <f t="shared" si="86"/>
        <v>0</v>
      </c>
      <c r="N598" s="9">
        <f t="array" ref="N598">+SUM(IFERROR(VALUE(L598:M598),0))</f>
        <v>0</v>
      </c>
      <c r="P598" s="9" t="str">
        <f t="shared" si="87"/>
        <v/>
      </c>
      <c r="Q598" s="9">
        <f t="shared" si="88"/>
        <v>0</v>
      </c>
      <c r="R598" s="9">
        <f t="shared" si="89"/>
        <v>0</v>
      </c>
      <c r="S598" s="9">
        <f t="array" ref="S598">+SUM(IFERROR(VALUE(Q598:R598),0))</f>
        <v>0</v>
      </c>
    </row>
    <row r="599" spans="1:19" ht="14.4">
      <c r="A599"/>
      <c r="B599"/>
      <c r="C599" s="27"/>
      <c r="D599" s="28"/>
      <c r="F599" s="9" t="str">
        <f t="shared" si="81"/>
        <v/>
      </c>
      <c r="G599" s="9">
        <f t="shared" si="82"/>
        <v>0</v>
      </c>
      <c r="H599" s="9">
        <f t="shared" si="83"/>
        <v>0</v>
      </c>
      <c r="I599" s="9">
        <f t="array" ref="I599">+SUM(IFERROR(VALUE(G599:H599),0))</f>
        <v>0</v>
      </c>
      <c r="K599" s="9" t="str">
        <f t="shared" si="84"/>
        <v/>
      </c>
      <c r="L599" s="9">
        <f t="shared" si="85"/>
        <v>0</v>
      </c>
      <c r="M599" s="9">
        <f t="shared" si="86"/>
        <v>0</v>
      </c>
      <c r="N599" s="9">
        <f t="array" ref="N599">+SUM(IFERROR(VALUE(L599:M599),0))</f>
        <v>0</v>
      </c>
      <c r="P599" s="9" t="str">
        <f t="shared" si="87"/>
        <v/>
      </c>
      <c r="Q599" s="9">
        <f t="shared" si="88"/>
        <v>0</v>
      </c>
      <c r="R599" s="9">
        <f t="shared" si="89"/>
        <v>0</v>
      </c>
      <c r="S599" s="9">
        <f t="array" ref="S599">+SUM(IFERROR(VALUE(Q599:R599),0))</f>
        <v>0</v>
      </c>
    </row>
    <row r="600" spans="1:19" ht="14.4">
      <c r="A600"/>
      <c r="B600"/>
      <c r="C600" s="27"/>
      <c r="D600" s="28"/>
      <c r="F600" s="9" t="str">
        <f t="shared" si="81"/>
        <v/>
      </c>
      <c r="G600" s="9">
        <f t="shared" si="82"/>
        <v>0</v>
      </c>
      <c r="H600" s="9">
        <f t="shared" si="83"/>
        <v>0</v>
      </c>
      <c r="I600" s="9">
        <f t="array" ref="I600">+SUM(IFERROR(VALUE(G600:H600),0))</f>
        <v>0</v>
      </c>
      <c r="K600" s="9" t="str">
        <f t="shared" si="84"/>
        <v/>
      </c>
      <c r="L600" s="9">
        <f t="shared" si="85"/>
        <v>0</v>
      </c>
      <c r="M600" s="9">
        <f t="shared" si="86"/>
        <v>0</v>
      </c>
      <c r="N600" s="9">
        <f t="array" ref="N600">+SUM(IFERROR(VALUE(L600:M600),0))</f>
        <v>0</v>
      </c>
      <c r="P600" s="9" t="str">
        <f t="shared" si="87"/>
        <v/>
      </c>
      <c r="Q600" s="9">
        <f t="shared" si="88"/>
        <v>0</v>
      </c>
      <c r="R600" s="9">
        <f t="shared" si="89"/>
        <v>0</v>
      </c>
      <c r="S600" s="9">
        <f t="array" ref="S600">+SUM(IFERROR(VALUE(Q600:R600),0))</f>
        <v>0</v>
      </c>
    </row>
    <row r="601" spans="1:19" ht="14.4">
      <c r="A601"/>
      <c r="B601"/>
      <c r="C601" s="27"/>
      <c r="D601" s="28"/>
      <c r="F601" s="9" t="str">
        <f t="shared" si="81"/>
        <v/>
      </c>
      <c r="G601" s="9">
        <f t="shared" si="82"/>
        <v>0</v>
      </c>
      <c r="H601" s="9">
        <f t="shared" si="83"/>
        <v>0</v>
      </c>
      <c r="I601" s="9">
        <f t="array" ref="I601">+SUM(IFERROR(VALUE(G601:H601),0))</f>
        <v>0</v>
      </c>
      <c r="K601" s="9" t="str">
        <f t="shared" si="84"/>
        <v/>
      </c>
      <c r="L601" s="9">
        <f t="shared" si="85"/>
        <v>0</v>
      </c>
      <c r="M601" s="9">
        <f t="shared" si="86"/>
        <v>0</v>
      </c>
      <c r="N601" s="9">
        <f t="array" ref="N601">+SUM(IFERROR(VALUE(L601:M601),0))</f>
        <v>0</v>
      </c>
      <c r="P601" s="9" t="str">
        <f t="shared" si="87"/>
        <v/>
      </c>
      <c r="Q601" s="9">
        <f t="shared" si="88"/>
        <v>0</v>
      </c>
      <c r="R601" s="9">
        <f t="shared" si="89"/>
        <v>0</v>
      </c>
      <c r="S601" s="9">
        <f t="array" ref="S601">+SUM(IFERROR(VALUE(Q601:R601),0))</f>
        <v>0</v>
      </c>
    </row>
    <row r="602" spans="1:19" ht="14.4">
      <c r="A602"/>
      <c r="B602"/>
      <c r="C602" s="27"/>
      <c r="D602" s="28"/>
      <c r="F602" s="9" t="str">
        <f t="shared" si="81"/>
        <v/>
      </c>
      <c r="G602" s="9">
        <f t="shared" si="82"/>
        <v>0</v>
      </c>
      <c r="H602" s="9">
        <f t="shared" si="83"/>
        <v>0</v>
      </c>
      <c r="I602" s="9">
        <f t="array" ref="I602">+SUM(IFERROR(VALUE(G602:H602),0))</f>
        <v>0</v>
      </c>
      <c r="K602" s="9" t="str">
        <f t="shared" si="84"/>
        <v/>
      </c>
      <c r="L602" s="9">
        <f t="shared" si="85"/>
        <v>0</v>
      </c>
      <c r="M602" s="9">
        <f t="shared" si="86"/>
        <v>0</v>
      </c>
      <c r="N602" s="9">
        <f t="array" ref="N602">+SUM(IFERROR(VALUE(L602:M602),0))</f>
        <v>0</v>
      </c>
      <c r="P602" s="9" t="str">
        <f t="shared" si="87"/>
        <v/>
      </c>
      <c r="Q602" s="9">
        <f t="shared" si="88"/>
        <v>0</v>
      </c>
      <c r="R602" s="9">
        <f t="shared" si="89"/>
        <v>0</v>
      </c>
      <c r="S602" s="9">
        <f t="array" ref="S602">+SUM(IFERROR(VALUE(Q602:R602),0))</f>
        <v>0</v>
      </c>
    </row>
    <row r="603" spans="1:19" ht="14.4">
      <c r="A603"/>
      <c r="B603"/>
      <c r="C603" s="27"/>
      <c r="D603" s="28"/>
      <c r="F603" s="9" t="str">
        <f t="shared" si="81"/>
        <v/>
      </c>
      <c r="G603" s="9">
        <f t="shared" si="82"/>
        <v>0</v>
      </c>
      <c r="H603" s="9">
        <f t="shared" si="83"/>
        <v>0</v>
      </c>
      <c r="I603" s="9">
        <f t="array" ref="I603">+SUM(IFERROR(VALUE(G603:H603),0))</f>
        <v>0</v>
      </c>
      <c r="K603" s="9" t="str">
        <f t="shared" si="84"/>
        <v/>
      </c>
      <c r="L603" s="9">
        <f t="shared" si="85"/>
        <v>0</v>
      </c>
      <c r="M603" s="9">
        <f t="shared" si="86"/>
        <v>0</v>
      </c>
      <c r="N603" s="9">
        <f t="array" ref="N603">+SUM(IFERROR(VALUE(L603:M603),0))</f>
        <v>0</v>
      </c>
      <c r="P603" s="9" t="str">
        <f t="shared" si="87"/>
        <v/>
      </c>
      <c r="Q603" s="9">
        <f t="shared" si="88"/>
        <v>0</v>
      </c>
      <c r="R603" s="9">
        <f t="shared" si="89"/>
        <v>0</v>
      </c>
      <c r="S603" s="9">
        <f t="array" ref="S603">+SUM(IFERROR(VALUE(Q603:R603),0))</f>
        <v>0</v>
      </c>
    </row>
    <row r="604" spans="1:19" ht="14.4">
      <c r="A604"/>
      <c r="B604"/>
      <c r="C604" s="27"/>
      <c r="D604" s="28"/>
      <c r="F604" s="9" t="str">
        <f t="shared" si="81"/>
        <v/>
      </c>
      <c r="G604" s="9">
        <f t="shared" si="82"/>
        <v>0</v>
      </c>
      <c r="H604" s="9">
        <f t="shared" si="83"/>
        <v>0</v>
      </c>
      <c r="I604" s="9">
        <f t="array" ref="I604">+SUM(IFERROR(VALUE(G604:H604),0))</f>
        <v>0</v>
      </c>
      <c r="K604" s="9" t="str">
        <f t="shared" si="84"/>
        <v/>
      </c>
      <c r="L604" s="9">
        <f t="shared" si="85"/>
        <v>0</v>
      </c>
      <c r="M604" s="9">
        <f t="shared" si="86"/>
        <v>0</v>
      </c>
      <c r="N604" s="9">
        <f t="array" ref="N604">+SUM(IFERROR(VALUE(L604:M604),0))</f>
        <v>0</v>
      </c>
      <c r="P604" s="9" t="str">
        <f t="shared" si="87"/>
        <v/>
      </c>
      <c r="Q604" s="9">
        <f t="shared" si="88"/>
        <v>0</v>
      </c>
      <c r="R604" s="9">
        <f t="shared" si="89"/>
        <v>0</v>
      </c>
      <c r="S604" s="9">
        <f t="array" ref="S604">+SUM(IFERROR(VALUE(Q604:R604),0))</f>
        <v>0</v>
      </c>
    </row>
    <row r="605" spans="1:19" ht="14.4">
      <c r="A605"/>
      <c r="B605"/>
      <c r="C605" s="27"/>
      <c r="D605" s="28"/>
      <c r="F605" s="9" t="str">
        <f t="shared" si="81"/>
        <v/>
      </c>
      <c r="G605" s="9">
        <f t="shared" si="82"/>
        <v>0</v>
      </c>
      <c r="H605" s="9">
        <f t="shared" si="83"/>
        <v>0</v>
      </c>
      <c r="I605" s="9">
        <f t="array" ref="I605">+SUM(IFERROR(VALUE(G605:H605),0))</f>
        <v>0</v>
      </c>
      <c r="K605" s="9" t="str">
        <f t="shared" si="84"/>
        <v/>
      </c>
      <c r="L605" s="9">
        <f t="shared" si="85"/>
        <v>0</v>
      </c>
      <c r="M605" s="9">
        <f t="shared" si="86"/>
        <v>0</v>
      </c>
      <c r="N605" s="9">
        <f t="array" ref="N605">+SUM(IFERROR(VALUE(L605:M605),0))</f>
        <v>0</v>
      </c>
      <c r="P605" s="9" t="str">
        <f t="shared" si="87"/>
        <v/>
      </c>
      <c r="Q605" s="9">
        <f t="shared" si="88"/>
        <v>0</v>
      </c>
      <c r="R605" s="9">
        <f t="shared" si="89"/>
        <v>0</v>
      </c>
      <c r="S605" s="9">
        <f t="array" ref="S605">+SUM(IFERROR(VALUE(Q605:R605),0))</f>
        <v>0</v>
      </c>
    </row>
    <row r="606" spans="1:19" ht="14.4">
      <c r="A606"/>
      <c r="B606"/>
      <c r="C606" s="27"/>
      <c r="D606" s="28"/>
      <c r="F606" s="9" t="str">
        <f t="shared" si="81"/>
        <v/>
      </c>
      <c r="G606" s="9">
        <f t="shared" si="82"/>
        <v>0</v>
      </c>
      <c r="H606" s="9">
        <f t="shared" si="83"/>
        <v>0</v>
      </c>
      <c r="I606" s="9">
        <f t="array" ref="I606">+SUM(IFERROR(VALUE(G606:H606),0))</f>
        <v>0</v>
      </c>
      <c r="K606" s="9" t="str">
        <f t="shared" si="84"/>
        <v/>
      </c>
      <c r="L606" s="9">
        <f t="shared" si="85"/>
        <v>0</v>
      </c>
      <c r="M606" s="9">
        <f t="shared" si="86"/>
        <v>0</v>
      </c>
      <c r="N606" s="9">
        <f t="array" ref="N606">+SUM(IFERROR(VALUE(L606:M606),0))</f>
        <v>0</v>
      </c>
      <c r="P606" s="9" t="str">
        <f t="shared" si="87"/>
        <v/>
      </c>
      <c r="Q606" s="9">
        <f t="shared" si="88"/>
        <v>0</v>
      </c>
      <c r="R606" s="9">
        <f t="shared" si="89"/>
        <v>0</v>
      </c>
      <c r="S606" s="9">
        <f t="array" ref="S606">+SUM(IFERROR(VALUE(Q606:R606),0))</f>
        <v>0</v>
      </c>
    </row>
    <row r="607" spans="1:19" ht="14.4">
      <c r="A607"/>
      <c r="B607"/>
      <c r="C607" s="27"/>
      <c r="D607" s="28"/>
      <c r="F607" s="9" t="str">
        <f t="shared" si="81"/>
        <v/>
      </c>
      <c r="G607" s="9">
        <f t="shared" si="82"/>
        <v>0</v>
      </c>
      <c r="H607" s="9">
        <f t="shared" si="83"/>
        <v>0</v>
      </c>
      <c r="I607" s="9">
        <f t="array" ref="I607">+SUM(IFERROR(VALUE(G607:H607),0))</f>
        <v>0</v>
      </c>
      <c r="K607" s="9" t="str">
        <f t="shared" si="84"/>
        <v/>
      </c>
      <c r="L607" s="9">
        <f t="shared" si="85"/>
        <v>0</v>
      </c>
      <c r="M607" s="9">
        <f t="shared" si="86"/>
        <v>0</v>
      </c>
      <c r="N607" s="9">
        <f t="array" ref="N607">+SUM(IFERROR(VALUE(L607:M607),0))</f>
        <v>0</v>
      </c>
      <c r="P607" s="9" t="str">
        <f t="shared" si="87"/>
        <v/>
      </c>
      <c r="Q607" s="9">
        <f t="shared" si="88"/>
        <v>0</v>
      </c>
      <c r="R607" s="9">
        <f t="shared" si="89"/>
        <v>0</v>
      </c>
      <c r="S607" s="9">
        <f t="array" ref="S607">+SUM(IFERROR(VALUE(Q607:R607),0))</f>
        <v>0</v>
      </c>
    </row>
    <row r="608" spans="1:19" ht="14.4">
      <c r="A608"/>
      <c r="B608"/>
      <c r="C608" s="27"/>
      <c r="D608" s="28"/>
      <c r="F608" s="9" t="str">
        <f t="shared" si="81"/>
        <v/>
      </c>
      <c r="G608" s="9">
        <f t="shared" si="82"/>
        <v>0</v>
      </c>
      <c r="H608" s="9">
        <f t="shared" si="83"/>
        <v>0</v>
      </c>
      <c r="I608" s="9">
        <f t="array" ref="I608">+SUM(IFERROR(VALUE(G608:H608),0))</f>
        <v>0</v>
      </c>
      <c r="K608" s="9" t="str">
        <f t="shared" si="84"/>
        <v/>
      </c>
      <c r="L608" s="9">
        <f t="shared" si="85"/>
        <v>0</v>
      </c>
      <c r="M608" s="9">
        <f t="shared" si="86"/>
        <v>0</v>
      </c>
      <c r="N608" s="9">
        <f t="array" ref="N608">+SUM(IFERROR(VALUE(L608:M608),0))</f>
        <v>0</v>
      </c>
      <c r="P608" s="9" t="str">
        <f t="shared" si="87"/>
        <v/>
      </c>
      <c r="Q608" s="9">
        <f t="shared" si="88"/>
        <v>0</v>
      </c>
      <c r="R608" s="9">
        <f t="shared" si="89"/>
        <v>0</v>
      </c>
      <c r="S608" s="9">
        <f t="array" ref="S608">+SUM(IFERROR(VALUE(Q608:R608),0))</f>
        <v>0</v>
      </c>
    </row>
    <row r="609" spans="1:19" ht="14.4">
      <c r="A609"/>
      <c r="B609"/>
      <c r="C609" s="27"/>
      <c r="D609" s="28"/>
      <c r="F609" s="9" t="str">
        <f t="shared" si="81"/>
        <v/>
      </c>
      <c r="G609" s="9">
        <f t="shared" si="82"/>
        <v>0</v>
      </c>
      <c r="H609" s="9">
        <f t="shared" si="83"/>
        <v>0</v>
      </c>
      <c r="I609" s="9">
        <f t="array" ref="I609">+SUM(IFERROR(VALUE(G609:H609),0))</f>
        <v>0</v>
      </c>
      <c r="K609" s="9" t="str">
        <f t="shared" si="84"/>
        <v/>
      </c>
      <c r="L609" s="9">
        <f t="shared" si="85"/>
        <v>0</v>
      </c>
      <c r="M609" s="9">
        <f t="shared" si="86"/>
        <v>0</v>
      </c>
      <c r="N609" s="9">
        <f t="array" ref="N609">+SUM(IFERROR(VALUE(L609:M609),0))</f>
        <v>0</v>
      </c>
      <c r="P609" s="9" t="str">
        <f t="shared" si="87"/>
        <v/>
      </c>
      <c r="Q609" s="9">
        <f t="shared" si="88"/>
        <v>0</v>
      </c>
      <c r="R609" s="9">
        <f t="shared" si="89"/>
        <v>0</v>
      </c>
      <c r="S609" s="9">
        <f t="array" ref="S609">+SUM(IFERROR(VALUE(Q609:R609),0))</f>
        <v>0</v>
      </c>
    </row>
    <row r="610" spans="1:19" ht="14.4">
      <c r="A610"/>
      <c r="B610"/>
      <c r="C610" s="27"/>
      <c r="D610" s="28"/>
      <c r="F610" s="9" t="str">
        <f t="shared" si="81"/>
        <v/>
      </c>
      <c r="G610" s="9">
        <f t="shared" si="82"/>
        <v>0</v>
      </c>
      <c r="H610" s="9">
        <f t="shared" si="83"/>
        <v>0</v>
      </c>
      <c r="I610" s="9">
        <f t="array" ref="I610">+SUM(IFERROR(VALUE(G610:H610),0))</f>
        <v>0</v>
      </c>
      <c r="K610" s="9" t="str">
        <f t="shared" si="84"/>
        <v/>
      </c>
      <c r="L610" s="9">
        <f t="shared" si="85"/>
        <v>0</v>
      </c>
      <c r="M610" s="9">
        <f t="shared" si="86"/>
        <v>0</v>
      </c>
      <c r="N610" s="9">
        <f t="array" ref="N610">+SUM(IFERROR(VALUE(L610:M610),0))</f>
        <v>0</v>
      </c>
      <c r="P610" s="9" t="str">
        <f t="shared" si="87"/>
        <v/>
      </c>
      <c r="Q610" s="9">
        <f t="shared" si="88"/>
        <v>0</v>
      </c>
      <c r="R610" s="9">
        <f t="shared" si="89"/>
        <v>0</v>
      </c>
      <c r="S610" s="9">
        <f t="array" ref="S610">+SUM(IFERROR(VALUE(Q610:R610),0))</f>
        <v>0</v>
      </c>
    </row>
    <row r="611" spans="1:19" ht="14.4">
      <c r="A611"/>
      <c r="B611"/>
      <c r="C611" s="27"/>
      <c r="D611" s="28"/>
      <c r="F611" s="9" t="str">
        <f t="shared" si="81"/>
        <v/>
      </c>
      <c r="G611" s="9">
        <f t="shared" si="82"/>
        <v>0</v>
      </c>
      <c r="H611" s="9">
        <f t="shared" si="83"/>
        <v>0</v>
      </c>
      <c r="I611" s="9">
        <f t="array" ref="I611">+SUM(IFERROR(VALUE(G611:H611),0))</f>
        <v>0</v>
      </c>
      <c r="K611" s="9" t="str">
        <f t="shared" si="84"/>
        <v/>
      </c>
      <c r="L611" s="9">
        <f t="shared" si="85"/>
        <v>0</v>
      </c>
      <c r="M611" s="9">
        <f t="shared" si="86"/>
        <v>0</v>
      </c>
      <c r="N611" s="9">
        <f t="array" ref="N611">+SUM(IFERROR(VALUE(L611:M611),0))</f>
        <v>0</v>
      </c>
      <c r="P611" s="9" t="str">
        <f t="shared" si="87"/>
        <v/>
      </c>
      <c r="Q611" s="9">
        <f t="shared" si="88"/>
        <v>0</v>
      </c>
      <c r="R611" s="9">
        <f t="shared" si="89"/>
        <v>0</v>
      </c>
      <c r="S611" s="9">
        <f t="array" ref="S611">+SUM(IFERROR(VALUE(Q611:R611),0))</f>
        <v>0</v>
      </c>
    </row>
    <row r="612" spans="1:19" ht="14.4">
      <c r="A612"/>
      <c r="B612"/>
      <c r="C612" s="27"/>
      <c r="D612" s="28"/>
      <c r="F612" s="9" t="str">
        <f t="shared" si="81"/>
        <v/>
      </c>
      <c r="G612" s="9">
        <f t="shared" si="82"/>
        <v>0</v>
      </c>
      <c r="H612" s="9">
        <f t="shared" si="83"/>
        <v>0</v>
      </c>
      <c r="I612" s="9">
        <f t="array" ref="I612">+SUM(IFERROR(VALUE(G612:H612),0))</f>
        <v>0</v>
      </c>
      <c r="K612" s="9" t="str">
        <f t="shared" si="84"/>
        <v/>
      </c>
      <c r="L612" s="9">
        <f t="shared" si="85"/>
        <v>0</v>
      </c>
      <c r="M612" s="9">
        <f t="shared" si="86"/>
        <v>0</v>
      </c>
      <c r="N612" s="9">
        <f t="array" ref="N612">+SUM(IFERROR(VALUE(L612:M612),0))</f>
        <v>0</v>
      </c>
      <c r="P612" s="9" t="str">
        <f t="shared" si="87"/>
        <v/>
      </c>
      <c r="Q612" s="9">
        <f t="shared" si="88"/>
        <v>0</v>
      </c>
      <c r="R612" s="9">
        <f t="shared" si="89"/>
        <v>0</v>
      </c>
      <c r="S612" s="9">
        <f t="array" ref="S612">+SUM(IFERROR(VALUE(Q612:R612),0))</f>
        <v>0</v>
      </c>
    </row>
    <row r="613" spans="1:19" ht="14.4">
      <c r="A613"/>
      <c r="B613"/>
      <c r="C613" s="27"/>
      <c r="D613" s="28"/>
      <c r="F613" s="9" t="str">
        <f t="shared" si="81"/>
        <v/>
      </c>
      <c r="G613" s="9">
        <f t="shared" si="82"/>
        <v>0</v>
      </c>
      <c r="H613" s="9">
        <f t="shared" si="83"/>
        <v>0</v>
      </c>
      <c r="I613" s="9">
        <f t="array" ref="I613">+SUM(IFERROR(VALUE(G613:H613),0))</f>
        <v>0</v>
      </c>
      <c r="K613" s="9" t="str">
        <f t="shared" si="84"/>
        <v/>
      </c>
      <c r="L613" s="9">
        <f t="shared" si="85"/>
        <v>0</v>
      </c>
      <c r="M613" s="9">
        <f t="shared" si="86"/>
        <v>0</v>
      </c>
      <c r="N613" s="9">
        <f t="array" ref="N613">+SUM(IFERROR(VALUE(L613:M613),0))</f>
        <v>0</v>
      </c>
      <c r="P613" s="9" t="str">
        <f t="shared" si="87"/>
        <v/>
      </c>
      <c r="Q613" s="9">
        <f t="shared" si="88"/>
        <v>0</v>
      </c>
      <c r="R613" s="9">
        <f t="shared" si="89"/>
        <v>0</v>
      </c>
      <c r="S613" s="9">
        <f t="array" ref="S613">+SUM(IFERROR(VALUE(Q613:R613),0))</f>
        <v>0</v>
      </c>
    </row>
    <row r="614" spans="1:19" ht="14.4">
      <c r="A614"/>
      <c r="B614"/>
      <c r="C614" s="27"/>
      <c r="D614" s="28"/>
      <c r="F614" s="9" t="str">
        <f t="shared" si="81"/>
        <v/>
      </c>
      <c r="G614" s="9">
        <f t="shared" si="82"/>
        <v>0</v>
      </c>
      <c r="H614" s="9">
        <f t="shared" si="83"/>
        <v>0</v>
      </c>
      <c r="I614" s="9">
        <f t="array" ref="I614">+SUM(IFERROR(VALUE(G614:H614),0))</f>
        <v>0</v>
      </c>
      <c r="K614" s="9" t="str">
        <f t="shared" si="84"/>
        <v/>
      </c>
      <c r="L614" s="9">
        <f t="shared" si="85"/>
        <v>0</v>
      </c>
      <c r="M614" s="9">
        <f t="shared" si="86"/>
        <v>0</v>
      </c>
      <c r="N614" s="9">
        <f t="array" ref="N614">+SUM(IFERROR(VALUE(L614:M614),0))</f>
        <v>0</v>
      </c>
      <c r="P614" s="9" t="str">
        <f t="shared" si="87"/>
        <v/>
      </c>
      <c r="Q614" s="9">
        <f t="shared" si="88"/>
        <v>0</v>
      </c>
      <c r="R614" s="9">
        <f t="shared" si="89"/>
        <v>0</v>
      </c>
      <c r="S614" s="9">
        <f t="array" ref="S614">+SUM(IFERROR(VALUE(Q614:R614),0))</f>
        <v>0</v>
      </c>
    </row>
    <row r="615" spans="1:19" ht="14.4">
      <c r="A615"/>
      <c r="B615"/>
      <c r="C615" s="27"/>
      <c r="D615" s="28"/>
      <c r="F615" s="9" t="str">
        <f t="shared" si="81"/>
        <v/>
      </c>
      <c r="G615" s="9">
        <f t="shared" si="82"/>
        <v>0</v>
      </c>
      <c r="H615" s="9">
        <f t="shared" si="83"/>
        <v>0</v>
      </c>
      <c r="I615" s="9">
        <f t="array" ref="I615">+SUM(IFERROR(VALUE(G615:H615),0))</f>
        <v>0</v>
      </c>
      <c r="K615" s="9" t="str">
        <f t="shared" si="84"/>
        <v/>
      </c>
      <c r="L615" s="9">
        <f t="shared" si="85"/>
        <v>0</v>
      </c>
      <c r="M615" s="9">
        <f t="shared" si="86"/>
        <v>0</v>
      </c>
      <c r="N615" s="9">
        <f t="array" ref="N615">+SUM(IFERROR(VALUE(L615:M615),0))</f>
        <v>0</v>
      </c>
      <c r="P615" s="9" t="str">
        <f t="shared" si="87"/>
        <v/>
      </c>
      <c r="Q615" s="9">
        <f t="shared" si="88"/>
        <v>0</v>
      </c>
      <c r="R615" s="9">
        <f t="shared" si="89"/>
        <v>0</v>
      </c>
      <c r="S615" s="9">
        <f t="array" ref="S615">+SUM(IFERROR(VALUE(Q615:R615),0))</f>
        <v>0</v>
      </c>
    </row>
    <row r="616" spans="1:19" ht="14.4">
      <c r="A616"/>
      <c r="B616"/>
      <c r="C616" s="27"/>
      <c r="D616" s="28"/>
      <c r="F616" s="9" t="str">
        <f t="shared" si="81"/>
        <v/>
      </c>
      <c r="G616" s="9">
        <f t="shared" si="82"/>
        <v>0</v>
      </c>
      <c r="H616" s="9">
        <f t="shared" si="83"/>
        <v>0</v>
      </c>
      <c r="I616" s="9">
        <f t="array" ref="I616">+SUM(IFERROR(VALUE(G616:H616),0))</f>
        <v>0</v>
      </c>
      <c r="K616" s="9" t="str">
        <f t="shared" si="84"/>
        <v/>
      </c>
      <c r="L616" s="9">
        <f t="shared" si="85"/>
        <v>0</v>
      </c>
      <c r="M616" s="9">
        <f t="shared" si="86"/>
        <v>0</v>
      </c>
      <c r="N616" s="9">
        <f t="array" ref="N616">+SUM(IFERROR(VALUE(L616:M616),0))</f>
        <v>0</v>
      </c>
      <c r="P616" s="9" t="str">
        <f t="shared" si="87"/>
        <v/>
      </c>
      <c r="Q616" s="9">
        <f t="shared" si="88"/>
        <v>0</v>
      </c>
      <c r="R616" s="9">
        <f t="shared" si="89"/>
        <v>0</v>
      </c>
      <c r="S616" s="9">
        <f t="array" ref="S616">+SUM(IFERROR(VALUE(Q616:R616),0))</f>
        <v>0</v>
      </c>
    </row>
    <row r="617" spans="1:19" ht="14.4">
      <c r="A617"/>
      <c r="B617"/>
      <c r="C617" s="27"/>
      <c r="D617" s="28"/>
      <c r="F617" s="9" t="str">
        <f t="shared" si="81"/>
        <v/>
      </c>
      <c r="G617" s="9">
        <f t="shared" si="82"/>
        <v>0</v>
      </c>
      <c r="H617" s="9">
        <f t="shared" si="83"/>
        <v>0</v>
      </c>
      <c r="I617" s="9">
        <f t="array" ref="I617">+SUM(IFERROR(VALUE(G617:H617),0))</f>
        <v>0</v>
      </c>
      <c r="K617" s="9" t="str">
        <f t="shared" si="84"/>
        <v/>
      </c>
      <c r="L617" s="9">
        <f t="shared" si="85"/>
        <v>0</v>
      </c>
      <c r="M617" s="9">
        <f t="shared" si="86"/>
        <v>0</v>
      </c>
      <c r="N617" s="9">
        <f t="array" ref="N617">+SUM(IFERROR(VALUE(L617:M617),0))</f>
        <v>0</v>
      </c>
      <c r="P617" s="9" t="str">
        <f t="shared" si="87"/>
        <v/>
      </c>
      <c r="Q617" s="9">
        <f t="shared" si="88"/>
        <v>0</v>
      </c>
      <c r="R617" s="9">
        <f t="shared" si="89"/>
        <v>0</v>
      </c>
      <c r="S617" s="9">
        <f t="array" ref="S617">+SUM(IFERROR(VALUE(Q617:R617),0))</f>
        <v>0</v>
      </c>
    </row>
    <row r="618" spans="1:19" ht="14.4">
      <c r="A618"/>
      <c r="B618"/>
      <c r="C618" s="27"/>
      <c r="D618" s="28"/>
      <c r="F618" s="9" t="str">
        <f t="shared" si="81"/>
        <v/>
      </c>
      <c r="G618" s="9">
        <f t="shared" si="82"/>
        <v>0</v>
      </c>
      <c r="H618" s="9">
        <f t="shared" si="83"/>
        <v>0</v>
      </c>
      <c r="I618" s="9">
        <f t="array" ref="I618">+SUM(IFERROR(VALUE(G618:H618),0))</f>
        <v>0</v>
      </c>
      <c r="K618" s="9" t="str">
        <f t="shared" si="84"/>
        <v/>
      </c>
      <c r="L618" s="9">
        <f t="shared" si="85"/>
        <v>0</v>
      </c>
      <c r="M618" s="9">
        <f t="shared" si="86"/>
        <v>0</v>
      </c>
      <c r="N618" s="9">
        <f t="array" ref="N618">+SUM(IFERROR(VALUE(L618:M618),0))</f>
        <v>0</v>
      </c>
      <c r="P618" s="9" t="str">
        <f t="shared" si="87"/>
        <v/>
      </c>
      <c r="Q618" s="9">
        <f t="shared" si="88"/>
        <v>0</v>
      </c>
      <c r="R618" s="9">
        <f t="shared" si="89"/>
        <v>0</v>
      </c>
      <c r="S618" s="9">
        <f t="array" ref="S618">+SUM(IFERROR(VALUE(Q618:R618),0))</f>
        <v>0</v>
      </c>
    </row>
    <row r="619" spans="1:19" ht="14.4">
      <c r="A619"/>
      <c r="B619"/>
      <c r="C619" s="27"/>
      <c r="D619" s="28"/>
      <c r="F619" s="9" t="str">
        <f t="shared" si="81"/>
        <v/>
      </c>
      <c r="G619" s="9">
        <f t="shared" si="82"/>
        <v>0</v>
      </c>
      <c r="H619" s="9">
        <f t="shared" si="83"/>
        <v>0</v>
      </c>
      <c r="I619" s="9">
        <f t="array" ref="I619">+SUM(IFERROR(VALUE(G619:H619),0))</f>
        <v>0</v>
      </c>
      <c r="K619" s="9" t="str">
        <f t="shared" si="84"/>
        <v/>
      </c>
      <c r="L619" s="9">
        <f t="shared" si="85"/>
        <v>0</v>
      </c>
      <c r="M619" s="9">
        <f t="shared" si="86"/>
        <v>0</v>
      </c>
      <c r="N619" s="9">
        <f t="array" ref="N619">+SUM(IFERROR(VALUE(L619:M619),0))</f>
        <v>0</v>
      </c>
      <c r="P619" s="9" t="str">
        <f t="shared" si="87"/>
        <v/>
      </c>
      <c r="Q619" s="9">
        <f t="shared" si="88"/>
        <v>0</v>
      </c>
      <c r="R619" s="9">
        <f t="shared" si="89"/>
        <v>0</v>
      </c>
      <c r="S619" s="9">
        <f t="array" ref="S619">+SUM(IFERROR(VALUE(Q619:R619),0))</f>
        <v>0</v>
      </c>
    </row>
    <row r="620" spans="1:19" ht="14.4">
      <c r="A620"/>
      <c r="B620"/>
      <c r="C620" s="27"/>
      <c r="D620" s="28"/>
      <c r="F620" s="9" t="str">
        <f t="shared" si="81"/>
        <v/>
      </c>
      <c r="G620" s="9">
        <f t="shared" si="82"/>
        <v>0</v>
      </c>
      <c r="H620" s="9">
        <f t="shared" si="83"/>
        <v>0</v>
      </c>
      <c r="I620" s="9">
        <f t="array" ref="I620">+SUM(IFERROR(VALUE(G620:H620),0))</f>
        <v>0</v>
      </c>
      <c r="K620" s="9" t="str">
        <f t="shared" si="84"/>
        <v/>
      </c>
      <c r="L620" s="9">
        <f t="shared" si="85"/>
        <v>0</v>
      </c>
      <c r="M620" s="9">
        <f t="shared" si="86"/>
        <v>0</v>
      </c>
      <c r="N620" s="9">
        <f t="array" ref="N620">+SUM(IFERROR(VALUE(L620:M620),0))</f>
        <v>0</v>
      </c>
      <c r="P620" s="9" t="str">
        <f t="shared" si="87"/>
        <v/>
      </c>
      <c r="Q620" s="9">
        <f t="shared" si="88"/>
        <v>0</v>
      </c>
      <c r="R620" s="9">
        <f t="shared" si="89"/>
        <v>0</v>
      </c>
      <c r="S620" s="9">
        <f t="array" ref="S620">+SUM(IFERROR(VALUE(Q620:R620),0))</f>
        <v>0</v>
      </c>
    </row>
    <row r="621" spans="1:19" ht="14.4">
      <c r="A621"/>
      <c r="B621"/>
      <c r="C621" s="27"/>
      <c r="D621" s="28"/>
      <c r="F621" s="9" t="str">
        <f t="shared" si="81"/>
        <v/>
      </c>
      <c r="G621" s="9">
        <f t="shared" si="82"/>
        <v>0</v>
      </c>
      <c r="H621" s="9">
        <f t="shared" si="83"/>
        <v>0</v>
      </c>
      <c r="I621" s="9">
        <f t="array" ref="I621">+SUM(IFERROR(VALUE(G621:H621),0))</f>
        <v>0</v>
      </c>
      <c r="K621" s="9" t="str">
        <f t="shared" si="84"/>
        <v/>
      </c>
      <c r="L621" s="9">
        <f t="shared" si="85"/>
        <v>0</v>
      </c>
      <c r="M621" s="9">
        <f t="shared" si="86"/>
        <v>0</v>
      </c>
      <c r="N621" s="9">
        <f t="array" ref="N621">+SUM(IFERROR(VALUE(L621:M621),0))</f>
        <v>0</v>
      </c>
      <c r="P621" s="9" t="str">
        <f t="shared" si="87"/>
        <v/>
      </c>
      <c r="Q621" s="9">
        <f t="shared" si="88"/>
        <v>0</v>
      </c>
      <c r="R621" s="9">
        <f t="shared" si="89"/>
        <v>0</v>
      </c>
      <c r="S621" s="9">
        <f t="array" ref="S621">+SUM(IFERROR(VALUE(Q621:R621),0))</f>
        <v>0</v>
      </c>
    </row>
    <row r="622" spans="1:19" ht="14.4">
      <c r="A622"/>
      <c r="B622"/>
      <c r="C622" s="27"/>
      <c r="D622" s="28"/>
      <c r="F622" s="9" t="str">
        <f t="shared" si="81"/>
        <v/>
      </c>
      <c r="G622" s="9">
        <f t="shared" si="82"/>
        <v>0</v>
      </c>
      <c r="H622" s="9">
        <f t="shared" si="83"/>
        <v>0</v>
      </c>
      <c r="I622" s="9">
        <f t="array" ref="I622">+SUM(IFERROR(VALUE(G622:H622),0))</f>
        <v>0</v>
      </c>
      <c r="K622" s="9" t="str">
        <f t="shared" si="84"/>
        <v/>
      </c>
      <c r="L622" s="9">
        <f t="shared" si="85"/>
        <v>0</v>
      </c>
      <c r="M622" s="9">
        <f t="shared" si="86"/>
        <v>0</v>
      </c>
      <c r="N622" s="9">
        <f t="array" ref="N622">+SUM(IFERROR(VALUE(L622:M622),0))</f>
        <v>0</v>
      </c>
      <c r="P622" s="9" t="str">
        <f t="shared" si="87"/>
        <v/>
      </c>
      <c r="Q622" s="9">
        <f t="shared" si="88"/>
        <v>0</v>
      </c>
      <c r="R622" s="9">
        <f t="shared" si="89"/>
        <v>0</v>
      </c>
      <c r="S622" s="9">
        <f t="array" ref="S622">+SUM(IFERROR(VALUE(Q622:R622),0))</f>
        <v>0</v>
      </c>
    </row>
    <row r="623" spans="1:19" ht="14.4">
      <c r="A623"/>
      <c r="B623"/>
      <c r="C623" s="27"/>
      <c r="D623" s="28"/>
      <c r="F623" s="9" t="str">
        <f t="shared" si="81"/>
        <v/>
      </c>
      <c r="G623" s="9">
        <f t="shared" si="82"/>
        <v>0</v>
      </c>
      <c r="H623" s="9">
        <f t="shared" si="83"/>
        <v>0</v>
      </c>
      <c r="I623" s="9">
        <f t="array" ref="I623">+SUM(IFERROR(VALUE(G623:H623),0))</f>
        <v>0</v>
      </c>
      <c r="K623" s="9" t="str">
        <f t="shared" si="84"/>
        <v/>
      </c>
      <c r="L623" s="9">
        <f t="shared" si="85"/>
        <v>0</v>
      </c>
      <c r="M623" s="9">
        <f t="shared" si="86"/>
        <v>0</v>
      </c>
      <c r="N623" s="9">
        <f t="array" ref="N623">+SUM(IFERROR(VALUE(L623:M623),0))</f>
        <v>0</v>
      </c>
      <c r="P623" s="9" t="str">
        <f t="shared" si="87"/>
        <v/>
      </c>
      <c r="Q623" s="9">
        <f t="shared" si="88"/>
        <v>0</v>
      </c>
      <c r="R623" s="9">
        <f t="shared" si="89"/>
        <v>0</v>
      </c>
      <c r="S623" s="9">
        <f t="array" ref="S623">+SUM(IFERROR(VALUE(Q623:R623),0))</f>
        <v>0</v>
      </c>
    </row>
    <row r="624" spans="1:19" ht="14.4">
      <c r="A624"/>
      <c r="B624"/>
      <c r="C624" s="27"/>
      <c r="D624" s="28"/>
      <c r="F624" s="9" t="str">
        <f t="shared" si="81"/>
        <v/>
      </c>
      <c r="G624" s="9">
        <f t="shared" si="82"/>
        <v>0</v>
      </c>
      <c r="H624" s="9">
        <f t="shared" si="83"/>
        <v>0</v>
      </c>
      <c r="I624" s="9">
        <f t="array" ref="I624">+SUM(IFERROR(VALUE(G624:H624),0))</f>
        <v>0</v>
      </c>
      <c r="K624" s="9" t="str">
        <f t="shared" si="84"/>
        <v/>
      </c>
      <c r="L624" s="9">
        <f t="shared" si="85"/>
        <v>0</v>
      </c>
      <c r="M624" s="9">
        <f t="shared" si="86"/>
        <v>0</v>
      </c>
      <c r="N624" s="9">
        <f t="array" ref="N624">+SUM(IFERROR(VALUE(L624:M624),0))</f>
        <v>0</v>
      </c>
      <c r="P624" s="9" t="str">
        <f t="shared" si="87"/>
        <v/>
      </c>
      <c r="Q624" s="9">
        <f t="shared" si="88"/>
        <v>0</v>
      </c>
      <c r="R624" s="9">
        <f t="shared" si="89"/>
        <v>0</v>
      </c>
      <c r="S624" s="9">
        <f t="array" ref="S624">+SUM(IFERROR(VALUE(Q624:R624),0))</f>
        <v>0</v>
      </c>
    </row>
    <row r="625" spans="1:19" ht="14.4">
      <c r="A625"/>
      <c r="B625"/>
      <c r="C625" s="27"/>
      <c r="D625" s="28"/>
      <c r="F625" s="9" t="str">
        <f t="shared" si="81"/>
        <v/>
      </c>
      <c r="G625" s="9">
        <f t="shared" si="82"/>
        <v>0</v>
      </c>
      <c r="H625" s="9">
        <f t="shared" si="83"/>
        <v>0</v>
      </c>
      <c r="I625" s="9">
        <f t="array" ref="I625">+SUM(IFERROR(VALUE(G625:H625),0))</f>
        <v>0</v>
      </c>
      <c r="K625" s="9" t="str">
        <f t="shared" si="84"/>
        <v/>
      </c>
      <c r="L625" s="9">
        <f t="shared" si="85"/>
        <v>0</v>
      </c>
      <c r="M625" s="9">
        <f t="shared" si="86"/>
        <v>0</v>
      </c>
      <c r="N625" s="9">
        <f t="array" ref="N625">+SUM(IFERROR(VALUE(L625:M625),0))</f>
        <v>0</v>
      </c>
      <c r="P625" s="9" t="str">
        <f t="shared" si="87"/>
        <v/>
      </c>
      <c r="Q625" s="9">
        <f t="shared" si="88"/>
        <v>0</v>
      </c>
      <c r="R625" s="9">
        <f t="shared" si="89"/>
        <v>0</v>
      </c>
      <c r="S625" s="9">
        <f t="array" ref="S625">+SUM(IFERROR(VALUE(Q625:R625),0))</f>
        <v>0</v>
      </c>
    </row>
    <row r="626" spans="1:19" ht="14.4">
      <c r="A626"/>
      <c r="B626"/>
      <c r="C626" s="27"/>
      <c r="D626" s="28"/>
      <c r="F626" s="9" t="str">
        <f t="shared" si="81"/>
        <v/>
      </c>
      <c r="G626" s="9">
        <f t="shared" si="82"/>
        <v>0</v>
      </c>
      <c r="H626" s="9">
        <f t="shared" si="83"/>
        <v>0</v>
      </c>
      <c r="I626" s="9">
        <f t="array" ref="I626">+SUM(IFERROR(VALUE(G626:H626),0))</f>
        <v>0</v>
      </c>
      <c r="K626" s="9" t="str">
        <f t="shared" si="84"/>
        <v/>
      </c>
      <c r="L626" s="9">
        <f t="shared" si="85"/>
        <v>0</v>
      </c>
      <c r="M626" s="9">
        <f t="shared" si="86"/>
        <v>0</v>
      </c>
      <c r="N626" s="9">
        <f t="array" ref="N626">+SUM(IFERROR(VALUE(L626:M626),0))</f>
        <v>0</v>
      </c>
      <c r="P626" s="9" t="str">
        <f t="shared" si="87"/>
        <v/>
      </c>
      <c r="Q626" s="9">
        <f t="shared" si="88"/>
        <v>0</v>
      </c>
      <c r="R626" s="9">
        <f t="shared" si="89"/>
        <v>0</v>
      </c>
      <c r="S626" s="9">
        <f t="array" ref="S626">+SUM(IFERROR(VALUE(Q626:R626),0))</f>
        <v>0</v>
      </c>
    </row>
    <row r="627" spans="1:19" ht="14.4">
      <c r="A627"/>
      <c r="B627"/>
      <c r="C627" s="27"/>
      <c r="D627" s="28"/>
      <c r="F627" s="9" t="str">
        <f t="shared" si="81"/>
        <v/>
      </c>
      <c r="G627" s="9">
        <f t="shared" si="82"/>
        <v>0</v>
      </c>
      <c r="H627" s="9">
        <f t="shared" si="83"/>
        <v>0</v>
      </c>
      <c r="I627" s="9">
        <f t="array" ref="I627">+SUM(IFERROR(VALUE(G627:H627),0))</f>
        <v>0</v>
      </c>
      <c r="K627" s="9" t="str">
        <f t="shared" si="84"/>
        <v/>
      </c>
      <c r="L627" s="9">
        <f t="shared" si="85"/>
        <v>0</v>
      </c>
      <c r="M627" s="9">
        <f t="shared" si="86"/>
        <v>0</v>
      </c>
      <c r="N627" s="9">
        <f t="array" ref="N627">+SUM(IFERROR(VALUE(L627:M627),0))</f>
        <v>0</v>
      </c>
      <c r="P627" s="9" t="str">
        <f t="shared" si="87"/>
        <v/>
      </c>
      <c r="Q627" s="9">
        <f t="shared" si="88"/>
        <v>0</v>
      </c>
      <c r="R627" s="9">
        <f t="shared" si="89"/>
        <v>0</v>
      </c>
      <c r="S627" s="9">
        <f t="array" ref="S627">+SUM(IFERROR(VALUE(Q627:R627),0))</f>
        <v>0</v>
      </c>
    </row>
    <row r="628" spans="1:19" ht="14.4">
      <c r="A628"/>
      <c r="B628"/>
      <c r="C628" s="27"/>
      <c r="D628" s="28"/>
      <c r="F628" s="9" t="str">
        <f t="shared" si="81"/>
        <v/>
      </c>
      <c r="G628" s="9">
        <f t="shared" si="82"/>
        <v>0</v>
      </c>
      <c r="H628" s="9">
        <f t="shared" si="83"/>
        <v>0</v>
      </c>
      <c r="I628" s="9">
        <f t="array" ref="I628">+SUM(IFERROR(VALUE(G628:H628),0))</f>
        <v>0</v>
      </c>
      <c r="K628" s="9" t="str">
        <f t="shared" si="84"/>
        <v/>
      </c>
      <c r="L628" s="9">
        <f t="shared" si="85"/>
        <v>0</v>
      </c>
      <c r="M628" s="9">
        <f t="shared" si="86"/>
        <v>0</v>
      </c>
      <c r="N628" s="9">
        <f t="array" ref="N628">+SUM(IFERROR(VALUE(L628:M628),0))</f>
        <v>0</v>
      </c>
      <c r="P628" s="9" t="str">
        <f t="shared" si="87"/>
        <v/>
      </c>
      <c r="Q628" s="9">
        <f t="shared" si="88"/>
        <v>0</v>
      </c>
      <c r="R628" s="9">
        <f t="shared" si="89"/>
        <v>0</v>
      </c>
      <c r="S628" s="9">
        <f t="array" ref="S628">+SUM(IFERROR(VALUE(Q628:R628),0))</f>
        <v>0</v>
      </c>
    </row>
    <row r="629" spans="1:19" ht="14.4">
      <c r="A629"/>
      <c r="B629"/>
      <c r="C629" s="27"/>
      <c r="D629" s="28"/>
      <c r="F629" s="9" t="str">
        <f t="shared" si="81"/>
        <v/>
      </c>
      <c r="G629" s="9">
        <f t="shared" si="82"/>
        <v>0</v>
      </c>
      <c r="H629" s="9">
        <f t="shared" si="83"/>
        <v>0</v>
      </c>
      <c r="I629" s="9">
        <f t="array" ref="I629">+SUM(IFERROR(VALUE(G629:H629),0))</f>
        <v>0</v>
      </c>
      <c r="K629" s="9" t="str">
        <f t="shared" si="84"/>
        <v/>
      </c>
      <c r="L629" s="9">
        <f t="shared" si="85"/>
        <v>0</v>
      </c>
      <c r="M629" s="9">
        <f t="shared" si="86"/>
        <v>0</v>
      </c>
      <c r="N629" s="9">
        <f t="array" ref="N629">+SUM(IFERROR(VALUE(L629:M629),0))</f>
        <v>0</v>
      </c>
      <c r="P629" s="9" t="str">
        <f t="shared" si="87"/>
        <v/>
      </c>
      <c r="Q629" s="9">
        <f t="shared" si="88"/>
        <v>0</v>
      </c>
      <c r="R629" s="9">
        <f t="shared" si="89"/>
        <v>0</v>
      </c>
      <c r="S629" s="9">
        <f t="array" ref="S629">+SUM(IFERROR(VALUE(Q629:R629),0))</f>
        <v>0</v>
      </c>
    </row>
    <row r="630" spans="1:19" ht="14.4">
      <c r="A630"/>
      <c r="B630"/>
      <c r="C630" s="27"/>
      <c r="D630" s="28"/>
      <c r="F630" s="9" t="str">
        <f t="shared" si="81"/>
        <v/>
      </c>
      <c r="G630" s="9">
        <f t="shared" si="82"/>
        <v>0</v>
      </c>
      <c r="H630" s="9">
        <f t="shared" si="83"/>
        <v>0</v>
      </c>
      <c r="I630" s="9">
        <f t="array" ref="I630">+SUM(IFERROR(VALUE(G630:H630),0))</f>
        <v>0</v>
      </c>
      <c r="K630" s="9" t="str">
        <f t="shared" si="84"/>
        <v/>
      </c>
      <c r="L630" s="9">
        <f t="shared" si="85"/>
        <v>0</v>
      </c>
      <c r="M630" s="9">
        <f t="shared" si="86"/>
        <v>0</v>
      </c>
      <c r="N630" s="9">
        <f t="array" ref="N630">+SUM(IFERROR(VALUE(L630:M630),0))</f>
        <v>0</v>
      </c>
      <c r="P630" s="9" t="str">
        <f t="shared" si="87"/>
        <v/>
      </c>
      <c r="Q630" s="9">
        <f t="shared" si="88"/>
        <v>0</v>
      </c>
      <c r="R630" s="9">
        <f t="shared" si="89"/>
        <v>0</v>
      </c>
      <c r="S630" s="9">
        <f t="array" ref="S630">+SUM(IFERROR(VALUE(Q630:R630),0))</f>
        <v>0</v>
      </c>
    </row>
    <row r="631" spans="1:19" ht="14.4">
      <c r="A631"/>
      <c r="B631"/>
      <c r="C631" s="27"/>
      <c r="D631" s="28"/>
      <c r="F631" s="9" t="str">
        <f t="shared" si="81"/>
        <v/>
      </c>
      <c r="G631" s="9">
        <f t="shared" si="82"/>
        <v>0</v>
      </c>
      <c r="H631" s="9">
        <f t="shared" si="83"/>
        <v>0</v>
      </c>
      <c r="I631" s="9">
        <f t="array" ref="I631">+SUM(IFERROR(VALUE(G631:H631),0))</f>
        <v>0</v>
      </c>
      <c r="K631" s="9" t="str">
        <f t="shared" si="84"/>
        <v/>
      </c>
      <c r="L631" s="9">
        <f t="shared" si="85"/>
        <v>0</v>
      </c>
      <c r="M631" s="9">
        <f t="shared" si="86"/>
        <v>0</v>
      </c>
      <c r="N631" s="9">
        <f t="array" ref="N631">+SUM(IFERROR(VALUE(L631:M631),0))</f>
        <v>0</v>
      </c>
      <c r="P631" s="9" t="str">
        <f t="shared" si="87"/>
        <v/>
      </c>
      <c r="Q631" s="9">
        <f t="shared" si="88"/>
        <v>0</v>
      </c>
      <c r="R631" s="9">
        <f t="shared" si="89"/>
        <v>0</v>
      </c>
      <c r="S631" s="9">
        <f t="array" ref="S631">+SUM(IFERROR(VALUE(Q631:R631),0))</f>
        <v>0</v>
      </c>
    </row>
    <row r="632" spans="1:19" ht="14.4">
      <c r="A632"/>
      <c r="B632"/>
      <c r="C632" s="27"/>
      <c r="D632" s="28"/>
      <c r="F632" s="9" t="str">
        <f t="shared" si="81"/>
        <v/>
      </c>
      <c r="G632" s="9">
        <f t="shared" si="82"/>
        <v>0</v>
      </c>
      <c r="H632" s="9">
        <f t="shared" si="83"/>
        <v>0</v>
      </c>
      <c r="I632" s="9">
        <f t="array" ref="I632">+SUM(IFERROR(VALUE(G632:H632),0))</f>
        <v>0</v>
      </c>
      <c r="K632" s="9" t="str">
        <f t="shared" si="84"/>
        <v/>
      </c>
      <c r="L632" s="9">
        <f t="shared" si="85"/>
        <v>0</v>
      </c>
      <c r="M632" s="9">
        <f t="shared" si="86"/>
        <v>0</v>
      </c>
      <c r="N632" s="9">
        <f t="array" ref="N632">+SUM(IFERROR(VALUE(L632:M632),0))</f>
        <v>0</v>
      </c>
      <c r="P632" s="9" t="str">
        <f t="shared" si="87"/>
        <v/>
      </c>
      <c r="Q632" s="9">
        <f t="shared" si="88"/>
        <v>0</v>
      </c>
      <c r="R632" s="9">
        <f t="shared" si="89"/>
        <v>0</v>
      </c>
      <c r="S632" s="9">
        <f t="array" ref="S632">+SUM(IFERROR(VALUE(Q632:R632),0))</f>
        <v>0</v>
      </c>
    </row>
    <row r="633" spans="1:19" ht="14.4">
      <c r="A633"/>
      <c r="B633"/>
      <c r="C633" s="27"/>
      <c r="D633" s="28"/>
      <c r="F633" s="9" t="str">
        <f t="shared" si="81"/>
        <v/>
      </c>
      <c r="G633" s="9">
        <f t="shared" si="82"/>
        <v>0</v>
      </c>
      <c r="H633" s="9">
        <f t="shared" si="83"/>
        <v>0</v>
      </c>
      <c r="I633" s="9">
        <f t="array" ref="I633">+SUM(IFERROR(VALUE(G633:H633),0))</f>
        <v>0</v>
      </c>
      <c r="K633" s="9" t="str">
        <f t="shared" si="84"/>
        <v/>
      </c>
      <c r="L633" s="9">
        <f t="shared" si="85"/>
        <v>0</v>
      </c>
      <c r="M633" s="9">
        <f t="shared" si="86"/>
        <v>0</v>
      </c>
      <c r="N633" s="9">
        <f t="array" ref="N633">+SUM(IFERROR(VALUE(L633:M633),0))</f>
        <v>0</v>
      </c>
      <c r="P633" s="9" t="str">
        <f t="shared" si="87"/>
        <v/>
      </c>
      <c r="Q633" s="9">
        <f t="shared" si="88"/>
        <v>0</v>
      </c>
      <c r="R633" s="9">
        <f t="shared" si="89"/>
        <v>0</v>
      </c>
      <c r="S633" s="9">
        <f t="array" ref="S633">+SUM(IFERROR(VALUE(Q633:R633),0))</f>
        <v>0</v>
      </c>
    </row>
    <row r="634" spans="1:19" ht="14.4">
      <c r="A634"/>
      <c r="B634"/>
      <c r="C634" s="27"/>
      <c r="D634" s="28"/>
      <c r="F634" s="9" t="str">
        <f t="shared" si="81"/>
        <v/>
      </c>
      <c r="G634" s="9">
        <f t="shared" si="82"/>
        <v>0</v>
      </c>
      <c r="H634" s="9">
        <f t="shared" si="83"/>
        <v>0</v>
      </c>
      <c r="I634" s="9">
        <f t="array" ref="I634">+SUM(IFERROR(VALUE(G634:H634),0))</f>
        <v>0</v>
      </c>
      <c r="K634" s="9" t="str">
        <f t="shared" si="84"/>
        <v/>
      </c>
      <c r="L634" s="9">
        <f t="shared" si="85"/>
        <v>0</v>
      </c>
      <c r="M634" s="9">
        <f t="shared" si="86"/>
        <v>0</v>
      </c>
      <c r="N634" s="9">
        <f t="array" ref="N634">+SUM(IFERROR(VALUE(L634:M634),0))</f>
        <v>0</v>
      </c>
      <c r="P634" s="9" t="str">
        <f t="shared" si="87"/>
        <v/>
      </c>
      <c r="Q634" s="9">
        <f t="shared" si="88"/>
        <v>0</v>
      </c>
      <c r="R634" s="9">
        <f t="shared" si="89"/>
        <v>0</v>
      </c>
      <c r="S634" s="9">
        <f t="array" ref="S634">+SUM(IFERROR(VALUE(Q634:R634),0))</f>
        <v>0</v>
      </c>
    </row>
    <row r="635" spans="1:19" ht="14.4">
      <c r="A635"/>
      <c r="B635"/>
      <c r="C635" s="27"/>
      <c r="D635" s="28"/>
      <c r="F635" s="9" t="str">
        <f t="shared" si="81"/>
        <v/>
      </c>
      <c r="G635" s="9">
        <f t="shared" si="82"/>
        <v>0</v>
      </c>
      <c r="H635" s="9">
        <f t="shared" si="83"/>
        <v>0</v>
      </c>
      <c r="I635" s="9">
        <f t="array" ref="I635">+SUM(IFERROR(VALUE(G635:H635),0))</f>
        <v>0</v>
      </c>
      <c r="K635" s="9" t="str">
        <f t="shared" si="84"/>
        <v/>
      </c>
      <c r="L635" s="9">
        <f t="shared" si="85"/>
        <v>0</v>
      </c>
      <c r="M635" s="9">
        <f t="shared" si="86"/>
        <v>0</v>
      </c>
      <c r="N635" s="9">
        <f t="array" ref="N635">+SUM(IFERROR(VALUE(L635:M635),0))</f>
        <v>0</v>
      </c>
      <c r="P635" s="9" t="str">
        <f t="shared" si="87"/>
        <v/>
      </c>
      <c r="Q635" s="9">
        <f t="shared" si="88"/>
        <v>0</v>
      </c>
      <c r="R635" s="9">
        <f t="shared" si="89"/>
        <v>0</v>
      </c>
      <c r="S635" s="9">
        <f t="array" ref="S635">+SUM(IFERROR(VALUE(Q635:R635),0))</f>
        <v>0</v>
      </c>
    </row>
    <row r="636" spans="1:19" ht="14.4">
      <c r="A636"/>
      <c r="B636"/>
      <c r="C636" s="27"/>
      <c r="D636" s="28"/>
      <c r="F636" s="9" t="str">
        <f t="shared" si="81"/>
        <v/>
      </c>
      <c r="G636" s="9">
        <f t="shared" si="82"/>
        <v>0</v>
      </c>
      <c r="H636" s="9">
        <f t="shared" si="83"/>
        <v>0</v>
      </c>
      <c r="I636" s="9">
        <f t="array" ref="I636">+SUM(IFERROR(VALUE(G636:H636),0))</f>
        <v>0</v>
      </c>
      <c r="K636" s="9" t="str">
        <f t="shared" si="84"/>
        <v/>
      </c>
      <c r="L636" s="9">
        <f t="shared" si="85"/>
        <v>0</v>
      </c>
      <c r="M636" s="9">
        <f t="shared" si="86"/>
        <v>0</v>
      </c>
      <c r="N636" s="9">
        <f t="array" ref="N636">+SUM(IFERROR(VALUE(L636:M636),0))</f>
        <v>0</v>
      </c>
      <c r="P636" s="9" t="str">
        <f t="shared" si="87"/>
        <v/>
      </c>
      <c r="Q636" s="9">
        <f t="shared" si="88"/>
        <v>0</v>
      </c>
      <c r="R636" s="9">
        <f t="shared" si="89"/>
        <v>0</v>
      </c>
      <c r="S636" s="9">
        <f t="array" ref="S636">+SUM(IFERROR(VALUE(Q636:R636),0))</f>
        <v>0</v>
      </c>
    </row>
    <row r="637" spans="1:19" ht="14.4">
      <c r="A637"/>
      <c r="B637"/>
      <c r="C637" s="27"/>
      <c r="D637" s="28"/>
      <c r="F637" s="9" t="str">
        <f t="shared" si="81"/>
        <v/>
      </c>
      <c r="G637" s="9">
        <f t="shared" si="82"/>
        <v>0</v>
      </c>
      <c r="H637" s="9">
        <f t="shared" si="83"/>
        <v>0</v>
      </c>
      <c r="I637" s="9">
        <f t="array" ref="I637">+SUM(IFERROR(VALUE(G637:H637),0))</f>
        <v>0</v>
      </c>
      <c r="K637" s="9" t="str">
        <f t="shared" si="84"/>
        <v/>
      </c>
      <c r="L637" s="9">
        <f t="shared" si="85"/>
        <v>0</v>
      </c>
      <c r="M637" s="9">
        <f t="shared" si="86"/>
        <v>0</v>
      </c>
      <c r="N637" s="9">
        <f t="array" ref="N637">+SUM(IFERROR(VALUE(L637:M637),0))</f>
        <v>0</v>
      </c>
      <c r="P637" s="9" t="str">
        <f t="shared" si="87"/>
        <v/>
      </c>
      <c r="Q637" s="9">
        <f t="shared" si="88"/>
        <v>0</v>
      </c>
      <c r="R637" s="9">
        <f t="shared" si="89"/>
        <v>0</v>
      </c>
      <c r="S637" s="9">
        <f t="array" ref="S637">+SUM(IFERROR(VALUE(Q637:R637),0))</f>
        <v>0</v>
      </c>
    </row>
    <row r="638" spans="1:19" ht="14.4">
      <c r="A638"/>
      <c r="B638"/>
      <c r="C638" s="27"/>
      <c r="D638" s="28"/>
      <c r="F638" s="9" t="str">
        <f t="shared" si="81"/>
        <v/>
      </c>
      <c r="G638" s="9">
        <f t="shared" si="82"/>
        <v>0</v>
      </c>
      <c r="H638" s="9">
        <f t="shared" si="83"/>
        <v>0</v>
      </c>
      <c r="I638" s="9">
        <f t="array" ref="I638">+SUM(IFERROR(VALUE(G638:H638),0))</f>
        <v>0</v>
      </c>
      <c r="K638" s="9" t="str">
        <f t="shared" si="84"/>
        <v/>
      </c>
      <c r="L638" s="9">
        <f t="shared" si="85"/>
        <v>0</v>
      </c>
      <c r="M638" s="9">
        <f t="shared" si="86"/>
        <v>0</v>
      </c>
      <c r="N638" s="9">
        <f t="array" ref="N638">+SUM(IFERROR(VALUE(L638:M638),0))</f>
        <v>0</v>
      </c>
      <c r="P638" s="9" t="str">
        <f t="shared" si="87"/>
        <v/>
      </c>
      <c r="Q638" s="9">
        <f t="shared" si="88"/>
        <v>0</v>
      </c>
      <c r="R638" s="9">
        <f t="shared" si="89"/>
        <v>0</v>
      </c>
      <c r="S638" s="9">
        <f t="array" ref="S638">+SUM(IFERROR(VALUE(Q638:R638),0))</f>
        <v>0</v>
      </c>
    </row>
    <row r="639" spans="1:19" ht="14.4">
      <c r="A639"/>
      <c r="B639"/>
      <c r="C639" s="27"/>
      <c r="D639" s="28"/>
      <c r="F639" s="9" t="str">
        <f t="shared" si="81"/>
        <v/>
      </c>
      <c r="G639" s="9">
        <f t="shared" si="82"/>
        <v>0</v>
      </c>
      <c r="H639" s="9">
        <f t="shared" si="83"/>
        <v>0</v>
      </c>
      <c r="I639" s="9">
        <f t="array" ref="I639">+SUM(IFERROR(VALUE(G639:H639),0))</f>
        <v>0</v>
      </c>
      <c r="K639" s="9" t="str">
        <f t="shared" si="84"/>
        <v/>
      </c>
      <c r="L639" s="9">
        <f t="shared" si="85"/>
        <v>0</v>
      </c>
      <c r="M639" s="9">
        <f t="shared" si="86"/>
        <v>0</v>
      </c>
      <c r="N639" s="9">
        <f t="array" ref="N639">+SUM(IFERROR(VALUE(L639:M639),0))</f>
        <v>0</v>
      </c>
      <c r="P639" s="9" t="str">
        <f t="shared" si="87"/>
        <v/>
      </c>
      <c r="Q639" s="9">
        <f t="shared" si="88"/>
        <v>0</v>
      </c>
      <c r="R639" s="9">
        <f t="shared" si="89"/>
        <v>0</v>
      </c>
      <c r="S639" s="9">
        <f t="array" ref="S639">+SUM(IFERROR(VALUE(Q639:R639),0))</f>
        <v>0</v>
      </c>
    </row>
    <row r="640" spans="1:19" ht="14.4">
      <c r="A640"/>
      <c r="B640"/>
      <c r="C640" s="27"/>
      <c r="D640" s="28"/>
      <c r="F640" s="9" t="str">
        <f t="shared" si="81"/>
        <v/>
      </c>
      <c r="G640" s="9">
        <f t="shared" si="82"/>
        <v>0</v>
      </c>
      <c r="H640" s="9">
        <f t="shared" si="83"/>
        <v>0</v>
      </c>
      <c r="I640" s="9">
        <f t="array" ref="I640">+SUM(IFERROR(VALUE(G640:H640),0))</f>
        <v>0</v>
      </c>
      <c r="K640" s="9" t="str">
        <f t="shared" si="84"/>
        <v/>
      </c>
      <c r="L640" s="9">
        <f t="shared" si="85"/>
        <v>0</v>
      </c>
      <c r="M640" s="9">
        <f t="shared" si="86"/>
        <v>0</v>
      </c>
      <c r="N640" s="9">
        <f t="array" ref="N640">+SUM(IFERROR(VALUE(L640:M640),0))</f>
        <v>0</v>
      </c>
      <c r="P640" s="9" t="str">
        <f t="shared" si="87"/>
        <v/>
      </c>
      <c r="Q640" s="9">
        <f t="shared" si="88"/>
        <v>0</v>
      </c>
      <c r="R640" s="9">
        <f t="shared" si="89"/>
        <v>0</v>
      </c>
      <c r="S640" s="9">
        <f t="array" ref="S640">+SUM(IFERROR(VALUE(Q640:R640),0))</f>
        <v>0</v>
      </c>
    </row>
    <row r="641" spans="1:19" ht="14.4">
      <c r="A641"/>
      <c r="B641"/>
      <c r="C641" s="27"/>
      <c r="D641" s="28"/>
      <c r="F641" s="9" t="str">
        <f t="shared" si="81"/>
        <v/>
      </c>
      <c r="G641" s="9">
        <f t="shared" si="82"/>
        <v>0</v>
      </c>
      <c r="H641" s="9">
        <f t="shared" si="83"/>
        <v>0</v>
      </c>
      <c r="I641" s="9">
        <f t="array" ref="I641">+SUM(IFERROR(VALUE(G641:H641),0))</f>
        <v>0</v>
      </c>
      <c r="K641" s="9" t="str">
        <f t="shared" si="84"/>
        <v/>
      </c>
      <c r="L641" s="9">
        <f t="shared" si="85"/>
        <v>0</v>
      </c>
      <c r="M641" s="9">
        <f t="shared" si="86"/>
        <v>0</v>
      </c>
      <c r="N641" s="9">
        <f t="array" ref="N641">+SUM(IFERROR(VALUE(L641:M641),0))</f>
        <v>0</v>
      </c>
      <c r="P641" s="9" t="str">
        <f t="shared" si="87"/>
        <v/>
      </c>
      <c r="Q641" s="9">
        <f t="shared" si="88"/>
        <v>0</v>
      </c>
      <c r="R641" s="9">
        <f t="shared" si="89"/>
        <v>0</v>
      </c>
      <c r="S641" s="9">
        <f t="array" ref="S641">+SUM(IFERROR(VALUE(Q641:R641),0))</f>
        <v>0</v>
      </c>
    </row>
    <row r="642" spans="1:19" ht="14.4">
      <c r="A642"/>
      <c r="B642"/>
      <c r="C642" s="27"/>
      <c r="D642" s="28"/>
      <c r="F642" s="9" t="str">
        <f t="shared" si="81"/>
        <v/>
      </c>
      <c r="G642" s="9">
        <f t="shared" si="82"/>
        <v>0</v>
      </c>
      <c r="H642" s="9">
        <f t="shared" si="83"/>
        <v>0</v>
      </c>
      <c r="I642" s="9">
        <f t="array" ref="I642">+SUM(IFERROR(VALUE(G642:H642),0))</f>
        <v>0</v>
      </c>
      <c r="K642" s="9" t="str">
        <f t="shared" si="84"/>
        <v/>
      </c>
      <c r="L642" s="9">
        <f t="shared" si="85"/>
        <v>0</v>
      </c>
      <c r="M642" s="9">
        <f t="shared" si="86"/>
        <v>0</v>
      </c>
      <c r="N642" s="9">
        <f t="array" ref="N642">+SUM(IFERROR(VALUE(L642:M642),0))</f>
        <v>0</v>
      </c>
      <c r="P642" s="9" t="str">
        <f t="shared" si="87"/>
        <v/>
      </c>
      <c r="Q642" s="9">
        <f t="shared" si="88"/>
        <v>0</v>
      </c>
      <c r="R642" s="9">
        <f t="shared" si="89"/>
        <v>0</v>
      </c>
      <c r="S642" s="9">
        <f t="array" ref="S642">+SUM(IFERROR(VALUE(Q642:R642),0))</f>
        <v>0</v>
      </c>
    </row>
    <row r="643" spans="1:19" ht="14.4">
      <c r="A643"/>
      <c r="B643"/>
      <c r="C643" s="27"/>
      <c r="D643" s="28"/>
      <c r="F643" s="9" t="str">
        <f t="shared" si="81"/>
        <v/>
      </c>
      <c r="G643" s="9">
        <f t="shared" si="82"/>
        <v>0</v>
      </c>
      <c r="H643" s="9">
        <f t="shared" si="83"/>
        <v>0</v>
      </c>
      <c r="I643" s="9">
        <f t="array" ref="I643">+SUM(IFERROR(VALUE(G643:H643),0))</f>
        <v>0</v>
      </c>
      <c r="K643" s="9" t="str">
        <f t="shared" si="84"/>
        <v/>
      </c>
      <c r="L643" s="9">
        <f t="shared" si="85"/>
        <v>0</v>
      </c>
      <c r="M643" s="9">
        <f t="shared" si="86"/>
        <v>0</v>
      </c>
      <c r="N643" s="9">
        <f t="array" ref="N643">+SUM(IFERROR(VALUE(L643:M643),0))</f>
        <v>0</v>
      </c>
      <c r="P643" s="9" t="str">
        <f t="shared" si="87"/>
        <v/>
      </c>
      <c r="Q643" s="9">
        <f t="shared" si="88"/>
        <v>0</v>
      </c>
      <c r="R643" s="9">
        <f t="shared" si="89"/>
        <v>0</v>
      </c>
      <c r="S643" s="9">
        <f t="array" ref="S643">+SUM(IFERROR(VALUE(Q643:R643),0))</f>
        <v>0</v>
      </c>
    </row>
    <row r="644" spans="1:19" ht="14.4">
      <c r="A644"/>
      <c r="B644"/>
      <c r="C644" s="27"/>
      <c r="D644" s="28"/>
      <c r="F644" s="9" t="str">
        <f t="shared" si="81"/>
        <v/>
      </c>
      <c r="G644" s="9">
        <f t="shared" si="82"/>
        <v>0</v>
      </c>
      <c r="H644" s="9">
        <f t="shared" si="83"/>
        <v>0</v>
      </c>
      <c r="I644" s="9">
        <f t="array" ref="I644">+SUM(IFERROR(VALUE(G644:H644),0))</f>
        <v>0</v>
      </c>
      <c r="K644" s="9" t="str">
        <f t="shared" si="84"/>
        <v/>
      </c>
      <c r="L644" s="9">
        <f t="shared" si="85"/>
        <v>0</v>
      </c>
      <c r="M644" s="9">
        <f t="shared" si="86"/>
        <v>0</v>
      </c>
      <c r="N644" s="9">
        <f t="array" ref="N644">+SUM(IFERROR(VALUE(L644:M644),0))</f>
        <v>0</v>
      </c>
      <c r="P644" s="9" t="str">
        <f t="shared" si="87"/>
        <v/>
      </c>
      <c r="Q644" s="9">
        <f t="shared" si="88"/>
        <v>0</v>
      </c>
      <c r="R644" s="9">
        <f t="shared" si="89"/>
        <v>0</v>
      </c>
      <c r="S644" s="9">
        <f t="array" ref="S644">+SUM(IFERROR(VALUE(Q644:R644),0))</f>
        <v>0</v>
      </c>
    </row>
    <row r="645" spans="1:19" ht="14.4">
      <c r="A645"/>
      <c r="B645"/>
      <c r="C645" s="27"/>
      <c r="D645" s="28"/>
      <c r="F645" s="9" t="str">
        <f t="shared" si="81"/>
        <v/>
      </c>
      <c r="G645" s="9">
        <f t="shared" si="82"/>
        <v>0</v>
      </c>
      <c r="H645" s="9">
        <f t="shared" si="83"/>
        <v>0</v>
      </c>
      <c r="I645" s="9">
        <f t="array" ref="I645">+SUM(IFERROR(VALUE(G645:H645),0))</f>
        <v>0</v>
      </c>
      <c r="K645" s="9" t="str">
        <f t="shared" si="84"/>
        <v/>
      </c>
      <c r="L645" s="9">
        <f t="shared" si="85"/>
        <v>0</v>
      </c>
      <c r="M645" s="9">
        <f t="shared" si="86"/>
        <v>0</v>
      </c>
      <c r="N645" s="9">
        <f t="array" ref="N645">+SUM(IFERROR(VALUE(L645:M645),0))</f>
        <v>0</v>
      </c>
      <c r="P645" s="9" t="str">
        <f t="shared" si="87"/>
        <v/>
      </c>
      <c r="Q645" s="9">
        <f t="shared" si="88"/>
        <v>0</v>
      </c>
      <c r="R645" s="9">
        <f t="shared" si="89"/>
        <v>0</v>
      </c>
      <c r="S645" s="9">
        <f t="array" ref="S645">+SUM(IFERROR(VALUE(Q645:R645),0))</f>
        <v>0</v>
      </c>
    </row>
    <row r="646" spans="1:19" ht="14.4">
      <c r="A646"/>
      <c r="B646"/>
      <c r="C646" s="27"/>
      <c r="D646" s="28"/>
      <c r="F646" s="9" t="str">
        <f t="shared" ref="F646:F709" si="90">+LEFT(A646,4)</f>
        <v/>
      </c>
      <c r="G646" s="9">
        <f t="shared" ref="G646:G709" si="91">+C646</f>
        <v>0</v>
      </c>
      <c r="H646" s="9">
        <f t="shared" ref="H646:H709" si="92">-D646</f>
        <v>0</v>
      </c>
      <c r="I646" s="9">
        <f t="array" ref="I646">+SUM(IFERROR(VALUE(G646:H646),0))</f>
        <v>0</v>
      </c>
      <c r="K646" s="9" t="str">
        <f t="shared" ref="K646:K709" si="93">+LEFT(A646,3)</f>
        <v/>
      </c>
      <c r="L646" s="9">
        <f t="shared" ref="L646:L709" si="94">+C646</f>
        <v>0</v>
      </c>
      <c r="M646" s="9">
        <f t="shared" ref="M646:M709" si="95">-D646</f>
        <v>0</v>
      </c>
      <c r="N646" s="9">
        <f t="array" ref="N646">+SUM(IFERROR(VALUE(L646:M646),0))</f>
        <v>0</v>
      </c>
      <c r="P646" s="9" t="str">
        <f t="shared" ref="P646:P709" si="96">+LEFT(A646,2)</f>
        <v/>
      </c>
      <c r="Q646" s="9">
        <f t="shared" ref="Q646:Q709" si="97">+C646</f>
        <v>0</v>
      </c>
      <c r="R646" s="9">
        <f t="shared" ref="R646:R709" si="98">-D646</f>
        <v>0</v>
      </c>
      <c r="S646" s="9">
        <f t="array" ref="S646">+SUM(IFERROR(VALUE(Q646:R646),0))</f>
        <v>0</v>
      </c>
    </row>
    <row r="647" spans="1:19" ht="14.4">
      <c r="A647"/>
      <c r="B647"/>
      <c r="C647" s="27"/>
      <c r="D647" s="28"/>
      <c r="F647" s="9" t="str">
        <f t="shared" si="90"/>
        <v/>
      </c>
      <c r="G647" s="9">
        <f t="shared" si="91"/>
        <v>0</v>
      </c>
      <c r="H647" s="9">
        <f t="shared" si="92"/>
        <v>0</v>
      </c>
      <c r="I647" s="9">
        <f t="array" ref="I647">+SUM(IFERROR(VALUE(G647:H647),0))</f>
        <v>0</v>
      </c>
      <c r="K647" s="9" t="str">
        <f t="shared" si="93"/>
        <v/>
      </c>
      <c r="L647" s="9">
        <f t="shared" si="94"/>
        <v>0</v>
      </c>
      <c r="M647" s="9">
        <f t="shared" si="95"/>
        <v>0</v>
      </c>
      <c r="N647" s="9">
        <f t="array" ref="N647">+SUM(IFERROR(VALUE(L647:M647),0))</f>
        <v>0</v>
      </c>
      <c r="P647" s="9" t="str">
        <f t="shared" si="96"/>
        <v/>
      </c>
      <c r="Q647" s="9">
        <f t="shared" si="97"/>
        <v>0</v>
      </c>
      <c r="R647" s="9">
        <f t="shared" si="98"/>
        <v>0</v>
      </c>
      <c r="S647" s="9">
        <f t="array" ref="S647">+SUM(IFERROR(VALUE(Q647:R647),0))</f>
        <v>0</v>
      </c>
    </row>
    <row r="648" spans="1:19" ht="14.4">
      <c r="A648"/>
      <c r="B648"/>
      <c r="C648" s="27"/>
      <c r="D648" s="28"/>
      <c r="F648" s="9" t="str">
        <f t="shared" si="90"/>
        <v/>
      </c>
      <c r="G648" s="9">
        <f t="shared" si="91"/>
        <v>0</v>
      </c>
      <c r="H648" s="9">
        <f t="shared" si="92"/>
        <v>0</v>
      </c>
      <c r="I648" s="9">
        <f t="array" ref="I648">+SUM(IFERROR(VALUE(G648:H648),0))</f>
        <v>0</v>
      </c>
      <c r="K648" s="9" t="str">
        <f t="shared" si="93"/>
        <v/>
      </c>
      <c r="L648" s="9">
        <f t="shared" si="94"/>
        <v>0</v>
      </c>
      <c r="M648" s="9">
        <f t="shared" si="95"/>
        <v>0</v>
      </c>
      <c r="N648" s="9">
        <f t="array" ref="N648">+SUM(IFERROR(VALUE(L648:M648),0))</f>
        <v>0</v>
      </c>
      <c r="P648" s="9" t="str">
        <f t="shared" si="96"/>
        <v/>
      </c>
      <c r="Q648" s="9">
        <f t="shared" si="97"/>
        <v>0</v>
      </c>
      <c r="R648" s="9">
        <f t="shared" si="98"/>
        <v>0</v>
      </c>
      <c r="S648" s="9">
        <f t="array" ref="S648">+SUM(IFERROR(VALUE(Q648:R648),0))</f>
        <v>0</v>
      </c>
    </row>
    <row r="649" spans="1:19" ht="14.4">
      <c r="A649"/>
      <c r="B649"/>
      <c r="C649" s="27"/>
      <c r="D649" s="28"/>
      <c r="F649" s="9" t="str">
        <f t="shared" si="90"/>
        <v/>
      </c>
      <c r="G649" s="9">
        <f t="shared" si="91"/>
        <v>0</v>
      </c>
      <c r="H649" s="9">
        <f t="shared" si="92"/>
        <v>0</v>
      </c>
      <c r="I649" s="9">
        <f t="array" ref="I649">+SUM(IFERROR(VALUE(G649:H649),0))</f>
        <v>0</v>
      </c>
      <c r="K649" s="9" t="str">
        <f t="shared" si="93"/>
        <v/>
      </c>
      <c r="L649" s="9">
        <f t="shared" si="94"/>
        <v>0</v>
      </c>
      <c r="M649" s="9">
        <f t="shared" si="95"/>
        <v>0</v>
      </c>
      <c r="N649" s="9">
        <f t="array" ref="N649">+SUM(IFERROR(VALUE(L649:M649),0))</f>
        <v>0</v>
      </c>
      <c r="P649" s="9" t="str">
        <f t="shared" si="96"/>
        <v/>
      </c>
      <c r="Q649" s="9">
        <f t="shared" si="97"/>
        <v>0</v>
      </c>
      <c r="R649" s="9">
        <f t="shared" si="98"/>
        <v>0</v>
      </c>
      <c r="S649" s="9">
        <f t="array" ref="S649">+SUM(IFERROR(VALUE(Q649:R649),0))</f>
        <v>0</v>
      </c>
    </row>
    <row r="650" spans="1:19" ht="14.4">
      <c r="A650"/>
      <c r="B650"/>
      <c r="C650" s="27"/>
      <c r="D650" s="28"/>
      <c r="F650" s="9" t="str">
        <f t="shared" si="90"/>
        <v/>
      </c>
      <c r="G650" s="9">
        <f t="shared" si="91"/>
        <v>0</v>
      </c>
      <c r="H650" s="9">
        <f t="shared" si="92"/>
        <v>0</v>
      </c>
      <c r="I650" s="9">
        <f t="array" ref="I650">+SUM(IFERROR(VALUE(G650:H650),0))</f>
        <v>0</v>
      </c>
      <c r="K650" s="9" t="str">
        <f t="shared" si="93"/>
        <v/>
      </c>
      <c r="L650" s="9">
        <f t="shared" si="94"/>
        <v>0</v>
      </c>
      <c r="M650" s="9">
        <f t="shared" si="95"/>
        <v>0</v>
      </c>
      <c r="N650" s="9">
        <f t="array" ref="N650">+SUM(IFERROR(VALUE(L650:M650),0))</f>
        <v>0</v>
      </c>
      <c r="P650" s="9" t="str">
        <f t="shared" si="96"/>
        <v/>
      </c>
      <c r="Q650" s="9">
        <f t="shared" si="97"/>
        <v>0</v>
      </c>
      <c r="R650" s="9">
        <f t="shared" si="98"/>
        <v>0</v>
      </c>
      <c r="S650" s="9">
        <f t="array" ref="S650">+SUM(IFERROR(VALUE(Q650:R650),0))</f>
        <v>0</v>
      </c>
    </row>
    <row r="651" spans="1:19" ht="14.4">
      <c r="A651"/>
      <c r="B651"/>
      <c r="C651" s="27"/>
      <c r="D651" s="28"/>
      <c r="F651" s="9" t="str">
        <f t="shared" si="90"/>
        <v/>
      </c>
      <c r="G651" s="9">
        <f t="shared" si="91"/>
        <v>0</v>
      </c>
      <c r="H651" s="9">
        <f t="shared" si="92"/>
        <v>0</v>
      </c>
      <c r="I651" s="9">
        <f t="array" ref="I651">+SUM(IFERROR(VALUE(G651:H651),0))</f>
        <v>0</v>
      </c>
      <c r="K651" s="9" t="str">
        <f t="shared" si="93"/>
        <v/>
      </c>
      <c r="L651" s="9">
        <f t="shared" si="94"/>
        <v>0</v>
      </c>
      <c r="M651" s="9">
        <f t="shared" si="95"/>
        <v>0</v>
      </c>
      <c r="N651" s="9">
        <f t="array" ref="N651">+SUM(IFERROR(VALUE(L651:M651),0))</f>
        <v>0</v>
      </c>
      <c r="P651" s="9" t="str">
        <f t="shared" si="96"/>
        <v/>
      </c>
      <c r="Q651" s="9">
        <f t="shared" si="97"/>
        <v>0</v>
      </c>
      <c r="R651" s="9">
        <f t="shared" si="98"/>
        <v>0</v>
      </c>
      <c r="S651" s="9">
        <f t="array" ref="S651">+SUM(IFERROR(VALUE(Q651:R651),0))</f>
        <v>0</v>
      </c>
    </row>
    <row r="652" spans="1:19" ht="14.4">
      <c r="A652"/>
      <c r="B652"/>
      <c r="C652" s="27"/>
      <c r="D652" s="28"/>
      <c r="F652" s="9" t="str">
        <f t="shared" si="90"/>
        <v/>
      </c>
      <c r="G652" s="9">
        <f t="shared" si="91"/>
        <v>0</v>
      </c>
      <c r="H652" s="9">
        <f t="shared" si="92"/>
        <v>0</v>
      </c>
      <c r="I652" s="9">
        <f t="array" ref="I652">+SUM(IFERROR(VALUE(G652:H652),0))</f>
        <v>0</v>
      </c>
      <c r="K652" s="9" t="str">
        <f t="shared" si="93"/>
        <v/>
      </c>
      <c r="L652" s="9">
        <f t="shared" si="94"/>
        <v>0</v>
      </c>
      <c r="M652" s="9">
        <f t="shared" si="95"/>
        <v>0</v>
      </c>
      <c r="N652" s="9">
        <f t="array" ref="N652">+SUM(IFERROR(VALUE(L652:M652),0))</f>
        <v>0</v>
      </c>
      <c r="P652" s="9" t="str">
        <f t="shared" si="96"/>
        <v/>
      </c>
      <c r="Q652" s="9">
        <f t="shared" si="97"/>
        <v>0</v>
      </c>
      <c r="R652" s="9">
        <f t="shared" si="98"/>
        <v>0</v>
      </c>
      <c r="S652" s="9">
        <f t="array" ref="S652">+SUM(IFERROR(VALUE(Q652:R652),0))</f>
        <v>0</v>
      </c>
    </row>
    <row r="653" spans="1:19" ht="14.4">
      <c r="A653"/>
      <c r="B653"/>
      <c r="C653" s="27"/>
      <c r="D653" s="28"/>
      <c r="F653" s="9" t="str">
        <f t="shared" si="90"/>
        <v/>
      </c>
      <c r="G653" s="9">
        <f t="shared" si="91"/>
        <v>0</v>
      </c>
      <c r="H653" s="9">
        <f t="shared" si="92"/>
        <v>0</v>
      </c>
      <c r="I653" s="9">
        <f t="array" ref="I653">+SUM(IFERROR(VALUE(G653:H653),0))</f>
        <v>0</v>
      </c>
      <c r="K653" s="9" t="str">
        <f t="shared" si="93"/>
        <v/>
      </c>
      <c r="L653" s="9">
        <f t="shared" si="94"/>
        <v>0</v>
      </c>
      <c r="M653" s="9">
        <f t="shared" si="95"/>
        <v>0</v>
      </c>
      <c r="N653" s="9">
        <f t="array" ref="N653">+SUM(IFERROR(VALUE(L653:M653),0))</f>
        <v>0</v>
      </c>
      <c r="P653" s="9" t="str">
        <f t="shared" si="96"/>
        <v/>
      </c>
      <c r="Q653" s="9">
        <f t="shared" si="97"/>
        <v>0</v>
      </c>
      <c r="R653" s="9">
        <f t="shared" si="98"/>
        <v>0</v>
      </c>
      <c r="S653" s="9">
        <f t="array" ref="S653">+SUM(IFERROR(VALUE(Q653:R653),0))</f>
        <v>0</v>
      </c>
    </row>
    <row r="654" spans="1:19" ht="14.4">
      <c r="A654"/>
      <c r="B654"/>
      <c r="C654" s="27"/>
      <c r="D654" s="28"/>
      <c r="F654" s="9" t="str">
        <f t="shared" si="90"/>
        <v/>
      </c>
      <c r="G654" s="9">
        <f t="shared" si="91"/>
        <v>0</v>
      </c>
      <c r="H654" s="9">
        <f t="shared" si="92"/>
        <v>0</v>
      </c>
      <c r="I654" s="9">
        <f t="array" ref="I654">+SUM(IFERROR(VALUE(G654:H654),0))</f>
        <v>0</v>
      </c>
      <c r="K654" s="9" t="str">
        <f t="shared" si="93"/>
        <v/>
      </c>
      <c r="L654" s="9">
        <f t="shared" si="94"/>
        <v>0</v>
      </c>
      <c r="M654" s="9">
        <f t="shared" si="95"/>
        <v>0</v>
      </c>
      <c r="N654" s="9">
        <f t="array" ref="N654">+SUM(IFERROR(VALUE(L654:M654),0))</f>
        <v>0</v>
      </c>
      <c r="P654" s="9" t="str">
        <f t="shared" si="96"/>
        <v/>
      </c>
      <c r="Q654" s="9">
        <f t="shared" si="97"/>
        <v>0</v>
      </c>
      <c r="R654" s="9">
        <f t="shared" si="98"/>
        <v>0</v>
      </c>
      <c r="S654" s="9">
        <f t="array" ref="S654">+SUM(IFERROR(VALUE(Q654:R654),0))</f>
        <v>0</v>
      </c>
    </row>
    <row r="655" spans="1:19" ht="14.4">
      <c r="A655"/>
      <c r="B655"/>
      <c r="C655" s="27"/>
      <c r="D655" s="28"/>
      <c r="F655" s="9" t="str">
        <f t="shared" si="90"/>
        <v/>
      </c>
      <c r="G655" s="9">
        <f t="shared" si="91"/>
        <v>0</v>
      </c>
      <c r="H655" s="9">
        <f t="shared" si="92"/>
        <v>0</v>
      </c>
      <c r="I655" s="9">
        <f t="array" ref="I655">+SUM(IFERROR(VALUE(G655:H655),0))</f>
        <v>0</v>
      </c>
      <c r="K655" s="9" t="str">
        <f t="shared" si="93"/>
        <v/>
      </c>
      <c r="L655" s="9">
        <f t="shared" si="94"/>
        <v>0</v>
      </c>
      <c r="M655" s="9">
        <f t="shared" si="95"/>
        <v>0</v>
      </c>
      <c r="N655" s="9">
        <f t="array" ref="N655">+SUM(IFERROR(VALUE(L655:M655),0))</f>
        <v>0</v>
      </c>
      <c r="P655" s="9" t="str">
        <f t="shared" si="96"/>
        <v/>
      </c>
      <c r="Q655" s="9">
        <f t="shared" si="97"/>
        <v>0</v>
      </c>
      <c r="R655" s="9">
        <f t="shared" si="98"/>
        <v>0</v>
      </c>
      <c r="S655" s="9">
        <f t="array" ref="S655">+SUM(IFERROR(VALUE(Q655:R655),0))</f>
        <v>0</v>
      </c>
    </row>
    <row r="656" spans="1:19" ht="14.4">
      <c r="A656"/>
      <c r="B656"/>
      <c r="C656" s="27"/>
      <c r="D656" s="28"/>
      <c r="F656" s="9" t="str">
        <f t="shared" si="90"/>
        <v/>
      </c>
      <c r="G656" s="9">
        <f t="shared" si="91"/>
        <v>0</v>
      </c>
      <c r="H656" s="9">
        <f t="shared" si="92"/>
        <v>0</v>
      </c>
      <c r="I656" s="9">
        <f t="array" ref="I656">+SUM(IFERROR(VALUE(G656:H656),0))</f>
        <v>0</v>
      </c>
      <c r="K656" s="9" t="str">
        <f t="shared" si="93"/>
        <v/>
      </c>
      <c r="L656" s="9">
        <f t="shared" si="94"/>
        <v>0</v>
      </c>
      <c r="M656" s="9">
        <f t="shared" si="95"/>
        <v>0</v>
      </c>
      <c r="N656" s="9">
        <f t="array" ref="N656">+SUM(IFERROR(VALUE(L656:M656),0))</f>
        <v>0</v>
      </c>
      <c r="P656" s="9" t="str">
        <f t="shared" si="96"/>
        <v/>
      </c>
      <c r="Q656" s="9">
        <f t="shared" si="97"/>
        <v>0</v>
      </c>
      <c r="R656" s="9">
        <f t="shared" si="98"/>
        <v>0</v>
      </c>
      <c r="S656" s="9">
        <f t="array" ref="S656">+SUM(IFERROR(VALUE(Q656:R656),0))</f>
        <v>0</v>
      </c>
    </row>
    <row r="657" spans="1:19" ht="14.4">
      <c r="A657"/>
      <c r="B657"/>
      <c r="C657" s="27"/>
      <c r="D657" s="28"/>
      <c r="F657" s="9" t="str">
        <f t="shared" si="90"/>
        <v/>
      </c>
      <c r="G657" s="9">
        <f t="shared" si="91"/>
        <v>0</v>
      </c>
      <c r="H657" s="9">
        <f t="shared" si="92"/>
        <v>0</v>
      </c>
      <c r="I657" s="9">
        <f t="array" ref="I657">+SUM(IFERROR(VALUE(G657:H657),0))</f>
        <v>0</v>
      </c>
      <c r="K657" s="9" t="str">
        <f t="shared" si="93"/>
        <v/>
      </c>
      <c r="L657" s="9">
        <f t="shared" si="94"/>
        <v>0</v>
      </c>
      <c r="M657" s="9">
        <f t="shared" si="95"/>
        <v>0</v>
      </c>
      <c r="N657" s="9">
        <f t="array" ref="N657">+SUM(IFERROR(VALUE(L657:M657),0))</f>
        <v>0</v>
      </c>
      <c r="P657" s="9" t="str">
        <f t="shared" si="96"/>
        <v/>
      </c>
      <c r="Q657" s="9">
        <f t="shared" si="97"/>
        <v>0</v>
      </c>
      <c r="R657" s="9">
        <f t="shared" si="98"/>
        <v>0</v>
      </c>
      <c r="S657" s="9">
        <f t="array" ref="S657">+SUM(IFERROR(VALUE(Q657:R657),0))</f>
        <v>0</v>
      </c>
    </row>
    <row r="658" spans="1:19" ht="14.4">
      <c r="A658"/>
      <c r="B658"/>
      <c r="C658" s="27"/>
      <c r="D658" s="28"/>
      <c r="F658" s="9" t="str">
        <f t="shared" si="90"/>
        <v/>
      </c>
      <c r="G658" s="9">
        <f t="shared" si="91"/>
        <v>0</v>
      </c>
      <c r="H658" s="9">
        <f t="shared" si="92"/>
        <v>0</v>
      </c>
      <c r="I658" s="9">
        <f t="array" ref="I658">+SUM(IFERROR(VALUE(G658:H658),0))</f>
        <v>0</v>
      </c>
      <c r="K658" s="9" t="str">
        <f t="shared" si="93"/>
        <v/>
      </c>
      <c r="L658" s="9">
        <f t="shared" si="94"/>
        <v>0</v>
      </c>
      <c r="M658" s="9">
        <f t="shared" si="95"/>
        <v>0</v>
      </c>
      <c r="N658" s="9">
        <f t="array" ref="N658">+SUM(IFERROR(VALUE(L658:M658),0))</f>
        <v>0</v>
      </c>
      <c r="P658" s="9" t="str">
        <f t="shared" si="96"/>
        <v/>
      </c>
      <c r="Q658" s="9">
        <f t="shared" si="97"/>
        <v>0</v>
      </c>
      <c r="R658" s="9">
        <f t="shared" si="98"/>
        <v>0</v>
      </c>
      <c r="S658" s="9">
        <f t="array" ref="S658">+SUM(IFERROR(VALUE(Q658:R658),0))</f>
        <v>0</v>
      </c>
    </row>
    <row r="659" spans="1:19" ht="14.4">
      <c r="A659"/>
      <c r="B659"/>
      <c r="C659" s="27"/>
      <c r="D659" s="28"/>
      <c r="F659" s="9" t="str">
        <f t="shared" si="90"/>
        <v/>
      </c>
      <c r="G659" s="9">
        <f t="shared" si="91"/>
        <v>0</v>
      </c>
      <c r="H659" s="9">
        <f t="shared" si="92"/>
        <v>0</v>
      </c>
      <c r="I659" s="9">
        <f t="array" ref="I659">+SUM(IFERROR(VALUE(G659:H659),0))</f>
        <v>0</v>
      </c>
      <c r="K659" s="9" t="str">
        <f t="shared" si="93"/>
        <v/>
      </c>
      <c r="L659" s="9">
        <f t="shared" si="94"/>
        <v>0</v>
      </c>
      <c r="M659" s="9">
        <f t="shared" si="95"/>
        <v>0</v>
      </c>
      <c r="N659" s="9">
        <f t="array" ref="N659">+SUM(IFERROR(VALUE(L659:M659),0))</f>
        <v>0</v>
      </c>
      <c r="P659" s="9" t="str">
        <f t="shared" si="96"/>
        <v/>
      </c>
      <c r="Q659" s="9">
        <f t="shared" si="97"/>
        <v>0</v>
      </c>
      <c r="R659" s="9">
        <f t="shared" si="98"/>
        <v>0</v>
      </c>
      <c r="S659" s="9">
        <f t="array" ref="S659">+SUM(IFERROR(VALUE(Q659:R659),0))</f>
        <v>0</v>
      </c>
    </row>
    <row r="660" spans="1:19" ht="14.4">
      <c r="A660"/>
      <c r="B660"/>
      <c r="C660" s="27"/>
      <c r="D660" s="28"/>
      <c r="F660" s="9" t="str">
        <f t="shared" si="90"/>
        <v/>
      </c>
      <c r="G660" s="9">
        <f t="shared" si="91"/>
        <v>0</v>
      </c>
      <c r="H660" s="9">
        <f t="shared" si="92"/>
        <v>0</v>
      </c>
      <c r="I660" s="9">
        <f t="array" ref="I660">+SUM(IFERROR(VALUE(G660:H660),0))</f>
        <v>0</v>
      </c>
      <c r="K660" s="9" t="str">
        <f t="shared" si="93"/>
        <v/>
      </c>
      <c r="L660" s="9">
        <f t="shared" si="94"/>
        <v>0</v>
      </c>
      <c r="M660" s="9">
        <f t="shared" si="95"/>
        <v>0</v>
      </c>
      <c r="N660" s="9">
        <f t="array" ref="N660">+SUM(IFERROR(VALUE(L660:M660),0))</f>
        <v>0</v>
      </c>
      <c r="P660" s="9" t="str">
        <f t="shared" si="96"/>
        <v/>
      </c>
      <c r="Q660" s="9">
        <f t="shared" si="97"/>
        <v>0</v>
      </c>
      <c r="R660" s="9">
        <f t="shared" si="98"/>
        <v>0</v>
      </c>
      <c r="S660" s="9">
        <f t="array" ref="S660">+SUM(IFERROR(VALUE(Q660:R660),0))</f>
        <v>0</v>
      </c>
    </row>
    <row r="661" spans="1:19" ht="14.4">
      <c r="A661"/>
      <c r="B661"/>
      <c r="C661" s="27"/>
      <c r="D661" s="28"/>
      <c r="F661" s="9" t="str">
        <f t="shared" si="90"/>
        <v/>
      </c>
      <c r="G661" s="9">
        <f t="shared" si="91"/>
        <v>0</v>
      </c>
      <c r="H661" s="9">
        <f t="shared" si="92"/>
        <v>0</v>
      </c>
      <c r="I661" s="9">
        <f t="array" ref="I661">+SUM(IFERROR(VALUE(G661:H661),0))</f>
        <v>0</v>
      </c>
      <c r="K661" s="9" t="str">
        <f t="shared" si="93"/>
        <v/>
      </c>
      <c r="L661" s="9">
        <f t="shared" si="94"/>
        <v>0</v>
      </c>
      <c r="M661" s="9">
        <f t="shared" si="95"/>
        <v>0</v>
      </c>
      <c r="N661" s="9">
        <f t="array" ref="N661">+SUM(IFERROR(VALUE(L661:M661),0))</f>
        <v>0</v>
      </c>
      <c r="P661" s="9" t="str">
        <f t="shared" si="96"/>
        <v/>
      </c>
      <c r="Q661" s="9">
        <f t="shared" si="97"/>
        <v>0</v>
      </c>
      <c r="R661" s="9">
        <f t="shared" si="98"/>
        <v>0</v>
      </c>
      <c r="S661" s="9">
        <f t="array" ref="S661">+SUM(IFERROR(VALUE(Q661:R661),0))</f>
        <v>0</v>
      </c>
    </row>
    <row r="662" spans="1:19" ht="14.4">
      <c r="A662"/>
      <c r="B662"/>
      <c r="C662" s="27"/>
      <c r="D662" s="28"/>
      <c r="F662" s="9" t="str">
        <f t="shared" si="90"/>
        <v/>
      </c>
      <c r="G662" s="9">
        <f t="shared" si="91"/>
        <v>0</v>
      </c>
      <c r="H662" s="9">
        <f t="shared" si="92"/>
        <v>0</v>
      </c>
      <c r="I662" s="9">
        <f t="array" ref="I662">+SUM(IFERROR(VALUE(G662:H662),0))</f>
        <v>0</v>
      </c>
      <c r="K662" s="9" t="str">
        <f t="shared" si="93"/>
        <v/>
      </c>
      <c r="L662" s="9">
        <f t="shared" si="94"/>
        <v>0</v>
      </c>
      <c r="M662" s="9">
        <f t="shared" si="95"/>
        <v>0</v>
      </c>
      <c r="N662" s="9">
        <f t="array" ref="N662">+SUM(IFERROR(VALUE(L662:M662),0))</f>
        <v>0</v>
      </c>
      <c r="P662" s="9" t="str">
        <f t="shared" si="96"/>
        <v/>
      </c>
      <c r="Q662" s="9">
        <f t="shared" si="97"/>
        <v>0</v>
      </c>
      <c r="R662" s="9">
        <f t="shared" si="98"/>
        <v>0</v>
      </c>
      <c r="S662" s="9">
        <f t="array" ref="S662">+SUM(IFERROR(VALUE(Q662:R662),0))</f>
        <v>0</v>
      </c>
    </row>
    <row r="663" spans="1:19" ht="14.4">
      <c r="A663"/>
      <c r="B663"/>
      <c r="C663" s="27"/>
      <c r="D663" s="28"/>
      <c r="F663" s="9" t="str">
        <f t="shared" si="90"/>
        <v/>
      </c>
      <c r="G663" s="9">
        <f t="shared" si="91"/>
        <v>0</v>
      </c>
      <c r="H663" s="9">
        <f t="shared" si="92"/>
        <v>0</v>
      </c>
      <c r="I663" s="9">
        <f t="array" ref="I663">+SUM(IFERROR(VALUE(G663:H663),0))</f>
        <v>0</v>
      </c>
      <c r="K663" s="9" t="str">
        <f t="shared" si="93"/>
        <v/>
      </c>
      <c r="L663" s="9">
        <f t="shared" si="94"/>
        <v>0</v>
      </c>
      <c r="M663" s="9">
        <f t="shared" si="95"/>
        <v>0</v>
      </c>
      <c r="N663" s="9">
        <f t="array" ref="N663">+SUM(IFERROR(VALUE(L663:M663),0))</f>
        <v>0</v>
      </c>
      <c r="P663" s="9" t="str">
        <f t="shared" si="96"/>
        <v/>
      </c>
      <c r="Q663" s="9">
        <f t="shared" si="97"/>
        <v>0</v>
      </c>
      <c r="R663" s="9">
        <f t="shared" si="98"/>
        <v>0</v>
      </c>
      <c r="S663" s="9">
        <f t="array" ref="S663">+SUM(IFERROR(VALUE(Q663:R663),0))</f>
        <v>0</v>
      </c>
    </row>
    <row r="664" spans="1:19" ht="14.4">
      <c r="A664"/>
      <c r="B664"/>
      <c r="C664" s="27"/>
      <c r="D664" s="28"/>
      <c r="F664" s="9" t="str">
        <f t="shared" si="90"/>
        <v/>
      </c>
      <c r="G664" s="9">
        <f t="shared" si="91"/>
        <v>0</v>
      </c>
      <c r="H664" s="9">
        <f t="shared" si="92"/>
        <v>0</v>
      </c>
      <c r="I664" s="9">
        <f t="array" ref="I664">+SUM(IFERROR(VALUE(G664:H664),0))</f>
        <v>0</v>
      </c>
      <c r="K664" s="9" t="str">
        <f t="shared" si="93"/>
        <v/>
      </c>
      <c r="L664" s="9">
        <f t="shared" si="94"/>
        <v>0</v>
      </c>
      <c r="M664" s="9">
        <f t="shared" si="95"/>
        <v>0</v>
      </c>
      <c r="N664" s="9">
        <f t="array" ref="N664">+SUM(IFERROR(VALUE(L664:M664),0))</f>
        <v>0</v>
      </c>
      <c r="P664" s="9" t="str">
        <f t="shared" si="96"/>
        <v/>
      </c>
      <c r="Q664" s="9">
        <f t="shared" si="97"/>
        <v>0</v>
      </c>
      <c r="R664" s="9">
        <f t="shared" si="98"/>
        <v>0</v>
      </c>
      <c r="S664" s="9">
        <f t="array" ref="S664">+SUM(IFERROR(VALUE(Q664:R664),0))</f>
        <v>0</v>
      </c>
    </row>
    <row r="665" spans="1:19" ht="14.4">
      <c r="A665"/>
      <c r="B665"/>
      <c r="C665" s="27"/>
      <c r="D665" s="28"/>
      <c r="F665" s="9" t="str">
        <f t="shared" si="90"/>
        <v/>
      </c>
      <c r="G665" s="9">
        <f t="shared" si="91"/>
        <v>0</v>
      </c>
      <c r="H665" s="9">
        <f t="shared" si="92"/>
        <v>0</v>
      </c>
      <c r="I665" s="9">
        <f t="array" ref="I665">+SUM(IFERROR(VALUE(G665:H665),0))</f>
        <v>0</v>
      </c>
      <c r="K665" s="9" t="str">
        <f t="shared" si="93"/>
        <v/>
      </c>
      <c r="L665" s="9">
        <f t="shared" si="94"/>
        <v>0</v>
      </c>
      <c r="M665" s="9">
        <f t="shared" si="95"/>
        <v>0</v>
      </c>
      <c r="N665" s="9">
        <f t="array" ref="N665">+SUM(IFERROR(VALUE(L665:M665),0))</f>
        <v>0</v>
      </c>
      <c r="P665" s="9" t="str">
        <f t="shared" si="96"/>
        <v/>
      </c>
      <c r="Q665" s="9">
        <f t="shared" si="97"/>
        <v>0</v>
      </c>
      <c r="R665" s="9">
        <f t="shared" si="98"/>
        <v>0</v>
      </c>
      <c r="S665" s="9">
        <f t="array" ref="S665">+SUM(IFERROR(VALUE(Q665:R665),0))</f>
        <v>0</v>
      </c>
    </row>
    <row r="666" spans="1:19" ht="14.4">
      <c r="A666"/>
      <c r="B666"/>
      <c r="C666" s="27"/>
      <c r="D666" s="28"/>
      <c r="F666" s="9" t="str">
        <f t="shared" si="90"/>
        <v/>
      </c>
      <c r="G666" s="9">
        <f t="shared" si="91"/>
        <v>0</v>
      </c>
      <c r="H666" s="9">
        <f t="shared" si="92"/>
        <v>0</v>
      </c>
      <c r="I666" s="9">
        <f t="array" ref="I666">+SUM(IFERROR(VALUE(G666:H666),0))</f>
        <v>0</v>
      </c>
      <c r="K666" s="9" t="str">
        <f t="shared" si="93"/>
        <v/>
      </c>
      <c r="L666" s="9">
        <f t="shared" si="94"/>
        <v>0</v>
      </c>
      <c r="M666" s="9">
        <f t="shared" si="95"/>
        <v>0</v>
      </c>
      <c r="N666" s="9">
        <f t="array" ref="N666">+SUM(IFERROR(VALUE(L666:M666),0))</f>
        <v>0</v>
      </c>
      <c r="P666" s="9" t="str">
        <f t="shared" si="96"/>
        <v/>
      </c>
      <c r="Q666" s="9">
        <f t="shared" si="97"/>
        <v>0</v>
      </c>
      <c r="R666" s="9">
        <f t="shared" si="98"/>
        <v>0</v>
      </c>
      <c r="S666" s="9">
        <f t="array" ref="S666">+SUM(IFERROR(VALUE(Q666:R666),0))</f>
        <v>0</v>
      </c>
    </row>
    <row r="667" spans="1:19" ht="14.4">
      <c r="A667"/>
      <c r="B667"/>
      <c r="C667" s="27"/>
      <c r="D667" s="28"/>
      <c r="F667" s="9" t="str">
        <f t="shared" si="90"/>
        <v/>
      </c>
      <c r="G667" s="9">
        <f t="shared" si="91"/>
        <v>0</v>
      </c>
      <c r="H667" s="9">
        <f t="shared" si="92"/>
        <v>0</v>
      </c>
      <c r="I667" s="9">
        <f t="array" ref="I667">+SUM(IFERROR(VALUE(G667:H667),0))</f>
        <v>0</v>
      </c>
      <c r="K667" s="9" t="str">
        <f t="shared" si="93"/>
        <v/>
      </c>
      <c r="L667" s="9">
        <f t="shared" si="94"/>
        <v>0</v>
      </c>
      <c r="M667" s="9">
        <f t="shared" si="95"/>
        <v>0</v>
      </c>
      <c r="N667" s="9">
        <f t="array" ref="N667">+SUM(IFERROR(VALUE(L667:M667),0))</f>
        <v>0</v>
      </c>
      <c r="P667" s="9" t="str">
        <f t="shared" si="96"/>
        <v/>
      </c>
      <c r="Q667" s="9">
        <f t="shared" si="97"/>
        <v>0</v>
      </c>
      <c r="R667" s="9">
        <f t="shared" si="98"/>
        <v>0</v>
      </c>
      <c r="S667" s="9">
        <f t="array" ref="S667">+SUM(IFERROR(VALUE(Q667:R667),0))</f>
        <v>0</v>
      </c>
    </row>
    <row r="668" spans="1:19" ht="14.4">
      <c r="A668"/>
      <c r="B668"/>
      <c r="C668" s="27"/>
      <c r="D668" s="28"/>
      <c r="F668" s="9" t="str">
        <f t="shared" si="90"/>
        <v/>
      </c>
      <c r="G668" s="9">
        <f t="shared" si="91"/>
        <v>0</v>
      </c>
      <c r="H668" s="9">
        <f t="shared" si="92"/>
        <v>0</v>
      </c>
      <c r="I668" s="9">
        <f t="array" ref="I668">+SUM(IFERROR(VALUE(G668:H668),0))</f>
        <v>0</v>
      </c>
      <c r="K668" s="9" t="str">
        <f t="shared" si="93"/>
        <v/>
      </c>
      <c r="L668" s="9">
        <f t="shared" si="94"/>
        <v>0</v>
      </c>
      <c r="M668" s="9">
        <f t="shared" si="95"/>
        <v>0</v>
      </c>
      <c r="N668" s="9">
        <f t="array" ref="N668">+SUM(IFERROR(VALUE(L668:M668),0))</f>
        <v>0</v>
      </c>
      <c r="P668" s="9" t="str">
        <f t="shared" si="96"/>
        <v/>
      </c>
      <c r="Q668" s="9">
        <f t="shared" si="97"/>
        <v>0</v>
      </c>
      <c r="R668" s="9">
        <f t="shared" si="98"/>
        <v>0</v>
      </c>
      <c r="S668" s="9">
        <f t="array" ref="S668">+SUM(IFERROR(VALUE(Q668:R668),0))</f>
        <v>0</v>
      </c>
    </row>
    <row r="669" spans="1:19" ht="14.4">
      <c r="A669"/>
      <c r="B669"/>
      <c r="C669" s="27"/>
      <c r="D669" s="28"/>
      <c r="F669" s="9" t="str">
        <f t="shared" si="90"/>
        <v/>
      </c>
      <c r="G669" s="9">
        <f t="shared" si="91"/>
        <v>0</v>
      </c>
      <c r="H669" s="9">
        <f t="shared" si="92"/>
        <v>0</v>
      </c>
      <c r="I669" s="9">
        <f t="array" ref="I669">+SUM(IFERROR(VALUE(G669:H669),0))</f>
        <v>0</v>
      </c>
      <c r="K669" s="9" t="str">
        <f t="shared" si="93"/>
        <v/>
      </c>
      <c r="L669" s="9">
        <f t="shared" si="94"/>
        <v>0</v>
      </c>
      <c r="M669" s="9">
        <f t="shared" si="95"/>
        <v>0</v>
      </c>
      <c r="N669" s="9">
        <f t="array" ref="N669">+SUM(IFERROR(VALUE(L669:M669),0))</f>
        <v>0</v>
      </c>
      <c r="P669" s="9" t="str">
        <f t="shared" si="96"/>
        <v/>
      </c>
      <c r="Q669" s="9">
        <f t="shared" si="97"/>
        <v>0</v>
      </c>
      <c r="R669" s="9">
        <f t="shared" si="98"/>
        <v>0</v>
      </c>
      <c r="S669" s="9">
        <f t="array" ref="S669">+SUM(IFERROR(VALUE(Q669:R669),0))</f>
        <v>0</v>
      </c>
    </row>
    <row r="670" spans="1:19" ht="14.4">
      <c r="A670"/>
      <c r="B670"/>
      <c r="C670" s="27"/>
      <c r="D670" s="28"/>
      <c r="F670" s="9" t="str">
        <f t="shared" si="90"/>
        <v/>
      </c>
      <c r="G670" s="9">
        <f t="shared" si="91"/>
        <v>0</v>
      </c>
      <c r="H670" s="9">
        <f t="shared" si="92"/>
        <v>0</v>
      </c>
      <c r="I670" s="9">
        <f t="array" ref="I670">+SUM(IFERROR(VALUE(G670:H670),0))</f>
        <v>0</v>
      </c>
      <c r="K670" s="9" t="str">
        <f t="shared" si="93"/>
        <v/>
      </c>
      <c r="L670" s="9">
        <f t="shared" si="94"/>
        <v>0</v>
      </c>
      <c r="M670" s="9">
        <f t="shared" si="95"/>
        <v>0</v>
      </c>
      <c r="N670" s="9">
        <f t="array" ref="N670">+SUM(IFERROR(VALUE(L670:M670),0))</f>
        <v>0</v>
      </c>
      <c r="P670" s="9" t="str">
        <f t="shared" si="96"/>
        <v/>
      </c>
      <c r="Q670" s="9">
        <f t="shared" si="97"/>
        <v>0</v>
      </c>
      <c r="R670" s="9">
        <f t="shared" si="98"/>
        <v>0</v>
      </c>
      <c r="S670" s="9">
        <f t="array" ref="S670">+SUM(IFERROR(VALUE(Q670:R670),0))</f>
        <v>0</v>
      </c>
    </row>
    <row r="671" spans="1:19" ht="14.4">
      <c r="A671"/>
      <c r="B671"/>
      <c r="C671" s="27"/>
      <c r="D671" s="28"/>
      <c r="F671" s="9" t="str">
        <f t="shared" si="90"/>
        <v/>
      </c>
      <c r="G671" s="9">
        <f t="shared" si="91"/>
        <v>0</v>
      </c>
      <c r="H671" s="9">
        <f t="shared" si="92"/>
        <v>0</v>
      </c>
      <c r="I671" s="9">
        <f t="array" ref="I671">+SUM(IFERROR(VALUE(G671:H671),0))</f>
        <v>0</v>
      </c>
      <c r="K671" s="9" t="str">
        <f t="shared" si="93"/>
        <v/>
      </c>
      <c r="L671" s="9">
        <f t="shared" si="94"/>
        <v>0</v>
      </c>
      <c r="M671" s="9">
        <f t="shared" si="95"/>
        <v>0</v>
      </c>
      <c r="N671" s="9">
        <f t="array" ref="N671">+SUM(IFERROR(VALUE(L671:M671),0))</f>
        <v>0</v>
      </c>
      <c r="P671" s="9" t="str">
        <f t="shared" si="96"/>
        <v/>
      </c>
      <c r="Q671" s="9">
        <f t="shared" si="97"/>
        <v>0</v>
      </c>
      <c r="R671" s="9">
        <f t="shared" si="98"/>
        <v>0</v>
      </c>
      <c r="S671" s="9">
        <f t="array" ref="S671">+SUM(IFERROR(VALUE(Q671:R671),0))</f>
        <v>0</v>
      </c>
    </row>
    <row r="672" spans="1:19" ht="14.4">
      <c r="A672"/>
      <c r="B672"/>
      <c r="C672" s="27"/>
      <c r="D672" s="28"/>
      <c r="F672" s="9" t="str">
        <f t="shared" si="90"/>
        <v/>
      </c>
      <c r="G672" s="9">
        <f t="shared" si="91"/>
        <v>0</v>
      </c>
      <c r="H672" s="9">
        <f t="shared" si="92"/>
        <v>0</v>
      </c>
      <c r="I672" s="9">
        <f t="array" ref="I672">+SUM(IFERROR(VALUE(G672:H672),0))</f>
        <v>0</v>
      </c>
      <c r="K672" s="9" t="str">
        <f t="shared" si="93"/>
        <v/>
      </c>
      <c r="L672" s="9">
        <f t="shared" si="94"/>
        <v>0</v>
      </c>
      <c r="M672" s="9">
        <f t="shared" si="95"/>
        <v>0</v>
      </c>
      <c r="N672" s="9">
        <f t="array" ref="N672">+SUM(IFERROR(VALUE(L672:M672),0))</f>
        <v>0</v>
      </c>
      <c r="P672" s="9" t="str">
        <f t="shared" si="96"/>
        <v/>
      </c>
      <c r="Q672" s="9">
        <f t="shared" si="97"/>
        <v>0</v>
      </c>
      <c r="R672" s="9">
        <f t="shared" si="98"/>
        <v>0</v>
      </c>
      <c r="S672" s="9">
        <f t="array" ref="S672">+SUM(IFERROR(VALUE(Q672:R672),0))</f>
        <v>0</v>
      </c>
    </row>
    <row r="673" spans="1:19" ht="14.4">
      <c r="A673"/>
      <c r="B673"/>
      <c r="C673" s="27"/>
      <c r="D673" s="28"/>
      <c r="F673" s="9" t="str">
        <f t="shared" si="90"/>
        <v/>
      </c>
      <c r="G673" s="9">
        <f t="shared" si="91"/>
        <v>0</v>
      </c>
      <c r="H673" s="9">
        <f t="shared" si="92"/>
        <v>0</v>
      </c>
      <c r="I673" s="9">
        <f t="array" ref="I673">+SUM(IFERROR(VALUE(G673:H673),0))</f>
        <v>0</v>
      </c>
      <c r="K673" s="9" t="str">
        <f t="shared" si="93"/>
        <v/>
      </c>
      <c r="L673" s="9">
        <f t="shared" si="94"/>
        <v>0</v>
      </c>
      <c r="M673" s="9">
        <f t="shared" si="95"/>
        <v>0</v>
      </c>
      <c r="N673" s="9">
        <f t="array" ref="N673">+SUM(IFERROR(VALUE(L673:M673),0))</f>
        <v>0</v>
      </c>
      <c r="P673" s="9" t="str">
        <f t="shared" si="96"/>
        <v/>
      </c>
      <c r="Q673" s="9">
        <f t="shared" si="97"/>
        <v>0</v>
      </c>
      <c r="R673" s="9">
        <f t="shared" si="98"/>
        <v>0</v>
      </c>
      <c r="S673" s="9">
        <f t="array" ref="S673">+SUM(IFERROR(VALUE(Q673:R673),0))</f>
        <v>0</v>
      </c>
    </row>
    <row r="674" spans="1:19" ht="14.4">
      <c r="A674"/>
      <c r="B674"/>
      <c r="C674" s="27"/>
      <c r="D674" s="28"/>
      <c r="F674" s="9" t="str">
        <f t="shared" si="90"/>
        <v/>
      </c>
      <c r="G674" s="9">
        <f t="shared" si="91"/>
        <v>0</v>
      </c>
      <c r="H674" s="9">
        <f t="shared" si="92"/>
        <v>0</v>
      </c>
      <c r="I674" s="9">
        <f t="array" ref="I674">+SUM(IFERROR(VALUE(G674:H674),0))</f>
        <v>0</v>
      </c>
      <c r="K674" s="9" t="str">
        <f t="shared" si="93"/>
        <v/>
      </c>
      <c r="L674" s="9">
        <f t="shared" si="94"/>
        <v>0</v>
      </c>
      <c r="M674" s="9">
        <f t="shared" si="95"/>
        <v>0</v>
      </c>
      <c r="N674" s="9">
        <f t="array" ref="N674">+SUM(IFERROR(VALUE(L674:M674),0))</f>
        <v>0</v>
      </c>
      <c r="P674" s="9" t="str">
        <f t="shared" si="96"/>
        <v/>
      </c>
      <c r="Q674" s="9">
        <f t="shared" si="97"/>
        <v>0</v>
      </c>
      <c r="R674" s="9">
        <f t="shared" si="98"/>
        <v>0</v>
      </c>
      <c r="S674" s="9">
        <f t="array" ref="S674">+SUM(IFERROR(VALUE(Q674:R674),0))</f>
        <v>0</v>
      </c>
    </row>
    <row r="675" spans="1:19" ht="14.4">
      <c r="A675"/>
      <c r="B675"/>
      <c r="C675" s="27"/>
      <c r="D675" s="28"/>
      <c r="F675" s="9" t="str">
        <f t="shared" si="90"/>
        <v/>
      </c>
      <c r="G675" s="9">
        <f t="shared" si="91"/>
        <v>0</v>
      </c>
      <c r="H675" s="9">
        <f t="shared" si="92"/>
        <v>0</v>
      </c>
      <c r="I675" s="9">
        <f t="array" ref="I675">+SUM(IFERROR(VALUE(G675:H675),0))</f>
        <v>0</v>
      </c>
      <c r="K675" s="9" t="str">
        <f t="shared" si="93"/>
        <v/>
      </c>
      <c r="L675" s="9">
        <f t="shared" si="94"/>
        <v>0</v>
      </c>
      <c r="M675" s="9">
        <f t="shared" si="95"/>
        <v>0</v>
      </c>
      <c r="N675" s="9">
        <f t="array" ref="N675">+SUM(IFERROR(VALUE(L675:M675),0))</f>
        <v>0</v>
      </c>
      <c r="P675" s="9" t="str">
        <f t="shared" si="96"/>
        <v/>
      </c>
      <c r="Q675" s="9">
        <f t="shared" si="97"/>
        <v>0</v>
      </c>
      <c r="R675" s="9">
        <f t="shared" si="98"/>
        <v>0</v>
      </c>
      <c r="S675" s="9">
        <f t="array" ref="S675">+SUM(IFERROR(VALUE(Q675:R675),0))</f>
        <v>0</v>
      </c>
    </row>
    <row r="676" spans="1:19" ht="14.4">
      <c r="A676"/>
      <c r="B676"/>
      <c r="C676" s="27"/>
      <c r="D676" s="28"/>
      <c r="F676" s="9" t="str">
        <f t="shared" si="90"/>
        <v/>
      </c>
      <c r="G676" s="9">
        <f t="shared" si="91"/>
        <v>0</v>
      </c>
      <c r="H676" s="9">
        <f t="shared" si="92"/>
        <v>0</v>
      </c>
      <c r="I676" s="9">
        <f t="array" ref="I676">+SUM(IFERROR(VALUE(G676:H676),0))</f>
        <v>0</v>
      </c>
      <c r="K676" s="9" t="str">
        <f t="shared" si="93"/>
        <v/>
      </c>
      <c r="L676" s="9">
        <f t="shared" si="94"/>
        <v>0</v>
      </c>
      <c r="M676" s="9">
        <f t="shared" si="95"/>
        <v>0</v>
      </c>
      <c r="N676" s="9">
        <f t="array" ref="N676">+SUM(IFERROR(VALUE(L676:M676),0))</f>
        <v>0</v>
      </c>
      <c r="P676" s="9" t="str">
        <f t="shared" si="96"/>
        <v/>
      </c>
      <c r="Q676" s="9">
        <f t="shared" si="97"/>
        <v>0</v>
      </c>
      <c r="R676" s="9">
        <f t="shared" si="98"/>
        <v>0</v>
      </c>
      <c r="S676" s="9">
        <f t="array" ref="S676">+SUM(IFERROR(VALUE(Q676:R676),0))</f>
        <v>0</v>
      </c>
    </row>
    <row r="677" spans="1:19" ht="14.4">
      <c r="A677"/>
      <c r="B677"/>
      <c r="C677" s="27"/>
      <c r="D677" s="28"/>
      <c r="F677" s="9" t="str">
        <f t="shared" si="90"/>
        <v/>
      </c>
      <c r="G677" s="9">
        <f t="shared" si="91"/>
        <v>0</v>
      </c>
      <c r="H677" s="9">
        <f t="shared" si="92"/>
        <v>0</v>
      </c>
      <c r="I677" s="9">
        <f t="array" ref="I677">+SUM(IFERROR(VALUE(G677:H677),0))</f>
        <v>0</v>
      </c>
      <c r="K677" s="9" t="str">
        <f t="shared" si="93"/>
        <v/>
      </c>
      <c r="L677" s="9">
        <f t="shared" si="94"/>
        <v>0</v>
      </c>
      <c r="M677" s="9">
        <f t="shared" si="95"/>
        <v>0</v>
      </c>
      <c r="N677" s="9">
        <f t="array" ref="N677">+SUM(IFERROR(VALUE(L677:M677),0))</f>
        <v>0</v>
      </c>
      <c r="P677" s="9" t="str">
        <f t="shared" si="96"/>
        <v/>
      </c>
      <c r="Q677" s="9">
        <f t="shared" si="97"/>
        <v>0</v>
      </c>
      <c r="R677" s="9">
        <f t="shared" si="98"/>
        <v>0</v>
      </c>
      <c r="S677" s="9">
        <f t="array" ref="S677">+SUM(IFERROR(VALUE(Q677:R677),0))</f>
        <v>0</v>
      </c>
    </row>
    <row r="678" spans="1:19" ht="14.4">
      <c r="A678"/>
      <c r="B678"/>
      <c r="C678" s="27"/>
      <c r="D678" s="28"/>
      <c r="F678" s="9" t="str">
        <f t="shared" si="90"/>
        <v/>
      </c>
      <c r="G678" s="9">
        <f t="shared" si="91"/>
        <v>0</v>
      </c>
      <c r="H678" s="9">
        <f t="shared" si="92"/>
        <v>0</v>
      </c>
      <c r="I678" s="9">
        <f t="array" ref="I678">+SUM(IFERROR(VALUE(G678:H678),0))</f>
        <v>0</v>
      </c>
      <c r="K678" s="9" t="str">
        <f t="shared" si="93"/>
        <v/>
      </c>
      <c r="L678" s="9">
        <f t="shared" si="94"/>
        <v>0</v>
      </c>
      <c r="M678" s="9">
        <f t="shared" si="95"/>
        <v>0</v>
      </c>
      <c r="N678" s="9">
        <f t="array" ref="N678">+SUM(IFERROR(VALUE(L678:M678),0))</f>
        <v>0</v>
      </c>
      <c r="P678" s="9" t="str">
        <f t="shared" si="96"/>
        <v/>
      </c>
      <c r="Q678" s="9">
        <f t="shared" si="97"/>
        <v>0</v>
      </c>
      <c r="R678" s="9">
        <f t="shared" si="98"/>
        <v>0</v>
      </c>
      <c r="S678" s="9">
        <f t="array" ref="S678">+SUM(IFERROR(VALUE(Q678:R678),0))</f>
        <v>0</v>
      </c>
    </row>
    <row r="679" spans="1:19" ht="14.4">
      <c r="A679"/>
      <c r="B679"/>
      <c r="C679" s="27"/>
      <c r="D679" s="28"/>
      <c r="F679" s="9" t="str">
        <f t="shared" si="90"/>
        <v/>
      </c>
      <c r="G679" s="9">
        <f t="shared" si="91"/>
        <v>0</v>
      </c>
      <c r="H679" s="9">
        <f t="shared" si="92"/>
        <v>0</v>
      </c>
      <c r="I679" s="9">
        <f t="array" ref="I679">+SUM(IFERROR(VALUE(G679:H679),0))</f>
        <v>0</v>
      </c>
      <c r="K679" s="9" t="str">
        <f t="shared" si="93"/>
        <v/>
      </c>
      <c r="L679" s="9">
        <f t="shared" si="94"/>
        <v>0</v>
      </c>
      <c r="M679" s="9">
        <f t="shared" si="95"/>
        <v>0</v>
      </c>
      <c r="N679" s="9">
        <f t="array" ref="N679">+SUM(IFERROR(VALUE(L679:M679),0))</f>
        <v>0</v>
      </c>
      <c r="P679" s="9" t="str">
        <f t="shared" si="96"/>
        <v/>
      </c>
      <c r="Q679" s="9">
        <f t="shared" si="97"/>
        <v>0</v>
      </c>
      <c r="R679" s="9">
        <f t="shared" si="98"/>
        <v>0</v>
      </c>
      <c r="S679" s="9">
        <f t="array" ref="S679">+SUM(IFERROR(VALUE(Q679:R679),0))</f>
        <v>0</v>
      </c>
    </row>
    <row r="680" spans="1:19" ht="14.4">
      <c r="A680"/>
      <c r="B680"/>
      <c r="C680" s="27"/>
      <c r="D680" s="28"/>
      <c r="F680" s="9" t="str">
        <f t="shared" si="90"/>
        <v/>
      </c>
      <c r="G680" s="9">
        <f t="shared" si="91"/>
        <v>0</v>
      </c>
      <c r="H680" s="9">
        <f t="shared" si="92"/>
        <v>0</v>
      </c>
      <c r="I680" s="9">
        <f t="array" ref="I680">+SUM(IFERROR(VALUE(G680:H680),0))</f>
        <v>0</v>
      </c>
      <c r="K680" s="9" t="str">
        <f t="shared" si="93"/>
        <v/>
      </c>
      <c r="L680" s="9">
        <f t="shared" si="94"/>
        <v>0</v>
      </c>
      <c r="M680" s="9">
        <f t="shared" si="95"/>
        <v>0</v>
      </c>
      <c r="N680" s="9">
        <f t="array" ref="N680">+SUM(IFERROR(VALUE(L680:M680),0))</f>
        <v>0</v>
      </c>
      <c r="P680" s="9" t="str">
        <f t="shared" si="96"/>
        <v/>
      </c>
      <c r="Q680" s="9">
        <f t="shared" si="97"/>
        <v>0</v>
      </c>
      <c r="R680" s="9">
        <f t="shared" si="98"/>
        <v>0</v>
      </c>
      <c r="S680" s="9">
        <f t="array" ref="S680">+SUM(IFERROR(VALUE(Q680:R680),0))</f>
        <v>0</v>
      </c>
    </row>
    <row r="681" spans="1:19" ht="14.4">
      <c r="A681"/>
      <c r="B681"/>
      <c r="C681" s="27"/>
      <c r="D681" s="28"/>
      <c r="F681" s="9" t="str">
        <f t="shared" si="90"/>
        <v/>
      </c>
      <c r="G681" s="9">
        <f t="shared" si="91"/>
        <v>0</v>
      </c>
      <c r="H681" s="9">
        <f t="shared" si="92"/>
        <v>0</v>
      </c>
      <c r="I681" s="9">
        <f t="array" ref="I681">+SUM(IFERROR(VALUE(G681:H681),0))</f>
        <v>0</v>
      </c>
      <c r="K681" s="9" t="str">
        <f t="shared" si="93"/>
        <v/>
      </c>
      <c r="L681" s="9">
        <f t="shared" si="94"/>
        <v>0</v>
      </c>
      <c r="M681" s="9">
        <f t="shared" si="95"/>
        <v>0</v>
      </c>
      <c r="N681" s="9">
        <f t="array" ref="N681">+SUM(IFERROR(VALUE(L681:M681),0))</f>
        <v>0</v>
      </c>
      <c r="P681" s="9" t="str">
        <f t="shared" si="96"/>
        <v/>
      </c>
      <c r="Q681" s="9">
        <f t="shared" si="97"/>
        <v>0</v>
      </c>
      <c r="R681" s="9">
        <f t="shared" si="98"/>
        <v>0</v>
      </c>
      <c r="S681" s="9">
        <f t="array" ref="S681">+SUM(IFERROR(VALUE(Q681:R681),0))</f>
        <v>0</v>
      </c>
    </row>
    <row r="682" spans="1:19" ht="14.4">
      <c r="A682"/>
      <c r="B682"/>
      <c r="C682" s="27"/>
      <c r="D682" s="28"/>
      <c r="F682" s="9" t="str">
        <f t="shared" si="90"/>
        <v/>
      </c>
      <c r="G682" s="9">
        <f t="shared" si="91"/>
        <v>0</v>
      </c>
      <c r="H682" s="9">
        <f t="shared" si="92"/>
        <v>0</v>
      </c>
      <c r="I682" s="9">
        <f t="array" ref="I682">+SUM(IFERROR(VALUE(G682:H682),0))</f>
        <v>0</v>
      </c>
      <c r="K682" s="9" t="str">
        <f t="shared" si="93"/>
        <v/>
      </c>
      <c r="L682" s="9">
        <f t="shared" si="94"/>
        <v>0</v>
      </c>
      <c r="M682" s="9">
        <f t="shared" si="95"/>
        <v>0</v>
      </c>
      <c r="N682" s="9">
        <f t="array" ref="N682">+SUM(IFERROR(VALUE(L682:M682),0))</f>
        <v>0</v>
      </c>
      <c r="P682" s="9" t="str">
        <f t="shared" si="96"/>
        <v/>
      </c>
      <c r="Q682" s="9">
        <f t="shared" si="97"/>
        <v>0</v>
      </c>
      <c r="R682" s="9">
        <f t="shared" si="98"/>
        <v>0</v>
      </c>
      <c r="S682" s="9">
        <f t="array" ref="S682">+SUM(IFERROR(VALUE(Q682:R682),0))</f>
        <v>0</v>
      </c>
    </row>
    <row r="683" spans="1:19" ht="14.4">
      <c r="A683"/>
      <c r="B683"/>
      <c r="C683" s="27"/>
      <c r="D683" s="28"/>
      <c r="F683" s="9" t="str">
        <f t="shared" si="90"/>
        <v/>
      </c>
      <c r="G683" s="9">
        <f t="shared" si="91"/>
        <v>0</v>
      </c>
      <c r="H683" s="9">
        <f t="shared" si="92"/>
        <v>0</v>
      </c>
      <c r="I683" s="9">
        <f t="array" ref="I683">+SUM(IFERROR(VALUE(G683:H683),0))</f>
        <v>0</v>
      </c>
      <c r="K683" s="9" t="str">
        <f t="shared" si="93"/>
        <v/>
      </c>
      <c r="L683" s="9">
        <f t="shared" si="94"/>
        <v>0</v>
      </c>
      <c r="M683" s="9">
        <f t="shared" si="95"/>
        <v>0</v>
      </c>
      <c r="N683" s="9">
        <f t="array" ref="N683">+SUM(IFERROR(VALUE(L683:M683),0))</f>
        <v>0</v>
      </c>
      <c r="P683" s="9" t="str">
        <f t="shared" si="96"/>
        <v/>
      </c>
      <c r="Q683" s="9">
        <f t="shared" si="97"/>
        <v>0</v>
      </c>
      <c r="R683" s="9">
        <f t="shared" si="98"/>
        <v>0</v>
      </c>
      <c r="S683" s="9">
        <f t="array" ref="S683">+SUM(IFERROR(VALUE(Q683:R683),0))</f>
        <v>0</v>
      </c>
    </row>
    <row r="684" spans="1:19" ht="14.4">
      <c r="A684"/>
      <c r="B684"/>
      <c r="C684" s="27"/>
      <c r="D684" s="28"/>
      <c r="F684" s="9" t="str">
        <f t="shared" si="90"/>
        <v/>
      </c>
      <c r="G684" s="9">
        <f t="shared" si="91"/>
        <v>0</v>
      </c>
      <c r="H684" s="9">
        <f t="shared" si="92"/>
        <v>0</v>
      </c>
      <c r="I684" s="9">
        <f t="array" ref="I684">+SUM(IFERROR(VALUE(G684:H684),0))</f>
        <v>0</v>
      </c>
      <c r="K684" s="9" t="str">
        <f t="shared" si="93"/>
        <v/>
      </c>
      <c r="L684" s="9">
        <f t="shared" si="94"/>
        <v>0</v>
      </c>
      <c r="M684" s="9">
        <f t="shared" si="95"/>
        <v>0</v>
      </c>
      <c r="N684" s="9">
        <f t="array" ref="N684">+SUM(IFERROR(VALUE(L684:M684),0))</f>
        <v>0</v>
      </c>
      <c r="P684" s="9" t="str">
        <f t="shared" si="96"/>
        <v/>
      </c>
      <c r="Q684" s="9">
        <f t="shared" si="97"/>
        <v>0</v>
      </c>
      <c r="R684" s="9">
        <f t="shared" si="98"/>
        <v>0</v>
      </c>
      <c r="S684" s="9">
        <f t="array" ref="S684">+SUM(IFERROR(VALUE(Q684:R684),0))</f>
        <v>0</v>
      </c>
    </row>
    <row r="685" spans="1:19" ht="14.4">
      <c r="A685"/>
      <c r="B685"/>
      <c r="C685" s="27"/>
      <c r="D685" s="28"/>
      <c r="F685" s="9" t="str">
        <f t="shared" si="90"/>
        <v/>
      </c>
      <c r="G685" s="9">
        <f t="shared" si="91"/>
        <v>0</v>
      </c>
      <c r="H685" s="9">
        <f t="shared" si="92"/>
        <v>0</v>
      </c>
      <c r="I685" s="9">
        <f t="array" ref="I685">+SUM(IFERROR(VALUE(G685:H685),0))</f>
        <v>0</v>
      </c>
      <c r="K685" s="9" t="str">
        <f t="shared" si="93"/>
        <v/>
      </c>
      <c r="L685" s="9">
        <f t="shared" si="94"/>
        <v>0</v>
      </c>
      <c r="M685" s="9">
        <f t="shared" si="95"/>
        <v>0</v>
      </c>
      <c r="N685" s="9">
        <f t="array" ref="N685">+SUM(IFERROR(VALUE(L685:M685),0))</f>
        <v>0</v>
      </c>
      <c r="P685" s="9" t="str">
        <f t="shared" si="96"/>
        <v/>
      </c>
      <c r="Q685" s="9">
        <f t="shared" si="97"/>
        <v>0</v>
      </c>
      <c r="R685" s="9">
        <f t="shared" si="98"/>
        <v>0</v>
      </c>
      <c r="S685" s="9">
        <f t="array" ref="S685">+SUM(IFERROR(VALUE(Q685:R685),0))</f>
        <v>0</v>
      </c>
    </row>
    <row r="686" spans="1:19" ht="14.4">
      <c r="A686"/>
      <c r="B686"/>
      <c r="C686" s="27"/>
      <c r="D686" s="28"/>
      <c r="F686" s="9" t="str">
        <f t="shared" si="90"/>
        <v/>
      </c>
      <c r="G686" s="9">
        <f t="shared" si="91"/>
        <v>0</v>
      </c>
      <c r="H686" s="9">
        <f t="shared" si="92"/>
        <v>0</v>
      </c>
      <c r="I686" s="9">
        <f t="array" ref="I686">+SUM(IFERROR(VALUE(G686:H686),0))</f>
        <v>0</v>
      </c>
      <c r="K686" s="9" t="str">
        <f t="shared" si="93"/>
        <v/>
      </c>
      <c r="L686" s="9">
        <f t="shared" si="94"/>
        <v>0</v>
      </c>
      <c r="M686" s="9">
        <f t="shared" si="95"/>
        <v>0</v>
      </c>
      <c r="N686" s="9">
        <f t="array" ref="N686">+SUM(IFERROR(VALUE(L686:M686),0))</f>
        <v>0</v>
      </c>
      <c r="P686" s="9" t="str">
        <f t="shared" si="96"/>
        <v/>
      </c>
      <c r="Q686" s="9">
        <f t="shared" si="97"/>
        <v>0</v>
      </c>
      <c r="R686" s="9">
        <f t="shared" si="98"/>
        <v>0</v>
      </c>
      <c r="S686" s="9">
        <f t="array" ref="S686">+SUM(IFERROR(VALUE(Q686:R686),0))</f>
        <v>0</v>
      </c>
    </row>
    <row r="687" spans="1:19" ht="14.4">
      <c r="A687"/>
      <c r="B687"/>
      <c r="C687" s="27"/>
      <c r="D687" s="28"/>
      <c r="F687" s="9" t="str">
        <f t="shared" si="90"/>
        <v/>
      </c>
      <c r="G687" s="9">
        <f t="shared" si="91"/>
        <v>0</v>
      </c>
      <c r="H687" s="9">
        <f t="shared" si="92"/>
        <v>0</v>
      </c>
      <c r="I687" s="9">
        <f t="array" ref="I687">+SUM(IFERROR(VALUE(G687:H687),0))</f>
        <v>0</v>
      </c>
      <c r="K687" s="9" t="str">
        <f t="shared" si="93"/>
        <v/>
      </c>
      <c r="L687" s="9">
        <f t="shared" si="94"/>
        <v>0</v>
      </c>
      <c r="M687" s="9">
        <f t="shared" si="95"/>
        <v>0</v>
      </c>
      <c r="N687" s="9">
        <f t="array" ref="N687">+SUM(IFERROR(VALUE(L687:M687),0))</f>
        <v>0</v>
      </c>
      <c r="P687" s="9" t="str">
        <f t="shared" si="96"/>
        <v/>
      </c>
      <c r="Q687" s="9">
        <f t="shared" si="97"/>
        <v>0</v>
      </c>
      <c r="R687" s="9">
        <f t="shared" si="98"/>
        <v>0</v>
      </c>
      <c r="S687" s="9">
        <f t="array" ref="S687">+SUM(IFERROR(VALUE(Q687:R687),0))</f>
        <v>0</v>
      </c>
    </row>
    <row r="688" spans="1:19" ht="14.4">
      <c r="A688"/>
      <c r="B688"/>
      <c r="C688" s="27"/>
      <c r="D688" s="28"/>
      <c r="F688" s="9" t="str">
        <f t="shared" si="90"/>
        <v/>
      </c>
      <c r="G688" s="9">
        <f t="shared" si="91"/>
        <v>0</v>
      </c>
      <c r="H688" s="9">
        <f t="shared" si="92"/>
        <v>0</v>
      </c>
      <c r="I688" s="9">
        <f t="array" ref="I688">+SUM(IFERROR(VALUE(G688:H688),0))</f>
        <v>0</v>
      </c>
      <c r="K688" s="9" t="str">
        <f t="shared" si="93"/>
        <v/>
      </c>
      <c r="L688" s="9">
        <f t="shared" si="94"/>
        <v>0</v>
      </c>
      <c r="M688" s="9">
        <f t="shared" si="95"/>
        <v>0</v>
      </c>
      <c r="N688" s="9">
        <f t="array" ref="N688">+SUM(IFERROR(VALUE(L688:M688),0))</f>
        <v>0</v>
      </c>
      <c r="P688" s="9" t="str">
        <f t="shared" si="96"/>
        <v/>
      </c>
      <c r="Q688" s="9">
        <f t="shared" si="97"/>
        <v>0</v>
      </c>
      <c r="R688" s="9">
        <f t="shared" si="98"/>
        <v>0</v>
      </c>
      <c r="S688" s="9">
        <f t="array" ref="S688">+SUM(IFERROR(VALUE(Q688:R688),0))</f>
        <v>0</v>
      </c>
    </row>
    <row r="689" spans="1:19" ht="14.4">
      <c r="A689"/>
      <c r="B689"/>
      <c r="C689" s="27"/>
      <c r="D689" s="28"/>
      <c r="F689" s="9" t="str">
        <f t="shared" si="90"/>
        <v/>
      </c>
      <c r="G689" s="9">
        <f t="shared" si="91"/>
        <v>0</v>
      </c>
      <c r="H689" s="9">
        <f t="shared" si="92"/>
        <v>0</v>
      </c>
      <c r="I689" s="9">
        <f t="array" ref="I689">+SUM(IFERROR(VALUE(G689:H689),0))</f>
        <v>0</v>
      </c>
      <c r="K689" s="9" t="str">
        <f t="shared" si="93"/>
        <v/>
      </c>
      <c r="L689" s="9">
        <f t="shared" si="94"/>
        <v>0</v>
      </c>
      <c r="M689" s="9">
        <f t="shared" si="95"/>
        <v>0</v>
      </c>
      <c r="N689" s="9">
        <f t="array" ref="N689">+SUM(IFERROR(VALUE(L689:M689),0))</f>
        <v>0</v>
      </c>
      <c r="P689" s="9" t="str">
        <f t="shared" si="96"/>
        <v/>
      </c>
      <c r="Q689" s="9">
        <f t="shared" si="97"/>
        <v>0</v>
      </c>
      <c r="R689" s="9">
        <f t="shared" si="98"/>
        <v>0</v>
      </c>
      <c r="S689" s="9">
        <f t="array" ref="S689">+SUM(IFERROR(VALUE(Q689:R689),0))</f>
        <v>0</v>
      </c>
    </row>
    <row r="690" spans="1:19" ht="14.4">
      <c r="A690"/>
      <c r="B690"/>
      <c r="C690" s="27"/>
      <c r="D690" s="28"/>
      <c r="F690" s="9" t="str">
        <f t="shared" si="90"/>
        <v/>
      </c>
      <c r="G690" s="9">
        <f t="shared" si="91"/>
        <v>0</v>
      </c>
      <c r="H690" s="9">
        <f t="shared" si="92"/>
        <v>0</v>
      </c>
      <c r="I690" s="9">
        <f t="array" ref="I690">+SUM(IFERROR(VALUE(G690:H690),0))</f>
        <v>0</v>
      </c>
      <c r="K690" s="9" t="str">
        <f t="shared" si="93"/>
        <v/>
      </c>
      <c r="L690" s="9">
        <f t="shared" si="94"/>
        <v>0</v>
      </c>
      <c r="M690" s="9">
        <f t="shared" si="95"/>
        <v>0</v>
      </c>
      <c r="N690" s="9">
        <f t="array" ref="N690">+SUM(IFERROR(VALUE(L690:M690),0))</f>
        <v>0</v>
      </c>
      <c r="P690" s="9" t="str">
        <f t="shared" si="96"/>
        <v/>
      </c>
      <c r="Q690" s="9">
        <f t="shared" si="97"/>
        <v>0</v>
      </c>
      <c r="R690" s="9">
        <f t="shared" si="98"/>
        <v>0</v>
      </c>
      <c r="S690" s="9">
        <f t="array" ref="S690">+SUM(IFERROR(VALUE(Q690:R690),0))</f>
        <v>0</v>
      </c>
    </row>
    <row r="691" spans="1:19" ht="14.4">
      <c r="A691"/>
      <c r="B691"/>
      <c r="C691" s="27"/>
      <c r="D691" s="28"/>
      <c r="F691" s="9" t="str">
        <f t="shared" si="90"/>
        <v/>
      </c>
      <c r="G691" s="9">
        <f t="shared" si="91"/>
        <v>0</v>
      </c>
      <c r="H691" s="9">
        <f t="shared" si="92"/>
        <v>0</v>
      </c>
      <c r="I691" s="9">
        <f t="array" ref="I691">+SUM(IFERROR(VALUE(G691:H691),0))</f>
        <v>0</v>
      </c>
      <c r="K691" s="9" t="str">
        <f t="shared" si="93"/>
        <v/>
      </c>
      <c r="L691" s="9">
        <f t="shared" si="94"/>
        <v>0</v>
      </c>
      <c r="M691" s="9">
        <f t="shared" si="95"/>
        <v>0</v>
      </c>
      <c r="N691" s="9">
        <f t="array" ref="N691">+SUM(IFERROR(VALUE(L691:M691),0))</f>
        <v>0</v>
      </c>
      <c r="P691" s="9" t="str">
        <f t="shared" si="96"/>
        <v/>
      </c>
      <c r="Q691" s="9">
        <f t="shared" si="97"/>
        <v>0</v>
      </c>
      <c r="R691" s="9">
        <f t="shared" si="98"/>
        <v>0</v>
      </c>
      <c r="S691" s="9">
        <f t="array" ref="S691">+SUM(IFERROR(VALUE(Q691:R691),0))</f>
        <v>0</v>
      </c>
    </row>
    <row r="692" spans="1:19" ht="14.4">
      <c r="A692"/>
      <c r="B692"/>
      <c r="C692" s="27"/>
      <c r="D692" s="28"/>
      <c r="F692" s="9" t="str">
        <f t="shared" si="90"/>
        <v/>
      </c>
      <c r="G692" s="9">
        <f t="shared" si="91"/>
        <v>0</v>
      </c>
      <c r="H692" s="9">
        <f t="shared" si="92"/>
        <v>0</v>
      </c>
      <c r="I692" s="9">
        <f t="array" ref="I692">+SUM(IFERROR(VALUE(G692:H692),0))</f>
        <v>0</v>
      </c>
      <c r="K692" s="9" t="str">
        <f t="shared" si="93"/>
        <v/>
      </c>
      <c r="L692" s="9">
        <f t="shared" si="94"/>
        <v>0</v>
      </c>
      <c r="M692" s="9">
        <f t="shared" si="95"/>
        <v>0</v>
      </c>
      <c r="N692" s="9">
        <f t="array" ref="N692">+SUM(IFERROR(VALUE(L692:M692),0))</f>
        <v>0</v>
      </c>
      <c r="P692" s="9" t="str">
        <f t="shared" si="96"/>
        <v/>
      </c>
      <c r="Q692" s="9">
        <f t="shared" si="97"/>
        <v>0</v>
      </c>
      <c r="R692" s="9">
        <f t="shared" si="98"/>
        <v>0</v>
      </c>
      <c r="S692" s="9">
        <f t="array" ref="S692">+SUM(IFERROR(VALUE(Q692:R692),0))</f>
        <v>0</v>
      </c>
    </row>
    <row r="693" spans="1:19" ht="14.4">
      <c r="A693"/>
      <c r="B693"/>
      <c r="C693" s="27"/>
      <c r="D693" s="28"/>
      <c r="F693" s="9" t="str">
        <f t="shared" si="90"/>
        <v/>
      </c>
      <c r="G693" s="9">
        <f t="shared" si="91"/>
        <v>0</v>
      </c>
      <c r="H693" s="9">
        <f t="shared" si="92"/>
        <v>0</v>
      </c>
      <c r="I693" s="9">
        <f t="array" ref="I693">+SUM(IFERROR(VALUE(G693:H693),0))</f>
        <v>0</v>
      </c>
      <c r="K693" s="9" t="str">
        <f t="shared" si="93"/>
        <v/>
      </c>
      <c r="L693" s="9">
        <f t="shared" si="94"/>
        <v>0</v>
      </c>
      <c r="M693" s="9">
        <f t="shared" si="95"/>
        <v>0</v>
      </c>
      <c r="N693" s="9">
        <f t="array" ref="N693">+SUM(IFERROR(VALUE(L693:M693),0))</f>
        <v>0</v>
      </c>
      <c r="P693" s="9" t="str">
        <f t="shared" si="96"/>
        <v/>
      </c>
      <c r="Q693" s="9">
        <f t="shared" si="97"/>
        <v>0</v>
      </c>
      <c r="R693" s="9">
        <f t="shared" si="98"/>
        <v>0</v>
      </c>
      <c r="S693" s="9">
        <f t="array" ref="S693">+SUM(IFERROR(VALUE(Q693:R693),0))</f>
        <v>0</v>
      </c>
    </row>
    <row r="694" spans="1:19" ht="14.4">
      <c r="A694"/>
      <c r="B694"/>
      <c r="C694" s="27"/>
      <c r="D694" s="28"/>
      <c r="F694" s="9" t="str">
        <f t="shared" si="90"/>
        <v/>
      </c>
      <c r="G694" s="9">
        <f t="shared" si="91"/>
        <v>0</v>
      </c>
      <c r="H694" s="9">
        <f t="shared" si="92"/>
        <v>0</v>
      </c>
      <c r="I694" s="9">
        <f t="array" ref="I694">+SUM(IFERROR(VALUE(G694:H694),0))</f>
        <v>0</v>
      </c>
      <c r="K694" s="9" t="str">
        <f t="shared" si="93"/>
        <v/>
      </c>
      <c r="L694" s="9">
        <f t="shared" si="94"/>
        <v>0</v>
      </c>
      <c r="M694" s="9">
        <f t="shared" si="95"/>
        <v>0</v>
      </c>
      <c r="N694" s="9">
        <f t="array" ref="N694">+SUM(IFERROR(VALUE(L694:M694),0))</f>
        <v>0</v>
      </c>
      <c r="P694" s="9" t="str">
        <f t="shared" si="96"/>
        <v/>
      </c>
      <c r="Q694" s="9">
        <f t="shared" si="97"/>
        <v>0</v>
      </c>
      <c r="R694" s="9">
        <f t="shared" si="98"/>
        <v>0</v>
      </c>
      <c r="S694" s="9">
        <f t="array" ref="S694">+SUM(IFERROR(VALUE(Q694:R694),0))</f>
        <v>0</v>
      </c>
    </row>
    <row r="695" spans="1:19" ht="14.4">
      <c r="A695"/>
      <c r="B695"/>
      <c r="C695" s="27"/>
      <c r="D695" s="28"/>
      <c r="F695" s="9" t="str">
        <f t="shared" si="90"/>
        <v/>
      </c>
      <c r="G695" s="9">
        <f t="shared" si="91"/>
        <v>0</v>
      </c>
      <c r="H695" s="9">
        <f t="shared" si="92"/>
        <v>0</v>
      </c>
      <c r="I695" s="9">
        <f t="array" ref="I695">+SUM(IFERROR(VALUE(G695:H695),0))</f>
        <v>0</v>
      </c>
      <c r="K695" s="9" t="str">
        <f t="shared" si="93"/>
        <v/>
      </c>
      <c r="L695" s="9">
        <f t="shared" si="94"/>
        <v>0</v>
      </c>
      <c r="M695" s="9">
        <f t="shared" si="95"/>
        <v>0</v>
      </c>
      <c r="N695" s="9">
        <f t="array" ref="N695">+SUM(IFERROR(VALUE(L695:M695),0))</f>
        <v>0</v>
      </c>
      <c r="P695" s="9" t="str">
        <f t="shared" si="96"/>
        <v/>
      </c>
      <c r="Q695" s="9">
        <f t="shared" si="97"/>
        <v>0</v>
      </c>
      <c r="R695" s="9">
        <f t="shared" si="98"/>
        <v>0</v>
      </c>
      <c r="S695" s="9">
        <f t="array" ref="S695">+SUM(IFERROR(VALUE(Q695:R695),0))</f>
        <v>0</v>
      </c>
    </row>
    <row r="696" spans="1:19" ht="14.4">
      <c r="A696"/>
      <c r="B696"/>
      <c r="C696" s="27"/>
      <c r="D696" s="28"/>
      <c r="F696" s="9" t="str">
        <f t="shared" si="90"/>
        <v/>
      </c>
      <c r="G696" s="9">
        <f t="shared" si="91"/>
        <v>0</v>
      </c>
      <c r="H696" s="9">
        <f t="shared" si="92"/>
        <v>0</v>
      </c>
      <c r="I696" s="9">
        <f t="array" ref="I696">+SUM(IFERROR(VALUE(G696:H696),0))</f>
        <v>0</v>
      </c>
      <c r="K696" s="9" t="str">
        <f t="shared" si="93"/>
        <v/>
      </c>
      <c r="L696" s="9">
        <f t="shared" si="94"/>
        <v>0</v>
      </c>
      <c r="M696" s="9">
        <f t="shared" si="95"/>
        <v>0</v>
      </c>
      <c r="N696" s="9">
        <f t="array" ref="N696">+SUM(IFERROR(VALUE(L696:M696),0))</f>
        <v>0</v>
      </c>
      <c r="P696" s="9" t="str">
        <f t="shared" si="96"/>
        <v/>
      </c>
      <c r="Q696" s="9">
        <f t="shared" si="97"/>
        <v>0</v>
      </c>
      <c r="R696" s="9">
        <f t="shared" si="98"/>
        <v>0</v>
      </c>
      <c r="S696" s="9">
        <f t="array" ref="S696">+SUM(IFERROR(VALUE(Q696:R696),0))</f>
        <v>0</v>
      </c>
    </row>
    <row r="697" spans="1:19" ht="14.4">
      <c r="A697"/>
      <c r="B697"/>
      <c r="C697" s="27"/>
      <c r="D697" s="28"/>
      <c r="F697" s="9" t="str">
        <f t="shared" si="90"/>
        <v/>
      </c>
      <c r="G697" s="9">
        <f t="shared" si="91"/>
        <v>0</v>
      </c>
      <c r="H697" s="9">
        <f t="shared" si="92"/>
        <v>0</v>
      </c>
      <c r="I697" s="9">
        <f t="array" ref="I697">+SUM(IFERROR(VALUE(G697:H697),0))</f>
        <v>0</v>
      </c>
      <c r="K697" s="9" t="str">
        <f t="shared" si="93"/>
        <v/>
      </c>
      <c r="L697" s="9">
        <f t="shared" si="94"/>
        <v>0</v>
      </c>
      <c r="M697" s="9">
        <f t="shared" si="95"/>
        <v>0</v>
      </c>
      <c r="N697" s="9">
        <f t="array" ref="N697">+SUM(IFERROR(VALUE(L697:M697),0))</f>
        <v>0</v>
      </c>
      <c r="P697" s="9" t="str">
        <f t="shared" si="96"/>
        <v/>
      </c>
      <c r="Q697" s="9">
        <f t="shared" si="97"/>
        <v>0</v>
      </c>
      <c r="R697" s="9">
        <f t="shared" si="98"/>
        <v>0</v>
      </c>
      <c r="S697" s="9">
        <f t="array" ref="S697">+SUM(IFERROR(VALUE(Q697:R697),0))</f>
        <v>0</v>
      </c>
    </row>
    <row r="698" spans="1:19" ht="14.4">
      <c r="A698"/>
      <c r="B698"/>
      <c r="C698" s="27"/>
      <c r="D698" s="28"/>
      <c r="F698" s="9" t="str">
        <f t="shared" si="90"/>
        <v/>
      </c>
      <c r="G698" s="9">
        <f t="shared" si="91"/>
        <v>0</v>
      </c>
      <c r="H698" s="9">
        <f t="shared" si="92"/>
        <v>0</v>
      </c>
      <c r="I698" s="9">
        <f t="array" ref="I698">+SUM(IFERROR(VALUE(G698:H698),0))</f>
        <v>0</v>
      </c>
      <c r="K698" s="9" t="str">
        <f t="shared" si="93"/>
        <v/>
      </c>
      <c r="L698" s="9">
        <f t="shared" si="94"/>
        <v>0</v>
      </c>
      <c r="M698" s="9">
        <f t="shared" si="95"/>
        <v>0</v>
      </c>
      <c r="N698" s="9">
        <f t="array" ref="N698">+SUM(IFERROR(VALUE(L698:M698),0))</f>
        <v>0</v>
      </c>
      <c r="P698" s="9" t="str">
        <f t="shared" si="96"/>
        <v/>
      </c>
      <c r="Q698" s="9">
        <f t="shared" si="97"/>
        <v>0</v>
      </c>
      <c r="R698" s="9">
        <f t="shared" si="98"/>
        <v>0</v>
      </c>
      <c r="S698" s="9">
        <f t="array" ref="S698">+SUM(IFERROR(VALUE(Q698:R698),0))</f>
        <v>0</v>
      </c>
    </row>
    <row r="699" spans="1:19" ht="14.4">
      <c r="A699"/>
      <c r="B699"/>
      <c r="C699" s="27"/>
      <c r="D699" s="28"/>
      <c r="F699" s="9" t="str">
        <f t="shared" si="90"/>
        <v/>
      </c>
      <c r="G699" s="9">
        <f t="shared" si="91"/>
        <v>0</v>
      </c>
      <c r="H699" s="9">
        <f t="shared" si="92"/>
        <v>0</v>
      </c>
      <c r="I699" s="9">
        <f t="array" ref="I699">+SUM(IFERROR(VALUE(G699:H699),0))</f>
        <v>0</v>
      </c>
      <c r="K699" s="9" t="str">
        <f t="shared" si="93"/>
        <v/>
      </c>
      <c r="L699" s="9">
        <f t="shared" si="94"/>
        <v>0</v>
      </c>
      <c r="M699" s="9">
        <f t="shared" si="95"/>
        <v>0</v>
      </c>
      <c r="N699" s="9">
        <f t="array" ref="N699">+SUM(IFERROR(VALUE(L699:M699),0))</f>
        <v>0</v>
      </c>
      <c r="P699" s="9" t="str">
        <f t="shared" si="96"/>
        <v/>
      </c>
      <c r="Q699" s="9">
        <f t="shared" si="97"/>
        <v>0</v>
      </c>
      <c r="R699" s="9">
        <f t="shared" si="98"/>
        <v>0</v>
      </c>
      <c r="S699" s="9">
        <f t="array" ref="S699">+SUM(IFERROR(VALUE(Q699:R699),0))</f>
        <v>0</v>
      </c>
    </row>
    <row r="700" spans="1:19" ht="14.4">
      <c r="A700"/>
      <c r="B700"/>
      <c r="C700" s="27"/>
      <c r="D700" s="28"/>
      <c r="F700" s="9" t="str">
        <f t="shared" si="90"/>
        <v/>
      </c>
      <c r="G700" s="9">
        <f t="shared" si="91"/>
        <v>0</v>
      </c>
      <c r="H700" s="9">
        <f t="shared" si="92"/>
        <v>0</v>
      </c>
      <c r="I700" s="9">
        <f t="array" ref="I700">+SUM(IFERROR(VALUE(G700:H700),0))</f>
        <v>0</v>
      </c>
      <c r="K700" s="9" t="str">
        <f t="shared" si="93"/>
        <v/>
      </c>
      <c r="L700" s="9">
        <f t="shared" si="94"/>
        <v>0</v>
      </c>
      <c r="M700" s="9">
        <f t="shared" si="95"/>
        <v>0</v>
      </c>
      <c r="N700" s="9">
        <f t="array" ref="N700">+SUM(IFERROR(VALUE(L700:M700),0))</f>
        <v>0</v>
      </c>
      <c r="P700" s="9" t="str">
        <f t="shared" si="96"/>
        <v/>
      </c>
      <c r="Q700" s="9">
        <f t="shared" si="97"/>
        <v>0</v>
      </c>
      <c r="R700" s="9">
        <f t="shared" si="98"/>
        <v>0</v>
      </c>
      <c r="S700" s="9">
        <f t="array" ref="S700">+SUM(IFERROR(VALUE(Q700:R700),0))</f>
        <v>0</v>
      </c>
    </row>
    <row r="701" spans="1:19" ht="14.4">
      <c r="A701"/>
      <c r="B701"/>
      <c r="C701" s="27"/>
      <c r="D701" s="28"/>
      <c r="F701" s="9" t="str">
        <f t="shared" si="90"/>
        <v/>
      </c>
      <c r="G701" s="9">
        <f t="shared" si="91"/>
        <v>0</v>
      </c>
      <c r="H701" s="9">
        <f t="shared" si="92"/>
        <v>0</v>
      </c>
      <c r="I701" s="9">
        <f t="array" ref="I701">+SUM(IFERROR(VALUE(G701:H701),0))</f>
        <v>0</v>
      </c>
      <c r="K701" s="9" t="str">
        <f t="shared" si="93"/>
        <v/>
      </c>
      <c r="L701" s="9">
        <f t="shared" si="94"/>
        <v>0</v>
      </c>
      <c r="M701" s="9">
        <f t="shared" si="95"/>
        <v>0</v>
      </c>
      <c r="N701" s="9">
        <f t="array" ref="N701">+SUM(IFERROR(VALUE(L701:M701),0))</f>
        <v>0</v>
      </c>
      <c r="P701" s="9" t="str">
        <f t="shared" si="96"/>
        <v/>
      </c>
      <c r="Q701" s="9">
        <f t="shared" si="97"/>
        <v>0</v>
      </c>
      <c r="R701" s="9">
        <f t="shared" si="98"/>
        <v>0</v>
      </c>
      <c r="S701" s="9">
        <f t="array" ref="S701">+SUM(IFERROR(VALUE(Q701:R701),0))</f>
        <v>0</v>
      </c>
    </row>
    <row r="702" spans="1:19" ht="14.4">
      <c r="A702"/>
      <c r="B702"/>
      <c r="C702" s="27"/>
      <c r="D702" s="28"/>
      <c r="F702" s="9" t="str">
        <f t="shared" si="90"/>
        <v/>
      </c>
      <c r="G702" s="9">
        <f t="shared" si="91"/>
        <v>0</v>
      </c>
      <c r="H702" s="9">
        <f t="shared" si="92"/>
        <v>0</v>
      </c>
      <c r="I702" s="9">
        <f t="array" ref="I702">+SUM(IFERROR(VALUE(G702:H702),0))</f>
        <v>0</v>
      </c>
      <c r="K702" s="9" t="str">
        <f t="shared" si="93"/>
        <v/>
      </c>
      <c r="L702" s="9">
        <f t="shared" si="94"/>
        <v>0</v>
      </c>
      <c r="M702" s="9">
        <f t="shared" si="95"/>
        <v>0</v>
      </c>
      <c r="N702" s="9">
        <f t="array" ref="N702">+SUM(IFERROR(VALUE(L702:M702),0))</f>
        <v>0</v>
      </c>
      <c r="P702" s="9" t="str">
        <f t="shared" si="96"/>
        <v/>
      </c>
      <c r="Q702" s="9">
        <f t="shared" si="97"/>
        <v>0</v>
      </c>
      <c r="R702" s="9">
        <f t="shared" si="98"/>
        <v>0</v>
      </c>
      <c r="S702" s="9">
        <f t="array" ref="S702">+SUM(IFERROR(VALUE(Q702:R702),0))</f>
        <v>0</v>
      </c>
    </row>
    <row r="703" spans="1:19" ht="14.4">
      <c r="A703"/>
      <c r="B703"/>
      <c r="C703" s="27"/>
      <c r="D703" s="28"/>
      <c r="F703" s="9" t="str">
        <f t="shared" si="90"/>
        <v/>
      </c>
      <c r="G703" s="9">
        <f t="shared" si="91"/>
        <v>0</v>
      </c>
      <c r="H703" s="9">
        <f t="shared" si="92"/>
        <v>0</v>
      </c>
      <c r="I703" s="9">
        <f t="array" ref="I703">+SUM(IFERROR(VALUE(G703:H703),0))</f>
        <v>0</v>
      </c>
      <c r="K703" s="9" t="str">
        <f t="shared" si="93"/>
        <v/>
      </c>
      <c r="L703" s="9">
        <f t="shared" si="94"/>
        <v>0</v>
      </c>
      <c r="M703" s="9">
        <f t="shared" si="95"/>
        <v>0</v>
      </c>
      <c r="N703" s="9">
        <f t="array" ref="N703">+SUM(IFERROR(VALUE(L703:M703),0))</f>
        <v>0</v>
      </c>
      <c r="P703" s="9" t="str">
        <f t="shared" si="96"/>
        <v/>
      </c>
      <c r="Q703" s="9">
        <f t="shared" si="97"/>
        <v>0</v>
      </c>
      <c r="R703" s="9">
        <f t="shared" si="98"/>
        <v>0</v>
      </c>
      <c r="S703" s="9">
        <f t="array" ref="S703">+SUM(IFERROR(VALUE(Q703:R703),0))</f>
        <v>0</v>
      </c>
    </row>
    <row r="704" spans="1:19" ht="14.4">
      <c r="A704"/>
      <c r="B704"/>
      <c r="C704" s="27"/>
      <c r="D704" s="28"/>
      <c r="F704" s="9" t="str">
        <f t="shared" si="90"/>
        <v/>
      </c>
      <c r="G704" s="9">
        <f t="shared" si="91"/>
        <v>0</v>
      </c>
      <c r="H704" s="9">
        <f t="shared" si="92"/>
        <v>0</v>
      </c>
      <c r="I704" s="9">
        <f t="array" ref="I704">+SUM(IFERROR(VALUE(G704:H704),0))</f>
        <v>0</v>
      </c>
      <c r="K704" s="9" t="str">
        <f t="shared" si="93"/>
        <v/>
      </c>
      <c r="L704" s="9">
        <f t="shared" si="94"/>
        <v>0</v>
      </c>
      <c r="M704" s="9">
        <f t="shared" si="95"/>
        <v>0</v>
      </c>
      <c r="N704" s="9">
        <f t="array" ref="N704">+SUM(IFERROR(VALUE(L704:M704),0))</f>
        <v>0</v>
      </c>
      <c r="P704" s="9" t="str">
        <f t="shared" si="96"/>
        <v/>
      </c>
      <c r="Q704" s="9">
        <f t="shared" si="97"/>
        <v>0</v>
      </c>
      <c r="R704" s="9">
        <f t="shared" si="98"/>
        <v>0</v>
      </c>
      <c r="S704" s="9">
        <f t="array" ref="S704">+SUM(IFERROR(VALUE(Q704:R704),0))</f>
        <v>0</v>
      </c>
    </row>
    <row r="705" spans="1:19" ht="14.4">
      <c r="A705"/>
      <c r="B705"/>
      <c r="C705" s="27"/>
      <c r="D705" s="28"/>
      <c r="F705" s="9" t="str">
        <f t="shared" si="90"/>
        <v/>
      </c>
      <c r="G705" s="9">
        <f t="shared" si="91"/>
        <v>0</v>
      </c>
      <c r="H705" s="9">
        <f t="shared" si="92"/>
        <v>0</v>
      </c>
      <c r="I705" s="9">
        <f t="array" ref="I705">+SUM(IFERROR(VALUE(G705:H705),0))</f>
        <v>0</v>
      </c>
      <c r="K705" s="9" t="str">
        <f t="shared" si="93"/>
        <v/>
      </c>
      <c r="L705" s="9">
        <f t="shared" si="94"/>
        <v>0</v>
      </c>
      <c r="M705" s="9">
        <f t="shared" si="95"/>
        <v>0</v>
      </c>
      <c r="N705" s="9">
        <f t="array" ref="N705">+SUM(IFERROR(VALUE(L705:M705),0))</f>
        <v>0</v>
      </c>
      <c r="P705" s="9" t="str">
        <f t="shared" si="96"/>
        <v/>
      </c>
      <c r="Q705" s="9">
        <f t="shared" si="97"/>
        <v>0</v>
      </c>
      <c r="R705" s="9">
        <f t="shared" si="98"/>
        <v>0</v>
      </c>
      <c r="S705" s="9">
        <f t="array" ref="S705">+SUM(IFERROR(VALUE(Q705:R705),0))</f>
        <v>0</v>
      </c>
    </row>
    <row r="706" spans="1:19" ht="14.4">
      <c r="A706"/>
      <c r="B706"/>
      <c r="C706" s="27"/>
      <c r="D706" s="28"/>
      <c r="F706" s="9" t="str">
        <f t="shared" si="90"/>
        <v/>
      </c>
      <c r="G706" s="9">
        <f t="shared" si="91"/>
        <v>0</v>
      </c>
      <c r="H706" s="9">
        <f t="shared" si="92"/>
        <v>0</v>
      </c>
      <c r="I706" s="9">
        <f t="array" ref="I706">+SUM(IFERROR(VALUE(G706:H706),0))</f>
        <v>0</v>
      </c>
      <c r="K706" s="9" t="str">
        <f t="shared" si="93"/>
        <v/>
      </c>
      <c r="L706" s="9">
        <f t="shared" si="94"/>
        <v>0</v>
      </c>
      <c r="M706" s="9">
        <f t="shared" si="95"/>
        <v>0</v>
      </c>
      <c r="N706" s="9">
        <f t="array" ref="N706">+SUM(IFERROR(VALUE(L706:M706),0))</f>
        <v>0</v>
      </c>
      <c r="P706" s="9" t="str">
        <f t="shared" si="96"/>
        <v/>
      </c>
      <c r="Q706" s="9">
        <f t="shared" si="97"/>
        <v>0</v>
      </c>
      <c r="R706" s="9">
        <f t="shared" si="98"/>
        <v>0</v>
      </c>
      <c r="S706" s="9">
        <f t="array" ref="S706">+SUM(IFERROR(VALUE(Q706:R706),0))</f>
        <v>0</v>
      </c>
    </row>
    <row r="707" spans="1:19" ht="14.4">
      <c r="A707"/>
      <c r="B707"/>
      <c r="C707" s="27"/>
      <c r="D707" s="28"/>
      <c r="F707" s="9" t="str">
        <f t="shared" si="90"/>
        <v/>
      </c>
      <c r="G707" s="9">
        <f t="shared" si="91"/>
        <v>0</v>
      </c>
      <c r="H707" s="9">
        <f t="shared" si="92"/>
        <v>0</v>
      </c>
      <c r="I707" s="9">
        <f t="array" ref="I707">+SUM(IFERROR(VALUE(G707:H707),0))</f>
        <v>0</v>
      </c>
      <c r="K707" s="9" t="str">
        <f t="shared" si="93"/>
        <v/>
      </c>
      <c r="L707" s="9">
        <f t="shared" si="94"/>
        <v>0</v>
      </c>
      <c r="M707" s="9">
        <f t="shared" si="95"/>
        <v>0</v>
      </c>
      <c r="N707" s="9">
        <f t="array" ref="N707">+SUM(IFERROR(VALUE(L707:M707),0))</f>
        <v>0</v>
      </c>
      <c r="P707" s="9" t="str">
        <f t="shared" si="96"/>
        <v/>
      </c>
      <c r="Q707" s="9">
        <f t="shared" si="97"/>
        <v>0</v>
      </c>
      <c r="R707" s="9">
        <f t="shared" si="98"/>
        <v>0</v>
      </c>
      <c r="S707" s="9">
        <f t="array" ref="S707">+SUM(IFERROR(VALUE(Q707:R707),0))</f>
        <v>0</v>
      </c>
    </row>
    <row r="708" spans="1:19" ht="14.4">
      <c r="A708"/>
      <c r="B708"/>
      <c r="C708" s="27"/>
      <c r="D708" s="28"/>
      <c r="F708" s="9" t="str">
        <f t="shared" si="90"/>
        <v/>
      </c>
      <c r="G708" s="9">
        <f t="shared" si="91"/>
        <v>0</v>
      </c>
      <c r="H708" s="9">
        <f t="shared" si="92"/>
        <v>0</v>
      </c>
      <c r="I708" s="9">
        <f t="array" ref="I708">+SUM(IFERROR(VALUE(G708:H708),0))</f>
        <v>0</v>
      </c>
      <c r="K708" s="9" t="str">
        <f t="shared" si="93"/>
        <v/>
      </c>
      <c r="L708" s="9">
        <f t="shared" si="94"/>
        <v>0</v>
      </c>
      <c r="M708" s="9">
        <f t="shared" si="95"/>
        <v>0</v>
      </c>
      <c r="N708" s="9">
        <f t="array" ref="N708">+SUM(IFERROR(VALUE(L708:M708),0))</f>
        <v>0</v>
      </c>
      <c r="P708" s="9" t="str">
        <f t="shared" si="96"/>
        <v/>
      </c>
      <c r="Q708" s="9">
        <f t="shared" si="97"/>
        <v>0</v>
      </c>
      <c r="R708" s="9">
        <f t="shared" si="98"/>
        <v>0</v>
      </c>
      <c r="S708" s="9">
        <f t="array" ref="S708">+SUM(IFERROR(VALUE(Q708:R708),0))</f>
        <v>0</v>
      </c>
    </row>
    <row r="709" spans="1:19" ht="14.4">
      <c r="A709"/>
      <c r="B709"/>
      <c r="C709" s="27"/>
      <c r="D709" s="28"/>
      <c r="F709" s="9" t="str">
        <f t="shared" si="90"/>
        <v/>
      </c>
      <c r="G709" s="9">
        <f t="shared" si="91"/>
        <v>0</v>
      </c>
      <c r="H709" s="9">
        <f t="shared" si="92"/>
        <v>0</v>
      </c>
      <c r="I709" s="9">
        <f t="array" ref="I709">+SUM(IFERROR(VALUE(G709:H709),0))</f>
        <v>0</v>
      </c>
      <c r="K709" s="9" t="str">
        <f t="shared" si="93"/>
        <v/>
      </c>
      <c r="L709" s="9">
        <f t="shared" si="94"/>
        <v>0</v>
      </c>
      <c r="M709" s="9">
        <f t="shared" si="95"/>
        <v>0</v>
      </c>
      <c r="N709" s="9">
        <f t="array" ref="N709">+SUM(IFERROR(VALUE(L709:M709),0))</f>
        <v>0</v>
      </c>
      <c r="P709" s="9" t="str">
        <f t="shared" si="96"/>
        <v/>
      </c>
      <c r="Q709" s="9">
        <f t="shared" si="97"/>
        <v>0</v>
      </c>
      <c r="R709" s="9">
        <f t="shared" si="98"/>
        <v>0</v>
      </c>
      <c r="S709" s="9">
        <f t="array" ref="S709">+SUM(IFERROR(VALUE(Q709:R709),0))</f>
        <v>0</v>
      </c>
    </row>
    <row r="710" spans="1:19" ht="14.4">
      <c r="A710"/>
      <c r="B710"/>
      <c r="C710" s="27"/>
      <c r="D710" s="28"/>
      <c r="F710" s="9" t="str">
        <f t="shared" ref="F710:F773" si="99">+LEFT(A710,4)</f>
        <v/>
      </c>
      <c r="G710" s="9">
        <f t="shared" ref="G710:G773" si="100">+C710</f>
        <v>0</v>
      </c>
      <c r="H710" s="9">
        <f t="shared" ref="H710:H773" si="101">-D710</f>
        <v>0</v>
      </c>
      <c r="I710" s="9">
        <f t="array" ref="I710">+SUM(IFERROR(VALUE(G710:H710),0))</f>
        <v>0</v>
      </c>
      <c r="K710" s="9" t="str">
        <f t="shared" ref="K710:K773" si="102">+LEFT(A710,3)</f>
        <v/>
      </c>
      <c r="L710" s="9">
        <f t="shared" ref="L710:L773" si="103">+C710</f>
        <v>0</v>
      </c>
      <c r="M710" s="9">
        <f t="shared" ref="M710:M773" si="104">-D710</f>
        <v>0</v>
      </c>
      <c r="N710" s="9">
        <f t="array" ref="N710">+SUM(IFERROR(VALUE(L710:M710),0))</f>
        <v>0</v>
      </c>
      <c r="P710" s="9" t="str">
        <f t="shared" ref="P710:P773" si="105">+LEFT(A710,2)</f>
        <v/>
      </c>
      <c r="Q710" s="9">
        <f t="shared" ref="Q710:Q773" si="106">+C710</f>
        <v>0</v>
      </c>
      <c r="R710" s="9">
        <f t="shared" ref="R710:R773" si="107">-D710</f>
        <v>0</v>
      </c>
      <c r="S710" s="9">
        <f t="array" ref="S710">+SUM(IFERROR(VALUE(Q710:R710),0))</f>
        <v>0</v>
      </c>
    </row>
    <row r="711" spans="1:19" ht="14.4">
      <c r="A711"/>
      <c r="B711"/>
      <c r="C711" s="27"/>
      <c r="D711" s="28"/>
      <c r="F711" s="9" t="str">
        <f t="shared" si="99"/>
        <v/>
      </c>
      <c r="G711" s="9">
        <f t="shared" si="100"/>
        <v>0</v>
      </c>
      <c r="H711" s="9">
        <f t="shared" si="101"/>
        <v>0</v>
      </c>
      <c r="I711" s="9">
        <f t="array" ref="I711">+SUM(IFERROR(VALUE(G711:H711),0))</f>
        <v>0</v>
      </c>
      <c r="K711" s="9" t="str">
        <f t="shared" si="102"/>
        <v/>
      </c>
      <c r="L711" s="9">
        <f t="shared" si="103"/>
        <v>0</v>
      </c>
      <c r="M711" s="9">
        <f t="shared" si="104"/>
        <v>0</v>
      </c>
      <c r="N711" s="9">
        <f t="array" ref="N711">+SUM(IFERROR(VALUE(L711:M711),0))</f>
        <v>0</v>
      </c>
      <c r="P711" s="9" t="str">
        <f t="shared" si="105"/>
        <v/>
      </c>
      <c r="Q711" s="9">
        <f t="shared" si="106"/>
        <v>0</v>
      </c>
      <c r="R711" s="9">
        <f t="shared" si="107"/>
        <v>0</v>
      </c>
      <c r="S711" s="9">
        <f t="array" ref="S711">+SUM(IFERROR(VALUE(Q711:R711),0))</f>
        <v>0</v>
      </c>
    </row>
    <row r="712" spans="1:19" ht="14.4">
      <c r="A712"/>
      <c r="B712"/>
      <c r="C712" s="27"/>
      <c r="D712" s="28"/>
      <c r="F712" s="9" t="str">
        <f t="shared" si="99"/>
        <v/>
      </c>
      <c r="G712" s="9">
        <f t="shared" si="100"/>
        <v>0</v>
      </c>
      <c r="H712" s="9">
        <f t="shared" si="101"/>
        <v>0</v>
      </c>
      <c r="I712" s="9">
        <f t="array" ref="I712">+SUM(IFERROR(VALUE(G712:H712),0))</f>
        <v>0</v>
      </c>
      <c r="K712" s="9" t="str">
        <f t="shared" si="102"/>
        <v/>
      </c>
      <c r="L712" s="9">
        <f t="shared" si="103"/>
        <v>0</v>
      </c>
      <c r="M712" s="9">
        <f t="shared" si="104"/>
        <v>0</v>
      </c>
      <c r="N712" s="9">
        <f t="array" ref="N712">+SUM(IFERROR(VALUE(L712:M712),0))</f>
        <v>0</v>
      </c>
      <c r="P712" s="9" t="str">
        <f t="shared" si="105"/>
        <v/>
      </c>
      <c r="Q712" s="9">
        <f t="shared" si="106"/>
        <v>0</v>
      </c>
      <c r="R712" s="9">
        <f t="shared" si="107"/>
        <v>0</v>
      </c>
      <c r="S712" s="9">
        <f t="array" ref="S712">+SUM(IFERROR(VALUE(Q712:R712),0))</f>
        <v>0</v>
      </c>
    </row>
    <row r="713" spans="1:19" ht="14.4">
      <c r="A713"/>
      <c r="B713"/>
      <c r="C713" s="27"/>
      <c r="D713" s="28"/>
      <c r="F713" s="9" t="str">
        <f t="shared" si="99"/>
        <v/>
      </c>
      <c r="G713" s="9">
        <f t="shared" si="100"/>
        <v>0</v>
      </c>
      <c r="H713" s="9">
        <f t="shared" si="101"/>
        <v>0</v>
      </c>
      <c r="I713" s="9">
        <f t="array" ref="I713">+SUM(IFERROR(VALUE(G713:H713),0))</f>
        <v>0</v>
      </c>
      <c r="K713" s="9" t="str">
        <f t="shared" si="102"/>
        <v/>
      </c>
      <c r="L713" s="9">
        <f t="shared" si="103"/>
        <v>0</v>
      </c>
      <c r="M713" s="9">
        <f t="shared" si="104"/>
        <v>0</v>
      </c>
      <c r="N713" s="9">
        <f t="array" ref="N713">+SUM(IFERROR(VALUE(L713:M713),0))</f>
        <v>0</v>
      </c>
      <c r="P713" s="9" t="str">
        <f t="shared" si="105"/>
        <v/>
      </c>
      <c r="Q713" s="9">
        <f t="shared" si="106"/>
        <v>0</v>
      </c>
      <c r="R713" s="9">
        <f t="shared" si="107"/>
        <v>0</v>
      </c>
      <c r="S713" s="9">
        <f t="array" ref="S713">+SUM(IFERROR(VALUE(Q713:R713),0))</f>
        <v>0</v>
      </c>
    </row>
    <row r="714" spans="1:19" ht="14.4">
      <c r="A714"/>
      <c r="B714"/>
      <c r="C714" s="27"/>
      <c r="D714" s="28"/>
      <c r="F714" s="9" t="str">
        <f t="shared" si="99"/>
        <v/>
      </c>
      <c r="G714" s="9">
        <f t="shared" si="100"/>
        <v>0</v>
      </c>
      <c r="H714" s="9">
        <f t="shared" si="101"/>
        <v>0</v>
      </c>
      <c r="I714" s="9">
        <f t="array" ref="I714">+SUM(IFERROR(VALUE(G714:H714),0))</f>
        <v>0</v>
      </c>
      <c r="K714" s="9" t="str">
        <f t="shared" si="102"/>
        <v/>
      </c>
      <c r="L714" s="9">
        <f t="shared" si="103"/>
        <v>0</v>
      </c>
      <c r="M714" s="9">
        <f t="shared" si="104"/>
        <v>0</v>
      </c>
      <c r="N714" s="9">
        <f t="array" ref="N714">+SUM(IFERROR(VALUE(L714:M714),0))</f>
        <v>0</v>
      </c>
      <c r="P714" s="9" t="str">
        <f t="shared" si="105"/>
        <v/>
      </c>
      <c r="Q714" s="9">
        <f t="shared" si="106"/>
        <v>0</v>
      </c>
      <c r="R714" s="9">
        <f t="shared" si="107"/>
        <v>0</v>
      </c>
      <c r="S714" s="9">
        <f t="array" ref="S714">+SUM(IFERROR(VALUE(Q714:R714),0))</f>
        <v>0</v>
      </c>
    </row>
    <row r="715" spans="1:19" ht="14.4">
      <c r="A715"/>
      <c r="B715"/>
      <c r="C715" s="27"/>
      <c r="D715" s="28"/>
      <c r="F715" s="9" t="str">
        <f t="shared" si="99"/>
        <v/>
      </c>
      <c r="G715" s="9">
        <f t="shared" si="100"/>
        <v>0</v>
      </c>
      <c r="H715" s="9">
        <f t="shared" si="101"/>
        <v>0</v>
      </c>
      <c r="I715" s="9">
        <f t="array" ref="I715">+SUM(IFERROR(VALUE(G715:H715),0))</f>
        <v>0</v>
      </c>
      <c r="K715" s="9" t="str">
        <f t="shared" si="102"/>
        <v/>
      </c>
      <c r="L715" s="9">
        <f t="shared" si="103"/>
        <v>0</v>
      </c>
      <c r="M715" s="9">
        <f t="shared" si="104"/>
        <v>0</v>
      </c>
      <c r="N715" s="9">
        <f t="array" ref="N715">+SUM(IFERROR(VALUE(L715:M715),0))</f>
        <v>0</v>
      </c>
      <c r="P715" s="9" t="str">
        <f t="shared" si="105"/>
        <v/>
      </c>
      <c r="Q715" s="9">
        <f t="shared" si="106"/>
        <v>0</v>
      </c>
      <c r="R715" s="9">
        <f t="shared" si="107"/>
        <v>0</v>
      </c>
      <c r="S715" s="9">
        <f t="array" ref="S715">+SUM(IFERROR(VALUE(Q715:R715),0))</f>
        <v>0</v>
      </c>
    </row>
    <row r="716" spans="1:19" ht="14.4">
      <c r="A716"/>
      <c r="B716"/>
      <c r="C716" s="27"/>
      <c r="D716" s="28"/>
      <c r="F716" s="9" t="str">
        <f t="shared" si="99"/>
        <v/>
      </c>
      <c r="G716" s="9">
        <f t="shared" si="100"/>
        <v>0</v>
      </c>
      <c r="H716" s="9">
        <f t="shared" si="101"/>
        <v>0</v>
      </c>
      <c r="I716" s="9">
        <f t="array" ref="I716">+SUM(IFERROR(VALUE(G716:H716),0))</f>
        <v>0</v>
      </c>
      <c r="K716" s="9" t="str">
        <f t="shared" si="102"/>
        <v/>
      </c>
      <c r="L716" s="9">
        <f t="shared" si="103"/>
        <v>0</v>
      </c>
      <c r="M716" s="9">
        <f t="shared" si="104"/>
        <v>0</v>
      </c>
      <c r="N716" s="9">
        <f t="array" ref="N716">+SUM(IFERROR(VALUE(L716:M716),0))</f>
        <v>0</v>
      </c>
      <c r="P716" s="9" t="str">
        <f t="shared" si="105"/>
        <v/>
      </c>
      <c r="Q716" s="9">
        <f t="shared" si="106"/>
        <v>0</v>
      </c>
      <c r="R716" s="9">
        <f t="shared" si="107"/>
        <v>0</v>
      </c>
      <c r="S716" s="9">
        <f t="array" ref="S716">+SUM(IFERROR(VALUE(Q716:R716),0))</f>
        <v>0</v>
      </c>
    </row>
    <row r="717" spans="1:19" ht="14.4">
      <c r="A717"/>
      <c r="B717"/>
      <c r="C717" s="27"/>
      <c r="D717" s="28"/>
      <c r="F717" s="9" t="str">
        <f t="shared" si="99"/>
        <v/>
      </c>
      <c r="G717" s="9">
        <f t="shared" si="100"/>
        <v>0</v>
      </c>
      <c r="H717" s="9">
        <f t="shared" si="101"/>
        <v>0</v>
      </c>
      <c r="I717" s="9">
        <f t="array" ref="I717">+SUM(IFERROR(VALUE(G717:H717),0))</f>
        <v>0</v>
      </c>
      <c r="K717" s="9" t="str">
        <f t="shared" si="102"/>
        <v/>
      </c>
      <c r="L717" s="9">
        <f t="shared" si="103"/>
        <v>0</v>
      </c>
      <c r="M717" s="9">
        <f t="shared" si="104"/>
        <v>0</v>
      </c>
      <c r="N717" s="9">
        <f t="array" ref="N717">+SUM(IFERROR(VALUE(L717:M717),0))</f>
        <v>0</v>
      </c>
      <c r="P717" s="9" t="str">
        <f t="shared" si="105"/>
        <v/>
      </c>
      <c r="Q717" s="9">
        <f t="shared" si="106"/>
        <v>0</v>
      </c>
      <c r="R717" s="9">
        <f t="shared" si="107"/>
        <v>0</v>
      </c>
      <c r="S717" s="9">
        <f t="array" ref="S717">+SUM(IFERROR(VALUE(Q717:R717),0))</f>
        <v>0</v>
      </c>
    </row>
    <row r="718" spans="1:19" ht="14.4">
      <c r="A718"/>
      <c r="B718"/>
      <c r="C718" s="27"/>
      <c r="D718" s="28"/>
      <c r="F718" s="9" t="str">
        <f t="shared" si="99"/>
        <v/>
      </c>
      <c r="G718" s="9">
        <f t="shared" si="100"/>
        <v>0</v>
      </c>
      <c r="H718" s="9">
        <f t="shared" si="101"/>
        <v>0</v>
      </c>
      <c r="I718" s="9">
        <f t="array" ref="I718">+SUM(IFERROR(VALUE(G718:H718),0))</f>
        <v>0</v>
      </c>
      <c r="K718" s="9" t="str">
        <f t="shared" si="102"/>
        <v/>
      </c>
      <c r="L718" s="9">
        <f t="shared" si="103"/>
        <v>0</v>
      </c>
      <c r="M718" s="9">
        <f t="shared" si="104"/>
        <v>0</v>
      </c>
      <c r="N718" s="9">
        <f t="array" ref="N718">+SUM(IFERROR(VALUE(L718:M718),0))</f>
        <v>0</v>
      </c>
      <c r="P718" s="9" t="str">
        <f t="shared" si="105"/>
        <v/>
      </c>
      <c r="Q718" s="9">
        <f t="shared" si="106"/>
        <v>0</v>
      </c>
      <c r="R718" s="9">
        <f t="shared" si="107"/>
        <v>0</v>
      </c>
      <c r="S718" s="9">
        <f t="array" ref="S718">+SUM(IFERROR(VALUE(Q718:R718),0))</f>
        <v>0</v>
      </c>
    </row>
    <row r="719" spans="1:19" ht="14.4">
      <c r="A719"/>
      <c r="B719"/>
      <c r="C719" s="27"/>
      <c r="D719" s="28"/>
      <c r="F719" s="9" t="str">
        <f t="shared" si="99"/>
        <v/>
      </c>
      <c r="G719" s="9">
        <f t="shared" si="100"/>
        <v>0</v>
      </c>
      <c r="H719" s="9">
        <f t="shared" si="101"/>
        <v>0</v>
      </c>
      <c r="I719" s="9">
        <f t="array" ref="I719">+SUM(IFERROR(VALUE(G719:H719),0))</f>
        <v>0</v>
      </c>
      <c r="K719" s="9" t="str">
        <f t="shared" si="102"/>
        <v/>
      </c>
      <c r="L719" s="9">
        <f t="shared" si="103"/>
        <v>0</v>
      </c>
      <c r="M719" s="9">
        <f t="shared" si="104"/>
        <v>0</v>
      </c>
      <c r="N719" s="9">
        <f t="array" ref="N719">+SUM(IFERROR(VALUE(L719:M719),0))</f>
        <v>0</v>
      </c>
      <c r="P719" s="9" t="str">
        <f t="shared" si="105"/>
        <v/>
      </c>
      <c r="Q719" s="9">
        <f t="shared" si="106"/>
        <v>0</v>
      </c>
      <c r="R719" s="9">
        <f t="shared" si="107"/>
        <v>0</v>
      </c>
      <c r="S719" s="9">
        <f t="array" ref="S719">+SUM(IFERROR(VALUE(Q719:R719),0))</f>
        <v>0</v>
      </c>
    </row>
    <row r="720" spans="1:19" ht="14.4">
      <c r="A720"/>
      <c r="B720"/>
      <c r="C720" s="27"/>
      <c r="D720" s="28"/>
      <c r="F720" s="9" t="str">
        <f t="shared" si="99"/>
        <v/>
      </c>
      <c r="G720" s="9">
        <f t="shared" si="100"/>
        <v>0</v>
      </c>
      <c r="H720" s="9">
        <f t="shared" si="101"/>
        <v>0</v>
      </c>
      <c r="I720" s="9">
        <f t="array" ref="I720">+SUM(IFERROR(VALUE(G720:H720),0))</f>
        <v>0</v>
      </c>
      <c r="K720" s="9" t="str">
        <f t="shared" si="102"/>
        <v/>
      </c>
      <c r="L720" s="9">
        <f t="shared" si="103"/>
        <v>0</v>
      </c>
      <c r="M720" s="9">
        <f t="shared" si="104"/>
        <v>0</v>
      </c>
      <c r="N720" s="9">
        <f t="array" ref="N720">+SUM(IFERROR(VALUE(L720:M720),0))</f>
        <v>0</v>
      </c>
      <c r="P720" s="9" t="str">
        <f t="shared" si="105"/>
        <v/>
      </c>
      <c r="Q720" s="9">
        <f t="shared" si="106"/>
        <v>0</v>
      </c>
      <c r="R720" s="9">
        <f t="shared" si="107"/>
        <v>0</v>
      </c>
      <c r="S720" s="9">
        <f t="array" ref="S720">+SUM(IFERROR(VALUE(Q720:R720),0))</f>
        <v>0</v>
      </c>
    </row>
    <row r="721" spans="1:19" ht="14.4">
      <c r="A721"/>
      <c r="B721"/>
      <c r="C721" s="27"/>
      <c r="D721" s="28"/>
      <c r="F721" s="9" t="str">
        <f t="shared" si="99"/>
        <v/>
      </c>
      <c r="G721" s="9">
        <f t="shared" si="100"/>
        <v>0</v>
      </c>
      <c r="H721" s="9">
        <f t="shared" si="101"/>
        <v>0</v>
      </c>
      <c r="I721" s="9">
        <f t="array" ref="I721">+SUM(IFERROR(VALUE(G721:H721),0))</f>
        <v>0</v>
      </c>
      <c r="K721" s="9" t="str">
        <f t="shared" si="102"/>
        <v/>
      </c>
      <c r="L721" s="9">
        <f t="shared" si="103"/>
        <v>0</v>
      </c>
      <c r="M721" s="9">
        <f t="shared" si="104"/>
        <v>0</v>
      </c>
      <c r="N721" s="9">
        <f t="array" ref="N721">+SUM(IFERROR(VALUE(L721:M721),0))</f>
        <v>0</v>
      </c>
      <c r="P721" s="9" t="str">
        <f t="shared" si="105"/>
        <v/>
      </c>
      <c r="Q721" s="9">
        <f t="shared" si="106"/>
        <v>0</v>
      </c>
      <c r="R721" s="9">
        <f t="shared" si="107"/>
        <v>0</v>
      </c>
      <c r="S721" s="9">
        <f t="array" ref="S721">+SUM(IFERROR(VALUE(Q721:R721),0))</f>
        <v>0</v>
      </c>
    </row>
    <row r="722" spans="1:19" ht="14.4">
      <c r="A722"/>
      <c r="B722"/>
      <c r="C722" s="27"/>
      <c r="D722" s="28"/>
      <c r="F722" s="9" t="str">
        <f t="shared" si="99"/>
        <v/>
      </c>
      <c r="G722" s="9">
        <f t="shared" si="100"/>
        <v>0</v>
      </c>
      <c r="H722" s="9">
        <f t="shared" si="101"/>
        <v>0</v>
      </c>
      <c r="I722" s="9">
        <f t="array" ref="I722">+SUM(IFERROR(VALUE(G722:H722),0))</f>
        <v>0</v>
      </c>
      <c r="K722" s="9" t="str">
        <f t="shared" si="102"/>
        <v/>
      </c>
      <c r="L722" s="9">
        <f t="shared" si="103"/>
        <v>0</v>
      </c>
      <c r="M722" s="9">
        <f t="shared" si="104"/>
        <v>0</v>
      </c>
      <c r="N722" s="9">
        <f t="array" ref="N722">+SUM(IFERROR(VALUE(L722:M722),0))</f>
        <v>0</v>
      </c>
      <c r="P722" s="9" t="str">
        <f t="shared" si="105"/>
        <v/>
      </c>
      <c r="Q722" s="9">
        <f t="shared" si="106"/>
        <v>0</v>
      </c>
      <c r="R722" s="9">
        <f t="shared" si="107"/>
        <v>0</v>
      </c>
      <c r="S722" s="9">
        <f t="array" ref="S722">+SUM(IFERROR(VALUE(Q722:R722),0))</f>
        <v>0</v>
      </c>
    </row>
    <row r="723" spans="1:19" ht="14.4">
      <c r="A723"/>
      <c r="B723"/>
      <c r="C723" s="27"/>
      <c r="D723" s="28"/>
      <c r="F723" s="9" t="str">
        <f t="shared" si="99"/>
        <v/>
      </c>
      <c r="G723" s="9">
        <f t="shared" si="100"/>
        <v>0</v>
      </c>
      <c r="H723" s="9">
        <f t="shared" si="101"/>
        <v>0</v>
      </c>
      <c r="I723" s="9">
        <f t="array" ref="I723">+SUM(IFERROR(VALUE(G723:H723),0))</f>
        <v>0</v>
      </c>
      <c r="K723" s="9" t="str">
        <f t="shared" si="102"/>
        <v/>
      </c>
      <c r="L723" s="9">
        <f t="shared" si="103"/>
        <v>0</v>
      </c>
      <c r="M723" s="9">
        <f t="shared" si="104"/>
        <v>0</v>
      </c>
      <c r="N723" s="9">
        <f t="array" ref="N723">+SUM(IFERROR(VALUE(L723:M723),0))</f>
        <v>0</v>
      </c>
      <c r="P723" s="9" t="str">
        <f t="shared" si="105"/>
        <v/>
      </c>
      <c r="Q723" s="9">
        <f t="shared" si="106"/>
        <v>0</v>
      </c>
      <c r="R723" s="9">
        <f t="shared" si="107"/>
        <v>0</v>
      </c>
      <c r="S723" s="9">
        <f t="array" ref="S723">+SUM(IFERROR(VALUE(Q723:R723),0))</f>
        <v>0</v>
      </c>
    </row>
    <row r="724" spans="1:19" ht="14.4">
      <c r="A724"/>
      <c r="B724"/>
      <c r="C724" s="27"/>
      <c r="D724" s="28"/>
      <c r="F724" s="9" t="str">
        <f t="shared" si="99"/>
        <v/>
      </c>
      <c r="G724" s="9">
        <f t="shared" si="100"/>
        <v>0</v>
      </c>
      <c r="H724" s="9">
        <f t="shared" si="101"/>
        <v>0</v>
      </c>
      <c r="I724" s="9">
        <f t="array" ref="I724">+SUM(IFERROR(VALUE(G724:H724),0))</f>
        <v>0</v>
      </c>
      <c r="K724" s="9" t="str">
        <f t="shared" si="102"/>
        <v/>
      </c>
      <c r="L724" s="9">
        <f t="shared" si="103"/>
        <v>0</v>
      </c>
      <c r="M724" s="9">
        <f t="shared" si="104"/>
        <v>0</v>
      </c>
      <c r="N724" s="9">
        <f t="array" ref="N724">+SUM(IFERROR(VALUE(L724:M724),0))</f>
        <v>0</v>
      </c>
      <c r="P724" s="9" t="str">
        <f t="shared" si="105"/>
        <v/>
      </c>
      <c r="Q724" s="9">
        <f t="shared" si="106"/>
        <v>0</v>
      </c>
      <c r="R724" s="9">
        <f t="shared" si="107"/>
        <v>0</v>
      </c>
      <c r="S724" s="9">
        <f t="array" ref="S724">+SUM(IFERROR(VALUE(Q724:R724),0))</f>
        <v>0</v>
      </c>
    </row>
    <row r="725" spans="1:19" ht="14.4">
      <c r="A725"/>
      <c r="B725"/>
      <c r="C725" s="27"/>
      <c r="D725" s="28"/>
      <c r="F725" s="9" t="str">
        <f t="shared" si="99"/>
        <v/>
      </c>
      <c r="G725" s="9">
        <f t="shared" si="100"/>
        <v>0</v>
      </c>
      <c r="H725" s="9">
        <f t="shared" si="101"/>
        <v>0</v>
      </c>
      <c r="I725" s="9">
        <f t="array" ref="I725">+SUM(IFERROR(VALUE(G725:H725),0))</f>
        <v>0</v>
      </c>
      <c r="K725" s="9" t="str">
        <f t="shared" si="102"/>
        <v/>
      </c>
      <c r="L725" s="9">
        <f t="shared" si="103"/>
        <v>0</v>
      </c>
      <c r="M725" s="9">
        <f t="shared" si="104"/>
        <v>0</v>
      </c>
      <c r="N725" s="9">
        <f t="array" ref="N725">+SUM(IFERROR(VALUE(L725:M725),0))</f>
        <v>0</v>
      </c>
      <c r="P725" s="9" t="str">
        <f t="shared" si="105"/>
        <v/>
      </c>
      <c r="Q725" s="9">
        <f t="shared" si="106"/>
        <v>0</v>
      </c>
      <c r="R725" s="9">
        <f t="shared" si="107"/>
        <v>0</v>
      </c>
      <c r="S725" s="9">
        <f t="array" ref="S725">+SUM(IFERROR(VALUE(Q725:R725),0))</f>
        <v>0</v>
      </c>
    </row>
    <row r="726" spans="1:19" ht="14.4">
      <c r="A726"/>
      <c r="B726"/>
      <c r="C726" s="27"/>
      <c r="D726" s="28"/>
      <c r="F726" s="9" t="str">
        <f t="shared" si="99"/>
        <v/>
      </c>
      <c r="G726" s="9">
        <f t="shared" si="100"/>
        <v>0</v>
      </c>
      <c r="H726" s="9">
        <f t="shared" si="101"/>
        <v>0</v>
      </c>
      <c r="I726" s="9">
        <f t="array" ref="I726">+SUM(IFERROR(VALUE(G726:H726),0))</f>
        <v>0</v>
      </c>
      <c r="K726" s="9" t="str">
        <f t="shared" si="102"/>
        <v/>
      </c>
      <c r="L726" s="9">
        <f t="shared" si="103"/>
        <v>0</v>
      </c>
      <c r="M726" s="9">
        <f t="shared" si="104"/>
        <v>0</v>
      </c>
      <c r="N726" s="9">
        <f t="array" ref="N726">+SUM(IFERROR(VALUE(L726:M726),0))</f>
        <v>0</v>
      </c>
      <c r="P726" s="9" t="str">
        <f t="shared" si="105"/>
        <v/>
      </c>
      <c r="Q726" s="9">
        <f t="shared" si="106"/>
        <v>0</v>
      </c>
      <c r="R726" s="9">
        <f t="shared" si="107"/>
        <v>0</v>
      </c>
      <c r="S726" s="9">
        <f t="array" ref="S726">+SUM(IFERROR(VALUE(Q726:R726),0))</f>
        <v>0</v>
      </c>
    </row>
    <row r="727" spans="1:19" ht="14.4">
      <c r="A727"/>
      <c r="B727"/>
      <c r="C727" s="27"/>
      <c r="D727" s="28"/>
      <c r="F727" s="9" t="str">
        <f t="shared" si="99"/>
        <v/>
      </c>
      <c r="G727" s="9">
        <f t="shared" si="100"/>
        <v>0</v>
      </c>
      <c r="H727" s="9">
        <f t="shared" si="101"/>
        <v>0</v>
      </c>
      <c r="I727" s="9">
        <f t="array" ref="I727">+SUM(IFERROR(VALUE(G727:H727),0))</f>
        <v>0</v>
      </c>
      <c r="K727" s="9" t="str">
        <f t="shared" si="102"/>
        <v/>
      </c>
      <c r="L727" s="9">
        <f t="shared" si="103"/>
        <v>0</v>
      </c>
      <c r="M727" s="9">
        <f t="shared" si="104"/>
        <v>0</v>
      </c>
      <c r="N727" s="9">
        <f t="array" ref="N727">+SUM(IFERROR(VALUE(L727:M727),0))</f>
        <v>0</v>
      </c>
      <c r="P727" s="9" t="str">
        <f t="shared" si="105"/>
        <v/>
      </c>
      <c r="Q727" s="9">
        <f t="shared" si="106"/>
        <v>0</v>
      </c>
      <c r="R727" s="9">
        <f t="shared" si="107"/>
        <v>0</v>
      </c>
      <c r="S727" s="9">
        <f t="array" ref="S727">+SUM(IFERROR(VALUE(Q727:R727),0))</f>
        <v>0</v>
      </c>
    </row>
    <row r="728" spans="1:19" ht="14.4">
      <c r="A728"/>
      <c r="B728"/>
      <c r="C728" s="27"/>
      <c r="D728" s="28"/>
      <c r="F728" s="9" t="str">
        <f t="shared" si="99"/>
        <v/>
      </c>
      <c r="G728" s="9">
        <f t="shared" si="100"/>
        <v>0</v>
      </c>
      <c r="H728" s="9">
        <f t="shared" si="101"/>
        <v>0</v>
      </c>
      <c r="I728" s="9">
        <f t="array" ref="I728">+SUM(IFERROR(VALUE(G728:H728),0))</f>
        <v>0</v>
      </c>
      <c r="K728" s="9" t="str">
        <f t="shared" si="102"/>
        <v/>
      </c>
      <c r="L728" s="9">
        <f t="shared" si="103"/>
        <v>0</v>
      </c>
      <c r="M728" s="9">
        <f t="shared" si="104"/>
        <v>0</v>
      </c>
      <c r="N728" s="9">
        <f t="array" ref="N728">+SUM(IFERROR(VALUE(L728:M728),0))</f>
        <v>0</v>
      </c>
      <c r="P728" s="9" t="str">
        <f t="shared" si="105"/>
        <v/>
      </c>
      <c r="Q728" s="9">
        <f t="shared" si="106"/>
        <v>0</v>
      </c>
      <c r="R728" s="9">
        <f t="shared" si="107"/>
        <v>0</v>
      </c>
      <c r="S728" s="9">
        <f t="array" ref="S728">+SUM(IFERROR(VALUE(Q728:R728),0))</f>
        <v>0</v>
      </c>
    </row>
    <row r="729" spans="1:19" ht="14.4">
      <c r="A729"/>
      <c r="B729"/>
      <c r="C729" s="27"/>
      <c r="D729" s="28"/>
      <c r="F729" s="9" t="str">
        <f t="shared" si="99"/>
        <v/>
      </c>
      <c r="G729" s="9">
        <f t="shared" si="100"/>
        <v>0</v>
      </c>
      <c r="H729" s="9">
        <f t="shared" si="101"/>
        <v>0</v>
      </c>
      <c r="I729" s="9">
        <f t="array" ref="I729">+SUM(IFERROR(VALUE(G729:H729),0))</f>
        <v>0</v>
      </c>
      <c r="K729" s="9" t="str">
        <f t="shared" si="102"/>
        <v/>
      </c>
      <c r="L729" s="9">
        <f t="shared" si="103"/>
        <v>0</v>
      </c>
      <c r="M729" s="9">
        <f t="shared" si="104"/>
        <v>0</v>
      </c>
      <c r="N729" s="9">
        <f t="array" ref="N729">+SUM(IFERROR(VALUE(L729:M729),0))</f>
        <v>0</v>
      </c>
      <c r="P729" s="9" t="str">
        <f t="shared" si="105"/>
        <v/>
      </c>
      <c r="Q729" s="9">
        <f t="shared" si="106"/>
        <v>0</v>
      </c>
      <c r="R729" s="9">
        <f t="shared" si="107"/>
        <v>0</v>
      </c>
      <c r="S729" s="9">
        <f t="array" ref="S729">+SUM(IFERROR(VALUE(Q729:R729),0))</f>
        <v>0</v>
      </c>
    </row>
    <row r="730" spans="1:19" ht="14.4">
      <c r="A730"/>
      <c r="B730"/>
      <c r="C730" s="27"/>
      <c r="D730" s="28"/>
      <c r="F730" s="9" t="str">
        <f t="shared" si="99"/>
        <v/>
      </c>
      <c r="G730" s="9">
        <f t="shared" si="100"/>
        <v>0</v>
      </c>
      <c r="H730" s="9">
        <f t="shared" si="101"/>
        <v>0</v>
      </c>
      <c r="I730" s="9">
        <f t="array" ref="I730">+SUM(IFERROR(VALUE(G730:H730),0))</f>
        <v>0</v>
      </c>
      <c r="K730" s="9" t="str">
        <f t="shared" si="102"/>
        <v/>
      </c>
      <c r="L730" s="9">
        <f t="shared" si="103"/>
        <v>0</v>
      </c>
      <c r="M730" s="9">
        <f t="shared" si="104"/>
        <v>0</v>
      </c>
      <c r="N730" s="9">
        <f t="array" ref="N730">+SUM(IFERROR(VALUE(L730:M730),0))</f>
        <v>0</v>
      </c>
      <c r="P730" s="9" t="str">
        <f t="shared" si="105"/>
        <v/>
      </c>
      <c r="Q730" s="9">
        <f t="shared" si="106"/>
        <v>0</v>
      </c>
      <c r="R730" s="9">
        <f t="shared" si="107"/>
        <v>0</v>
      </c>
      <c r="S730" s="9">
        <f t="array" ref="S730">+SUM(IFERROR(VALUE(Q730:R730),0))</f>
        <v>0</v>
      </c>
    </row>
    <row r="731" spans="1:19" ht="14.4">
      <c r="A731"/>
      <c r="B731"/>
      <c r="C731" s="27"/>
      <c r="D731" s="28"/>
      <c r="F731" s="9" t="str">
        <f t="shared" si="99"/>
        <v/>
      </c>
      <c r="G731" s="9">
        <f t="shared" si="100"/>
        <v>0</v>
      </c>
      <c r="H731" s="9">
        <f t="shared" si="101"/>
        <v>0</v>
      </c>
      <c r="I731" s="9">
        <f t="array" ref="I731">+SUM(IFERROR(VALUE(G731:H731),0))</f>
        <v>0</v>
      </c>
      <c r="K731" s="9" t="str">
        <f t="shared" si="102"/>
        <v/>
      </c>
      <c r="L731" s="9">
        <f t="shared" si="103"/>
        <v>0</v>
      </c>
      <c r="M731" s="9">
        <f t="shared" si="104"/>
        <v>0</v>
      </c>
      <c r="N731" s="9">
        <f t="array" ref="N731">+SUM(IFERROR(VALUE(L731:M731),0))</f>
        <v>0</v>
      </c>
      <c r="P731" s="9" t="str">
        <f t="shared" si="105"/>
        <v/>
      </c>
      <c r="Q731" s="9">
        <f t="shared" si="106"/>
        <v>0</v>
      </c>
      <c r="R731" s="9">
        <f t="shared" si="107"/>
        <v>0</v>
      </c>
      <c r="S731" s="9">
        <f t="array" ref="S731">+SUM(IFERROR(VALUE(Q731:R731),0))</f>
        <v>0</v>
      </c>
    </row>
    <row r="732" spans="1:19" ht="14.4">
      <c r="A732"/>
      <c r="B732"/>
      <c r="C732" s="27"/>
      <c r="D732" s="28"/>
      <c r="F732" s="9" t="str">
        <f t="shared" si="99"/>
        <v/>
      </c>
      <c r="G732" s="9">
        <f t="shared" si="100"/>
        <v>0</v>
      </c>
      <c r="H732" s="9">
        <f t="shared" si="101"/>
        <v>0</v>
      </c>
      <c r="I732" s="9">
        <f t="array" ref="I732">+SUM(IFERROR(VALUE(G732:H732),0))</f>
        <v>0</v>
      </c>
      <c r="K732" s="9" t="str">
        <f t="shared" si="102"/>
        <v/>
      </c>
      <c r="L732" s="9">
        <f t="shared" si="103"/>
        <v>0</v>
      </c>
      <c r="M732" s="9">
        <f t="shared" si="104"/>
        <v>0</v>
      </c>
      <c r="N732" s="9">
        <f t="array" ref="N732">+SUM(IFERROR(VALUE(L732:M732),0))</f>
        <v>0</v>
      </c>
      <c r="P732" s="9" t="str">
        <f t="shared" si="105"/>
        <v/>
      </c>
      <c r="Q732" s="9">
        <f t="shared" si="106"/>
        <v>0</v>
      </c>
      <c r="R732" s="9">
        <f t="shared" si="107"/>
        <v>0</v>
      </c>
      <c r="S732" s="9">
        <f t="array" ref="S732">+SUM(IFERROR(VALUE(Q732:R732),0))</f>
        <v>0</v>
      </c>
    </row>
    <row r="733" spans="1:19" ht="14.4">
      <c r="A733"/>
      <c r="B733"/>
      <c r="C733" s="27"/>
      <c r="D733" s="28"/>
      <c r="F733" s="9" t="str">
        <f t="shared" si="99"/>
        <v/>
      </c>
      <c r="G733" s="9">
        <f t="shared" si="100"/>
        <v>0</v>
      </c>
      <c r="H733" s="9">
        <f t="shared" si="101"/>
        <v>0</v>
      </c>
      <c r="I733" s="9">
        <f t="array" ref="I733">+SUM(IFERROR(VALUE(G733:H733),0))</f>
        <v>0</v>
      </c>
      <c r="K733" s="9" t="str">
        <f t="shared" si="102"/>
        <v/>
      </c>
      <c r="L733" s="9">
        <f t="shared" si="103"/>
        <v>0</v>
      </c>
      <c r="M733" s="9">
        <f t="shared" si="104"/>
        <v>0</v>
      </c>
      <c r="N733" s="9">
        <f t="array" ref="N733">+SUM(IFERROR(VALUE(L733:M733),0))</f>
        <v>0</v>
      </c>
      <c r="P733" s="9" t="str">
        <f t="shared" si="105"/>
        <v/>
      </c>
      <c r="Q733" s="9">
        <f t="shared" si="106"/>
        <v>0</v>
      </c>
      <c r="R733" s="9">
        <f t="shared" si="107"/>
        <v>0</v>
      </c>
      <c r="S733" s="9">
        <f t="array" ref="S733">+SUM(IFERROR(VALUE(Q733:R733),0))</f>
        <v>0</v>
      </c>
    </row>
    <row r="734" spans="1:19" ht="14.4">
      <c r="A734"/>
      <c r="B734"/>
      <c r="C734" s="27"/>
      <c r="D734" s="28"/>
      <c r="F734" s="9" t="str">
        <f t="shared" si="99"/>
        <v/>
      </c>
      <c r="G734" s="9">
        <f t="shared" si="100"/>
        <v>0</v>
      </c>
      <c r="H734" s="9">
        <f t="shared" si="101"/>
        <v>0</v>
      </c>
      <c r="I734" s="9">
        <f t="array" ref="I734">+SUM(IFERROR(VALUE(G734:H734),0))</f>
        <v>0</v>
      </c>
      <c r="K734" s="9" t="str">
        <f t="shared" si="102"/>
        <v/>
      </c>
      <c r="L734" s="9">
        <f t="shared" si="103"/>
        <v>0</v>
      </c>
      <c r="M734" s="9">
        <f t="shared" si="104"/>
        <v>0</v>
      </c>
      <c r="N734" s="9">
        <f t="array" ref="N734">+SUM(IFERROR(VALUE(L734:M734),0))</f>
        <v>0</v>
      </c>
      <c r="P734" s="9" t="str">
        <f t="shared" si="105"/>
        <v/>
      </c>
      <c r="Q734" s="9">
        <f t="shared" si="106"/>
        <v>0</v>
      </c>
      <c r="R734" s="9">
        <f t="shared" si="107"/>
        <v>0</v>
      </c>
      <c r="S734" s="9">
        <f t="array" ref="S734">+SUM(IFERROR(VALUE(Q734:R734),0))</f>
        <v>0</v>
      </c>
    </row>
    <row r="735" spans="1:19" ht="14.4">
      <c r="A735"/>
      <c r="B735"/>
      <c r="C735" s="27"/>
      <c r="D735" s="28"/>
      <c r="F735" s="9" t="str">
        <f t="shared" si="99"/>
        <v/>
      </c>
      <c r="G735" s="9">
        <f t="shared" si="100"/>
        <v>0</v>
      </c>
      <c r="H735" s="9">
        <f t="shared" si="101"/>
        <v>0</v>
      </c>
      <c r="I735" s="9">
        <f t="array" ref="I735">+SUM(IFERROR(VALUE(G735:H735),0))</f>
        <v>0</v>
      </c>
      <c r="K735" s="9" t="str">
        <f t="shared" si="102"/>
        <v/>
      </c>
      <c r="L735" s="9">
        <f t="shared" si="103"/>
        <v>0</v>
      </c>
      <c r="M735" s="9">
        <f t="shared" si="104"/>
        <v>0</v>
      </c>
      <c r="N735" s="9">
        <f t="array" ref="N735">+SUM(IFERROR(VALUE(L735:M735),0))</f>
        <v>0</v>
      </c>
      <c r="P735" s="9" t="str">
        <f t="shared" si="105"/>
        <v/>
      </c>
      <c r="Q735" s="9">
        <f t="shared" si="106"/>
        <v>0</v>
      </c>
      <c r="R735" s="9">
        <f t="shared" si="107"/>
        <v>0</v>
      </c>
      <c r="S735" s="9">
        <f t="array" ref="S735">+SUM(IFERROR(VALUE(Q735:R735),0))</f>
        <v>0</v>
      </c>
    </row>
    <row r="736" spans="1:19" ht="14.4">
      <c r="A736"/>
      <c r="B736"/>
      <c r="C736" s="27"/>
      <c r="D736" s="28"/>
      <c r="F736" s="9" t="str">
        <f t="shared" si="99"/>
        <v/>
      </c>
      <c r="G736" s="9">
        <f t="shared" si="100"/>
        <v>0</v>
      </c>
      <c r="H736" s="9">
        <f t="shared" si="101"/>
        <v>0</v>
      </c>
      <c r="I736" s="9">
        <f t="array" ref="I736">+SUM(IFERROR(VALUE(G736:H736),0))</f>
        <v>0</v>
      </c>
      <c r="K736" s="9" t="str">
        <f t="shared" si="102"/>
        <v/>
      </c>
      <c r="L736" s="9">
        <f t="shared" si="103"/>
        <v>0</v>
      </c>
      <c r="M736" s="9">
        <f t="shared" si="104"/>
        <v>0</v>
      </c>
      <c r="N736" s="9">
        <f t="array" ref="N736">+SUM(IFERROR(VALUE(L736:M736),0))</f>
        <v>0</v>
      </c>
      <c r="P736" s="9" t="str">
        <f t="shared" si="105"/>
        <v/>
      </c>
      <c r="Q736" s="9">
        <f t="shared" si="106"/>
        <v>0</v>
      </c>
      <c r="R736" s="9">
        <f t="shared" si="107"/>
        <v>0</v>
      </c>
      <c r="S736" s="9">
        <f t="array" ref="S736">+SUM(IFERROR(VALUE(Q736:R736),0))</f>
        <v>0</v>
      </c>
    </row>
    <row r="737" spans="1:19" ht="14.4">
      <c r="A737"/>
      <c r="B737"/>
      <c r="C737" s="27"/>
      <c r="D737" s="28"/>
      <c r="F737" s="9" t="str">
        <f t="shared" si="99"/>
        <v/>
      </c>
      <c r="G737" s="9">
        <f t="shared" si="100"/>
        <v>0</v>
      </c>
      <c r="H737" s="9">
        <f t="shared" si="101"/>
        <v>0</v>
      </c>
      <c r="I737" s="9">
        <f t="array" ref="I737">+SUM(IFERROR(VALUE(G737:H737),0))</f>
        <v>0</v>
      </c>
      <c r="K737" s="9" t="str">
        <f t="shared" si="102"/>
        <v/>
      </c>
      <c r="L737" s="9">
        <f t="shared" si="103"/>
        <v>0</v>
      </c>
      <c r="M737" s="9">
        <f t="shared" si="104"/>
        <v>0</v>
      </c>
      <c r="N737" s="9">
        <f t="array" ref="N737">+SUM(IFERROR(VALUE(L737:M737),0))</f>
        <v>0</v>
      </c>
      <c r="P737" s="9" t="str">
        <f t="shared" si="105"/>
        <v/>
      </c>
      <c r="Q737" s="9">
        <f t="shared" si="106"/>
        <v>0</v>
      </c>
      <c r="R737" s="9">
        <f t="shared" si="107"/>
        <v>0</v>
      </c>
      <c r="S737" s="9">
        <f t="array" ref="S737">+SUM(IFERROR(VALUE(Q737:R737),0))</f>
        <v>0</v>
      </c>
    </row>
    <row r="738" spans="1:19" ht="14.4">
      <c r="A738"/>
      <c r="B738"/>
      <c r="C738" s="27"/>
      <c r="D738" s="28"/>
      <c r="F738" s="9" t="str">
        <f t="shared" si="99"/>
        <v/>
      </c>
      <c r="G738" s="9">
        <f t="shared" si="100"/>
        <v>0</v>
      </c>
      <c r="H738" s="9">
        <f t="shared" si="101"/>
        <v>0</v>
      </c>
      <c r="I738" s="9">
        <f t="array" ref="I738">+SUM(IFERROR(VALUE(G738:H738),0))</f>
        <v>0</v>
      </c>
      <c r="K738" s="9" t="str">
        <f t="shared" si="102"/>
        <v/>
      </c>
      <c r="L738" s="9">
        <f t="shared" si="103"/>
        <v>0</v>
      </c>
      <c r="M738" s="9">
        <f t="shared" si="104"/>
        <v>0</v>
      </c>
      <c r="N738" s="9">
        <f t="array" ref="N738">+SUM(IFERROR(VALUE(L738:M738),0))</f>
        <v>0</v>
      </c>
      <c r="P738" s="9" t="str">
        <f t="shared" si="105"/>
        <v/>
      </c>
      <c r="Q738" s="9">
        <f t="shared" si="106"/>
        <v>0</v>
      </c>
      <c r="R738" s="9">
        <f t="shared" si="107"/>
        <v>0</v>
      </c>
      <c r="S738" s="9">
        <f t="array" ref="S738">+SUM(IFERROR(VALUE(Q738:R738),0))</f>
        <v>0</v>
      </c>
    </row>
    <row r="739" spans="1:19" ht="14.4">
      <c r="A739"/>
      <c r="B739"/>
      <c r="C739" s="27"/>
      <c r="D739" s="28"/>
      <c r="F739" s="9" t="str">
        <f t="shared" si="99"/>
        <v/>
      </c>
      <c r="G739" s="9">
        <f t="shared" si="100"/>
        <v>0</v>
      </c>
      <c r="H739" s="9">
        <f t="shared" si="101"/>
        <v>0</v>
      </c>
      <c r="I739" s="9">
        <f t="array" ref="I739">+SUM(IFERROR(VALUE(G739:H739),0))</f>
        <v>0</v>
      </c>
      <c r="K739" s="9" t="str">
        <f t="shared" si="102"/>
        <v/>
      </c>
      <c r="L739" s="9">
        <f t="shared" si="103"/>
        <v>0</v>
      </c>
      <c r="M739" s="9">
        <f t="shared" si="104"/>
        <v>0</v>
      </c>
      <c r="N739" s="9">
        <f t="array" ref="N739">+SUM(IFERROR(VALUE(L739:M739),0))</f>
        <v>0</v>
      </c>
      <c r="P739" s="9" t="str">
        <f t="shared" si="105"/>
        <v/>
      </c>
      <c r="Q739" s="9">
        <f t="shared" si="106"/>
        <v>0</v>
      </c>
      <c r="R739" s="9">
        <f t="shared" si="107"/>
        <v>0</v>
      </c>
      <c r="S739" s="9">
        <f t="array" ref="S739">+SUM(IFERROR(VALUE(Q739:R739),0))</f>
        <v>0</v>
      </c>
    </row>
    <row r="740" spans="1:19" ht="14.4">
      <c r="A740"/>
      <c r="B740"/>
      <c r="C740" s="27"/>
      <c r="D740" s="28"/>
      <c r="F740" s="9" t="str">
        <f t="shared" si="99"/>
        <v/>
      </c>
      <c r="G740" s="9">
        <f t="shared" si="100"/>
        <v>0</v>
      </c>
      <c r="H740" s="9">
        <f t="shared" si="101"/>
        <v>0</v>
      </c>
      <c r="I740" s="9">
        <f t="array" ref="I740">+SUM(IFERROR(VALUE(G740:H740),0))</f>
        <v>0</v>
      </c>
      <c r="K740" s="9" t="str">
        <f t="shared" si="102"/>
        <v/>
      </c>
      <c r="L740" s="9">
        <f t="shared" si="103"/>
        <v>0</v>
      </c>
      <c r="M740" s="9">
        <f t="shared" si="104"/>
        <v>0</v>
      </c>
      <c r="N740" s="9">
        <f t="array" ref="N740">+SUM(IFERROR(VALUE(L740:M740),0))</f>
        <v>0</v>
      </c>
      <c r="P740" s="9" t="str">
        <f t="shared" si="105"/>
        <v/>
      </c>
      <c r="Q740" s="9">
        <f t="shared" si="106"/>
        <v>0</v>
      </c>
      <c r="R740" s="9">
        <f t="shared" si="107"/>
        <v>0</v>
      </c>
      <c r="S740" s="9">
        <f t="array" ref="S740">+SUM(IFERROR(VALUE(Q740:R740),0))</f>
        <v>0</v>
      </c>
    </row>
    <row r="741" spans="1:19" ht="14.4">
      <c r="A741"/>
      <c r="B741"/>
      <c r="C741" s="27"/>
      <c r="D741" s="28"/>
      <c r="F741" s="9" t="str">
        <f t="shared" si="99"/>
        <v/>
      </c>
      <c r="G741" s="9">
        <f t="shared" si="100"/>
        <v>0</v>
      </c>
      <c r="H741" s="9">
        <f t="shared" si="101"/>
        <v>0</v>
      </c>
      <c r="I741" s="9">
        <f t="array" ref="I741">+SUM(IFERROR(VALUE(G741:H741),0))</f>
        <v>0</v>
      </c>
      <c r="K741" s="9" t="str">
        <f t="shared" si="102"/>
        <v/>
      </c>
      <c r="L741" s="9">
        <f t="shared" si="103"/>
        <v>0</v>
      </c>
      <c r="M741" s="9">
        <f t="shared" si="104"/>
        <v>0</v>
      </c>
      <c r="N741" s="9">
        <f t="array" ref="N741">+SUM(IFERROR(VALUE(L741:M741),0))</f>
        <v>0</v>
      </c>
      <c r="P741" s="9" t="str">
        <f t="shared" si="105"/>
        <v/>
      </c>
      <c r="Q741" s="9">
        <f t="shared" si="106"/>
        <v>0</v>
      </c>
      <c r="R741" s="9">
        <f t="shared" si="107"/>
        <v>0</v>
      </c>
      <c r="S741" s="9">
        <f t="array" ref="S741">+SUM(IFERROR(VALUE(Q741:R741),0))</f>
        <v>0</v>
      </c>
    </row>
    <row r="742" spans="1:19" ht="14.4">
      <c r="A742"/>
      <c r="B742"/>
      <c r="C742" s="27"/>
      <c r="D742" s="28"/>
      <c r="F742" s="9" t="str">
        <f t="shared" si="99"/>
        <v/>
      </c>
      <c r="G742" s="9">
        <f t="shared" si="100"/>
        <v>0</v>
      </c>
      <c r="H742" s="9">
        <f t="shared" si="101"/>
        <v>0</v>
      </c>
      <c r="I742" s="9">
        <f t="array" ref="I742">+SUM(IFERROR(VALUE(G742:H742),0))</f>
        <v>0</v>
      </c>
      <c r="K742" s="9" t="str">
        <f t="shared" si="102"/>
        <v/>
      </c>
      <c r="L742" s="9">
        <f t="shared" si="103"/>
        <v>0</v>
      </c>
      <c r="M742" s="9">
        <f t="shared" si="104"/>
        <v>0</v>
      </c>
      <c r="N742" s="9">
        <f t="array" ref="N742">+SUM(IFERROR(VALUE(L742:M742),0))</f>
        <v>0</v>
      </c>
      <c r="P742" s="9" t="str">
        <f t="shared" si="105"/>
        <v/>
      </c>
      <c r="Q742" s="9">
        <f t="shared" si="106"/>
        <v>0</v>
      </c>
      <c r="R742" s="9">
        <f t="shared" si="107"/>
        <v>0</v>
      </c>
      <c r="S742" s="9">
        <f t="array" ref="S742">+SUM(IFERROR(VALUE(Q742:R742),0))</f>
        <v>0</v>
      </c>
    </row>
    <row r="743" spans="1:19" ht="14.4">
      <c r="A743"/>
      <c r="B743"/>
      <c r="C743" s="27"/>
      <c r="D743" s="28"/>
      <c r="F743" s="9" t="str">
        <f t="shared" si="99"/>
        <v/>
      </c>
      <c r="G743" s="9">
        <f t="shared" si="100"/>
        <v>0</v>
      </c>
      <c r="H743" s="9">
        <f t="shared" si="101"/>
        <v>0</v>
      </c>
      <c r="I743" s="9">
        <f t="array" ref="I743">+SUM(IFERROR(VALUE(G743:H743),0))</f>
        <v>0</v>
      </c>
      <c r="K743" s="9" t="str">
        <f t="shared" si="102"/>
        <v/>
      </c>
      <c r="L743" s="9">
        <f t="shared" si="103"/>
        <v>0</v>
      </c>
      <c r="M743" s="9">
        <f t="shared" si="104"/>
        <v>0</v>
      </c>
      <c r="N743" s="9">
        <f t="array" ref="N743">+SUM(IFERROR(VALUE(L743:M743),0))</f>
        <v>0</v>
      </c>
      <c r="P743" s="9" t="str">
        <f t="shared" si="105"/>
        <v/>
      </c>
      <c r="Q743" s="9">
        <f t="shared" si="106"/>
        <v>0</v>
      </c>
      <c r="R743" s="9">
        <f t="shared" si="107"/>
        <v>0</v>
      </c>
      <c r="S743" s="9">
        <f t="array" ref="S743">+SUM(IFERROR(VALUE(Q743:R743),0))</f>
        <v>0</v>
      </c>
    </row>
    <row r="744" spans="1:19" ht="14.4">
      <c r="A744"/>
      <c r="B744"/>
      <c r="C744" s="27"/>
      <c r="D744" s="28"/>
      <c r="F744" s="9" t="str">
        <f t="shared" si="99"/>
        <v/>
      </c>
      <c r="G744" s="9">
        <f t="shared" si="100"/>
        <v>0</v>
      </c>
      <c r="H744" s="9">
        <f t="shared" si="101"/>
        <v>0</v>
      </c>
      <c r="I744" s="9">
        <f t="array" ref="I744">+SUM(IFERROR(VALUE(G744:H744),0))</f>
        <v>0</v>
      </c>
      <c r="K744" s="9" t="str">
        <f t="shared" si="102"/>
        <v/>
      </c>
      <c r="L744" s="9">
        <f t="shared" si="103"/>
        <v>0</v>
      </c>
      <c r="M744" s="9">
        <f t="shared" si="104"/>
        <v>0</v>
      </c>
      <c r="N744" s="9">
        <f t="array" ref="N744">+SUM(IFERROR(VALUE(L744:M744),0))</f>
        <v>0</v>
      </c>
      <c r="P744" s="9" t="str">
        <f t="shared" si="105"/>
        <v/>
      </c>
      <c r="Q744" s="9">
        <f t="shared" si="106"/>
        <v>0</v>
      </c>
      <c r="R744" s="9">
        <f t="shared" si="107"/>
        <v>0</v>
      </c>
      <c r="S744" s="9">
        <f t="array" ref="S744">+SUM(IFERROR(VALUE(Q744:R744),0))</f>
        <v>0</v>
      </c>
    </row>
    <row r="745" spans="1:19" ht="14.4">
      <c r="A745"/>
      <c r="B745"/>
      <c r="C745" s="27"/>
      <c r="D745" s="28"/>
      <c r="F745" s="9" t="str">
        <f t="shared" si="99"/>
        <v/>
      </c>
      <c r="G745" s="9">
        <f t="shared" si="100"/>
        <v>0</v>
      </c>
      <c r="H745" s="9">
        <f t="shared" si="101"/>
        <v>0</v>
      </c>
      <c r="I745" s="9">
        <f t="array" ref="I745">+SUM(IFERROR(VALUE(G745:H745),0))</f>
        <v>0</v>
      </c>
      <c r="K745" s="9" t="str">
        <f t="shared" si="102"/>
        <v/>
      </c>
      <c r="L745" s="9">
        <f t="shared" si="103"/>
        <v>0</v>
      </c>
      <c r="M745" s="9">
        <f t="shared" si="104"/>
        <v>0</v>
      </c>
      <c r="N745" s="9">
        <f t="array" ref="N745">+SUM(IFERROR(VALUE(L745:M745),0))</f>
        <v>0</v>
      </c>
      <c r="P745" s="9" t="str">
        <f t="shared" si="105"/>
        <v/>
      </c>
      <c r="Q745" s="9">
        <f t="shared" si="106"/>
        <v>0</v>
      </c>
      <c r="R745" s="9">
        <f t="shared" si="107"/>
        <v>0</v>
      </c>
      <c r="S745" s="9">
        <f t="array" ref="S745">+SUM(IFERROR(VALUE(Q745:R745),0))</f>
        <v>0</v>
      </c>
    </row>
    <row r="746" spans="1:19" ht="14.4">
      <c r="A746"/>
      <c r="B746"/>
      <c r="C746" s="27"/>
      <c r="D746" s="28"/>
      <c r="F746" s="9" t="str">
        <f t="shared" si="99"/>
        <v/>
      </c>
      <c r="G746" s="9">
        <f t="shared" si="100"/>
        <v>0</v>
      </c>
      <c r="H746" s="9">
        <f t="shared" si="101"/>
        <v>0</v>
      </c>
      <c r="I746" s="9">
        <f t="array" ref="I746">+SUM(IFERROR(VALUE(G746:H746),0))</f>
        <v>0</v>
      </c>
      <c r="K746" s="9" t="str">
        <f t="shared" si="102"/>
        <v/>
      </c>
      <c r="L746" s="9">
        <f t="shared" si="103"/>
        <v>0</v>
      </c>
      <c r="M746" s="9">
        <f t="shared" si="104"/>
        <v>0</v>
      </c>
      <c r="N746" s="9">
        <f t="array" ref="N746">+SUM(IFERROR(VALUE(L746:M746),0))</f>
        <v>0</v>
      </c>
      <c r="P746" s="9" t="str">
        <f t="shared" si="105"/>
        <v/>
      </c>
      <c r="Q746" s="9">
        <f t="shared" si="106"/>
        <v>0</v>
      </c>
      <c r="R746" s="9">
        <f t="shared" si="107"/>
        <v>0</v>
      </c>
      <c r="S746" s="9">
        <f t="array" ref="S746">+SUM(IFERROR(VALUE(Q746:R746),0))</f>
        <v>0</v>
      </c>
    </row>
    <row r="747" spans="1:19" ht="14.4">
      <c r="A747"/>
      <c r="B747"/>
      <c r="C747" s="27"/>
      <c r="D747" s="28"/>
      <c r="F747" s="9" t="str">
        <f t="shared" si="99"/>
        <v/>
      </c>
      <c r="G747" s="9">
        <f t="shared" si="100"/>
        <v>0</v>
      </c>
      <c r="H747" s="9">
        <f t="shared" si="101"/>
        <v>0</v>
      </c>
      <c r="I747" s="9">
        <f t="array" ref="I747">+SUM(IFERROR(VALUE(G747:H747),0))</f>
        <v>0</v>
      </c>
      <c r="K747" s="9" t="str">
        <f t="shared" si="102"/>
        <v/>
      </c>
      <c r="L747" s="9">
        <f t="shared" si="103"/>
        <v>0</v>
      </c>
      <c r="M747" s="9">
        <f t="shared" si="104"/>
        <v>0</v>
      </c>
      <c r="N747" s="9">
        <f t="array" ref="N747">+SUM(IFERROR(VALUE(L747:M747),0))</f>
        <v>0</v>
      </c>
      <c r="P747" s="9" t="str">
        <f t="shared" si="105"/>
        <v/>
      </c>
      <c r="Q747" s="9">
        <f t="shared" si="106"/>
        <v>0</v>
      </c>
      <c r="R747" s="9">
        <f t="shared" si="107"/>
        <v>0</v>
      </c>
      <c r="S747" s="9">
        <f t="array" ref="S747">+SUM(IFERROR(VALUE(Q747:R747),0))</f>
        <v>0</v>
      </c>
    </row>
    <row r="748" spans="1:19" ht="14.4">
      <c r="A748"/>
      <c r="B748"/>
      <c r="C748" s="27"/>
      <c r="D748" s="28"/>
      <c r="F748" s="9" t="str">
        <f t="shared" si="99"/>
        <v/>
      </c>
      <c r="G748" s="9">
        <f t="shared" si="100"/>
        <v>0</v>
      </c>
      <c r="H748" s="9">
        <f t="shared" si="101"/>
        <v>0</v>
      </c>
      <c r="I748" s="9">
        <f t="array" ref="I748">+SUM(IFERROR(VALUE(G748:H748),0))</f>
        <v>0</v>
      </c>
      <c r="K748" s="9" t="str">
        <f t="shared" si="102"/>
        <v/>
      </c>
      <c r="L748" s="9">
        <f t="shared" si="103"/>
        <v>0</v>
      </c>
      <c r="M748" s="9">
        <f t="shared" si="104"/>
        <v>0</v>
      </c>
      <c r="N748" s="9">
        <f t="array" ref="N748">+SUM(IFERROR(VALUE(L748:M748),0))</f>
        <v>0</v>
      </c>
      <c r="P748" s="9" t="str">
        <f t="shared" si="105"/>
        <v/>
      </c>
      <c r="Q748" s="9">
        <f t="shared" si="106"/>
        <v>0</v>
      </c>
      <c r="R748" s="9">
        <f t="shared" si="107"/>
        <v>0</v>
      </c>
      <c r="S748" s="9">
        <f t="array" ref="S748">+SUM(IFERROR(VALUE(Q748:R748),0))</f>
        <v>0</v>
      </c>
    </row>
    <row r="749" spans="1:19" ht="14.4">
      <c r="A749"/>
      <c r="B749"/>
      <c r="C749" s="27"/>
      <c r="D749" s="28"/>
      <c r="F749" s="9" t="str">
        <f t="shared" si="99"/>
        <v/>
      </c>
      <c r="G749" s="9">
        <f t="shared" si="100"/>
        <v>0</v>
      </c>
      <c r="H749" s="9">
        <f t="shared" si="101"/>
        <v>0</v>
      </c>
      <c r="I749" s="9">
        <f t="array" ref="I749">+SUM(IFERROR(VALUE(G749:H749),0))</f>
        <v>0</v>
      </c>
      <c r="K749" s="9" t="str">
        <f t="shared" si="102"/>
        <v/>
      </c>
      <c r="L749" s="9">
        <f t="shared" si="103"/>
        <v>0</v>
      </c>
      <c r="M749" s="9">
        <f t="shared" si="104"/>
        <v>0</v>
      </c>
      <c r="N749" s="9">
        <f t="array" ref="N749">+SUM(IFERROR(VALUE(L749:M749),0))</f>
        <v>0</v>
      </c>
      <c r="P749" s="9" t="str">
        <f t="shared" si="105"/>
        <v/>
      </c>
      <c r="Q749" s="9">
        <f t="shared" si="106"/>
        <v>0</v>
      </c>
      <c r="R749" s="9">
        <f t="shared" si="107"/>
        <v>0</v>
      </c>
      <c r="S749" s="9">
        <f t="array" ref="S749">+SUM(IFERROR(VALUE(Q749:R749),0))</f>
        <v>0</v>
      </c>
    </row>
    <row r="750" spans="1:19" ht="14.4">
      <c r="A750"/>
      <c r="B750"/>
      <c r="C750" s="27"/>
      <c r="D750" s="28"/>
      <c r="F750" s="9" t="str">
        <f t="shared" si="99"/>
        <v/>
      </c>
      <c r="G750" s="9">
        <f t="shared" si="100"/>
        <v>0</v>
      </c>
      <c r="H750" s="9">
        <f t="shared" si="101"/>
        <v>0</v>
      </c>
      <c r="I750" s="9">
        <f t="array" ref="I750">+SUM(IFERROR(VALUE(G750:H750),0))</f>
        <v>0</v>
      </c>
      <c r="K750" s="9" t="str">
        <f t="shared" si="102"/>
        <v/>
      </c>
      <c r="L750" s="9">
        <f t="shared" si="103"/>
        <v>0</v>
      </c>
      <c r="M750" s="9">
        <f t="shared" si="104"/>
        <v>0</v>
      </c>
      <c r="N750" s="9">
        <f t="array" ref="N750">+SUM(IFERROR(VALUE(L750:M750),0))</f>
        <v>0</v>
      </c>
      <c r="P750" s="9" t="str">
        <f t="shared" si="105"/>
        <v/>
      </c>
      <c r="Q750" s="9">
        <f t="shared" si="106"/>
        <v>0</v>
      </c>
      <c r="R750" s="9">
        <f t="shared" si="107"/>
        <v>0</v>
      </c>
      <c r="S750" s="9">
        <f t="array" ref="S750">+SUM(IFERROR(VALUE(Q750:R750),0))</f>
        <v>0</v>
      </c>
    </row>
    <row r="751" spans="1:19" ht="14.4">
      <c r="A751"/>
      <c r="B751"/>
      <c r="C751" s="27"/>
      <c r="D751" s="28"/>
      <c r="F751" s="9" t="str">
        <f t="shared" si="99"/>
        <v/>
      </c>
      <c r="G751" s="9">
        <f t="shared" si="100"/>
        <v>0</v>
      </c>
      <c r="H751" s="9">
        <f t="shared" si="101"/>
        <v>0</v>
      </c>
      <c r="I751" s="9">
        <f t="array" ref="I751">+SUM(IFERROR(VALUE(G751:H751),0))</f>
        <v>0</v>
      </c>
      <c r="K751" s="9" t="str">
        <f t="shared" si="102"/>
        <v/>
      </c>
      <c r="L751" s="9">
        <f t="shared" si="103"/>
        <v>0</v>
      </c>
      <c r="M751" s="9">
        <f t="shared" si="104"/>
        <v>0</v>
      </c>
      <c r="N751" s="9">
        <f t="array" ref="N751">+SUM(IFERROR(VALUE(L751:M751),0))</f>
        <v>0</v>
      </c>
      <c r="P751" s="9" t="str">
        <f t="shared" si="105"/>
        <v/>
      </c>
      <c r="Q751" s="9">
        <f t="shared" si="106"/>
        <v>0</v>
      </c>
      <c r="R751" s="9">
        <f t="shared" si="107"/>
        <v>0</v>
      </c>
      <c r="S751" s="9">
        <f t="array" ref="S751">+SUM(IFERROR(VALUE(Q751:R751),0))</f>
        <v>0</v>
      </c>
    </row>
    <row r="752" spans="1:19" ht="14.4">
      <c r="A752"/>
      <c r="B752"/>
      <c r="C752" s="27"/>
      <c r="D752" s="28"/>
      <c r="F752" s="9" t="str">
        <f t="shared" si="99"/>
        <v/>
      </c>
      <c r="G752" s="9">
        <f t="shared" si="100"/>
        <v>0</v>
      </c>
      <c r="H752" s="9">
        <f t="shared" si="101"/>
        <v>0</v>
      </c>
      <c r="I752" s="9">
        <f t="array" ref="I752">+SUM(IFERROR(VALUE(G752:H752),0))</f>
        <v>0</v>
      </c>
      <c r="K752" s="9" t="str">
        <f t="shared" si="102"/>
        <v/>
      </c>
      <c r="L752" s="9">
        <f t="shared" si="103"/>
        <v>0</v>
      </c>
      <c r="M752" s="9">
        <f t="shared" si="104"/>
        <v>0</v>
      </c>
      <c r="N752" s="9">
        <f t="array" ref="N752">+SUM(IFERROR(VALUE(L752:M752),0))</f>
        <v>0</v>
      </c>
      <c r="P752" s="9" t="str">
        <f t="shared" si="105"/>
        <v/>
      </c>
      <c r="Q752" s="9">
        <f t="shared" si="106"/>
        <v>0</v>
      </c>
      <c r="R752" s="9">
        <f t="shared" si="107"/>
        <v>0</v>
      </c>
      <c r="S752" s="9">
        <f t="array" ref="S752">+SUM(IFERROR(VALUE(Q752:R752),0))</f>
        <v>0</v>
      </c>
    </row>
    <row r="753" spans="1:19" ht="14.4">
      <c r="A753"/>
      <c r="B753"/>
      <c r="C753" s="27"/>
      <c r="D753" s="28"/>
      <c r="F753" s="9" t="str">
        <f t="shared" si="99"/>
        <v/>
      </c>
      <c r="G753" s="9">
        <f t="shared" si="100"/>
        <v>0</v>
      </c>
      <c r="H753" s="9">
        <f t="shared" si="101"/>
        <v>0</v>
      </c>
      <c r="I753" s="9">
        <f t="array" ref="I753">+SUM(IFERROR(VALUE(G753:H753),0))</f>
        <v>0</v>
      </c>
      <c r="K753" s="9" t="str">
        <f t="shared" si="102"/>
        <v/>
      </c>
      <c r="L753" s="9">
        <f t="shared" si="103"/>
        <v>0</v>
      </c>
      <c r="M753" s="9">
        <f t="shared" si="104"/>
        <v>0</v>
      </c>
      <c r="N753" s="9">
        <f t="array" ref="N753">+SUM(IFERROR(VALUE(L753:M753),0))</f>
        <v>0</v>
      </c>
      <c r="P753" s="9" t="str">
        <f t="shared" si="105"/>
        <v/>
      </c>
      <c r="Q753" s="9">
        <f t="shared" si="106"/>
        <v>0</v>
      </c>
      <c r="R753" s="9">
        <f t="shared" si="107"/>
        <v>0</v>
      </c>
      <c r="S753" s="9">
        <f t="array" ref="S753">+SUM(IFERROR(VALUE(Q753:R753),0))</f>
        <v>0</v>
      </c>
    </row>
    <row r="754" spans="1:19" ht="14.4">
      <c r="A754"/>
      <c r="B754"/>
      <c r="C754" s="27"/>
      <c r="D754" s="28"/>
      <c r="F754" s="9" t="str">
        <f t="shared" si="99"/>
        <v/>
      </c>
      <c r="G754" s="9">
        <f t="shared" si="100"/>
        <v>0</v>
      </c>
      <c r="H754" s="9">
        <f t="shared" si="101"/>
        <v>0</v>
      </c>
      <c r="I754" s="9">
        <f t="array" ref="I754">+SUM(IFERROR(VALUE(G754:H754),0))</f>
        <v>0</v>
      </c>
      <c r="K754" s="9" t="str">
        <f t="shared" si="102"/>
        <v/>
      </c>
      <c r="L754" s="9">
        <f t="shared" si="103"/>
        <v>0</v>
      </c>
      <c r="M754" s="9">
        <f t="shared" si="104"/>
        <v>0</v>
      </c>
      <c r="N754" s="9">
        <f t="array" ref="N754">+SUM(IFERROR(VALUE(L754:M754),0))</f>
        <v>0</v>
      </c>
      <c r="P754" s="9" t="str">
        <f t="shared" si="105"/>
        <v/>
      </c>
      <c r="Q754" s="9">
        <f t="shared" si="106"/>
        <v>0</v>
      </c>
      <c r="R754" s="9">
        <f t="shared" si="107"/>
        <v>0</v>
      </c>
      <c r="S754" s="9">
        <f t="array" ref="S754">+SUM(IFERROR(VALUE(Q754:R754),0))</f>
        <v>0</v>
      </c>
    </row>
    <row r="755" spans="1:19" ht="14.4">
      <c r="A755"/>
      <c r="B755"/>
      <c r="C755" s="27"/>
      <c r="D755" s="28"/>
      <c r="F755" s="9" t="str">
        <f t="shared" si="99"/>
        <v/>
      </c>
      <c r="G755" s="9">
        <f t="shared" si="100"/>
        <v>0</v>
      </c>
      <c r="H755" s="9">
        <f t="shared" si="101"/>
        <v>0</v>
      </c>
      <c r="I755" s="9">
        <f t="array" ref="I755">+SUM(IFERROR(VALUE(G755:H755),0))</f>
        <v>0</v>
      </c>
      <c r="K755" s="9" t="str">
        <f t="shared" si="102"/>
        <v/>
      </c>
      <c r="L755" s="9">
        <f t="shared" si="103"/>
        <v>0</v>
      </c>
      <c r="M755" s="9">
        <f t="shared" si="104"/>
        <v>0</v>
      </c>
      <c r="N755" s="9">
        <f t="array" ref="N755">+SUM(IFERROR(VALUE(L755:M755),0))</f>
        <v>0</v>
      </c>
      <c r="P755" s="9" t="str">
        <f t="shared" si="105"/>
        <v/>
      </c>
      <c r="Q755" s="9">
        <f t="shared" si="106"/>
        <v>0</v>
      </c>
      <c r="R755" s="9">
        <f t="shared" si="107"/>
        <v>0</v>
      </c>
      <c r="S755" s="9">
        <f t="array" ref="S755">+SUM(IFERROR(VALUE(Q755:R755),0))</f>
        <v>0</v>
      </c>
    </row>
    <row r="756" spans="1:19" ht="14.4">
      <c r="A756"/>
      <c r="B756"/>
      <c r="C756" s="27"/>
      <c r="D756" s="28"/>
      <c r="F756" s="9" t="str">
        <f t="shared" si="99"/>
        <v/>
      </c>
      <c r="G756" s="9">
        <f t="shared" si="100"/>
        <v>0</v>
      </c>
      <c r="H756" s="9">
        <f t="shared" si="101"/>
        <v>0</v>
      </c>
      <c r="I756" s="9">
        <f t="array" ref="I756">+SUM(IFERROR(VALUE(G756:H756),0))</f>
        <v>0</v>
      </c>
      <c r="K756" s="9" t="str">
        <f t="shared" si="102"/>
        <v/>
      </c>
      <c r="L756" s="9">
        <f t="shared" si="103"/>
        <v>0</v>
      </c>
      <c r="M756" s="9">
        <f t="shared" si="104"/>
        <v>0</v>
      </c>
      <c r="N756" s="9">
        <f t="array" ref="N756">+SUM(IFERROR(VALUE(L756:M756),0))</f>
        <v>0</v>
      </c>
      <c r="P756" s="9" t="str">
        <f t="shared" si="105"/>
        <v/>
      </c>
      <c r="Q756" s="9">
        <f t="shared" si="106"/>
        <v>0</v>
      </c>
      <c r="R756" s="9">
        <f t="shared" si="107"/>
        <v>0</v>
      </c>
      <c r="S756" s="9">
        <f t="array" ref="S756">+SUM(IFERROR(VALUE(Q756:R756),0))</f>
        <v>0</v>
      </c>
    </row>
    <row r="757" spans="1:19" ht="14.4">
      <c r="A757"/>
      <c r="B757"/>
      <c r="C757" s="27"/>
      <c r="D757" s="28"/>
      <c r="F757" s="9" t="str">
        <f t="shared" si="99"/>
        <v/>
      </c>
      <c r="G757" s="9">
        <f t="shared" si="100"/>
        <v>0</v>
      </c>
      <c r="H757" s="9">
        <f t="shared" si="101"/>
        <v>0</v>
      </c>
      <c r="I757" s="9">
        <f t="array" ref="I757">+SUM(IFERROR(VALUE(G757:H757),0))</f>
        <v>0</v>
      </c>
      <c r="K757" s="9" t="str">
        <f t="shared" si="102"/>
        <v/>
      </c>
      <c r="L757" s="9">
        <f t="shared" si="103"/>
        <v>0</v>
      </c>
      <c r="M757" s="9">
        <f t="shared" si="104"/>
        <v>0</v>
      </c>
      <c r="N757" s="9">
        <f t="array" ref="N757">+SUM(IFERROR(VALUE(L757:M757),0))</f>
        <v>0</v>
      </c>
      <c r="P757" s="9" t="str">
        <f t="shared" si="105"/>
        <v/>
      </c>
      <c r="Q757" s="9">
        <f t="shared" si="106"/>
        <v>0</v>
      </c>
      <c r="R757" s="9">
        <f t="shared" si="107"/>
        <v>0</v>
      </c>
      <c r="S757" s="9">
        <f t="array" ref="S757">+SUM(IFERROR(VALUE(Q757:R757),0))</f>
        <v>0</v>
      </c>
    </row>
    <row r="758" spans="1:19" ht="14.4">
      <c r="A758"/>
      <c r="B758"/>
      <c r="C758" s="27"/>
      <c r="D758" s="28"/>
      <c r="F758" s="9" t="str">
        <f t="shared" si="99"/>
        <v/>
      </c>
      <c r="G758" s="9">
        <f t="shared" si="100"/>
        <v>0</v>
      </c>
      <c r="H758" s="9">
        <f t="shared" si="101"/>
        <v>0</v>
      </c>
      <c r="I758" s="9">
        <f t="array" ref="I758">+SUM(IFERROR(VALUE(G758:H758),0))</f>
        <v>0</v>
      </c>
      <c r="K758" s="9" t="str">
        <f t="shared" si="102"/>
        <v/>
      </c>
      <c r="L758" s="9">
        <f t="shared" si="103"/>
        <v>0</v>
      </c>
      <c r="M758" s="9">
        <f t="shared" si="104"/>
        <v>0</v>
      </c>
      <c r="N758" s="9">
        <f t="array" ref="N758">+SUM(IFERROR(VALUE(L758:M758),0))</f>
        <v>0</v>
      </c>
      <c r="P758" s="9" t="str">
        <f t="shared" si="105"/>
        <v/>
      </c>
      <c r="Q758" s="9">
        <f t="shared" si="106"/>
        <v>0</v>
      </c>
      <c r="R758" s="9">
        <f t="shared" si="107"/>
        <v>0</v>
      </c>
      <c r="S758" s="9">
        <f t="array" ref="S758">+SUM(IFERROR(VALUE(Q758:R758),0))</f>
        <v>0</v>
      </c>
    </row>
    <row r="759" spans="1:19" ht="14.4">
      <c r="A759"/>
      <c r="B759"/>
      <c r="C759" s="27"/>
      <c r="D759" s="28"/>
      <c r="F759" s="9" t="str">
        <f t="shared" si="99"/>
        <v/>
      </c>
      <c r="G759" s="9">
        <f t="shared" si="100"/>
        <v>0</v>
      </c>
      <c r="H759" s="9">
        <f t="shared" si="101"/>
        <v>0</v>
      </c>
      <c r="I759" s="9">
        <f t="array" ref="I759">+SUM(IFERROR(VALUE(G759:H759),0))</f>
        <v>0</v>
      </c>
      <c r="K759" s="9" t="str">
        <f t="shared" si="102"/>
        <v/>
      </c>
      <c r="L759" s="9">
        <f t="shared" si="103"/>
        <v>0</v>
      </c>
      <c r="M759" s="9">
        <f t="shared" si="104"/>
        <v>0</v>
      </c>
      <c r="N759" s="9">
        <f t="array" ref="N759">+SUM(IFERROR(VALUE(L759:M759),0))</f>
        <v>0</v>
      </c>
      <c r="P759" s="9" t="str">
        <f t="shared" si="105"/>
        <v/>
      </c>
      <c r="Q759" s="9">
        <f t="shared" si="106"/>
        <v>0</v>
      </c>
      <c r="R759" s="9">
        <f t="shared" si="107"/>
        <v>0</v>
      </c>
      <c r="S759" s="9">
        <f t="array" ref="S759">+SUM(IFERROR(VALUE(Q759:R759),0))</f>
        <v>0</v>
      </c>
    </row>
    <row r="760" spans="1:19" ht="14.4">
      <c r="A760"/>
      <c r="B760"/>
      <c r="C760" s="27"/>
      <c r="D760" s="28"/>
      <c r="F760" s="9" t="str">
        <f t="shared" si="99"/>
        <v/>
      </c>
      <c r="G760" s="9">
        <f t="shared" si="100"/>
        <v>0</v>
      </c>
      <c r="H760" s="9">
        <f t="shared" si="101"/>
        <v>0</v>
      </c>
      <c r="I760" s="9">
        <f t="array" ref="I760">+SUM(IFERROR(VALUE(G760:H760),0))</f>
        <v>0</v>
      </c>
      <c r="K760" s="9" t="str">
        <f t="shared" si="102"/>
        <v/>
      </c>
      <c r="L760" s="9">
        <f t="shared" si="103"/>
        <v>0</v>
      </c>
      <c r="M760" s="9">
        <f t="shared" si="104"/>
        <v>0</v>
      </c>
      <c r="N760" s="9">
        <f t="array" ref="N760">+SUM(IFERROR(VALUE(L760:M760),0))</f>
        <v>0</v>
      </c>
      <c r="P760" s="9" t="str">
        <f t="shared" si="105"/>
        <v/>
      </c>
      <c r="Q760" s="9">
        <f t="shared" si="106"/>
        <v>0</v>
      </c>
      <c r="R760" s="9">
        <f t="shared" si="107"/>
        <v>0</v>
      </c>
      <c r="S760" s="9">
        <f t="array" ref="S760">+SUM(IFERROR(VALUE(Q760:R760),0))</f>
        <v>0</v>
      </c>
    </row>
    <row r="761" spans="1:19" ht="14.4">
      <c r="A761"/>
      <c r="B761"/>
      <c r="C761" s="27"/>
      <c r="D761" s="28"/>
      <c r="F761" s="9" t="str">
        <f t="shared" si="99"/>
        <v/>
      </c>
      <c r="G761" s="9">
        <f t="shared" si="100"/>
        <v>0</v>
      </c>
      <c r="H761" s="9">
        <f t="shared" si="101"/>
        <v>0</v>
      </c>
      <c r="I761" s="9">
        <f t="array" ref="I761">+SUM(IFERROR(VALUE(G761:H761),0))</f>
        <v>0</v>
      </c>
      <c r="K761" s="9" t="str">
        <f t="shared" si="102"/>
        <v/>
      </c>
      <c r="L761" s="9">
        <f t="shared" si="103"/>
        <v>0</v>
      </c>
      <c r="M761" s="9">
        <f t="shared" si="104"/>
        <v>0</v>
      </c>
      <c r="N761" s="9">
        <f t="array" ref="N761">+SUM(IFERROR(VALUE(L761:M761),0))</f>
        <v>0</v>
      </c>
      <c r="P761" s="9" t="str">
        <f t="shared" si="105"/>
        <v/>
      </c>
      <c r="Q761" s="9">
        <f t="shared" si="106"/>
        <v>0</v>
      </c>
      <c r="R761" s="9">
        <f t="shared" si="107"/>
        <v>0</v>
      </c>
      <c r="S761" s="9">
        <f t="array" ref="S761">+SUM(IFERROR(VALUE(Q761:R761),0))</f>
        <v>0</v>
      </c>
    </row>
    <row r="762" spans="1:19" ht="14.4">
      <c r="A762"/>
      <c r="B762"/>
      <c r="C762" s="27"/>
      <c r="D762" s="28"/>
      <c r="F762" s="9" t="str">
        <f t="shared" si="99"/>
        <v/>
      </c>
      <c r="G762" s="9">
        <f t="shared" si="100"/>
        <v>0</v>
      </c>
      <c r="H762" s="9">
        <f t="shared" si="101"/>
        <v>0</v>
      </c>
      <c r="I762" s="9">
        <f t="array" ref="I762">+SUM(IFERROR(VALUE(G762:H762),0))</f>
        <v>0</v>
      </c>
      <c r="K762" s="9" t="str">
        <f t="shared" si="102"/>
        <v/>
      </c>
      <c r="L762" s="9">
        <f t="shared" si="103"/>
        <v>0</v>
      </c>
      <c r="M762" s="9">
        <f t="shared" si="104"/>
        <v>0</v>
      </c>
      <c r="N762" s="9">
        <f t="array" ref="N762">+SUM(IFERROR(VALUE(L762:M762),0))</f>
        <v>0</v>
      </c>
      <c r="P762" s="9" t="str">
        <f t="shared" si="105"/>
        <v/>
      </c>
      <c r="Q762" s="9">
        <f t="shared" si="106"/>
        <v>0</v>
      </c>
      <c r="R762" s="9">
        <f t="shared" si="107"/>
        <v>0</v>
      </c>
      <c r="S762" s="9">
        <f t="array" ref="S762">+SUM(IFERROR(VALUE(Q762:R762),0))</f>
        <v>0</v>
      </c>
    </row>
    <row r="763" spans="1:19" ht="14.4">
      <c r="A763"/>
      <c r="B763"/>
      <c r="C763" s="27"/>
      <c r="D763" s="28"/>
      <c r="F763" s="9" t="str">
        <f t="shared" si="99"/>
        <v/>
      </c>
      <c r="G763" s="9">
        <f t="shared" si="100"/>
        <v>0</v>
      </c>
      <c r="H763" s="9">
        <f t="shared" si="101"/>
        <v>0</v>
      </c>
      <c r="I763" s="9">
        <f t="array" ref="I763">+SUM(IFERROR(VALUE(G763:H763),0))</f>
        <v>0</v>
      </c>
      <c r="K763" s="9" t="str">
        <f t="shared" si="102"/>
        <v/>
      </c>
      <c r="L763" s="9">
        <f t="shared" si="103"/>
        <v>0</v>
      </c>
      <c r="M763" s="9">
        <f t="shared" si="104"/>
        <v>0</v>
      </c>
      <c r="N763" s="9">
        <f t="array" ref="N763">+SUM(IFERROR(VALUE(L763:M763),0))</f>
        <v>0</v>
      </c>
      <c r="P763" s="9" t="str">
        <f t="shared" si="105"/>
        <v/>
      </c>
      <c r="Q763" s="9">
        <f t="shared" si="106"/>
        <v>0</v>
      </c>
      <c r="R763" s="9">
        <f t="shared" si="107"/>
        <v>0</v>
      </c>
      <c r="S763" s="9">
        <f t="array" ref="S763">+SUM(IFERROR(VALUE(Q763:R763),0))</f>
        <v>0</v>
      </c>
    </row>
    <row r="764" spans="1:19" ht="14.4">
      <c r="A764"/>
      <c r="B764"/>
      <c r="C764" s="27"/>
      <c r="D764" s="28"/>
      <c r="F764" s="9" t="str">
        <f t="shared" si="99"/>
        <v/>
      </c>
      <c r="G764" s="9">
        <f t="shared" si="100"/>
        <v>0</v>
      </c>
      <c r="H764" s="9">
        <f t="shared" si="101"/>
        <v>0</v>
      </c>
      <c r="I764" s="9">
        <f t="array" ref="I764">+SUM(IFERROR(VALUE(G764:H764),0))</f>
        <v>0</v>
      </c>
      <c r="K764" s="9" t="str">
        <f t="shared" si="102"/>
        <v/>
      </c>
      <c r="L764" s="9">
        <f t="shared" si="103"/>
        <v>0</v>
      </c>
      <c r="M764" s="9">
        <f t="shared" si="104"/>
        <v>0</v>
      </c>
      <c r="N764" s="9">
        <f t="array" ref="N764">+SUM(IFERROR(VALUE(L764:M764),0))</f>
        <v>0</v>
      </c>
      <c r="P764" s="9" t="str">
        <f t="shared" si="105"/>
        <v/>
      </c>
      <c r="Q764" s="9">
        <f t="shared" si="106"/>
        <v>0</v>
      </c>
      <c r="R764" s="9">
        <f t="shared" si="107"/>
        <v>0</v>
      </c>
      <c r="S764" s="9">
        <f t="array" ref="S764">+SUM(IFERROR(VALUE(Q764:R764),0))</f>
        <v>0</v>
      </c>
    </row>
    <row r="765" spans="1:19" ht="14.4">
      <c r="A765"/>
      <c r="B765"/>
      <c r="C765" s="27"/>
      <c r="D765" s="28"/>
      <c r="F765" s="9" t="str">
        <f t="shared" si="99"/>
        <v/>
      </c>
      <c r="G765" s="9">
        <f t="shared" si="100"/>
        <v>0</v>
      </c>
      <c r="H765" s="9">
        <f t="shared" si="101"/>
        <v>0</v>
      </c>
      <c r="I765" s="9">
        <f t="array" ref="I765">+SUM(IFERROR(VALUE(G765:H765),0))</f>
        <v>0</v>
      </c>
      <c r="K765" s="9" t="str">
        <f t="shared" si="102"/>
        <v/>
      </c>
      <c r="L765" s="9">
        <f t="shared" si="103"/>
        <v>0</v>
      </c>
      <c r="M765" s="9">
        <f t="shared" si="104"/>
        <v>0</v>
      </c>
      <c r="N765" s="9">
        <f t="array" ref="N765">+SUM(IFERROR(VALUE(L765:M765),0))</f>
        <v>0</v>
      </c>
      <c r="P765" s="9" t="str">
        <f t="shared" si="105"/>
        <v/>
      </c>
      <c r="Q765" s="9">
        <f t="shared" si="106"/>
        <v>0</v>
      </c>
      <c r="R765" s="9">
        <f t="shared" si="107"/>
        <v>0</v>
      </c>
      <c r="S765" s="9">
        <f t="array" ref="S765">+SUM(IFERROR(VALUE(Q765:R765),0))</f>
        <v>0</v>
      </c>
    </row>
    <row r="766" spans="1:19" ht="14.4">
      <c r="A766"/>
      <c r="B766"/>
      <c r="C766" s="27"/>
      <c r="D766" s="28"/>
      <c r="F766" s="9" t="str">
        <f t="shared" si="99"/>
        <v/>
      </c>
      <c r="G766" s="9">
        <f t="shared" si="100"/>
        <v>0</v>
      </c>
      <c r="H766" s="9">
        <f t="shared" si="101"/>
        <v>0</v>
      </c>
      <c r="I766" s="9">
        <f t="array" ref="I766">+SUM(IFERROR(VALUE(G766:H766),0))</f>
        <v>0</v>
      </c>
      <c r="K766" s="9" t="str">
        <f t="shared" si="102"/>
        <v/>
      </c>
      <c r="L766" s="9">
        <f t="shared" si="103"/>
        <v>0</v>
      </c>
      <c r="M766" s="9">
        <f t="shared" si="104"/>
        <v>0</v>
      </c>
      <c r="N766" s="9">
        <f t="array" ref="N766">+SUM(IFERROR(VALUE(L766:M766),0))</f>
        <v>0</v>
      </c>
      <c r="P766" s="9" t="str">
        <f t="shared" si="105"/>
        <v/>
      </c>
      <c r="Q766" s="9">
        <f t="shared" si="106"/>
        <v>0</v>
      </c>
      <c r="R766" s="9">
        <f t="shared" si="107"/>
        <v>0</v>
      </c>
      <c r="S766" s="9">
        <f t="array" ref="S766">+SUM(IFERROR(VALUE(Q766:R766),0))</f>
        <v>0</v>
      </c>
    </row>
    <row r="767" spans="1:19" ht="14.4">
      <c r="A767"/>
      <c r="B767"/>
      <c r="C767" s="27"/>
      <c r="D767" s="28"/>
      <c r="F767" s="9" t="str">
        <f t="shared" si="99"/>
        <v/>
      </c>
      <c r="G767" s="9">
        <f t="shared" si="100"/>
        <v>0</v>
      </c>
      <c r="H767" s="9">
        <f t="shared" si="101"/>
        <v>0</v>
      </c>
      <c r="I767" s="9">
        <f t="array" ref="I767">+SUM(IFERROR(VALUE(G767:H767),0))</f>
        <v>0</v>
      </c>
      <c r="K767" s="9" t="str">
        <f t="shared" si="102"/>
        <v/>
      </c>
      <c r="L767" s="9">
        <f t="shared" si="103"/>
        <v>0</v>
      </c>
      <c r="M767" s="9">
        <f t="shared" si="104"/>
        <v>0</v>
      </c>
      <c r="N767" s="9">
        <f t="array" ref="N767">+SUM(IFERROR(VALUE(L767:M767),0))</f>
        <v>0</v>
      </c>
      <c r="P767" s="9" t="str">
        <f t="shared" si="105"/>
        <v/>
      </c>
      <c r="Q767" s="9">
        <f t="shared" si="106"/>
        <v>0</v>
      </c>
      <c r="R767" s="9">
        <f t="shared" si="107"/>
        <v>0</v>
      </c>
      <c r="S767" s="9">
        <f t="array" ref="S767">+SUM(IFERROR(VALUE(Q767:R767),0))</f>
        <v>0</v>
      </c>
    </row>
    <row r="768" spans="1:19" ht="14.4">
      <c r="A768"/>
      <c r="B768"/>
      <c r="C768" s="27"/>
      <c r="D768" s="28"/>
      <c r="F768" s="9" t="str">
        <f t="shared" si="99"/>
        <v/>
      </c>
      <c r="G768" s="9">
        <f t="shared" si="100"/>
        <v>0</v>
      </c>
      <c r="H768" s="9">
        <f t="shared" si="101"/>
        <v>0</v>
      </c>
      <c r="I768" s="9">
        <f t="array" ref="I768">+SUM(IFERROR(VALUE(G768:H768),0))</f>
        <v>0</v>
      </c>
      <c r="K768" s="9" t="str">
        <f t="shared" si="102"/>
        <v/>
      </c>
      <c r="L768" s="9">
        <f t="shared" si="103"/>
        <v>0</v>
      </c>
      <c r="M768" s="9">
        <f t="shared" si="104"/>
        <v>0</v>
      </c>
      <c r="N768" s="9">
        <f t="array" ref="N768">+SUM(IFERROR(VALUE(L768:M768),0))</f>
        <v>0</v>
      </c>
      <c r="P768" s="9" t="str">
        <f t="shared" si="105"/>
        <v/>
      </c>
      <c r="Q768" s="9">
        <f t="shared" si="106"/>
        <v>0</v>
      </c>
      <c r="R768" s="9">
        <f t="shared" si="107"/>
        <v>0</v>
      </c>
      <c r="S768" s="9">
        <f t="array" ref="S768">+SUM(IFERROR(VALUE(Q768:R768),0))</f>
        <v>0</v>
      </c>
    </row>
    <row r="769" spans="1:19" ht="14.4">
      <c r="A769"/>
      <c r="B769"/>
      <c r="C769" s="27"/>
      <c r="D769" s="28"/>
      <c r="F769" s="9" t="str">
        <f t="shared" si="99"/>
        <v/>
      </c>
      <c r="G769" s="9">
        <f t="shared" si="100"/>
        <v>0</v>
      </c>
      <c r="H769" s="9">
        <f t="shared" si="101"/>
        <v>0</v>
      </c>
      <c r="I769" s="9">
        <f t="array" ref="I769">+SUM(IFERROR(VALUE(G769:H769),0))</f>
        <v>0</v>
      </c>
      <c r="K769" s="9" t="str">
        <f t="shared" si="102"/>
        <v/>
      </c>
      <c r="L769" s="9">
        <f t="shared" si="103"/>
        <v>0</v>
      </c>
      <c r="M769" s="9">
        <f t="shared" si="104"/>
        <v>0</v>
      </c>
      <c r="N769" s="9">
        <f t="array" ref="N769">+SUM(IFERROR(VALUE(L769:M769),0))</f>
        <v>0</v>
      </c>
      <c r="P769" s="9" t="str">
        <f t="shared" si="105"/>
        <v/>
      </c>
      <c r="Q769" s="9">
        <f t="shared" si="106"/>
        <v>0</v>
      </c>
      <c r="R769" s="9">
        <f t="shared" si="107"/>
        <v>0</v>
      </c>
      <c r="S769" s="9">
        <f t="array" ref="S769">+SUM(IFERROR(VALUE(Q769:R769),0))</f>
        <v>0</v>
      </c>
    </row>
    <row r="770" spans="1:19" ht="14.4">
      <c r="A770"/>
      <c r="B770"/>
      <c r="C770" s="27"/>
      <c r="D770" s="28"/>
      <c r="F770" s="9" t="str">
        <f t="shared" si="99"/>
        <v/>
      </c>
      <c r="G770" s="9">
        <f t="shared" si="100"/>
        <v>0</v>
      </c>
      <c r="H770" s="9">
        <f t="shared" si="101"/>
        <v>0</v>
      </c>
      <c r="I770" s="9">
        <f t="array" ref="I770">+SUM(IFERROR(VALUE(G770:H770),0))</f>
        <v>0</v>
      </c>
      <c r="K770" s="9" t="str">
        <f t="shared" si="102"/>
        <v/>
      </c>
      <c r="L770" s="9">
        <f t="shared" si="103"/>
        <v>0</v>
      </c>
      <c r="M770" s="9">
        <f t="shared" si="104"/>
        <v>0</v>
      </c>
      <c r="N770" s="9">
        <f t="array" ref="N770">+SUM(IFERROR(VALUE(L770:M770),0))</f>
        <v>0</v>
      </c>
      <c r="P770" s="9" t="str">
        <f t="shared" si="105"/>
        <v/>
      </c>
      <c r="Q770" s="9">
        <f t="shared" si="106"/>
        <v>0</v>
      </c>
      <c r="R770" s="9">
        <f t="shared" si="107"/>
        <v>0</v>
      </c>
      <c r="S770" s="9">
        <f t="array" ref="S770">+SUM(IFERROR(VALUE(Q770:R770),0))</f>
        <v>0</v>
      </c>
    </row>
    <row r="771" spans="1:19" ht="14.4">
      <c r="A771"/>
      <c r="B771"/>
      <c r="C771" s="27"/>
      <c r="D771" s="28"/>
      <c r="F771" s="9" t="str">
        <f t="shared" si="99"/>
        <v/>
      </c>
      <c r="G771" s="9">
        <f t="shared" si="100"/>
        <v>0</v>
      </c>
      <c r="H771" s="9">
        <f t="shared" si="101"/>
        <v>0</v>
      </c>
      <c r="I771" s="9">
        <f t="array" ref="I771">+SUM(IFERROR(VALUE(G771:H771),0))</f>
        <v>0</v>
      </c>
      <c r="K771" s="9" t="str">
        <f t="shared" si="102"/>
        <v/>
      </c>
      <c r="L771" s="9">
        <f t="shared" si="103"/>
        <v>0</v>
      </c>
      <c r="M771" s="9">
        <f t="shared" si="104"/>
        <v>0</v>
      </c>
      <c r="N771" s="9">
        <f t="array" ref="N771">+SUM(IFERROR(VALUE(L771:M771),0))</f>
        <v>0</v>
      </c>
      <c r="P771" s="9" t="str">
        <f t="shared" si="105"/>
        <v/>
      </c>
      <c r="Q771" s="9">
        <f t="shared" si="106"/>
        <v>0</v>
      </c>
      <c r="R771" s="9">
        <f t="shared" si="107"/>
        <v>0</v>
      </c>
      <c r="S771" s="9">
        <f t="array" ref="S771">+SUM(IFERROR(VALUE(Q771:R771),0))</f>
        <v>0</v>
      </c>
    </row>
    <row r="772" spans="1:19" ht="14.4">
      <c r="A772"/>
      <c r="B772"/>
      <c r="C772" s="27"/>
      <c r="D772" s="28"/>
      <c r="F772" s="9" t="str">
        <f t="shared" si="99"/>
        <v/>
      </c>
      <c r="G772" s="9">
        <f t="shared" si="100"/>
        <v>0</v>
      </c>
      <c r="H772" s="9">
        <f t="shared" si="101"/>
        <v>0</v>
      </c>
      <c r="I772" s="9">
        <f t="array" ref="I772">+SUM(IFERROR(VALUE(G772:H772),0))</f>
        <v>0</v>
      </c>
      <c r="K772" s="9" t="str">
        <f t="shared" si="102"/>
        <v/>
      </c>
      <c r="L772" s="9">
        <f t="shared" si="103"/>
        <v>0</v>
      </c>
      <c r="M772" s="9">
        <f t="shared" si="104"/>
        <v>0</v>
      </c>
      <c r="N772" s="9">
        <f t="array" ref="N772">+SUM(IFERROR(VALUE(L772:M772),0))</f>
        <v>0</v>
      </c>
      <c r="P772" s="9" t="str">
        <f t="shared" si="105"/>
        <v/>
      </c>
      <c r="Q772" s="9">
        <f t="shared" si="106"/>
        <v>0</v>
      </c>
      <c r="R772" s="9">
        <f t="shared" si="107"/>
        <v>0</v>
      </c>
      <c r="S772" s="9">
        <f t="array" ref="S772">+SUM(IFERROR(VALUE(Q772:R772),0))</f>
        <v>0</v>
      </c>
    </row>
    <row r="773" spans="1:19" ht="14.4">
      <c r="A773"/>
      <c r="B773"/>
      <c r="C773" s="27"/>
      <c r="D773" s="28"/>
      <c r="F773" s="9" t="str">
        <f t="shared" si="99"/>
        <v/>
      </c>
      <c r="G773" s="9">
        <f t="shared" si="100"/>
        <v>0</v>
      </c>
      <c r="H773" s="9">
        <f t="shared" si="101"/>
        <v>0</v>
      </c>
      <c r="I773" s="9">
        <f t="array" ref="I773">+SUM(IFERROR(VALUE(G773:H773),0))</f>
        <v>0</v>
      </c>
      <c r="K773" s="9" t="str">
        <f t="shared" si="102"/>
        <v/>
      </c>
      <c r="L773" s="9">
        <f t="shared" si="103"/>
        <v>0</v>
      </c>
      <c r="M773" s="9">
        <f t="shared" si="104"/>
        <v>0</v>
      </c>
      <c r="N773" s="9">
        <f t="array" ref="N773">+SUM(IFERROR(VALUE(L773:M773),0))</f>
        <v>0</v>
      </c>
      <c r="P773" s="9" t="str">
        <f t="shared" si="105"/>
        <v/>
      </c>
      <c r="Q773" s="9">
        <f t="shared" si="106"/>
        <v>0</v>
      </c>
      <c r="R773" s="9">
        <f t="shared" si="107"/>
        <v>0</v>
      </c>
      <c r="S773" s="9">
        <f t="array" ref="S773">+SUM(IFERROR(VALUE(Q773:R773),0))</f>
        <v>0</v>
      </c>
    </row>
    <row r="774" spans="1:19" ht="14.4">
      <c r="A774"/>
      <c r="B774"/>
      <c r="C774" s="27"/>
      <c r="D774" s="28"/>
      <c r="F774" s="9" t="str">
        <f t="shared" ref="F774:F837" si="108">+LEFT(A774,4)</f>
        <v/>
      </c>
      <c r="G774" s="9">
        <f t="shared" ref="G774:G837" si="109">+C774</f>
        <v>0</v>
      </c>
      <c r="H774" s="9">
        <f t="shared" ref="H774:H837" si="110">-D774</f>
        <v>0</v>
      </c>
      <c r="I774" s="9">
        <f t="array" ref="I774">+SUM(IFERROR(VALUE(G774:H774),0))</f>
        <v>0</v>
      </c>
      <c r="K774" s="9" t="str">
        <f t="shared" ref="K774:K837" si="111">+LEFT(A774,3)</f>
        <v/>
      </c>
      <c r="L774" s="9">
        <f t="shared" ref="L774:L837" si="112">+C774</f>
        <v>0</v>
      </c>
      <c r="M774" s="9">
        <f t="shared" ref="M774:M837" si="113">-D774</f>
        <v>0</v>
      </c>
      <c r="N774" s="9">
        <f t="array" ref="N774">+SUM(IFERROR(VALUE(L774:M774),0))</f>
        <v>0</v>
      </c>
      <c r="P774" s="9" t="str">
        <f t="shared" ref="P774:P837" si="114">+LEFT(A774,2)</f>
        <v/>
      </c>
      <c r="Q774" s="9">
        <f t="shared" ref="Q774:Q837" si="115">+C774</f>
        <v>0</v>
      </c>
      <c r="R774" s="9">
        <f t="shared" ref="R774:R837" si="116">-D774</f>
        <v>0</v>
      </c>
      <c r="S774" s="9">
        <f t="array" ref="S774">+SUM(IFERROR(VALUE(Q774:R774),0))</f>
        <v>0</v>
      </c>
    </row>
    <row r="775" spans="1:19" ht="14.4">
      <c r="A775"/>
      <c r="B775"/>
      <c r="C775" s="27"/>
      <c r="D775" s="28"/>
      <c r="F775" s="9" t="str">
        <f t="shared" si="108"/>
        <v/>
      </c>
      <c r="G775" s="9">
        <f t="shared" si="109"/>
        <v>0</v>
      </c>
      <c r="H775" s="9">
        <f t="shared" si="110"/>
        <v>0</v>
      </c>
      <c r="I775" s="9">
        <f t="array" ref="I775">+SUM(IFERROR(VALUE(G775:H775),0))</f>
        <v>0</v>
      </c>
      <c r="K775" s="9" t="str">
        <f t="shared" si="111"/>
        <v/>
      </c>
      <c r="L775" s="9">
        <f t="shared" si="112"/>
        <v>0</v>
      </c>
      <c r="M775" s="9">
        <f t="shared" si="113"/>
        <v>0</v>
      </c>
      <c r="N775" s="9">
        <f t="array" ref="N775">+SUM(IFERROR(VALUE(L775:M775),0))</f>
        <v>0</v>
      </c>
      <c r="P775" s="9" t="str">
        <f t="shared" si="114"/>
        <v/>
      </c>
      <c r="Q775" s="9">
        <f t="shared" si="115"/>
        <v>0</v>
      </c>
      <c r="R775" s="9">
        <f t="shared" si="116"/>
        <v>0</v>
      </c>
      <c r="S775" s="9">
        <f t="array" ref="S775">+SUM(IFERROR(VALUE(Q775:R775),0))</f>
        <v>0</v>
      </c>
    </row>
    <row r="776" spans="1:19" ht="14.4">
      <c r="A776"/>
      <c r="B776"/>
      <c r="C776" s="27"/>
      <c r="D776" s="28"/>
      <c r="F776" s="9" t="str">
        <f t="shared" si="108"/>
        <v/>
      </c>
      <c r="G776" s="9">
        <f t="shared" si="109"/>
        <v>0</v>
      </c>
      <c r="H776" s="9">
        <f t="shared" si="110"/>
        <v>0</v>
      </c>
      <c r="I776" s="9">
        <f t="array" ref="I776">+SUM(IFERROR(VALUE(G776:H776),0))</f>
        <v>0</v>
      </c>
      <c r="K776" s="9" t="str">
        <f t="shared" si="111"/>
        <v/>
      </c>
      <c r="L776" s="9">
        <f t="shared" si="112"/>
        <v>0</v>
      </c>
      <c r="M776" s="9">
        <f t="shared" si="113"/>
        <v>0</v>
      </c>
      <c r="N776" s="9">
        <f t="array" ref="N776">+SUM(IFERROR(VALUE(L776:M776),0))</f>
        <v>0</v>
      </c>
      <c r="P776" s="9" t="str">
        <f t="shared" si="114"/>
        <v/>
      </c>
      <c r="Q776" s="9">
        <f t="shared" si="115"/>
        <v>0</v>
      </c>
      <c r="R776" s="9">
        <f t="shared" si="116"/>
        <v>0</v>
      </c>
      <c r="S776" s="9">
        <f t="array" ref="S776">+SUM(IFERROR(VALUE(Q776:R776),0))</f>
        <v>0</v>
      </c>
    </row>
    <row r="777" spans="1:19" ht="14.4">
      <c r="A777"/>
      <c r="B777"/>
      <c r="C777" s="27"/>
      <c r="D777" s="28"/>
      <c r="F777" s="9" t="str">
        <f t="shared" si="108"/>
        <v/>
      </c>
      <c r="G777" s="9">
        <f t="shared" si="109"/>
        <v>0</v>
      </c>
      <c r="H777" s="9">
        <f t="shared" si="110"/>
        <v>0</v>
      </c>
      <c r="I777" s="9">
        <f t="array" ref="I777">+SUM(IFERROR(VALUE(G777:H777),0))</f>
        <v>0</v>
      </c>
      <c r="K777" s="9" t="str">
        <f t="shared" si="111"/>
        <v/>
      </c>
      <c r="L777" s="9">
        <f t="shared" si="112"/>
        <v>0</v>
      </c>
      <c r="M777" s="9">
        <f t="shared" si="113"/>
        <v>0</v>
      </c>
      <c r="N777" s="9">
        <f t="array" ref="N777">+SUM(IFERROR(VALUE(L777:M777),0))</f>
        <v>0</v>
      </c>
      <c r="P777" s="9" t="str">
        <f t="shared" si="114"/>
        <v/>
      </c>
      <c r="Q777" s="9">
        <f t="shared" si="115"/>
        <v>0</v>
      </c>
      <c r="R777" s="9">
        <f t="shared" si="116"/>
        <v>0</v>
      </c>
      <c r="S777" s="9">
        <f t="array" ref="S777">+SUM(IFERROR(VALUE(Q777:R777),0))</f>
        <v>0</v>
      </c>
    </row>
    <row r="778" spans="1:19" ht="14.4">
      <c r="A778"/>
      <c r="B778"/>
      <c r="C778" s="27"/>
      <c r="D778" s="28"/>
      <c r="F778" s="9" t="str">
        <f t="shared" si="108"/>
        <v/>
      </c>
      <c r="G778" s="9">
        <f t="shared" si="109"/>
        <v>0</v>
      </c>
      <c r="H778" s="9">
        <f t="shared" si="110"/>
        <v>0</v>
      </c>
      <c r="I778" s="9">
        <f t="array" ref="I778">+SUM(IFERROR(VALUE(G778:H778),0))</f>
        <v>0</v>
      </c>
      <c r="K778" s="9" t="str">
        <f t="shared" si="111"/>
        <v/>
      </c>
      <c r="L778" s="9">
        <f t="shared" si="112"/>
        <v>0</v>
      </c>
      <c r="M778" s="9">
        <f t="shared" si="113"/>
        <v>0</v>
      </c>
      <c r="N778" s="9">
        <f t="array" ref="N778">+SUM(IFERROR(VALUE(L778:M778),0))</f>
        <v>0</v>
      </c>
      <c r="P778" s="9" t="str">
        <f t="shared" si="114"/>
        <v/>
      </c>
      <c r="Q778" s="9">
        <f t="shared" si="115"/>
        <v>0</v>
      </c>
      <c r="R778" s="9">
        <f t="shared" si="116"/>
        <v>0</v>
      </c>
      <c r="S778" s="9">
        <f t="array" ref="S778">+SUM(IFERROR(VALUE(Q778:R778),0))</f>
        <v>0</v>
      </c>
    </row>
    <row r="779" spans="1:19" ht="14.4">
      <c r="A779"/>
      <c r="B779"/>
      <c r="C779" s="27"/>
      <c r="D779" s="28"/>
      <c r="F779" s="9" t="str">
        <f t="shared" si="108"/>
        <v/>
      </c>
      <c r="G779" s="9">
        <f t="shared" si="109"/>
        <v>0</v>
      </c>
      <c r="H779" s="9">
        <f t="shared" si="110"/>
        <v>0</v>
      </c>
      <c r="I779" s="9">
        <f t="array" ref="I779">+SUM(IFERROR(VALUE(G779:H779),0))</f>
        <v>0</v>
      </c>
      <c r="K779" s="9" t="str">
        <f t="shared" si="111"/>
        <v/>
      </c>
      <c r="L779" s="9">
        <f t="shared" si="112"/>
        <v>0</v>
      </c>
      <c r="M779" s="9">
        <f t="shared" si="113"/>
        <v>0</v>
      </c>
      <c r="N779" s="9">
        <f t="array" ref="N779">+SUM(IFERROR(VALUE(L779:M779),0))</f>
        <v>0</v>
      </c>
      <c r="P779" s="9" t="str">
        <f t="shared" si="114"/>
        <v/>
      </c>
      <c r="Q779" s="9">
        <f t="shared" si="115"/>
        <v>0</v>
      </c>
      <c r="R779" s="9">
        <f t="shared" si="116"/>
        <v>0</v>
      </c>
      <c r="S779" s="9">
        <f t="array" ref="S779">+SUM(IFERROR(VALUE(Q779:R779),0))</f>
        <v>0</v>
      </c>
    </row>
    <row r="780" spans="1:19" ht="14.4">
      <c r="A780"/>
      <c r="B780"/>
      <c r="C780" s="27"/>
      <c r="D780" s="28"/>
      <c r="F780" s="9" t="str">
        <f t="shared" si="108"/>
        <v/>
      </c>
      <c r="G780" s="9">
        <f t="shared" si="109"/>
        <v>0</v>
      </c>
      <c r="H780" s="9">
        <f t="shared" si="110"/>
        <v>0</v>
      </c>
      <c r="I780" s="9">
        <f t="array" ref="I780">+SUM(IFERROR(VALUE(G780:H780),0))</f>
        <v>0</v>
      </c>
      <c r="K780" s="9" t="str">
        <f t="shared" si="111"/>
        <v/>
      </c>
      <c r="L780" s="9">
        <f t="shared" si="112"/>
        <v>0</v>
      </c>
      <c r="M780" s="9">
        <f t="shared" si="113"/>
        <v>0</v>
      </c>
      <c r="N780" s="9">
        <f t="array" ref="N780">+SUM(IFERROR(VALUE(L780:M780),0))</f>
        <v>0</v>
      </c>
      <c r="P780" s="9" t="str">
        <f t="shared" si="114"/>
        <v/>
      </c>
      <c r="Q780" s="9">
        <f t="shared" si="115"/>
        <v>0</v>
      </c>
      <c r="R780" s="9">
        <f t="shared" si="116"/>
        <v>0</v>
      </c>
      <c r="S780" s="9">
        <f t="array" ref="S780">+SUM(IFERROR(VALUE(Q780:R780),0))</f>
        <v>0</v>
      </c>
    </row>
    <row r="781" spans="1:19" ht="14.4">
      <c r="A781"/>
      <c r="B781"/>
      <c r="C781" s="27"/>
      <c r="D781" s="28"/>
      <c r="F781" s="9" t="str">
        <f t="shared" si="108"/>
        <v/>
      </c>
      <c r="G781" s="9">
        <f t="shared" si="109"/>
        <v>0</v>
      </c>
      <c r="H781" s="9">
        <f t="shared" si="110"/>
        <v>0</v>
      </c>
      <c r="I781" s="9">
        <f t="array" ref="I781">+SUM(IFERROR(VALUE(G781:H781),0))</f>
        <v>0</v>
      </c>
      <c r="K781" s="9" t="str">
        <f t="shared" si="111"/>
        <v/>
      </c>
      <c r="L781" s="9">
        <f t="shared" si="112"/>
        <v>0</v>
      </c>
      <c r="M781" s="9">
        <f t="shared" si="113"/>
        <v>0</v>
      </c>
      <c r="N781" s="9">
        <f t="array" ref="N781">+SUM(IFERROR(VALUE(L781:M781),0))</f>
        <v>0</v>
      </c>
      <c r="P781" s="9" t="str">
        <f t="shared" si="114"/>
        <v/>
      </c>
      <c r="Q781" s="9">
        <f t="shared" si="115"/>
        <v>0</v>
      </c>
      <c r="R781" s="9">
        <f t="shared" si="116"/>
        <v>0</v>
      </c>
      <c r="S781" s="9">
        <f t="array" ref="S781">+SUM(IFERROR(VALUE(Q781:R781),0))</f>
        <v>0</v>
      </c>
    </row>
    <row r="782" spans="1:19" ht="14.4">
      <c r="A782"/>
      <c r="B782"/>
      <c r="C782" s="27"/>
      <c r="D782" s="28"/>
      <c r="F782" s="9" t="str">
        <f t="shared" si="108"/>
        <v/>
      </c>
      <c r="G782" s="9">
        <f t="shared" si="109"/>
        <v>0</v>
      </c>
      <c r="H782" s="9">
        <f t="shared" si="110"/>
        <v>0</v>
      </c>
      <c r="I782" s="9">
        <f t="array" ref="I782">+SUM(IFERROR(VALUE(G782:H782),0))</f>
        <v>0</v>
      </c>
      <c r="K782" s="9" t="str">
        <f t="shared" si="111"/>
        <v/>
      </c>
      <c r="L782" s="9">
        <f t="shared" si="112"/>
        <v>0</v>
      </c>
      <c r="M782" s="9">
        <f t="shared" si="113"/>
        <v>0</v>
      </c>
      <c r="N782" s="9">
        <f t="array" ref="N782">+SUM(IFERROR(VALUE(L782:M782),0))</f>
        <v>0</v>
      </c>
      <c r="P782" s="9" t="str">
        <f t="shared" si="114"/>
        <v/>
      </c>
      <c r="Q782" s="9">
        <f t="shared" si="115"/>
        <v>0</v>
      </c>
      <c r="R782" s="9">
        <f t="shared" si="116"/>
        <v>0</v>
      </c>
      <c r="S782" s="9">
        <f t="array" ref="S782">+SUM(IFERROR(VALUE(Q782:R782),0))</f>
        <v>0</v>
      </c>
    </row>
    <row r="783" spans="1:19" ht="14.4">
      <c r="A783"/>
      <c r="B783"/>
      <c r="C783" s="27"/>
      <c r="D783" s="28"/>
      <c r="F783" s="9" t="str">
        <f t="shared" si="108"/>
        <v/>
      </c>
      <c r="G783" s="9">
        <f t="shared" si="109"/>
        <v>0</v>
      </c>
      <c r="H783" s="9">
        <f t="shared" si="110"/>
        <v>0</v>
      </c>
      <c r="I783" s="9">
        <f t="array" ref="I783">+SUM(IFERROR(VALUE(G783:H783),0))</f>
        <v>0</v>
      </c>
      <c r="K783" s="9" t="str">
        <f t="shared" si="111"/>
        <v/>
      </c>
      <c r="L783" s="9">
        <f t="shared" si="112"/>
        <v>0</v>
      </c>
      <c r="M783" s="9">
        <f t="shared" si="113"/>
        <v>0</v>
      </c>
      <c r="N783" s="9">
        <f t="array" ref="N783">+SUM(IFERROR(VALUE(L783:M783),0))</f>
        <v>0</v>
      </c>
      <c r="P783" s="9" t="str">
        <f t="shared" si="114"/>
        <v/>
      </c>
      <c r="Q783" s="9">
        <f t="shared" si="115"/>
        <v>0</v>
      </c>
      <c r="R783" s="9">
        <f t="shared" si="116"/>
        <v>0</v>
      </c>
      <c r="S783" s="9">
        <f t="array" ref="S783">+SUM(IFERROR(VALUE(Q783:R783),0))</f>
        <v>0</v>
      </c>
    </row>
    <row r="784" spans="1:19" ht="14.4">
      <c r="A784"/>
      <c r="B784"/>
      <c r="C784" s="27"/>
      <c r="D784" s="28"/>
      <c r="F784" s="9" t="str">
        <f t="shared" si="108"/>
        <v/>
      </c>
      <c r="G784" s="9">
        <f t="shared" si="109"/>
        <v>0</v>
      </c>
      <c r="H784" s="9">
        <f t="shared" si="110"/>
        <v>0</v>
      </c>
      <c r="I784" s="9">
        <f t="array" ref="I784">+SUM(IFERROR(VALUE(G784:H784),0))</f>
        <v>0</v>
      </c>
      <c r="K784" s="9" t="str">
        <f t="shared" si="111"/>
        <v/>
      </c>
      <c r="L784" s="9">
        <f t="shared" si="112"/>
        <v>0</v>
      </c>
      <c r="M784" s="9">
        <f t="shared" si="113"/>
        <v>0</v>
      </c>
      <c r="N784" s="9">
        <f t="array" ref="N784">+SUM(IFERROR(VALUE(L784:M784),0))</f>
        <v>0</v>
      </c>
      <c r="P784" s="9" t="str">
        <f t="shared" si="114"/>
        <v/>
      </c>
      <c r="Q784" s="9">
        <f t="shared" si="115"/>
        <v>0</v>
      </c>
      <c r="R784" s="9">
        <f t="shared" si="116"/>
        <v>0</v>
      </c>
      <c r="S784" s="9">
        <f t="array" ref="S784">+SUM(IFERROR(VALUE(Q784:R784),0))</f>
        <v>0</v>
      </c>
    </row>
    <row r="785" spans="1:19" ht="14.4">
      <c r="A785"/>
      <c r="B785"/>
      <c r="C785" s="27"/>
      <c r="D785" s="28"/>
      <c r="F785" s="9" t="str">
        <f t="shared" si="108"/>
        <v/>
      </c>
      <c r="G785" s="9">
        <f t="shared" si="109"/>
        <v>0</v>
      </c>
      <c r="H785" s="9">
        <f t="shared" si="110"/>
        <v>0</v>
      </c>
      <c r="I785" s="9">
        <f t="array" ref="I785">+SUM(IFERROR(VALUE(G785:H785),0))</f>
        <v>0</v>
      </c>
      <c r="K785" s="9" t="str">
        <f t="shared" si="111"/>
        <v/>
      </c>
      <c r="L785" s="9">
        <f t="shared" si="112"/>
        <v>0</v>
      </c>
      <c r="M785" s="9">
        <f t="shared" si="113"/>
        <v>0</v>
      </c>
      <c r="N785" s="9">
        <f t="array" ref="N785">+SUM(IFERROR(VALUE(L785:M785),0))</f>
        <v>0</v>
      </c>
      <c r="P785" s="9" t="str">
        <f t="shared" si="114"/>
        <v/>
      </c>
      <c r="Q785" s="9">
        <f t="shared" si="115"/>
        <v>0</v>
      </c>
      <c r="R785" s="9">
        <f t="shared" si="116"/>
        <v>0</v>
      </c>
      <c r="S785" s="9">
        <f t="array" ref="S785">+SUM(IFERROR(VALUE(Q785:R785),0))</f>
        <v>0</v>
      </c>
    </row>
    <row r="786" spans="1:19" ht="14.4">
      <c r="A786"/>
      <c r="B786"/>
      <c r="C786" s="27"/>
      <c r="D786" s="28"/>
      <c r="F786" s="9" t="str">
        <f t="shared" si="108"/>
        <v/>
      </c>
      <c r="G786" s="9">
        <f t="shared" si="109"/>
        <v>0</v>
      </c>
      <c r="H786" s="9">
        <f t="shared" si="110"/>
        <v>0</v>
      </c>
      <c r="I786" s="9">
        <f t="array" ref="I786">+SUM(IFERROR(VALUE(G786:H786),0))</f>
        <v>0</v>
      </c>
      <c r="K786" s="9" t="str">
        <f t="shared" si="111"/>
        <v/>
      </c>
      <c r="L786" s="9">
        <f t="shared" si="112"/>
        <v>0</v>
      </c>
      <c r="M786" s="9">
        <f t="shared" si="113"/>
        <v>0</v>
      </c>
      <c r="N786" s="9">
        <f t="array" ref="N786">+SUM(IFERROR(VALUE(L786:M786),0))</f>
        <v>0</v>
      </c>
      <c r="P786" s="9" t="str">
        <f t="shared" si="114"/>
        <v/>
      </c>
      <c r="Q786" s="9">
        <f t="shared" si="115"/>
        <v>0</v>
      </c>
      <c r="R786" s="9">
        <f t="shared" si="116"/>
        <v>0</v>
      </c>
      <c r="S786" s="9">
        <f t="array" ref="S786">+SUM(IFERROR(VALUE(Q786:R786),0))</f>
        <v>0</v>
      </c>
    </row>
    <row r="787" spans="1:19" ht="14.4">
      <c r="A787"/>
      <c r="B787"/>
      <c r="C787" s="27"/>
      <c r="D787" s="28"/>
      <c r="F787" s="9" t="str">
        <f t="shared" si="108"/>
        <v/>
      </c>
      <c r="G787" s="9">
        <f t="shared" si="109"/>
        <v>0</v>
      </c>
      <c r="H787" s="9">
        <f t="shared" si="110"/>
        <v>0</v>
      </c>
      <c r="I787" s="9">
        <f t="array" ref="I787">+SUM(IFERROR(VALUE(G787:H787),0))</f>
        <v>0</v>
      </c>
      <c r="K787" s="9" t="str">
        <f t="shared" si="111"/>
        <v/>
      </c>
      <c r="L787" s="9">
        <f t="shared" si="112"/>
        <v>0</v>
      </c>
      <c r="M787" s="9">
        <f t="shared" si="113"/>
        <v>0</v>
      </c>
      <c r="N787" s="9">
        <f t="array" ref="N787">+SUM(IFERROR(VALUE(L787:M787),0))</f>
        <v>0</v>
      </c>
      <c r="P787" s="9" t="str">
        <f t="shared" si="114"/>
        <v/>
      </c>
      <c r="Q787" s="9">
        <f t="shared" si="115"/>
        <v>0</v>
      </c>
      <c r="R787" s="9">
        <f t="shared" si="116"/>
        <v>0</v>
      </c>
      <c r="S787" s="9">
        <f t="array" ref="S787">+SUM(IFERROR(VALUE(Q787:R787),0))</f>
        <v>0</v>
      </c>
    </row>
    <row r="788" spans="1:19" ht="14.4">
      <c r="A788"/>
      <c r="B788"/>
      <c r="C788" s="27"/>
      <c r="D788" s="28"/>
      <c r="F788" s="9" t="str">
        <f t="shared" si="108"/>
        <v/>
      </c>
      <c r="G788" s="9">
        <f t="shared" si="109"/>
        <v>0</v>
      </c>
      <c r="H788" s="9">
        <f t="shared" si="110"/>
        <v>0</v>
      </c>
      <c r="I788" s="9">
        <f t="array" ref="I788">+SUM(IFERROR(VALUE(G788:H788),0))</f>
        <v>0</v>
      </c>
      <c r="K788" s="9" t="str">
        <f t="shared" si="111"/>
        <v/>
      </c>
      <c r="L788" s="9">
        <f t="shared" si="112"/>
        <v>0</v>
      </c>
      <c r="M788" s="9">
        <f t="shared" si="113"/>
        <v>0</v>
      </c>
      <c r="N788" s="9">
        <f t="array" ref="N788">+SUM(IFERROR(VALUE(L788:M788),0))</f>
        <v>0</v>
      </c>
      <c r="P788" s="9" t="str">
        <f t="shared" si="114"/>
        <v/>
      </c>
      <c r="Q788" s="9">
        <f t="shared" si="115"/>
        <v>0</v>
      </c>
      <c r="R788" s="9">
        <f t="shared" si="116"/>
        <v>0</v>
      </c>
      <c r="S788" s="9">
        <f t="array" ref="S788">+SUM(IFERROR(VALUE(Q788:R788),0))</f>
        <v>0</v>
      </c>
    </row>
    <row r="789" spans="1:19" ht="14.4">
      <c r="A789"/>
      <c r="B789"/>
      <c r="C789" s="27"/>
      <c r="D789" s="28"/>
      <c r="F789" s="9" t="str">
        <f t="shared" si="108"/>
        <v/>
      </c>
      <c r="G789" s="9">
        <f t="shared" si="109"/>
        <v>0</v>
      </c>
      <c r="H789" s="9">
        <f t="shared" si="110"/>
        <v>0</v>
      </c>
      <c r="I789" s="9">
        <f t="array" ref="I789">+SUM(IFERROR(VALUE(G789:H789),0))</f>
        <v>0</v>
      </c>
      <c r="K789" s="9" t="str">
        <f t="shared" si="111"/>
        <v/>
      </c>
      <c r="L789" s="9">
        <f t="shared" si="112"/>
        <v>0</v>
      </c>
      <c r="M789" s="9">
        <f t="shared" si="113"/>
        <v>0</v>
      </c>
      <c r="N789" s="9">
        <f t="array" ref="N789">+SUM(IFERROR(VALUE(L789:M789),0))</f>
        <v>0</v>
      </c>
      <c r="P789" s="9" t="str">
        <f t="shared" si="114"/>
        <v/>
      </c>
      <c r="Q789" s="9">
        <f t="shared" si="115"/>
        <v>0</v>
      </c>
      <c r="R789" s="9">
        <f t="shared" si="116"/>
        <v>0</v>
      </c>
      <c r="S789" s="9">
        <f t="array" ref="S789">+SUM(IFERROR(VALUE(Q789:R789),0))</f>
        <v>0</v>
      </c>
    </row>
    <row r="790" spans="1:19" ht="14.4">
      <c r="A790"/>
      <c r="B790"/>
      <c r="C790" s="27"/>
      <c r="D790" s="28"/>
      <c r="F790" s="9" t="str">
        <f t="shared" si="108"/>
        <v/>
      </c>
      <c r="G790" s="9">
        <f t="shared" si="109"/>
        <v>0</v>
      </c>
      <c r="H790" s="9">
        <f t="shared" si="110"/>
        <v>0</v>
      </c>
      <c r="I790" s="9">
        <f t="array" ref="I790">+SUM(IFERROR(VALUE(G790:H790),0))</f>
        <v>0</v>
      </c>
      <c r="K790" s="9" t="str">
        <f t="shared" si="111"/>
        <v/>
      </c>
      <c r="L790" s="9">
        <f t="shared" si="112"/>
        <v>0</v>
      </c>
      <c r="M790" s="9">
        <f t="shared" si="113"/>
        <v>0</v>
      </c>
      <c r="N790" s="9">
        <f t="array" ref="N790">+SUM(IFERROR(VALUE(L790:M790),0))</f>
        <v>0</v>
      </c>
      <c r="P790" s="9" t="str">
        <f t="shared" si="114"/>
        <v/>
      </c>
      <c r="Q790" s="9">
        <f t="shared" si="115"/>
        <v>0</v>
      </c>
      <c r="R790" s="9">
        <f t="shared" si="116"/>
        <v>0</v>
      </c>
      <c r="S790" s="9">
        <f t="array" ref="S790">+SUM(IFERROR(VALUE(Q790:R790),0))</f>
        <v>0</v>
      </c>
    </row>
    <row r="791" spans="1:19" ht="14.4">
      <c r="A791"/>
      <c r="B791"/>
      <c r="C791" s="27"/>
      <c r="D791" s="28"/>
      <c r="F791" s="9" t="str">
        <f t="shared" si="108"/>
        <v/>
      </c>
      <c r="G791" s="9">
        <f t="shared" si="109"/>
        <v>0</v>
      </c>
      <c r="H791" s="9">
        <f t="shared" si="110"/>
        <v>0</v>
      </c>
      <c r="I791" s="9">
        <f t="array" ref="I791">+SUM(IFERROR(VALUE(G791:H791),0))</f>
        <v>0</v>
      </c>
      <c r="K791" s="9" t="str">
        <f t="shared" si="111"/>
        <v/>
      </c>
      <c r="L791" s="9">
        <f t="shared" si="112"/>
        <v>0</v>
      </c>
      <c r="M791" s="9">
        <f t="shared" si="113"/>
        <v>0</v>
      </c>
      <c r="N791" s="9">
        <f t="array" ref="N791">+SUM(IFERROR(VALUE(L791:M791),0))</f>
        <v>0</v>
      </c>
      <c r="P791" s="9" t="str">
        <f t="shared" si="114"/>
        <v/>
      </c>
      <c r="Q791" s="9">
        <f t="shared" si="115"/>
        <v>0</v>
      </c>
      <c r="R791" s="9">
        <f t="shared" si="116"/>
        <v>0</v>
      </c>
      <c r="S791" s="9">
        <f t="array" ref="S791">+SUM(IFERROR(VALUE(Q791:R791),0))</f>
        <v>0</v>
      </c>
    </row>
    <row r="792" spans="1:19" ht="14.4">
      <c r="A792"/>
      <c r="B792"/>
      <c r="C792" s="27"/>
      <c r="D792" s="28"/>
      <c r="F792" s="9" t="str">
        <f t="shared" si="108"/>
        <v/>
      </c>
      <c r="G792" s="9">
        <f t="shared" si="109"/>
        <v>0</v>
      </c>
      <c r="H792" s="9">
        <f t="shared" si="110"/>
        <v>0</v>
      </c>
      <c r="I792" s="9">
        <f t="array" ref="I792">+SUM(IFERROR(VALUE(G792:H792),0))</f>
        <v>0</v>
      </c>
      <c r="K792" s="9" t="str">
        <f t="shared" si="111"/>
        <v/>
      </c>
      <c r="L792" s="9">
        <f t="shared" si="112"/>
        <v>0</v>
      </c>
      <c r="M792" s="9">
        <f t="shared" si="113"/>
        <v>0</v>
      </c>
      <c r="N792" s="9">
        <f t="array" ref="N792">+SUM(IFERROR(VALUE(L792:M792),0))</f>
        <v>0</v>
      </c>
      <c r="P792" s="9" t="str">
        <f t="shared" si="114"/>
        <v/>
      </c>
      <c r="Q792" s="9">
        <f t="shared" si="115"/>
        <v>0</v>
      </c>
      <c r="R792" s="9">
        <f t="shared" si="116"/>
        <v>0</v>
      </c>
      <c r="S792" s="9">
        <f t="array" ref="S792">+SUM(IFERROR(VALUE(Q792:R792),0))</f>
        <v>0</v>
      </c>
    </row>
    <row r="793" spans="1:19" ht="14.4">
      <c r="A793"/>
      <c r="B793"/>
      <c r="C793" s="27"/>
      <c r="D793" s="28"/>
      <c r="F793" s="9" t="str">
        <f t="shared" si="108"/>
        <v/>
      </c>
      <c r="G793" s="9">
        <f t="shared" si="109"/>
        <v>0</v>
      </c>
      <c r="H793" s="9">
        <f t="shared" si="110"/>
        <v>0</v>
      </c>
      <c r="I793" s="9">
        <f t="array" ref="I793">+SUM(IFERROR(VALUE(G793:H793),0))</f>
        <v>0</v>
      </c>
      <c r="K793" s="9" t="str">
        <f t="shared" si="111"/>
        <v/>
      </c>
      <c r="L793" s="9">
        <f t="shared" si="112"/>
        <v>0</v>
      </c>
      <c r="M793" s="9">
        <f t="shared" si="113"/>
        <v>0</v>
      </c>
      <c r="N793" s="9">
        <f t="array" ref="N793">+SUM(IFERROR(VALUE(L793:M793),0))</f>
        <v>0</v>
      </c>
      <c r="P793" s="9" t="str">
        <f t="shared" si="114"/>
        <v/>
      </c>
      <c r="Q793" s="9">
        <f t="shared" si="115"/>
        <v>0</v>
      </c>
      <c r="R793" s="9">
        <f t="shared" si="116"/>
        <v>0</v>
      </c>
      <c r="S793" s="9">
        <f t="array" ref="S793">+SUM(IFERROR(VALUE(Q793:R793),0))</f>
        <v>0</v>
      </c>
    </row>
    <row r="794" spans="1:19" ht="14.4">
      <c r="A794"/>
      <c r="B794"/>
      <c r="C794" s="27"/>
      <c r="D794" s="28"/>
      <c r="F794" s="9" t="str">
        <f t="shared" si="108"/>
        <v/>
      </c>
      <c r="G794" s="9">
        <f t="shared" si="109"/>
        <v>0</v>
      </c>
      <c r="H794" s="9">
        <f t="shared" si="110"/>
        <v>0</v>
      </c>
      <c r="I794" s="9">
        <f t="array" ref="I794">+SUM(IFERROR(VALUE(G794:H794),0))</f>
        <v>0</v>
      </c>
      <c r="K794" s="9" t="str">
        <f t="shared" si="111"/>
        <v/>
      </c>
      <c r="L794" s="9">
        <f t="shared" si="112"/>
        <v>0</v>
      </c>
      <c r="M794" s="9">
        <f t="shared" si="113"/>
        <v>0</v>
      </c>
      <c r="N794" s="9">
        <f t="array" ref="N794">+SUM(IFERROR(VALUE(L794:M794),0))</f>
        <v>0</v>
      </c>
      <c r="P794" s="9" t="str">
        <f t="shared" si="114"/>
        <v/>
      </c>
      <c r="Q794" s="9">
        <f t="shared" si="115"/>
        <v>0</v>
      </c>
      <c r="R794" s="9">
        <f t="shared" si="116"/>
        <v>0</v>
      </c>
      <c r="S794" s="9">
        <f t="array" ref="S794">+SUM(IFERROR(VALUE(Q794:R794),0))</f>
        <v>0</v>
      </c>
    </row>
    <row r="795" spans="1:19" ht="14.4">
      <c r="A795"/>
      <c r="B795"/>
      <c r="C795" s="27"/>
      <c r="D795" s="28"/>
      <c r="F795" s="9" t="str">
        <f t="shared" si="108"/>
        <v/>
      </c>
      <c r="G795" s="9">
        <f t="shared" si="109"/>
        <v>0</v>
      </c>
      <c r="H795" s="9">
        <f t="shared" si="110"/>
        <v>0</v>
      </c>
      <c r="I795" s="9">
        <f t="array" ref="I795">+SUM(IFERROR(VALUE(G795:H795),0))</f>
        <v>0</v>
      </c>
      <c r="K795" s="9" t="str">
        <f t="shared" si="111"/>
        <v/>
      </c>
      <c r="L795" s="9">
        <f t="shared" si="112"/>
        <v>0</v>
      </c>
      <c r="M795" s="9">
        <f t="shared" si="113"/>
        <v>0</v>
      </c>
      <c r="N795" s="9">
        <f t="array" ref="N795">+SUM(IFERROR(VALUE(L795:M795),0))</f>
        <v>0</v>
      </c>
      <c r="P795" s="9" t="str">
        <f t="shared" si="114"/>
        <v/>
      </c>
      <c r="Q795" s="9">
        <f t="shared" si="115"/>
        <v>0</v>
      </c>
      <c r="R795" s="9">
        <f t="shared" si="116"/>
        <v>0</v>
      </c>
      <c r="S795" s="9">
        <f t="array" ref="S795">+SUM(IFERROR(VALUE(Q795:R795),0))</f>
        <v>0</v>
      </c>
    </row>
    <row r="796" spans="1:19" ht="14.4">
      <c r="A796"/>
      <c r="B796"/>
      <c r="C796" s="27"/>
      <c r="D796" s="28"/>
      <c r="F796" s="9" t="str">
        <f t="shared" si="108"/>
        <v/>
      </c>
      <c r="G796" s="9">
        <f t="shared" si="109"/>
        <v>0</v>
      </c>
      <c r="H796" s="9">
        <f t="shared" si="110"/>
        <v>0</v>
      </c>
      <c r="I796" s="9">
        <f t="array" ref="I796">+SUM(IFERROR(VALUE(G796:H796),0))</f>
        <v>0</v>
      </c>
      <c r="K796" s="9" t="str">
        <f t="shared" si="111"/>
        <v/>
      </c>
      <c r="L796" s="9">
        <f t="shared" si="112"/>
        <v>0</v>
      </c>
      <c r="M796" s="9">
        <f t="shared" si="113"/>
        <v>0</v>
      </c>
      <c r="N796" s="9">
        <f t="array" ref="N796">+SUM(IFERROR(VALUE(L796:M796),0))</f>
        <v>0</v>
      </c>
      <c r="P796" s="9" t="str">
        <f t="shared" si="114"/>
        <v/>
      </c>
      <c r="Q796" s="9">
        <f t="shared" si="115"/>
        <v>0</v>
      </c>
      <c r="R796" s="9">
        <f t="shared" si="116"/>
        <v>0</v>
      </c>
      <c r="S796" s="9">
        <f t="array" ref="S796">+SUM(IFERROR(VALUE(Q796:R796),0))</f>
        <v>0</v>
      </c>
    </row>
    <row r="797" spans="1:19" ht="14.4">
      <c r="A797"/>
      <c r="B797"/>
      <c r="C797" s="27"/>
      <c r="D797" s="28"/>
      <c r="F797" s="9" t="str">
        <f t="shared" si="108"/>
        <v/>
      </c>
      <c r="G797" s="9">
        <f t="shared" si="109"/>
        <v>0</v>
      </c>
      <c r="H797" s="9">
        <f t="shared" si="110"/>
        <v>0</v>
      </c>
      <c r="I797" s="9">
        <f t="array" ref="I797">+SUM(IFERROR(VALUE(G797:H797),0))</f>
        <v>0</v>
      </c>
      <c r="K797" s="9" t="str">
        <f t="shared" si="111"/>
        <v/>
      </c>
      <c r="L797" s="9">
        <f t="shared" si="112"/>
        <v>0</v>
      </c>
      <c r="M797" s="9">
        <f t="shared" si="113"/>
        <v>0</v>
      </c>
      <c r="N797" s="9">
        <f t="array" ref="N797">+SUM(IFERROR(VALUE(L797:M797),0))</f>
        <v>0</v>
      </c>
      <c r="P797" s="9" t="str">
        <f t="shared" si="114"/>
        <v/>
      </c>
      <c r="Q797" s="9">
        <f t="shared" si="115"/>
        <v>0</v>
      </c>
      <c r="R797" s="9">
        <f t="shared" si="116"/>
        <v>0</v>
      </c>
      <c r="S797" s="9">
        <f t="array" ref="S797">+SUM(IFERROR(VALUE(Q797:R797),0))</f>
        <v>0</v>
      </c>
    </row>
    <row r="798" spans="1:19" ht="14.4">
      <c r="A798"/>
      <c r="B798"/>
      <c r="C798" s="27"/>
      <c r="D798" s="28"/>
      <c r="F798" s="9" t="str">
        <f t="shared" si="108"/>
        <v/>
      </c>
      <c r="G798" s="9">
        <f t="shared" si="109"/>
        <v>0</v>
      </c>
      <c r="H798" s="9">
        <f t="shared" si="110"/>
        <v>0</v>
      </c>
      <c r="I798" s="9">
        <f t="array" ref="I798">+SUM(IFERROR(VALUE(G798:H798),0))</f>
        <v>0</v>
      </c>
      <c r="K798" s="9" t="str">
        <f t="shared" si="111"/>
        <v/>
      </c>
      <c r="L798" s="9">
        <f t="shared" si="112"/>
        <v>0</v>
      </c>
      <c r="M798" s="9">
        <f t="shared" si="113"/>
        <v>0</v>
      </c>
      <c r="N798" s="9">
        <f t="array" ref="N798">+SUM(IFERROR(VALUE(L798:M798),0))</f>
        <v>0</v>
      </c>
      <c r="P798" s="9" t="str">
        <f t="shared" si="114"/>
        <v/>
      </c>
      <c r="Q798" s="9">
        <f t="shared" si="115"/>
        <v>0</v>
      </c>
      <c r="R798" s="9">
        <f t="shared" si="116"/>
        <v>0</v>
      </c>
      <c r="S798" s="9">
        <f t="array" ref="S798">+SUM(IFERROR(VALUE(Q798:R798),0))</f>
        <v>0</v>
      </c>
    </row>
    <row r="799" spans="1:19" ht="14.4">
      <c r="A799"/>
      <c r="B799"/>
      <c r="C799" s="27"/>
      <c r="D799" s="28"/>
      <c r="F799" s="9" t="str">
        <f t="shared" si="108"/>
        <v/>
      </c>
      <c r="G799" s="9">
        <f t="shared" si="109"/>
        <v>0</v>
      </c>
      <c r="H799" s="9">
        <f t="shared" si="110"/>
        <v>0</v>
      </c>
      <c r="I799" s="9">
        <f t="array" ref="I799">+SUM(IFERROR(VALUE(G799:H799),0))</f>
        <v>0</v>
      </c>
      <c r="K799" s="9" t="str">
        <f t="shared" si="111"/>
        <v/>
      </c>
      <c r="L799" s="9">
        <f t="shared" si="112"/>
        <v>0</v>
      </c>
      <c r="M799" s="9">
        <f t="shared" si="113"/>
        <v>0</v>
      </c>
      <c r="N799" s="9">
        <f t="array" ref="N799">+SUM(IFERROR(VALUE(L799:M799),0))</f>
        <v>0</v>
      </c>
      <c r="P799" s="9" t="str">
        <f t="shared" si="114"/>
        <v/>
      </c>
      <c r="Q799" s="9">
        <f t="shared" si="115"/>
        <v>0</v>
      </c>
      <c r="R799" s="9">
        <f t="shared" si="116"/>
        <v>0</v>
      </c>
      <c r="S799" s="9">
        <f t="array" ref="S799">+SUM(IFERROR(VALUE(Q799:R799),0))</f>
        <v>0</v>
      </c>
    </row>
    <row r="800" spans="1:19" ht="14.4">
      <c r="A800"/>
      <c r="B800"/>
      <c r="C800" s="27"/>
      <c r="D800" s="28"/>
      <c r="F800" s="9" t="str">
        <f t="shared" si="108"/>
        <v/>
      </c>
      <c r="G800" s="9">
        <f t="shared" si="109"/>
        <v>0</v>
      </c>
      <c r="H800" s="9">
        <f t="shared" si="110"/>
        <v>0</v>
      </c>
      <c r="I800" s="9">
        <f t="array" ref="I800">+SUM(IFERROR(VALUE(G800:H800),0))</f>
        <v>0</v>
      </c>
      <c r="K800" s="9" t="str">
        <f t="shared" si="111"/>
        <v/>
      </c>
      <c r="L800" s="9">
        <f t="shared" si="112"/>
        <v>0</v>
      </c>
      <c r="M800" s="9">
        <f t="shared" si="113"/>
        <v>0</v>
      </c>
      <c r="N800" s="9">
        <f t="array" ref="N800">+SUM(IFERROR(VALUE(L800:M800),0))</f>
        <v>0</v>
      </c>
      <c r="P800" s="9" t="str">
        <f t="shared" si="114"/>
        <v/>
      </c>
      <c r="Q800" s="9">
        <f t="shared" si="115"/>
        <v>0</v>
      </c>
      <c r="R800" s="9">
        <f t="shared" si="116"/>
        <v>0</v>
      </c>
      <c r="S800" s="9">
        <f t="array" ref="S800">+SUM(IFERROR(VALUE(Q800:R800),0))</f>
        <v>0</v>
      </c>
    </row>
    <row r="801" spans="1:19" ht="14.4">
      <c r="A801"/>
      <c r="B801"/>
      <c r="C801" s="27"/>
      <c r="D801" s="28"/>
      <c r="F801" s="9" t="str">
        <f t="shared" si="108"/>
        <v/>
      </c>
      <c r="G801" s="9">
        <f t="shared" si="109"/>
        <v>0</v>
      </c>
      <c r="H801" s="9">
        <f t="shared" si="110"/>
        <v>0</v>
      </c>
      <c r="I801" s="9">
        <f t="array" ref="I801">+SUM(IFERROR(VALUE(G801:H801),0))</f>
        <v>0</v>
      </c>
      <c r="K801" s="9" t="str">
        <f t="shared" si="111"/>
        <v/>
      </c>
      <c r="L801" s="9">
        <f t="shared" si="112"/>
        <v>0</v>
      </c>
      <c r="M801" s="9">
        <f t="shared" si="113"/>
        <v>0</v>
      </c>
      <c r="N801" s="9">
        <f t="array" ref="N801">+SUM(IFERROR(VALUE(L801:M801),0))</f>
        <v>0</v>
      </c>
      <c r="P801" s="9" t="str">
        <f t="shared" si="114"/>
        <v/>
      </c>
      <c r="Q801" s="9">
        <f t="shared" si="115"/>
        <v>0</v>
      </c>
      <c r="R801" s="9">
        <f t="shared" si="116"/>
        <v>0</v>
      </c>
      <c r="S801" s="9">
        <f t="array" ref="S801">+SUM(IFERROR(VALUE(Q801:R801),0))</f>
        <v>0</v>
      </c>
    </row>
    <row r="802" spans="1:19" ht="14.4">
      <c r="A802"/>
      <c r="B802"/>
      <c r="C802" s="27"/>
      <c r="D802" s="28"/>
      <c r="F802" s="9" t="str">
        <f t="shared" si="108"/>
        <v/>
      </c>
      <c r="G802" s="9">
        <f t="shared" si="109"/>
        <v>0</v>
      </c>
      <c r="H802" s="9">
        <f t="shared" si="110"/>
        <v>0</v>
      </c>
      <c r="I802" s="9">
        <f t="array" ref="I802">+SUM(IFERROR(VALUE(G802:H802),0))</f>
        <v>0</v>
      </c>
      <c r="K802" s="9" t="str">
        <f t="shared" si="111"/>
        <v/>
      </c>
      <c r="L802" s="9">
        <f t="shared" si="112"/>
        <v>0</v>
      </c>
      <c r="M802" s="9">
        <f t="shared" si="113"/>
        <v>0</v>
      </c>
      <c r="N802" s="9">
        <f t="array" ref="N802">+SUM(IFERROR(VALUE(L802:M802),0))</f>
        <v>0</v>
      </c>
      <c r="P802" s="9" t="str">
        <f t="shared" si="114"/>
        <v/>
      </c>
      <c r="Q802" s="9">
        <f t="shared" si="115"/>
        <v>0</v>
      </c>
      <c r="R802" s="9">
        <f t="shared" si="116"/>
        <v>0</v>
      </c>
      <c r="S802" s="9">
        <f t="array" ref="S802">+SUM(IFERROR(VALUE(Q802:R802),0))</f>
        <v>0</v>
      </c>
    </row>
    <row r="803" spans="1:19" ht="14.4">
      <c r="A803"/>
      <c r="B803"/>
      <c r="C803" s="27"/>
      <c r="D803" s="28"/>
      <c r="F803" s="9" t="str">
        <f t="shared" si="108"/>
        <v/>
      </c>
      <c r="G803" s="9">
        <f t="shared" si="109"/>
        <v>0</v>
      </c>
      <c r="H803" s="9">
        <f t="shared" si="110"/>
        <v>0</v>
      </c>
      <c r="I803" s="9">
        <f t="array" ref="I803">+SUM(IFERROR(VALUE(G803:H803),0))</f>
        <v>0</v>
      </c>
      <c r="K803" s="9" t="str">
        <f t="shared" si="111"/>
        <v/>
      </c>
      <c r="L803" s="9">
        <f t="shared" si="112"/>
        <v>0</v>
      </c>
      <c r="M803" s="9">
        <f t="shared" si="113"/>
        <v>0</v>
      </c>
      <c r="N803" s="9">
        <f t="array" ref="N803">+SUM(IFERROR(VALUE(L803:M803),0))</f>
        <v>0</v>
      </c>
      <c r="P803" s="9" t="str">
        <f t="shared" si="114"/>
        <v/>
      </c>
      <c r="Q803" s="9">
        <f t="shared" si="115"/>
        <v>0</v>
      </c>
      <c r="R803" s="9">
        <f t="shared" si="116"/>
        <v>0</v>
      </c>
      <c r="S803" s="9">
        <f t="array" ref="S803">+SUM(IFERROR(VALUE(Q803:R803),0))</f>
        <v>0</v>
      </c>
    </row>
    <row r="804" spans="1:19" ht="14.4">
      <c r="A804"/>
      <c r="B804"/>
      <c r="C804" s="27"/>
      <c r="D804" s="28"/>
      <c r="F804" s="9" t="str">
        <f t="shared" si="108"/>
        <v/>
      </c>
      <c r="G804" s="9">
        <f t="shared" si="109"/>
        <v>0</v>
      </c>
      <c r="H804" s="9">
        <f t="shared" si="110"/>
        <v>0</v>
      </c>
      <c r="I804" s="9">
        <f t="array" ref="I804">+SUM(IFERROR(VALUE(G804:H804),0))</f>
        <v>0</v>
      </c>
      <c r="K804" s="9" t="str">
        <f t="shared" si="111"/>
        <v/>
      </c>
      <c r="L804" s="9">
        <f t="shared" si="112"/>
        <v>0</v>
      </c>
      <c r="M804" s="9">
        <f t="shared" si="113"/>
        <v>0</v>
      </c>
      <c r="N804" s="9">
        <f t="array" ref="N804">+SUM(IFERROR(VALUE(L804:M804),0))</f>
        <v>0</v>
      </c>
      <c r="P804" s="9" t="str">
        <f t="shared" si="114"/>
        <v/>
      </c>
      <c r="Q804" s="9">
        <f t="shared" si="115"/>
        <v>0</v>
      </c>
      <c r="R804" s="9">
        <f t="shared" si="116"/>
        <v>0</v>
      </c>
      <c r="S804" s="9">
        <f t="array" ref="S804">+SUM(IFERROR(VALUE(Q804:R804),0))</f>
        <v>0</v>
      </c>
    </row>
    <row r="805" spans="1:19" ht="14.4">
      <c r="A805"/>
      <c r="B805"/>
      <c r="C805" s="27"/>
      <c r="D805" s="28"/>
      <c r="F805" s="9" t="str">
        <f t="shared" si="108"/>
        <v/>
      </c>
      <c r="G805" s="9">
        <f t="shared" si="109"/>
        <v>0</v>
      </c>
      <c r="H805" s="9">
        <f t="shared" si="110"/>
        <v>0</v>
      </c>
      <c r="I805" s="9">
        <f t="array" ref="I805">+SUM(IFERROR(VALUE(G805:H805),0))</f>
        <v>0</v>
      </c>
      <c r="K805" s="9" t="str">
        <f t="shared" si="111"/>
        <v/>
      </c>
      <c r="L805" s="9">
        <f t="shared" si="112"/>
        <v>0</v>
      </c>
      <c r="M805" s="9">
        <f t="shared" si="113"/>
        <v>0</v>
      </c>
      <c r="N805" s="9">
        <f t="array" ref="N805">+SUM(IFERROR(VALUE(L805:M805),0))</f>
        <v>0</v>
      </c>
      <c r="P805" s="9" t="str">
        <f t="shared" si="114"/>
        <v/>
      </c>
      <c r="Q805" s="9">
        <f t="shared" si="115"/>
        <v>0</v>
      </c>
      <c r="R805" s="9">
        <f t="shared" si="116"/>
        <v>0</v>
      </c>
      <c r="S805" s="9">
        <f t="array" ref="S805">+SUM(IFERROR(VALUE(Q805:R805),0))</f>
        <v>0</v>
      </c>
    </row>
    <row r="806" spans="1:19" ht="14.4">
      <c r="A806"/>
      <c r="B806"/>
      <c r="C806" s="27"/>
      <c r="D806" s="28"/>
      <c r="F806" s="9" t="str">
        <f t="shared" si="108"/>
        <v/>
      </c>
      <c r="G806" s="9">
        <f t="shared" si="109"/>
        <v>0</v>
      </c>
      <c r="H806" s="9">
        <f t="shared" si="110"/>
        <v>0</v>
      </c>
      <c r="I806" s="9">
        <f t="array" ref="I806">+SUM(IFERROR(VALUE(G806:H806),0))</f>
        <v>0</v>
      </c>
      <c r="K806" s="9" t="str">
        <f t="shared" si="111"/>
        <v/>
      </c>
      <c r="L806" s="9">
        <f t="shared" si="112"/>
        <v>0</v>
      </c>
      <c r="M806" s="9">
        <f t="shared" si="113"/>
        <v>0</v>
      </c>
      <c r="N806" s="9">
        <f t="array" ref="N806">+SUM(IFERROR(VALUE(L806:M806),0))</f>
        <v>0</v>
      </c>
      <c r="P806" s="9" t="str">
        <f t="shared" si="114"/>
        <v/>
      </c>
      <c r="Q806" s="9">
        <f t="shared" si="115"/>
        <v>0</v>
      </c>
      <c r="R806" s="9">
        <f t="shared" si="116"/>
        <v>0</v>
      </c>
      <c r="S806" s="9">
        <f t="array" ref="S806">+SUM(IFERROR(VALUE(Q806:R806),0))</f>
        <v>0</v>
      </c>
    </row>
    <row r="807" spans="1:19" ht="14.4">
      <c r="A807"/>
      <c r="B807"/>
      <c r="C807" s="27"/>
      <c r="D807" s="28"/>
      <c r="F807" s="9" t="str">
        <f t="shared" si="108"/>
        <v/>
      </c>
      <c r="G807" s="9">
        <f t="shared" si="109"/>
        <v>0</v>
      </c>
      <c r="H807" s="9">
        <f t="shared" si="110"/>
        <v>0</v>
      </c>
      <c r="I807" s="9">
        <f t="array" ref="I807">+SUM(IFERROR(VALUE(G807:H807),0))</f>
        <v>0</v>
      </c>
      <c r="K807" s="9" t="str">
        <f t="shared" si="111"/>
        <v/>
      </c>
      <c r="L807" s="9">
        <f t="shared" si="112"/>
        <v>0</v>
      </c>
      <c r="M807" s="9">
        <f t="shared" si="113"/>
        <v>0</v>
      </c>
      <c r="N807" s="9">
        <f t="array" ref="N807">+SUM(IFERROR(VALUE(L807:M807),0))</f>
        <v>0</v>
      </c>
      <c r="P807" s="9" t="str">
        <f t="shared" si="114"/>
        <v/>
      </c>
      <c r="Q807" s="9">
        <f t="shared" si="115"/>
        <v>0</v>
      </c>
      <c r="R807" s="9">
        <f t="shared" si="116"/>
        <v>0</v>
      </c>
      <c r="S807" s="9">
        <f t="array" ref="S807">+SUM(IFERROR(VALUE(Q807:R807),0))</f>
        <v>0</v>
      </c>
    </row>
    <row r="808" spans="1:19" ht="14.4">
      <c r="A808"/>
      <c r="B808"/>
      <c r="C808" s="27"/>
      <c r="D808" s="28"/>
      <c r="F808" s="9" t="str">
        <f t="shared" si="108"/>
        <v/>
      </c>
      <c r="G808" s="9">
        <f t="shared" si="109"/>
        <v>0</v>
      </c>
      <c r="H808" s="9">
        <f t="shared" si="110"/>
        <v>0</v>
      </c>
      <c r="I808" s="9">
        <f t="array" ref="I808">+SUM(IFERROR(VALUE(G808:H808),0))</f>
        <v>0</v>
      </c>
      <c r="K808" s="9" t="str">
        <f t="shared" si="111"/>
        <v/>
      </c>
      <c r="L808" s="9">
        <f t="shared" si="112"/>
        <v>0</v>
      </c>
      <c r="M808" s="9">
        <f t="shared" si="113"/>
        <v>0</v>
      </c>
      <c r="N808" s="9">
        <f t="array" ref="N808">+SUM(IFERROR(VALUE(L808:M808),0))</f>
        <v>0</v>
      </c>
      <c r="P808" s="9" t="str">
        <f t="shared" si="114"/>
        <v/>
      </c>
      <c r="Q808" s="9">
        <f t="shared" si="115"/>
        <v>0</v>
      </c>
      <c r="R808" s="9">
        <f t="shared" si="116"/>
        <v>0</v>
      </c>
      <c r="S808" s="9">
        <f t="array" ref="S808">+SUM(IFERROR(VALUE(Q808:R808),0))</f>
        <v>0</v>
      </c>
    </row>
    <row r="809" spans="1:19" ht="14.4">
      <c r="A809"/>
      <c r="B809"/>
      <c r="C809" s="27"/>
      <c r="D809" s="28"/>
      <c r="F809" s="9" t="str">
        <f t="shared" si="108"/>
        <v/>
      </c>
      <c r="G809" s="9">
        <f t="shared" si="109"/>
        <v>0</v>
      </c>
      <c r="H809" s="9">
        <f t="shared" si="110"/>
        <v>0</v>
      </c>
      <c r="I809" s="9">
        <f t="array" ref="I809">+SUM(IFERROR(VALUE(G809:H809),0))</f>
        <v>0</v>
      </c>
      <c r="K809" s="9" t="str">
        <f t="shared" si="111"/>
        <v/>
      </c>
      <c r="L809" s="9">
        <f t="shared" si="112"/>
        <v>0</v>
      </c>
      <c r="M809" s="9">
        <f t="shared" si="113"/>
        <v>0</v>
      </c>
      <c r="N809" s="9">
        <f t="array" ref="N809">+SUM(IFERROR(VALUE(L809:M809),0))</f>
        <v>0</v>
      </c>
      <c r="P809" s="9" t="str">
        <f t="shared" si="114"/>
        <v/>
      </c>
      <c r="Q809" s="9">
        <f t="shared" si="115"/>
        <v>0</v>
      </c>
      <c r="R809" s="9">
        <f t="shared" si="116"/>
        <v>0</v>
      </c>
      <c r="S809" s="9">
        <f t="array" ref="S809">+SUM(IFERROR(VALUE(Q809:R809),0))</f>
        <v>0</v>
      </c>
    </row>
    <row r="810" spans="1:19" ht="14.4">
      <c r="A810"/>
      <c r="B810"/>
      <c r="C810" s="27"/>
      <c r="D810" s="28"/>
      <c r="F810" s="9" t="str">
        <f t="shared" si="108"/>
        <v/>
      </c>
      <c r="G810" s="9">
        <f t="shared" si="109"/>
        <v>0</v>
      </c>
      <c r="H810" s="9">
        <f t="shared" si="110"/>
        <v>0</v>
      </c>
      <c r="I810" s="9">
        <f t="array" ref="I810">+SUM(IFERROR(VALUE(G810:H810),0))</f>
        <v>0</v>
      </c>
      <c r="K810" s="9" t="str">
        <f t="shared" si="111"/>
        <v/>
      </c>
      <c r="L810" s="9">
        <f t="shared" si="112"/>
        <v>0</v>
      </c>
      <c r="M810" s="9">
        <f t="shared" si="113"/>
        <v>0</v>
      </c>
      <c r="N810" s="9">
        <f t="array" ref="N810">+SUM(IFERROR(VALUE(L810:M810),0))</f>
        <v>0</v>
      </c>
      <c r="P810" s="9" t="str">
        <f t="shared" si="114"/>
        <v/>
      </c>
      <c r="Q810" s="9">
        <f t="shared" si="115"/>
        <v>0</v>
      </c>
      <c r="R810" s="9">
        <f t="shared" si="116"/>
        <v>0</v>
      </c>
      <c r="S810" s="9">
        <f t="array" ref="S810">+SUM(IFERROR(VALUE(Q810:R810),0))</f>
        <v>0</v>
      </c>
    </row>
    <row r="811" spans="1:19" ht="14.4">
      <c r="A811"/>
      <c r="B811"/>
      <c r="C811" s="27"/>
      <c r="D811" s="28"/>
      <c r="F811" s="9" t="str">
        <f t="shared" si="108"/>
        <v/>
      </c>
      <c r="G811" s="9">
        <f t="shared" si="109"/>
        <v>0</v>
      </c>
      <c r="H811" s="9">
        <f t="shared" si="110"/>
        <v>0</v>
      </c>
      <c r="I811" s="9">
        <f t="array" ref="I811">+SUM(IFERROR(VALUE(G811:H811),0))</f>
        <v>0</v>
      </c>
      <c r="K811" s="9" t="str">
        <f t="shared" si="111"/>
        <v/>
      </c>
      <c r="L811" s="9">
        <f t="shared" si="112"/>
        <v>0</v>
      </c>
      <c r="M811" s="9">
        <f t="shared" si="113"/>
        <v>0</v>
      </c>
      <c r="N811" s="9">
        <f t="array" ref="N811">+SUM(IFERROR(VALUE(L811:M811),0))</f>
        <v>0</v>
      </c>
      <c r="P811" s="9" t="str">
        <f t="shared" si="114"/>
        <v/>
      </c>
      <c r="Q811" s="9">
        <f t="shared" si="115"/>
        <v>0</v>
      </c>
      <c r="R811" s="9">
        <f t="shared" si="116"/>
        <v>0</v>
      </c>
      <c r="S811" s="9">
        <f t="array" ref="S811">+SUM(IFERROR(VALUE(Q811:R811),0))</f>
        <v>0</v>
      </c>
    </row>
    <row r="812" spans="1:19" ht="14.4">
      <c r="A812"/>
      <c r="B812"/>
      <c r="C812" s="27"/>
      <c r="D812" s="28"/>
      <c r="F812" s="9" t="str">
        <f t="shared" si="108"/>
        <v/>
      </c>
      <c r="G812" s="9">
        <f t="shared" si="109"/>
        <v>0</v>
      </c>
      <c r="H812" s="9">
        <f t="shared" si="110"/>
        <v>0</v>
      </c>
      <c r="I812" s="9">
        <f t="array" ref="I812">+SUM(IFERROR(VALUE(G812:H812),0))</f>
        <v>0</v>
      </c>
      <c r="K812" s="9" t="str">
        <f t="shared" si="111"/>
        <v/>
      </c>
      <c r="L812" s="9">
        <f t="shared" si="112"/>
        <v>0</v>
      </c>
      <c r="M812" s="9">
        <f t="shared" si="113"/>
        <v>0</v>
      </c>
      <c r="N812" s="9">
        <f t="array" ref="N812">+SUM(IFERROR(VALUE(L812:M812),0))</f>
        <v>0</v>
      </c>
      <c r="P812" s="9" t="str">
        <f t="shared" si="114"/>
        <v/>
      </c>
      <c r="Q812" s="9">
        <f t="shared" si="115"/>
        <v>0</v>
      </c>
      <c r="R812" s="9">
        <f t="shared" si="116"/>
        <v>0</v>
      </c>
      <c r="S812" s="9">
        <f t="array" ref="S812">+SUM(IFERROR(VALUE(Q812:R812),0))</f>
        <v>0</v>
      </c>
    </row>
    <row r="813" spans="1:19" ht="14.4">
      <c r="A813"/>
      <c r="B813"/>
      <c r="C813" s="27"/>
      <c r="D813" s="28"/>
      <c r="F813" s="9" t="str">
        <f t="shared" si="108"/>
        <v/>
      </c>
      <c r="G813" s="9">
        <f t="shared" si="109"/>
        <v>0</v>
      </c>
      <c r="H813" s="9">
        <f t="shared" si="110"/>
        <v>0</v>
      </c>
      <c r="I813" s="9">
        <f t="array" ref="I813">+SUM(IFERROR(VALUE(G813:H813),0))</f>
        <v>0</v>
      </c>
      <c r="K813" s="9" t="str">
        <f t="shared" si="111"/>
        <v/>
      </c>
      <c r="L813" s="9">
        <f t="shared" si="112"/>
        <v>0</v>
      </c>
      <c r="M813" s="9">
        <f t="shared" si="113"/>
        <v>0</v>
      </c>
      <c r="N813" s="9">
        <f t="array" ref="N813">+SUM(IFERROR(VALUE(L813:M813),0))</f>
        <v>0</v>
      </c>
      <c r="P813" s="9" t="str">
        <f t="shared" si="114"/>
        <v/>
      </c>
      <c r="Q813" s="9">
        <f t="shared" si="115"/>
        <v>0</v>
      </c>
      <c r="R813" s="9">
        <f t="shared" si="116"/>
        <v>0</v>
      </c>
      <c r="S813" s="9">
        <f t="array" ref="S813">+SUM(IFERROR(VALUE(Q813:R813),0))</f>
        <v>0</v>
      </c>
    </row>
    <row r="814" spans="1:19" ht="14.4">
      <c r="A814"/>
      <c r="B814"/>
      <c r="C814" s="27"/>
      <c r="D814" s="28"/>
      <c r="F814" s="9" t="str">
        <f t="shared" si="108"/>
        <v/>
      </c>
      <c r="G814" s="9">
        <f t="shared" si="109"/>
        <v>0</v>
      </c>
      <c r="H814" s="9">
        <f t="shared" si="110"/>
        <v>0</v>
      </c>
      <c r="I814" s="9">
        <f t="array" ref="I814">+SUM(IFERROR(VALUE(G814:H814),0))</f>
        <v>0</v>
      </c>
      <c r="K814" s="9" t="str">
        <f t="shared" si="111"/>
        <v/>
      </c>
      <c r="L814" s="9">
        <f t="shared" si="112"/>
        <v>0</v>
      </c>
      <c r="M814" s="9">
        <f t="shared" si="113"/>
        <v>0</v>
      </c>
      <c r="N814" s="9">
        <f t="array" ref="N814">+SUM(IFERROR(VALUE(L814:M814),0))</f>
        <v>0</v>
      </c>
      <c r="P814" s="9" t="str">
        <f t="shared" si="114"/>
        <v/>
      </c>
      <c r="Q814" s="9">
        <f t="shared" si="115"/>
        <v>0</v>
      </c>
      <c r="R814" s="9">
        <f t="shared" si="116"/>
        <v>0</v>
      </c>
      <c r="S814" s="9">
        <f t="array" ref="S814">+SUM(IFERROR(VALUE(Q814:R814),0))</f>
        <v>0</v>
      </c>
    </row>
    <row r="815" spans="1:19" ht="14.4">
      <c r="A815"/>
      <c r="B815"/>
      <c r="C815" s="27"/>
      <c r="D815" s="28"/>
      <c r="F815" s="9" t="str">
        <f t="shared" si="108"/>
        <v/>
      </c>
      <c r="G815" s="9">
        <f t="shared" si="109"/>
        <v>0</v>
      </c>
      <c r="H815" s="9">
        <f t="shared" si="110"/>
        <v>0</v>
      </c>
      <c r="I815" s="9">
        <f t="array" ref="I815">+SUM(IFERROR(VALUE(G815:H815),0))</f>
        <v>0</v>
      </c>
      <c r="K815" s="9" t="str">
        <f t="shared" si="111"/>
        <v/>
      </c>
      <c r="L815" s="9">
        <f t="shared" si="112"/>
        <v>0</v>
      </c>
      <c r="M815" s="9">
        <f t="shared" si="113"/>
        <v>0</v>
      </c>
      <c r="N815" s="9">
        <f t="array" ref="N815">+SUM(IFERROR(VALUE(L815:M815),0))</f>
        <v>0</v>
      </c>
      <c r="P815" s="9" t="str">
        <f t="shared" si="114"/>
        <v/>
      </c>
      <c r="Q815" s="9">
        <f t="shared" si="115"/>
        <v>0</v>
      </c>
      <c r="R815" s="9">
        <f t="shared" si="116"/>
        <v>0</v>
      </c>
      <c r="S815" s="9">
        <f t="array" ref="S815">+SUM(IFERROR(VALUE(Q815:R815),0))</f>
        <v>0</v>
      </c>
    </row>
    <row r="816" spans="1:19" ht="14.4">
      <c r="A816"/>
      <c r="B816"/>
      <c r="C816" s="27"/>
      <c r="D816" s="28"/>
      <c r="F816" s="9" t="str">
        <f t="shared" si="108"/>
        <v/>
      </c>
      <c r="G816" s="9">
        <f t="shared" si="109"/>
        <v>0</v>
      </c>
      <c r="H816" s="9">
        <f t="shared" si="110"/>
        <v>0</v>
      </c>
      <c r="I816" s="9">
        <f t="array" ref="I816">+SUM(IFERROR(VALUE(G816:H816),0))</f>
        <v>0</v>
      </c>
      <c r="K816" s="9" t="str">
        <f t="shared" si="111"/>
        <v/>
      </c>
      <c r="L816" s="9">
        <f t="shared" si="112"/>
        <v>0</v>
      </c>
      <c r="M816" s="9">
        <f t="shared" si="113"/>
        <v>0</v>
      </c>
      <c r="N816" s="9">
        <f t="array" ref="N816">+SUM(IFERROR(VALUE(L816:M816),0))</f>
        <v>0</v>
      </c>
      <c r="P816" s="9" t="str">
        <f t="shared" si="114"/>
        <v/>
      </c>
      <c r="Q816" s="9">
        <f t="shared" si="115"/>
        <v>0</v>
      </c>
      <c r="R816" s="9">
        <f t="shared" si="116"/>
        <v>0</v>
      </c>
      <c r="S816" s="9">
        <f t="array" ref="S816">+SUM(IFERROR(VALUE(Q816:R816),0))</f>
        <v>0</v>
      </c>
    </row>
    <row r="817" spans="1:19" ht="14.4">
      <c r="A817"/>
      <c r="B817"/>
      <c r="C817" s="27"/>
      <c r="D817" s="28"/>
      <c r="F817" s="9" t="str">
        <f t="shared" si="108"/>
        <v/>
      </c>
      <c r="G817" s="9">
        <f t="shared" si="109"/>
        <v>0</v>
      </c>
      <c r="H817" s="9">
        <f t="shared" si="110"/>
        <v>0</v>
      </c>
      <c r="I817" s="9">
        <f t="array" ref="I817">+SUM(IFERROR(VALUE(G817:H817),0))</f>
        <v>0</v>
      </c>
      <c r="K817" s="9" t="str">
        <f t="shared" si="111"/>
        <v/>
      </c>
      <c r="L817" s="9">
        <f t="shared" si="112"/>
        <v>0</v>
      </c>
      <c r="M817" s="9">
        <f t="shared" si="113"/>
        <v>0</v>
      </c>
      <c r="N817" s="9">
        <f t="array" ref="N817">+SUM(IFERROR(VALUE(L817:M817),0))</f>
        <v>0</v>
      </c>
      <c r="P817" s="9" t="str">
        <f t="shared" si="114"/>
        <v/>
      </c>
      <c r="Q817" s="9">
        <f t="shared" si="115"/>
        <v>0</v>
      </c>
      <c r="R817" s="9">
        <f t="shared" si="116"/>
        <v>0</v>
      </c>
      <c r="S817" s="9">
        <f t="array" ref="S817">+SUM(IFERROR(VALUE(Q817:R817),0))</f>
        <v>0</v>
      </c>
    </row>
    <row r="818" spans="1:19" ht="14.4">
      <c r="A818"/>
      <c r="B818"/>
      <c r="C818" s="27"/>
      <c r="D818" s="28"/>
      <c r="F818" s="9" t="str">
        <f t="shared" si="108"/>
        <v/>
      </c>
      <c r="G818" s="9">
        <f t="shared" si="109"/>
        <v>0</v>
      </c>
      <c r="H818" s="9">
        <f t="shared" si="110"/>
        <v>0</v>
      </c>
      <c r="I818" s="9">
        <f t="array" ref="I818">+SUM(IFERROR(VALUE(G818:H818),0))</f>
        <v>0</v>
      </c>
      <c r="K818" s="9" t="str">
        <f t="shared" si="111"/>
        <v/>
      </c>
      <c r="L818" s="9">
        <f t="shared" si="112"/>
        <v>0</v>
      </c>
      <c r="M818" s="9">
        <f t="shared" si="113"/>
        <v>0</v>
      </c>
      <c r="N818" s="9">
        <f t="array" ref="N818">+SUM(IFERROR(VALUE(L818:M818),0))</f>
        <v>0</v>
      </c>
      <c r="P818" s="9" t="str">
        <f t="shared" si="114"/>
        <v/>
      </c>
      <c r="Q818" s="9">
        <f t="shared" si="115"/>
        <v>0</v>
      </c>
      <c r="R818" s="9">
        <f t="shared" si="116"/>
        <v>0</v>
      </c>
      <c r="S818" s="9">
        <f t="array" ref="S818">+SUM(IFERROR(VALUE(Q818:R818),0))</f>
        <v>0</v>
      </c>
    </row>
    <row r="819" spans="1:19" ht="14.4">
      <c r="A819"/>
      <c r="B819"/>
      <c r="C819" s="27"/>
      <c r="D819" s="28"/>
      <c r="F819" s="9" t="str">
        <f t="shared" si="108"/>
        <v/>
      </c>
      <c r="G819" s="9">
        <f t="shared" si="109"/>
        <v>0</v>
      </c>
      <c r="H819" s="9">
        <f t="shared" si="110"/>
        <v>0</v>
      </c>
      <c r="I819" s="9">
        <f t="array" ref="I819">+SUM(IFERROR(VALUE(G819:H819),0))</f>
        <v>0</v>
      </c>
      <c r="K819" s="9" t="str">
        <f t="shared" si="111"/>
        <v/>
      </c>
      <c r="L819" s="9">
        <f t="shared" si="112"/>
        <v>0</v>
      </c>
      <c r="M819" s="9">
        <f t="shared" si="113"/>
        <v>0</v>
      </c>
      <c r="N819" s="9">
        <f t="array" ref="N819">+SUM(IFERROR(VALUE(L819:M819),0))</f>
        <v>0</v>
      </c>
      <c r="P819" s="9" t="str">
        <f t="shared" si="114"/>
        <v/>
      </c>
      <c r="Q819" s="9">
        <f t="shared" si="115"/>
        <v>0</v>
      </c>
      <c r="R819" s="9">
        <f t="shared" si="116"/>
        <v>0</v>
      </c>
      <c r="S819" s="9">
        <f t="array" ref="S819">+SUM(IFERROR(VALUE(Q819:R819),0))</f>
        <v>0</v>
      </c>
    </row>
    <row r="820" spans="1:19" ht="14.4">
      <c r="A820"/>
      <c r="B820"/>
      <c r="C820" s="27"/>
      <c r="D820" s="28"/>
      <c r="F820" s="9" t="str">
        <f t="shared" si="108"/>
        <v/>
      </c>
      <c r="G820" s="9">
        <f t="shared" si="109"/>
        <v>0</v>
      </c>
      <c r="H820" s="9">
        <f t="shared" si="110"/>
        <v>0</v>
      </c>
      <c r="I820" s="9">
        <f t="array" ref="I820">+SUM(IFERROR(VALUE(G820:H820),0))</f>
        <v>0</v>
      </c>
      <c r="K820" s="9" t="str">
        <f t="shared" si="111"/>
        <v/>
      </c>
      <c r="L820" s="9">
        <f t="shared" si="112"/>
        <v>0</v>
      </c>
      <c r="M820" s="9">
        <f t="shared" si="113"/>
        <v>0</v>
      </c>
      <c r="N820" s="9">
        <f t="array" ref="N820">+SUM(IFERROR(VALUE(L820:M820),0))</f>
        <v>0</v>
      </c>
      <c r="P820" s="9" t="str">
        <f t="shared" si="114"/>
        <v/>
      </c>
      <c r="Q820" s="9">
        <f t="shared" si="115"/>
        <v>0</v>
      </c>
      <c r="R820" s="9">
        <f t="shared" si="116"/>
        <v>0</v>
      </c>
      <c r="S820" s="9">
        <f t="array" ref="S820">+SUM(IFERROR(VALUE(Q820:R820),0))</f>
        <v>0</v>
      </c>
    </row>
    <row r="821" spans="1:19" ht="14.4">
      <c r="A821"/>
      <c r="B821"/>
      <c r="C821" s="27"/>
      <c r="D821" s="28"/>
      <c r="F821" s="9" t="str">
        <f t="shared" si="108"/>
        <v/>
      </c>
      <c r="G821" s="9">
        <f t="shared" si="109"/>
        <v>0</v>
      </c>
      <c r="H821" s="9">
        <f t="shared" si="110"/>
        <v>0</v>
      </c>
      <c r="I821" s="9">
        <f t="array" ref="I821">+SUM(IFERROR(VALUE(G821:H821),0))</f>
        <v>0</v>
      </c>
      <c r="K821" s="9" t="str">
        <f t="shared" si="111"/>
        <v/>
      </c>
      <c r="L821" s="9">
        <f t="shared" si="112"/>
        <v>0</v>
      </c>
      <c r="M821" s="9">
        <f t="shared" si="113"/>
        <v>0</v>
      </c>
      <c r="N821" s="9">
        <f t="array" ref="N821">+SUM(IFERROR(VALUE(L821:M821),0))</f>
        <v>0</v>
      </c>
      <c r="P821" s="9" t="str">
        <f t="shared" si="114"/>
        <v/>
      </c>
      <c r="Q821" s="9">
        <f t="shared" si="115"/>
        <v>0</v>
      </c>
      <c r="R821" s="9">
        <f t="shared" si="116"/>
        <v>0</v>
      </c>
      <c r="S821" s="9">
        <f t="array" ref="S821">+SUM(IFERROR(VALUE(Q821:R821),0))</f>
        <v>0</v>
      </c>
    </row>
    <row r="822" spans="1:19" ht="14.4">
      <c r="A822"/>
      <c r="B822"/>
      <c r="C822" s="27"/>
      <c r="D822" s="28"/>
      <c r="F822" s="9" t="str">
        <f t="shared" si="108"/>
        <v/>
      </c>
      <c r="G822" s="9">
        <f t="shared" si="109"/>
        <v>0</v>
      </c>
      <c r="H822" s="9">
        <f t="shared" si="110"/>
        <v>0</v>
      </c>
      <c r="I822" s="9">
        <f t="array" ref="I822">+SUM(IFERROR(VALUE(G822:H822),0))</f>
        <v>0</v>
      </c>
      <c r="K822" s="9" t="str">
        <f t="shared" si="111"/>
        <v/>
      </c>
      <c r="L822" s="9">
        <f t="shared" si="112"/>
        <v>0</v>
      </c>
      <c r="M822" s="9">
        <f t="shared" si="113"/>
        <v>0</v>
      </c>
      <c r="N822" s="9">
        <f t="array" ref="N822">+SUM(IFERROR(VALUE(L822:M822),0))</f>
        <v>0</v>
      </c>
      <c r="P822" s="9" t="str">
        <f t="shared" si="114"/>
        <v/>
      </c>
      <c r="Q822" s="9">
        <f t="shared" si="115"/>
        <v>0</v>
      </c>
      <c r="R822" s="9">
        <f t="shared" si="116"/>
        <v>0</v>
      </c>
      <c r="S822" s="9">
        <f t="array" ref="S822">+SUM(IFERROR(VALUE(Q822:R822),0))</f>
        <v>0</v>
      </c>
    </row>
    <row r="823" spans="1:19" ht="14.4">
      <c r="A823"/>
      <c r="B823"/>
      <c r="C823" s="27"/>
      <c r="D823" s="28"/>
      <c r="F823" s="9" t="str">
        <f t="shared" si="108"/>
        <v/>
      </c>
      <c r="G823" s="9">
        <f t="shared" si="109"/>
        <v>0</v>
      </c>
      <c r="H823" s="9">
        <f t="shared" si="110"/>
        <v>0</v>
      </c>
      <c r="I823" s="9">
        <f t="array" ref="I823">+SUM(IFERROR(VALUE(G823:H823),0))</f>
        <v>0</v>
      </c>
      <c r="K823" s="9" t="str">
        <f t="shared" si="111"/>
        <v/>
      </c>
      <c r="L823" s="9">
        <f t="shared" si="112"/>
        <v>0</v>
      </c>
      <c r="M823" s="9">
        <f t="shared" si="113"/>
        <v>0</v>
      </c>
      <c r="N823" s="9">
        <f t="array" ref="N823">+SUM(IFERROR(VALUE(L823:M823),0))</f>
        <v>0</v>
      </c>
      <c r="P823" s="9" t="str">
        <f t="shared" si="114"/>
        <v/>
      </c>
      <c r="Q823" s="9">
        <f t="shared" si="115"/>
        <v>0</v>
      </c>
      <c r="R823" s="9">
        <f t="shared" si="116"/>
        <v>0</v>
      </c>
      <c r="S823" s="9">
        <f t="array" ref="S823">+SUM(IFERROR(VALUE(Q823:R823),0))</f>
        <v>0</v>
      </c>
    </row>
    <row r="824" spans="1:19" ht="14.4">
      <c r="A824"/>
      <c r="B824"/>
      <c r="C824" s="27"/>
      <c r="D824" s="28"/>
      <c r="F824" s="9" t="str">
        <f t="shared" si="108"/>
        <v/>
      </c>
      <c r="G824" s="9">
        <f t="shared" si="109"/>
        <v>0</v>
      </c>
      <c r="H824" s="9">
        <f t="shared" si="110"/>
        <v>0</v>
      </c>
      <c r="I824" s="9">
        <f t="array" ref="I824">+SUM(IFERROR(VALUE(G824:H824),0))</f>
        <v>0</v>
      </c>
      <c r="K824" s="9" t="str">
        <f t="shared" si="111"/>
        <v/>
      </c>
      <c r="L824" s="9">
        <f t="shared" si="112"/>
        <v>0</v>
      </c>
      <c r="M824" s="9">
        <f t="shared" si="113"/>
        <v>0</v>
      </c>
      <c r="N824" s="9">
        <f t="array" ref="N824">+SUM(IFERROR(VALUE(L824:M824),0))</f>
        <v>0</v>
      </c>
      <c r="P824" s="9" t="str">
        <f t="shared" si="114"/>
        <v/>
      </c>
      <c r="Q824" s="9">
        <f t="shared" si="115"/>
        <v>0</v>
      </c>
      <c r="R824" s="9">
        <f t="shared" si="116"/>
        <v>0</v>
      </c>
      <c r="S824" s="9">
        <f t="array" ref="S824">+SUM(IFERROR(VALUE(Q824:R824),0))</f>
        <v>0</v>
      </c>
    </row>
    <row r="825" spans="1:19" ht="14.4">
      <c r="A825"/>
      <c r="B825"/>
      <c r="C825" s="27"/>
      <c r="D825" s="28"/>
      <c r="F825" s="9" t="str">
        <f t="shared" si="108"/>
        <v/>
      </c>
      <c r="G825" s="9">
        <f t="shared" si="109"/>
        <v>0</v>
      </c>
      <c r="H825" s="9">
        <f t="shared" si="110"/>
        <v>0</v>
      </c>
      <c r="I825" s="9">
        <f t="array" ref="I825">+SUM(IFERROR(VALUE(G825:H825),0))</f>
        <v>0</v>
      </c>
      <c r="K825" s="9" t="str">
        <f t="shared" si="111"/>
        <v/>
      </c>
      <c r="L825" s="9">
        <f t="shared" si="112"/>
        <v>0</v>
      </c>
      <c r="M825" s="9">
        <f t="shared" si="113"/>
        <v>0</v>
      </c>
      <c r="N825" s="9">
        <f t="array" ref="N825">+SUM(IFERROR(VALUE(L825:M825),0))</f>
        <v>0</v>
      </c>
      <c r="P825" s="9" t="str">
        <f t="shared" si="114"/>
        <v/>
      </c>
      <c r="Q825" s="9">
        <f t="shared" si="115"/>
        <v>0</v>
      </c>
      <c r="R825" s="9">
        <f t="shared" si="116"/>
        <v>0</v>
      </c>
      <c r="S825" s="9">
        <f t="array" ref="S825">+SUM(IFERROR(VALUE(Q825:R825),0))</f>
        <v>0</v>
      </c>
    </row>
    <row r="826" spans="1:19" ht="14.4">
      <c r="A826"/>
      <c r="B826"/>
      <c r="C826" s="27"/>
      <c r="D826" s="28"/>
      <c r="F826" s="9" t="str">
        <f t="shared" si="108"/>
        <v/>
      </c>
      <c r="G826" s="9">
        <f t="shared" si="109"/>
        <v>0</v>
      </c>
      <c r="H826" s="9">
        <f t="shared" si="110"/>
        <v>0</v>
      </c>
      <c r="I826" s="9">
        <f t="array" ref="I826">+SUM(IFERROR(VALUE(G826:H826),0))</f>
        <v>0</v>
      </c>
      <c r="K826" s="9" t="str">
        <f t="shared" si="111"/>
        <v/>
      </c>
      <c r="L826" s="9">
        <f t="shared" si="112"/>
        <v>0</v>
      </c>
      <c r="M826" s="9">
        <f t="shared" si="113"/>
        <v>0</v>
      </c>
      <c r="N826" s="9">
        <f t="array" ref="N826">+SUM(IFERROR(VALUE(L826:M826),0))</f>
        <v>0</v>
      </c>
      <c r="P826" s="9" t="str">
        <f t="shared" si="114"/>
        <v/>
      </c>
      <c r="Q826" s="9">
        <f t="shared" si="115"/>
        <v>0</v>
      </c>
      <c r="R826" s="9">
        <f t="shared" si="116"/>
        <v>0</v>
      </c>
      <c r="S826" s="9">
        <f t="array" ref="S826">+SUM(IFERROR(VALUE(Q826:R826),0))</f>
        <v>0</v>
      </c>
    </row>
    <row r="827" spans="1:19" ht="14.4">
      <c r="A827"/>
      <c r="B827"/>
      <c r="C827" s="27"/>
      <c r="D827" s="28"/>
      <c r="F827" s="9" t="str">
        <f t="shared" si="108"/>
        <v/>
      </c>
      <c r="G827" s="9">
        <f t="shared" si="109"/>
        <v>0</v>
      </c>
      <c r="H827" s="9">
        <f t="shared" si="110"/>
        <v>0</v>
      </c>
      <c r="I827" s="9">
        <f t="array" ref="I827">+SUM(IFERROR(VALUE(G827:H827),0))</f>
        <v>0</v>
      </c>
      <c r="K827" s="9" t="str">
        <f t="shared" si="111"/>
        <v/>
      </c>
      <c r="L827" s="9">
        <f t="shared" si="112"/>
        <v>0</v>
      </c>
      <c r="M827" s="9">
        <f t="shared" si="113"/>
        <v>0</v>
      </c>
      <c r="N827" s="9">
        <f t="array" ref="N827">+SUM(IFERROR(VALUE(L827:M827),0))</f>
        <v>0</v>
      </c>
      <c r="P827" s="9" t="str">
        <f t="shared" si="114"/>
        <v/>
      </c>
      <c r="Q827" s="9">
        <f t="shared" si="115"/>
        <v>0</v>
      </c>
      <c r="R827" s="9">
        <f t="shared" si="116"/>
        <v>0</v>
      </c>
      <c r="S827" s="9">
        <f t="array" ref="S827">+SUM(IFERROR(VALUE(Q827:R827),0))</f>
        <v>0</v>
      </c>
    </row>
    <row r="828" spans="1:19" ht="14.4">
      <c r="A828"/>
      <c r="B828"/>
      <c r="C828" s="27"/>
      <c r="D828" s="28"/>
      <c r="F828" s="9" t="str">
        <f t="shared" si="108"/>
        <v/>
      </c>
      <c r="G828" s="9">
        <f t="shared" si="109"/>
        <v>0</v>
      </c>
      <c r="H828" s="9">
        <f t="shared" si="110"/>
        <v>0</v>
      </c>
      <c r="I828" s="9">
        <f t="array" ref="I828">+SUM(IFERROR(VALUE(G828:H828),0))</f>
        <v>0</v>
      </c>
      <c r="K828" s="9" t="str">
        <f t="shared" si="111"/>
        <v/>
      </c>
      <c r="L828" s="9">
        <f t="shared" si="112"/>
        <v>0</v>
      </c>
      <c r="M828" s="9">
        <f t="shared" si="113"/>
        <v>0</v>
      </c>
      <c r="N828" s="9">
        <f t="array" ref="N828">+SUM(IFERROR(VALUE(L828:M828),0))</f>
        <v>0</v>
      </c>
      <c r="P828" s="9" t="str">
        <f t="shared" si="114"/>
        <v/>
      </c>
      <c r="Q828" s="9">
        <f t="shared" si="115"/>
        <v>0</v>
      </c>
      <c r="R828" s="9">
        <f t="shared" si="116"/>
        <v>0</v>
      </c>
      <c r="S828" s="9">
        <f t="array" ref="S828">+SUM(IFERROR(VALUE(Q828:R828),0))</f>
        <v>0</v>
      </c>
    </row>
    <row r="829" spans="1:19" ht="14.4">
      <c r="A829"/>
      <c r="B829"/>
      <c r="C829" s="27"/>
      <c r="D829" s="28"/>
      <c r="F829" s="9" t="str">
        <f t="shared" si="108"/>
        <v/>
      </c>
      <c r="G829" s="9">
        <f t="shared" si="109"/>
        <v>0</v>
      </c>
      <c r="H829" s="9">
        <f t="shared" si="110"/>
        <v>0</v>
      </c>
      <c r="I829" s="9">
        <f t="array" ref="I829">+SUM(IFERROR(VALUE(G829:H829),0))</f>
        <v>0</v>
      </c>
      <c r="K829" s="9" t="str">
        <f t="shared" si="111"/>
        <v/>
      </c>
      <c r="L829" s="9">
        <f t="shared" si="112"/>
        <v>0</v>
      </c>
      <c r="M829" s="9">
        <f t="shared" si="113"/>
        <v>0</v>
      </c>
      <c r="N829" s="9">
        <f t="array" ref="N829">+SUM(IFERROR(VALUE(L829:M829),0))</f>
        <v>0</v>
      </c>
      <c r="P829" s="9" t="str">
        <f t="shared" si="114"/>
        <v/>
      </c>
      <c r="Q829" s="9">
        <f t="shared" si="115"/>
        <v>0</v>
      </c>
      <c r="R829" s="9">
        <f t="shared" si="116"/>
        <v>0</v>
      </c>
      <c r="S829" s="9">
        <f t="array" ref="S829">+SUM(IFERROR(VALUE(Q829:R829),0))</f>
        <v>0</v>
      </c>
    </row>
    <row r="830" spans="1:19" ht="14.4">
      <c r="A830"/>
      <c r="B830"/>
      <c r="C830" s="27"/>
      <c r="D830" s="28"/>
      <c r="F830" s="9" t="str">
        <f t="shared" si="108"/>
        <v/>
      </c>
      <c r="G830" s="9">
        <f t="shared" si="109"/>
        <v>0</v>
      </c>
      <c r="H830" s="9">
        <f t="shared" si="110"/>
        <v>0</v>
      </c>
      <c r="I830" s="9">
        <f t="array" ref="I830">+SUM(IFERROR(VALUE(G830:H830),0))</f>
        <v>0</v>
      </c>
      <c r="K830" s="9" t="str">
        <f t="shared" si="111"/>
        <v/>
      </c>
      <c r="L830" s="9">
        <f t="shared" si="112"/>
        <v>0</v>
      </c>
      <c r="M830" s="9">
        <f t="shared" si="113"/>
        <v>0</v>
      </c>
      <c r="N830" s="9">
        <f t="array" ref="N830">+SUM(IFERROR(VALUE(L830:M830),0))</f>
        <v>0</v>
      </c>
      <c r="P830" s="9" t="str">
        <f t="shared" si="114"/>
        <v/>
      </c>
      <c r="Q830" s="9">
        <f t="shared" si="115"/>
        <v>0</v>
      </c>
      <c r="R830" s="9">
        <f t="shared" si="116"/>
        <v>0</v>
      </c>
      <c r="S830" s="9">
        <f t="array" ref="S830">+SUM(IFERROR(VALUE(Q830:R830),0))</f>
        <v>0</v>
      </c>
    </row>
    <row r="831" spans="1:19" ht="14.4">
      <c r="A831"/>
      <c r="B831"/>
      <c r="C831" s="27"/>
      <c r="D831" s="28"/>
      <c r="F831" s="9" t="str">
        <f t="shared" si="108"/>
        <v/>
      </c>
      <c r="G831" s="9">
        <f t="shared" si="109"/>
        <v>0</v>
      </c>
      <c r="H831" s="9">
        <f t="shared" si="110"/>
        <v>0</v>
      </c>
      <c r="I831" s="9">
        <f t="array" ref="I831">+SUM(IFERROR(VALUE(G831:H831),0))</f>
        <v>0</v>
      </c>
      <c r="K831" s="9" t="str">
        <f t="shared" si="111"/>
        <v/>
      </c>
      <c r="L831" s="9">
        <f t="shared" si="112"/>
        <v>0</v>
      </c>
      <c r="M831" s="9">
        <f t="shared" si="113"/>
        <v>0</v>
      </c>
      <c r="N831" s="9">
        <f t="array" ref="N831">+SUM(IFERROR(VALUE(L831:M831),0))</f>
        <v>0</v>
      </c>
      <c r="P831" s="9" t="str">
        <f t="shared" si="114"/>
        <v/>
      </c>
      <c r="Q831" s="9">
        <f t="shared" si="115"/>
        <v>0</v>
      </c>
      <c r="R831" s="9">
        <f t="shared" si="116"/>
        <v>0</v>
      </c>
      <c r="S831" s="9">
        <f t="array" ref="S831">+SUM(IFERROR(VALUE(Q831:R831),0))</f>
        <v>0</v>
      </c>
    </row>
    <row r="832" spans="1:19" ht="14.4">
      <c r="A832"/>
      <c r="B832"/>
      <c r="C832" s="27"/>
      <c r="D832" s="28"/>
      <c r="F832" s="9" t="str">
        <f t="shared" si="108"/>
        <v/>
      </c>
      <c r="G832" s="9">
        <f t="shared" si="109"/>
        <v>0</v>
      </c>
      <c r="H832" s="9">
        <f t="shared" si="110"/>
        <v>0</v>
      </c>
      <c r="I832" s="9">
        <f t="array" ref="I832">+SUM(IFERROR(VALUE(G832:H832),0))</f>
        <v>0</v>
      </c>
      <c r="K832" s="9" t="str">
        <f t="shared" si="111"/>
        <v/>
      </c>
      <c r="L832" s="9">
        <f t="shared" si="112"/>
        <v>0</v>
      </c>
      <c r="M832" s="9">
        <f t="shared" si="113"/>
        <v>0</v>
      </c>
      <c r="N832" s="9">
        <f t="array" ref="N832">+SUM(IFERROR(VALUE(L832:M832),0))</f>
        <v>0</v>
      </c>
      <c r="P832" s="9" t="str">
        <f t="shared" si="114"/>
        <v/>
      </c>
      <c r="Q832" s="9">
        <f t="shared" si="115"/>
        <v>0</v>
      </c>
      <c r="R832" s="9">
        <f t="shared" si="116"/>
        <v>0</v>
      </c>
      <c r="S832" s="9">
        <f t="array" ref="S832">+SUM(IFERROR(VALUE(Q832:R832),0))</f>
        <v>0</v>
      </c>
    </row>
    <row r="833" spans="1:19" ht="14.4">
      <c r="A833"/>
      <c r="B833"/>
      <c r="C833" s="27"/>
      <c r="D833" s="28"/>
      <c r="F833" s="9" t="str">
        <f t="shared" si="108"/>
        <v/>
      </c>
      <c r="G833" s="9">
        <f t="shared" si="109"/>
        <v>0</v>
      </c>
      <c r="H833" s="9">
        <f t="shared" si="110"/>
        <v>0</v>
      </c>
      <c r="I833" s="9">
        <f t="array" ref="I833">+SUM(IFERROR(VALUE(G833:H833),0))</f>
        <v>0</v>
      </c>
      <c r="K833" s="9" t="str">
        <f t="shared" si="111"/>
        <v/>
      </c>
      <c r="L833" s="9">
        <f t="shared" si="112"/>
        <v>0</v>
      </c>
      <c r="M833" s="9">
        <f t="shared" si="113"/>
        <v>0</v>
      </c>
      <c r="N833" s="9">
        <f t="array" ref="N833">+SUM(IFERROR(VALUE(L833:M833),0))</f>
        <v>0</v>
      </c>
      <c r="P833" s="9" t="str">
        <f t="shared" si="114"/>
        <v/>
      </c>
      <c r="Q833" s="9">
        <f t="shared" si="115"/>
        <v>0</v>
      </c>
      <c r="R833" s="9">
        <f t="shared" si="116"/>
        <v>0</v>
      </c>
      <c r="S833" s="9">
        <f t="array" ref="S833">+SUM(IFERROR(VALUE(Q833:R833),0))</f>
        <v>0</v>
      </c>
    </row>
    <row r="834" spans="1:19" ht="14.4">
      <c r="A834"/>
      <c r="B834"/>
      <c r="C834" s="27"/>
      <c r="D834" s="28"/>
      <c r="F834" s="9" t="str">
        <f t="shared" si="108"/>
        <v/>
      </c>
      <c r="G834" s="9">
        <f t="shared" si="109"/>
        <v>0</v>
      </c>
      <c r="H834" s="9">
        <f t="shared" si="110"/>
        <v>0</v>
      </c>
      <c r="I834" s="9">
        <f t="array" ref="I834">+SUM(IFERROR(VALUE(G834:H834),0))</f>
        <v>0</v>
      </c>
      <c r="K834" s="9" t="str">
        <f t="shared" si="111"/>
        <v/>
      </c>
      <c r="L834" s="9">
        <f t="shared" si="112"/>
        <v>0</v>
      </c>
      <c r="M834" s="9">
        <f t="shared" si="113"/>
        <v>0</v>
      </c>
      <c r="N834" s="9">
        <f t="array" ref="N834">+SUM(IFERROR(VALUE(L834:M834),0))</f>
        <v>0</v>
      </c>
      <c r="P834" s="9" t="str">
        <f t="shared" si="114"/>
        <v/>
      </c>
      <c r="Q834" s="9">
        <f t="shared" si="115"/>
        <v>0</v>
      </c>
      <c r="R834" s="9">
        <f t="shared" si="116"/>
        <v>0</v>
      </c>
      <c r="S834" s="9">
        <f t="array" ref="S834">+SUM(IFERROR(VALUE(Q834:R834),0))</f>
        <v>0</v>
      </c>
    </row>
    <row r="835" spans="1:19" ht="14.4">
      <c r="A835"/>
      <c r="B835"/>
      <c r="C835" s="27"/>
      <c r="D835" s="28"/>
      <c r="F835" s="9" t="str">
        <f t="shared" si="108"/>
        <v/>
      </c>
      <c r="G835" s="9">
        <f t="shared" si="109"/>
        <v>0</v>
      </c>
      <c r="H835" s="9">
        <f t="shared" si="110"/>
        <v>0</v>
      </c>
      <c r="I835" s="9">
        <f t="array" ref="I835">+SUM(IFERROR(VALUE(G835:H835),0))</f>
        <v>0</v>
      </c>
      <c r="K835" s="9" t="str">
        <f t="shared" si="111"/>
        <v/>
      </c>
      <c r="L835" s="9">
        <f t="shared" si="112"/>
        <v>0</v>
      </c>
      <c r="M835" s="9">
        <f t="shared" si="113"/>
        <v>0</v>
      </c>
      <c r="N835" s="9">
        <f t="array" ref="N835">+SUM(IFERROR(VALUE(L835:M835),0))</f>
        <v>0</v>
      </c>
      <c r="P835" s="9" t="str">
        <f t="shared" si="114"/>
        <v/>
      </c>
      <c r="Q835" s="9">
        <f t="shared" si="115"/>
        <v>0</v>
      </c>
      <c r="R835" s="9">
        <f t="shared" si="116"/>
        <v>0</v>
      </c>
      <c r="S835" s="9">
        <f t="array" ref="S835">+SUM(IFERROR(VALUE(Q835:R835),0))</f>
        <v>0</v>
      </c>
    </row>
    <row r="836" spans="1:19" ht="14.4">
      <c r="A836"/>
      <c r="B836"/>
      <c r="C836" s="27"/>
      <c r="D836" s="28"/>
      <c r="F836" s="9" t="str">
        <f t="shared" si="108"/>
        <v/>
      </c>
      <c r="G836" s="9">
        <f t="shared" si="109"/>
        <v>0</v>
      </c>
      <c r="H836" s="9">
        <f t="shared" si="110"/>
        <v>0</v>
      </c>
      <c r="I836" s="9">
        <f t="array" ref="I836">+SUM(IFERROR(VALUE(G836:H836),0))</f>
        <v>0</v>
      </c>
      <c r="K836" s="9" t="str">
        <f t="shared" si="111"/>
        <v/>
      </c>
      <c r="L836" s="9">
        <f t="shared" si="112"/>
        <v>0</v>
      </c>
      <c r="M836" s="9">
        <f t="shared" si="113"/>
        <v>0</v>
      </c>
      <c r="N836" s="9">
        <f t="array" ref="N836">+SUM(IFERROR(VALUE(L836:M836),0))</f>
        <v>0</v>
      </c>
      <c r="P836" s="9" t="str">
        <f t="shared" si="114"/>
        <v/>
      </c>
      <c r="Q836" s="9">
        <f t="shared" si="115"/>
        <v>0</v>
      </c>
      <c r="R836" s="9">
        <f t="shared" si="116"/>
        <v>0</v>
      </c>
      <c r="S836" s="9">
        <f t="array" ref="S836">+SUM(IFERROR(VALUE(Q836:R836),0))</f>
        <v>0</v>
      </c>
    </row>
    <row r="837" spans="1:19" ht="14.4">
      <c r="A837"/>
      <c r="B837"/>
      <c r="C837" s="27"/>
      <c r="D837" s="28"/>
      <c r="F837" s="9" t="str">
        <f t="shared" si="108"/>
        <v/>
      </c>
      <c r="G837" s="9">
        <f t="shared" si="109"/>
        <v>0</v>
      </c>
      <c r="H837" s="9">
        <f t="shared" si="110"/>
        <v>0</v>
      </c>
      <c r="I837" s="9">
        <f t="array" ref="I837">+SUM(IFERROR(VALUE(G837:H837),0))</f>
        <v>0</v>
      </c>
      <c r="K837" s="9" t="str">
        <f t="shared" si="111"/>
        <v/>
      </c>
      <c r="L837" s="9">
        <f t="shared" si="112"/>
        <v>0</v>
      </c>
      <c r="M837" s="9">
        <f t="shared" si="113"/>
        <v>0</v>
      </c>
      <c r="N837" s="9">
        <f t="array" ref="N837">+SUM(IFERROR(VALUE(L837:M837),0))</f>
        <v>0</v>
      </c>
      <c r="P837" s="9" t="str">
        <f t="shared" si="114"/>
        <v/>
      </c>
      <c r="Q837" s="9">
        <f t="shared" si="115"/>
        <v>0</v>
      </c>
      <c r="R837" s="9">
        <f t="shared" si="116"/>
        <v>0</v>
      </c>
      <c r="S837" s="9">
        <f t="array" ref="S837">+SUM(IFERROR(VALUE(Q837:R837),0))</f>
        <v>0</v>
      </c>
    </row>
    <row r="838" spans="1:19" ht="14.4">
      <c r="A838"/>
      <c r="B838"/>
      <c r="C838" s="27"/>
      <c r="D838" s="28"/>
      <c r="F838" s="9" t="str">
        <f t="shared" ref="F838:F901" si="117">+LEFT(A838,4)</f>
        <v/>
      </c>
      <c r="G838" s="9">
        <f t="shared" ref="G838:G901" si="118">+C838</f>
        <v>0</v>
      </c>
      <c r="H838" s="9">
        <f t="shared" ref="H838:H901" si="119">-D838</f>
        <v>0</v>
      </c>
      <c r="I838" s="9">
        <f t="array" ref="I838">+SUM(IFERROR(VALUE(G838:H838),0))</f>
        <v>0</v>
      </c>
      <c r="K838" s="9" t="str">
        <f t="shared" ref="K838:K901" si="120">+LEFT(A838,3)</f>
        <v/>
      </c>
      <c r="L838" s="9">
        <f t="shared" ref="L838:L901" si="121">+C838</f>
        <v>0</v>
      </c>
      <c r="M838" s="9">
        <f t="shared" ref="M838:M901" si="122">-D838</f>
        <v>0</v>
      </c>
      <c r="N838" s="9">
        <f t="array" ref="N838">+SUM(IFERROR(VALUE(L838:M838),0))</f>
        <v>0</v>
      </c>
      <c r="P838" s="9" t="str">
        <f t="shared" ref="P838:P901" si="123">+LEFT(A838,2)</f>
        <v/>
      </c>
      <c r="Q838" s="9">
        <f t="shared" ref="Q838:Q901" si="124">+C838</f>
        <v>0</v>
      </c>
      <c r="R838" s="9">
        <f t="shared" ref="R838:R901" si="125">-D838</f>
        <v>0</v>
      </c>
      <c r="S838" s="9">
        <f t="array" ref="S838">+SUM(IFERROR(VALUE(Q838:R838),0))</f>
        <v>0</v>
      </c>
    </row>
    <row r="839" spans="1:19" ht="14.4">
      <c r="A839"/>
      <c r="B839"/>
      <c r="C839" s="27"/>
      <c r="D839" s="28"/>
      <c r="F839" s="9" t="str">
        <f t="shared" si="117"/>
        <v/>
      </c>
      <c r="G839" s="9">
        <f t="shared" si="118"/>
        <v>0</v>
      </c>
      <c r="H839" s="9">
        <f t="shared" si="119"/>
        <v>0</v>
      </c>
      <c r="I839" s="9">
        <f t="array" ref="I839">+SUM(IFERROR(VALUE(G839:H839),0))</f>
        <v>0</v>
      </c>
      <c r="K839" s="9" t="str">
        <f t="shared" si="120"/>
        <v/>
      </c>
      <c r="L839" s="9">
        <f t="shared" si="121"/>
        <v>0</v>
      </c>
      <c r="M839" s="9">
        <f t="shared" si="122"/>
        <v>0</v>
      </c>
      <c r="N839" s="9">
        <f t="array" ref="N839">+SUM(IFERROR(VALUE(L839:M839),0))</f>
        <v>0</v>
      </c>
      <c r="P839" s="9" t="str">
        <f t="shared" si="123"/>
        <v/>
      </c>
      <c r="Q839" s="9">
        <f t="shared" si="124"/>
        <v>0</v>
      </c>
      <c r="R839" s="9">
        <f t="shared" si="125"/>
        <v>0</v>
      </c>
      <c r="S839" s="9">
        <f t="array" ref="S839">+SUM(IFERROR(VALUE(Q839:R839),0))</f>
        <v>0</v>
      </c>
    </row>
    <row r="840" spans="1:19" ht="14.4">
      <c r="A840"/>
      <c r="B840"/>
      <c r="C840" s="27"/>
      <c r="D840" s="28"/>
      <c r="F840" s="9" t="str">
        <f t="shared" si="117"/>
        <v/>
      </c>
      <c r="G840" s="9">
        <f t="shared" si="118"/>
        <v>0</v>
      </c>
      <c r="H840" s="9">
        <f t="shared" si="119"/>
        <v>0</v>
      </c>
      <c r="I840" s="9">
        <f t="array" ref="I840">+SUM(IFERROR(VALUE(G840:H840),0))</f>
        <v>0</v>
      </c>
      <c r="K840" s="9" t="str">
        <f t="shared" si="120"/>
        <v/>
      </c>
      <c r="L840" s="9">
        <f t="shared" si="121"/>
        <v>0</v>
      </c>
      <c r="M840" s="9">
        <f t="shared" si="122"/>
        <v>0</v>
      </c>
      <c r="N840" s="9">
        <f t="array" ref="N840">+SUM(IFERROR(VALUE(L840:M840),0))</f>
        <v>0</v>
      </c>
      <c r="P840" s="9" t="str">
        <f t="shared" si="123"/>
        <v/>
      </c>
      <c r="Q840" s="9">
        <f t="shared" si="124"/>
        <v>0</v>
      </c>
      <c r="R840" s="9">
        <f t="shared" si="125"/>
        <v>0</v>
      </c>
      <c r="S840" s="9">
        <f t="array" ref="S840">+SUM(IFERROR(VALUE(Q840:R840),0))</f>
        <v>0</v>
      </c>
    </row>
    <row r="841" spans="1:19" ht="14.4">
      <c r="A841"/>
      <c r="B841"/>
      <c r="C841" s="27"/>
      <c r="D841" s="28"/>
      <c r="F841" s="9" t="str">
        <f t="shared" si="117"/>
        <v/>
      </c>
      <c r="G841" s="9">
        <f t="shared" si="118"/>
        <v>0</v>
      </c>
      <c r="H841" s="9">
        <f t="shared" si="119"/>
        <v>0</v>
      </c>
      <c r="I841" s="9">
        <f t="array" ref="I841">+SUM(IFERROR(VALUE(G841:H841),0))</f>
        <v>0</v>
      </c>
      <c r="K841" s="9" t="str">
        <f t="shared" si="120"/>
        <v/>
      </c>
      <c r="L841" s="9">
        <f t="shared" si="121"/>
        <v>0</v>
      </c>
      <c r="M841" s="9">
        <f t="shared" si="122"/>
        <v>0</v>
      </c>
      <c r="N841" s="9">
        <f t="array" ref="N841">+SUM(IFERROR(VALUE(L841:M841),0))</f>
        <v>0</v>
      </c>
      <c r="P841" s="9" t="str">
        <f t="shared" si="123"/>
        <v/>
      </c>
      <c r="Q841" s="9">
        <f t="shared" si="124"/>
        <v>0</v>
      </c>
      <c r="R841" s="9">
        <f t="shared" si="125"/>
        <v>0</v>
      </c>
      <c r="S841" s="9">
        <f t="array" ref="S841">+SUM(IFERROR(VALUE(Q841:R841),0))</f>
        <v>0</v>
      </c>
    </row>
    <row r="842" spans="1:19" ht="14.4">
      <c r="A842"/>
      <c r="B842"/>
      <c r="C842" s="27"/>
      <c r="D842" s="28"/>
      <c r="F842" s="9" t="str">
        <f t="shared" si="117"/>
        <v/>
      </c>
      <c r="G842" s="9">
        <f t="shared" si="118"/>
        <v>0</v>
      </c>
      <c r="H842" s="9">
        <f t="shared" si="119"/>
        <v>0</v>
      </c>
      <c r="I842" s="9">
        <f t="array" ref="I842">+SUM(IFERROR(VALUE(G842:H842),0))</f>
        <v>0</v>
      </c>
      <c r="K842" s="9" t="str">
        <f t="shared" si="120"/>
        <v/>
      </c>
      <c r="L842" s="9">
        <f t="shared" si="121"/>
        <v>0</v>
      </c>
      <c r="M842" s="9">
        <f t="shared" si="122"/>
        <v>0</v>
      </c>
      <c r="N842" s="9">
        <f t="array" ref="N842">+SUM(IFERROR(VALUE(L842:M842),0))</f>
        <v>0</v>
      </c>
      <c r="P842" s="9" t="str">
        <f t="shared" si="123"/>
        <v/>
      </c>
      <c r="Q842" s="9">
        <f t="shared" si="124"/>
        <v>0</v>
      </c>
      <c r="R842" s="9">
        <f t="shared" si="125"/>
        <v>0</v>
      </c>
      <c r="S842" s="9">
        <f t="array" ref="S842">+SUM(IFERROR(VALUE(Q842:R842),0))</f>
        <v>0</v>
      </c>
    </row>
    <row r="843" spans="1:19" ht="14.4">
      <c r="A843"/>
      <c r="B843"/>
      <c r="C843" s="27"/>
      <c r="D843" s="28"/>
      <c r="F843" s="9" t="str">
        <f t="shared" si="117"/>
        <v/>
      </c>
      <c r="G843" s="9">
        <f t="shared" si="118"/>
        <v>0</v>
      </c>
      <c r="H843" s="9">
        <f t="shared" si="119"/>
        <v>0</v>
      </c>
      <c r="I843" s="9">
        <f t="array" ref="I843">+SUM(IFERROR(VALUE(G843:H843),0))</f>
        <v>0</v>
      </c>
      <c r="K843" s="9" t="str">
        <f t="shared" si="120"/>
        <v/>
      </c>
      <c r="L843" s="9">
        <f t="shared" si="121"/>
        <v>0</v>
      </c>
      <c r="M843" s="9">
        <f t="shared" si="122"/>
        <v>0</v>
      </c>
      <c r="N843" s="9">
        <f t="array" ref="N843">+SUM(IFERROR(VALUE(L843:M843),0))</f>
        <v>0</v>
      </c>
      <c r="P843" s="9" t="str">
        <f t="shared" si="123"/>
        <v/>
      </c>
      <c r="Q843" s="9">
        <f t="shared" si="124"/>
        <v>0</v>
      </c>
      <c r="R843" s="9">
        <f t="shared" si="125"/>
        <v>0</v>
      </c>
      <c r="S843" s="9">
        <f t="array" ref="S843">+SUM(IFERROR(VALUE(Q843:R843),0))</f>
        <v>0</v>
      </c>
    </row>
    <row r="844" spans="1:19" ht="14.4">
      <c r="A844"/>
      <c r="B844"/>
      <c r="C844" s="27"/>
      <c r="D844" s="28"/>
      <c r="F844" s="9" t="str">
        <f t="shared" si="117"/>
        <v/>
      </c>
      <c r="G844" s="9">
        <f t="shared" si="118"/>
        <v>0</v>
      </c>
      <c r="H844" s="9">
        <f t="shared" si="119"/>
        <v>0</v>
      </c>
      <c r="I844" s="9">
        <f t="array" ref="I844">+SUM(IFERROR(VALUE(G844:H844),0))</f>
        <v>0</v>
      </c>
      <c r="K844" s="9" t="str">
        <f t="shared" si="120"/>
        <v/>
      </c>
      <c r="L844" s="9">
        <f t="shared" si="121"/>
        <v>0</v>
      </c>
      <c r="M844" s="9">
        <f t="shared" si="122"/>
        <v>0</v>
      </c>
      <c r="N844" s="9">
        <f t="array" ref="N844">+SUM(IFERROR(VALUE(L844:M844),0))</f>
        <v>0</v>
      </c>
      <c r="P844" s="9" t="str">
        <f t="shared" si="123"/>
        <v/>
      </c>
      <c r="Q844" s="9">
        <f t="shared" si="124"/>
        <v>0</v>
      </c>
      <c r="R844" s="9">
        <f t="shared" si="125"/>
        <v>0</v>
      </c>
      <c r="S844" s="9">
        <f t="array" ref="S844">+SUM(IFERROR(VALUE(Q844:R844),0))</f>
        <v>0</v>
      </c>
    </row>
    <row r="845" spans="1:19" ht="14.4">
      <c r="A845"/>
      <c r="B845"/>
      <c r="C845" s="27"/>
      <c r="D845" s="28"/>
      <c r="F845" s="9" t="str">
        <f t="shared" si="117"/>
        <v/>
      </c>
      <c r="G845" s="9">
        <f t="shared" si="118"/>
        <v>0</v>
      </c>
      <c r="H845" s="9">
        <f t="shared" si="119"/>
        <v>0</v>
      </c>
      <c r="I845" s="9">
        <f t="array" ref="I845">+SUM(IFERROR(VALUE(G845:H845),0))</f>
        <v>0</v>
      </c>
      <c r="K845" s="9" t="str">
        <f t="shared" si="120"/>
        <v/>
      </c>
      <c r="L845" s="9">
        <f t="shared" si="121"/>
        <v>0</v>
      </c>
      <c r="M845" s="9">
        <f t="shared" si="122"/>
        <v>0</v>
      </c>
      <c r="N845" s="9">
        <f t="array" ref="N845">+SUM(IFERROR(VALUE(L845:M845),0))</f>
        <v>0</v>
      </c>
      <c r="P845" s="9" t="str">
        <f t="shared" si="123"/>
        <v/>
      </c>
      <c r="Q845" s="9">
        <f t="shared" si="124"/>
        <v>0</v>
      </c>
      <c r="R845" s="9">
        <f t="shared" si="125"/>
        <v>0</v>
      </c>
      <c r="S845" s="9">
        <f t="array" ref="S845">+SUM(IFERROR(VALUE(Q845:R845),0))</f>
        <v>0</v>
      </c>
    </row>
    <row r="846" spans="1:19" ht="14.4">
      <c r="A846"/>
      <c r="B846"/>
      <c r="C846" s="27"/>
      <c r="D846" s="28"/>
      <c r="F846" s="9" t="str">
        <f t="shared" si="117"/>
        <v/>
      </c>
      <c r="G846" s="9">
        <f t="shared" si="118"/>
        <v>0</v>
      </c>
      <c r="H846" s="9">
        <f t="shared" si="119"/>
        <v>0</v>
      </c>
      <c r="I846" s="9">
        <f t="array" ref="I846">+SUM(IFERROR(VALUE(G846:H846),0))</f>
        <v>0</v>
      </c>
      <c r="K846" s="9" t="str">
        <f t="shared" si="120"/>
        <v/>
      </c>
      <c r="L846" s="9">
        <f t="shared" si="121"/>
        <v>0</v>
      </c>
      <c r="M846" s="9">
        <f t="shared" si="122"/>
        <v>0</v>
      </c>
      <c r="N846" s="9">
        <f t="array" ref="N846">+SUM(IFERROR(VALUE(L846:M846),0))</f>
        <v>0</v>
      </c>
      <c r="P846" s="9" t="str">
        <f t="shared" si="123"/>
        <v/>
      </c>
      <c r="Q846" s="9">
        <f t="shared" si="124"/>
        <v>0</v>
      </c>
      <c r="R846" s="9">
        <f t="shared" si="125"/>
        <v>0</v>
      </c>
      <c r="S846" s="9">
        <f t="array" ref="S846">+SUM(IFERROR(VALUE(Q846:R846),0))</f>
        <v>0</v>
      </c>
    </row>
    <row r="847" spans="1:19" ht="14.4">
      <c r="A847"/>
      <c r="B847"/>
      <c r="C847" s="27"/>
      <c r="D847" s="28"/>
      <c r="F847" s="9" t="str">
        <f t="shared" si="117"/>
        <v/>
      </c>
      <c r="G847" s="9">
        <f t="shared" si="118"/>
        <v>0</v>
      </c>
      <c r="H847" s="9">
        <f t="shared" si="119"/>
        <v>0</v>
      </c>
      <c r="I847" s="9">
        <f t="array" ref="I847">+SUM(IFERROR(VALUE(G847:H847),0))</f>
        <v>0</v>
      </c>
      <c r="K847" s="9" t="str">
        <f t="shared" si="120"/>
        <v/>
      </c>
      <c r="L847" s="9">
        <f t="shared" si="121"/>
        <v>0</v>
      </c>
      <c r="M847" s="9">
        <f t="shared" si="122"/>
        <v>0</v>
      </c>
      <c r="N847" s="9">
        <f t="array" ref="N847">+SUM(IFERROR(VALUE(L847:M847),0))</f>
        <v>0</v>
      </c>
      <c r="P847" s="9" t="str">
        <f t="shared" si="123"/>
        <v/>
      </c>
      <c r="Q847" s="9">
        <f t="shared" si="124"/>
        <v>0</v>
      </c>
      <c r="R847" s="9">
        <f t="shared" si="125"/>
        <v>0</v>
      </c>
      <c r="S847" s="9">
        <f t="array" ref="S847">+SUM(IFERROR(VALUE(Q847:R847),0))</f>
        <v>0</v>
      </c>
    </row>
    <row r="848" spans="1:19" ht="14.4">
      <c r="A848"/>
      <c r="B848"/>
      <c r="C848" s="27"/>
      <c r="D848" s="28"/>
      <c r="F848" s="9" t="str">
        <f t="shared" si="117"/>
        <v/>
      </c>
      <c r="G848" s="9">
        <f t="shared" si="118"/>
        <v>0</v>
      </c>
      <c r="H848" s="9">
        <f t="shared" si="119"/>
        <v>0</v>
      </c>
      <c r="I848" s="9">
        <f t="array" ref="I848">+SUM(IFERROR(VALUE(G848:H848),0))</f>
        <v>0</v>
      </c>
      <c r="K848" s="9" t="str">
        <f t="shared" si="120"/>
        <v/>
      </c>
      <c r="L848" s="9">
        <f t="shared" si="121"/>
        <v>0</v>
      </c>
      <c r="M848" s="9">
        <f t="shared" si="122"/>
        <v>0</v>
      </c>
      <c r="N848" s="9">
        <f t="array" ref="N848">+SUM(IFERROR(VALUE(L848:M848),0))</f>
        <v>0</v>
      </c>
      <c r="P848" s="9" t="str">
        <f t="shared" si="123"/>
        <v/>
      </c>
      <c r="Q848" s="9">
        <f t="shared" si="124"/>
        <v>0</v>
      </c>
      <c r="R848" s="9">
        <f t="shared" si="125"/>
        <v>0</v>
      </c>
      <c r="S848" s="9">
        <f t="array" ref="S848">+SUM(IFERROR(VALUE(Q848:R848),0))</f>
        <v>0</v>
      </c>
    </row>
    <row r="849" spans="1:19" ht="14.4">
      <c r="A849"/>
      <c r="B849"/>
      <c r="C849" s="27"/>
      <c r="D849" s="28"/>
      <c r="F849" s="9" t="str">
        <f t="shared" si="117"/>
        <v/>
      </c>
      <c r="G849" s="9">
        <f t="shared" si="118"/>
        <v>0</v>
      </c>
      <c r="H849" s="9">
        <f t="shared" si="119"/>
        <v>0</v>
      </c>
      <c r="I849" s="9">
        <f t="array" ref="I849">+SUM(IFERROR(VALUE(G849:H849),0))</f>
        <v>0</v>
      </c>
      <c r="K849" s="9" t="str">
        <f t="shared" si="120"/>
        <v/>
      </c>
      <c r="L849" s="9">
        <f t="shared" si="121"/>
        <v>0</v>
      </c>
      <c r="M849" s="9">
        <f t="shared" si="122"/>
        <v>0</v>
      </c>
      <c r="N849" s="9">
        <f t="array" ref="N849">+SUM(IFERROR(VALUE(L849:M849),0))</f>
        <v>0</v>
      </c>
      <c r="P849" s="9" t="str">
        <f t="shared" si="123"/>
        <v/>
      </c>
      <c r="Q849" s="9">
        <f t="shared" si="124"/>
        <v>0</v>
      </c>
      <c r="R849" s="9">
        <f t="shared" si="125"/>
        <v>0</v>
      </c>
      <c r="S849" s="9">
        <f t="array" ref="S849">+SUM(IFERROR(VALUE(Q849:R849),0))</f>
        <v>0</v>
      </c>
    </row>
    <row r="850" spans="1:19" ht="14.4">
      <c r="A850"/>
      <c r="B850"/>
      <c r="C850" s="27"/>
      <c r="D850" s="28"/>
      <c r="F850" s="9" t="str">
        <f t="shared" si="117"/>
        <v/>
      </c>
      <c r="G850" s="9">
        <f t="shared" si="118"/>
        <v>0</v>
      </c>
      <c r="H850" s="9">
        <f t="shared" si="119"/>
        <v>0</v>
      </c>
      <c r="I850" s="9">
        <f t="array" ref="I850">+SUM(IFERROR(VALUE(G850:H850),0))</f>
        <v>0</v>
      </c>
      <c r="K850" s="9" t="str">
        <f t="shared" si="120"/>
        <v/>
      </c>
      <c r="L850" s="9">
        <f t="shared" si="121"/>
        <v>0</v>
      </c>
      <c r="M850" s="9">
        <f t="shared" si="122"/>
        <v>0</v>
      </c>
      <c r="N850" s="9">
        <f t="array" ref="N850">+SUM(IFERROR(VALUE(L850:M850),0))</f>
        <v>0</v>
      </c>
      <c r="P850" s="9" t="str">
        <f t="shared" si="123"/>
        <v/>
      </c>
      <c r="Q850" s="9">
        <f t="shared" si="124"/>
        <v>0</v>
      </c>
      <c r="R850" s="9">
        <f t="shared" si="125"/>
        <v>0</v>
      </c>
      <c r="S850" s="9">
        <f t="array" ref="S850">+SUM(IFERROR(VALUE(Q850:R850),0))</f>
        <v>0</v>
      </c>
    </row>
    <row r="851" spans="1:19" ht="14.4">
      <c r="A851"/>
      <c r="B851"/>
      <c r="C851" s="27"/>
      <c r="D851" s="28"/>
      <c r="F851" s="9" t="str">
        <f t="shared" si="117"/>
        <v/>
      </c>
      <c r="G851" s="9">
        <f t="shared" si="118"/>
        <v>0</v>
      </c>
      <c r="H851" s="9">
        <f t="shared" si="119"/>
        <v>0</v>
      </c>
      <c r="I851" s="9">
        <f t="array" ref="I851">+SUM(IFERROR(VALUE(G851:H851),0))</f>
        <v>0</v>
      </c>
      <c r="K851" s="9" t="str">
        <f t="shared" si="120"/>
        <v/>
      </c>
      <c r="L851" s="9">
        <f t="shared" si="121"/>
        <v>0</v>
      </c>
      <c r="M851" s="9">
        <f t="shared" si="122"/>
        <v>0</v>
      </c>
      <c r="N851" s="9">
        <f t="array" ref="N851">+SUM(IFERROR(VALUE(L851:M851),0))</f>
        <v>0</v>
      </c>
      <c r="P851" s="9" t="str">
        <f t="shared" si="123"/>
        <v/>
      </c>
      <c r="Q851" s="9">
        <f t="shared" si="124"/>
        <v>0</v>
      </c>
      <c r="R851" s="9">
        <f t="shared" si="125"/>
        <v>0</v>
      </c>
      <c r="S851" s="9">
        <f t="array" ref="S851">+SUM(IFERROR(VALUE(Q851:R851),0))</f>
        <v>0</v>
      </c>
    </row>
    <row r="852" spans="1:19" ht="14.4">
      <c r="A852"/>
      <c r="B852"/>
      <c r="C852" s="27"/>
      <c r="D852" s="28"/>
      <c r="F852" s="9" t="str">
        <f t="shared" si="117"/>
        <v/>
      </c>
      <c r="G852" s="9">
        <f t="shared" si="118"/>
        <v>0</v>
      </c>
      <c r="H852" s="9">
        <f t="shared" si="119"/>
        <v>0</v>
      </c>
      <c r="I852" s="9">
        <f t="array" ref="I852">+SUM(IFERROR(VALUE(G852:H852),0))</f>
        <v>0</v>
      </c>
      <c r="K852" s="9" t="str">
        <f t="shared" si="120"/>
        <v/>
      </c>
      <c r="L852" s="9">
        <f t="shared" si="121"/>
        <v>0</v>
      </c>
      <c r="M852" s="9">
        <f t="shared" si="122"/>
        <v>0</v>
      </c>
      <c r="N852" s="9">
        <f t="array" ref="N852">+SUM(IFERROR(VALUE(L852:M852),0))</f>
        <v>0</v>
      </c>
      <c r="P852" s="9" t="str">
        <f t="shared" si="123"/>
        <v/>
      </c>
      <c r="Q852" s="9">
        <f t="shared" si="124"/>
        <v>0</v>
      </c>
      <c r="R852" s="9">
        <f t="shared" si="125"/>
        <v>0</v>
      </c>
      <c r="S852" s="9">
        <f t="array" ref="S852">+SUM(IFERROR(VALUE(Q852:R852),0))</f>
        <v>0</v>
      </c>
    </row>
    <row r="853" spans="1:19" ht="14.4">
      <c r="A853"/>
      <c r="B853"/>
      <c r="C853" s="27"/>
      <c r="D853" s="28"/>
      <c r="F853" s="9" t="str">
        <f t="shared" si="117"/>
        <v/>
      </c>
      <c r="G853" s="9">
        <f t="shared" si="118"/>
        <v>0</v>
      </c>
      <c r="H853" s="9">
        <f t="shared" si="119"/>
        <v>0</v>
      </c>
      <c r="I853" s="9">
        <f t="array" ref="I853">+SUM(IFERROR(VALUE(G853:H853),0))</f>
        <v>0</v>
      </c>
      <c r="K853" s="9" t="str">
        <f t="shared" si="120"/>
        <v/>
      </c>
      <c r="L853" s="9">
        <f t="shared" si="121"/>
        <v>0</v>
      </c>
      <c r="M853" s="9">
        <f t="shared" si="122"/>
        <v>0</v>
      </c>
      <c r="N853" s="9">
        <f t="array" ref="N853">+SUM(IFERROR(VALUE(L853:M853),0))</f>
        <v>0</v>
      </c>
      <c r="P853" s="9" t="str">
        <f t="shared" si="123"/>
        <v/>
      </c>
      <c r="Q853" s="9">
        <f t="shared" si="124"/>
        <v>0</v>
      </c>
      <c r="R853" s="9">
        <f t="shared" si="125"/>
        <v>0</v>
      </c>
      <c r="S853" s="9">
        <f t="array" ref="S853">+SUM(IFERROR(VALUE(Q853:R853),0))</f>
        <v>0</v>
      </c>
    </row>
    <row r="854" spans="1:19" ht="14.4">
      <c r="A854"/>
      <c r="B854"/>
      <c r="C854" s="27"/>
      <c r="D854" s="28"/>
      <c r="F854" s="9" t="str">
        <f t="shared" si="117"/>
        <v/>
      </c>
      <c r="G854" s="9">
        <f t="shared" si="118"/>
        <v>0</v>
      </c>
      <c r="H854" s="9">
        <f t="shared" si="119"/>
        <v>0</v>
      </c>
      <c r="I854" s="9">
        <f t="array" ref="I854">+SUM(IFERROR(VALUE(G854:H854),0))</f>
        <v>0</v>
      </c>
      <c r="K854" s="9" t="str">
        <f t="shared" si="120"/>
        <v/>
      </c>
      <c r="L854" s="9">
        <f t="shared" si="121"/>
        <v>0</v>
      </c>
      <c r="M854" s="9">
        <f t="shared" si="122"/>
        <v>0</v>
      </c>
      <c r="N854" s="9">
        <f t="array" ref="N854">+SUM(IFERROR(VALUE(L854:M854),0))</f>
        <v>0</v>
      </c>
      <c r="P854" s="9" t="str">
        <f t="shared" si="123"/>
        <v/>
      </c>
      <c r="Q854" s="9">
        <f t="shared" si="124"/>
        <v>0</v>
      </c>
      <c r="R854" s="9">
        <f t="shared" si="125"/>
        <v>0</v>
      </c>
      <c r="S854" s="9">
        <f t="array" ref="S854">+SUM(IFERROR(VALUE(Q854:R854),0))</f>
        <v>0</v>
      </c>
    </row>
    <row r="855" spans="1:19" ht="14.4">
      <c r="A855"/>
      <c r="B855"/>
      <c r="C855" s="27"/>
      <c r="D855" s="28"/>
      <c r="F855" s="9" t="str">
        <f t="shared" si="117"/>
        <v/>
      </c>
      <c r="G855" s="9">
        <f t="shared" si="118"/>
        <v>0</v>
      </c>
      <c r="H855" s="9">
        <f t="shared" si="119"/>
        <v>0</v>
      </c>
      <c r="I855" s="9">
        <f t="array" ref="I855">+SUM(IFERROR(VALUE(G855:H855),0))</f>
        <v>0</v>
      </c>
      <c r="K855" s="9" t="str">
        <f t="shared" si="120"/>
        <v/>
      </c>
      <c r="L855" s="9">
        <f t="shared" si="121"/>
        <v>0</v>
      </c>
      <c r="M855" s="9">
        <f t="shared" si="122"/>
        <v>0</v>
      </c>
      <c r="N855" s="9">
        <f t="array" ref="N855">+SUM(IFERROR(VALUE(L855:M855),0))</f>
        <v>0</v>
      </c>
      <c r="P855" s="9" t="str">
        <f t="shared" si="123"/>
        <v/>
      </c>
      <c r="Q855" s="9">
        <f t="shared" si="124"/>
        <v>0</v>
      </c>
      <c r="R855" s="9">
        <f t="shared" si="125"/>
        <v>0</v>
      </c>
      <c r="S855" s="9">
        <f t="array" ref="S855">+SUM(IFERROR(VALUE(Q855:R855),0))</f>
        <v>0</v>
      </c>
    </row>
    <row r="856" spans="1:19" ht="14.4">
      <c r="A856"/>
      <c r="B856"/>
      <c r="C856" s="27"/>
      <c r="D856" s="28"/>
      <c r="F856" s="9" t="str">
        <f t="shared" si="117"/>
        <v/>
      </c>
      <c r="G856" s="9">
        <f t="shared" si="118"/>
        <v>0</v>
      </c>
      <c r="H856" s="9">
        <f t="shared" si="119"/>
        <v>0</v>
      </c>
      <c r="I856" s="9">
        <f t="array" ref="I856">+SUM(IFERROR(VALUE(G856:H856),0))</f>
        <v>0</v>
      </c>
      <c r="K856" s="9" t="str">
        <f t="shared" si="120"/>
        <v/>
      </c>
      <c r="L856" s="9">
        <f t="shared" si="121"/>
        <v>0</v>
      </c>
      <c r="M856" s="9">
        <f t="shared" si="122"/>
        <v>0</v>
      </c>
      <c r="N856" s="9">
        <f t="array" ref="N856">+SUM(IFERROR(VALUE(L856:M856),0))</f>
        <v>0</v>
      </c>
      <c r="P856" s="9" t="str">
        <f t="shared" si="123"/>
        <v/>
      </c>
      <c r="Q856" s="9">
        <f t="shared" si="124"/>
        <v>0</v>
      </c>
      <c r="R856" s="9">
        <f t="shared" si="125"/>
        <v>0</v>
      </c>
      <c r="S856" s="9">
        <f t="array" ref="S856">+SUM(IFERROR(VALUE(Q856:R856),0))</f>
        <v>0</v>
      </c>
    </row>
    <row r="857" spans="1:19" ht="14.4">
      <c r="A857"/>
      <c r="B857"/>
      <c r="C857" s="27"/>
      <c r="D857" s="28"/>
      <c r="F857" s="9" t="str">
        <f t="shared" si="117"/>
        <v/>
      </c>
      <c r="G857" s="9">
        <f t="shared" si="118"/>
        <v>0</v>
      </c>
      <c r="H857" s="9">
        <f t="shared" si="119"/>
        <v>0</v>
      </c>
      <c r="I857" s="9">
        <f t="array" ref="I857">+SUM(IFERROR(VALUE(G857:H857),0))</f>
        <v>0</v>
      </c>
      <c r="K857" s="9" t="str">
        <f t="shared" si="120"/>
        <v/>
      </c>
      <c r="L857" s="9">
        <f t="shared" si="121"/>
        <v>0</v>
      </c>
      <c r="M857" s="9">
        <f t="shared" si="122"/>
        <v>0</v>
      </c>
      <c r="N857" s="9">
        <f t="array" ref="N857">+SUM(IFERROR(VALUE(L857:M857),0))</f>
        <v>0</v>
      </c>
      <c r="P857" s="9" t="str">
        <f t="shared" si="123"/>
        <v/>
      </c>
      <c r="Q857" s="9">
        <f t="shared" si="124"/>
        <v>0</v>
      </c>
      <c r="R857" s="9">
        <f t="shared" si="125"/>
        <v>0</v>
      </c>
      <c r="S857" s="9">
        <f t="array" ref="S857">+SUM(IFERROR(VALUE(Q857:R857),0))</f>
        <v>0</v>
      </c>
    </row>
    <row r="858" spans="1:19" ht="14.4">
      <c r="A858"/>
      <c r="B858"/>
      <c r="C858" s="27"/>
      <c r="D858" s="28"/>
      <c r="F858" s="9" t="str">
        <f t="shared" si="117"/>
        <v/>
      </c>
      <c r="G858" s="9">
        <f t="shared" si="118"/>
        <v>0</v>
      </c>
      <c r="H858" s="9">
        <f t="shared" si="119"/>
        <v>0</v>
      </c>
      <c r="I858" s="9">
        <f t="array" ref="I858">+SUM(IFERROR(VALUE(G858:H858),0))</f>
        <v>0</v>
      </c>
      <c r="K858" s="9" t="str">
        <f t="shared" si="120"/>
        <v/>
      </c>
      <c r="L858" s="9">
        <f t="shared" si="121"/>
        <v>0</v>
      </c>
      <c r="M858" s="9">
        <f t="shared" si="122"/>
        <v>0</v>
      </c>
      <c r="N858" s="9">
        <f t="array" ref="N858">+SUM(IFERROR(VALUE(L858:M858),0))</f>
        <v>0</v>
      </c>
      <c r="P858" s="9" t="str">
        <f t="shared" si="123"/>
        <v/>
      </c>
      <c r="Q858" s="9">
        <f t="shared" si="124"/>
        <v>0</v>
      </c>
      <c r="R858" s="9">
        <f t="shared" si="125"/>
        <v>0</v>
      </c>
      <c r="S858" s="9">
        <f t="array" ref="S858">+SUM(IFERROR(VALUE(Q858:R858),0))</f>
        <v>0</v>
      </c>
    </row>
    <row r="859" spans="1:19" ht="14.4">
      <c r="A859"/>
      <c r="B859"/>
      <c r="C859" s="27"/>
      <c r="D859" s="28"/>
      <c r="F859" s="9" t="str">
        <f t="shared" si="117"/>
        <v/>
      </c>
      <c r="G859" s="9">
        <f t="shared" si="118"/>
        <v>0</v>
      </c>
      <c r="H859" s="9">
        <f t="shared" si="119"/>
        <v>0</v>
      </c>
      <c r="I859" s="9">
        <f t="array" ref="I859">+SUM(IFERROR(VALUE(G859:H859),0))</f>
        <v>0</v>
      </c>
      <c r="K859" s="9" t="str">
        <f t="shared" si="120"/>
        <v/>
      </c>
      <c r="L859" s="9">
        <f t="shared" si="121"/>
        <v>0</v>
      </c>
      <c r="M859" s="9">
        <f t="shared" si="122"/>
        <v>0</v>
      </c>
      <c r="N859" s="9">
        <f t="array" ref="N859">+SUM(IFERROR(VALUE(L859:M859),0))</f>
        <v>0</v>
      </c>
      <c r="P859" s="9" t="str">
        <f t="shared" si="123"/>
        <v/>
      </c>
      <c r="Q859" s="9">
        <f t="shared" si="124"/>
        <v>0</v>
      </c>
      <c r="R859" s="9">
        <f t="shared" si="125"/>
        <v>0</v>
      </c>
      <c r="S859" s="9">
        <f t="array" ref="S859">+SUM(IFERROR(VALUE(Q859:R859),0))</f>
        <v>0</v>
      </c>
    </row>
    <row r="860" spans="1:19" ht="14.4">
      <c r="A860"/>
      <c r="B860"/>
      <c r="C860" s="27"/>
      <c r="D860" s="28"/>
      <c r="F860" s="9" t="str">
        <f t="shared" si="117"/>
        <v/>
      </c>
      <c r="G860" s="9">
        <f t="shared" si="118"/>
        <v>0</v>
      </c>
      <c r="H860" s="9">
        <f t="shared" si="119"/>
        <v>0</v>
      </c>
      <c r="I860" s="9">
        <f t="array" ref="I860">+SUM(IFERROR(VALUE(G860:H860),0))</f>
        <v>0</v>
      </c>
      <c r="K860" s="9" t="str">
        <f t="shared" si="120"/>
        <v/>
      </c>
      <c r="L860" s="9">
        <f t="shared" si="121"/>
        <v>0</v>
      </c>
      <c r="M860" s="9">
        <f t="shared" si="122"/>
        <v>0</v>
      </c>
      <c r="N860" s="9">
        <f t="array" ref="N860">+SUM(IFERROR(VALUE(L860:M860),0))</f>
        <v>0</v>
      </c>
      <c r="P860" s="9" t="str">
        <f t="shared" si="123"/>
        <v/>
      </c>
      <c r="Q860" s="9">
        <f t="shared" si="124"/>
        <v>0</v>
      </c>
      <c r="R860" s="9">
        <f t="shared" si="125"/>
        <v>0</v>
      </c>
      <c r="S860" s="9">
        <f t="array" ref="S860">+SUM(IFERROR(VALUE(Q860:R860),0))</f>
        <v>0</v>
      </c>
    </row>
    <row r="861" spans="1:19" ht="14.4">
      <c r="A861"/>
      <c r="B861"/>
      <c r="C861" s="27"/>
      <c r="D861" s="28"/>
      <c r="F861" s="9" t="str">
        <f t="shared" si="117"/>
        <v/>
      </c>
      <c r="G861" s="9">
        <f t="shared" si="118"/>
        <v>0</v>
      </c>
      <c r="H861" s="9">
        <f t="shared" si="119"/>
        <v>0</v>
      </c>
      <c r="I861" s="9">
        <f t="array" ref="I861">+SUM(IFERROR(VALUE(G861:H861),0))</f>
        <v>0</v>
      </c>
      <c r="K861" s="9" t="str">
        <f t="shared" si="120"/>
        <v/>
      </c>
      <c r="L861" s="9">
        <f t="shared" si="121"/>
        <v>0</v>
      </c>
      <c r="M861" s="9">
        <f t="shared" si="122"/>
        <v>0</v>
      </c>
      <c r="N861" s="9">
        <f t="array" ref="N861">+SUM(IFERROR(VALUE(L861:M861),0))</f>
        <v>0</v>
      </c>
      <c r="P861" s="9" t="str">
        <f t="shared" si="123"/>
        <v/>
      </c>
      <c r="Q861" s="9">
        <f t="shared" si="124"/>
        <v>0</v>
      </c>
      <c r="R861" s="9">
        <f t="shared" si="125"/>
        <v>0</v>
      </c>
      <c r="S861" s="9">
        <f t="array" ref="S861">+SUM(IFERROR(VALUE(Q861:R861),0))</f>
        <v>0</v>
      </c>
    </row>
    <row r="862" spans="1:19" ht="14.4">
      <c r="A862"/>
      <c r="B862"/>
      <c r="C862" s="27"/>
      <c r="D862" s="28"/>
      <c r="F862" s="9" t="str">
        <f t="shared" si="117"/>
        <v/>
      </c>
      <c r="G862" s="9">
        <f t="shared" si="118"/>
        <v>0</v>
      </c>
      <c r="H862" s="9">
        <f t="shared" si="119"/>
        <v>0</v>
      </c>
      <c r="I862" s="9">
        <f t="array" ref="I862">+SUM(IFERROR(VALUE(G862:H862),0))</f>
        <v>0</v>
      </c>
      <c r="K862" s="9" t="str">
        <f t="shared" si="120"/>
        <v/>
      </c>
      <c r="L862" s="9">
        <f t="shared" si="121"/>
        <v>0</v>
      </c>
      <c r="M862" s="9">
        <f t="shared" si="122"/>
        <v>0</v>
      </c>
      <c r="N862" s="9">
        <f t="array" ref="N862">+SUM(IFERROR(VALUE(L862:M862),0))</f>
        <v>0</v>
      </c>
      <c r="P862" s="9" t="str">
        <f t="shared" si="123"/>
        <v/>
      </c>
      <c r="Q862" s="9">
        <f t="shared" si="124"/>
        <v>0</v>
      </c>
      <c r="R862" s="9">
        <f t="shared" si="125"/>
        <v>0</v>
      </c>
      <c r="S862" s="9">
        <f t="array" ref="S862">+SUM(IFERROR(VALUE(Q862:R862),0))</f>
        <v>0</v>
      </c>
    </row>
    <row r="863" spans="1:19" ht="14.4">
      <c r="A863"/>
      <c r="B863"/>
      <c r="C863" s="27"/>
      <c r="D863" s="28"/>
      <c r="F863" s="9" t="str">
        <f t="shared" si="117"/>
        <v/>
      </c>
      <c r="G863" s="9">
        <f t="shared" si="118"/>
        <v>0</v>
      </c>
      <c r="H863" s="9">
        <f t="shared" si="119"/>
        <v>0</v>
      </c>
      <c r="I863" s="9">
        <f t="array" ref="I863">+SUM(IFERROR(VALUE(G863:H863),0))</f>
        <v>0</v>
      </c>
      <c r="K863" s="9" t="str">
        <f t="shared" si="120"/>
        <v/>
      </c>
      <c r="L863" s="9">
        <f t="shared" si="121"/>
        <v>0</v>
      </c>
      <c r="M863" s="9">
        <f t="shared" si="122"/>
        <v>0</v>
      </c>
      <c r="N863" s="9">
        <f t="array" ref="N863">+SUM(IFERROR(VALUE(L863:M863),0))</f>
        <v>0</v>
      </c>
      <c r="P863" s="9" t="str">
        <f t="shared" si="123"/>
        <v/>
      </c>
      <c r="Q863" s="9">
        <f t="shared" si="124"/>
        <v>0</v>
      </c>
      <c r="R863" s="9">
        <f t="shared" si="125"/>
        <v>0</v>
      </c>
      <c r="S863" s="9">
        <f t="array" ref="S863">+SUM(IFERROR(VALUE(Q863:R863),0))</f>
        <v>0</v>
      </c>
    </row>
    <row r="864" spans="1:19" ht="14.4">
      <c r="A864"/>
      <c r="B864"/>
      <c r="C864" s="27"/>
      <c r="D864" s="28"/>
      <c r="F864" s="9" t="str">
        <f t="shared" si="117"/>
        <v/>
      </c>
      <c r="G864" s="9">
        <f t="shared" si="118"/>
        <v>0</v>
      </c>
      <c r="H864" s="9">
        <f t="shared" si="119"/>
        <v>0</v>
      </c>
      <c r="I864" s="9">
        <f t="array" ref="I864">+SUM(IFERROR(VALUE(G864:H864),0))</f>
        <v>0</v>
      </c>
      <c r="K864" s="9" t="str">
        <f t="shared" si="120"/>
        <v/>
      </c>
      <c r="L864" s="9">
        <f t="shared" si="121"/>
        <v>0</v>
      </c>
      <c r="M864" s="9">
        <f t="shared" si="122"/>
        <v>0</v>
      </c>
      <c r="N864" s="9">
        <f t="array" ref="N864">+SUM(IFERROR(VALUE(L864:M864),0))</f>
        <v>0</v>
      </c>
      <c r="P864" s="9" t="str">
        <f t="shared" si="123"/>
        <v/>
      </c>
      <c r="Q864" s="9">
        <f t="shared" si="124"/>
        <v>0</v>
      </c>
      <c r="R864" s="9">
        <f t="shared" si="125"/>
        <v>0</v>
      </c>
      <c r="S864" s="9">
        <f t="array" ref="S864">+SUM(IFERROR(VALUE(Q864:R864),0))</f>
        <v>0</v>
      </c>
    </row>
    <row r="865" spans="1:19" ht="14.4">
      <c r="A865"/>
      <c r="B865"/>
      <c r="C865" s="27"/>
      <c r="D865" s="28"/>
      <c r="F865" s="9" t="str">
        <f t="shared" si="117"/>
        <v/>
      </c>
      <c r="G865" s="9">
        <f t="shared" si="118"/>
        <v>0</v>
      </c>
      <c r="H865" s="9">
        <f t="shared" si="119"/>
        <v>0</v>
      </c>
      <c r="I865" s="9">
        <f t="array" ref="I865">+SUM(IFERROR(VALUE(G865:H865),0))</f>
        <v>0</v>
      </c>
      <c r="K865" s="9" t="str">
        <f t="shared" si="120"/>
        <v/>
      </c>
      <c r="L865" s="9">
        <f t="shared" si="121"/>
        <v>0</v>
      </c>
      <c r="M865" s="9">
        <f t="shared" si="122"/>
        <v>0</v>
      </c>
      <c r="N865" s="9">
        <f t="array" ref="N865">+SUM(IFERROR(VALUE(L865:M865),0))</f>
        <v>0</v>
      </c>
      <c r="P865" s="9" t="str">
        <f t="shared" si="123"/>
        <v/>
      </c>
      <c r="Q865" s="9">
        <f t="shared" si="124"/>
        <v>0</v>
      </c>
      <c r="R865" s="9">
        <f t="shared" si="125"/>
        <v>0</v>
      </c>
      <c r="S865" s="9">
        <f t="array" ref="S865">+SUM(IFERROR(VALUE(Q865:R865),0))</f>
        <v>0</v>
      </c>
    </row>
    <row r="866" spans="1:19" ht="14.4">
      <c r="A866"/>
      <c r="B866"/>
      <c r="C866" s="27"/>
      <c r="D866" s="28"/>
      <c r="F866" s="9" t="str">
        <f t="shared" si="117"/>
        <v/>
      </c>
      <c r="G866" s="9">
        <f t="shared" si="118"/>
        <v>0</v>
      </c>
      <c r="H866" s="9">
        <f t="shared" si="119"/>
        <v>0</v>
      </c>
      <c r="I866" s="9">
        <f t="array" ref="I866">+SUM(IFERROR(VALUE(G866:H866),0))</f>
        <v>0</v>
      </c>
      <c r="K866" s="9" t="str">
        <f t="shared" si="120"/>
        <v/>
      </c>
      <c r="L866" s="9">
        <f t="shared" si="121"/>
        <v>0</v>
      </c>
      <c r="M866" s="9">
        <f t="shared" si="122"/>
        <v>0</v>
      </c>
      <c r="N866" s="9">
        <f t="array" ref="N866">+SUM(IFERROR(VALUE(L866:M866),0))</f>
        <v>0</v>
      </c>
      <c r="P866" s="9" t="str">
        <f t="shared" si="123"/>
        <v/>
      </c>
      <c r="Q866" s="9">
        <f t="shared" si="124"/>
        <v>0</v>
      </c>
      <c r="R866" s="9">
        <f t="shared" si="125"/>
        <v>0</v>
      </c>
      <c r="S866" s="9">
        <f t="array" ref="S866">+SUM(IFERROR(VALUE(Q866:R866),0))</f>
        <v>0</v>
      </c>
    </row>
    <row r="867" spans="1:19" ht="14.4">
      <c r="A867"/>
      <c r="B867"/>
      <c r="C867" s="27"/>
      <c r="D867" s="28"/>
      <c r="F867" s="9" t="str">
        <f t="shared" si="117"/>
        <v/>
      </c>
      <c r="G867" s="9">
        <f t="shared" si="118"/>
        <v>0</v>
      </c>
      <c r="H867" s="9">
        <f t="shared" si="119"/>
        <v>0</v>
      </c>
      <c r="I867" s="9">
        <f t="array" ref="I867">+SUM(IFERROR(VALUE(G867:H867),0))</f>
        <v>0</v>
      </c>
      <c r="K867" s="9" t="str">
        <f t="shared" si="120"/>
        <v/>
      </c>
      <c r="L867" s="9">
        <f t="shared" si="121"/>
        <v>0</v>
      </c>
      <c r="M867" s="9">
        <f t="shared" si="122"/>
        <v>0</v>
      </c>
      <c r="N867" s="9">
        <f t="array" ref="N867">+SUM(IFERROR(VALUE(L867:M867),0))</f>
        <v>0</v>
      </c>
      <c r="P867" s="9" t="str">
        <f t="shared" si="123"/>
        <v/>
      </c>
      <c r="Q867" s="9">
        <f t="shared" si="124"/>
        <v>0</v>
      </c>
      <c r="R867" s="9">
        <f t="shared" si="125"/>
        <v>0</v>
      </c>
      <c r="S867" s="9">
        <f t="array" ref="S867">+SUM(IFERROR(VALUE(Q867:R867),0))</f>
        <v>0</v>
      </c>
    </row>
    <row r="868" spans="1:19" ht="14.4">
      <c r="A868"/>
      <c r="B868"/>
      <c r="C868" s="27"/>
      <c r="D868" s="28"/>
      <c r="F868" s="9" t="str">
        <f t="shared" si="117"/>
        <v/>
      </c>
      <c r="G868" s="9">
        <f t="shared" si="118"/>
        <v>0</v>
      </c>
      <c r="H868" s="9">
        <f t="shared" si="119"/>
        <v>0</v>
      </c>
      <c r="I868" s="9">
        <f t="array" ref="I868">+SUM(IFERROR(VALUE(G868:H868),0))</f>
        <v>0</v>
      </c>
      <c r="K868" s="9" t="str">
        <f t="shared" si="120"/>
        <v/>
      </c>
      <c r="L868" s="9">
        <f t="shared" si="121"/>
        <v>0</v>
      </c>
      <c r="M868" s="9">
        <f t="shared" si="122"/>
        <v>0</v>
      </c>
      <c r="N868" s="9">
        <f t="array" ref="N868">+SUM(IFERROR(VALUE(L868:M868),0))</f>
        <v>0</v>
      </c>
      <c r="P868" s="9" t="str">
        <f t="shared" si="123"/>
        <v/>
      </c>
      <c r="Q868" s="9">
        <f t="shared" si="124"/>
        <v>0</v>
      </c>
      <c r="R868" s="9">
        <f t="shared" si="125"/>
        <v>0</v>
      </c>
      <c r="S868" s="9">
        <f t="array" ref="S868">+SUM(IFERROR(VALUE(Q868:R868),0))</f>
        <v>0</v>
      </c>
    </row>
    <row r="869" spans="1:19" ht="14.4">
      <c r="A869"/>
      <c r="B869"/>
      <c r="C869" s="27"/>
      <c r="D869" s="28"/>
      <c r="F869" s="9" t="str">
        <f t="shared" si="117"/>
        <v/>
      </c>
      <c r="G869" s="9">
        <f t="shared" si="118"/>
        <v>0</v>
      </c>
      <c r="H869" s="9">
        <f t="shared" si="119"/>
        <v>0</v>
      </c>
      <c r="I869" s="9">
        <f t="array" ref="I869">+SUM(IFERROR(VALUE(G869:H869),0))</f>
        <v>0</v>
      </c>
      <c r="K869" s="9" t="str">
        <f t="shared" si="120"/>
        <v/>
      </c>
      <c r="L869" s="9">
        <f t="shared" si="121"/>
        <v>0</v>
      </c>
      <c r="M869" s="9">
        <f t="shared" si="122"/>
        <v>0</v>
      </c>
      <c r="N869" s="9">
        <f t="array" ref="N869">+SUM(IFERROR(VALUE(L869:M869),0))</f>
        <v>0</v>
      </c>
      <c r="P869" s="9" t="str">
        <f t="shared" si="123"/>
        <v/>
      </c>
      <c r="Q869" s="9">
        <f t="shared" si="124"/>
        <v>0</v>
      </c>
      <c r="R869" s="9">
        <f t="shared" si="125"/>
        <v>0</v>
      </c>
      <c r="S869" s="9">
        <f t="array" ref="S869">+SUM(IFERROR(VALUE(Q869:R869),0))</f>
        <v>0</v>
      </c>
    </row>
    <row r="870" spans="1:19" ht="14.4">
      <c r="A870"/>
      <c r="B870"/>
      <c r="C870" s="27"/>
      <c r="D870" s="28"/>
      <c r="F870" s="9" t="str">
        <f t="shared" si="117"/>
        <v/>
      </c>
      <c r="G870" s="9">
        <f t="shared" si="118"/>
        <v>0</v>
      </c>
      <c r="H870" s="9">
        <f t="shared" si="119"/>
        <v>0</v>
      </c>
      <c r="I870" s="9">
        <f t="array" ref="I870">+SUM(IFERROR(VALUE(G870:H870),0))</f>
        <v>0</v>
      </c>
      <c r="K870" s="9" t="str">
        <f t="shared" si="120"/>
        <v/>
      </c>
      <c r="L870" s="9">
        <f t="shared" si="121"/>
        <v>0</v>
      </c>
      <c r="M870" s="9">
        <f t="shared" si="122"/>
        <v>0</v>
      </c>
      <c r="N870" s="9">
        <f t="array" ref="N870">+SUM(IFERROR(VALUE(L870:M870),0))</f>
        <v>0</v>
      </c>
      <c r="P870" s="9" t="str">
        <f t="shared" si="123"/>
        <v/>
      </c>
      <c r="Q870" s="9">
        <f t="shared" si="124"/>
        <v>0</v>
      </c>
      <c r="R870" s="9">
        <f t="shared" si="125"/>
        <v>0</v>
      </c>
      <c r="S870" s="9">
        <f t="array" ref="S870">+SUM(IFERROR(VALUE(Q870:R870),0))</f>
        <v>0</v>
      </c>
    </row>
    <row r="871" spans="1:19" ht="14.4">
      <c r="A871"/>
      <c r="B871"/>
      <c r="C871" s="27"/>
      <c r="D871" s="28"/>
      <c r="F871" s="9" t="str">
        <f t="shared" si="117"/>
        <v/>
      </c>
      <c r="G871" s="9">
        <f t="shared" si="118"/>
        <v>0</v>
      </c>
      <c r="H871" s="9">
        <f t="shared" si="119"/>
        <v>0</v>
      </c>
      <c r="I871" s="9">
        <f t="array" ref="I871">+SUM(IFERROR(VALUE(G871:H871),0))</f>
        <v>0</v>
      </c>
      <c r="K871" s="9" t="str">
        <f t="shared" si="120"/>
        <v/>
      </c>
      <c r="L871" s="9">
        <f t="shared" si="121"/>
        <v>0</v>
      </c>
      <c r="M871" s="9">
        <f t="shared" si="122"/>
        <v>0</v>
      </c>
      <c r="N871" s="9">
        <f t="array" ref="N871">+SUM(IFERROR(VALUE(L871:M871),0))</f>
        <v>0</v>
      </c>
      <c r="P871" s="9" t="str">
        <f t="shared" si="123"/>
        <v/>
      </c>
      <c r="Q871" s="9">
        <f t="shared" si="124"/>
        <v>0</v>
      </c>
      <c r="R871" s="9">
        <f t="shared" si="125"/>
        <v>0</v>
      </c>
      <c r="S871" s="9">
        <f t="array" ref="S871">+SUM(IFERROR(VALUE(Q871:R871),0))</f>
        <v>0</v>
      </c>
    </row>
    <row r="872" spans="1:19" ht="14.4">
      <c r="A872"/>
      <c r="B872"/>
      <c r="C872" s="27"/>
      <c r="D872" s="28"/>
      <c r="F872" s="9" t="str">
        <f t="shared" si="117"/>
        <v/>
      </c>
      <c r="G872" s="9">
        <f t="shared" si="118"/>
        <v>0</v>
      </c>
      <c r="H872" s="9">
        <f t="shared" si="119"/>
        <v>0</v>
      </c>
      <c r="I872" s="9">
        <f t="array" ref="I872">+SUM(IFERROR(VALUE(G872:H872),0))</f>
        <v>0</v>
      </c>
      <c r="K872" s="9" t="str">
        <f t="shared" si="120"/>
        <v/>
      </c>
      <c r="L872" s="9">
        <f t="shared" si="121"/>
        <v>0</v>
      </c>
      <c r="M872" s="9">
        <f t="shared" si="122"/>
        <v>0</v>
      </c>
      <c r="N872" s="9">
        <f t="array" ref="N872">+SUM(IFERROR(VALUE(L872:M872),0))</f>
        <v>0</v>
      </c>
      <c r="P872" s="9" t="str">
        <f t="shared" si="123"/>
        <v/>
      </c>
      <c r="Q872" s="9">
        <f t="shared" si="124"/>
        <v>0</v>
      </c>
      <c r="R872" s="9">
        <f t="shared" si="125"/>
        <v>0</v>
      </c>
      <c r="S872" s="9">
        <f t="array" ref="S872">+SUM(IFERROR(VALUE(Q872:R872),0))</f>
        <v>0</v>
      </c>
    </row>
    <row r="873" spans="1:19" ht="14.4">
      <c r="A873"/>
      <c r="B873"/>
      <c r="C873" s="27"/>
      <c r="D873" s="28"/>
      <c r="F873" s="9" t="str">
        <f t="shared" si="117"/>
        <v/>
      </c>
      <c r="G873" s="9">
        <f t="shared" si="118"/>
        <v>0</v>
      </c>
      <c r="H873" s="9">
        <f t="shared" si="119"/>
        <v>0</v>
      </c>
      <c r="I873" s="9">
        <f t="array" ref="I873">+SUM(IFERROR(VALUE(G873:H873),0))</f>
        <v>0</v>
      </c>
      <c r="K873" s="9" t="str">
        <f t="shared" si="120"/>
        <v/>
      </c>
      <c r="L873" s="9">
        <f t="shared" si="121"/>
        <v>0</v>
      </c>
      <c r="M873" s="9">
        <f t="shared" si="122"/>
        <v>0</v>
      </c>
      <c r="N873" s="9">
        <f t="array" ref="N873">+SUM(IFERROR(VALUE(L873:M873),0))</f>
        <v>0</v>
      </c>
      <c r="P873" s="9" t="str">
        <f t="shared" si="123"/>
        <v/>
      </c>
      <c r="Q873" s="9">
        <f t="shared" si="124"/>
        <v>0</v>
      </c>
      <c r="R873" s="9">
        <f t="shared" si="125"/>
        <v>0</v>
      </c>
      <c r="S873" s="9">
        <f t="array" ref="S873">+SUM(IFERROR(VALUE(Q873:R873),0))</f>
        <v>0</v>
      </c>
    </row>
    <row r="874" spans="1:19" ht="14.4">
      <c r="A874"/>
      <c r="B874"/>
      <c r="C874" s="27"/>
      <c r="D874" s="28"/>
      <c r="F874" s="9" t="str">
        <f t="shared" si="117"/>
        <v/>
      </c>
      <c r="G874" s="9">
        <f t="shared" si="118"/>
        <v>0</v>
      </c>
      <c r="H874" s="9">
        <f t="shared" si="119"/>
        <v>0</v>
      </c>
      <c r="I874" s="9">
        <f t="array" ref="I874">+SUM(IFERROR(VALUE(G874:H874),0))</f>
        <v>0</v>
      </c>
      <c r="K874" s="9" t="str">
        <f t="shared" si="120"/>
        <v/>
      </c>
      <c r="L874" s="9">
        <f t="shared" si="121"/>
        <v>0</v>
      </c>
      <c r="M874" s="9">
        <f t="shared" si="122"/>
        <v>0</v>
      </c>
      <c r="N874" s="9">
        <f t="array" ref="N874">+SUM(IFERROR(VALUE(L874:M874),0))</f>
        <v>0</v>
      </c>
      <c r="P874" s="9" t="str">
        <f t="shared" si="123"/>
        <v/>
      </c>
      <c r="Q874" s="9">
        <f t="shared" si="124"/>
        <v>0</v>
      </c>
      <c r="R874" s="9">
        <f t="shared" si="125"/>
        <v>0</v>
      </c>
      <c r="S874" s="9">
        <f t="array" ref="S874">+SUM(IFERROR(VALUE(Q874:R874),0))</f>
        <v>0</v>
      </c>
    </row>
    <row r="875" spans="1:19" ht="14.4">
      <c r="A875"/>
      <c r="B875"/>
      <c r="C875" s="27"/>
      <c r="D875" s="28"/>
      <c r="F875" s="9" t="str">
        <f t="shared" si="117"/>
        <v/>
      </c>
      <c r="G875" s="9">
        <f t="shared" si="118"/>
        <v>0</v>
      </c>
      <c r="H875" s="9">
        <f t="shared" si="119"/>
        <v>0</v>
      </c>
      <c r="I875" s="9">
        <f t="array" ref="I875">+SUM(IFERROR(VALUE(G875:H875),0))</f>
        <v>0</v>
      </c>
      <c r="K875" s="9" t="str">
        <f t="shared" si="120"/>
        <v/>
      </c>
      <c r="L875" s="9">
        <f t="shared" si="121"/>
        <v>0</v>
      </c>
      <c r="M875" s="9">
        <f t="shared" si="122"/>
        <v>0</v>
      </c>
      <c r="N875" s="9">
        <f t="array" ref="N875">+SUM(IFERROR(VALUE(L875:M875),0))</f>
        <v>0</v>
      </c>
      <c r="P875" s="9" t="str">
        <f t="shared" si="123"/>
        <v/>
      </c>
      <c r="Q875" s="9">
        <f t="shared" si="124"/>
        <v>0</v>
      </c>
      <c r="R875" s="9">
        <f t="shared" si="125"/>
        <v>0</v>
      </c>
      <c r="S875" s="9">
        <f t="array" ref="S875">+SUM(IFERROR(VALUE(Q875:R875),0))</f>
        <v>0</v>
      </c>
    </row>
    <row r="876" spans="1:19" ht="14.4">
      <c r="A876"/>
      <c r="B876"/>
      <c r="C876" s="27"/>
      <c r="D876" s="28"/>
      <c r="F876" s="9" t="str">
        <f t="shared" si="117"/>
        <v/>
      </c>
      <c r="G876" s="9">
        <f t="shared" si="118"/>
        <v>0</v>
      </c>
      <c r="H876" s="9">
        <f t="shared" si="119"/>
        <v>0</v>
      </c>
      <c r="I876" s="9">
        <f t="array" ref="I876">+SUM(IFERROR(VALUE(G876:H876),0))</f>
        <v>0</v>
      </c>
      <c r="K876" s="9" t="str">
        <f t="shared" si="120"/>
        <v/>
      </c>
      <c r="L876" s="9">
        <f t="shared" si="121"/>
        <v>0</v>
      </c>
      <c r="M876" s="9">
        <f t="shared" si="122"/>
        <v>0</v>
      </c>
      <c r="N876" s="9">
        <f t="array" ref="N876">+SUM(IFERROR(VALUE(L876:M876),0))</f>
        <v>0</v>
      </c>
      <c r="P876" s="9" t="str">
        <f t="shared" si="123"/>
        <v/>
      </c>
      <c r="Q876" s="9">
        <f t="shared" si="124"/>
        <v>0</v>
      </c>
      <c r="R876" s="9">
        <f t="shared" si="125"/>
        <v>0</v>
      </c>
      <c r="S876" s="9">
        <f t="array" ref="S876">+SUM(IFERROR(VALUE(Q876:R876),0))</f>
        <v>0</v>
      </c>
    </row>
    <row r="877" spans="1:19" ht="14.4">
      <c r="A877"/>
      <c r="B877"/>
      <c r="C877" s="27"/>
      <c r="D877" s="28"/>
      <c r="F877" s="9" t="str">
        <f t="shared" si="117"/>
        <v/>
      </c>
      <c r="G877" s="9">
        <f t="shared" si="118"/>
        <v>0</v>
      </c>
      <c r="H877" s="9">
        <f t="shared" si="119"/>
        <v>0</v>
      </c>
      <c r="I877" s="9">
        <f t="array" ref="I877">+SUM(IFERROR(VALUE(G877:H877),0))</f>
        <v>0</v>
      </c>
      <c r="K877" s="9" t="str">
        <f t="shared" si="120"/>
        <v/>
      </c>
      <c r="L877" s="9">
        <f t="shared" si="121"/>
        <v>0</v>
      </c>
      <c r="M877" s="9">
        <f t="shared" si="122"/>
        <v>0</v>
      </c>
      <c r="N877" s="9">
        <f t="array" ref="N877">+SUM(IFERROR(VALUE(L877:M877),0))</f>
        <v>0</v>
      </c>
      <c r="P877" s="9" t="str">
        <f t="shared" si="123"/>
        <v/>
      </c>
      <c r="Q877" s="9">
        <f t="shared" si="124"/>
        <v>0</v>
      </c>
      <c r="R877" s="9">
        <f t="shared" si="125"/>
        <v>0</v>
      </c>
      <c r="S877" s="9">
        <f t="array" ref="S877">+SUM(IFERROR(VALUE(Q877:R877),0))</f>
        <v>0</v>
      </c>
    </row>
    <row r="878" spans="1:19" ht="14.4">
      <c r="A878"/>
      <c r="B878"/>
      <c r="C878" s="27"/>
      <c r="D878" s="28"/>
      <c r="F878" s="9" t="str">
        <f t="shared" si="117"/>
        <v/>
      </c>
      <c r="G878" s="9">
        <f t="shared" si="118"/>
        <v>0</v>
      </c>
      <c r="H878" s="9">
        <f t="shared" si="119"/>
        <v>0</v>
      </c>
      <c r="I878" s="9">
        <f t="array" ref="I878">+SUM(IFERROR(VALUE(G878:H878),0))</f>
        <v>0</v>
      </c>
      <c r="K878" s="9" t="str">
        <f t="shared" si="120"/>
        <v/>
      </c>
      <c r="L878" s="9">
        <f t="shared" si="121"/>
        <v>0</v>
      </c>
      <c r="M878" s="9">
        <f t="shared" si="122"/>
        <v>0</v>
      </c>
      <c r="N878" s="9">
        <f t="array" ref="N878">+SUM(IFERROR(VALUE(L878:M878),0))</f>
        <v>0</v>
      </c>
      <c r="P878" s="9" t="str">
        <f t="shared" si="123"/>
        <v/>
      </c>
      <c r="Q878" s="9">
        <f t="shared" si="124"/>
        <v>0</v>
      </c>
      <c r="R878" s="9">
        <f t="shared" si="125"/>
        <v>0</v>
      </c>
      <c r="S878" s="9">
        <f t="array" ref="S878">+SUM(IFERROR(VALUE(Q878:R878),0))</f>
        <v>0</v>
      </c>
    </row>
    <row r="879" spans="1:19" ht="14.4">
      <c r="A879"/>
      <c r="B879"/>
      <c r="C879" s="27"/>
      <c r="D879" s="28"/>
      <c r="F879" s="9" t="str">
        <f t="shared" si="117"/>
        <v/>
      </c>
      <c r="G879" s="9">
        <f t="shared" si="118"/>
        <v>0</v>
      </c>
      <c r="H879" s="9">
        <f t="shared" si="119"/>
        <v>0</v>
      </c>
      <c r="I879" s="9">
        <f t="array" ref="I879">+SUM(IFERROR(VALUE(G879:H879),0))</f>
        <v>0</v>
      </c>
      <c r="K879" s="9" t="str">
        <f t="shared" si="120"/>
        <v/>
      </c>
      <c r="L879" s="9">
        <f t="shared" si="121"/>
        <v>0</v>
      </c>
      <c r="M879" s="9">
        <f t="shared" si="122"/>
        <v>0</v>
      </c>
      <c r="N879" s="9">
        <f t="array" ref="N879">+SUM(IFERROR(VALUE(L879:M879),0))</f>
        <v>0</v>
      </c>
      <c r="P879" s="9" t="str">
        <f t="shared" si="123"/>
        <v/>
      </c>
      <c r="Q879" s="9">
        <f t="shared" si="124"/>
        <v>0</v>
      </c>
      <c r="R879" s="9">
        <f t="shared" si="125"/>
        <v>0</v>
      </c>
      <c r="S879" s="9">
        <f t="array" ref="S879">+SUM(IFERROR(VALUE(Q879:R879),0))</f>
        <v>0</v>
      </c>
    </row>
    <row r="880" spans="1:19" ht="14.4">
      <c r="A880"/>
      <c r="B880"/>
      <c r="C880" s="27"/>
      <c r="D880" s="28"/>
      <c r="F880" s="9" t="str">
        <f t="shared" si="117"/>
        <v/>
      </c>
      <c r="G880" s="9">
        <f t="shared" si="118"/>
        <v>0</v>
      </c>
      <c r="H880" s="9">
        <f t="shared" si="119"/>
        <v>0</v>
      </c>
      <c r="I880" s="9">
        <f t="array" ref="I880">+SUM(IFERROR(VALUE(G880:H880),0))</f>
        <v>0</v>
      </c>
      <c r="K880" s="9" t="str">
        <f t="shared" si="120"/>
        <v/>
      </c>
      <c r="L880" s="9">
        <f t="shared" si="121"/>
        <v>0</v>
      </c>
      <c r="M880" s="9">
        <f t="shared" si="122"/>
        <v>0</v>
      </c>
      <c r="N880" s="9">
        <f t="array" ref="N880">+SUM(IFERROR(VALUE(L880:M880),0))</f>
        <v>0</v>
      </c>
      <c r="P880" s="9" t="str">
        <f t="shared" si="123"/>
        <v/>
      </c>
      <c r="Q880" s="9">
        <f t="shared" si="124"/>
        <v>0</v>
      </c>
      <c r="R880" s="9">
        <f t="shared" si="125"/>
        <v>0</v>
      </c>
      <c r="S880" s="9">
        <f t="array" ref="S880">+SUM(IFERROR(VALUE(Q880:R880),0))</f>
        <v>0</v>
      </c>
    </row>
    <row r="881" spans="1:19" ht="14.4">
      <c r="A881"/>
      <c r="B881"/>
      <c r="C881" s="27"/>
      <c r="D881" s="28"/>
      <c r="F881" s="9" t="str">
        <f t="shared" si="117"/>
        <v/>
      </c>
      <c r="G881" s="9">
        <f t="shared" si="118"/>
        <v>0</v>
      </c>
      <c r="H881" s="9">
        <f t="shared" si="119"/>
        <v>0</v>
      </c>
      <c r="I881" s="9">
        <f t="array" ref="I881">+SUM(IFERROR(VALUE(G881:H881),0))</f>
        <v>0</v>
      </c>
      <c r="K881" s="9" t="str">
        <f t="shared" si="120"/>
        <v/>
      </c>
      <c r="L881" s="9">
        <f t="shared" si="121"/>
        <v>0</v>
      </c>
      <c r="M881" s="9">
        <f t="shared" si="122"/>
        <v>0</v>
      </c>
      <c r="N881" s="9">
        <f t="array" ref="N881">+SUM(IFERROR(VALUE(L881:M881),0))</f>
        <v>0</v>
      </c>
      <c r="P881" s="9" t="str">
        <f t="shared" si="123"/>
        <v/>
      </c>
      <c r="Q881" s="9">
        <f t="shared" si="124"/>
        <v>0</v>
      </c>
      <c r="R881" s="9">
        <f t="shared" si="125"/>
        <v>0</v>
      </c>
      <c r="S881" s="9">
        <f t="array" ref="S881">+SUM(IFERROR(VALUE(Q881:R881),0))</f>
        <v>0</v>
      </c>
    </row>
    <row r="882" spans="1:19" ht="14.4">
      <c r="A882"/>
      <c r="B882"/>
      <c r="C882" s="27"/>
      <c r="D882" s="28"/>
      <c r="F882" s="9" t="str">
        <f t="shared" si="117"/>
        <v/>
      </c>
      <c r="G882" s="9">
        <f t="shared" si="118"/>
        <v>0</v>
      </c>
      <c r="H882" s="9">
        <f t="shared" si="119"/>
        <v>0</v>
      </c>
      <c r="I882" s="9">
        <f t="array" ref="I882">+SUM(IFERROR(VALUE(G882:H882),0))</f>
        <v>0</v>
      </c>
      <c r="K882" s="9" t="str">
        <f t="shared" si="120"/>
        <v/>
      </c>
      <c r="L882" s="9">
        <f t="shared" si="121"/>
        <v>0</v>
      </c>
      <c r="M882" s="9">
        <f t="shared" si="122"/>
        <v>0</v>
      </c>
      <c r="N882" s="9">
        <f t="array" ref="N882">+SUM(IFERROR(VALUE(L882:M882),0))</f>
        <v>0</v>
      </c>
      <c r="P882" s="9" t="str">
        <f t="shared" si="123"/>
        <v/>
      </c>
      <c r="Q882" s="9">
        <f t="shared" si="124"/>
        <v>0</v>
      </c>
      <c r="R882" s="9">
        <f t="shared" si="125"/>
        <v>0</v>
      </c>
      <c r="S882" s="9">
        <f t="array" ref="S882">+SUM(IFERROR(VALUE(Q882:R882),0))</f>
        <v>0</v>
      </c>
    </row>
    <row r="883" spans="1:19" ht="14.4">
      <c r="A883"/>
      <c r="B883"/>
      <c r="C883" s="27"/>
      <c r="D883" s="28"/>
      <c r="F883" s="9" t="str">
        <f t="shared" si="117"/>
        <v/>
      </c>
      <c r="G883" s="9">
        <f t="shared" si="118"/>
        <v>0</v>
      </c>
      <c r="H883" s="9">
        <f t="shared" si="119"/>
        <v>0</v>
      </c>
      <c r="I883" s="9">
        <f t="array" ref="I883">+SUM(IFERROR(VALUE(G883:H883),0))</f>
        <v>0</v>
      </c>
      <c r="K883" s="9" t="str">
        <f t="shared" si="120"/>
        <v/>
      </c>
      <c r="L883" s="9">
        <f t="shared" si="121"/>
        <v>0</v>
      </c>
      <c r="M883" s="9">
        <f t="shared" si="122"/>
        <v>0</v>
      </c>
      <c r="N883" s="9">
        <f t="array" ref="N883">+SUM(IFERROR(VALUE(L883:M883),0))</f>
        <v>0</v>
      </c>
      <c r="P883" s="9" t="str">
        <f t="shared" si="123"/>
        <v/>
      </c>
      <c r="Q883" s="9">
        <f t="shared" si="124"/>
        <v>0</v>
      </c>
      <c r="R883" s="9">
        <f t="shared" si="125"/>
        <v>0</v>
      </c>
      <c r="S883" s="9">
        <f t="array" ref="S883">+SUM(IFERROR(VALUE(Q883:R883),0))</f>
        <v>0</v>
      </c>
    </row>
    <row r="884" spans="1:19" ht="14.4">
      <c r="A884"/>
      <c r="B884"/>
      <c r="C884" s="27"/>
      <c r="D884" s="28"/>
      <c r="F884" s="9" t="str">
        <f t="shared" si="117"/>
        <v/>
      </c>
      <c r="G884" s="9">
        <f t="shared" si="118"/>
        <v>0</v>
      </c>
      <c r="H884" s="9">
        <f t="shared" si="119"/>
        <v>0</v>
      </c>
      <c r="I884" s="9">
        <f t="array" ref="I884">+SUM(IFERROR(VALUE(G884:H884),0))</f>
        <v>0</v>
      </c>
      <c r="K884" s="9" t="str">
        <f t="shared" si="120"/>
        <v/>
      </c>
      <c r="L884" s="9">
        <f t="shared" si="121"/>
        <v>0</v>
      </c>
      <c r="M884" s="9">
        <f t="shared" si="122"/>
        <v>0</v>
      </c>
      <c r="N884" s="9">
        <f t="array" ref="N884">+SUM(IFERROR(VALUE(L884:M884),0))</f>
        <v>0</v>
      </c>
      <c r="P884" s="9" t="str">
        <f t="shared" si="123"/>
        <v/>
      </c>
      <c r="Q884" s="9">
        <f t="shared" si="124"/>
        <v>0</v>
      </c>
      <c r="R884" s="9">
        <f t="shared" si="125"/>
        <v>0</v>
      </c>
      <c r="S884" s="9">
        <f t="array" ref="S884">+SUM(IFERROR(VALUE(Q884:R884),0))</f>
        <v>0</v>
      </c>
    </row>
    <row r="885" spans="1:19" ht="14.4">
      <c r="A885"/>
      <c r="B885"/>
      <c r="C885" s="27"/>
      <c r="D885" s="28"/>
      <c r="F885" s="9" t="str">
        <f t="shared" si="117"/>
        <v/>
      </c>
      <c r="G885" s="9">
        <f t="shared" si="118"/>
        <v>0</v>
      </c>
      <c r="H885" s="9">
        <f t="shared" si="119"/>
        <v>0</v>
      </c>
      <c r="I885" s="9">
        <f t="array" ref="I885">+SUM(IFERROR(VALUE(G885:H885),0))</f>
        <v>0</v>
      </c>
      <c r="K885" s="9" t="str">
        <f t="shared" si="120"/>
        <v/>
      </c>
      <c r="L885" s="9">
        <f t="shared" si="121"/>
        <v>0</v>
      </c>
      <c r="M885" s="9">
        <f t="shared" si="122"/>
        <v>0</v>
      </c>
      <c r="N885" s="9">
        <f t="array" ref="N885">+SUM(IFERROR(VALUE(L885:M885),0))</f>
        <v>0</v>
      </c>
      <c r="P885" s="9" t="str">
        <f t="shared" si="123"/>
        <v/>
      </c>
      <c r="Q885" s="9">
        <f t="shared" si="124"/>
        <v>0</v>
      </c>
      <c r="R885" s="9">
        <f t="shared" si="125"/>
        <v>0</v>
      </c>
      <c r="S885" s="9">
        <f t="array" ref="S885">+SUM(IFERROR(VALUE(Q885:R885),0))</f>
        <v>0</v>
      </c>
    </row>
    <row r="886" spans="1:19" ht="14.4">
      <c r="A886"/>
      <c r="B886"/>
      <c r="C886" s="27"/>
      <c r="D886" s="28"/>
      <c r="F886" s="9" t="str">
        <f t="shared" si="117"/>
        <v/>
      </c>
      <c r="G886" s="9">
        <f t="shared" si="118"/>
        <v>0</v>
      </c>
      <c r="H886" s="9">
        <f t="shared" si="119"/>
        <v>0</v>
      </c>
      <c r="I886" s="9">
        <f t="array" ref="I886">+SUM(IFERROR(VALUE(G886:H886),0))</f>
        <v>0</v>
      </c>
      <c r="K886" s="9" t="str">
        <f t="shared" si="120"/>
        <v/>
      </c>
      <c r="L886" s="9">
        <f t="shared" si="121"/>
        <v>0</v>
      </c>
      <c r="M886" s="9">
        <f t="shared" si="122"/>
        <v>0</v>
      </c>
      <c r="N886" s="9">
        <f t="array" ref="N886">+SUM(IFERROR(VALUE(L886:M886),0))</f>
        <v>0</v>
      </c>
      <c r="P886" s="9" t="str">
        <f t="shared" si="123"/>
        <v/>
      </c>
      <c r="Q886" s="9">
        <f t="shared" si="124"/>
        <v>0</v>
      </c>
      <c r="R886" s="9">
        <f t="shared" si="125"/>
        <v>0</v>
      </c>
      <c r="S886" s="9">
        <f t="array" ref="S886">+SUM(IFERROR(VALUE(Q886:R886),0))</f>
        <v>0</v>
      </c>
    </row>
    <row r="887" spans="1:19" ht="14.4">
      <c r="A887"/>
      <c r="B887"/>
      <c r="C887" s="27"/>
      <c r="D887" s="28"/>
      <c r="F887" s="9" t="str">
        <f t="shared" si="117"/>
        <v/>
      </c>
      <c r="G887" s="9">
        <f t="shared" si="118"/>
        <v>0</v>
      </c>
      <c r="H887" s="9">
        <f t="shared" si="119"/>
        <v>0</v>
      </c>
      <c r="I887" s="9">
        <f t="array" ref="I887">+SUM(IFERROR(VALUE(G887:H887),0))</f>
        <v>0</v>
      </c>
      <c r="K887" s="9" t="str">
        <f t="shared" si="120"/>
        <v/>
      </c>
      <c r="L887" s="9">
        <f t="shared" si="121"/>
        <v>0</v>
      </c>
      <c r="M887" s="9">
        <f t="shared" si="122"/>
        <v>0</v>
      </c>
      <c r="N887" s="9">
        <f t="array" ref="N887">+SUM(IFERROR(VALUE(L887:M887),0))</f>
        <v>0</v>
      </c>
      <c r="P887" s="9" t="str">
        <f t="shared" si="123"/>
        <v/>
      </c>
      <c r="Q887" s="9">
        <f t="shared" si="124"/>
        <v>0</v>
      </c>
      <c r="R887" s="9">
        <f t="shared" si="125"/>
        <v>0</v>
      </c>
      <c r="S887" s="9">
        <f t="array" ref="S887">+SUM(IFERROR(VALUE(Q887:R887),0))</f>
        <v>0</v>
      </c>
    </row>
    <row r="888" spans="1:19" ht="14.4">
      <c r="A888"/>
      <c r="B888"/>
      <c r="C888" s="27"/>
      <c r="D888" s="28"/>
      <c r="F888" s="9" t="str">
        <f t="shared" si="117"/>
        <v/>
      </c>
      <c r="G888" s="9">
        <f t="shared" si="118"/>
        <v>0</v>
      </c>
      <c r="H888" s="9">
        <f t="shared" si="119"/>
        <v>0</v>
      </c>
      <c r="I888" s="9">
        <f t="array" ref="I888">+SUM(IFERROR(VALUE(G888:H888),0))</f>
        <v>0</v>
      </c>
      <c r="K888" s="9" t="str">
        <f t="shared" si="120"/>
        <v/>
      </c>
      <c r="L888" s="9">
        <f t="shared" si="121"/>
        <v>0</v>
      </c>
      <c r="M888" s="9">
        <f t="shared" si="122"/>
        <v>0</v>
      </c>
      <c r="N888" s="9">
        <f t="array" ref="N888">+SUM(IFERROR(VALUE(L888:M888),0))</f>
        <v>0</v>
      </c>
      <c r="P888" s="9" t="str">
        <f t="shared" si="123"/>
        <v/>
      </c>
      <c r="Q888" s="9">
        <f t="shared" si="124"/>
        <v>0</v>
      </c>
      <c r="R888" s="9">
        <f t="shared" si="125"/>
        <v>0</v>
      </c>
      <c r="S888" s="9">
        <f t="array" ref="S888">+SUM(IFERROR(VALUE(Q888:R888),0))</f>
        <v>0</v>
      </c>
    </row>
    <row r="889" spans="1:19" ht="14.4">
      <c r="A889"/>
      <c r="B889"/>
      <c r="C889" s="27"/>
      <c r="D889" s="28"/>
      <c r="F889" s="9" t="str">
        <f t="shared" si="117"/>
        <v/>
      </c>
      <c r="G889" s="9">
        <f t="shared" si="118"/>
        <v>0</v>
      </c>
      <c r="H889" s="9">
        <f t="shared" si="119"/>
        <v>0</v>
      </c>
      <c r="I889" s="9">
        <f t="array" ref="I889">+SUM(IFERROR(VALUE(G889:H889),0))</f>
        <v>0</v>
      </c>
      <c r="K889" s="9" t="str">
        <f t="shared" si="120"/>
        <v/>
      </c>
      <c r="L889" s="9">
        <f t="shared" si="121"/>
        <v>0</v>
      </c>
      <c r="M889" s="9">
        <f t="shared" si="122"/>
        <v>0</v>
      </c>
      <c r="N889" s="9">
        <f t="array" ref="N889">+SUM(IFERROR(VALUE(L889:M889),0))</f>
        <v>0</v>
      </c>
      <c r="P889" s="9" t="str">
        <f t="shared" si="123"/>
        <v/>
      </c>
      <c r="Q889" s="9">
        <f t="shared" si="124"/>
        <v>0</v>
      </c>
      <c r="R889" s="9">
        <f t="shared" si="125"/>
        <v>0</v>
      </c>
      <c r="S889" s="9">
        <f t="array" ref="S889">+SUM(IFERROR(VALUE(Q889:R889),0))</f>
        <v>0</v>
      </c>
    </row>
    <row r="890" spans="1:19" ht="14.4">
      <c r="A890"/>
      <c r="B890"/>
      <c r="C890" s="27"/>
      <c r="D890" s="28"/>
      <c r="F890" s="9" t="str">
        <f t="shared" si="117"/>
        <v/>
      </c>
      <c r="G890" s="9">
        <f t="shared" si="118"/>
        <v>0</v>
      </c>
      <c r="H890" s="9">
        <f t="shared" si="119"/>
        <v>0</v>
      </c>
      <c r="I890" s="9">
        <f t="array" ref="I890">+SUM(IFERROR(VALUE(G890:H890),0))</f>
        <v>0</v>
      </c>
      <c r="K890" s="9" t="str">
        <f t="shared" si="120"/>
        <v/>
      </c>
      <c r="L890" s="9">
        <f t="shared" si="121"/>
        <v>0</v>
      </c>
      <c r="M890" s="9">
        <f t="shared" si="122"/>
        <v>0</v>
      </c>
      <c r="N890" s="9">
        <f t="array" ref="N890">+SUM(IFERROR(VALUE(L890:M890),0))</f>
        <v>0</v>
      </c>
      <c r="P890" s="9" t="str">
        <f t="shared" si="123"/>
        <v/>
      </c>
      <c r="Q890" s="9">
        <f t="shared" si="124"/>
        <v>0</v>
      </c>
      <c r="R890" s="9">
        <f t="shared" si="125"/>
        <v>0</v>
      </c>
      <c r="S890" s="9">
        <f t="array" ref="S890">+SUM(IFERROR(VALUE(Q890:R890),0))</f>
        <v>0</v>
      </c>
    </row>
    <row r="891" spans="1:19" ht="14.4">
      <c r="A891"/>
      <c r="B891"/>
      <c r="C891" s="27"/>
      <c r="D891" s="28"/>
      <c r="F891" s="9" t="str">
        <f t="shared" si="117"/>
        <v/>
      </c>
      <c r="G891" s="9">
        <f t="shared" si="118"/>
        <v>0</v>
      </c>
      <c r="H891" s="9">
        <f t="shared" si="119"/>
        <v>0</v>
      </c>
      <c r="I891" s="9">
        <f t="array" ref="I891">+SUM(IFERROR(VALUE(G891:H891),0))</f>
        <v>0</v>
      </c>
      <c r="K891" s="9" t="str">
        <f t="shared" si="120"/>
        <v/>
      </c>
      <c r="L891" s="9">
        <f t="shared" si="121"/>
        <v>0</v>
      </c>
      <c r="M891" s="9">
        <f t="shared" si="122"/>
        <v>0</v>
      </c>
      <c r="N891" s="9">
        <f t="array" ref="N891">+SUM(IFERROR(VALUE(L891:M891),0))</f>
        <v>0</v>
      </c>
      <c r="P891" s="9" t="str">
        <f t="shared" si="123"/>
        <v/>
      </c>
      <c r="Q891" s="9">
        <f t="shared" si="124"/>
        <v>0</v>
      </c>
      <c r="R891" s="9">
        <f t="shared" si="125"/>
        <v>0</v>
      </c>
      <c r="S891" s="9">
        <f t="array" ref="S891">+SUM(IFERROR(VALUE(Q891:R891),0))</f>
        <v>0</v>
      </c>
    </row>
    <row r="892" spans="1:19" ht="14.4">
      <c r="A892"/>
      <c r="B892"/>
      <c r="C892" s="27"/>
      <c r="D892" s="28"/>
      <c r="F892" s="9" t="str">
        <f t="shared" si="117"/>
        <v/>
      </c>
      <c r="G892" s="9">
        <f t="shared" si="118"/>
        <v>0</v>
      </c>
      <c r="H892" s="9">
        <f t="shared" si="119"/>
        <v>0</v>
      </c>
      <c r="I892" s="9">
        <f t="array" ref="I892">+SUM(IFERROR(VALUE(G892:H892),0))</f>
        <v>0</v>
      </c>
      <c r="K892" s="9" t="str">
        <f t="shared" si="120"/>
        <v/>
      </c>
      <c r="L892" s="9">
        <f t="shared" si="121"/>
        <v>0</v>
      </c>
      <c r="M892" s="9">
        <f t="shared" si="122"/>
        <v>0</v>
      </c>
      <c r="N892" s="9">
        <f t="array" ref="N892">+SUM(IFERROR(VALUE(L892:M892),0))</f>
        <v>0</v>
      </c>
      <c r="P892" s="9" t="str">
        <f t="shared" si="123"/>
        <v/>
      </c>
      <c r="Q892" s="9">
        <f t="shared" si="124"/>
        <v>0</v>
      </c>
      <c r="R892" s="9">
        <f t="shared" si="125"/>
        <v>0</v>
      </c>
      <c r="S892" s="9">
        <f t="array" ref="S892">+SUM(IFERROR(VALUE(Q892:R892),0))</f>
        <v>0</v>
      </c>
    </row>
    <row r="893" spans="1:19" ht="14.4">
      <c r="A893"/>
      <c r="B893"/>
      <c r="C893" s="27"/>
      <c r="D893" s="28"/>
      <c r="F893" s="9" t="str">
        <f t="shared" si="117"/>
        <v/>
      </c>
      <c r="G893" s="9">
        <f t="shared" si="118"/>
        <v>0</v>
      </c>
      <c r="H893" s="9">
        <f t="shared" si="119"/>
        <v>0</v>
      </c>
      <c r="I893" s="9">
        <f t="array" ref="I893">+SUM(IFERROR(VALUE(G893:H893),0))</f>
        <v>0</v>
      </c>
      <c r="K893" s="9" t="str">
        <f t="shared" si="120"/>
        <v/>
      </c>
      <c r="L893" s="9">
        <f t="shared" si="121"/>
        <v>0</v>
      </c>
      <c r="M893" s="9">
        <f t="shared" si="122"/>
        <v>0</v>
      </c>
      <c r="N893" s="9">
        <f t="array" ref="N893">+SUM(IFERROR(VALUE(L893:M893),0))</f>
        <v>0</v>
      </c>
      <c r="P893" s="9" t="str">
        <f t="shared" si="123"/>
        <v/>
      </c>
      <c r="Q893" s="9">
        <f t="shared" si="124"/>
        <v>0</v>
      </c>
      <c r="R893" s="9">
        <f t="shared" si="125"/>
        <v>0</v>
      </c>
      <c r="S893" s="9">
        <f t="array" ref="S893">+SUM(IFERROR(VALUE(Q893:R893),0))</f>
        <v>0</v>
      </c>
    </row>
    <row r="894" spans="1:19" ht="14.4">
      <c r="A894"/>
      <c r="B894"/>
      <c r="C894" s="27"/>
      <c r="D894" s="28"/>
      <c r="F894" s="9" t="str">
        <f t="shared" si="117"/>
        <v/>
      </c>
      <c r="G894" s="9">
        <f t="shared" si="118"/>
        <v>0</v>
      </c>
      <c r="H894" s="9">
        <f t="shared" si="119"/>
        <v>0</v>
      </c>
      <c r="I894" s="9">
        <f t="array" ref="I894">+SUM(IFERROR(VALUE(G894:H894),0))</f>
        <v>0</v>
      </c>
      <c r="K894" s="9" t="str">
        <f t="shared" si="120"/>
        <v/>
      </c>
      <c r="L894" s="9">
        <f t="shared" si="121"/>
        <v>0</v>
      </c>
      <c r="M894" s="9">
        <f t="shared" si="122"/>
        <v>0</v>
      </c>
      <c r="N894" s="9">
        <f t="array" ref="N894">+SUM(IFERROR(VALUE(L894:M894),0))</f>
        <v>0</v>
      </c>
      <c r="P894" s="9" t="str">
        <f t="shared" si="123"/>
        <v/>
      </c>
      <c r="Q894" s="9">
        <f t="shared" si="124"/>
        <v>0</v>
      </c>
      <c r="R894" s="9">
        <f t="shared" si="125"/>
        <v>0</v>
      </c>
      <c r="S894" s="9">
        <f t="array" ref="S894">+SUM(IFERROR(VALUE(Q894:R894),0))</f>
        <v>0</v>
      </c>
    </row>
    <row r="895" spans="1:19" ht="14.4">
      <c r="A895"/>
      <c r="B895"/>
      <c r="C895" s="27"/>
      <c r="D895" s="28"/>
      <c r="F895" s="9" t="str">
        <f t="shared" si="117"/>
        <v/>
      </c>
      <c r="G895" s="9">
        <f t="shared" si="118"/>
        <v>0</v>
      </c>
      <c r="H895" s="9">
        <f t="shared" si="119"/>
        <v>0</v>
      </c>
      <c r="I895" s="9">
        <f t="array" ref="I895">+SUM(IFERROR(VALUE(G895:H895),0))</f>
        <v>0</v>
      </c>
      <c r="K895" s="9" t="str">
        <f t="shared" si="120"/>
        <v/>
      </c>
      <c r="L895" s="9">
        <f t="shared" si="121"/>
        <v>0</v>
      </c>
      <c r="M895" s="9">
        <f t="shared" si="122"/>
        <v>0</v>
      </c>
      <c r="N895" s="9">
        <f t="array" ref="N895">+SUM(IFERROR(VALUE(L895:M895),0))</f>
        <v>0</v>
      </c>
      <c r="P895" s="9" t="str">
        <f t="shared" si="123"/>
        <v/>
      </c>
      <c r="Q895" s="9">
        <f t="shared" si="124"/>
        <v>0</v>
      </c>
      <c r="R895" s="9">
        <f t="shared" si="125"/>
        <v>0</v>
      </c>
      <c r="S895" s="9">
        <f t="array" ref="S895">+SUM(IFERROR(VALUE(Q895:R895),0))</f>
        <v>0</v>
      </c>
    </row>
    <row r="896" spans="1:19" ht="14.4">
      <c r="A896"/>
      <c r="B896"/>
      <c r="C896" s="27"/>
      <c r="D896" s="28"/>
      <c r="F896" s="9" t="str">
        <f t="shared" si="117"/>
        <v/>
      </c>
      <c r="G896" s="9">
        <f t="shared" si="118"/>
        <v>0</v>
      </c>
      <c r="H896" s="9">
        <f t="shared" si="119"/>
        <v>0</v>
      </c>
      <c r="I896" s="9">
        <f t="array" ref="I896">+SUM(IFERROR(VALUE(G896:H896),0))</f>
        <v>0</v>
      </c>
      <c r="K896" s="9" t="str">
        <f t="shared" si="120"/>
        <v/>
      </c>
      <c r="L896" s="9">
        <f t="shared" si="121"/>
        <v>0</v>
      </c>
      <c r="M896" s="9">
        <f t="shared" si="122"/>
        <v>0</v>
      </c>
      <c r="N896" s="9">
        <f t="array" ref="N896">+SUM(IFERROR(VALUE(L896:M896),0))</f>
        <v>0</v>
      </c>
      <c r="P896" s="9" t="str">
        <f t="shared" si="123"/>
        <v/>
      </c>
      <c r="Q896" s="9">
        <f t="shared" si="124"/>
        <v>0</v>
      </c>
      <c r="R896" s="9">
        <f t="shared" si="125"/>
        <v>0</v>
      </c>
      <c r="S896" s="9">
        <f t="array" ref="S896">+SUM(IFERROR(VALUE(Q896:R896),0))</f>
        <v>0</v>
      </c>
    </row>
    <row r="897" spans="1:19" ht="14.4">
      <c r="A897"/>
      <c r="B897"/>
      <c r="C897" s="27"/>
      <c r="D897" s="28"/>
      <c r="F897" s="9" t="str">
        <f t="shared" si="117"/>
        <v/>
      </c>
      <c r="G897" s="9">
        <f t="shared" si="118"/>
        <v>0</v>
      </c>
      <c r="H897" s="9">
        <f t="shared" si="119"/>
        <v>0</v>
      </c>
      <c r="I897" s="9">
        <f t="array" ref="I897">+SUM(IFERROR(VALUE(G897:H897),0))</f>
        <v>0</v>
      </c>
      <c r="K897" s="9" t="str">
        <f t="shared" si="120"/>
        <v/>
      </c>
      <c r="L897" s="9">
        <f t="shared" si="121"/>
        <v>0</v>
      </c>
      <c r="M897" s="9">
        <f t="shared" si="122"/>
        <v>0</v>
      </c>
      <c r="N897" s="9">
        <f t="array" ref="N897">+SUM(IFERROR(VALUE(L897:M897),0))</f>
        <v>0</v>
      </c>
      <c r="P897" s="9" t="str">
        <f t="shared" si="123"/>
        <v/>
      </c>
      <c r="Q897" s="9">
        <f t="shared" si="124"/>
        <v>0</v>
      </c>
      <c r="R897" s="9">
        <f t="shared" si="125"/>
        <v>0</v>
      </c>
      <c r="S897" s="9">
        <f t="array" ref="S897">+SUM(IFERROR(VALUE(Q897:R897),0))</f>
        <v>0</v>
      </c>
    </row>
    <row r="898" spans="1:19" ht="14.4">
      <c r="A898"/>
      <c r="B898"/>
      <c r="C898" s="27"/>
      <c r="D898" s="28"/>
      <c r="F898" s="9" t="str">
        <f t="shared" si="117"/>
        <v/>
      </c>
      <c r="G898" s="9">
        <f t="shared" si="118"/>
        <v>0</v>
      </c>
      <c r="H898" s="9">
        <f t="shared" si="119"/>
        <v>0</v>
      </c>
      <c r="I898" s="9">
        <f t="array" ref="I898">+SUM(IFERROR(VALUE(G898:H898),0))</f>
        <v>0</v>
      </c>
      <c r="K898" s="9" t="str">
        <f t="shared" si="120"/>
        <v/>
      </c>
      <c r="L898" s="9">
        <f t="shared" si="121"/>
        <v>0</v>
      </c>
      <c r="M898" s="9">
        <f t="shared" si="122"/>
        <v>0</v>
      </c>
      <c r="N898" s="9">
        <f t="array" ref="N898">+SUM(IFERROR(VALUE(L898:M898),0))</f>
        <v>0</v>
      </c>
      <c r="P898" s="9" t="str">
        <f t="shared" si="123"/>
        <v/>
      </c>
      <c r="Q898" s="9">
        <f t="shared" si="124"/>
        <v>0</v>
      </c>
      <c r="R898" s="9">
        <f t="shared" si="125"/>
        <v>0</v>
      </c>
      <c r="S898" s="9">
        <f t="array" ref="S898">+SUM(IFERROR(VALUE(Q898:R898),0))</f>
        <v>0</v>
      </c>
    </row>
    <row r="899" spans="1:19" ht="14.4">
      <c r="A899"/>
      <c r="B899"/>
      <c r="C899" s="27"/>
      <c r="D899" s="28"/>
      <c r="F899" s="9" t="str">
        <f t="shared" si="117"/>
        <v/>
      </c>
      <c r="G899" s="9">
        <f t="shared" si="118"/>
        <v>0</v>
      </c>
      <c r="H899" s="9">
        <f t="shared" si="119"/>
        <v>0</v>
      </c>
      <c r="I899" s="9">
        <f t="array" ref="I899">+SUM(IFERROR(VALUE(G899:H899),0))</f>
        <v>0</v>
      </c>
      <c r="K899" s="9" t="str">
        <f t="shared" si="120"/>
        <v/>
      </c>
      <c r="L899" s="9">
        <f t="shared" si="121"/>
        <v>0</v>
      </c>
      <c r="M899" s="9">
        <f t="shared" si="122"/>
        <v>0</v>
      </c>
      <c r="N899" s="9">
        <f t="array" ref="N899">+SUM(IFERROR(VALUE(L899:M899),0))</f>
        <v>0</v>
      </c>
      <c r="P899" s="9" t="str">
        <f t="shared" si="123"/>
        <v/>
      </c>
      <c r="Q899" s="9">
        <f t="shared" si="124"/>
        <v>0</v>
      </c>
      <c r="R899" s="9">
        <f t="shared" si="125"/>
        <v>0</v>
      </c>
      <c r="S899" s="9">
        <f t="array" ref="S899">+SUM(IFERROR(VALUE(Q899:R899),0))</f>
        <v>0</v>
      </c>
    </row>
    <row r="900" spans="1:19" ht="14.4">
      <c r="A900"/>
      <c r="B900"/>
      <c r="C900" s="27"/>
      <c r="D900" s="28"/>
      <c r="F900" s="9" t="str">
        <f t="shared" si="117"/>
        <v/>
      </c>
      <c r="G900" s="9">
        <f t="shared" si="118"/>
        <v>0</v>
      </c>
      <c r="H900" s="9">
        <f t="shared" si="119"/>
        <v>0</v>
      </c>
      <c r="I900" s="9">
        <f t="array" ref="I900">+SUM(IFERROR(VALUE(G900:H900),0))</f>
        <v>0</v>
      </c>
      <c r="K900" s="9" t="str">
        <f t="shared" si="120"/>
        <v/>
      </c>
      <c r="L900" s="9">
        <f t="shared" si="121"/>
        <v>0</v>
      </c>
      <c r="M900" s="9">
        <f t="shared" si="122"/>
        <v>0</v>
      </c>
      <c r="N900" s="9">
        <f t="array" ref="N900">+SUM(IFERROR(VALUE(L900:M900),0))</f>
        <v>0</v>
      </c>
      <c r="P900" s="9" t="str">
        <f t="shared" si="123"/>
        <v/>
      </c>
      <c r="Q900" s="9">
        <f t="shared" si="124"/>
        <v>0</v>
      </c>
      <c r="R900" s="9">
        <f t="shared" si="125"/>
        <v>0</v>
      </c>
      <c r="S900" s="9">
        <f t="array" ref="S900">+SUM(IFERROR(VALUE(Q900:R900),0))</f>
        <v>0</v>
      </c>
    </row>
    <row r="901" spans="1:19" ht="14.4">
      <c r="A901"/>
      <c r="B901"/>
      <c r="C901" s="27"/>
      <c r="D901" s="28"/>
      <c r="F901" s="9" t="str">
        <f t="shared" si="117"/>
        <v/>
      </c>
      <c r="G901" s="9">
        <f t="shared" si="118"/>
        <v>0</v>
      </c>
      <c r="H901" s="9">
        <f t="shared" si="119"/>
        <v>0</v>
      </c>
      <c r="I901" s="9">
        <f t="array" ref="I901">+SUM(IFERROR(VALUE(G901:H901),0))</f>
        <v>0</v>
      </c>
      <c r="K901" s="9" t="str">
        <f t="shared" si="120"/>
        <v/>
      </c>
      <c r="L901" s="9">
        <f t="shared" si="121"/>
        <v>0</v>
      </c>
      <c r="M901" s="9">
        <f t="shared" si="122"/>
        <v>0</v>
      </c>
      <c r="N901" s="9">
        <f t="array" ref="N901">+SUM(IFERROR(VALUE(L901:M901),0))</f>
        <v>0</v>
      </c>
      <c r="P901" s="9" t="str">
        <f t="shared" si="123"/>
        <v/>
      </c>
      <c r="Q901" s="9">
        <f t="shared" si="124"/>
        <v>0</v>
      </c>
      <c r="R901" s="9">
        <f t="shared" si="125"/>
        <v>0</v>
      </c>
      <c r="S901" s="9">
        <f t="array" ref="S901">+SUM(IFERROR(VALUE(Q901:R901),0))</f>
        <v>0</v>
      </c>
    </row>
    <row r="902" spans="1:19" ht="14.4">
      <c r="A902"/>
      <c r="B902"/>
      <c r="C902" s="27"/>
      <c r="D902" s="28"/>
      <c r="F902" s="9" t="str">
        <f t="shared" ref="F902:F965" si="126">+LEFT(A902,4)</f>
        <v/>
      </c>
      <c r="G902" s="9">
        <f t="shared" ref="G902:G965" si="127">+C902</f>
        <v>0</v>
      </c>
      <c r="H902" s="9">
        <f t="shared" ref="H902:H965" si="128">-D902</f>
        <v>0</v>
      </c>
      <c r="I902" s="9">
        <f t="array" ref="I902">+SUM(IFERROR(VALUE(G902:H902),0))</f>
        <v>0</v>
      </c>
      <c r="K902" s="9" t="str">
        <f t="shared" ref="K902:K965" si="129">+LEFT(A902,3)</f>
        <v/>
      </c>
      <c r="L902" s="9">
        <f t="shared" ref="L902:L965" si="130">+C902</f>
        <v>0</v>
      </c>
      <c r="M902" s="9">
        <f t="shared" ref="M902:M965" si="131">-D902</f>
        <v>0</v>
      </c>
      <c r="N902" s="9">
        <f t="array" ref="N902">+SUM(IFERROR(VALUE(L902:M902),0))</f>
        <v>0</v>
      </c>
      <c r="P902" s="9" t="str">
        <f t="shared" ref="P902:P965" si="132">+LEFT(A902,2)</f>
        <v/>
      </c>
      <c r="Q902" s="9">
        <f t="shared" ref="Q902:Q965" si="133">+C902</f>
        <v>0</v>
      </c>
      <c r="R902" s="9">
        <f t="shared" ref="R902:R965" si="134">-D902</f>
        <v>0</v>
      </c>
      <c r="S902" s="9">
        <f t="array" ref="S902">+SUM(IFERROR(VALUE(Q902:R902),0))</f>
        <v>0</v>
      </c>
    </row>
    <row r="903" spans="1:19" ht="14.4">
      <c r="A903"/>
      <c r="B903"/>
      <c r="C903" s="27"/>
      <c r="D903" s="28"/>
      <c r="F903" s="9" t="str">
        <f t="shared" si="126"/>
        <v/>
      </c>
      <c r="G903" s="9">
        <f t="shared" si="127"/>
        <v>0</v>
      </c>
      <c r="H903" s="9">
        <f t="shared" si="128"/>
        <v>0</v>
      </c>
      <c r="I903" s="9">
        <f t="array" ref="I903">+SUM(IFERROR(VALUE(G903:H903),0))</f>
        <v>0</v>
      </c>
      <c r="K903" s="9" t="str">
        <f t="shared" si="129"/>
        <v/>
      </c>
      <c r="L903" s="9">
        <f t="shared" si="130"/>
        <v>0</v>
      </c>
      <c r="M903" s="9">
        <f t="shared" si="131"/>
        <v>0</v>
      </c>
      <c r="N903" s="9">
        <f t="array" ref="N903">+SUM(IFERROR(VALUE(L903:M903),0))</f>
        <v>0</v>
      </c>
      <c r="P903" s="9" t="str">
        <f t="shared" si="132"/>
        <v/>
      </c>
      <c r="Q903" s="9">
        <f t="shared" si="133"/>
        <v>0</v>
      </c>
      <c r="R903" s="9">
        <f t="shared" si="134"/>
        <v>0</v>
      </c>
      <c r="S903" s="9">
        <f t="array" ref="S903">+SUM(IFERROR(VALUE(Q903:R903),0))</f>
        <v>0</v>
      </c>
    </row>
    <row r="904" spans="1:19" ht="14.4">
      <c r="A904"/>
      <c r="B904"/>
      <c r="C904" s="27"/>
      <c r="D904" s="28"/>
      <c r="F904" s="9" t="str">
        <f t="shared" si="126"/>
        <v/>
      </c>
      <c r="G904" s="9">
        <f t="shared" si="127"/>
        <v>0</v>
      </c>
      <c r="H904" s="9">
        <f t="shared" si="128"/>
        <v>0</v>
      </c>
      <c r="I904" s="9">
        <f t="array" ref="I904">+SUM(IFERROR(VALUE(G904:H904),0))</f>
        <v>0</v>
      </c>
      <c r="K904" s="9" t="str">
        <f t="shared" si="129"/>
        <v/>
      </c>
      <c r="L904" s="9">
        <f t="shared" si="130"/>
        <v>0</v>
      </c>
      <c r="M904" s="9">
        <f t="shared" si="131"/>
        <v>0</v>
      </c>
      <c r="N904" s="9">
        <f t="array" ref="N904">+SUM(IFERROR(VALUE(L904:M904),0))</f>
        <v>0</v>
      </c>
      <c r="P904" s="9" t="str">
        <f t="shared" si="132"/>
        <v/>
      </c>
      <c r="Q904" s="9">
        <f t="shared" si="133"/>
        <v>0</v>
      </c>
      <c r="R904" s="9">
        <f t="shared" si="134"/>
        <v>0</v>
      </c>
      <c r="S904" s="9">
        <f t="array" ref="S904">+SUM(IFERROR(VALUE(Q904:R904),0))</f>
        <v>0</v>
      </c>
    </row>
    <row r="905" spans="1:19" ht="14.4">
      <c r="A905"/>
      <c r="B905"/>
      <c r="C905" s="27"/>
      <c r="D905" s="28"/>
      <c r="F905" s="9" t="str">
        <f t="shared" si="126"/>
        <v/>
      </c>
      <c r="G905" s="9">
        <f t="shared" si="127"/>
        <v>0</v>
      </c>
      <c r="H905" s="9">
        <f t="shared" si="128"/>
        <v>0</v>
      </c>
      <c r="I905" s="9">
        <f t="array" ref="I905">+SUM(IFERROR(VALUE(G905:H905),0))</f>
        <v>0</v>
      </c>
      <c r="K905" s="9" t="str">
        <f t="shared" si="129"/>
        <v/>
      </c>
      <c r="L905" s="9">
        <f t="shared" si="130"/>
        <v>0</v>
      </c>
      <c r="M905" s="9">
        <f t="shared" si="131"/>
        <v>0</v>
      </c>
      <c r="N905" s="9">
        <f t="array" ref="N905">+SUM(IFERROR(VALUE(L905:M905),0))</f>
        <v>0</v>
      </c>
      <c r="P905" s="9" t="str">
        <f t="shared" si="132"/>
        <v/>
      </c>
      <c r="Q905" s="9">
        <f t="shared" si="133"/>
        <v>0</v>
      </c>
      <c r="R905" s="9">
        <f t="shared" si="134"/>
        <v>0</v>
      </c>
      <c r="S905" s="9">
        <f t="array" ref="S905">+SUM(IFERROR(VALUE(Q905:R905),0))</f>
        <v>0</v>
      </c>
    </row>
    <row r="906" spans="1:19" ht="14.4">
      <c r="A906"/>
      <c r="B906"/>
      <c r="C906" s="27"/>
      <c r="D906" s="28"/>
      <c r="F906" s="9" t="str">
        <f t="shared" si="126"/>
        <v/>
      </c>
      <c r="G906" s="9">
        <f t="shared" si="127"/>
        <v>0</v>
      </c>
      <c r="H906" s="9">
        <f t="shared" si="128"/>
        <v>0</v>
      </c>
      <c r="I906" s="9">
        <f t="array" ref="I906">+SUM(IFERROR(VALUE(G906:H906),0))</f>
        <v>0</v>
      </c>
      <c r="K906" s="9" t="str">
        <f t="shared" si="129"/>
        <v/>
      </c>
      <c r="L906" s="9">
        <f t="shared" si="130"/>
        <v>0</v>
      </c>
      <c r="M906" s="9">
        <f t="shared" si="131"/>
        <v>0</v>
      </c>
      <c r="N906" s="9">
        <f t="array" ref="N906">+SUM(IFERROR(VALUE(L906:M906),0))</f>
        <v>0</v>
      </c>
      <c r="P906" s="9" t="str">
        <f t="shared" si="132"/>
        <v/>
      </c>
      <c r="Q906" s="9">
        <f t="shared" si="133"/>
        <v>0</v>
      </c>
      <c r="R906" s="9">
        <f t="shared" si="134"/>
        <v>0</v>
      </c>
      <c r="S906" s="9">
        <f t="array" ref="S906">+SUM(IFERROR(VALUE(Q906:R906),0))</f>
        <v>0</v>
      </c>
    </row>
    <row r="907" spans="1:19" ht="14.4">
      <c r="A907"/>
      <c r="B907"/>
      <c r="C907" s="27"/>
      <c r="D907" s="28"/>
      <c r="F907" s="9" t="str">
        <f t="shared" si="126"/>
        <v/>
      </c>
      <c r="G907" s="9">
        <f t="shared" si="127"/>
        <v>0</v>
      </c>
      <c r="H907" s="9">
        <f t="shared" si="128"/>
        <v>0</v>
      </c>
      <c r="I907" s="9">
        <f t="array" ref="I907">+SUM(IFERROR(VALUE(G907:H907),0))</f>
        <v>0</v>
      </c>
      <c r="K907" s="9" t="str">
        <f t="shared" si="129"/>
        <v/>
      </c>
      <c r="L907" s="9">
        <f t="shared" si="130"/>
        <v>0</v>
      </c>
      <c r="M907" s="9">
        <f t="shared" si="131"/>
        <v>0</v>
      </c>
      <c r="N907" s="9">
        <f t="array" ref="N907">+SUM(IFERROR(VALUE(L907:M907),0))</f>
        <v>0</v>
      </c>
      <c r="P907" s="9" t="str">
        <f t="shared" si="132"/>
        <v/>
      </c>
      <c r="Q907" s="9">
        <f t="shared" si="133"/>
        <v>0</v>
      </c>
      <c r="R907" s="9">
        <f t="shared" si="134"/>
        <v>0</v>
      </c>
      <c r="S907" s="9">
        <f t="array" ref="S907">+SUM(IFERROR(VALUE(Q907:R907),0))</f>
        <v>0</v>
      </c>
    </row>
    <row r="908" spans="1:19" ht="14.4">
      <c r="A908"/>
      <c r="B908"/>
      <c r="C908" s="27"/>
      <c r="D908" s="28"/>
      <c r="F908" s="9" t="str">
        <f t="shared" si="126"/>
        <v/>
      </c>
      <c r="G908" s="9">
        <f t="shared" si="127"/>
        <v>0</v>
      </c>
      <c r="H908" s="9">
        <f t="shared" si="128"/>
        <v>0</v>
      </c>
      <c r="I908" s="9">
        <f t="array" ref="I908">+SUM(IFERROR(VALUE(G908:H908),0))</f>
        <v>0</v>
      </c>
      <c r="K908" s="9" t="str">
        <f t="shared" si="129"/>
        <v/>
      </c>
      <c r="L908" s="9">
        <f t="shared" si="130"/>
        <v>0</v>
      </c>
      <c r="M908" s="9">
        <f t="shared" si="131"/>
        <v>0</v>
      </c>
      <c r="N908" s="9">
        <f t="array" ref="N908">+SUM(IFERROR(VALUE(L908:M908),0))</f>
        <v>0</v>
      </c>
      <c r="P908" s="9" t="str">
        <f t="shared" si="132"/>
        <v/>
      </c>
      <c r="Q908" s="9">
        <f t="shared" si="133"/>
        <v>0</v>
      </c>
      <c r="R908" s="9">
        <f t="shared" si="134"/>
        <v>0</v>
      </c>
      <c r="S908" s="9">
        <f t="array" ref="S908">+SUM(IFERROR(VALUE(Q908:R908),0))</f>
        <v>0</v>
      </c>
    </row>
    <row r="909" spans="1:19" ht="14.4">
      <c r="A909"/>
      <c r="B909"/>
      <c r="C909" s="27"/>
      <c r="D909" s="28"/>
      <c r="F909" s="9" t="str">
        <f t="shared" si="126"/>
        <v/>
      </c>
      <c r="G909" s="9">
        <f t="shared" si="127"/>
        <v>0</v>
      </c>
      <c r="H909" s="9">
        <f t="shared" si="128"/>
        <v>0</v>
      </c>
      <c r="I909" s="9">
        <f t="array" ref="I909">+SUM(IFERROR(VALUE(G909:H909),0))</f>
        <v>0</v>
      </c>
      <c r="K909" s="9" t="str">
        <f t="shared" si="129"/>
        <v/>
      </c>
      <c r="L909" s="9">
        <f t="shared" si="130"/>
        <v>0</v>
      </c>
      <c r="M909" s="9">
        <f t="shared" si="131"/>
        <v>0</v>
      </c>
      <c r="N909" s="9">
        <f t="array" ref="N909">+SUM(IFERROR(VALUE(L909:M909),0))</f>
        <v>0</v>
      </c>
      <c r="P909" s="9" t="str">
        <f t="shared" si="132"/>
        <v/>
      </c>
      <c r="Q909" s="9">
        <f t="shared" si="133"/>
        <v>0</v>
      </c>
      <c r="R909" s="9">
        <f t="shared" si="134"/>
        <v>0</v>
      </c>
      <c r="S909" s="9">
        <f t="array" ref="S909">+SUM(IFERROR(VALUE(Q909:R909),0))</f>
        <v>0</v>
      </c>
    </row>
    <row r="910" spans="1:19" ht="14.4">
      <c r="A910"/>
      <c r="B910"/>
      <c r="C910" s="27"/>
      <c r="D910" s="28"/>
      <c r="F910" s="9" t="str">
        <f t="shared" si="126"/>
        <v/>
      </c>
      <c r="G910" s="9">
        <f t="shared" si="127"/>
        <v>0</v>
      </c>
      <c r="H910" s="9">
        <f t="shared" si="128"/>
        <v>0</v>
      </c>
      <c r="I910" s="9">
        <f t="array" ref="I910">+SUM(IFERROR(VALUE(G910:H910),0))</f>
        <v>0</v>
      </c>
      <c r="K910" s="9" t="str">
        <f t="shared" si="129"/>
        <v/>
      </c>
      <c r="L910" s="9">
        <f t="shared" si="130"/>
        <v>0</v>
      </c>
      <c r="M910" s="9">
        <f t="shared" si="131"/>
        <v>0</v>
      </c>
      <c r="N910" s="9">
        <f t="array" ref="N910">+SUM(IFERROR(VALUE(L910:M910),0))</f>
        <v>0</v>
      </c>
      <c r="P910" s="9" t="str">
        <f t="shared" si="132"/>
        <v/>
      </c>
      <c r="Q910" s="9">
        <f t="shared" si="133"/>
        <v>0</v>
      </c>
      <c r="R910" s="9">
        <f t="shared" si="134"/>
        <v>0</v>
      </c>
      <c r="S910" s="9">
        <f t="array" ref="S910">+SUM(IFERROR(VALUE(Q910:R910),0))</f>
        <v>0</v>
      </c>
    </row>
    <row r="911" spans="1:19" ht="14.4">
      <c r="A911"/>
      <c r="B911"/>
      <c r="C911" s="27"/>
      <c r="D911" s="28"/>
      <c r="F911" s="9" t="str">
        <f t="shared" si="126"/>
        <v/>
      </c>
      <c r="G911" s="9">
        <f t="shared" si="127"/>
        <v>0</v>
      </c>
      <c r="H911" s="9">
        <f t="shared" si="128"/>
        <v>0</v>
      </c>
      <c r="I911" s="9">
        <f t="array" ref="I911">+SUM(IFERROR(VALUE(G911:H911),0))</f>
        <v>0</v>
      </c>
      <c r="K911" s="9" t="str">
        <f t="shared" si="129"/>
        <v/>
      </c>
      <c r="L911" s="9">
        <f t="shared" si="130"/>
        <v>0</v>
      </c>
      <c r="M911" s="9">
        <f t="shared" si="131"/>
        <v>0</v>
      </c>
      <c r="N911" s="9">
        <f t="array" ref="N911">+SUM(IFERROR(VALUE(L911:M911),0))</f>
        <v>0</v>
      </c>
      <c r="P911" s="9" t="str">
        <f t="shared" si="132"/>
        <v/>
      </c>
      <c r="Q911" s="9">
        <f t="shared" si="133"/>
        <v>0</v>
      </c>
      <c r="R911" s="9">
        <f t="shared" si="134"/>
        <v>0</v>
      </c>
      <c r="S911" s="9">
        <f t="array" ref="S911">+SUM(IFERROR(VALUE(Q911:R911),0))</f>
        <v>0</v>
      </c>
    </row>
    <row r="912" spans="1:19" ht="14.4">
      <c r="A912"/>
      <c r="B912"/>
      <c r="C912" s="27"/>
      <c r="D912" s="28"/>
      <c r="F912" s="9" t="str">
        <f t="shared" si="126"/>
        <v/>
      </c>
      <c r="G912" s="9">
        <f t="shared" si="127"/>
        <v>0</v>
      </c>
      <c r="H912" s="9">
        <f t="shared" si="128"/>
        <v>0</v>
      </c>
      <c r="I912" s="9">
        <f t="array" ref="I912">+SUM(IFERROR(VALUE(G912:H912),0))</f>
        <v>0</v>
      </c>
      <c r="K912" s="9" t="str">
        <f t="shared" si="129"/>
        <v/>
      </c>
      <c r="L912" s="9">
        <f t="shared" si="130"/>
        <v>0</v>
      </c>
      <c r="M912" s="9">
        <f t="shared" si="131"/>
        <v>0</v>
      </c>
      <c r="N912" s="9">
        <f t="array" ref="N912">+SUM(IFERROR(VALUE(L912:M912),0))</f>
        <v>0</v>
      </c>
      <c r="P912" s="9" t="str">
        <f t="shared" si="132"/>
        <v/>
      </c>
      <c r="Q912" s="9">
        <f t="shared" si="133"/>
        <v>0</v>
      </c>
      <c r="R912" s="9">
        <f t="shared" si="134"/>
        <v>0</v>
      </c>
      <c r="S912" s="9">
        <f t="array" ref="S912">+SUM(IFERROR(VALUE(Q912:R912),0))</f>
        <v>0</v>
      </c>
    </row>
    <row r="913" spans="1:19" ht="14.4">
      <c r="A913"/>
      <c r="B913"/>
      <c r="C913" s="27"/>
      <c r="D913" s="28"/>
      <c r="F913" s="9" t="str">
        <f t="shared" si="126"/>
        <v/>
      </c>
      <c r="G913" s="9">
        <f t="shared" si="127"/>
        <v>0</v>
      </c>
      <c r="H913" s="9">
        <f t="shared" si="128"/>
        <v>0</v>
      </c>
      <c r="I913" s="9">
        <f t="array" ref="I913">+SUM(IFERROR(VALUE(G913:H913),0))</f>
        <v>0</v>
      </c>
      <c r="K913" s="9" t="str">
        <f t="shared" si="129"/>
        <v/>
      </c>
      <c r="L913" s="9">
        <f t="shared" si="130"/>
        <v>0</v>
      </c>
      <c r="M913" s="9">
        <f t="shared" si="131"/>
        <v>0</v>
      </c>
      <c r="N913" s="9">
        <f t="array" ref="N913">+SUM(IFERROR(VALUE(L913:M913),0))</f>
        <v>0</v>
      </c>
      <c r="P913" s="9" t="str">
        <f t="shared" si="132"/>
        <v/>
      </c>
      <c r="Q913" s="9">
        <f t="shared" si="133"/>
        <v>0</v>
      </c>
      <c r="R913" s="9">
        <f t="shared" si="134"/>
        <v>0</v>
      </c>
      <c r="S913" s="9">
        <f t="array" ref="S913">+SUM(IFERROR(VALUE(Q913:R913),0))</f>
        <v>0</v>
      </c>
    </row>
    <row r="914" spans="1:19" ht="14.4">
      <c r="A914"/>
      <c r="B914"/>
      <c r="C914" s="27"/>
      <c r="D914" s="28"/>
      <c r="F914" s="9" t="str">
        <f t="shared" si="126"/>
        <v/>
      </c>
      <c r="G914" s="9">
        <f t="shared" si="127"/>
        <v>0</v>
      </c>
      <c r="H914" s="9">
        <f t="shared" si="128"/>
        <v>0</v>
      </c>
      <c r="I914" s="9">
        <f t="array" ref="I914">+SUM(IFERROR(VALUE(G914:H914),0))</f>
        <v>0</v>
      </c>
      <c r="K914" s="9" t="str">
        <f t="shared" si="129"/>
        <v/>
      </c>
      <c r="L914" s="9">
        <f t="shared" si="130"/>
        <v>0</v>
      </c>
      <c r="M914" s="9">
        <f t="shared" si="131"/>
        <v>0</v>
      </c>
      <c r="N914" s="9">
        <f t="array" ref="N914">+SUM(IFERROR(VALUE(L914:M914),0))</f>
        <v>0</v>
      </c>
      <c r="P914" s="9" t="str">
        <f t="shared" si="132"/>
        <v/>
      </c>
      <c r="Q914" s="9">
        <f t="shared" si="133"/>
        <v>0</v>
      </c>
      <c r="R914" s="9">
        <f t="shared" si="134"/>
        <v>0</v>
      </c>
      <c r="S914" s="9">
        <f t="array" ref="S914">+SUM(IFERROR(VALUE(Q914:R914),0))</f>
        <v>0</v>
      </c>
    </row>
    <row r="915" spans="1:19" ht="14.4">
      <c r="A915"/>
      <c r="B915"/>
      <c r="C915" s="27"/>
      <c r="D915" s="28"/>
      <c r="F915" s="9" t="str">
        <f t="shared" si="126"/>
        <v/>
      </c>
      <c r="G915" s="9">
        <f t="shared" si="127"/>
        <v>0</v>
      </c>
      <c r="H915" s="9">
        <f t="shared" si="128"/>
        <v>0</v>
      </c>
      <c r="I915" s="9">
        <f t="array" ref="I915">+SUM(IFERROR(VALUE(G915:H915),0))</f>
        <v>0</v>
      </c>
      <c r="K915" s="9" t="str">
        <f t="shared" si="129"/>
        <v/>
      </c>
      <c r="L915" s="9">
        <f t="shared" si="130"/>
        <v>0</v>
      </c>
      <c r="M915" s="9">
        <f t="shared" si="131"/>
        <v>0</v>
      </c>
      <c r="N915" s="9">
        <f t="array" ref="N915">+SUM(IFERROR(VALUE(L915:M915),0))</f>
        <v>0</v>
      </c>
      <c r="P915" s="9" t="str">
        <f t="shared" si="132"/>
        <v/>
      </c>
      <c r="Q915" s="9">
        <f t="shared" si="133"/>
        <v>0</v>
      </c>
      <c r="R915" s="9">
        <f t="shared" si="134"/>
        <v>0</v>
      </c>
      <c r="S915" s="9">
        <f t="array" ref="S915">+SUM(IFERROR(VALUE(Q915:R915),0))</f>
        <v>0</v>
      </c>
    </row>
    <row r="916" spans="1:19" ht="14.4">
      <c r="A916"/>
      <c r="B916"/>
      <c r="C916" s="27"/>
      <c r="D916" s="28"/>
      <c r="F916" s="9" t="str">
        <f t="shared" si="126"/>
        <v/>
      </c>
      <c r="G916" s="9">
        <f t="shared" si="127"/>
        <v>0</v>
      </c>
      <c r="H916" s="9">
        <f t="shared" si="128"/>
        <v>0</v>
      </c>
      <c r="I916" s="9">
        <f t="array" ref="I916">+SUM(IFERROR(VALUE(G916:H916),0))</f>
        <v>0</v>
      </c>
      <c r="K916" s="9" t="str">
        <f t="shared" si="129"/>
        <v/>
      </c>
      <c r="L916" s="9">
        <f t="shared" si="130"/>
        <v>0</v>
      </c>
      <c r="M916" s="9">
        <f t="shared" si="131"/>
        <v>0</v>
      </c>
      <c r="N916" s="9">
        <f t="array" ref="N916">+SUM(IFERROR(VALUE(L916:M916),0))</f>
        <v>0</v>
      </c>
      <c r="P916" s="9" t="str">
        <f t="shared" si="132"/>
        <v/>
      </c>
      <c r="Q916" s="9">
        <f t="shared" si="133"/>
        <v>0</v>
      </c>
      <c r="R916" s="9">
        <f t="shared" si="134"/>
        <v>0</v>
      </c>
      <c r="S916" s="9">
        <f t="array" ref="S916">+SUM(IFERROR(VALUE(Q916:R916),0))</f>
        <v>0</v>
      </c>
    </row>
    <row r="917" spans="1:19" ht="14.4">
      <c r="A917"/>
      <c r="B917"/>
      <c r="C917" s="27"/>
      <c r="D917" s="28"/>
      <c r="F917" s="9" t="str">
        <f t="shared" si="126"/>
        <v/>
      </c>
      <c r="G917" s="9">
        <f t="shared" si="127"/>
        <v>0</v>
      </c>
      <c r="H917" s="9">
        <f t="shared" si="128"/>
        <v>0</v>
      </c>
      <c r="I917" s="9">
        <f t="array" ref="I917">+SUM(IFERROR(VALUE(G917:H917),0))</f>
        <v>0</v>
      </c>
      <c r="K917" s="9" t="str">
        <f t="shared" si="129"/>
        <v/>
      </c>
      <c r="L917" s="9">
        <f t="shared" si="130"/>
        <v>0</v>
      </c>
      <c r="M917" s="9">
        <f t="shared" si="131"/>
        <v>0</v>
      </c>
      <c r="N917" s="9">
        <f t="array" ref="N917">+SUM(IFERROR(VALUE(L917:M917),0))</f>
        <v>0</v>
      </c>
      <c r="P917" s="9" t="str">
        <f t="shared" si="132"/>
        <v/>
      </c>
      <c r="Q917" s="9">
        <f t="shared" si="133"/>
        <v>0</v>
      </c>
      <c r="R917" s="9">
        <f t="shared" si="134"/>
        <v>0</v>
      </c>
      <c r="S917" s="9">
        <f t="array" ref="S917">+SUM(IFERROR(VALUE(Q917:R917),0))</f>
        <v>0</v>
      </c>
    </row>
    <row r="918" spans="1:19" ht="14.4">
      <c r="A918"/>
      <c r="B918"/>
      <c r="C918" s="27"/>
      <c r="D918" s="28"/>
      <c r="F918" s="9" t="str">
        <f t="shared" si="126"/>
        <v/>
      </c>
      <c r="G918" s="9">
        <f t="shared" si="127"/>
        <v>0</v>
      </c>
      <c r="H918" s="9">
        <f t="shared" si="128"/>
        <v>0</v>
      </c>
      <c r="I918" s="9">
        <f t="array" ref="I918">+SUM(IFERROR(VALUE(G918:H918),0))</f>
        <v>0</v>
      </c>
      <c r="K918" s="9" t="str">
        <f t="shared" si="129"/>
        <v/>
      </c>
      <c r="L918" s="9">
        <f t="shared" si="130"/>
        <v>0</v>
      </c>
      <c r="M918" s="9">
        <f t="shared" si="131"/>
        <v>0</v>
      </c>
      <c r="N918" s="9">
        <f t="array" ref="N918">+SUM(IFERROR(VALUE(L918:M918),0))</f>
        <v>0</v>
      </c>
      <c r="P918" s="9" t="str">
        <f t="shared" si="132"/>
        <v/>
      </c>
      <c r="Q918" s="9">
        <f t="shared" si="133"/>
        <v>0</v>
      </c>
      <c r="R918" s="9">
        <f t="shared" si="134"/>
        <v>0</v>
      </c>
      <c r="S918" s="9">
        <f t="array" ref="S918">+SUM(IFERROR(VALUE(Q918:R918),0))</f>
        <v>0</v>
      </c>
    </row>
    <row r="919" spans="1:19" ht="14.4">
      <c r="A919"/>
      <c r="B919"/>
      <c r="C919" s="27"/>
      <c r="D919" s="28"/>
      <c r="F919" s="9" t="str">
        <f t="shared" si="126"/>
        <v/>
      </c>
      <c r="G919" s="9">
        <f t="shared" si="127"/>
        <v>0</v>
      </c>
      <c r="H919" s="9">
        <f t="shared" si="128"/>
        <v>0</v>
      </c>
      <c r="I919" s="9">
        <f t="array" ref="I919">+SUM(IFERROR(VALUE(G919:H919),0))</f>
        <v>0</v>
      </c>
      <c r="K919" s="9" t="str">
        <f t="shared" si="129"/>
        <v/>
      </c>
      <c r="L919" s="9">
        <f t="shared" si="130"/>
        <v>0</v>
      </c>
      <c r="M919" s="9">
        <f t="shared" si="131"/>
        <v>0</v>
      </c>
      <c r="N919" s="9">
        <f t="array" ref="N919">+SUM(IFERROR(VALUE(L919:M919),0))</f>
        <v>0</v>
      </c>
      <c r="P919" s="9" t="str">
        <f t="shared" si="132"/>
        <v/>
      </c>
      <c r="Q919" s="9">
        <f t="shared" si="133"/>
        <v>0</v>
      </c>
      <c r="R919" s="9">
        <f t="shared" si="134"/>
        <v>0</v>
      </c>
      <c r="S919" s="9">
        <f t="array" ref="S919">+SUM(IFERROR(VALUE(Q919:R919),0))</f>
        <v>0</v>
      </c>
    </row>
    <row r="920" spans="1:19" ht="14.4">
      <c r="A920"/>
      <c r="B920"/>
      <c r="C920" s="27"/>
      <c r="D920" s="28"/>
      <c r="F920" s="9" t="str">
        <f t="shared" si="126"/>
        <v/>
      </c>
      <c r="G920" s="9">
        <f t="shared" si="127"/>
        <v>0</v>
      </c>
      <c r="H920" s="9">
        <f t="shared" si="128"/>
        <v>0</v>
      </c>
      <c r="I920" s="9">
        <f t="array" ref="I920">+SUM(IFERROR(VALUE(G920:H920),0))</f>
        <v>0</v>
      </c>
      <c r="K920" s="9" t="str">
        <f t="shared" si="129"/>
        <v/>
      </c>
      <c r="L920" s="9">
        <f t="shared" si="130"/>
        <v>0</v>
      </c>
      <c r="M920" s="9">
        <f t="shared" si="131"/>
        <v>0</v>
      </c>
      <c r="N920" s="9">
        <f t="array" ref="N920">+SUM(IFERROR(VALUE(L920:M920),0))</f>
        <v>0</v>
      </c>
      <c r="P920" s="9" t="str">
        <f t="shared" si="132"/>
        <v/>
      </c>
      <c r="Q920" s="9">
        <f t="shared" si="133"/>
        <v>0</v>
      </c>
      <c r="R920" s="9">
        <f t="shared" si="134"/>
        <v>0</v>
      </c>
      <c r="S920" s="9">
        <f t="array" ref="S920">+SUM(IFERROR(VALUE(Q920:R920),0))</f>
        <v>0</v>
      </c>
    </row>
    <row r="921" spans="1:19" ht="14.4">
      <c r="A921"/>
      <c r="B921"/>
      <c r="C921" s="27"/>
      <c r="D921" s="28"/>
      <c r="F921" s="9" t="str">
        <f t="shared" si="126"/>
        <v/>
      </c>
      <c r="G921" s="9">
        <f t="shared" si="127"/>
        <v>0</v>
      </c>
      <c r="H921" s="9">
        <f t="shared" si="128"/>
        <v>0</v>
      </c>
      <c r="I921" s="9">
        <f t="array" ref="I921">+SUM(IFERROR(VALUE(G921:H921),0))</f>
        <v>0</v>
      </c>
      <c r="K921" s="9" t="str">
        <f t="shared" si="129"/>
        <v/>
      </c>
      <c r="L921" s="9">
        <f t="shared" si="130"/>
        <v>0</v>
      </c>
      <c r="M921" s="9">
        <f t="shared" si="131"/>
        <v>0</v>
      </c>
      <c r="N921" s="9">
        <f t="array" ref="N921">+SUM(IFERROR(VALUE(L921:M921),0))</f>
        <v>0</v>
      </c>
      <c r="P921" s="9" t="str">
        <f t="shared" si="132"/>
        <v/>
      </c>
      <c r="Q921" s="9">
        <f t="shared" si="133"/>
        <v>0</v>
      </c>
      <c r="R921" s="9">
        <f t="shared" si="134"/>
        <v>0</v>
      </c>
      <c r="S921" s="9">
        <f t="array" ref="S921">+SUM(IFERROR(VALUE(Q921:R921),0))</f>
        <v>0</v>
      </c>
    </row>
    <row r="922" spans="1:19" ht="14.4">
      <c r="A922"/>
      <c r="B922"/>
      <c r="C922" s="27"/>
      <c r="D922" s="28"/>
      <c r="F922" s="9" t="str">
        <f t="shared" si="126"/>
        <v/>
      </c>
      <c r="G922" s="9">
        <f t="shared" si="127"/>
        <v>0</v>
      </c>
      <c r="H922" s="9">
        <f t="shared" si="128"/>
        <v>0</v>
      </c>
      <c r="I922" s="9">
        <f t="array" ref="I922">+SUM(IFERROR(VALUE(G922:H922),0))</f>
        <v>0</v>
      </c>
      <c r="K922" s="9" t="str">
        <f t="shared" si="129"/>
        <v/>
      </c>
      <c r="L922" s="9">
        <f t="shared" si="130"/>
        <v>0</v>
      </c>
      <c r="M922" s="9">
        <f t="shared" si="131"/>
        <v>0</v>
      </c>
      <c r="N922" s="9">
        <f t="array" ref="N922">+SUM(IFERROR(VALUE(L922:M922),0))</f>
        <v>0</v>
      </c>
      <c r="P922" s="9" t="str">
        <f t="shared" si="132"/>
        <v/>
      </c>
      <c r="Q922" s="9">
        <f t="shared" si="133"/>
        <v>0</v>
      </c>
      <c r="R922" s="9">
        <f t="shared" si="134"/>
        <v>0</v>
      </c>
      <c r="S922" s="9">
        <f t="array" ref="S922">+SUM(IFERROR(VALUE(Q922:R922),0))</f>
        <v>0</v>
      </c>
    </row>
    <row r="923" spans="1:19" ht="14.4">
      <c r="A923"/>
      <c r="B923"/>
      <c r="C923" s="27"/>
      <c r="D923" s="28"/>
      <c r="F923" s="9" t="str">
        <f t="shared" si="126"/>
        <v/>
      </c>
      <c r="G923" s="9">
        <f t="shared" si="127"/>
        <v>0</v>
      </c>
      <c r="H923" s="9">
        <f t="shared" si="128"/>
        <v>0</v>
      </c>
      <c r="I923" s="9">
        <f t="array" ref="I923">+SUM(IFERROR(VALUE(G923:H923),0))</f>
        <v>0</v>
      </c>
      <c r="K923" s="9" t="str">
        <f t="shared" si="129"/>
        <v/>
      </c>
      <c r="L923" s="9">
        <f t="shared" si="130"/>
        <v>0</v>
      </c>
      <c r="M923" s="9">
        <f t="shared" si="131"/>
        <v>0</v>
      </c>
      <c r="N923" s="9">
        <f t="array" ref="N923">+SUM(IFERROR(VALUE(L923:M923),0))</f>
        <v>0</v>
      </c>
      <c r="P923" s="9" t="str">
        <f t="shared" si="132"/>
        <v/>
      </c>
      <c r="Q923" s="9">
        <f t="shared" si="133"/>
        <v>0</v>
      </c>
      <c r="R923" s="9">
        <f t="shared" si="134"/>
        <v>0</v>
      </c>
      <c r="S923" s="9">
        <f t="array" ref="S923">+SUM(IFERROR(VALUE(Q923:R923),0))</f>
        <v>0</v>
      </c>
    </row>
    <row r="924" spans="1:19" ht="14.4">
      <c r="A924"/>
      <c r="B924"/>
      <c r="C924" s="27"/>
      <c r="D924" s="28"/>
      <c r="F924" s="9" t="str">
        <f t="shared" si="126"/>
        <v/>
      </c>
      <c r="G924" s="9">
        <f t="shared" si="127"/>
        <v>0</v>
      </c>
      <c r="H924" s="9">
        <f t="shared" si="128"/>
        <v>0</v>
      </c>
      <c r="I924" s="9">
        <f t="array" ref="I924">+SUM(IFERROR(VALUE(G924:H924),0))</f>
        <v>0</v>
      </c>
      <c r="K924" s="9" t="str">
        <f t="shared" si="129"/>
        <v/>
      </c>
      <c r="L924" s="9">
        <f t="shared" si="130"/>
        <v>0</v>
      </c>
      <c r="M924" s="9">
        <f t="shared" si="131"/>
        <v>0</v>
      </c>
      <c r="N924" s="9">
        <f t="array" ref="N924">+SUM(IFERROR(VALUE(L924:M924),0))</f>
        <v>0</v>
      </c>
      <c r="P924" s="9" t="str">
        <f t="shared" si="132"/>
        <v/>
      </c>
      <c r="Q924" s="9">
        <f t="shared" si="133"/>
        <v>0</v>
      </c>
      <c r="R924" s="9">
        <f t="shared" si="134"/>
        <v>0</v>
      </c>
      <c r="S924" s="9">
        <f t="array" ref="S924">+SUM(IFERROR(VALUE(Q924:R924),0))</f>
        <v>0</v>
      </c>
    </row>
    <row r="925" spans="1:19" ht="14.4">
      <c r="A925"/>
      <c r="B925"/>
      <c r="C925" s="27"/>
      <c r="D925" s="28"/>
      <c r="F925" s="9" t="str">
        <f t="shared" si="126"/>
        <v/>
      </c>
      <c r="G925" s="9">
        <f t="shared" si="127"/>
        <v>0</v>
      </c>
      <c r="H925" s="9">
        <f t="shared" si="128"/>
        <v>0</v>
      </c>
      <c r="I925" s="9">
        <f t="array" ref="I925">+SUM(IFERROR(VALUE(G925:H925),0))</f>
        <v>0</v>
      </c>
      <c r="K925" s="9" t="str">
        <f t="shared" si="129"/>
        <v/>
      </c>
      <c r="L925" s="9">
        <f t="shared" si="130"/>
        <v>0</v>
      </c>
      <c r="M925" s="9">
        <f t="shared" si="131"/>
        <v>0</v>
      </c>
      <c r="N925" s="9">
        <f t="array" ref="N925">+SUM(IFERROR(VALUE(L925:M925),0))</f>
        <v>0</v>
      </c>
      <c r="P925" s="9" t="str">
        <f t="shared" si="132"/>
        <v/>
      </c>
      <c r="Q925" s="9">
        <f t="shared" si="133"/>
        <v>0</v>
      </c>
      <c r="R925" s="9">
        <f t="shared" si="134"/>
        <v>0</v>
      </c>
      <c r="S925" s="9">
        <f t="array" ref="S925">+SUM(IFERROR(VALUE(Q925:R925),0))</f>
        <v>0</v>
      </c>
    </row>
    <row r="926" spans="1:19" ht="14.4">
      <c r="A926"/>
      <c r="B926"/>
      <c r="C926" s="27"/>
      <c r="D926" s="28"/>
      <c r="F926" s="9" t="str">
        <f t="shared" si="126"/>
        <v/>
      </c>
      <c r="G926" s="9">
        <f t="shared" si="127"/>
        <v>0</v>
      </c>
      <c r="H926" s="9">
        <f t="shared" si="128"/>
        <v>0</v>
      </c>
      <c r="I926" s="9">
        <f t="array" ref="I926">+SUM(IFERROR(VALUE(G926:H926),0))</f>
        <v>0</v>
      </c>
      <c r="K926" s="9" t="str">
        <f t="shared" si="129"/>
        <v/>
      </c>
      <c r="L926" s="9">
        <f t="shared" si="130"/>
        <v>0</v>
      </c>
      <c r="M926" s="9">
        <f t="shared" si="131"/>
        <v>0</v>
      </c>
      <c r="N926" s="9">
        <f t="array" ref="N926">+SUM(IFERROR(VALUE(L926:M926),0))</f>
        <v>0</v>
      </c>
      <c r="P926" s="9" t="str">
        <f t="shared" si="132"/>
        <v/>
      </c>
      <c r="Q926" s="9">
        <f t="shared" si="133"/>
        <v>0</v>
      </c>
      <c r="R926" s="9">
        <f t="shared" si="134"/>
        <v>0</v>
      </c>
      <c r="S926" s="9">
        <f t="array" ref="S926">+SUM(IFERROR(VALUE(Q926:R926),0))</f>
        <v>0</v>
      </c>
    </row>
    <row r="927" spans="1:19" ht="14.4">
      <c r="A927"/>
      <c r="B927"/>
      <c r="C927" s="27"/>
      <c r="D927" s="28"/>
      <c r="F927" s="9" t="str">
        <f t="shared" si="126"/>
        <v/>
      </c>
      <c r="G927" s="9">
        <f t="shared" si="127"/>
        <v>0</v>
      </c>
      <c r="H927" s="9">
        <f t="shared" si="128"/>
        <v>0</v>
      </c>
      <c r="I927" s="9">
        <f t="array" ref="I927">+SUM(IFERROR(VALUE(G927:H927),0))</f>
        <v>0</v>
      </c>
      <c r="K927" s="9" t="str">
        <f t="shared" si="129"/>
        <v/>
      </c>
      <c r="L927" s="9">
        <f t="shared" si="130"/>
        <v>0</v>
      </c>
      <c r="M927" s="9">
        <f t="shared" si="131"/>
        <v>0</v>
      </c>
      <c r="N927" s="9">
        <f t="array" ref="N927">+SUM(IFERROR(VALUE(L927:M927),0))</f>
        <v>0</v>
      </c>
      <c r="P927" s="9" t="str">
        <f t="shared" si="132"/>
        <v/>
      </c>
      <c r="Q927" s="9">
        <f t="shared" si="133"/>
        <v>0</v>
      </c>
      <c r="R927" s="9">
        <f t="shared" si="134"/>
        <v>0</v>
      </c>
      <c r="S927" s="9">
        <f t="array" ref="S927">+SUM(IFERROR(VALUE(Q927:R927),0))</f>
        <v>0</v>
      </c>
    </row>
    <row r="928" spans="1:19" ht="14.4">
      <c r="A928"/>
      <c r="B928"/>
      <c r="C928" s="27"/>
      <c r="D928" s="28"/>
      <c r="F928" s="9" t="str">
        <f t="shared" si="126"/>
        <v/>
      </c>
      <c r="G928" s="9">
        <f t="shared" si="127"/>
        <v>0</v>
      </c>
      <c r="H928" s="9">
        <f t="shared" si="128"/>
        <v>0</v>
      </c>
      <c r="I928" s="9">
        <f t="array" ref="I928">+SUM(IFERROR(VALUE(G928:H928),0))</f>
        <v>0</v>
      </c>
      <c r="K928" s="9" t="str">
        <f t="shared" si="129"/>
        <v/>
      </c>
      <c r="L928" s="9">
        <f t="shared" si="130"/>
        <v>0</v>
      </c>
      <c r="M928" s="9">
        <f t="shared" si="131"/>
        <v>0</v>
      </c>
      <c r="N928" s="9">
        <f t="array" ref="N928">+SUM(IFERROR(VALUE(L928:M928),0))</f>
        <v>0</v>
      </c>
      <c r="P928" s="9" t="str">
        <f t="shared" si="132"/>
        <v/>
      </c>
      <c r="Q928" s="9">
        <f t="shared" si="133"/>
        <v>0</v>
      </c>
      <c r="R928" s="9">
        <f t="shared" si="134"/>
        <v>0</v>
      </c>
      <c r="S928" s="9">
        <f t="array" ref="S928">+SUM(IFERROR(VALUE(Q928:R928),0))</f>
        <v>0</v>
      </c>
    </row>
    <row r="929" spans="1:19" ht="14.4">
      <c r="A929"/>
      <c r="B929"/>
      <c r="C929" s="27"/>
      <c r="D929" s="28"/>
      <c r="F929" s="9" t="str">
        <f t="shared" si="126"/>
        <v/>
      </c>
      <c r="G929" s="9">
        <f t="shared" si="127"/>
        <v>0</v>
      </c>
      <c r="H929" s="9">
        <f t="shared" si="128"/>
        <v>0</v>
      </c>
      <c r="I929" s="9">
        <f t="array" ref="I929">+SUM(IFERROR(VALUE(G929:H929),0))</f>
        <v>0</v>
      </c>
      <c r="K929" s="9" t="str">
        <f t="shared" si="129"/>
        <v/>
      </c>
      <c r="L929" s="9">
        <f t="shared" si="130"/>
        <v>0</v>
      </c>
      <c r="M929" s="9">
        <f t="shared" si="131"/>
        <v>0</v>
      </c>
      <c r="N929" s="9">
        <f t="array" ref="N929">+SUM(IFERROR(VALUE(L929:M929),0))</f>
        <v>0</v>
      </c>
      <c r="P929" s="9" t="str">
        <f t="shared" si="132"/>
        <v/>
      </c>
      <c r="Q929" s="9">
        <f t="shared" si="133"/>
        <v>0</v>
      </c>
      <c r="R929" s="9">
        <f t="shared" si="134"/>
        <v>0</v>
      </c>
      <c r="S929" s="9">
        <f t="array" ref="S929">+SUM(IFERROR(VALUE(Q929:R929),0))</f>
        <v>0</v>
      </c>
    </row>
    <row r="930" spans="1:19" ht="14.4">
      <c r="A930"/>
      <c r="B930"/>
      <c r="C930" s="27"/>
      <c r="D930" s="28"/>
      <c r="F930" s="9" t="str">
        <f t="shared" si="126"/>
        <v/>
      </c>
      <c r="G930" s="9">
        <f t="shared" si="127"/>
        <v>0</v>
      </c>
      <c r="H930" s="9">
        <f t="shared" si="128"/>
        <v>0</v>
      </c>
      <c r="I930" s="9">
        <f t="array" ref="I930">+SUM(IFERROR(VALUE(G930:H930),0))</f>
        <v>0</v>
      </c>
      <c r="K930" s="9" t="str">
        <f t="shared" si="129"/>
        <v/>
      </c>
      <c r="L930" s="9">
        <f t="shared" si="130"/>
        <v>0</v>
      </c>
      <c r="M930" s="9">
        <f t="shared" si="131"/>
        <v>0</v>
      </c>
      <c r="N930" s="9">
        <f t="array" ref="N930">+SUM(IFERROR(VALUE(L930:M930),0))</f>
        <v>0</v>
      </c>
      <c r="P930" s="9" t="str">
        <f t="shared" si="132"/>
        <v/>
      </c>
      <c r="Q930" s="9">
        <f t="shared" si="133"/>
        <v>0</v>
      </c>
      <c r="R930" s="9">
        <f t="shared" si="134"/>
        <v>0</v>
      </c>
      <c r="S930" s="9">
        <f t="array" ref="S930">+SUM(IFERROR(VALUE(Q930:R930),0))</f>
        <v>0</v>
      </c>
    </row>
    <row r="931" spans="1:19" ht="14.4">
      <c r="A931"/>
      <c r="B931"/>
      <c r="C931" s="27"/>
      <c r="D931" s="28"/>
      <c r="F931" s="9" t="str">
        <f t="shared" si="126"/>
        <v/>
      </c>
      <c r="G931" s="9">
        <f t="shared" si="127"/>
        <v>0</v>
      </c>
      <c r="H931" s="9">
        <f t="shared" si="128"/>
        <v>0</v>
      </c>
      <c r="I931" s="9">
        <f t="array" ref="I931">+SUM(IFERROR(VALUE(G931:H931),0))</f>
        <v>0</v>
      </c>
      <c r="K931" s="9" t="str">
        <f t="shared" si="129"/>
        <v/>
      </c>
      <c r="L931" s="9">
        <f t="shared" si="130"/>
        <v>0</v>
      </c>
      <c r="M931" s="9">
        <f t="shared" si="131"/>
        <v>0</v>
      </c>
      <c r="N931" s="9">
        <f t="array" ref="N931">+SUM(IFERROR(VALUE(L931:M931),0))</f>
        <v>0</v>
      </c>
      <c r="P931" s="9" t="str">
        <f t="shared" si="132"/>
        <v/>
      </c>
      <c r="Q931" s="9">
        <f t="shared" si="133"/>
        <v>0</v>
      </c>
      <c r="R931" s="9">
        <f t="shared" si="134"/>
        <v>0</v>
      </c>
      <c r="S931" s="9">
        <f t="array" ref="S931">+SUM(IFERROR(VALUE(Q931:R931),0))</f>
        <v>0</v>
      </c>
    </row>
    <row r="932" spans="1:19" ht="14.4">
      <c r="A932"/>
      <c r="B932"/>
      <c r="C932" s="27"/>
      <c r="D932" s="28"/>
      <c r="F932" s="9" t="str">
        <f t="shared" si="126"/>
        <v/>
      </c>
      <c r="G932" s="9">
        <f t="shared" si="127"/>
        <v>0</v>
      </c>
      <c r="H932" s="9">
        <f t="shared" si="128"/>
        <v>0</v>
      </c>
      <c r="I932" s="9">
        <f t="array" ref="I932">+SUM(IFERROR(VALUE(G932:H932),0))</f>
        <v>0</v>
      </c>
      <c r="K932" s="9" t="str">
        <f t="shared" si="129"/>
        <v/>
      </c>
      <c r="L932" s="9">
        <f t="shared" si="130"/>
        <v>0</v>
      </c>
      <c r="M932" s="9">
        <f t="shared" si="131"/>
        <v>0</v>
      </c>
      <c r="N932" s="9">
        <f t="array" ref="N932">+SUM(IFERROR(VALUE(L932:M932),0))</f>
        <v>0</v>
      </c>
      <c r="P932" s="9" t="str">
        <f t="shared" si="132"/>
        <v/>
      </c>
      <c r="Q932" s="9">
        <f t="shared" si="133"/>
        <v>0</v>
      </c>
      <c r="R932" s="9">
        <f t="shared" si="134"/>
        <v>0</v>
      </c>
      <c r="S932" s="9">
        <f t="array" ref="S932">+SUM(IFERROR(VALUE(Q932:R932),0))</f>
        <v>0</v>
      </c>
    </row>
    <row r="933" spans="1:19" ht="14.4">
      <c r="A933"/>
      <c r="B933"/>
      <c r="C933" s="27"/>
      <c r="D933" s="28"/>
      <c r="F933" s="9" t="str">
        <f t="shared" si="126"/>
        <v/>
      </c>
      <c r="G933" s="9">
        <f t="shared" si="127"/>
        <v>0</v>
      </c>
      <c r="H933" s="9">
        <f t="shared" si="128"/>
        <v>0</v>
      </c>
      <c r="I933" s="9">
        <f t="array" ref="I933">+SUM(IFERROR(VALUE(G933:H933),0))</f>
        <v>0</v>
      </c>
      <c r="K933" s="9" t="str">
        <f t="shared" si="129"/>
        <v/>
      </c>
      <c r="L933" s="9">
        <f t="shared" si="130"/>
        <v>0</v>
      </c>
      <c r="M933" s="9">
        <f t="shared" si="131"/>
        <v>0</v>
      </c>
      <c r="N933" s="9">
        <f t="array" ref="N933">+SUM(IFERROR(VALUE(L933:M933),0))</f>
        <v>0</v>
      </c>
      <c r="P933" s="9" t="str">
        <f t="shared" si="132"/>
        <v/>
      </c>
      <c r="Q933" s="9">
        <f t="shared" si="133"/>
        <v>0</v>
      </c>
      <c r="R933" s="9">
        <f t="shared" si="134"/>
        <v>0</v>
      </c>
      <c r="S933" s="9">
        <f t="array" ref="S933">+SUM(IFERROR(VALUE(Q933:R933),0))</f>
        <v>0</v>
      </c>
    </row>
    <row r="934" spans="1:19" ht="14.4">
      <c r="A934"/>
      <c r="B934"/>
      <c r="C934" s="27"/>
      <c r="D934" s="28"/>
      <c r="F934" s="9" t="str">
        <f t="shared" si="126"/>
        <v/>
      </c>
      <c r="G934" s="9">
        <f t="shared" si="127"/>
        <v>0</v>
      </c>
      <c r="H934" s="9">
        <f t="shared" si="128"/>
        <v>0</v>
      </c>
      <c r="I934" s="9">
        <f t="array" ref="I934">+SUM(IFERROR(VALUE(G934:H934),0))</f>
        <v>0</v>
      </c>
      <c r="K934" s="9" t="str">
        <f t="shared" si="129"/>
        <v/>
      </c>
      <c r="L934" s="9">
        <f t="shared" si="130"/>
        <v>0</v>
      </c>
      <c r="M934" s="9">
        <f t="shared" si="131"/>
        <v>0</v>
      </c>
      <c r="N934" s="9">
        <f t="array" ref="N934">+SUM(IFERROR(VALUE(L934:M934),0))</f>
        <v>0</v>
      </c>
      <c r="P934" s="9" t="str">
        <f t="shared" si="132"/>
        <v/>
      </c>
      <c r="Q934" s="9">
        <f t="shared" si="133"/>
        <v>0</v>
      </c>
      <c r="R934" s="9">
        <f t="shared" si="134"/>
        <v>0</v>
      </c>
      <c r="S934" s="9">
        <f t="array" ref="S934">+SUM(IFERROR(VALUE(Q934:R934),0))</f>
        <v>0</v>
      </c>
    </row>
    <row r="935" spans="1:19" ht="14.4">
      <c r="A935"/>
      <c r="B935"/>
      <c r="C935" s="27"/>
      <c r="D935" s="28"/>
      <c r="F935" s="9" t="str">
        <f t="shared" si="126"/>
        <v/>
      </c>
      <c r="G935" s="9">
        <f t="shared" si="127"/>
        <v>0</v>
      </c>
      <c r="H935" s="9">
        <f t="shared" si="128"/>
        <v>0</v>
      </c>
      <c r="I935" s="9">
        <f t="array" ref="I935">+SUM(IFERROR(VALUE(G935:H935),0))</f>
        <v>0</v>
      </c>
      <c r="K935" s="9" t="str">
        <f t="shared" si="129"/>
        <v/>
      </c>
      <c r="L935" s="9">
        <f t="shared" si="130"/>
        <v>0</v>
      </c>
      <c r="M935" s="9">
        <f t="shared" si="131"/>
        <v>0</v>
      </c>
      <c r="N935" s="9">
        <f t="array" ref="N935">+SUM(IFERROR(VALUE(L935:M935),0))</f>
        <v>0</v>
      </c>
      <c r="P935" s="9" t="str">
        <f t="shared" si="132"/>
        <v/>
      </c>
      <c r="Q935" s="9">
        <f t="shared" si="133"/>
        <v>0</v>
      </c>
      <c r="R935" s="9">
        <f t="shared" si="134"/>
        <v>0</v>
      </c>
      <c r="S935" s="9">
        <f t="array" ref="S935">+SUM(IFERROR(VALUE(Q935:R935),0))</f>
        <v>0</v>
      </c>
    </row>
    <row r="936" spans="1:19">
      <c r="A936" s="26"/>
      <c r="B936" s="27"/>
      <c r="C936" s="27"/>
      <c r="D936" s="28"/>
      <c r="F936" s="9" t="str">
        <f t="shared" si="126"/>
        <v/>
      </c>
      <c r="G936" s="9">
        <f t="shared" si="127"/>
        <v>0</v>
      </c>
      <c r="H936" s="9">
        <f t="shared" si="128"/>
        <v>0</v>
      </c>
      <c r="I936" s="9">
        <f t="array" ref="I936">+SUM(IFERROR(VALUE(G936:H936),0))</f>
        <v>0</v>
      </c>
      <c r="K936" s="9" t="str">
        <f t="shared" si="129"/>
        <v/>
      </c>
      <c r="L936" s="9">
        <f t="shared" si="130"/>
        <v>0</v>
      </c>
      <c r="M936" s="9">
        <f t="shared" si="131"/>
        <v>0</v>
      </c>
      <c r="N936" s="9">
        <f t="array" ref="N936">+SUM(IFERROR(VALUE(L936:M936),0))</f>
        <v>0</v>
      </c>
      <c r="P936" s="9" t="str">
        <f t="shared" si="132"/>
        <v/>
      </c>
      <c r="Q936" s="9">
        <f t="shared" si="133"/>
        <v>0</v>
      </c>
      <c r="R936" s="9">
        <f t="shared" si="134"/>
        <v>0</v>
      </c>
      <c r="S936" s="9">
        <f t="array" ref="S936">+SUM(IFERROR(VALUE(Q936:R936),0))</f>
        <v>0</v>
      </c>
    </row>
    <row r="937" spans="1:19">
      <c r="A937" s="26"/>
      <c r="B937" s="27"/>
      <c r="C937" s="27"/>
      <c r="D937" s="28"/>
      <c r="F937" s="9" t="str">
        <f t="shared" si="126"/>
        <v/>
      </c>
      <c r="G937" s="9">
        <f t="shared" si="127"/>
        <v>0</v>
      </c>
      <c r="H937" s="9">
        <f t="shared" si="128"/>
        <v>0</v>
      </c>
      <c r="I937" s="9">
        <f t="array" ref="I937">+SUM(IFERROR(VALUE(G937:H937),0))</f>
        <v>0</v>
      </c>
      <c r="K937" s="9" t="str">
        <f t="shared" si="129"/>
        <v/>
      </c>
      <c r="L937" s="9">
        <f t="shared" si="130"/>
        <v>0</v>
      </c>
      <c r="M937" s="9">
        <f t="shared" si="131"/>
        <v>0</v>
      </c>
      <c r="N937" s="9">
        <f t="array" ref="N937">+SUM(IFERROR(VALUE(L937:M937),0))</f>
        <v>0</v>
      </c>
      <c r="P937" s="9" t="str">
        <f t="shared" si="132"/>
        <v/>
      </c>
      <c r="Q937" s="9">
        <f t="shared" si="133"/>
        <v>0</v>
      </c>
      <c r="R937" s="9">
        <f t="shared" si="134"/>
        <v>0</v>
      </c>
      <c r="S937" s="9">
        <f t="array" ref="S937">+SUM(IFERROR(VALUE(Q937:R937),0))</f>
        <v>0</v>
      </c>
    </row>
    <row r="938" spans="1:19">
      <c r="A938" s="26"/>
      <c r="B938" s="27"/>
      <c r="C938" s="27"/>
      <c r="D938" s="28"/>
      <c r="F938" s="9" t="str">
        <f t="shared" si="126"/>
        <v/>
      </c>
      <c r="G938" s="9">
        <f t="shared" si="127"/>
        <v>0</v>
      </c>
      <c r="H938" s="9">
        <f t="shared" si="128"/>
        <v>0</v>
      </c>
      <c r="I938" s="9">
        <f t="array" ref="I938">+SUM(IFERROR(VALUE(G938:H938),0))</f>
        <v>0</v>
      </c>
      <c r="K938" s="9" t="str">
        <f t="shared" si="129"/>
        <v/>
      </c>
      <c r="L938" s="9">
        <f t="shared" si="130"/>
        <v>0</v>
      </c>
      <c r="M938" s="9">
        <f t="shared" si="131"/>
        <v>0</v>
      </c>
      <c r="N938" s="9">
        <f t="array" ref="N938">+SUM(IFERROR(VALUE(L938:M938),0))</f>
        <v>0</v>
      </c>
      <c r="P938" s="9" t="str">
        <f t="shared" si="132"/>
        <v/>
      </c>
      <c r="Q938" s="9">
        <f t="shared" si="133"/>
        <v>0</v>
      </c>
      <c r="R938" s="9">
        <f t="shared" si="134"/>
        <v>0</v>
      </c>
      <c r="S938" s="9">
        <f t="array" ref="S938">+SUM(IFERROR(VALUE(Q938:R938),0))</f>
        <v>0</v>
      </c>
    </row>
    <row r="939" spans="1:19">
      <c r="A939" s="26"/>
      <c r="B939" s="27"/>
      <c r="C939" s="27"/>
      <c r="D939" s="28"/>
      <c r="F939" s="9" t="str">
        <f t="shared" si="126"/>
        <v/>
      </c>
      <c r="G939" s="9">
        <f t="shared" si="127"/>
        <v>0</v>
      </c>
      <c r="H939" s="9">
        <f t="shared" si="128"/>
        <v>0</v>
      </c>
      <c r="I939" s="9">
        <f t="array" ref="I939">+SUM(IFERROR(VALUE(G939:H939),0))</f>
        <v>0</v>
      </c>
      <c r="K939" s="9" t="str">
        <f t="shared" si="129"/>
        <v/>
      </c>
      <c r="L939" s="9">
        <f t="shared" si="130"/>
        <v>0</v>
      </c>
      <c r="M939" s="9">
        <f t="shared" si="131"/>
        <v>0</v>
      </c>
      <c r="N939" s="9">
        <f t="array" ref="N939">+SUM(IFERROR(VALUE(L939:M939),0))</f>
        <v>0</v>
      </c>
      <c r="P939" s="9" t="str">
        <f t="shared" si="132"/>
        <v/>
      </c>
      <c r="Q939" s="9">
        <f t="shared" si="133"/>
        <v>0</v>
      </c>
      <c r="R939" s="9">
        <f t="shared" si="134"/>
        <v>0</v>
      </c>
      <c r="S939" s="9">
        <f t="array" ref="S939">+SUM(IFERROR(VALUE(Q939:R939),0))</f>
        <v>0</v>
      </c>
    </row>
    <row r="940" spans="1:19">
      <c r="A940" s="26"/>
      <c r="B940" s="27"/>
      <c r="C940" s="27"/>
      <c r="D940" s="28"/>
      <c r="F940" s="9" t="str">
        <f t="shared" si="126"/>
        <v/>
      </c>
      <c r="G940" s="9">
        <f t="shared" si="127"/>
        <v>0</v>
      </c>
      <c r="H940" s="9">
        <f t="shared" si="128"/>
        <v>0</v>
      </c>
      <c r="I940" s="9">
        <f t="array" ref="I940">+SUM(IFERROR(VALUE(G940:H940),0))</f>
        <v>0</v>
      </c>
      <c r="K940" s="9" t="str">
        <f t="shared" si="129"/>
        <v/>
      </c>
      <c r="L940" s="9">
        <f t="shared" si="130"/>
        <v>0</v>
      </c>
      <c r="M940" s="9">
        <f t="shared" si="131"/>
        <v>0</v>
      </c>
      <c r="N940" s="9">
        <f t="array" ref="N940">+SUM(IFERROR(VALUE(L940:M940),0))</f>
        <v>0</v>
      </c>
      <c r="P940" s="9" t="str">
        <f t="shared" si="132"/>
        <v/>
      </c>
      <c r="Q940" s="9">
        <f t="shared" si="133"/>
        <v>0</v>
      </c>
      <c r="R940" s="9">
        <f t="shared" si="134"/>
        <v>0</v>
      </c>
      <c r="S940" s="9">
        <f t="array" ref="S940">+SUM(IFERROR(VALUE(Q940:R940),0))</f>
        <v>0</v>
      </c>
    </row>
    <row r="941" spans="1:19">
      <c r="A941" s="26"/>
      <c r="B941" s="27"/>
      <c r="C941" s="27"/>
      <c r="D941" s="28"/>
      <c r="F941" s="9" t="str">
        <f t="shared" si="126"/>
        <v/>
      </c>
      <c r="G941" s="9">
        <f t="shared" si="127"/>
        <v>0</v>
      </c>
      <c r="H941" s="9">
        <f t="shared" si="128"/>
        <v>0</v>
      </c>
      <c r="I941" s="9">
        <f t="array" ref="I941">+SUM(IFERROR(VALUE(G941:H941),0))</f>
        <v>0</v>
      </c>
      <c r="K941" s="9" t="str">
        <f t="shared" si="129"/>
        <v/>
      </c>
      <c r="L941" s="9">
        <f t="shared" si="130"/>
        <v>0</v>
      </c>
      <c r="M941" s="9">
        <f t="shared" si="131"/>
        <v>0</v>
      </c>
      <c r="N941" s="9">
        <f t="array" ref="N941">+SUM(IFERROR(VALUE(L941:M941),0))</f>
        <v>0</v>
      </c>
      <c r="P941" s="9" t="str">
        <f t="shared" si="132"/>
        <v/>
      </c>
      <c r="Q941" s="9">
        <f t="shared" si="133"/>
        <v>0</v>
      </c>
      <c r="R941" s="9">
        <f t="shared" si="134"/>
        <v>0</v>
      </c>
      <c r="S941" s="9">
        <f t="array" ref="S941">+SUM(IFERROR(VALUE(Q941:R941),0))</f>
        <v>0</v>
      </c>
    </row>
    <row r="942" spans="1:19">
      <c r="A942" s="26"/>
      <c r="B942" s="27"/>
      <c r="C942" s="27"/>
      <c r="D942" s="28"/>
      <c r="F942" s="9" t="str">
        <f t="shared" si="126"/>
        <v/>
      </c>
      <c r="G942" s="9">
        <f t="shared" si="127"/>
        <v>0</v>
      </c>
      <c r="H942" s="9">
        <f t="shared" si="128"/>
        <v>0</v>
      </c>
      <c r="I942" s="9">
        <f t="array" ref="I942">+SUM(IFERROR(VALUE(G942:H942),0))</f>
        <v>0</v>
      </c>
      <c r="K942" s="9" t="str">
        <f t="shared" si="129"/>
        <v/>
      </c>
      <c r="L942" s="9">
        <f t="shared" si="130"/>
        <v>0</v>
      </c>
      <c r="M942" s="9">
        <f t="shared" si="131"/>
        <v>0</v>
      </c>
      <c r="N942" s="9">
        <f t="array" ref="N942">+SUM(IFERROR(VALUE(L942:M942),0))</f>
        <v>0</v>
      </c>
      <c r="P942" s="9" t="str">
        <f t="shared" si="132"/>
        <v/>
      </c>
      <c r="Q942" s="9">
        <f t="shared" si="133"/>
        <v>0</v>
      </c>
      <c r="R942" s="9">
        <f t="shared" si="134"/>
        <v>0</v>
      </c>
      <c r="S942" s="9">
        <f t="array" ref="S942">+SUM(IFERROR(VALUE(Q942:R942),0))</f>
        <v>0</v>
      </c>
    </row>
    <row r="943" spans="1:19">
      <c r="A943" s="26"/>
      <c r="B943" s="27"/>
      <c r="C943" s="27"/>
      <c r="D943" s="28"/>
      <c r="F943" s="9" t="str">
        <f t="shared" si="126"/>
        <v/>
      </c>
      <c r="G943" s="9">
        <f t="shared" si="127"/>
        <v>0</v>
      </c>
      <c r="H943" s="9">
        <f t="shared" si="128"/>
        <v>0</v>
      </c>
      <c r="I943" s="9">
        <f t="array" ref="I943">+SUM(IFERROR(VALUE(G943:H943),0))</f>
        <v>0</v>
      </c>
      <c r="K943" s="9" t="str">
        <f t="shared" si="129"/>
        <v/>
      </c>
      <c r="L943" s="9">
        <f t="shared" si="130"/>
        <v>0</v>
      </c>
      <c r="M943" s="9">
        <f t="shared" si="131"/>
        <v>0</v>
      </c>
      <c r="N943" s="9">
        <f t="array" ref="N943">+SUM(IFERROR(VALUE(L943:M943),0))</f>
        <v>0</v>
      </c>
      <c r="P943" s="9" t="str">
        <f t="shared" si="132"/>
        <v/>
      </c>
      <c r="Q943" s="9">
        <f t="shared" si="133"/>
        <v>0</v>
      </c>
      <c r="R943" s="9">
        <f t="shared" si="134"/>
        <v>0</v>
      </c>
      <c r="S943" s="9">
        <f t="array" ref="S943">+SUM(IFERROR(VALUE(Q943:R943),0))</f>
        <v>0</v>
      </c>
    </row>
    <row r="944" spans="1:19">
      <c r="A944" s="26"/>
      <c r="B944" s="27"/>
      <c r="C944" s="27"/>
      <c r="D944" s="28"/>
      <c r="F944" s="9" t="str">
        <f t="shared" si="126"/>
        <v/>
      </c>
      <c r="G944" s="9">
        <f t="shared" si="127"/>
        <v>0</v>
      </c>
      <c r="H944" s="9">
        <f t="shared" si="128"/>
        <v>0</v>
      </c>
      <c r="I944" s="9">
        <f t="array" ref="I944">+SUM(IFERROR(VALUE(G944:H944),0))</f>
        <v>0</v>
      </c>
      <c r="K944" s="9" t="str">
        <f t="shared" si="129"/>
        <v/>
      </c>
      <c r="L944" s="9">
        <f t="shared" si="130"/>
        <v>0</v>
      </c>
      <c r="M944" s="9">
        <f t="shared" si="131"/>
        <v>0</v>
      </c>
      <c r="N944" s="9">
        <f t="array" ref="N944">+SUM(IFERROR(VALUE(L944:M944),0))</f>
        <v>0</v>
      </c>
      <c r="P944" s="9" t="str">
        <f t="shared" si="132"/>
        <v/>
      </c>
      <c r="Q944" s="9">
        <f t="shared" si="133"/>
        <v>0</v>
      </c>
      <c r="R944" s="9">
        <f t="shared" si="134"/>
        <v>0</v>
      </c>
      <c r="S944" s="9">
        <f t="array" ref="S944">+SUM(IFERROR(VALUE(Q944:R944),0))</f>
        <v>0</v>
      </c>
    </row>
    <row r="945" spans="1:19">
      <c r="A945" s="26"/>
      <c r="B945" s="27"/>
      <c r="C945" s="27"/>
      <c r="D945" s="28"/>
      <c r="F945" s="9" t="str">
        <f t="shared" si="126"/>
        <v/>
      </c>
      <c r="G945" s="9">
        <f t="shared" si="127"/>
        <v>0</v>
      </c>
      <c r="H945" s="9">
        <f t="shared" si="128"/>
        <v>0</v>
      </c>
      <c r="I945" s="9">
        <f t="array" ref="I945">+SUM(IFERROR(VALUE(G945:H945),0))</f>
        <v>0</v>
      </c>
      <c r="K945" s="9" t="str">
        <f t="shared" si="129"/>
        <v/>
      </c>
      <c r="L945" s="9">
        <f t="shared" si="130"/>
        <v>0</v>
      </c>
      <c r="M945" s="9">
        <f t="shared" si="131"/>
        <v>0</v>
      </c>
      <c r="N945" s="9">
        <f t="array" ref="N945">+SUM(IFERROR(VALUE(L945:M945),0))</f>
        <v>0</v>
      </c>
      <c r="P945" s="9" t="str">
        <f t="shared" si="132"/>
        <v/>
      </c>
      <c r="Q945" s="9">
        <f t="shared" si="133"/>
        <v>0</v>
      </c>
      <c r="R945" s="9">
        <f t="shared" si="134"/>
        <v>0</v>
      </c>
      <c r="S945" s="9">
        <f t="array" ref="S945">+SUM(IFERROR(VALUE(Q945:R945),0))</f>
        <v>0</v>
      </c>
    </row>
    <row r="946" spans="1:19">
      <c r="A946" s="26"/>
      <c r="B946" s="27"/>
      <c r="C946" s="27"/>
      <c r="D946" s="28"/>
      <c r="F946" s="9" t="str">
        <f t="shared" si="126"/>
        <v/>
      </c>
      <c r="G946" s="9">
        <f t="shared" si="127"/>
        <v>0</v>
      </c>
      <c r="H946" s="9">
        <f t="shared" si="128"/>
        <v>0</v>
      </c>
      <c r="I946" s="9">
        <f t="array" ref="I946">+SUM(IFERROR(VALUE(G946:H946),0))</f>
        <v>0</v>
      </c>
      <c r="K946" s="9" t="str">
        <f t="shared" si="129"/>
        <v/>
      </c>
      <c r="L946" s="9">
        <f t="shared" si="130"/>
        <v>0</v>
      </c>
      <c r="M946" s="9">
        <f t="shared" si="131"/>
        <v>0</v>
      </c>
      <c r="N946" s="9">
        <f t="array" ref="N946">+SUM(IFERROR(VALUE(L946:M946),0))</f>
        <v>0</v>
      </c>
      <c r="P946" s="9" t="str">
        <f t="shared" si="132"/>
        <v/>
      </c>
      <c r="Q946" s="9">
        <f t="shared" si="133"/>
        <v>0</v>
      </c>
      <c r="R946" s="9">
        <f t="shared" si="134"/>
        <v>0</v>
      </c>
      <c r="S946" s="9">
        <f t="array" ref="S946">+SUM(IFERROR(VALUE(Q946:R946),0))</f>
        <v>0</v>
      </c>
    </row>
    <row r="947" spans="1:19">
      <c r="A947" s="26"/>
      <c r="B947" s="27"/>
      <c r="C947" s="27"/>
      <c r="D947" s="28"/>
      <c r="F947" s="9" t="str">
        <f t="shared" si="126"/>
        <v/>
      </c>
      <c r="G947" s="9">
        <f t="shared" si="127"/>
        <v>0</v>
      </c>
      <c r="H947" s="9">
        <f t="shared" si="128"/>
        <v>0</v>
      </c>
      <c r="I947" s="9">
        <f t="array" ref="I947">+SUM(IFERROR(VALUE(G947:H947),0))</f>
        <v>0</v>
      </c>
      <c r="K947" s="9" t="str">
        <f t="shared" si="129"/>
        <v/>
      </c>
      <c r="L947" s="9">
        <f t="shared" si="130"/>
        <v>0</v>
      </c>
      <c r="M947" s="9">
        <f t="shared" si="131"/>
        <v>0</v>
      </c>
      <c r="N947" s="9">
        <f t="array" ref="N947">+SUM(IFERROR(VALUE(L947:M947),0))</f>
        <v>0</v>
      </c>
      <c r="P947" s="9" t="str">
        <f t="shared" si="132"/>
        <v/>
      </c>
      <c r="Q947" s="9">
        <f t="shared" si="133"/>
        <v>0</v>
      </c>
      <c r="R947" s="9">
        <f t="shared" si="134"/>
        <v>0</v>
      </c>
      <c r="S947" s="9">
        <f t="array" ref="S947">+SUM(IFERROR(VALUE(Q947:R947),0))</f>
        <v>0</v>
      </c>
    </row>
    <row r="948" spans="1:19">
      <c r="A948" s="26"/>
      <c r="B948" s="27"/>
      <c r="C948" s="27"/>
      <c r="D948" s="28"/>
      <c r="F948" s="9" t="str">
        <f t="shared" si="126"/>
        <v/>
      </c>
      <c r="G948" s="9">
        <f t="shared" si="127"/>
        <v>0</v>
      </c>
      <c r="H948" s="9">
        <f t="shared" si="128"/>
        <v>0</v>
      </c>
      <c r="I948" s="9">
        <f t="array" ref="I948">+SUM(IFERROR(VALUE(G948:H948),0))</f>
        <v>0</v>
      </c>
      <c r="K948" s="9" t="str">
        <f t="shared" si="129"/>
        <v/>
      </c>
      <c r="L948" s="9">
        <f t="shared" si="130"/>
        <v>0</v>
      </c>
      <c r="M948" s="9">
        <f t="shared" si="131"/>
        <v>0</v>
      </c>
      <c r="N948" s="9">
        <f t="array" ref="N948">+SUM(IFERROR(VALUE(L948:M948),0))</f>
        <v>0</v>
      </c>
      <c r="P948" s="9" t="str">
        <f t="shared" si="132"/>
        <v/>
      </c>
      <c r="Q948" s="9">
        <f t="shared" si="133"/>
        <v>0</v>
      </c>
      <c r="R948" s="9">
        <f t="shared" si="134"/>
        <v>0</v>
      </c>
      <c r="S948" s="9">
        <f t="array" ref="S948">+SUM(IFERROR(VALUE(Q948:R948),0))</f>
        <v>0</v>
      </c>
    </row>
    <row r="949" spans="1:19">
      <c r="A949" s="26"/>
      <c r="B949" s="27"/>
      <c r="C949" s="27"/>
      <c r="D949" s="28"/>
      <c r="F949" s="9" t="str">
        <f t="shared" si="126"/>
        <v/>
      </c>
      <c r="G949" s="9">
        <f t="shared" si="127"/>
        <v>0</v>
      </c>
      <c r="H949" s="9">
        <f t="shared" si="128"/>
        <v>0</v>
      </c>
      <c r="I949" s="9">
        <f t="array" ref="I949">+SUM(IFERROR(VALUE(G949:H949),0))</f>
        <v>0</v>
      </c>
      <c r="K949" s="9" t="str">
        <f t="shared" si="129"/>
        <v/>
      </c>
      <c r="L949" s="9">
        <f t="shared" si="130"/>
        <v>0</v>
      </c>
      <c r="M949" s="9">
        <f t="shared" si="131"/>
        <v>0</v>
      </c>
      <c r="N949" s="9">
        <f t="array" ref="N949">+SUM(IFERROR(VALUE(L949:M949),0))</f>
        <v>0</v>
      </c>
      <c r="P949" s="9" t="str">
        <f t="shared" si="132"/>
        <v/>
      </c>
      <c r="Q949" s="9">
        <f t="shared" si="133"/>
        <v>0</v>
      </c>
      <c r="R949" s="9">
        <f t="shared" si="134"/>
        <v>0</v>
      </c>
      <c r="S949" s="9">
        <f t="array" ref="S949">+SUM(IFERROR(VALUE(Q949:R949),0))</f>
        <v>0</v>
      </c>
    </row>
    <row r="950" spans="1:19">
      <c r="A950" s="26"/>
      <c r="B950" s="27"/>
      <c r="C950" s="27"/>
      <c r="D950" s="28"/>
      <c r="F950" s="9" t="str">
        <f t="shared" si="126"/>
        <v/>
      </c>
      <c r="G950" s="9">
        <f t="shared" si="127"/>
        <v>0</v>
      </c>
      <c r="H950" s="9">
        <f t="shared" si="128"/>
        <v>0</v>
      </c>
      <c r="I950" s="9">
        <f t="array" ref="I950">+SUM(IFERROR(VALUE(G950:H950),0))</f>
        <v>0</v>
      </c>
      <c r="K950" s="9" t="str">
        <f t="shared" si="129"/>
        <v/>
      </c>
      <c r="L950" s="9">
        <f t="shared" si="130"/>
        <v>0</v>
      </c>
      <c r="M950" s="9">
        <f t="shared" si="131"/>
        <v>0</v>
      </c>
      <c r="N950" s="9">
        <f t="array" ref="N950">+SUM(IFERROR(VALUE(L950:M950),0))</f>
        <v>0</v>
      </c>
      <c r="P950" s="9" t="str">
        <f t="shared" si="132"/>
        <v/>
      </c>
      <c r="Q950" s="9">
        <f t="shared" si="133"/>
        <v>0</v>
      </c>
      <c r="R950" s="9">
        <f t="shared" si="134"/>
        <v>0</v>
      </c>
      <c r="S950" s="9">
        <f t="array" ref="S950">+SUM(IFERROR(VALUE(Q950:R950),0))</f>
        <v>0</v>
      </c>
    </row>
    <row r="951" spans="1:19">
      <c r="A951" s="26"/>
      <c r="B951" s="27"/>
      <c r="C951" s="27"/>
      <c r="D951" s="28"/>
      <c r="F951" s="9" t="str">
        <f t="shared" si="126"/>
        <v/>
      </c>
      <c r="G951" s="9">
        <f t="shared" si="127"/>
        <v>0</v>
      </c>
      <c r="H951" s="9">
        <f t="shared" si="128"/>
        <v>0</v>
      </c>
      <c r="I951" s="9">
        <f t="array" ref="I951">+SUM(IFERROR(VALUE(G951:H951),0))</f>
        <v>0</v>
      </c>
      <c r="K951" s="9" t="str">
        <f t="shared" si="129"/>
        <v/>
      </c>
      <c r="L951" s="9">
        <f t="shared" si="130"/>
        <v>0</v>
      </c>
      <c r="M951" s="9">
        <f t="shared" si="131"/>
        <v>0</v>
      </c>
      <c r="N951" s="9">
        <f t="array" ref="N951">+SUM(IFERROR(VALUE(L951:M951),0))</f>
        <v>0</v>
      </c>
      <c r="P951" s="9" t="str">
        <f t="shared" si="132"/>
        <v/>
      </c>
      <c r="Q951" s="9">
        <f t="shared" si="133"/>
        <v>0</v>
      </c>
      <c r="R951" s="9">
        <f t="shared" si="134"/>
        <v>0</v>
      </c>
      <c r="S951" s="9">
        <f t="array" ref="S951">+SUM(IFERROR(VALUE(Q951:R951),0))</f>
        <v>0</v>
      </c>
    </row>
    <row r="952" spans="1:19">
      <c r="A952" s="26"/>
      <c r="B952" s="27"/>
      <c r="C952" s="27"/>
      <c r="D952" s="28"/>
      <c r="F952" s="9" t="str">
        <f t="shared" si="126"/>
        <v/>
      </c>
      <c r="G952" s="9">
        <f t="shared" si="127"/>
        <v>0</v>
      </c>
      <c r="H952" s="9">
        <f t="shared" si="128"/>
        <v>0</v>
      </c>
      <c r="I952" s="9">
        <f t="array" ref="I952">+SUM(IFERROR(VALUE(G952:H952),0))</f>
        <v>0</v>
      </c>
      <c r="K952" s="9" t="str">
        <f t="shared" si="129"/>
        <v/>
      </c>
      <c r="L952" s="9">
        <f t="shared" si="130"/>
        <v>0</v>
      </c>
      <c r="M952" s="9">
        <f t="shared" si="131"/>
        <v>0</v>
      </c>
      <c r="N952" s="9">
        <f t="array" ref="N952">+SUM(IFERROR(VALUE(L952:M952),0))</f>
        <v>0</v>
      </c>
      <c r="P952" s="9" t="str">
        <f t="shared" si="132"/>
        <v/>
      </c>
      <c r="Q952" s="9">
        <f t="shared" si="133"/>
        <v>0</v>
      </c>
      <c r="R952" s="9">
        <f t="shared" si="134"/>
        <v>0</v>
      </c>
      <c r="S952" s="9">
        <f t="array" ref="S952">+SUM(IFERROR(VALUE(Q952:R952),0))</f>
        <v>0</v>
      </c>
    </row>
    <row r="953" spans="1:19">
      <c r="A953" s="26"/>
      <c r="B953" s="27"/>
      <c r="C953" s="27"/>
      <c r="D953" s="28"/>
      <c r="F953" s="9" t="str">
        <f t="shared" si="126"/>
        <v/>
      </c>
      <c r="G953" s="9">
        <f t="shared" si="127"/>
        <v>0</v>
      </c>
      <c r="H953" s="9">
        <f t="shared" si="128"/>
        <v>0</v>
      </c>
      <c r="I953" s="9">
        <f t="array" ref="I953">+SUM(IFERROR(VALUE(G953:H953),0))</f>
        <v>0</v>
      </c>
      <c r="K953" s="9" t="str">
        <f t="shared" si="129"/>
        <v/>
      </c>
      <c r="L953" s="9">
        <f t="shared" si="130"/>
        <v>0</v>
      </c>
      <c r="M953" s="9">
        <f t="shared" si="131"/>
        <v>0</v>
      </c>
      <c r="N953" s="9">
        <f t="array" ref="N953">+SUM(IFERROR(VALUE(L953:M953),0))</f>
        <v>0</v>
      </c>
      <c r="P953" s="9" t="str">
        <f t="shared" si="132"/>
        <v/>
      </c>
      <c r="Q953" s="9">
        <f t="shared" si="133"/>
        <v>0</v>
      </c>
      <c r="R953" s="9">
        <f t="shared" si="134"/>
        <v>0</v>
      </c>
      <c r="S953" s="9">
        <f t="array" ref="S953">+SUM(IFERROR(VALUE(Q953:R953),0))</f>
        <v>0</v>
      </c>
    </row>
    <row r="954" spans="1:19">
      <c r="A954" s="26"/>
      <c r="B954" s="27"/>
      <c r="C954" s="27"/>
      <c r="D954" s="28"/>
      <c r="F954" s="9" t="str">
        <f t="shared" si="126"/>
        <v/>
      </c>
      <c r="G954" s="9">
        <f t="shared" si="127"/>
        <v>0</v>
      </c>
      <c r="H954" s="9">
        <f t="shared" si="128"/>
        <v>0</v>
      </c>
      <c r="I954" s="9">
        <f t="array" ref="I954">+SUM(IFERROR(VALUE(G954:H954),0))</f>
        <v>0</v>
      </c>
      <c r="K954" s="9" t="str">
        <f t="shared" si="129"/>
        <v/>
      </c>
      <c r="L954" s="9">
        <f t="shared" si="130"/>
        <v>0</v>
      </c>
      <c r="M954" s="9">
        <f t="shared" si="131"/>
        <v>0</v>
      </c>
      <c r="N954" s="9">
        <f t="array" ref="N954">+SUM(IFERROR(VALUE(L954:M954),0))</f>
        <v>0</v>
      </c>
      <c r="P954" s="9" t="str">
        <f t="shared" si="132"/>
        <v/>
      </c>
      <c r="Q954" s="9">
        <f t="shared" si="133"/>
        <v>0</v>
      </c>
      <c r="R954" s="9">
        <f t="shared" si="134"/>
        <v>0</v>
      </c>
      <c r="S954" s="9">
        <f t="array" ref="S954">+SUM(IFERROR(VALUE(Q954:R954),0))</f>
        <v>0</v>
      </c>
    </row>
    <row r="955" spans="1:19">
      <c r="A955" s="26"/>
      <c r="B955" s="27"/>
      <c r="C955" s="27"/>
      <c r="D955" s="28"/>
      <c r="F955" s="9" t="str">
        <f t="shared" si="126"/>
        <v/>
      </c>
      <c r="G955" s="9">
        <f t="shared" si="127"/>
        <v>0</v>
      </c>
      <c r="H955" s="9">
        <f t="shared" si="128"/>
        <v>0</v>
      </c>
      <c r="I955" s="9">
        <f t="array" ref="I955">+SUM(IFERROR(VALUE(G955:H955),0))</f>
        <v>0</v>
      </c>
      <c r="K955" s="9" t="str">
        <f t="shared" si="129"/>
        <v/>
      </c>
      <c r="L955" s="9">
        <f t="shared" si="130"/>
        <v>0</v>
      </c>
      <c r="M955" s="9">
        <f t="shared" si="131"/>
        <v>0</v>
      </c>
      <c r="N955" s="9">
        <f t="array" ref="N955">+SUM(IFERROR(VALUE(L955:M955),0))</f>
        <v>0</v>
      </c>
      <c r="P955" s="9" t="str">
        <f t="shared" si="132"/>
        <v/>
      </c>
      <c r="Q955" s="9">
        <f t="shared" si="133"/>
        <v>0</v>
      </c>
      <c r="R955" s="9">
        <f t="shared" si="134"/>
        <v>0</v>
      </c>
      <c r="S955" s="9">
        <f t="array" ref="S955">+SUM(IFERROR(VALUE(Q955:R955),0))</f>
        <v>0</v>
      </c>
    </row>
    <row r="956" spans="1:19">
      <c r="A956" s="26"/>
      <c r="B956" s="27"/>
      <c r="C956" s="27"/>
      <c r="D956" s="28"/>
      <c r="F956" s="9" t="str">
        <f t="shared" si="126"/>
        <v/>
      </c>
      <c r="G956" s="9">
        <f t="shared" si="127"/>
        <v>0</v>
      </c>
      <c r="H956" s="9">
        <f t="shared" si="128"/>
        <v>0</v>
      </c>
      <c r="I956" s="9">
        <f t="array" ref="I956">+SUM(IFERROR(VALUE(G956:H956),0))</f>
        <v>0</v>
      </c>
      <c r="K956" s="9" t="str">
        <f t="shared" si="129"/>
        <v/>
      </c>
      <c r="L956" s="9">
        <f t="shared" si="130"/>
        <v>0</v>
      </c>
      <c r="M956" s="9">
        <f t="shared" si="131"/>
        <v>0</v>
      </c>
      <c r="N956" s="9">
        <f t="array" ref="N956">+SUM(IFERROR(VALUE(L956:M956),0))</f>
        <v>0</v>
      </c>
      <c r="P956" s="9" t="str">
        <f t="shared" si="132"/>
        <v/>
      </c>
      <c r="Q956" s="9">
        <f t="shared" si="133"/>
        <v>0</v>
      </c>
      <c r="R956" s="9">
        <f t="shared" si="134"/>
        <v>0</v>
      </c>
      <c r="S956" s="9">
        <f t="array" ref="S956">+SUM(IFERROR(VALUE(Q956:R956),0))</f>
        <v>0</v>
      </c>
    </row>
    <row r="957" spans="1:19">
      <c r="A957" s="26"/>
      <c r="B957" s="27"/>
      <c r="C957" s="27"/>
      <c r="D957" s="28"/>
      <c r="F957" s="9" t="str">
        <f t="shared" si="126"/>
        <v/>
      </c>
      <c r="G957" s="9">
        <f t="shared" si="127"/>
        <v>0</v>
      </c>
      <c r="H957" s="9">
        <f t="shared" si="128"/>
        <v>0</v>
      </c>
      <c r="I957" s="9">
        <f t="array" ref="I957">+SUM(IFERROR(VALUE(G957:H957),0))</f>
        <v>0</v>
      </c>
      <c r="K957" s="9" t="str">
        <f t="shared" si="129"/>
        <v/>
      </c>
      <c r="L957" s="9">
        <f t="shared" si="130"/>
        <v>0</v>
      </c>
      <c r="M957" s="9">
        <f t="shared" si="131"/>
        <v>0</v>
      </c>
      <c r="N957" s="9">
        <f t="array" ref="N957">+SUM(IFERROR(VALUE(L957:M957),0))</f>
        <v>0</v>
      </c>
      <c r="P957" s="9" t="str">
        <f t="shared" si="132"/>
        <v/>
      </c>
      <c r="Q957" s="9">
        <f t="shared" si="133"/>
        <v>0</v>
      </c>
      <c r="R957" s="9">
        <f t="shared" si="134"/>
        <v>0</v>
      </c>
      <c r="S957" s="9">
        <f t="array" ref="S957">+SUM(IFERROR(VALUE(Q957:R957),0))</f>
        <v>0</v>
      </c>
    </row>
    <row r="958" spans="1:19">
      <c r="A958" s="26"/>
      <c r="B958" s="27"/>
      <c r="C958" s="27"/>
      <c r="D958" s="28"/>
      <c r="F958" s="9" t="str">
        <f t="shared" si="126"/>
        <v/>
      </c>
      <c r="G958" s="9">
        <f t="shared" si="127"/>
        <v>0</v>
      </c>
      <c r="H958" s="9">
        <f t="shared" si="128"/>
        <v>0</v>
      </c>
      <c r="I958" s="9">
        <f t="array" ref="I958">+SUM(IFERROR(VALUE(G958:H958),0))</f>
        <v>0</v>
      </c>
      <c r="K958" s="9" t="str">
        <f t="shared" si="129"/>
        <v/>
      </c>
      <c r="L958" s="9">
        <f t="shared" si="130"/>
        <v>0</v>
      </c>
      <c r="M958" s="9">
        <f t="shared" si="131"/>
        <v>0</v>
      </c>
      <c r="N958" s="9">
        <f t="array" ref="N958">+SUM(IFERROR(VALUE(L958:M958),0))</f>
        <v>0</v>
      </c>
      <c r="P958" s="9" t="str">
        <f t="shared" si="132"/>
        <v/>
      </c>
      <c r="Q958" s="9">
        <f t="shared" si="133"/>
        <v>0</v>
      </c>
      <c r="R958" s="9">
        <f t="shared" si="134"/>
        <v>0</v>
      </c>
      <c r="S958" s="9">
        <f t="array" ref="S958">+SUM(IFERROR(VALUE(Q958:R958),0))</f>
        <v>0</v>
      </c>
    </row>
    <row r="959" spans="1:19">
      <c r="A959" s="26"/>
      <c r="B959" s="27"/>
      <c r="C959" s="27"/>
      <c r="D959" s="28"/>
      <c r="F959" s="9" t="str">
        <f t="shared" si="126"/>
        <v/>
      </c>
      <c r="G959" s="9">
        <f t="shared" si="127"/>
        <v>0</v>
      </c>
      <c r="H959" s="9">
        <f t="shared" si="128"/>
        <v>0</v>
      </c>
      <c r="I959" s="9">
        <f t="array" ref="I959">+SUM(IFERROR(VALUE(G959:H959),0))</f>
        <v>0</v>
      </c>
      <c r="K959" s="9" t="str">
        <f t="shared" si="129"/>
        <v/>
      </c>
      <c r="L959" s="9">
        <f t="shared" si="130"/>
        <v>0</v>
      </c>
      <c r="M959" s="9">
        <f t="shared" si="131"/>
        <v>0</v>
      </c>
      <c r="N959" s="9">
        <f t="array" ref="N959">+SUM(IFERROR(VALUE(L959:M959),0))</f>
        <v>0</v>
      </c>
      <c r="P959" s="9" t="str">
        <f t="shared" si="132"/>
        <v/>
      </c>
      <c r="Q959" s="9">
        <f t="shared" si="133"/>
        <v>0</v>
      </c>
      <c r="R959" s="9">
        <f t="shared" si="134"/>
        <v>0</v>
      </c>
      <c r="S959" s="9">
        <f t="array" ref="S959">+SUM(IFERROR(VALUE(Q959:R959),0))</f>
        <v>0</v>
      </c>
    </row>
    <row r="960" spans="1:19">
      <c r="A960" s="26"/>
      <c r="B960" s="27"/>
      <c r="C960" s="27"/>
      <c r="D960" s="28"/>
      <c r="F960" s="9" t="str">
        <f t="shared" si="126"/>
        <v/>
      </c>
      <c r="G960" s="9">
        <f t="shared" si="127"/>
        <v>0</v>
      </c>
      <c r="H960" s="9">
        <f t="shared" si="128"/>
        <v>0</v>
      </c>
      <c r="I960" s="9">
        <f t="array" ref="I960">+SUM(IFERROR(VALUE(G960:H960),0))</f>
        <v>0</v>
      </c>
      <c r="K960" s="9" t="str">
        <f t="shared" si="129"/>
        <v/>
      </c>
      <c r="L960" s="9">
        <f t="shared" si="130"/>
        <v>0</v>
      </c>
      <c r="M960" s="9">
        <f t="shared" si="131"/>
        <v>0</v>
      </c>
      <c r="N960" s="9">
        <f t="array" ref="N960">+SUM(IFERROR(VALUE(L960:M960),0))</f>
        <v>0</v>
      </c>
      <c r="P960" s="9" t="str">
        <f t="shared" si="132"/>
        <v/>
      </c>
      <c r="Q960" s="9">
        <f t="shared" si="133"/>
        <v>0</v>
      </c>
      <c r="R960" s="9">
        <f t="shared" si="134"/>
        <v>0</v>
      </c>
      <c r="S960" s="9">
        <f t="array" ref="S960">+SUM(IFERROR(VALUE(Q960:R960),0))</f>
        <v>0</v>
      </c>
    </row>
    <row r="961" spans="1:19">
      <c r="A961" s="26"/>
      <c r="B961" s="27"/>
      <c r="C961" s="27"/>
      <c r="D961" s="28"/>
      <c r="F961" s="9" t="str">
        <f t="shared" si="126"/>
        <v/>
      </c>
      <c r="G961" s="9">
        <f t="shared" si="127"/>
        <v>0</v>
      </c>
      <c r="H961" s="9">
        <f t="shared" si="128"/>
        <v>0</v>
      </c>
      <c r="I961" s="9">
        <f t="array" ref="I961">+SUM(IFERROR(VALUE(G961:H961),0))</f>
        <v>0</v>
      </c>
      <c r="K961" s="9" t="str">
        <f t="shared" si="129"/>
        <v/>
      </c>
      <c r="L961" s="9">
        <f t="shared" si="130"/>
        <v>0</v>
      </c>
      <c r="M961" s="9">
        <f t="shared" si="131"/>
        <v>0</v>
      </c>
      <c r="N961" s="9">
        <f t="array" ref="N961">+SUM(IFERROR(VALUE(L961:M961),0))</f>
        <v>0</v>
      </c>
      <c r="P961" s="9" t="str">
        <f t="shared" si="132"/>
        <v/>
      </c>
      <c r="Q961" s="9">
        <f t="shared" si="133"/>
        <v>0</v>
      </c>
      <c r="R961" s="9">
        <f t="shared" si="134"/>
        <v>0</v>
      </c>
      <c r="S961" s="9">
        <f t="array" ref="S961">+SUM(IFERROR(VALUE(Q961:R961),0))</f>
        <v>0</v>
      </c>
    </row>
    <row r="962" spans="1:19">
      <c r="A962" s="26"/>
      <c r="B962" s="27"/>
      <c r="C962" s="27"/>
      <c r="D962" s="28"/>
      <c r="F962" s="9" t="str">
        <f t="shared" si="126"/>
        <v/>
      </c>
      <c r="G962" s="9">
        <f t="shared" si="127"/>
        <v>0</v>
      </c>
      <c r="H962" s="9">
        <f t="shared" si="128"/>
        <v>0</v>
      </c>
      <c r="I962" s="9">
        <f t="array" ref="I962">+SUM(IFERROR(VALUE(G962:H962),0))</f>
        <v>0</v>
      </c>
      <c r="K962" s="9" t="str">
        <f t="shared" si="129"/>
        <v/>
      </c>
      <c r="L962" s="9">
        <f t="shared" si="130"/>
        <v>0</v>
      </c>
      <c r="M962" s="9">
        <f t="shared" si="131"/>
        <v>0</v>
      </c>
      <c r="N962" s="9">
        <f t="array" ref="N962">+SUM(IFERROR(VALUE(L962:M962),0))</f>
        <v>0</v>
      </c>
      <c r="P962" s="9" t="str">
        <f t="shared" si="132"/>
        <v/>
      </c>
      <c r="Q962" s="9">
        <f t="shared" si="133"/>
        <v>0</v>
      </c>
      <c r="R962" s="9">
        <f t="shared" si="134"/>
        <v>0</v>
      </c>
      <c r="S962" s="9">
        <f t="array" ref="S962">+SUM(IFERROR(VALUE(Q962:R962),0))</f>
        <v>0</v>
      </c>
    </row>
    <row r="963" spans="1:19">
      <c r="A963" s="26"/>
      <c r="B963" s="27"/>
      <c r="C963" s="27"/>
      <c r="D963" s="28"/>
      <c r="F963" s="9" t="str">
        <f t="shared" si="126"/>
        <v/>
      </c>
      <c r="G963" s="9">
        <f t="shared" si="127"/>
        <v>0</v>
      </c>
      <c r="H963" s="9">
        <f t="shared" si="128"/>
        <v>0</v>
      </c>
      <c r="I963" s="9">
        <f t="array" ref="I963">+SUM(IFERROR(VALUE(G963:H963),0))</f>
        <v>0</v>
      </c>
      <c r="K963" s="9" t="str">
        <f t="shared" si="129"/>
        <v/>
      </c>
      <c r="L963" s="9">
        <f t="shared" si="130"/>
        <v>0</v>
      </c>
      <c r="M963" s="9">
        <f t="shared" si="131"/>
        <v>0</v>
      </c>
      <c r="N963" s="9">
        <f t="array" ref="N963">+SUM(IFERROR(VALUE(L963:M963),0))</f>
        <v>0</v>
      </c>
      <c r="P963" s="9" t="str">
        <f t="shared" si="132"/>
        <v/>
      </c>
      <c r="Q963" s="9">
        <f t="shared" si="133"/>
        <v>0</v>
      </c>
      <c r="R963" s="9">
        <f t="shared" si="134"/>
        <v>0</v>
      </c>
      <c r="S963" s="9">
        <f t="array" ref="S963">+SUM(IFERROR(VALUE(Q963:R963),0))</f>
        <v>0</v>
      </c>
    </row>
    <row r="964" spans="1:19">
      <c r="A964" s="26"/>
      <c r="B964" s="27"/>
      <c r="C964" s="27"/>
      <c r="D964" s="28"/>
      <c r="F964" s="9" t="str">
        <f t="shared" si="126"/>
        <v/>
      </c>
      <c r="G964" s="9">
        <f t="shared" si="127"/>
        <v>0</v>
      </c>
      <c r="H964" s="9">
        <f t="shared" si="128"/>
        <v>0</v>
      </c>
      <c r="I964" s="9">
        <f t="array" ref="I964">+SUM(IFERROR(VALUE(G964:H964),0))</f>
        <v>0</v>
      </c>
      <c r="K964" s="9" t="str">
        <f t="shared" si="129"/>
        <v/>
      </c>
      <c r="L964" s="9">
        <f t="shared" si="130"/>
        <v>0</v>
      </c>
      <c r="M964" s="9">
        <f t="shared" si="131"/>
        <v>0</v>
      </c>
      <c r="N964" s="9">
        <f t="array" ref="N964">+SUM(IFERROR(VALUE(L964:M964),0))</f>
        <v>0</v>
      </c>
      <c r="P964" s="9" t="str">
        <f t="shared" si="132"/>
        <v/>
      </c>
      <c r="Q964" s="9">
        <f t="shared" si="133"/>
        <v>0</v>
      </c>
      <c r="R964" s="9">
        <f t="shared" si="134"/>
        <v>0</v>
      </c>
      <c r="S964" s="9">
        <f t="array" ref="S964">+SUM(IFERROR(VALUE(Q964:R964),0))</f>
        <v>0</v>
      </c>
    </row>
    <row r="965" spans="1:19">
      <c r="A965" s="26"/>
      <c r="B965" s="27"/>
      <c r="C965" s="27"/>
      <c r="D965" s="28"/>
      <c r="F965" s="9" t="str">
        <f t="shared" si="126"/>
        <v/>
      </c>
      <c r="G965" s="9">
        <f t="shared" si="127"/>
        <v>0</v>
      </c>
      <c r="H965" s="9">
        <f t="shared" si="128"/>
        <v>0</v>
      </c>
      <c r="I965" s="9">
        <f t="array" ref="I965">+SUM(IFERROR(VALUE(G965:H965),0))</f>
        <v>0</v>
      </c>
      <c r="K965" s="9" t="str">
        <f t="shared" si="129"/>
        <v/>
      </c>
      <c r="L965" s="9">
        <f t="shared" si="130"/>
        <v>0</v>
      </c>
      <c r="M965" s="9">
        <f t="shared" si="131"/>
        <v>0</v>
      </c>
      <c r="N965" s="9">
        <f t="array" ref="N965">+SUM(IFERROR(VALUE(L965:M965),0))</f>
        <v>0</v>
      </c>
      <c r="P965" s="9" t="str">
        <f t="shared" si="132"/>
        <v/>
      </c>
      <c r="Q965" s="9">
        <f t="shared" si="133"/>
        <v>0</v>
      </c>
      <c r="R965" s="9">
        <f t="shared" si="134"/>
        <v>0</v>
      </c>
      <c r="S965" s="9">
        <f t="array" ref="S965">+SUM(IFERROR(VALUE(Q965:R965),0))</f>
        <v>0</v>
      </c>
    </row>
    <row r="966" spans="1:19">
      <c r="A966" s="26"/>
      <c r="B966" s="27"/>
      <c r="C966" s="27"/>
      <c r="D966" s="28"/>
      <c r="F966" s="9" t="str">
        <f t="shared" ref="F966:F1029" si="135">+LEFT(A966,4)</f>
        <v/>
      </c>
      <c r="G966" s="9">
        <f t="shared" ref="G966:G1029" si="136">+C966</f>
        <v>0</v>
      </c>
      <c r="H966" s="9">
        <f t="shared" ref="H966:H1029" si="137">-D966</f>
        <v>0</v>
      </c>
      <c r="I966" s="9">
        <f t="array" ref="I966">+SUM(IFERROR(VALUE(G966:H966),0))</f>
        <v>0</v>
      </c>
      <c r="K966" s="9" t="str">
        <f t="shared" ref="K966:K1029" si="138">+LEFT(A966,3)</f>
        <v/>
      </c>
      <c r="L966" s="9">
        <f t="shared" ref="L966:L1029" si="139">+C966</f>
        <v>0</v>
      </c>
      <c r="M966" s="9">
        <f t="shared" ref="M966:M1029" si="140">-D966</f>
        <v>0</v>
      </c>
      <c r="N966" s="9">
        <f t="array" ref="N966">+SUM(IFERROR(VALUE(L966:M966),0))</f>
        <v>0</v>
      </c>
      <c r="P966" s="9" t="str">
        <f t="shared" ref="P966:P1029" si="141">+LEFT(A966,2)</f>
        <v/>
      </c>
      <c r="Q966" s="9">
        <f t="shared" ref="Q966:Q1029" si="142">+C966</f>
        <v>0</v>
      </c>
      <c r="R966" s="9">
        <f t="shared" ref="R966:R1029" si="143">-D966</f>
        <v>0</v>
      </c>
      <c r="S966" s="9">
        <f t="array" ref="S966">+SUM(IFERROR(VALUE(Q966:R966),0))</f>
        <v>0</v>
      </c>
    </row>
    <row r="967" spans="1:19">
      <c r="A967" s="26"/>
      <c r="B967" s="27"/>
      <c r="C967" s="27"/>
      <c r="D967" s="28"/>
      <c r="F967" s="9" t="str">
        <f t="shared" si="135"/>
        <v/>
      </c>
      <c r="G967" s="9">
        <f t="shared" si="136"/>
        <v>0</v>
      </c>
      <c r="H967" s="9">
        <f t="shared" si="137"/>
        <v>0</v>
      </c>
      <c r="I967" s="9">
        <f t="array" ref="I967">+SUM(IFERROR(VALUE(G967:H967),0))</f>
        <v>0</v>
      </c>
      <c r="K967" s="9" t="str">
        <f t="shared" si="138"/>
        <v/>
      </c>
      <c r="L967" s="9">
        <f t="shared" si="139"/>
        <v>0</v>
      </c>
      <c r="M967" s="9">
        <f t="shared" si="140"/>
        <v>0</v>
      </c>
      <c r="N967" s="9">
        <f t="array" ref="N967">+SUM(IFERROR(VALUE(L967:M967),0))</f>
        <v>0</v>
      </c>
      <c r="P967" s="9" t="str">
        <f t="shared" si="141"/>
        <v/>
      </c>
      <c r="Q967" s="9">
        <f t="shared" si="142"/>
        <v>0</v>
      </c>
      <c r="R967" s="9">
        <f t="shared" si="143"/>
        <v>0</v>
      </c>
      <c r="S967" s="9">
        <f t="array" ref="S967">+SUM(IFERROR(VALUE(Q967:R967),0))</f>
        <v>0</v>
      </c>
    </row>
    <row r="968" spans="1:19">
      <c r="A968" s="26"/>
      <c r="B968" s="27"/>
      <c r="C968" s="27"/>
      <c r="D968" s="28"/>
      <c r="F968" s="9" t="str">
        <f t="shared" si="135"/>
        <v/>
      </c>
      <c r="G968" s="9">
        <f t="shared" si="136"/>
        <v>0</v>
      </c>
      <c r="H968" s="9">
        <f t="shared" si="137"/>
        <v>0</v>
      </c>
      <c r="I968" s="9">
        <f t="array" ref="I968">+SUM(IFERROR(VALUE(G968:H968),0))</f>
        <v>0</v>
      </c>
      <c r="K968" s="9" t="str">
        <f t="shared" si="138"/>
        <v/>
      </c>
      <c r="L968" s="9">
        <f t="shared" si="139"/>
        <v>0</v>
      </c>
      <c r="M968" s="9">
        <f t="shared" si="140"/>
        <v>0</v>
      </c>
      <c r="N968" s="9">
        <f t="array" ref="N968">+SUM(IFERROR(VALUE(L968:M968),0))</f>
        <v>0</v>
      </c>
      <c r="P968" s="9" t="str">
        <f t="shared" si="141"/>
        <v/>
      </c>
      <c r="Q968" s="9">
        <f t="shared" si="142"/>
        <v>0</v>
      </c>
      <c r="R968" s="9">
        <f t="shared" si="143"/>
        <v>0</v>
      </c>
      <c r="S968" s="9">
        <f t="array" ref="S968">+SUM(IFERROR(VALUE(Q968:R968),0))</f>
        <v>0</v>
      </c>
    </row>
    <row r="969" spans="1:19">
      <c r="A969" s="26"/>
      <c r="B969" s="27"/>
      <c r="C969" s="27"/>
      <c r="D969" s="28"/>
      <c r="F969" s="9" t="str">
        <f t="shared" si="135"/>
        <v/>
      </c>
      <c r="G969" s="9">
        <f t="shared" si="136"/>
        <v>0</v>
      </c>
      <c r="H969" s="9">
        <f t="shared" si="137"/>
        <v>0</v>
      </c>
      <c r="I969" s="9">
        <f t="array" ref="I969">+SUM(IFERROR(VALUE(G969:H969),0))</f>
        <v>0</v>
      </c>
      <c r="K969" s="9" t="str">
        <f t="shared" si="138"/>
        <v/>
      </c>
      <c r="L969" s="9">
        <f t="shared" si="139"/>
        <v>0</v>
      </c>
      <c r="M969" s="9">
        <f t="shared" si="140"/>
        <v>0</v>
      </c>
      <c r="N969" s="9">
        <f t="array" ref="N969">+SUM(IFERROR(VALUE(L969:M969),0))</f>
        <v>0</v>
      </c>
      <c r="P969" s="9" t="str">
        <f t="shared" si="141"/>
        <v/>
      </c>
      <c r="Q969" s="9">
        <f t="shared" si="142"/>
        <v>0</v>
      </c>
      <c r="R969" s="9">
        <f t="shared" si="143"/>
        <v>0</v>
      </c>
      <c r="S969" s="9">
        <f t="array" ref="S969">+SUM(IFERROR(VALUE(Q969:R969),0))</f>
        <v>0</v>
      </c>
    </row>
    <row r="970" spans="1:19">
      <c r="A970" s="26"/>
      <c r="B970" s="27"/>
      <c r="C970" s="27"/>
      <c r="D970" s="28"/>
      <c r="F970" s="9" t="str">
        <f t="shared" si="135"/>
        <v/>
      </c>
      <c r="G970" s="9">
        <f t="shared" si="136"/>
        <v>0</v>
      </c>
      <c r="H970" s="9">
        <f t="shared" si="137"/>
        <v>0</v>
      </c>
      <c r="I970" s="9">
        <f t="array" ref="I970">+SUM(IFERROR(VALUE(G970:H970),0))</f>
        <v>0</v>
      </c>
      <c r="K970" s="9" t="str">
        <f t="shared" si="138"/>
        <v/>
      </c>
      <c r="L970" s="9">
        <f t="shared" si="139"/>
        <v>0</v>
      </c>
      <c r="M970" s="9">
        <f t="shared" si="140"/>
        <v>0</v>
      </c>
      <c r="N970" s="9">
        <f t="array" ref="N970">+SUM(IFERROR(VALUE(L970:M970),0))</f>
        <v>0</v>
      </c>
      <c r="P970" s="9" t="str">
        <f t="shared" si="141"/>
        <v/>
      </c>
      <c r="Q970" s="9">
        <f t="shared" si="142"/>
        <v>0</v>
      </c>
      <c r="R970" s="9">
        <f t="shared" si="143"/>
        <v>0</v>
      </c>
      <c r="S970" s="9">
        <f t="array" ref="S970">+SUM(IFERROR(VALUE(Q970:R970),0))</f>
        <v>0</v>
      </c>
    </row>
    <row r="971" spans="1:19">
      <c r="A971" s="26"/>
      <c r="B971" s="27"/>
      <c r="C971" s="27"/>
      <c r="D971" s="28"/>
      <c r="F971" s="9" t="str">
        <f t="shared" si="135"/>
        <v/>
      </c>
      <c r="G971" s="9">
        <f t="shared" si="136"/>
        <v>0</v>
      </c>
      <c r="H971" s="9">
        <f t="shared" si="137"/>
        <v>0</v>
      </c>
      <c r="I971" s="9">
        <f t="array" ref="I971">+SUM(IFERROR(VALUE(G971:H971),0))</f>
        <v>0</v>
      </c>
      <c r="K971" s="9" t="str">
        <f t="shared" si="138"/>
        <v/>
      </c>
      <c r="L971" s="9">
        <f t="shared" si="139"/>
        <v>0</v>
      </c>
      <c r="M971" s="9">
        <f t="shared" si="140"/>
        <v>0</v>
      </c>
      <c r="N971" s="9">
        <f t="array" ref="N971">+SUM(IFERROR(VALUE(L971:M971),0))</f>
        <v>0</v>
      </c>
      <c r="P971" s="9" t="str">
        <f t="shared" si="141"/>
        <v/>
      </c>
      <c r="Q971" s="9">
        <f t="shared" si="142"/>
        <v>0</v>
      </c>
      <c r="R971" s="9">
        <f t="shared" si="143"/>
        <v>0</v>
      </c>
      <c r="S971" s="9">
        <f t="array" ref="S971">+SUM(IFERROR(VALUE(Q971:R971),0))</f>
        <v>0</v>
      </c>
    </row>
    <row r="972" spans="1:19">
      <c r="A972" s="26"/>
      <c r="B972" s="27"/>
      <c r="C972" s="27"/>
      <c r="D972" s="28"/>
      <c r="F972" s="9" t="str">
        <f t="shared" si="135"/>
        <v/>
      </c>
      <c r="G972" s="9">
        <f t="shared" si="136"/>
        <v>0</v>
      </c>
      <c r="H972" s="9">
        <f t="shared" si="137"/>
        <v>0</v>
      </c>
      <c r="I972" s="9">
        <f t="array" ref="I972">+SUM(IFERROR(VALUE(G972:H972),0))</f>
        <v>0</v>
      </c>
      <c r="K972" s="9" t="str">
        <f t="shared" si="138"/>
        <v/>
      </c>
      <c r="L972" s="9">
        <f t="shared" si="139"/>
        <v>0</v>
      </c>
      <c r="M972" s="9">
        <f t="shared" si="140"/>
        <v>0</v>
      </c>
      <c r="N972" s="9">
        <f t="array" ref="N972">+SUM(IFERROR(VALUE(L972:M972),0))</f>
        <v>0</v>
      </c>
      <c r="P972" s="9" t="str">
        <f t="shared" si="141"/>
        <v/>
      </c>
      <c r="Q972" s="9">
        <f t="shared" si="142"/>
        <v>0</v>
      </c>
      <c r="R972" s="9">
        <f t="shared" si="143"/>
        <v>0</v>
      </c>
      <c r="S972" s="9">
        <f t="array" ref="S972">+SUM(IFERROR(VALUE(Q972:R972),0))</f>
        <v>0</v>
      </c>
    </row>
    <row r="973" spans="1:19">
      <c r="A973" s="26"/>
      <c r="B973" s="27"/>
      <c r="C973" s="27"/>
      <c r="D973" s="28"/>
      <c r="F973" s="9" t="str">
        <f t="shared" si="135"/>
        <v/>
      </c>
      <c r="G973" s="9">
        <f t="shared" si="136"/>
        <v>0</v>
      </c>
      <c r="H973" s="9">
        <f t="shared" si="137"/>
        <v>0</v>
      </c>
      <c r="I973" s="9">
        <f t="array" ref="I973">+SUM(IFERROR(VALUE(G973:H973),0))</f>
        <v>0</v>
      </c>
      <c r="K973" s="9" t="str">
        <f t="shared" si="138"/>
        <v/>
      </c>
      <c r="L973" s="9">
        <f t="shared" si="139"/>
        <v>0</v>
      </c>
      <c r="M973" s="9">
        <f t="shared" si="140"/>
        <v>0</v>
      </c>
      <c r="N973" s="9">
        <f t="array" ref="N973">+SUM(IFERROR(VALUE(L973:M973),0))</f>
        <v>0</v>
      </c>
      <c r="P973" s="9" t="str">
        <f t="shared" si="141"/>
        <v/>
      </c>
      <c r="Q973" s="9">
        <f t="shared" si="142"/>
        <v>0</v>
      </c>
      <c r="R973" s="9">
        <f t="shared" si="143"/>
        <v>0</v>
      </c>
      <c r="S973" s="9">
        <f t="array" ref="S973">+SUM(IFERROR(VALUE(Q973:R973),0))</f>
        <v>0</v>
      </c>
    </row>
    <row r="974" spans="1:19">
      <c r="A974" s="26"/>
      <c r="B974" s="27"/>
      <c r="C974" s="27"/>
      <c r="D974" s="28"/>
      <c r="F974" s="9" t="str">
        <f t="shared" si="135"/>
        <v/>
      </c>
      <c r="G974" s="9">
        <f t="shared" si="136"/>
        <v>0</v>
      </c>
      <c r="H974" s="9">
        <f t="shared" si="137"/>
        <v>0</v>
      </c>
      <c r="I974" s="9">
        <f t="array" ref="I974">+SUM(IFERROR(VALUE(G974:H974),0))</f>
        <v>0</v>
      </c>
      <c r="K974" s="9" t="str">
        <f t="shared" si="138"/>
        <v/>
      </c>
      <c r="L974" s="9">
        <f t="shared" si="139"/>
        <v>0</v>
      </c>
      <c r="M974" s="9">
        <f t="shared" si="140"/>
        <v>0</v>
      </c>
      <c r="N974" s="9">
        <f t="array" ref="N974">+SUM(IFERROR(VALUE(L974:M974),0))</f>
        <v>0</v>
      </c>
      <c r="P974" s="9" t="str">
        <f t="shared" si="141"/>
        <v/>
      </c>
      <c r="Q974" s="9">
        <f t="shared" si="142"/>
        <v>0</v>
      </c>
      <c r="R974" s="9">
        <f t="shared" si="143"/>
        <v>0</v>
      </c>
      <c r="S974" s="9">
        <f t="array" ref="S974">+SUM(IFERROR(VALUE(Q974:R974),0))</f>
        <v>0</v>
      </c>
    </row>
    <row r="975" spans="1:19">
      <c r="A975" s="26"/>
      <c r="B975" s="27"/>
      <c r="C975" s="27"/>
      <c r="D975" s="28"/>
      <c r="F975" s="9" t="str">
        <f t="shared" si="135"/>
        <v/>
      </c>
      <c r="G975" s="9">
        <f t="shared" si="136"/>
        <v>0</v>
      </c>
      <c r="H975" s="9">
        <f t="shared" si="137"/>
        <v>0</v>
      </c>
      <c r="I975" s="9">
        <f t="array" ref="I975">+SUM(IFERROR(VALUE(G975:H975),0))</f>
        <v>0</v>
      </c>
      <c r="K975" s="9" t="str">
        <f t="shared" si="138"/>
        <v/>
      </c>
      <c r="L975" s="9">
        <f t="shared" si="139"/>
        <v>0</v>
      </c>
      <c r="M975" s="9">
        <f t="shared" si="140"/>
        <v>0</v>
      </c>
      <c r="N975" s="9">
        <f t="array" ref="N975">+SUM(IFERROR(VALUE(L975:M975),0))</f>
        <v>0</v>
      </c>
      <c r="P975" s="9" t="str">
        <f t="shared" si="141"/>
        <v/>
      </c>
      <c r="Q975" s="9">
        <f t="shared" si="142"/>
        <v>0</v>
      </c>
      <c r="R975" s="9">
        <f t="shared" si="143"/>
        <v>0</v>
      </c>
      <c r="S975" s="9">
        <f t="array" ref="S975">+SUM(IFERROR(VALUE(Q975:R975),0))</f>
        <v>0</v>
      </c>
    </row>
    <row r="976" spans="1:19">
      <c r="A976" s="26"/>
      <c r="B976" s="27"/>
      <c r="C976" s="27"/>
      <c r="D976" s="28"/>
      <c r="F976" s="9" t="str">
        <f t="shared" si="135"/>
        <v/>
      </c>
      <c r="G976" s="9">
        <f t="shared" si="136"/>
        <v>0</v>
      </c>
      <c r="H976" s="9">
        <f t="shared" si="137"/>
        <v>0</v>
      </c>
      <c r="I976" s="9">
        <f t="array" ref="I976">+SUM(IFERROR(VALUE(G976:H976),0))</f>
        <v>0</v>
      </c>
      <c r="K976" s="9" t="str">
        <f t="shared" si="138"/>
        <v/>
      </c>
      <c r="L976" s="9">
        <f t="shared" si="139"/>
        <v>0</v>
      </c>
      <c r="M976" s="9">
        <f t="shared" si="140"/>
        <v>0</v>
      </c>
      <c r="N976" s="9">
        <f t="array" ref="N976">+SUM(IFERROR(VALUE(L976:M976),0))</f>
        <v>0</v>
      </c>
      <c r="P976" s="9" t="str">
        <f t="shared" si="141"/>
        <v/>
      </c>
      <c r="Q976" s="9">
        <f t="shared" si="142"/>
        <v>0</v>
      </c>
      <c r="R976" s="9">
        <f t="shared" si="143"/>
        <v>0</v>
      </c>
      <c r="S976" s="9">
        <f t="array" ref="S976">+SUM(IFERROR(VALUE(Q976:R976),0))</f>
        <v>0</v>
      </c>
    </row>
    <row r="977" spans="1:19">
      <c r="A977" s="26"/>
      <c r="B977" s="27"/>
      <c r="C977" s="27"/>
      <c r="D977" s="28"/>
      <c r="F977" s="9" t="str">
        <f t="shared" si="135"/>
        <v/>
      </c>
      <c r="G977" s="9">
        <f t="shared" si="136"/>
        <v>0</v>
      </c>
      <c r="H977" s="9">
        <f t="shared" si="137"/>
        <v>0</v>
      </c>
      <c r="I977" s="9">
        <f t="array" ref="I977">+SUM(IFERROR(VALUE(G977:H977),0))</f>
        <v>0</v>
      </c>
      <c r="K977" s="9" t="str">
        <f t="shared" si="138"/>
        <v/>
      </c>
      <c r="L977" s="9">
        <f t="shared" si="139"/>
        <v>0</v>
      </c>
      <c r="M977" s="9">
        <f t="shared" si="140"/>
        <v>0</v>
      </c>
      <c r="N977" s="9">
        <f t="array" ref="N977">+SUM(IFERROR(VALUE(L977:M977),0))</f>
        <v>0</v>
      </c>
      <c r="P977" s="9" t="str">
        <f t="shared" si="141"/>
        <v/>
      </c>
      <c r="Q977" s="9">
        <f t="shared" si="142"/>
        <v>0</v>
      </c>
      <c r="R977" s="9">
        <f t="shared" si="143"/>
        <v>0</v>
      </c>
      <c r="S977" s="9">
        <f t="array" ref="S977">+SUM(IFERROR(VALUE(Q977:R977),0))</f>
        <v>0</v>
      </c>
    </row>
    <row r="978" spans="1:19">
      <c r="A978" s="26"/>
      <c r="B978" s="27"/>
      <c r="C978" s="27"/>
      <c r="D978" s="28"/>
      <c r="F978" s="9" t="str">
        <f t="shared" si="135"/>
        <v/>
      </c>
      <c r="G978" s="9">
        <f t="shared" si="136"/>
        <v>0</v>
      </c>
      <c r="H978" s="9">
        <f t="shared" si="137"/>
        <v>0</v>
      </c>
      <c r="I978" s="9">
        <f t="array" ref="I978">+SUM(IFERROR(VALUE(G978:H978),0))</f>
        <v>0</v>
      </c>
      <c r="K978" s="9" t="str">
        <f t="shared" si="138"/>
        <v/>
      </c>
      <c r="L978" s="9">
        <f t="shared" si="139"/>
        <v>0</v>
      </c>
      <c r="M978" s="9">
        <f t="shared" si="140"/>
        <v>0</v>
      </c>
      <c r="N978" s="9">
        <f t="array" ref="N978">+SUM(IFERROR(VALUE(L978:M978),0))</f>
        <v>0</v>
      </c>
      <c r="P978" s="9" t="str">
        <f t="shared" si="141"/>
        <v/>
      </c>
      <c r="Q978" s="9">
        <f t="shared" si="142"/>
        <v>0</v>
      </c>
      <c r="R978" s="9">
        <f t="shared" si="143"/>
        <v>0</v>
      </c>
      <c r="S978" s="9">
        <f t="array" ref="S978">+SUM(IFERROR(VALUE(Q978:R978),0))</f>
        <v>0</v>
      </c>
    </row>
    <row r="979" spans="1:19">
      <c r="A979" s="26"/>
      <c r="B979" s="27"/>
      <c r="C979" s="27"/>
      <c r="D979" s="28"/>
      <c r="F979" s="9" t="str">
        <f t="shared" si="135"/>
        <v/>
      </c>
      <c r="G979" s="9">
        <f t="shared" si="136"/>
        <v>0</v>
      </c>
      <c r="H979" s="9">
        <f t="shared" si="137"/>
        <v>0</v>
      </c>
      <c r="I979" s="9">
        <f t="array" ref="I979">+SUM(IFERROR(VALUE(G979:H979),0))</f>
        <v>0</v>
      </c>
      <c r="K979" s="9" t="str">
        <f t="shared" si="138"/>
        <v/>
      </c>
      <c r="L979" s="9">
        <f t="shared" si="139"/>
        <v>0</v>
      </c>
      <c r="M979" s="9">
        <f t="shared" si="140"/>
        <v>0</v>
      </c>
      <c r="N979" s="9">
        <f t="array" ref="N979">+SUM(IFERROR(VALUE(L979:M979),0))</f>
        <v>0</v>
      </c>
      <c r="P979" s="9" t="str">
        <f t="shared" si="141"/>
        <v/>
      </c>
      <c r="Q979" s="9">
        <f t="shared" si="142"/>
        <v>0</v>
      </c>
      <c r="R979" s="9">
        <f t="shared" si="143"/>
        <v>0</v>
      </c>
      <c r="S979" s="9">
        <f t="array" ref="S979">+SUM(IFERROR(VALUE(Q979:R979),0))</f>
        <v>0</v>
      </c>
    </row>
    <row r="980" spans="1:19">
      <c r="A980" s="26"/>
      <c r="B980" s="27"/>
      <c r="C980" s="27"/>
      <c r="D980" s="28"/>
      <c r="F980" s="9" t="str">
        <f t="shared" si="135"/>
        <v/>
      </c>
      <c r="G980" s="9">
        <f t="shared" si="136"/>
        <v>0</v>
      </c>
      <c r="H980" s="9">
        <f t="shared" si="137"/>
        <v>0</v>
      </c>
      <c r="I980" s="9">
        <f t="array" ref="I980">+SUM(IFERROR(VALUE(G980:H980),0))</f>
        <v>0</v>
      </c>
      <c r="K980" s="9" t="str">
        <f t="shared" si="138"/>
        <v/>
      </c>
      <c r="L980" s="9">
        <f t="shared" si="139"/>
        <v>0</v>
      </c>
      <c r="M980" s="9">
        <f t="shared" si="140"/>
        <v>0</v>
      </c>
      <c r="N980" s="9">
        <f t="array" ref="N980">+SUM(IFERROR(VALUE(L980:M980),0))</f>
        <v>0</v>
      </c>
      <c r="P980" s="9" t="str">
        <f t="shared" si="141"/>
        <v/>
      </c>
      <c r="Q980" s="9">
        <f t="shared" si="142"/>
        <v>0</v>
      </c>
      <c r="R980" s="9">
        <f t="shared" si="143"/>
        <v>0</v>
      </c>
      <c r="S980" s="9">
        <f t="array" ref="S980">+SUM(IFERROR(VALUE(Q980:R980),0))</f>
        <v>0</v>
      </c>
    </row>
    <row r="981" spans="1:19">
      <c r="A981" s="26"/>
      <c r="B981" s="27"/>
      <c r="C981" s="27"/>
      <c r="D981" s="28"/>
      <c r="F981" s="9" t="str">
        <f t="shared" si="135"/>
        <v/>
      </c>
      <c r="G981" s="9">
        <f t="shared" si="136"/>
        <v>0</v>
      </c>
      <c r="H981" s="9">
        <f t="shared" si="137"/>
        <v>0</v>
      </c>
      <c r="I981" s="9">
        <f t="array" ref="I981">+SUM(IFERROR(VALUE(G981:H981),0))</f>
        <v>0</v>
      </c>
      <c r="K981" s="9" t="str">
        <f t="shared" si="138"/>
        <v/>
      </c>
      <c r="L981" s="9">
        <f t="shared" si="139"/>
        <v>0</v>
      </c>
      <c r="M981" s="9">
        <f t="shared" si="140"/>
        <v>0</v>
      </c>
      <c r="N981" s="9">
        <f t="array" ref="N981">+SUM(IFERROR(VALUE(L981:M981),0))</f>
        <v>0</v>
      </c>
      <c r="P981" s="9" t="str">
        <f t="shared" si="141"/>
        <v/>
      </c>
      <c r="Q981" s="9">
        <f t="shared" si="142"/>
        <v>0</v>
      </c>
      <c r="R981" s="9">
        <f t="shared" si="143"/>
        <v>0</v>
      </c>
      <c r="S981" s="9">
        <f t="array" ref="S981">+SUM(IFERROR(VALUE(Q981:R981),0))</f>
        <v>0</v>
      </c>
    </row>
    <row r="982" spans="1:19">
      <c r="A982" s="26"/>
      <c r="B982" s="27"/>
      <c r="C982" s="27"/>
      <c r="D982" s="28"/>
      <c r="F982" s="9" t="str">
        <f t="shared" si="135"/>
        <v/>
      </c>
      <c r="G982" s="9">
        <f t="shared" si="136"/>
        <v>0</v>
      </c>
      <c r="H982" s="9">
        <f t="shared" si="137"/>
        <v>0</v>
      </c>
      <c r="I982" s="9">
        <f t="array" ref="I982">+SUM(IFERROR(VALUE(G982:H982),0))</f>
        <v>0</v>
      </c>
      <c r="K982" s="9" t="str">
        <f t="shared" si="138"/>
        <v/>
      </c>
      <c r="L982" s="9">
        <f t="shared" si="139"/>
        <v>0</v>
      </c>
      <c r="M982" s="9">
        <f t="shared" si="140"/>
        <v>0</v>
      </c>
      <c r="N982" s="9">
        <f t="array" ref="N982">+SUM(IFERROR(VALUE(L982:M982),0))</f>
        <v>0</v>
      </c>
      <c r="P982" s="9" t="str">
        <f t="shared" si="141"/>
        <v/>
      </c>
      <c r="Q982" s="9">
        <f t="shared" si="142"/>
        <v>0</v>
      </c>
      <c r="R982" s="9">
        <f t="shared" si="143"/>
        <v>0</v>
      </c>
      <c r="S982" s="9">
        <f t="array" ref="S982">+SUM(IFERROR(VALUE(Q982:R982),0))</f>
        <v>0</v>
      </c>
    </row>
    <row r="983" spans="1:19">
      <c r="A983" s="26"/>
      <c r="B983" s="27"/>
      <c r="C983" s="27"/>
      <c r="D983" s="28"/>
      <c r="F983" s="9" t="str">
        <f t="shared" si="135"/>
        <v/>
      </c>
      <c r="G983" s="9">
        <f t="shared" si="136"/>
        <v>0</v>
      </c>
      <c r="H983" s="9">
        <f t="shared" si="137"/>
        <v>0</v>
      </c>
      <c r="I983" s="9">
        <f t="array" ref="I983">+SUM(IFERROR(VALUE(G983:H983),0))</f>
        <v>0</v>
      </c>
      <c r="K983" s="9" t="str">
        <f t="shared" si="138"/>
        <v/>
      </c>
      <c r="L983" s="9">
        <f t="shared" si="139"/>
        <v>0</v>
      </c>
      <c r="M983" s="9">
        <f t="shared" si="140"/>
        <v>0</v>
      </c>
      <c r="N983" s="9">
        <f t="array" ref="N983">+SUM(IFERROR(VALUE(L983:M983),0))</f>
        <v>0</v>
      </c>
      <c r="P983" s="9" t="str">
        <f t="shared" si="141"/>
        <v/>
      </c>
      <c r="Q983" s="9">
        <f t="shared" si="142"/>
        <v>0</v>
      </c>
      <c r="R983" s="9">
        <f t="shared" si="143"/>
        <v>0</v>
      </c>
      <c r="S983" s="9">
        <f t="array" ref="S983">+SUM(IFERROR(VALUE(Q983:R983),0))</f>
        <v>0</v>
      </c>
    </row>
    <row r="984" spans="1:19">
      <c r="A984" s="26"/>
      <c r="B984" s="27"/>
      <c r="C984" s="27"/>
      <c r="D984" s="28"/>
      <c r="F984" s="9" t="str">
        <f t="shared" si="135"/>
        <v/>
      </c>
      <c r="G984" s="9">
        <f t="shared" si="136"/>
        <v>0</v>
      </c>
      <c r="H984" s="9">
        <f t="shared" si="137"/>
        <v>0</v>
      </c>
      <c r="I984" s="9">
        <f t="array" ref="I984">+SUM(IFERROR(VALUE(G984:H984),0))</f>
        <v>0</v>
      </c>
      <c r="K984" s="9" t="str">
        <f t="shared" si="138"/>
        <v/>
      </c>
      <c r="L984" s="9">
        <f t="shared" si="139"/>
        <v>0</v>
      </c>
      <c r="M984" s="9">
        <f t="shared" si="140"/>
        <v>0</v>
      </c>
      <c r="N984" s="9">
        <f t="array" ref="N984">+SUM(IFERROR(VALUE(L984:M984),0))</f>
        <v>0</v>
      </c>
      <c r="P984" s="9" t="str">
        <f t="shared" si="141"/>
        <v/>
      </c>
      <c r="Q984" s="9">
        <f t="shared" si="142"/>
        <v>0</v>
      </c>
      <c r="R984" s="9">
        <f t="shared" si="143"/>
        <v>0</v>
      </c>
      <c r="S984" s="9">
        <f t="array" ref="S984">+SUM(IFERROR(VALUE(Q984:R984),0))</f>
        <v>0</v>
      </c>
    </row>
    <row r="985" spans="1:19">
      <c r="A985" s="26"/>
      <c r="B985" s="27"/>
      <c r="C985" s="27"/>
      <c r="D985" s="28"/>
      <c r="F985" s="9" t="str">
        <f t="shared" si="135"/>
        <v/>
      </c>
      <c r="G985" s="9">
        <f t="shared" si="136"/>
        <v>0</v>
      </c>
      <c r="H985" s="9">
        <f t="shared" si="137"/>
        <v>0</v>
      </c>
      <c r="I985" s="9">
        <f t="array" ref="I985">+SUM(IFERROR(VALUE(G985:H985),0))</f>
        <v>0</v>
      </c>
      <c r="K985" s="9" t="str">
        <f t="shared" si="138"/>
        <v/>
      </c>
      <c r="L985" s="9">
        <f t="shared" si="139"/>
        <v>0</v>
      </c>
      <c r="M985" s="9">
        <f t="shared" si="140"/>
        <v>0</v>
      </c>
      <c r="N985" s="9">
        <f t="array" ref="N985">+SUM(IFERROR(VALUE(L985:M985),0))</f>
        <v>0</v>
      </c>
      <c r="P985" s="9" t="str">
        <f t="shared" si="141"/>
        <v/>
      </c>
      <c r="Q985" s="9">
        <f t="shared" si="142"/>
        <v>0</v>
      </c>
      <c r="R985" s="9">
        <f t="shared" si="143"/>
        <v>0</v>
      </c>
      <c r="S985" s="9">
        <f t="array" ref="S985">+SUM(IFERROR(VALUE(Q985:R985),0))</f>
        <v>0</v>
      </c>
    </row>
    <row r="986" spans="1:19">
      <c r="A986" s="26"/>
      <c r="B986" s="27"/>
      <c r="C986" s="27"/>
      <c r="D986" s="28"/>
      <c r="F986" s="9" t="str">
        <f t="shared" si="135"/>
        <v/>
      </c>
      <c r="G986" s="9">
        <f t="shared" si="136"/>
        <v>0</v>
      </c>
      <c r="H986" s="9">
        <f t="shared" si="137"/>
        <v>0</v>
      </c>
      <c r="I986" s="9">
        <f t="array" ref="I986">+SUM(IFERROR(VALUE(G986:H986),0))</f>
        <v>0</v>
      </c>
      <c r="K986" s="9" t="str">
        <f t="shared" si="138"/>
        <v/>
      </c>
      <c r="L986" s="9">
        <f t="shared" si="139"/>
        <v>0</v>
      </c>
      <c r="M986" s="9">
        <f t="shared" si="140"/>
        <v>0</v>
      </c>
      <c r="N986" s="9">
        <f t="array" ref="N986">+SUM(IFERROR(VALUE(L986:M986),0))</f>
        <v>0</v>
      </c>
      <c r="P986" s="9" t="str">
        <f t="shared" si="141"/>
        <v/>
      </c>
      <c r="Q986" s="9">
        <f t="shared" si="142"/>
        <v>0</v>
      </c>
      <c r="R986" s="9">
        <f t="shared" si="143"/>
        <v>0</v>
      </c>
      <c r="S986" s="9">
        <f t="array" ref="S986">+SUM(IFERROR(VALUE(Q986:R986),0))</f>
        <v>0</v>
      </c>
    </row>
    <row r="987" spans="1:19">
      <c r="A987" s="26"/>
      <c r="B987" s="27"/>
      <c r="C987" s="27"/>
      <c r="D987" s="28"/>
      <c r="F987" s="9" t="str">
        <f t="shared" si="135"/>
        <v/>
      </c>
      <c r="G987" s="9">
        <f t="shared" si="136"/>
        <v>0</v>
      </c>
      <c r="H987" s="9">
        <f t="shared" si="137"/>
        <v>0</v>
      </c>
      <c r="I987" s="9">
        <f t="array" ref="I987">+SUM(IFERROR(VALUE(G987:H987),0))</f>
        <v>0</v>
      </c>
      <c r="K987" s="9" t="str">
        <f t="shared" si="138"/>
        <v/>
      </c>
      <c r="L987" s="9">
        <f t="shared" si="139"/>
        <v>0</v>
      </c>
      <c r="M987" s="9">
        <f t="shared" si="140"/>
        <v>0</v>
      </c>
      <c r="N987" s="9">
        <f t="array" ref="N987">+SUM(IFERROR(VALUE(L987:M987),0))</f>
        <v>0</v>
      </c>
      <c r="P987" s="9" t="str">
        <f t="shared" si="141"/>
        <v/>
      </c>
      <c r="Q987" s="9">
        <f t="shared" si="142"/>
        <v>0</v>
      </c>
      <c r="R987" s="9">
        <f t="shared" si="143"/>
        <v>0</v>
      </c>
      <c r="S987" s="9">
        <f t="array" ref="S987">+SUM(IFERROR(VALUE(Q987:R987),0))</f>
        <v>0</v>
      </c>
    </row>
    <row r="988" spans="1:19">
      <c r="A988" s="26"/>
      <c r="B988" s="27"/>
      <c r="C988" s="27"/>
      <c r="D988" s="28"/>
      <c r="F988" s="9" t="str">
        <f t="shared" si="135"/>
        <v/>
      </c>
      <c r="G988" s="9">
        <f t="shared" si="136"/>
        <v>0</v>
      </c>
      <c r="H988" s="9">
        <f t="shared" si="137"/>
        <v>0</v>
      </c>
      <c r="I988" s="9">
        <f t="array" ref="I988">+SUM(IFERROR(VALUE(G988:H988),0))</f>
        <v>0</v>
      </c>
      <c r="K988" s="9" t="str">
        <f t="shared" si="138"/>
        <v/>
      </c>
      <c r="L988" s="9">
        <f t="shared" si="139"/>
        <v>0</v>
      </c>
      <c r="M988" s="9">
        <f t="shared" si="140"/>
        <v>0</v>
      </c>
      <c r="N988" s="9">
        <f t="array" ref="N988">+SUM(IFERROR(VALUE(L988:M988),0))</f>
        <v>0</v>
      </c>
      <c r="P988" s="9" t="str">
        <f t="shared" si="141"/>
        <v/>
      </c>
      <c r="Q988" s="9">
        <f t="shared" si="142"/>
        <v>0</v>
      </c>
      <c r="R988" s="9">
        <f t="shared" si="143"/>
        <v>0</v>
      </c>
      <c r="S988" s="9">
        <f t="array" ref="S988">+SUM(IFERROR(VALUE(Q988:R988),0))</f>
        <v>0</v>
      </c>
    </row>
    <row r="989" spans="1:19">
      <c r="A989" s="26"/>
      <c r="B989" s="27"/>
      <c r="C989" s="27"/>
      <c r="D989" s="28"/>
      <c r="F989" s="9" t="str">
        <f t="shared" si="135"/>
        <v/>
      </c>
      <c r="G989" s="9">
        <f t="shared" si="136"/>
        <v>0</v>
      </c>
      <c r="H989" s="9">
        <f t="shared" si="137"/>
        <v>0</v>
      </c>
      <c r="I989" s="9">
        <f t="array" ref="I989">+SUM(IFERROR(VALUE(G989:H989),0))</f>
        <v>0</v>
      </c>
      <c r="K989" s="9" t="str">
        <f t="shared" si="138"/>
        <v/>
      </c>
      <c r="L989" s="9">
        <f t="shared" si="139"/>
        <v>0</v>
      </c>
      <c r="M989" s="9">
        <f t="shared" si="140"/>
        <v>0</v>
      </c>
      <c r="N989" s="9">
        <f t="array" ref="N989">+SUM(IFERROR(VALUE(L989:M989),0))</f>
        <v>0</v>
      </c>
      <c r="P989" s="9" t="str">
        <f t="shared" si="141"/>
        <v/>
      </c>
      <c r="Q989" s="9">
        <f t="shared" si="142"/>
        <v>0</v>
      </c>
      <c r="R989" s="9">
        <f t="shared" si="143"/>
        <v>0</v>
      </c>
      <c r="S989" s="9">
        <f t="array" ref="S989">+SUM(IFERROR(VALUE(Q989:R989),0))</f>
        <v>0</v>
      </c>
    </row>
    <row r="990" spans="1:19">
      <c r="A990" s="26"/>
      <c r="B990" s="27"/>
      <c r="C990" s="27"/>
      <c r="D990" s="28"/>
      <c r="F990" s="9" t="str">
        <f t="shared" si="135"/>
        <v/>
      </c>
      <c r="G990" s="9">
        <f t="shared" si="136"/>
        <v>0</v>
      </c>
      <c r="H990" s="9">
        <f t="shared" si="137"/>
        <v>0</v>
      </c>
      <c r="I990" s="9">
        <f t="array" ref="I990">+SUM(IFERROR(VALUE(G990:H990),0))</f>
        <v>0</v>
      </c>
      <c r="K990" s="9" t="str">
        <f t="shared" si="138"/>
        <v/>
      </c>
      <c r="L990" s="9">
        <f t="shared" si="139"/>
        <v>0</v>
      </c>
      <c r="M990" s="9">
        <f t="shared" si="140"/>
        <v>0</v>
      </c>
      <c r="N990" s="9">
        <f t="array" ref="N990">+SUM(IFERROR(VALUE(L990:M990),0))</f>
        <v>0</v>
      </c>
      <c r="P990" s="9" t="str">
        <f t="shared" si="141"/>
        <v/>
      </c>
      <c r="Q990" s="9">
        <f t="shared" si="142"/>
        <v>0</v>
      </c>
      <c r="R990" s="9">
        <f t="shared" si="143"/>
        <v>0</v>
      </c>
      <c r="S990" s="9">
        <f t="array" ref="S990">+SUM(IFERROR(VALUE(Q990:R990),0))</f>
        <v>0</v>
      </c>
    </row>
    <row r="991" spans="1:19">
      <c r="A991" s="26"/>
      <c r="B991" s="27"/>
      <c r="C991" s="27"/>
      <c r="D991" s="28"/>
      <c r="F991" s="9" t="str">
        <f t="shared" si="135"/>
        <v/>
      </c>
      <c r="G991" s="9">
        <f t="shared" si="136"/>
        <v>0</v>
      </c>
      <c r="H991" s="9">
        <f t="shared" si="137"/>
        <v>0</v>
      </c>
      <c r="I991" s="9">
        <f t="array" ref="I991">+SUM(IFERROR(VALUE(G991:H991),0))</f>
        <v>0</v>
      </c>
      <c r="K991" s="9" t="str">
        <f t="shared" si="138"/>
        <v/>
      </c>
      <c r="L991" s="9">
        <f t="shared" si="139"/>
        <v>0</v>
      </c>
      <c r="M991" s="9">
        <f t="shared" si="140"/>
        <v>0</v>
      </c>
      <c r="N991" s="9">
        <f t="array" ref="N991">+SUM(IFERROR(VALUE(L991:M991),0))</f>
        <v>0</v>
      </c>
      <c r="P991" s="9" t="str">
        <f t="shared" si="141"/>
        <v/>
      </c>
      <c r="Q991" s="9">
        <f t="shared" si="142"/>
        <v>0</v>
      </c>
      <c r="R991" s="9">
        <f t="shared" si="143"/>
        <v>0</v>
      </c>
      <c r="S991" s="9">
        <f t="array" ref="S991">+SUM(IFERROR(VALUE(Q991:R991),0))</f>
        <v>0</v>
      </c>
    </row>
    <row r="992" spans="1:19">
      <c r="A992" s="26"/>
      <c r="B992" s="27"/>
      <c r="C992" s="27"/>
      <c r="D992" s="28"/>
      <c r="F992" s="9" t="str">
        <f t="shared" si="135"/>
        <v/>
      </c>
      <c r="G992" s="9">
        <f t="shared" si="136"/>
        <v>0</v>
      </c>
      <c r="H992" s="9">
        <f t="shared" si="137"/>
        <v>0</v>
      </c>
      <c r="I992" s="9">
        <f t="array" ref="I992">+SUM(IFERROR(VALUE(G992:H992),0))</f>
        <v>0</v>
      </c>
      <c r="K992" s="9" t="str">
        <f t="shared" si="138"/>
        <v/>
      </c>
      <c r="L992" s="9">
        <f t="shared" si="139"/>
        <v>0</v>
      </c>
      <c r="M992" s="9">
        <f t="shared" si="140"/>
        <v>0</v>
      </c>
      <c r="N992" s="9">
        <f t="array" ref="N992">+SUM(IFERROR(VALUE(L992:M992),0))</f>
        <v>0</v>
      </c>
      <c r="P992" s="9" t="str">
        <f t="shared" si="141"/>
        <v/>
      </c>
      <c r="Q992" s="9">
        <f t="shared" si="142"/>
        <v>0</v>
      </c>
      <c r="R992" s="9">
        <f t="shared" si="143"/>
        <v>0</v>
      </c>
      <c r="S992" s="9">
        <f t="array" ref="S992">+SUM(IFERROR(VALUE(Q992:R992),0))</f>
        <v>0</v>
      </c>
    </row>
    <row r="993" spans="1:19">
      <c r="A993" s="26"/>
      <c r="B993" s="27"/>
      <c r="C993" s="27"/>
      <c r="D993" s="28"/>
      <c r="F993" s="9" t="str">
        <f t="shared" si="135"/>
        <v/>
      </c>
      <c r="G993" s="9">
        <f t="shared" si="136"/>
        <v>0</v>
      </c>
      <c r="H993" s="9">
        <f t="shared" si="137"/>
        <v>0</v>
      </c>
      <c r="I993" s="9">
        <f t="array" ref="I993">+SUM(IFERROR(VALUE(G993:H993),0))</f>
        <v>0</v>
      </c>
      <c r="K993" s="9" t="str">
        <f t="shared" si="138"/>
        <v/>
      </c>
      <c r="L993" s="9">
        <f t="shared" si="139"/>
        <v>0</v>
      </c>
      <c r="M993" s="9">
        <f t="shared" si="140"/>
        <v>0</v>
      </c>
      <c r="N993" s="9">
        <f t="array" ref="N993">+SUM(IFERROR(VALUE(L993:M993),0))</f>
        <v>0</v>
      </c>
      <c r="P993" s="9" t="str">
        <f t="shared" si="141"/>
        <v/>
      </c>
      <c r="Q993" s="9">
        <f t="shared" si="142"/>
        <v>0</v>
      </c>
      <c r="R993" s="9">
        <f t="shared" si="143"/>
        <v>0</v>
      </c>
      <c r="S993" s="9">
        <f t="array" ref="S993">+SUM(IFERROR(VALUE(Q993:R993),0))</f>
        <v>0</v>
      </c>
    </row>
    <row r="994" spans="1:19">
      <c r="A994" s="26"/>
      <c r="B994" s="27"/>
      <c r="C994" s="27"/>
      <c r="D994" s="28"/>
      <c r="F994" s="9" t="str">
        <f t="shared" si="135"/>
        <v/>
      </c>
      <c r="G994" s="9">
        <f t="shared" si="136"/>
        <v>0</v>
      </c>
      <c r="H994" s="9">
        <f t="shared" si="137"/>
        <v>0</v>
      </c>
      <c r="I994" s="9">
        <f t="array" ref="I994">+SUM(IFERROR(VALUE(G994:H994),0))</f>
        <v>0</v>
      </c>
      <c r="K994" s="9" t="str">
        <f t="shared" si="138"/>
        <v/>
      </c>
      <c r="L994" s="9">
        <f t="shared" si="139"/>
        <v>0</v>
      </c>
      <c r="M994" s="9">
        <f t="shared" si="140"/>
        <v>0</v>
      </c>
      <c r="N994" s="9">
        <f t="array" ref="N994">+SUM(IFERROR(VALUE(L994:M994),0))</f>
        <v>0</v>
      </c>
      <c r="P994" s="9" t="str">
        <f t="shared" si="141"/>
        <v/>
      </c>
      <c r="Q994" s="9">
        <f t="shared" si="142"/>
        <v>0</v>
      </c>
      <c r="R994" s="9">
        <f t="shared" si="143"/>
        <v>0</v>
      </c>
      <c r="S994" s="9">
        <f t="array" ref="S994">+SUM(IFERROR(VALUE(Q994:R994),0))</f>
        <v>0</v>
      </c>
    </row>
    <row r="995" spans="1:19">
      <c r="A995" s="26"/>
      <c r="B995" s="27"/>
      <c r="C995" s="27"/>
      <c r="D995" s="28"/>
      <c r="F995" s="9" t="str">
        <f t="shared" si="135"/>
        <v/>
      </c>
      <c r="G995" s="9">
        <f t="shared" si="136"/>
        <v>0</v>
      </c>
      <c r="H995" s="9">
        <f t="shared" si="137"/>
        <v>0</v>
      </c>
      <c r="I995" s="9">
        <f t="array" ref="I995">+SUM(IFERROR(VALUE(G995:H995),0))</f>
        <v>0</v>
      </c>
      <c r="K995" s="9" t="str">
        <f t="shared" si="138"/>
        <v/>
      </c>
      <c r="L995" s="9">
        <f t="shared" si="139"/>
        <v>0</v>
      </c>
      <c r="M995" s="9">
        <f t="shared" si="140"/>
        <v>0</v>
      </c>
      <c r="N995" s="9">
        <f t="array" ref="N995">+SUM(IFERROR(VALUE(L995:M995),0))</f>
        <v>0</v>
      </c>
      <c r="P995" s="9" t="str">
        <f t="shared" si="141"/>
        <v/>
      </c>
      <c r="Q995" s="9">
        <f t="shared" si="142"/>
        <v>0</v>
      </c>
      <c r="R995" s="9">
        <f t="shared" si="143"/>
        <v>0</v>
      </c>
      <c r="S995" s="9">
        <f t="array" ref="S995">+SUM(IFERROR(VALUE(Q995:R995),0))</f>
        <v>0</v>
      </c>
    </row>
    <row r="996" spans="1:19">
      <c r="A996" s="26"/>
      <c r="B996" s="27"/>
      <c r="C996" s="27"/>
      <c r="D996" s="28"/>
      <c r="F996" s="9" t="str">
        <f t="shared" si="135"/>
        <v/>
      </c>
      <c r="G996" s="9">
        <f t="shared" si="136"/>
        <v>0</v>
      </c>
      <c r="H996" s="9">
        <f t="shared" si="137"/>
        <v>0</v>
      </c>
      <c r="I996" s="9">
        <f t="array" ref="I996">+SUM(IFERROR(VALUE(G996:H996),0))</f>
        <v>0</v>
      </c>
      <c r="K996" s="9" t="str">
        <f t="shared" si="138"/>
        <v/>
      </c>
      <c r="L996" s="9">
        <f t="shared" si="139"/>
        <v>0</v>
      </c>
      <c r="M996" s="9">
        <f t="shared" si="140"/>
        <v>0</v>
      </c>
      <c r="N996" s="9">
        <f t="array" ref="N996">+SUM(IFERROR(VALUE(L996:M996),0))</f>
        <v>0</v>
      </c>
      <c r="P996" s="9" t="str">
        <f t="shared" si="141"/>
        <v/>
      </c>
      <c r="Q996" s="9">
        <f t="shared" si="142"/>
        <v>0</v>
      </c>
      <c r="R996" s="9">
        <f t="shared" si="143"/>
        <v>0</v>
      </c>
      <c r="S996" s="9">
        <f t="array" ref="S996">+SUM(IFERROR(VALUE(Q996:R996),0))</f>
        <v>0</v>
      </c>
    </row>
    <row r="997" spans="1:19">
      <c r="A997" s="26"/>
      <c r="B997" s="27"/>
      <c r="C997" s="27"/>
      <c r="D997" s="28"/>
      <c r="F997" s="9" t="str">
        <f t="shared" si="135"/>
        <v/>
      </c>
      <c r="G997" s="9">
        <f t="shared" si="136"/>
        <v>0</v>
      </c>
      <c r="H997" s="9">
        <f t="shared" si="137"/>
        <v>0</v>
      </c>
      <c r="I997" s="9">
        <f t="array" ref="I997">+SUM(IFERROR(VALUE(G997:H997),0))</f>
        <v>0</v>
      </c>
      <c r="K997" s="9" t="str">
        <f t="shared" si="138"/>
        <v/>
      </c>
      <c r="L997" s="9">
        <f t="shared" si="139"/>
        <v>0</v>
      </c>
      <c r="M997" s="9">
        <f t="shared" si="140"/>
        <v>0</v>
      </c>
      <c r="N997" s="9">
        <f t="array" ref="N997">+SUM(IFERROR(VALUE(L997:M997),0))</f>
        <v>0</v>
      </c>
      <c r="P997" s="9" t="str">
        <f t="shared" si="141"/>
        <v/>
      </c>
      <c r="Q997" s="9">
        <f t="shared" si="142"/>
        <v>0</v>
      </c>
      <c r="R997" s="9">
        <f t="shared" si="143"/>
        <v>0</v>
      </c>
      <c r="S997" s="9">
        <f t="array" ref="S997">+SUM(IFERROR(VALUE(Q997:R997),0))</f>
        <v>0</v>
      </c>
    </row>
    <row r="998" spans="1:19">
      <c r="A998" s="26"/>
      <c r="B998" s="27"/>
      <c r="C998" s="27"/>
      <c r="D998" s="28"/>
      <c r="F998" s="9" t="str">
        <f t="shared" si="135"/>
        <v/>
      </c>
      <c r="G998" s="9">
        <f t="shared" si="136"/>
        <v>0</v>
      </c>
      <c r="H998" s="9">
        <f t="shared" si="137"/>
        <v>0</v>
      </c>
      <c r="I998" s="9">
        <f t="array" ref="I998">+SUM(IFERROR(VALUE(G998:H998),0))</f>
        <v>0</v>
      </c>
      <c r="K998" s="9" t="str">
        <f t="shared" si="138"/>
        <v/>
      </c>
      <c r="L998" s="9">
        <f t="shared" si="139"/>
        <v>0</v>
      </c>
      <c r="M998" s="9">
        <f t="shared" si="140"/>
        <v>0</v>
      </c>
      <c r="N998" s="9">
        <f t="array" ref="N998">+SUM(IFERROR(VALUE(L998:M998),0))</f>
        <v>0</v>
      </c>
      <c r="P998" s="9" t="str">
        <f t="shared" si="141"/>
        <v/>
      </c>
      <c r="Q998" s="9">
        <f t="shared" si="142"/>
        <v>0</v>
      </c>
      <c r="R998" s="9">
        <f t="shared" si="143"/>
        <v>0</v>
      </c>
      <c r="S998" s="9">
        <f t="array" ref="S998">+SUM(IFERROR(VALUE(Q998:R998),0))</f>
        <v>0</v>
      </c>
    </row>
    <row r="999" spans="1:19">
      <c r="A999" s="26"/>
      <c r="B999" s="27"/>
      <c r="C999" s="27"/>
      <c r="D999" s="28"/>
      <c r="F999" s="9" t="str">
        <f t="shared" si="135"/>
        <v/>
      </c>
      <c r="G999" s="9">
        <f t="shared" si="136"/>
        <v>0</v>
      </c>
      <c r="H999" s="9">
        <f t="shared" si="137"/>
        <v>0</v>
      </c>
      <c r="I999" s="9">
        <f t="array" ref="I999">+SUM(IFERROR(VALUE(G999:H999),0))</f>
        <v>0</v>
      </c>
      <c r="K999" s="9" t="str">
        <f t="shared" si="138"/>
        <v/>
      </c>
      <c r="L999" s="9">
        <f t="shared" si="139"/>
        <v>0</v>
      </c>
      <c r="M999" s="9">
        <f t="shared" si="140"/>
        <v>0</v>
      </c>
      <c r="N999" s="9">
        <f t="array" ref="N999">+SUM(IFERROR(VALUE(L999:M999),0))</f>
        <v>0</v>
      </c>
      <c r="P999" s="9" t="str">
        <f t="shared" si="141"/>
        <v/>
      </c>
      <c r="Q999" s="9">
        <f t="shared" si="142"/>
        <v>0</v>
      </c>
      <c r="R999" s="9">
        <f t="shared" si="143"/>
        <v>0</v>
      </c>
      <c r="S999" s="9">
        <f t="array" ref="S999">+SUM(IFERROR(VALUE(Q999:R999),0))</f>
        <v>0</v>
      </c>
    </row>
    <row r="1000" spans="1:19">
      <c r="A1000" s="26"/>
      <c r="B1000" s="27"/>
      <c r="C1000" s="27"/>
      <c r="D1000" s="28"/>
      <c r="F1000" s="9" t="str">
        <f t="shared" si="135"/>
        <v/>
      </c>
      <c r="G1000" s="9">
        <f t="shared" si="136"/>
        <v>0</v>
      </c>
      <c r="H1000" s="9">
        <f t="shared" si="137"/>
        <v>0</v>
      </c>
      <c r="I1000" s="9">
        <f t="array" ref="I1000">+SUM(IFERROR(VALUE(G1000:H1000),0))</f>
        <v>0</v>
      </c>
      <c r="K1000" s="9" t="str">
        <f t="shared" si="138"/>
        <v/>
      </c>
      <c r="L1000" s="9">
        <f t="shared" si="139"/>
        <v>0</v>
      </c>
      <c r="M1000" s="9">
        <f t="shared" si="140"/>
        <v>0</v>
      </c>
      <c r="N1000" s="9">
        <f t="array" ref="N1000">+SUM(IFERROR(VALUE(L1000:M1000),0))</f>
        <v>0</v>
      </c>
      <c r="P1000" s="9" t="str">
        <f t="shared" si="141"/>
        <v/>
      </c>
      <c r="Q1000" s="9">
        <f t="shared" si="142"/>
        <v>0</v>
      </c>
      <c r="R1000" s="9">
        <f t="shared" si="143"/>
        <v>0</v>
      </c>
      <c r="S1000" s="9">
        <f t="array" ref="S1000">+SUM(IFERROR(VALUE(Q1000:R1000),0))</f>
        <v>0</v>
      </c>
    </row>
    <row r="1001" spans="1:19">
      <c r="A1001" s="26"/>
      <c r="B1001" s="27"/>
      <c r="C1001" s="27"/>
      <c r="D1001" s="28"/>
      <c r="F1001" s="9" t="str">
        <f t="shared" si="135"/>
        <v/>
      </c>
      <c r="G1001" s="9">
        <f t="shared" si="136"/>
        <v>0</v>
      </c>
      <c r="H1001" s="9">
        <f t="shared" si="137"/>
        <v>0</v>
      </c>
      <c r="I1001" s="9">
        <f t="array" ref="I1001">+SUM(IFERROR(VALUE(G1001:H1001),0))</f>
        <v>0</v>
      </c>
      <c r="K1001" s="9" t="str">
        <f t="shared" si="138"/>
        <v/>
      </c>
      <c r="L1001" s="9">
        <f t="shared" si="139"/>
        <v>0</v>
      </c>
      <c r="M1001" s="9">
        <f t="shared" si="140"/>
        <v>0</v>
      </c>
      <c r="N1001" s="9">
        <f t="array" ref="N1001">+SUM(IFERROR(VALUE(L1001:M1001),0))</f>
        <v>0</v>
      </c>
      <c r="P1001" s="9" t="str">
        <f t="shared" si="141"/>
        <v/>
      </c>
      <c r="Q1001" s="9">
        <f t="shared" si="142"/>
        <v>0</v>
      </c>
      <c r="R1001" s="9">
        <f t="shared" si="143"/>
        <v>0</v>
      </c>
      <c r="S1001" s="9">
        <f t="array" ref="S1001">+SUM(IFERROR(VALUE(Q1001:R1001),0))</f>
        <v>0</v>
      </c>
    </row>
    <row r="1002" spans="1:19">
      <c r="A1002" s="26"/>
      <c r="B1002" s="27"/>
      <c r="C1002" s="27"/>
      <c r="D1002" s="28"/>
      <c r="F1002" s="9" t="str">
        <f t="shared" si="135"/>
        <v/>
      </c>
      <c r="G1002" s="9">
        <f t="shared" si="136"/>
        <v>0</v>
      </c>
      <c r="H1002" s="9">
        <f t="shared" si="137"/>
        <v>0</v>
      </c>
      <c r="I1002" s="9">
        <f t="array" ref="I1002">+SUM(IFERROR(VALUE(G1002:H1002),0))</f>
        <v>0</v>
      </c>
      <c r="K1002" s="9" t="str">
        <f t="shared" si="138"/>
        <v/>
      </c>
      <c r="L1002" s="9">
        <f t="shared" si="139"/>
        <v>0</v>
      </c>
      <c r="M1002" s="9">
        <f t="shared" si="140"/>
        <v>0</v>
      </c>
      <c r="N1002" s="9">
        <f t="array" ref="N1002">+SUM(IFERROR(VALUE(L1002:M1002),0))</f>
        <v>0</v>
      </c>
      <c r="P1002" s="9" t="str">
        <f t="shared" si="141"/>
        <v/>
      </c>
      <c r="Q1002" s="9">
        <f t="shared" si="142"/>
        <v>0</v>
      </c>
      <c r="R1002" s="9">
        <f t="shared" si="143"/>
        <v>0</v>
      </c>
      <c r="S1002" s="9">
        <f t="array" ref="S1002">+SUM(IFERROR(VALUE(Q1002:R1002),0))</f>
        <v>0</v>
      </c>
    </row>
    <row r="1003" spans="1:19">
      <c r="A1003" s="26"/>
      <c r="B1003" s="27"/>
      <c r="C1003" s="27"/>
      <c r="D1003" s="28"/>
      <c r="F1003" s="9" t="str">
        <f t="shared" si="135"/>
        <v/>
      </c>
      <c r="G1003" s="9">
        <f t="shared" si="136"/>
        <v>0</v>
      </c>
      <c r="H1003" s="9">
        <f t="shared" si="137"/>
        <v>0</v>
      </c>
      <c r="I1003" s="9">
        <f t="array" ref="I1003">+SUM(IFERROR(VALUE(G1003:H1003),0))</f>
        <v>0</v>
      </c>
      <c r="K1003" s="9" t="str">
        <f t="shared" si="138"/>
        <v/>
      </c>
      <c r="L1003" s="9">
        <f t="shared" si="139"/>
        <v>0</v>
      </c>
      <c r="M1003" s="9">
        <f t="shared" si="140"/>
        <v>0</v>
      </c>
      <c r="N1003" s="9">
        <f t="array" ref="N1003">+SUM(IFERROR(VALUE(L1003:M1003),0))</f>
        <v>0</v>
      </c>
      <c r="P1003" s="9" t="str">
        <f t="shared" si="141"/>
        <v/>
      </c>
      <c r="Q1003" s="9">
        <f t="shared" si="142"/>
        <v>0</v>
      </c>
      <c r="R1003" s="9">
        <f t="shared" si="143"/>
        <v>0</v>
      </c>
      <c r="S1003" s="9">
        <f t="array" ref="S1003">+SUM(IFERROR(VALUE(Q1003:R1003),0))</f>
        <v>0</v>
      </c>
    </row>
    <row r="1004" spans="1:19">
      <c r="A1004" s="26"/>
      <c r="B1004" s="27"/>
      <c r="C1004" s="27"/>
      <c r="D1004" s="28"/>
      <c r="F1004" s="9" t="str">
        <f t="shared" si="135"/>
        <v/>
      </c>
      <c r="G1004" s="9">
        <f t="shared" si="136"/>
        <v>0</v>
      </c>
      <c r="H1004" s="9">
        <f t="shared" si="137"/>
        <v>0</v>
      </c>
      <c r="I1004" s="9">
        <f t="array" ref="I1004">+SUM(IFERROR(VALUE(G1004:H1004),0))</f>
        <v>0</v>
      </c>
      <c r="K1004" s="9" t="str">
        <f t="shared" si="138"/>
        <v/>
      </c>
      <c r="L1004" s="9">
        <f t="shared" si="139"/>
        <v>0</v>
      </c>
      <c r="M1004" s="9">
        <f t="shared" si="140"/>
        <v>0</v>
      </c>
      <c r="N1004" s="9">
        <f t="array" ref="N1004">+SUM(IFERROR(VALUE(L1004:M1004),0))</f>
        <v>0</v>
      </c>
      <c r="P1004" s="9" t="str">
        <f t="shared" si="141"/>
        <v/>
      </c>
      <c r="Q1004" s="9">
        <f t="shared" si="142"/>
        <v>0</v>
      </c>
      <c r="R1004" s="9">
        <f t="shared" si="143"/>
        <v>0</v>
      </c>
      <c r="S1004" s="9">
        <f t="array" ref="S1004">+SUM(IFERROR(VALUE(Q1004:R1004),0))</f>
        <v>0</v>
      </c>
    </row>
    <row r="1005" spans="1:19">
      <c r="A1005" s="26"/>
      <c r="B1005" s="27"/>
      <c r="C1005" s="27"/>
      <c r="D1005" s="28"/>
      <c r="F1005" s="9" t="str">
        <f t="shared" si="135"/>
        <v/>
      </c>
      <c r="G1005" s="9">
        <f t="shared" si="136"/>
        <v>0</v>
      </c>
      <c r="H1005" s="9">
        <f t="shared" si="137"/>
        <v>0</v>
      </c>
      <c r="I1005" s="9">
        <f t="array" ref="I1005">+SUM(IFERROR(VALUE(G1005:H1005),0))</f>
        <v>0</v>
      </c>
      <c r="K1005" s="9" t="str">
        <f t="shared" si="138"/>
        <v/>
      </c>
      <c r="L1005" s="9">
        <f t="shared" si="139"/>
        <v>0</v>
      </c>
      <c r="M1005" s="9">
        <f t="shared" si="140"/>
        <v>0</v>
      </c>
      <c r="N1005" s="9">
        <f t="array" ref="N1005">+SUM(IFERROR(VALUE(L1005:M1005),0))</f>
        <v>0</v>
      </c>
      <c r="P1005" s="9" t="str">
        <f t="shared" si="141"/>
        <v/>
      </c>
      <c r="Q1005" s="9">
        <f t="shared" si="142"/>
        <v>0</v>
      </c>
      <c r="R1005" s="9">
        <f t="shared" si="143"/>
        <v>0</v>
      </c>
      <c r="S1005" s="9">
        <f t="array" ref="S1005">+SUM(IFERROR(VALUE(Q1005:R1005),0))</f>
        <v>0</v>
      </c>
    </row>
    <row r="1006" spans="1:19">
      <c r="A1006" s="26"/>
      <c r="B1006" s="27"/>
      <c r="C1006" s="27"/>
      <c r="D1006" s="28"/>
      <c r="F1006" s="9" t="str">
        <f t="shared" si="135"/>
        <v/>
      </c>
      <c r="G1006" s="9">
        <f t="shared" si="136"/>
        <v>0</v>
      </c>
      <c r="H1006" s="9">
        <f t="shared" si="137"/>
        <v>0</v>
      </c>
      <c r="I1006" s="9">
        <f t="array" ref="I1006">+SUM(IFERROR(VALUE(G1006:H1006),0))</f>
        <v>0</v>
      </c>
      <c r="K1006" s="9" t="str">
        <f t="shared" si="138"/>
        <v/>
      </c>
      <c r="L1006" s="9">
        <f t="shared" si="139"/>
        <v>0</v>
      </c>
      <c r="M1006" s="9">
        <f t="shared" si="140"/>
        <v>0</v>
      </c>
      <c r="N1006" s="9">
        <f t="array" ref="N1006">+SUM(IFERROR(VALUE(L1006:M1006),0))</f>
        <v>0</v>
      </c>
      <c r="P1006" s="9" t="str">
        <f t="shared" si="141"/>
        <v/>
      </c>
      <c r="Q1006" s="9">
        <f t="shared" si="142"/>
        <v>0</v>
      </c>
      <c r="R1006" s="9">
        <f t="shared" si="143"/>
        <v>0</v>
      </c>
      <c r="S1006" s="9">
        <f t="array" ref="S1006">+SUM(IFERROR(VALUE(Q1006:R1006),0))</f>
        <v>0</v>
      </c>
    </row>
    <row r="1007" spans="1:19">
      <c r="A1007" s="26"/>
      <c r="B1007" s="27"/>
      <c r="C1007" s="27"/>
      <c r="D1007" s="28"/>
      <c r="F1007" s="9" t="str">
        <f t="shared" si="135"/>
        <v/>
      </c>
      <c r="G1007" s="9">
        <f t="shared" si="136"/>
        <v>0</v>
      </c>
      <c r="H1007" s="9">
        <f t="shared" si="137"/>
        <v>0</v>
      </c>
      <c r="I1007" s="9">
        <f t="array" ref="I1007">+SUM(IFERROR(VALUE(G1007:H1007),0))</f>
        <v>0</v>
      </c>
      <c r="K1007" s="9" t="str">
        <f t="shared" si="138"/>
        <v/>
      </c>
      <c r="L1007" s="9">
        <f t="shared" si="139"/>
        <v>0</v>
      </c>
      <c r="M1007" s="9">
        <f t="shared" si="140"/>
        <v>0</v>
      </c>
      <c r="N1007" s="9">
        <f t="array" ref="N1007">+SUM(IFERROR(VALUE(L1007:M1007),0))</f>
        <v>0</v>
      </c>
      <c r="P1007" s="9" t="str">
        <f t="shared" si="141"/>
        <v/>
      </c>
      <c r="Q1007" s="9">
        <f t="shared" si="142"/>
        <v>0</v>
      </c>
      <c r="R1007" s="9">
        <f t="shared" si="143"/>
        <v>0</v>
      </c>
      <c r="S1007" s="9">
        <f t="array" ref="S1007">+SUM(IFERROR(VALUE(Q1007:R1007),0))</f>
        <v>0</v>
      </c>
    </row>
    <row r="1008" spans="1:19">
      <c r="A1008" s="26"/>
      <c r="B1008" s="27"/>
      <c r="C1008" s="27"/>
      <c r="D1008" s="28"/>
      <c r="F1008" s="9" t="str">
        <f t="shared" si="135"/>
        <v/>
      </c>
      <c r="G1008" s="9">
        <f t="shared" si="136"/>
        <v>0</v>
      </c>
      <c r="H1008" s="9">
        <f t="shared" si="137"/>
        <v>0</v>
      </c>
      <c r="I1008" s="9">
        <f t="array" ref="I1008">+SUM(IFERROR(VALUE(G1008:H1008),0))</f>
        <v>0</v>
      </c>
      <c r="K1008" s="9" t="str">
        <f t="shared" si="138"/>
        <v/>
      </c>
      <c r="L1008" s="9">
        <f t="shared" si="139"/>
        <v>0</v>
      </c>
      <c r="M1008" s="9">
        <f t="shared" si="140"/>
        <v>0</v>
      </c>
      <c r="N1008" s="9">
        <f t="array" ref="N1008">+SUM(IFERROR(VALUE(L1008:M1008),0))</f>
        <v>0</v>
      </c>
      <c r="P1008" s="9" t="str">
        <f t="shared" si="141"/>
        <v/>
      </c>
      <c r="Q1008" s="9">
        <f t="shared" si="142"/>
        <v>0</v>
      </c>
      <c r="R1008" s="9">
        <f t="shared" si="143"/>
        <v>0</v>
      </c>
      <c r="S1008" s="9">
        <f t="array" ref="S1008">+SUM(IFERROR(VALUE(Q1008:R1008),0))</f>
        <v>0</v>
      </c>
    </row>
    <row r="1009" spans="1:19">
      <c r="A1009" s="26"/>
      <c r="B1009" s="27"/>
      <c r="C1009" s="27"/>
      <c r="D1009" s="28"/>
      <c r="F1009" s="9" t="str">
        <f t="shared" si="135"/>
        <v/>
      </c>
      <c r="G1009" s="9">
        <f t="shared" si="136"/>
        <v>0</v>
      </c>
      <c r="H1009" s="9">
        <f t="shared" si="137"/>
        <v>0</v>
      </c>
      <c r="I1009" s="9">
        <f t="array" ref="I1009">+SUM(IFERROR(VALUE(G1009:H1009),0))</f>
        <v>0</v>
      </c>
      <c r="K1009" s="9" t="str">
        <f t="shared" si="138"/>
        <v/>
      </c>
      <c r="L1009" s="9">
        <f t="shared" si="139"/>
        <v>0</v>
      </c>
      <c r="M1009" s="9">
        <f t="shared" si="140"/>
        <v>0</v>
      </c>
      <c r="N1009" s="9">
        <f t="array" ref="N1009">+SUM(IFERROR(VALUE(L1009:M1009),0))</f>
        <v>0</v>
      </c>
      <c r="P1009" s="9" t="str">
        <f t="shared" si="141"/>
        <v/>
      </c>
      <c r="Q1009" s="9">
        <f t="shared" si="142"/>
        <v>0</v>
      </c>
      <c r="R1009" s="9">
        <f t="shared" si="143"/>
        <v>0</v>
      </c>
      <c r="S1009" s="9">
        <f t="array" ref="S1009">+SUM(IFERROR(VALUE(Q1009:R1009),0))</f>
        <v>0</v>
      </c>
    </row>
    <row r="1010" spans="1:19">
      <c r="A1010" s="26"/>
      <c r="B1010" s="27"/>
      <c r="C1010" s="27"/>
      <c r="D1010" s="28"/>
      <c r="F1010" s="9" t="str">
        <f t="shared" si="135"/>
        <v/>
      </c>
      <c r="G1010" s="9">
        <f t="shared" si="136"/>
        <v>0</v>
      </c>
      <c r="H1010" s="9">
        <f t="shared" si="137"/>
        <v>0</v>
      </c>
      <c r="I1010" s="9">
        <f t="array" ref="I1010">+SUM(IFERROR(VALUE(G1010:H1010),0))</f>
        <v>0</v>
      </c>
      <c r="K1010" s="9" t="str">
        <f t="shared" si="138"/>
        <v/>
      </c>
      <c r="L1010" s="9">
        <f t="shared" si="139"/>
        <v>0</v>
      </c>
      <c r="M1010" s="9">
        <f t="shared" si="140"/>
        <v>0</v>
      </c>
      <c r="N1010" s="9">
        <f t="array" ref="N1010">+SUM(IFERROR(VALUE(L1010:M1010),0))</f>
        <v>0</v>
      </c>
      <c r="P1010" s="9" t="str">
        <f t="shared" si="141"/>
        <v/>
      </c>
      <c r="Q1010" s="9">
        <f t="shared" si="142"/>
        <v>0</v>
      </c>
      <c r="R1010" s="9">
        <f t="shared" si="143"/>
        <v>0</v>
      </c>
      <c r="S1010" s="9">
        <f t="array" ref="S1010">+SUM(IFERROR(VALUE(Q1010:R1010),0))</f>
        <v>0</v>
      </c>
    </row>
    <row r="1011" spans="1:19">
      <c r="A1011" s="26"/>
      <c r="B1011" s="27"/>
      <c r="C1011" s="27"/>
      <c r="D1011" s="28"/>
      <c r="F1011" s="9" t="str">
        <f t="shared" si="135"/>
        <v/>
      </c>
      <c r="G1011" s="9">
        <f t="shared" si="136"/>
        <v>0</v>
      </c>
      <c r="H1011" s="9">
        <f t="shared" si="137"/>
        <v>0</v>
      </c>
      <c r="I1011" s="9">
        <f t="array" ref="I1011">+SUM(IFERROR(VALUE(G1011:H1011),0))</f>
        <v>0</v>
      </c>
      <c r="K1011" s="9" t="str">
        <f t="shared" si="138"/>
        <v/>
      </c>
      <c r="L1011" s="9">
        <f t="shared" si="139"/>
        <v>0</v>
      </c>
      <c r="M1011" s="9">
        <f t="shared" si="140"/>
        <v>0</v>
      </c>
      <c r="N1011" s="9">
        <f t="array" ref="N1011">+SUM(IFERROR(VALUE(L1011:M1011),0))</f>
        <v>0</v>
      </c>
      <c r="P1011" s="9" t="str">
        <f t="shared" si="141"/>
        <v/>
      </c>
      <c r="Q1011" s="9">
        <f t="shared" si="142"/>
        <v>0</v>
      </c>
      <c r="R1011" s="9">
        <f t="shared" si="143"/>
        <v>0</v>
      </c>
      <c r="S1011" s="9">
        <f t="array" ref="S1011">+SUM(IFERROR(VALUE(Q1011:R1011),0))</f>
        <v>0</v>
      </c>
    </row>
    <row r="1012" spans="1:19">
      <c r="A1012" s="26"/>
      <c r="B1012" s="27"/>
      <c r="C1012" s="27"/>
      <c r="D1012" s="28"/>
      <c r="F1012" s="9" t="str">
        <f t="shared" si="135"/>
        <v/>
      </c>
      <c r="G1012" s="9">
        <f t="shared" si="136"/>
        <v>0</v>
      </c>
      <c r="H1012" s="9">
        <f t="shared" si="137"/>
        <v>0</v>
      </c>
      <c r="I1012" s="9">
        <f t="array" ref="I1012">+SUM(IFERROR(VALUE(G1012:H1012),0))</f>
        <v>0</v>
      </c>
      <c r="K1012" s="9" t="str">
        <f t="shared" si="138"/>
        <v/>
      </c>
      <c r="L1012" s="9">
        <f t="shared" si="139"/>
        <v>0</v>
      </c>
      <c r="M1012" s="9">
        <f t="shared" si="140"/>
        <v>0</v>
      </c>
      <c r="N1012" s="9">
        <f t="array" ref="N1012">+SUM(IFERROR(VALUE(L1012:M1012),0))</f>
        <v>0</v>
      </c>
      <c r="P1012" s="9" t="str">
        <f t="shared" si="141"/>
        <v/>
      </c>
      <c r="Q1012" s="9">
        <f t="shared" si="142"/>
        <v>0</v>
      </c>
      <c r="R1012" s="9">
        <f t="shared" si="143"/>
        <v>0</v>
      </c>
      <c r="S1012" s="9">
        <f t="array" ref="S1012">+SUM(IFERROR(VALUE(Q1012:R1012),0))</f>
        <v>0</v>
      </c>
    </row>
    <row r="1013" spans="1:19">
      <c r="A1013" s="26"/>
      <c r="B1013" s="27"/>
      <c r="C1013" s="27"/>
      <c r="D1013" s="28"/>
      <c r="F1013" s="9" t="str">
        <f t="shared" si="135"/>
        <v/>
      </c>
      <c r="G1013" s="9">
        <f t="shared" si="136"/>
        <v>0</v>
      </c>
      <c r="H1013" s="9">
        <f t="shared" si="137"/>
        <v>0</v>
      </c>
      <c r="I1013" s="9">
        <f t="array" ref="I1013">+SUM(IFERROR(VALUE(G1013:H1013),0))</f>
        <v>0</v>
      </c>
      <c r="K1013" s="9" t="str">
        <f t="shared" si="138"/>
        <v/>
      </c>
      <c r="L1013" s="9">
        <f t="shared" si="139"/>
        <v>0</v>
      </c>
      <c r="M1013" s="9">
        <f t="shared" si="140"/>
        <v>0</v>
      </c>
      <c r="N1013" s="9">
        <f t="array" ref="N1013">+SUM(IFERROR(VALUE(L1013:M1013),0))</f>
        <v>0</v>
      </c>
      <c r="P1013" s="9" t="str">
        <f t="shared" si="141"/>
        <v/>
      </c>
      <c r="Q1013" s="9">
        <f t="shared" si="142"/>
        <v>0</v>
      </c>
      <c r="R1013" s="9">
        <f t="shared" si="143"/>
        <v>0</v>
      </c>
      <c r="S1013" s="9">
        <f t="array" ref="S1013">+SUM(IFERROR(VALUE(Q1013:R1013),0))</f>
        <v>0</v>
      </c>
    </row>
    <row r="1014" spans="1:19">
      <c r="A1014" s="26"/>
      <c r="B1014" s="27"/>
      <c r="C1014" s="27"/>
      <c r="D1014" s="28"/>
      <c r="F1014" s="9" t="str">
        <f t="shared" si="135"/>
        <v/>
      </c>
      <c r="G1014" s="9">
        <f t="shared" si="136"/>
        <v>0</v>
      </c>
      <c r="H1014" s="9">
        <f t="shared" si="137"/>
        <v>0</v>
      </c>
      <c r="I1014" s="9">
        <f t="array" ref="I1014">+SUM(IFERROR(VALUE(G1014:H1014),0))</f>
        <v>0</v>
      </c>
      <c r="K1014" s="9" t="str">
        <f t="shared" si="138"/>
        <v/>
      </c>
      <c r="L1014" s="9">
        <f t="shared" si="139"/>
        <v>0</v>
      </c>
      <c r="M1014" s="9">
        <f t="shared" si="140"/>
        <v>0</v>
      </c>
      <c r="N1014" s="9">
        <f t="array" ref="N1014">+SUM(IFERROR(VALUE(L1014:M1014),0))</f>
        <v>0</v>
      </c>
      <c r="P1014" s="9" t="str">
        <f t="shared" si="141"/>
        <v/>
      </c>
      <c r="Q1014" s="9">
        <f t="shared" si="142"/>
        <v>0</v>
      </c>
      <c r="R1014" s="9">
        <f t="shared" si="143"/>
        <v>0</v>
      </c>
      <c r="S1014" s="9">
        <f t="array" ref="S1014">+SUM(IFERROR(VALUE(Q1014:R1014),0))</f>
        <v>0</v>
      </c>
    </row>
    <row r="1015" spans="1:19">
      <c r="A1015" s="26"/>
      <c r="B1015" s="27"/>
      <c r="C1015" s="27"/>
      <c r="D1015" s="28"/>
      <c r="F1015" s="9" t="str">
        <f t="shared" si="135"/>
        <v/>
      </c>
      <c r="G1015" s="9">
        <f t="shared" si="136"/>
        <v>0</v>
      </c>
      <c r="H1015" s="9">
        <f t="shared" si="137"/>
        <v>0</v>
      </c>
      <c r="I1015" s="9">
        <f t="array" ref="I1015">+SUM(IFERROR(VALUE(G1015:H1015),0))</f>
        <v>0</v>
      </c>
      <c r="K1015" s="9" t="str">
        <f t="shared" si="138"/>
        <v/>
      </c>
      <c r="L1015" s="9">
        <f t="shared" si="139"/>
        <v>0</v>
      </c>
      <c r="M1015" s="9">
        <f t="shared" si="140"/>
        <v>0</v>
      </c>
      <c r="N1015" s="9">
        <f t="array" ref="N1015">+SUM(IFERROR(VALUE(L1015:M1015),0))</f>
        <v>0</v>
      </c>
      <c r="P1015" s="9" t="str">
        <f t="shared" si="141"/>
        <v/>
      </c>
      <c r="Q1015" s="9">
        <f t="shared" si="142"/>
        <v>0</v>
      </c>
      <c r="R1015" s="9">
        <f t="shared" si="143"/>
        <v>0</v>
      </c>
      <c r="S1015" s="9">
        <f t="array" ref="S1015">+SUM(IFERROR(VALUE(Q1015:R1015),0))</f>
        <v>0</v>
      </c>
    </row>
    <row r="1016" spans="1:19">
      <c r="A1016" s="26"/>
      <c r="B1016" s="27"/>
      <c r="C1016" s="27"/>
      <c r="D1016" s="28"/>
      <c r="F1016" s="9" t="str">
        <f t="shared" si="135"/>
        <v/>
      </c>
      <c r="G1016" s="9">
        <f t="shared" si="136"/>
        <v>0</v>
      </c>
      <c r="H1016" s="9">
        <f t="shared" si="137"/>
        <v>0</v>
      </c>
      <c r="I1016" s="9">
        <f t="array" ref="I1016">+SUM(IFERROR(VALUE(G1016:H1016),0))</f>
        <v>0</v>
      </c>
      <c r="K1016" s="9" t="str">
        <f t="shared" si="138"/>
        <v/>
      </c>
      <c r="L1016" s="9">
        <f t="shared" si="139"/>
        <v>0</v>
      </c>
      <c r="M1016" s="9">
        <f t="shared" si="140"/>
        <v>0</v>
      </c>
      <c r="N1016" s="9">
        <f t="array" ref="N1016">+SUM(IFERROR(VALUE(L1016:M1016),0))</f>
        <v>0</v>
      </c>
      <c r="P1016" s="9" t="str">
        <f t="shared" si="141"/>
        <v/>
      </c>
      <c r="Q1016" s="9">
        <f t="shared" si="142"/>
        <v>0</v>
      </c>
      <c r="R1016" s="9">
        <f t="shared" si="143"/>
        <v>0</v>
      </c>
      <c r="S1016" s="9">
        <f t="array" ref="S1016">+SUM(IFERROR(VALUE(Q1016:R1016),0))</f>
        <v>0</v>
      </c>
    </row>
    <row r="1017" spans="1:19">
      <c r="A1017" s="26"/>
      <c r="B1017" s="27"/>
      <c r="C1017" s="27"/>
      <c r="D1017" s="28"/>
      <c r="F1017" s="9" t="str">
        <f t="shared" si="135"/>
        <v/>
      </c>
      <c r="G1017" s="9">
        <f t="shared" si="136"/>
        <v>0</v>
      </c>
      <c r="H1017" s="9">
        <f t="shared" si="137"/>
        <v>0</v>
      </c>
      <c r="I1017" s="9">
        <f t="array" ref="I1017">+SUM(IFERROR(VALUE(G1017:H1017),0))</f>
        <v>0</v>
      </c>
      <c r="K1017" s="9" t="str">
        <f t="shared" si="138"/>
        <v/>
      </c>
      <c r="L1017" s="9">
        <f t="shared" si="139"/>
        <v>0</v>
      </c>
      <c r="M1017" s="9">
        <f t="shared" si="140"/>
        <v>0</v>
      </c>
      <c r="N1017" s="9">
        <f t="array" ref="N1017">+SUM(IFERROR(VALUE(L1017:M1017),0))</f>
        <v>0</v>
      </c>
      <c r="P1017" s="9" t="str">
        <f t="shared" si="141"/>
        <v/>
      </c>
      <c r="Q1017" s="9">
        <f t="shared" si="142"/>
        <v>0</v>
      </c>
      <c r="R1017" s="9">
        <f t="shared" si="143"/>
        <v>0</v>
      </c>
      <c r="S1017" s="9">
        <f t="array" ref="S1017">+SUM(IFERROR(VALUE(Q1017:R1017),0))</f>
        <v>0</v>
      </c>
    </row>
    <row r="1018" spans="1:19">
      <c r="A1018" s="26"/>
      <c r="B1018" s="27"/>
      <c r="C1018" s="27"/>
      <c r="D1018" s="28"/>
      <c r="F1018" s="9" t="str">
        <f t="shared" si="135"/>
        <v/>
      </c>
      <c r="G1018" s="9">
        <f t="shared" si="136"/>
        <v>0</v>
      </c>
      <c r="H1018" s="9">
        <f t="shared" si="137"/>
        <v>0</v>
      </c>
      <c r="I1018" s="9">
        <f t="array" ref="I1018">+SUM(IFERROR(VALUE(G1018:H1018),0))</f>
        <v>0</v>
      </c>
      <c r="K1018" s="9" t="str">
        <f t="shared" si="138"/>
        <v/>
      </c>
      <c r="L1018" s="9">
        <f t="shared" si="139"/>
        <v>0</v>
      </c>
      <c r="M1018" s="9">
        <f t="shared" si="140"/>
        <v>0</v>
      </c>
      <c r="N1018" s="9">
        <f t="array" ref="N1018">+SUM(IFERROR(VALUE(L1018:M1018),0))</f>
        <v>0</v>
      </c>
      <c r="P1018" s="9" t="str">
        <f t="shared" si="141"/>
        <v/>
      </c>
      <c r="Q1018" s="9">
        <f t="shared" si="142"/>
        <v>0</v>
      </c>
      <c r="R1018" s="9">
        <f t="shared" si="143"/>
        <v>0</v>
      </c>
      <c r="S1018" s="9">
        <f t="array" ref="S1018">+SUM(IFERROR(VALUE(Q1018:R1018),0))</f>
        <v>0</v>
      </c>
    </row>
    <row r="1019" spans="1:19">
      <c r="A1019" s="26"/>
      <c r="B1019" s="27"/>
      <c r="C1019" s="27"/>
      <c r="D1019" s="28"/>
      <c r="F1019" s="9" t="str">
        <f t="shared" si="135"/>
        <v/>
      </c>
      <c r="G1019" s="9">
        <f t="shared" si="136"/>
        <v>0</v>
      </c>
      <c r="H1019" s="9">
        <f t="shared" si="137"/>
        <v>0</v>
      </c>
      <c r="I1019" s="9">
        <f t="array" ref="I1019">+SUM(IFERROR(VALUE(G1019:H1019),0))</f>
        <v>0</v>
      </c>
      <c r="K1019" s="9" t="str">
        <f t="shared" si="138"/>
        <v/>
      </c>
      <c r="L1019" s="9">
        <f t="shared" si="139"/>
        <v>0</v>
      </c>
      <c r="M1019" s="9">
        <f t="shared" si="140"/>
        <v>0</v>
      </c>
      <c r="N1019" s="9">
        <f t="array" ref="N1019">+SUM(IFERROR(VALUE(L1019:M1019),0))</f>
        <v>0</v>
      </c>
      <c r="P1019" s="9" t="str">
        <f t="shared" si="141"/>
        <v/>
      </c>
      <c r="Q1019" s="9">
        <f t="shared" si="142"/>
        <v>0</v>
      </c>
      <c r="R1019" s="9">
        <f t="shared" si="143"/>
        <v>0</v>
      </c>
      <c r="S1019" s="9">
        <f t="array" ref="S1019">+SUM(IFERROR(VALUE(Q1019:R1019),0))</f>
        <v>0</v>
      </c>
    </row>
    <row r="1020" spans="1:19">
      <c r="A1020" s="26"/>
      <c r="B1020" s="27"/>
      <c r="C1020" s="27"/>
      <c r="D1020" s="28"/>
      <c r="F1020" s="9" t="str">
        <f t="shared" si="135"/>
        <v/>
      </c>
      <c r="G1020" s="9">
        <f t="shared" si="136"/>
        <v>0</v>
      </c>
      <c r="H1020" s="9">
        <f t="shared" si="137"/>
        <v>0</v>
      </c>
      <c r="I1020" s="9">
        <f t="array" ref="I1020">+SUM(IFERROR(VALUE(G1020:H1020),0))</f>
        <v>0</v>
      </c>
      <c r="K1020" s="9" t="str">
        <f t="shared" si="138"/>
        <v/>
      </c>
      <c r="L1020" s="9">
        <f t="shared" si="139"/>
        <v>0</v>
      </c>
      <c r="M1020" s="9">
        <f t="shared" si="140"/>
        <v>0</v>
      </c>
      <c r="N1020" s="9">
        <f t="array" ref="N1020">+SUM(IFERROR(VALUE(L1020:M1020),0))</f>
        <v>0</v>
      </c>
      <c r="P1020" s="9" t="str">
        <f t="shared" si="141"/>
        <v/>
      </c>
      <c r="Q1020" s="9">
        <f t="shared" si="142"/>
        <v>0</v>
      </c>
      <c r="R1020" s="9">
        <f t="shared" si="143"/>
        <v>0</v>
      </c>
      <c r="S1020" s="9">
        <f t="array" ref="S1020">+SUM(IFERROR(VALUE(Q1020:R1020),0))</f>
        <v>0</v>
      </c>
    </row>
    <row r="1021" spans="1:19">
      <c r="A1021" s="26"/>
      <c r="B1021" s="27"/>
      <c r="C1021" s="27"/>
      <c r="D1021" s="28"/>
      <c r="F1021" s="9" t="str">
        <f t="shared" si="135"/>
        <v/>
      </c>
      <c r="G1021" s="9">
        <f t="shared" si="136"/>
        <v>0</v>
      </c>
      <c r="H1021" s="9">
        <f t="shared" si="137"/>
        <v>0</v>
      </c>
      <c r="I1021" s="9">
        <f t="array" ref="I1021">+SUM(IFERROR(VALUE(G1021:H1021),0))</f>
        <v>0</v>
      </c>
      <c r="K1021" s="9" t="str">
        <f t="shared" si="138"/>
        <v/>
      </c>
      <c r="L1021" s="9">
        <f t="shared" si="139"/>
        <v>0</v>
      </c>
      <c r="M1021" s="9">
        <f t="shared" si="140"/>
        <v>0</v>
      </c>
      <c r="N1021" s="9">
        <f t="array" ref="N1021">+SUM(IFERROR(VALUE(L1021:M1021),0))</f>
        <v>0</v>
      </c>
      <c r="P1021" s="9" t="str">
        <f t="shared" si="141"/>
        <v/>
      </c>
      <c r="Q1021" s="9">
        <f t="shared" si="142"/>
        <v>0</v>
      </c>
      <c r="R1021" s="9">
        <f t="shared" si="143"/>
        <v>0</v>
      </c>
      <c r="S1021" s="9">
        <f t="array" ref="S1021">+SUM(IFERROR(VALUE(Q1021:R1021),0))</f>
        <v>0</v>
      </c>
    </row>
    <row r="1022" spans="1:19">
      <c r="A1022" s="26"/>
      <c r="B1022" s="27"/>
      <c r="C1022" s="27"/>
      <c r="D1022" s="28"/>
      <c r="F1022" s="9" t="str">
        <f t="shared" si="135"/>
        <v/>
      </c>
      <c r="G1022" s="9">
        <f t="shared" si="136"/>
        <v>0</v>
      </c>
      <c r="H1022" s="9">
        <f t="shared" si="137"/>
        <v>0</v>
      </c>
      <c r="I1022" s="9">
        <f t="array" ref="I1022">+SUM(IFERROR(VALUE(G1022:H1022),0))</f>
        <v>0</v>
      </c>
      <c r="K1022" s="9" t="str">
        <f t="shared" si="138"/>
        <v/>
      </c>
      <c r="L1022" s="9">
        <f t="shared" si="139"/>
        <v>0</v>
      </c>
      <c r="M1022" s="9">
        <f t="shared" si="140"/>
        <v>0</v>
      </c>
      <c r="N1022" s="9">
        <f t="array" ref="N1022">+SUM(IFERROR(VALUE(L1022:M1022),0))</f>
        <v>0</v>
      </c>
      <c r="P1022" s="9" t="str">
        <f t="shared" si="141"/>
        <v/>
      </c>
      <c r="Q1022" s="9">
        <f t="shared" si="142"/>
        <v>0</v>
      </c>
      <c r="R1022" s="9">
        <f t="shared" si="143"/>
        <v>0</v>
      </c>
      <c r="S1022" s="9">
        <f t="array" ref="S1022">+SUM(IFERROR(VALUE(Q1022:R1022),0))</f>
        <v>0</v>
      </c>
    </row>
    <row r="1023" spans="1:19">
      <c r="A1023" s="26"/>
      <c r="B1023" s="27"/>
      <c r="C1023" s="27"/>
      <c r="D1023" s="28"/>
      <c r="F1023" s="9" t="str">
        <f t="shared" si="135"/>
        <v/>
      </c>
      <c r="G1023" s="9">
        <f t="shared" si="136"/>
        <v>0</v>
      </c>
      <c r="H1023" s="9">
        <f t="shared" si="137"/>
        <v>0</v>
      </c>
      <c r="I1023" s="9">
        <f t="array" ref="I1023">+SUM(IFERROR(VALUE(G1023:H1023),0))</f>
        <v>0</v>
      </c>
      <c r="K1023" s="9" t="str">
        <f t="shared" si="138"/>
        <v/>
      </c>
      <c r="L1023" s="9">
        <f t="shared" si="139"/>
        <v>0</v>
      </c>
      <c r="M1023" s="9">
        <f t="shared" si="140"/>
        <v>0</v>
      </c>
      <c r="N1023" s="9">
        <f t="array" ref="N1023">+SUM(IFERROR(VALUE(L1023:M1023),0))</f>
        <v>0</v>
      </c>
      <c r="P1023" s="9" t="str">
        <f t="shared" si="141"/>
        <v/>
      </c>
      <c r="Q1023" s="9">
        <f t="shared" si="142"/>
        <v>0</v>
      </c>
      <c r="R1023" s="9">
        <f t="shared" si="143"/>
        <v>0</v>
      </c>
      <c r="S1023" s="9">
        <f t="array" ref="S1023">+SUM(IFERROR(VALUE(Q1023:R1023),0))</f>
        <v>0</v>
      </c>
    </row>
    <row r="1024" spans="1:19">
      <c r="A1024" s="26"/>
      <c r="B1024" s="27"/>
      <c r="C1024" s="27"/>
      <c r="D1024" s="28"/>
      <c r="F1024" s="9" t="str">
        <f t="shared" si="135"/>
        <v/>
      </c>
      <c r="G1024" s="9">
        <f t="shared" si="136"/>
        <v>0</v>
      </c>
      <c r="H1024" s="9">
        <f t="shared" si="137"/>
        <v>0</v>
      </c>
      <c r="I1024" s="9">
        <f t="array" ref="I1024">+SUM(IFERROR(VALUE(G1024:H1024),0))</f>
        <v>0</v>
      </c>
      <c r="K1024" s="9" t="str">
        <f t="shared" si="138"/>
        <v/>
      </c>
      <c r="L1024" s="9">
        <f t="shared" si="139"/>
        <v>0</v>
      </c>
      <c r="M1024" s="9">
        <f t="shared" si="140"/>
        <v>0</v>
      </c>
      <c r="N1024" s="9">
        <f t="array" ref="N1024">+SUM(IFERROR(VALUE(L1024:M1024),0))</f>
        <v>0</v>
      </c>
      <c r="P1024" s="9" t="str">
        <f t="shared" si="141"/>
        <v/>
      </c>
      <c r="Q1024" s="9">
        <f t="shared" si="142"/>
        <v>0</v>
      </c>
      <c r="R1024" s="9">
        <f t="shared" si="143"/>
        <v>0</v>
      </c>
      <c r="S1024" s="9">
        <f t="array" ref="S1024">+SUM(IFERROR(VALUE(Q1024:R1024),0))</f>
        <v>0</v>
      </c>
    </row>
    <row r="1025" spans="1:19">
      <c r="A1025" s="26"/>
      <c r="B1025" s="27"/>
      <c r="C1025" s="27"/>
      <c r="D1025" s="28"/>
      <c r="F1025" s="9" t="str">
        <f t="shared" si="135"/>
        <v/>
      </c>
      <c r="G1025" s="9">
        <f t="shared" si="136"/>
        <v>0</v>
      </c>
      <c r="H1025" s="9">
        <f t="shared" si="137"/>
        <v>0</v>
      </c>
      <c r="I1025" s="9">
        <f t="array" ref="I1025">+SUM(IFERROR(VALUE(G1025:H1025),0))</f>
        <v>0</v>
      </c>
      <c r="K1025" s="9" t="str">
        <f t="shared" si="138"/>
        <v/>
      </c>
      <c r="L1025" s="9">
        <f t="shared" si="139"/>
        <v>0</v>
      </c>
      <c r="M1025" s="9">
        <f t="shared" si="140"/>
        <v>0</v>
      </c>
      <c r="N1025" s="9">
        <f t="array" ref="N1025">+SUM(IFERROR(VALUE(L1025:M1025),0))</f>
        <v>0</v>
      </c>
      <c r="P1025" s="9" t="str">
        <f t="shared" si="141"/>
        <v/>
      </c>
      <c r="Q1025" s="9">
        <f t="shared" si="142"/>
        <v>0</v>
      </c>
      <c r="R1025" s="9">
        <f t="shared" si="143"/>
        <v>0</v>
      </c>
      <c r="S1025" s="9">
        <f t="array" ref="S1025">+SUM(IFERROR(VALUE(Q1025:R1025),0))</f>
        <v>0</v>
      </c>
    </row>
    <row r="1026" spans="1:19">
      <c r="A1026" s="26"/>
      <c r="B1026" s="27"/>
      <c r="C1026" s="27"/>
      <c r="D1026" s="28"/>
      <c r="F1026" s="9" t="str">
        <f t="shared" si="135"/>
        <v/>
      </c>
      <c r="G1026" s="9">
        <f t="shared" si="136"/>
        <v>0</v>
      </c>
      <c r="H1026" s="9">
        <f t="shared" si="137"/>
        <v>0</v>
      </c>
      <c r="I1026" s="9">
        <f t="array" ref="I1026">+SUM(IFERROR(VALUE(G1026:H1026),0))</f>
        <v>0</v>
      </c>
      <c r="K1026" s="9" t="str">
        <f t="shared" si="138"/>
        <v/>
      </c>
      <c r="L1026" s="9">
        <f t="shared" si="139"/>
        <v>0</v>
      </c>
      <c r="M1026" s="9">
        <f t="shared" si="140"/>
        <v>0</v>
      </c>
      <c r="N1026" s="9">
        <f t="array" ref="N1026">+SUM(IFERROR(VALUE(L1026:M1026),0))</f>
        <v>0</v>
      </c>
      <c r="P1026" s="9" t="str">
        <f t="shared" si="141"/>
        <v/>
      </c>
      <c r="Q1026" s="9">
        <f t="shared" si="142"/>
        <v>0</v>
      </c>
      <c r="R1026" s="9">
        <f t="shared" si="143"/>
        <v>0</v>
      </c>
      <c r="S1026" s="9">
        <f t="array" ref="S1026">+SUM(IFERROR(VALUE(Q1026:R1026),0))</f>
        <v>0</v>
      </c>
    </row>
    <row r="1027" spans="1:19">
      <c r="A1027" s="26"/>
      <c r="B1027" s="27"/>
      <c r="C1027" s="27"/>
      <c r="D1027" s="28"/>
      <c r="F1027" s="9" t="str">
        <f t="shared" si="135"/>
        <v/>
      </c>
      <c r="G1027" s="9">
        <f t="shared" si="136"/>
        <v>0</v>
      </c>
      <c r="H1027" s="9">
        <f t="shared" si="137"/>
        <v>0</v>
      </c>
      <c r="I1027" s="9">
        <f t="array" ref="I1027">+SUM(IFERROR(VALUE(G1027:H1027),0))</f>
        <v>0</v>
      </c>
      <c r="K1027" s="9" t="str">
        <f t="shared" si="138"/>
        <v/>
      </c>
      <c r="L1027" s="9">
        <f t="shared" si="139"/>
        <v>0</v>
      </c>
      <c r="M1027" s="9">
        <f t="shared" si="140"/>
        <v>0</v>
      </c>
      <c r="N1027" s="9">
        <f t="array" ref="N1027">+SUM(IFERROR(VALUE(L1027:M1027),0))</f>
        <v>0</v>
      </c>
      <c r="P1027" s="9" t="str">
        <f t="shared" si="141"/>
        <v/>
      </c>
      <c r="Q1027" s="9">
        <f t="shared" si="142"/>
        <v>0</v>
      </c>
      <c r="R1027" s="9">
        <f t="shared" si="143"/>
        <v>0</v>
      </c>
      <c r="S1027" s="9">
        <f t="array" ref="S1027">+SUM(IFERROR(VALUE(Q1027:R1027),0))</f>
        <v>0</v>
      </c>
    </row>
    <row r="1028" spans="1:19">
      <c r="A1028" s="26"/>
      <c r="B1028" s="27"/>
      <c r="C1028" s="27"/>
      <c r="D1028" s="28"/>
      <c r="F1028" s="9" t="str">
        <f t="shared" si="135"/>
        <v/>
      </c>
      <c r="G1028" s="9">
        <f t="shared" si="136"/>
        <v>0</v>
      </c>
      <c r="H1028" s="9">
        <f t="shared" si="137"/>
        <v>0</v>
      </c>
      <c r="I1028" s="9">
        <f t="array" ref="I1028">+SUM(IFERROR(VALUE(G1028:H1028),0))</f>
        <v>0</v>
      </c>
      <c r="K1028" s="9" t="str">
        <f t="shared" si="138"/>
        <v/>
      </c>
      <c r="L1028" s="9">
        <f t="shared" si="139"/>
        <v>0</v>
      </c>
      <c r="M1028" s="9">
        <f t="shared" si="140"/>
        <v>0</v>
      </c>
      <c r="N1028" s="9">
        <f t="array" ref="N1028">+SUM(IFERROR(VALUE(L1028:M1028),0))</f>
        <v>0</v>
      </c>
      <c r="P1028" s="9" t="str">
        <f t="shared" si="141"/>
        <v/>
      </c>
      <c r="Q1028" s="9">
        <f t="shared" si="142"/>
        <v>0</v>
      </c>
      <c r="R1028" s="9">
        <f t="shared" si="143"/>
        <v>0</v>
      </c>
      <c r="S1028" s="9">
        <f t="array" ref="S1028">+SUM(IFERROR(VALUE(Q1028:R1028),0))</f>
        <v>0</v>
      </c>
    </row>
    <row r="1029" spans="1:19">
      <c r="A1029" s="26"/>
      <c r="B1029" s="27"/>
      <c r="C1029" s="27"/>
      <c r="D1029" s="28"/>
      <c r="F1029" s="9" t="str">
        <f t="shared" si="135"/>
        <v/>
      </c>
      <c r="G1029" s="9">
        <f t="shared" si="136"/>
        <v>0</v>
      </c>
      <c r="H1029" s="9">
        <f t="shared" si="137"/>
        <v>0</v>
      </c>
      <c r="I1029" s="9">
        <f t="array" ref="I1029">+SUM(IFERROR(VALUE(G1029:H1029),0))</f>
        <v>0</v>
      </c>
      <c r="K1029" s="9" t="str">
        <f t="shared" si="138"/>
        <v/>
      </c>
      <c r="L1029" s="9">
        <f t="shared" si="139"/>
        <v>0</v>
      </c>
      <c r="M1029" s="9">
        <f t="shared" si="140"/>
        <v>0</v>
      </c>
      <c r="N1029" s="9">
        <f t="array" ref="N1029">+SUM(IFERROR(VALUE(L1029:M1029),0))</f>
        <v>0</v>
      </c>
      <c r="P1029" s="9" t="str">
        <f t="shared" si="141"/>
        <v/>
      </c>
      <c r="Q1029" s="9">
        <f t="shared" si="142"/>
        <v>0</v>
      </c>
      <c r="R1029" s="9">
        <f t="shared" si="143"/>
        <v>0</v>
      </c>
      <c r="S1029" s="9">
        <f t="array" ref="S1029">+SUM(IFERROR(VALUE(Q1029:R1029),0))</f>
        <v>0</v>
      </c>
    </row>
    <row r="1030" spans="1:19">
      <c r="A1030" s="26"/>
      <c r="B1030" s="27"/>
      <c r="C1030" s="27"/>
      <c r="D1030" s="28"/>
      <c r="F1030" s="9" t="str">
        <f t="shared" ref="F1030:F1093" si="144">+LEFT(A1030,4)</f>
        <v/>
      </c>
      <c r="G1030" s="9">
        <f t="shared" ref="G1030:G1093" si="145">+C1030</f>
        <v>0</v>
      </c>
      <c r="H1030" s="9">
        <f t="shared" ref="H1030:H1093" si="146">-D1030</f>
        <v>0</v>
      </c>
      <c r="I1030" s="9">
        <f t="array" ref="I1030">+SUM(IFERROR(VALUE(G1030:H1030),0))</f>
        <v>0</v>
      </c>
      <c r="K1030" s="9" t="str">
        <f t="shared" ref="K1030:K1093" si="147">+LEFT(A1030,3)</f>
        <v/>
      </c>
      <c r="L1030" s="9">
        <f t="shared" ref="L1030:L1093" si="148">+C1030</f>
        <v>0</v>
      </c>
      <c r="M1030" s="9">
        <f t="shared" ref="M1030:M1093" si="149">-D1030</f>
        <v>0</v>
      </c>
      <c r="N1030" s="9">
        <f t="array" ref="N1030">+SUM(IFERROR(VALUE(L1030:M1030),0))</f>
        <v>0</v>
      </c>
      <c r="P1030" s="9" t="str">
        <f t="shared" ref="P1030:P1093" si="150">+LEFT(A1030,2)</f>
        <v/>
      </c>
      <c r="Q1030" s="9">
        <f t="shared" ref="Q1030:Q1093" si="151">+C1030</f>
        <v>0</v>
      </c>
      <c r="R1030" s="9">
        <f t="shared" ref="R1030:R1093" si="152">-D1030</f>
        <v>0</v>
      </c>
      <c r="S1030" s="9">
        <f t="array" ref="S1030">+SUM(IFERROR(VALUE(Q1030:R1030),0))</f>
        <v>0</v>
      </c>
    </row>
    <row r="1031" spans="1:19">
      <c r="A1031" s="26"/>
      <c r="B1031" s="27"/>
      <c r="C1031" s="27"/>
      <c r="D1031" s="28"/>
      <c r="F1031" s="9" t="str">
        <f t="shared" si="144"/>
        <v/>
      </c>
      <c r="G1031" s="9">
        <f t="shared" si="145"/>
        <v>0</v>
      </c>
      <c r="H1031" s="9">
        <f t="shared" si="146"/>
        <v>0</v>
      </c>
      <c r="I1031" s="9">
        <f t="array" ref="I1031">+SUM(IFERROR(VALUE(G1031:H1031),0))</f>
        <v>0</v>
      </c>
      <c r="K1031" s="9" t="str">
        <f t="shared" si="147"/>
        <v/>
      </c>
      <c r="L1031" s="9">
        <f t="shared" si="148"/>
        <v>0</v>
      </c>
      <c r="M1031" s="9">
        <f t="shared" si="149"/>
        <v>0</v>
      </c>
      <c r="N1031" s="9">
        <f t="array" ref="N1031">+SUM(IFERROR(VALUE(L1031:M1031),0))</f>
        <v>0</v>
      </c>
      <c r="P1031" s="9" t="str">
        <f t="shared" si="150"/>
        <v/>
      </c>
      <c r="Q1031" s="9">
        <f t="shared" si="151"/>
        <v>0</v>
      </c>
      <c r="R1031" s="9">
        <f t="shared" si="152"/>
        <v>0</v>
      </c>
      <c r="S1031" s="9">
        <f t="array" ref="S1031">+SUM(IFERROR(VALUE(Q1031:R1031),0))</f>
        <v>0</v>
      </c>
    </row>
    <row r="1032" spans="1:19">
      <c r="A1032" s="26"/>
      <c r="B1032" s="27"/>
      <c r="C1032" s="27"/>
      <c r="D1032" s="28"/>
      <c r="F1032" s="9" t="str">
        <f t="shared" si="144"/>
        <v/>
      </c>
      <c r="G1032" s="9">
        <f t="shared" si="145"/>
        <v>0</v>
      </c>
      <c r="H1032" s="9">
        <f t="shared" si="146"/>
        <v>0</v>
      </c>
      <c r="I1032" s="9">
        <f t="array" ref="I1032">+SUM(IFERROR(VALUE(G1032:H1032),0))</f>
        <v>0</v>
      </c>
      <c r="K1032" s="9" t="str">
        <f t="shared" si="147"/>
        <v/>
      </c>
      <c r="L1032" s="9">
        <f t="shared" si="148"/>
        <v>0</v>
      </c>
      <c r="M1032" s="9">
        <f t="shared" si="149"/>
        <v>0</v>
      </c>
      <c r="N1032" s="9">
        <f t="array" ref="N1032">+SUM(IFERROR(VALUE(L1032:M1032),0))</f>
        <v>0</v>
      </c>
      <c r="P1032" s="9" t="str">
        <f t="shared" si="150"/>
        <v/>
      </c>
      <c r="Q1032" s="9">
        <f t="shared" si="151"/>
        <v>0</v>
      </c>
      <c r="R1032" s="9">
        <f t="shared" si="152"/>
        <v>0</v>
      </c>
      <c r="S1032" s="9">
        <f t="array" ref="S1032">+SUM(IFERROR(VALUE(Q1032:R1032),0))</f>
        <v>0</v>
      </c>
    </row>
    <row r="1033" spans="1:19">
      <c r="A1033" s="26"/>
      <c r="B1033" s="27"/>
      <c r="C1033" s="27"/>
      <c r="D1033" s="28"/>
      <c r="F1033" s="9" t="str">
        <f t="shared" si="144"/>
        <v/>
      </c>
      <c r="G1033" s="9">
        <f t="shared" si="145"/>
        <v>0</v>
      </c>
      <c r="H1033" s="9">
        <f t="shared" si="146"/>
        <v>0</v>
      </c>
      <c r="I1033" s="9">
        <f t="array" ref="I1033">+SUM(IFERROR(VALUE(G1033:H1033),0))</f>
        <v>0</v>
      </c>
      <c r="K1033" s="9" t="str">
        <f t="shared" si="147"/>
        <v/>
      </c>
      <c r="L1033" s="9">
        <f t="shared" si="148"/>
        <v>0</v>
      </c>
      <c r="M1033" s="9">
        <f t="shared" si="149"/>
        <v>0</v>
      </c>
      <c r="N1033" s="9">
        <f t="array" ref="N1033">+SUM(IFERROR(VALUE(L1033:M1033),0))</f>
        <v>0</v>
      </c>
      <c r="P1033" s="9" t="str">
        <f t="shared" si="150"/>
        <v/>
      </c>
      <c r="Q1033" s="9">
        <f t="shared" si="151"/>
        <v>0</v>
      </c>
      <c r="R1033" s="9">
        <f t="shared" si="152"/>
        <v>0</v>
      </c>
      <c r="S1033" s="9">
        <f t="array" ref="S1033">+SUM(IFERROR(VALUE(Q1033:R1033),0))</f>
        <v>0</v>
      </c>
    </row>
    <row r="1034" spans="1:19">
      <c r="A1034" s="26"/>
      <c r="B1034" s="27"/>
      <c r="C1034" s="27"/>
      <c r="D1034" s="28"/>
      <c r="F1034" s="9" t="str">
        <f t="shared" si="144"/>
        <v/>
      </c>
      <c r="G1034" s="9">
        <f t="shared" si="145"/>
        <v>0</v>
      </c>
      <c r="H1034" s="9">
        <f t="shared" si="146"/>
        <v>0</v>
      </c>
      <c r="I1034" s="9">
        <f t="array" ref="I1034">+SUM(IFERROR(VALUE(G1034:H1034),0))</f>
        <v>0</v>
      </c>
      <c r="K1034" s="9" t="str">
        <f t="shared" si="147"/>
        <v/>
      </c>
      <c r="L1034" s="9">
        <f t="shared" si="148"/>
        <v>0</v>
      </c>
      <c r="M1034" s="9">
        <f t="shared" si="149"/>
        <v>0</v>
      </c>
      <c r="N1034" s="9">
        <f t="array" ref="N1034">+SUM(IFERROR(VALUE(L1034:M1034),0))</f>
        <v>0</v>
      </c>
      <c r="P1034" s="9" t="str">
        <f t="shared" si="150"/>
        <v/>
      </c>
      <c r="Q1034" s="9">
        <f t="shared" si="151"/>
        <v>0</v>
      </c>
      <c r="R1034" s="9">
        <f t="shared" si="152"/>
        <v>0</v>
      </c>
      <c r="S1034" s="9">
        <f t="array" ref="S1034">+SUM(IFERROR(VALUE(Q1034:R1034),0))</f>
        <v>0</v>
      </c>
    </row>
    <row r="1035" spans="1:19">
      <c r="A1035" s="26"/>
      <c r="B1035" s="27"/>
      <c r="C1035" s="27"/>
      <c r="D1035" s="28"/>
      <c r="F1035" s="9" t="str">
        <f t="shared" si="144"/>
        <v/>
      </c>
      <c r="G1035" s="9">
        <f t="shared" si="145"/>
        <v>0</v>
      </c>
      <c r="H1035" s="9">
        <f t="shared" si="146"/>
        <v>0</v>
      </c>
      <c r="I1035" s="9">
        <f t="array" ref="I1035">+SUM(IFERROR(VALUE(G1035:H1035),0))</f>
        <v>0</v>
      </c>
      <c r="K1035" s="9" t="str">
        <f t="shared" si="147"/>
        <v/>
      </c>
      <c r="L1035" s="9">
        <f t="shared" si="148"/>
        <v>0</v>
      </c>
      <c r="M1035" s="9">
        <f t="shared" si="149"/>
        <v>0</v>
      </c>
      <c r="N1035" s="9">
        <f t="array" ref="N1035">+SUM(IFERROR(VALUE(L1035:M1035),0))</f>
        <v>0</v>
      </c>
      <c r="P1035" s="9" t="str">
        <f t="shared" si="150"/>
        <v/>
      </c>
      <c r="Q1035" s="9">
        <f t="shared" si="151"/>
        <v>0</v>
      </c>
      <c r="R1035" s="9">
        <f t="shared" si="152"/>
        <v>0</v>
      </c>
      <c r="S1035" s="9">
        <f t="array" ref="S1035">+SUM(IFERROR(VALUE(Q1035:R1035),0))</f>
        <v>0</v>
      </c>
    </row>
    <row r="1036" spans="1:19">
      <c r="A1036" s="26"/>
      <c r="B1036" s="27"/>
      <c r="C1036" s="27"/>
      <c r="D1036" s="28"/>
      <c r="F1036" s="9" t="str">
        <f t="shared" si="144"/>
        <v/>
      </c>
      <c r="G1036" s="9">
        <f t="shared" si="145"/>
        <v>0</v>
      </c>
      <c r="H1036" s="9">
        <f t="shared" si="146"/>
        <v>0</v>
      </c>
      <c r="I1036" s="9">
        <f t="array" ref="I1036">+SUM(IFERROR(VALUE(G1036:H1036),0))</f>
        <v>0</v>
      </c>
      <c r="K1036" s="9" t="str">
        <f t="shared" si="147"/>
        <v/>
      </c>
      <c r="L1036" s="9">
        <f t="shared" si="148"/>
        <v>0</v>
      </c>
      <c r="M1036" s="9">
        <f t="shared" si="149"/>
        <v>0</v>
      </c>
      <c r="N1036" s="9">
        <f t="array" ref="N1036">+SUM(IFERROR(VALUE(L1036:M1036),0))</f>
        <v>0</v>
      </c>
      <c r="P1036" s="9" t="str">
        <f t="shared" si="150"/>
        <v/>
      </c>
      <c r="Q1036" s="9">
        <f t="shared" si="151"/>
        <v>0</v>
      </c>
      <c r="R1036" s="9">
        <f t="shared" si="152"/>
        <v>0</v>
      </c>
      <c r="S1036" s="9">
        <f t="array" ref="S1036">+SUM(IFERROR(VALUE(Q1036:R1036),0))</f>
        <v>0</v>
      </c>
    </row>
    <row r="1037" spans="1:19">
      <c r="A1037" s="26"/>
      <c r="B1037" s="27"/>
      <c r="C1037" s="27"/>
      <c r="D1037" s="28"/>
      <c r="F1037" s="9" t="str">
        <f t="shared" si="144"/>
        <v/>
      </c>
      <c r="G1037" s="9">
        <f t="shared" si="145"/>
        <v>0</v>
      </c>
      <c r="H1037" s="9">
        <f t="shared" si="146"/>
        <v>0</v>
      </c>
      <c r="I1037" s="9">
        <f t="array" ref="I1037">+SUM(IFERROR(VALUE(G1037:H1037),0))</f>
        <v>0</v>
      </c>
      <c r="K1037" s="9" t="str">
        <f t="shared" si="147"/>
        <v/>
      </c>
      <c r="L1037" s="9">
        <f t="shared" si="148"/>
        <v>0</v>
      </c>
      <c r="M1037" s="9">
        <f t="shared" si="149"/>
        <v>0</v>
      </c>
      <c r="N1037" s="9">
        <f t="array" ref="N1037">+SUM(IFERROR(VALUE(L1037:M1037),0))</f>
        <v>0</v>
      </c>
      <c r="P1037" s="9" t="str">
        <f t="shared" si="150"/>
        <v/>
      </c>
      <c r="Q1037" s="9">
        <f t="shared" si="151"/>
        <v>0</v>
      </c>
      <c r="R1037" s="9">
        <f t="shared" si="152"/>
        <v>0</v>
      </c>
      <c r="S1037" s="9">
        <f t="array" ref="S1037">+SUM(IFERROR(VALUE(Q1037:R1037),0))</f>
        <v>0</v>
      </c>
    </row>
    <row r="1038" spans="1:19">
      <c r="A1038" s="26"/>
      <c r="B1038" s="27"/>
      <c r="C1038" s="27"/>
      <c r="D1038" s="28"/>
      <c r="F1038" s="9" t="str">
        <f t="shared" si="144"/>
        <v/>
      </c>
      <c r="G1038" s="9">
        <f t="shared" si="145"/>
        <v>0</v>
      </c>
      <c r="H1038" s="9">
        <f t="shared" si="146"/>
        <v>0</v>
      </c>
      <c r="I1038" s="9">
        <f t="array" ref="I1038">+SUM(IFERROR(VALUE(G1038:H1038),0))</f>
        <v>0</v>
      </c>
      <c r="K1038" s="9" t="str">
        <f t="shared" si="147"/>
        <v/>
      </c>
      <c r="L1038" s="9">
        <f t="shared" si="148"/>
        <v>0</v>
      </c>
      <c r="M1038" s="9">
        <f t="shared" si="149"/>
        <v>0</v>
      </c>
      <c r="N1038" s="9">
        <f t="array" ref="N1038">+SUM(IFERROR(VALUE(L1038:M1038),0))</f>
        <v>0</v>
      </c>
      <c r="P1038" s="9" t="str">
        <f t="shared" si="150"/>
        <v/>
      </c>
      <c r="Q1038" s="9">
        <f t="shared" si="151"/>
        <v>0</v>
      </c>
      <c r="R1038" s="9">
        <f t="shared" si="152"/>
        <v>0</v>
      </c>
      <c r="S1038" s="9">
        <f t="array" ref="S1038">+SUM(IFERROR(VALUE(Q1038:R1038),0))</f>
        <v>0</v>
      </c>
    </row>
    <row r="1039" spans="1:19">
      <c r="A1039" s="26"/>
      <c r="B1039" s="27"/>
      <c r="C1039" s="27"/>
      <c r="D1039" s="28"/>
      <c r="F1039" s="9" t="str">
        <f t="shared" si="144"/>
        <v/>
      </c>
      <c r="G1039" s="9">
        <f t="shared" si="145"/>
        <v>0</v>
      </c>
      <c r="H1039" s="9">
        <f t="shared" si="146"/>
        <v>0</v>
      </c>
      <c r="I1039" s="9">
        <f t="array" ref="I1039">+SUM(IFERROR(VALUE(G1039:H1039),0))</f>
        <v>0</v>
      </c>
      <c r="K1039" s="9" t="str">
        <f t="shared" si="147"/>
        <v/>
      </c>
      <c r="L1039" s="9">
        <f t="shared" si="148"/>
        <v>0</v>
      </c>
      <c r="M1039" s="9">
        <f t="shared" si="149"/>
        <v>0</v>
      </c>
      <c r="N1039" s="9">
        <f t="array" ref="N1039">+SUM(IFERROR(VALUE(L1039:M1039),0))</f>
        <v>0</v>
      </c>
      <c r="P1039" s="9" t="str">
        <f t="shared" si="150"/>
        <v/>
      </c>
      <c r="Q1039" s="9">
        <f t="shared" si="151"/>
        <v>0</v>
      </c>
      <c r="R1039" s="9">
        <f t="shared" si="152"/>
        <v>0</v>
      </c>
      <c r="S1039" s="9">
        <f t="array" ref="S1039">+SUM(IFERROR(VALUE(Q1039:R1039),0))</f>
        <v>0</v>
      </c>
    </row>
    <row r="1040" spans="1:19">
      <c r="A1040" s="26"/>
      <c r="B1040" s="27"/>
      <c r="C1040" s="27"/>
      <c r="D1040" s="28"/>
      <c r="F1040" s="9" t="str">
        <f t="shared" si="144"/>
        <v/>
      </c>
      <c r="G1040" s="9">
        <f t="shared" si="145"/>
        <v>0</v>
      </c>
      <c r="H1040" s="9">
        <f t="shared" si="146"/>
        <v>0</v>
      </c>
      <c r="I1040" s="9">
        <f t="array" ref="I1040">+SUM(IFERROR(VALUE(G1040:H1040),0))</f>
        <v>0</v>
      </c>
      <c r="K1040" s="9" t="str">
        <f t="shared" si="147"/>
        <v/>
      </c>
      <c r="L1040" s="9">
        <f t="shared" si="148"/>
        <v>0</v>
      </c>
      <c r="M1040" s="9">
        <f t="shared" si="149"/>
        <v>0</v>
      </c>
      <c r="N1040" s="9">
        <f t="array" ref="N1040">+SUM(IFERROR(VALUE(L1040:M1040),0))</f>
        <v>0</v>
      </c>
      <c r="P1040" s="9" t="str">
        <f t="shared" si="150"/>
        <v/>
      </c>
      <c r="Q1040" s="9">
        <f t="shared" si="151"/>
        <v>0</v>
      </c>
      <c r="R1040" s="9">
        <f t="shared" si="152"/>
        <v>0</v>
      </c>
      <c r="S1040" s="9">
        <f t="array" ref="S1040">+SUM(IFERROR(VALUE(Q1040:R1040),0))</f>
        <v>0</v>
      </c>
    </row>
    <row r="1041" spans="1:19">
      <c r="A1041" s="26"/>
      <c r="B1041" s="27"/>
      <c r="C1041" s="27"/>
      <c r="D1041" s="28"/>
      <c r="F1041" s="9" t="str">
        <f t="shared" si="144"/>
        <v/>
      </c>
      <c r="G1041" s="9">
        <f t="shared" si="145"/>
        <v>0</v>
      </c>
      <c r="H1041" s="9">
        <f t="shared" si="146"/>
        <v>0</v>
      </c>
      <c r="I1041" s="9">
        <f t="array" ref="I1041">+SUM(IFERROR(VALUE(G1041:H1041),0))</f>
        <v>0</v>
      </c>
      <c r="K1041" s="9" t="str">
        <f t="shared" si="147"/>
        <v/>
      </c>
      <c r="L1041" s="9">
        <f t="shared" si="148"/>
        <v>0</v>
      </c>
      <c r="M1041" s="9">
        <f t="shared" si="149"/>
        <v>0</v>
      </c>
      <c r="N1041" s="9">
        <f t="array" ref="N1041">+SUM(IFERROR(VALUE(L1041:M1041),0))</f>
        <v>0</v>
      </c>
      <c r="P1041" s="9" t="str">
        <f t="shared" si="150"/>
        <v/>
      </c>
      <c r="Q1041" s="9">
        <f t="shared" si="151"/>
        <v>0</v>
      </c>
      <c r="R1041" s="9">
        <f t="shared" si="152"/>
        <v>0</v>
      </c>
      <c r="S1041" s="9">
        <f t="array" ref="S1041">+SUM(IFERROR(VALUE(Q1041:R1041),0))</f>
        <v>0</v>
      </c>
    </row>
    <row r="1042" spans="1:19">
      <c r="A1042" s="26"/>
      <c r="B1042" s="27"/>
      <c r="C1042" s="27"/>
      <c r="D1042" s="28"/>
      <c r="F1042" s="9" t="str">
        <f t="shared" si="144"/>
        <v/>
      </c>
      <c r="G1042" s="9">
        <f t="shared" si="145"/>
        <v>0</v>
      </c>
      <c r="H1042" s="9">
        <f t="shared" si="146"/>
        <v>0</v>
      </c>
      <c r="I1042" s="9">
        <f t="array" ref="I1042">+SUM(IFERROR(VALUE(G1042:H1042),0))</f>
        <v>0</v>
      </c>
      <c r="K1042" s="9" t="str">
        <f t="shared" si="147"/>
        <v/>
      </c>
      <c r="L1042" s="9">
        <f t="shared" si="148"/>
        <v>0</v>
      </c>
      <c r="M1042" s="9">
        <f t="shared" si="149"/>
        <v>0</v>
      </c>
      <c r="N1042" s="9">
        <f t="array" ref="N1042">+SUM(IFERROR(VALUE(L1042:M1042),0))</f>
        <v>0</v>
      </c>
      <c r="P1042" s="9" t="str">
        <f t="shared" si="150"/>
        <v/>
      </c>
      <c r="Q1042" s="9">
        <f t="shared" si="151"/>
        <v>0</v>
      </c>
      <c r="R1042" s="9">
        <f t="shared" si="152"/>
        <v>0</v>
      </c>
      <c r="S1042" s="9">
        <f t="array" ref="S1042">+SUM(IFERROR(VALUE(Q1042:R1042),0))</f>
        <v>0</v>
      </c>
    </row>
    <row r="1043" spans="1:19">
      <c r="A1043" s="26"/>
      <c r="B1043" s="27"/>
      <c r="C1043" s="27"/>
      <c r="D1043" s="28"/>
      <c r="F1043" s="9" t="str">
        <f t="shared" si="144"/>
        <v/>
      </c>
      <c r="G1043" s="9">
        <f t="shared" si="145"/>
        <v>0</v>
      </c>
      <c r="H1043" s="9">
        <f t="shared" si="146"/>
        <v>0</v>
      </c>
      <c r="I1043" s="9">
        <f t="array" ref="I1043">+SUM(IFERROR(VALUE(G1043:H1043),0))</f>
        <v>0</v>
      </c>
      <c r="K1043" s="9" t="str">
        <f t="shared" si="147"/>
        <v/>
      </c>
      <c r="L1043" s="9">
        <f t="shared" si="148"/>
        <v>0</v>
      </c>
      <c r="M1043" s="9">
        <f t="shared" si="149"/>
        <v>0</v>
      </c>
      <c r="N1043" s="9">
        <f t="array" ref="N1043">+SUM(IFERROR(VALUE(L1043:M1043),0))</f>
        <v>0</v>
      </c>
      <c r="P1043" s="9" t="str">
        <f t="shared" si="150"/>
        <v/>
      </c>
      <c r="Q1043" s="9">
        <f t="shared" si="151"/>
        <v>0</v>
      </c>
      <c r="R1043" s="9">
        <f t="shared" si="152"/>
        <v>0</v>
      </c>
      <c r="S1043" s="9">
        <f t="array" ref="S1043">+SUM(IFERROR(VALUE(Q1043:R1043),0))</f>
        <v>0</v>
      </c>
    </row>
    <row r="1044" spans="1:19">
      <c r="A1044" s="26"/>
      <c r="B1044" s="27"/>
      <c r="C1044" s="27"/>
      <c r="D1044" s="28"/>
      <c r="F1044" s="9" t="str">
        <f t="shared" si="144"/>
        <v/>
      </c>
      <c r="G1044" s="9">
        <f t="shared" si="145"/>
        <v>0</v>
      </c>
      <c r="H1044" s="9">
        <f t="shared" si="146"/>
        <v>0</v>
      </c>
      <c r="I1044" s="9">
        <f t="array" ref="I1044">+SUM(IFERROR(VALUE(G1044:H1044),0))</f>
        <v>0</v>
      </c>
      <c r="K1044" s="9" t="str">
        <f t="shared" si="147"/>
        <v/>
      </c>
      <c r="L1044" s="9">
        <f t="shared" si="148"/>
        <v>0</v>
      </c>
      <c r="M1044" s="9">
        <f t="shared" si="149"/>
        <v>0</v>
      </c>
      <c r="N1044" s="9">
        <f t="array" ref="N1044">+SUM(IFERROR(VALUE(L1044:M1044),0))</f>
        <v>0</v>
      </c>
      <c r="P1044" s="9" t="str">
        <f t="shared" si="150"/>
        <v/>
      </c>
      <c r="Q1044" s="9">
        <f t="shared" si="151"/>
        <v>0</v>
      </c>
      <c r="R1044" s="9">
        <f t="shared" si="152"/>
        <v>0</v>
      </c>
      <c r="S1044" s="9">
        <f t="array" ref="S1044">+SUM(IFERROR(VALUE(Q1044:R1044),0))</f>
        <v>0</v>
      </c>
    </row>
    <row r="1045" spans="1:19">
      <c r="A1045" s="26"/>
      <c r="B1045" s="27"/>
      <c r="C1045" s="27"/>
      <c r="D1045" s="28"/>
      <c r="F1045" s="9" t="str">
        <f t="shared" si="144"/>
        <v/>
      </c>
      <c r="G1045" s="9">
        <f t="shared" si="145"/>
        <v>0</v>
      </c>
      <c r="H1045" s="9">
        <f t="shared" si="146"/>
        <v>0</v>
      </c>
      <c r="I1045" s="9">
        <f t="array" ref="I1045">+SUM(IFERROR(VALUE(G1045:H1045),0))</f>
        <v>0</v>
      </c>
      <c r="K1045" s="9" t="str">
        <f t="shared" si="147"/>
        <v/>
      </c>
      <c r="L1045" s="9">
        <f t="shared" si="148"/>
        <v>0</v>
      </c>
      <c r="M1045" s="9">
        <f t="shared" si="149"/>
        <v>0</v>
      </c>
      <c r="N1045" s="9">
        <f t="array" ref="N1045">+SUM(IFERROR(VALUE(L1045:M1045),0))</f>
        <v>0</v>
      </c>
      <c r="P1045" s="9" t="str">
        <f t="shared" si="150"/>
        <v/>
      </c>
      <c r="Q1045" s="9">
        <f t="shared" si="151"/>
        <v>0</v>
      </c>
      <c r="R1045" s="9">
        <f t="shared" si="152"/>
        <v>0</v>
      </c>
      <c r="S1045" s="9">
        <f t="array" ref="S1045">+SUM(IFERROR(VALUE(Q1045:R1045),0))</f>
        <v>0</v>
      </c>
    </row>
    <row r="1046" spans="1:19">
      <c r="A1046" s="26"/>
      <c r="B1046" s="27"/>
      <c r="C1046" s="27"/>
      <c r="D1046" s="28"/>
      <c r="F1046" s="9" t="str">
        <f t="shared" si="144"/>
        <v/>
      </c>
      <c r="G1046" s="9">
        <f t="shared" si="145"/>
        <v>0</v>
      </c>
      <c r="H1046" s="9">
        <f t="shared" si="146"/>
        <v>0</v>
      </c>
      <c r="I1046" s="9">
        <f t="array" ref="I1046">+SUM(IFERROR(VALUE(G1046:H1046),0))</f>
        <v>0</v>
      </c>
      <c r="K1046" s="9" t="str">
        <f t="shared" si="147"/>
        <v/>
      </c>
      <c r="L1046" s="9">
        <f t="shared" si="148"/>
        <v>0</v>
      </c>
      <c r="M1046" s="9">
        <f t="shared" si="149"/>
        <v>0</v>
      </c>
      <c r="N1046" s="9">
        <f t="array" ref="N1046">+SUM(IFERROR(VALUE(L1046:M1046),0))</f>
        <v>0</v>
      </c>
      <c r="P1046" s="9" t="str">
        <f t="shared" si="150"/>
        <v/>
      </c>
      <c r="Q1046" s="9">
        <f t="shared" si="151"/>
        <v>0</v>
      </c>
      <c r="R1046" s="9">
        <f t="shared" si="152"/>
        <v>0</v>
      </c>
      <c r="S1046" s="9">
        <f t="array" ref="S1046">+SUM(IFERROR(VALUE(Q1046:R1046),0))</f>
        <v>0</v>
      </c>
    </row>
    <row r="1047" spans="1:19">
      <c r="A1047" s="26"/>
      <c r="B1047" s="27"/>
      <c r="C1047" s="27"/>
      <c r="D1047" s="28"/>
      <c r="F1047" s="9" t="str">
        <f t="shared" si="144"/>
        <v/>
      </c>
      <c r="G1047" s="9">
        <f t="shared" si="145"/>
        <v>0</v>
      </c>
      <c r="H1047" s="9">
        <f t="shared" si="146"/>
        <v>0</v>
      </c>
      <c r="I1047" s="9">
        <f t="array" ref="I1047">+SUM(IFERROR(VALUE(G1047:H1047),0))</f>
        <v>0</v>
      </c>
      <c r="K1047" s="9" t="str">
        <f t="shared" si="147"/>
        <v/>
      </c>
      <c r="L1047" s="9">
        <f t="shared" si="148"/>
        <v>0</v>
      </c>
      <c r="M1047" s="9">
        <f t="shared" si="149"/>
        <v>0</v>
      </c>
      <c r="N1047" s="9">
        <f t="array" ref="N1047">+SUM(IFERROR(VALUE(L1047:M1047),0))</f>
        <v>0</v>
      </c>
      <c r="P1047" s="9" t="str">
        <f t="shared" si="150"/>
        <v/>
      </c>
      <c r="Q1047" s="9">
        <f t="shared" si="151"/>
        <v>0</v>
      </c>
      <c r="R1047" s="9">
        <f t="shared" si="152"/>
        <v>0</v>
      </c>
      <c r="S1047" s="9">
        <f t="array" ref="S1047">+SUM(IFERROR(VALUE(Q1047:R1047),0))</f>
        <v>0</v>
      </c>
    </row>
    <row r="1048" spans="1:19">
      <c r="A1048" s="26"/>
      <c r="B1048" s="27"/>
      <c r="C1048" s="27"/>
      <c r="D1048" s="28"/>
      <c r="F1048" s="9" t="str">
        <f t="shared" si="144"/>
        <v/>
      </c>
      <c r="G1048" s="9">
        <f t="shared" si="145"/>
        <v>0</v>
      </c>
      <c r="H1048" s="9">
        <f t="shared" si="146"/>
        <v>0</v>
      </c>
      <c r="I1048" s="9">
        <f t="array" ref="I1048">+SUM(IFERROR(VALUE(G1048:H1048),0))</f>
        <v>0</v>
      </c>
      <c r="K1048" s="9" t="str">
        <f t="shared" si="147"/>
        <v/>
      </c>
      <c r="L1048" s="9">
        <f t="shared" si="148"/>
        <v>0</v>
      </c>
      <c r="M1048" s="9">
        <f t="shared" si="149"/>
        <v>0</v>
      </c>
      <c r="N1048" s="9">
        <f t="array" ref="N1048">+SUM(IFERROR(VALUE(L1048:M1048),0))</f>
        <v>0</v>
      </c>
      <c r="P1048" s="9" t="str">
        <f t="shared" si="150"/>
        <v/>
      </c>
      <c r="Q1048" s="9">
        <f t="shared" si="151"/>
        <v>0</v>
      </c>
      <c r="R1048" s="9">
        <f t="shared" si="152"/>
        <v>0</v>
      </c>
      <c r="S1048" s="9">
        <f t="array" ref="S1048">+SUM(IFERROR(VALUE(Q1048:R1048),0))</f>
        <v>0</v>
      </c>
    </row>
    <row r="1049" spans="1:19">
      <c r="A1049" s="26"/>
      <c r="B1049" s="27"/>
      <c r="C1049" s="27"/>
      <c r="D1049" s="28"/>
      <c r="F1049" s="9" t="str">
        <f t="shared" si="144"/>
        <v/>
      </c>
      <c r="G1049" s="9">
        <f t="shared" si="145"/>
        <v>0</v>
      </c>
      <c r="H1049" s="9">
        <f t="shared" si="146"/>
        <v>0</v>
      </c>
      <c r="I1049" s="9">
        <f t="array" ref="I1049">+SUM(IFERROR(VALUE(G1049:H1049),0))</f>
        <v>0</v>
      </c>
      <c r="K1049" s="9" t="str">
        <f t="shared" si="147"/>
        <v/>
      </c>
      <c r="L1049" s="9">
        <f t="shared" si="148"/>
        <v>0</v>
      </c>
      <c r="M1049" s="9">
        <f t="shared" si="149"/>
        <v>0</v>
      </c>
      <c r="N1049" s="9">
        <f t="array" ref="N1049">+SUM(IFERROR(VALUE(L1049:M1049),0))</f>
        <v>0</v>
      </c>
      <c r="P1049" s="9" t="str">
        <f t="shared" si="150"/>
        <v/>
      </c>
      <c r="Q1049" s="9">
        <f t="shared" si="151"/>
        <v>0</v>
      </c>
      <c r="R1049" s="9">
        <f t="shared" si="152"/>
        <v>0</v>
      </c>
      <c r="S1049" s="9">
        <f t="array" ref="S1049">+SUM(IFERROR(VALUE(Q1049:R1049),0))</f>
        <v>0</v>
      </c>
    </row>
    <row r="1050" spans="1:19">
      <c r="A1050" s="26"/>
      <c r="B1050" s="27"/>
      <c r="C1050" s="27"/>
      <c r="D1050" s="28"/>
      <c r="F1050" s="9" t="str">
        <f t="shared" si="144"/>
        <v/>
      </c>
      <c r="G1050" s="9">
        <f t="shared" si="145"/>
        <v>0</v>
      </c>
      <c r="H1050" s="9">
        <f t="shared" si="146"/>
        <v>0</v>
      </c>
      <c r="I1050" s="9">
        <f t="array" ref="I1050">+SUM(IFERROR(VALUE(G1050:H1050),0))</f>
        <v>0</v>
      </c>
      <c r="K1050" s="9" t="str">
        <f t="shared" si="147"/>
        <v/>
      </c>
      <c r="L1050" s="9">
        <f t="shared" si="148"/>
        <v>0</v>
      </c>
      <c r="M1050" s="9">
        <f t="shared" si="149"/>
        <v>0</v>
      </c>
      <c r="N1050" s="9">
        <f t="array" ref="N1050">+SUM(IFERROR(VALUE(L1050:M1050),0))</f>
        <v>0</v>
      </c>
      <c r="P1050" s="9" t="str">
        <f t="shared" si="150"/>
        <v/>
      </c>
      <c r="Q1050" s="9">
        <f t="shared" si="151"/>
        <v>0</v>
      </c>
      <c r="R1050" s="9">
        <f t="shared" si="152"/>
        <v>0</v>
      </c>
      <c r="S1050" s="9">
        <f t="array" ref="S1050">+SUM(IFERROR(VALUE(Q1050:R1050),0))</f>
        <v>0</v>
      </c>
    </row>
    <row r="1051" spans="1:19">
      <c r="A1051" s="26"/>
      <c r="B1051" s="27"/>
      <c r="C1051" s="27"/>
      <c r="D1051" s="28"/>
      <c r="F1051" s="9" t="str">
        <f t="shared" si="144"/>
        <v/>
      </c>
      <c r="G1051" s="9">
        <f t="shared" si="145"/>
        <v>0</v>
      </c>
      <c r="H1051" s="9">
        <f t="shared" si="146"/>
        <v>0</v>
      </c>
      <c r="I1051" s="9">
        <f t="array" ref="I1051">+SUM(IFERROR(VALUE(G1051:H1051),0))</f>
        <v>0</v>
      </c>
      <c r="K1051" s="9" t="str">
        <f t="shared" si="147"/>
        <v/>
      </c>
      <c r="L1051" s="9">
        <f t="shared" si="148"/>
        <v>0</v>
      </c>
      <c r="M1051" s="9">
        <f t="shared" si="149"/>
        <v>0</v>
      </c>
      <c r="N1051" s="9">
        <f t="array" ref="N1051">+SUM(IFERROR(VALUE(L1051:M1051),0))</f>
        <v>0</v>
      </c>
      <c r="P1051" s="9" t="str">
        <f t="shared" si="150"/>
        <v/>
      </c>
      <c r="Q1051" s="9">
        <f t="shared" si="151"/>
        <v>0</v>
      </c>
      <c r="R1051" s="9">
        <f t="shared" si="152"/>
        <v>0</v>
      </c>
      <c r="S1051" s="9">
        <f t="array" ref="S1051">+SUM(IFERROR(VALUE(Q1051:R1051),0))</f>
        <v>0</v>
      </c>
    </row>
    <row r="1052" spans="1:19">
      <c r="A1052" s="26"/>
      <c r="B1052" s="27"/>
      <c r="C1052" s="27"/>
      <c r="D1052" s="28"/>
      <c r="F1052" s="9" t="str">
        <f t="shared" si="144"/>
        <v/>
      </c>
      <c r="G1052" s="9">
        <f t="shared" si="145"/>
        <v>0</v>
      </c>
      <c r="H1052" s="9">
        <f t="shared" si="146"/>
        <v>0</v>
      </c>
      <c r="I1052" s="9">
        <f t="array" ref="I1052">+SUM(IFERROR(VALUE(G1052:H1052),0))</f>
        <v>0</v>
      </c>
      <c r="K1052" s="9" t="str">
        <f t="shared" si="147"/>
        <v/>
      </c>
      <c r="L1052" s="9">
        <f t="shared" si="148"/>
        <v>0</v>
      </c>
      <c r="M1052" s="9">
        <f t="shared" si="149"/>
        <v>0</v>
      </c>
      <c r="N1052" s="9">
        <f t="array" ref="N1052">+SUM(IFERROR(VALUE(L1052:M1052),0))</f>
        <v>0</v>
      </c>
      <c r="P1052" s="9" t="str">
        <f t="shared" si="150"/>
        <v/>
      </c>
      <c r="Q1052" s="9">
        <f t="shared" si="151"/>
        <v>0</v>
      </c>
      <c r="R1052" s="9">
        <f t="shared" si="152"/>
        <v>0</v>
      </c>
      <c r="S1052" s="9">
        <f t="array" ref="S1052">+SUM(IFERROR(VALUE(Q1052:R1052),0))</f>
        <v>0</v>
      </c>
    </row>
    <row r="1053" spans="1:19">
      <c r="A1053" s="26"/>
      <c r="B1053" s="27"/>
      <c r="C1053" s="27"/>
      <c r="D1053" s="28"/>
      <c r="F1053" s="9" t="str">
        <f t="shared" si="144"/>
        <v/>
      </c>
      <c r="G1053" s="9">
        <f t="shared" si="145"/>
        <v>0</v>
      </c>
      <c r="H1053" s="9">
        <f t="shared" si="146"/>
        <v>0</v>
      </c>
      <c r="I1053" s="9">
        <f t="array" ref="I1053">+SUM(IFERROR(VALUE(G1053:H1053),0))</f>
        <v>0</v>
      </c>
      <c r="K1053" s="9" t="str">
        <f t="shared" si="147"/>
        <v/>
      </c>
      <c r="L1053" s="9">
        <f t="shared" si="148"/>
        <v>0</v>
      </c>
      <c r="M1053" s="9">
        <f t="shared" si="149"/>
        <v>0</v>
      </c>
      <c r="N1053" s="9">
        <f t="array" ref="N1053">+SUM(IFERROR(VALUE(L1053:M1053),0))</f>
        <v>0</v>
      </c>
      <c r="P1053" s="9" t="str">
        <f t="shared" si="150"/>
        <v/>
      </c>
      <c r="Q1053" s="9">
        <f t="shared" si="151"/>
        <v>0</v>
      </c>
      <c r="R1053" s="9">
        <f t="shared" si="152"/>
        <v>0</v>
      </c>
      <c r="S1053" s="9">
        <f t="array" ref="S1053">+SUM(IFERROR(VALUE(Q1053:R1053),0))</f>
        <v>0</v>
      </c>
    </row>
    <row r="1054" spans="1:19">
      <c r="A1054" s="26"/>
      <c r="B1054" s="27"/>
      <c r="C1054" s="27"/>
      <c r="D1054" s="28"/>
      <c r="F1054" s="9" t="str">
        <f t="shared" si="144"/>
        <v/>
      </c>
      <c r="G1054" s="9">
        <f t="shared" si="145"/>
        <v>0</v>
      </c>
      <c r="H1054" s="9">
        <f t="shared" si="146"/>
        <v>0</v>
      </c>
      <c r="I1054" s="9">
        <f t="array" ref="I1054">+SUM(IFERROR(VALUE(G1054:H1054),0))</f>
        <v>0</v>
      </c>
      <c r="K1054" s="9" t="str">
        <f t="shared" si="147"/>
        <v/>
      </c>
      <c r="L1054" s="9">
        <f t="shared" si="148"/>
        <v>0</v>
      </c>
      <c r="M1054" s="9">
        <f t="shared" si="149"/>
        <v>0</v>
      </c>
      <c r="N1054" s="9">
        <f t="array" ref="N1054">+SUM(IFERROR(VALUE(L1054:M1054),0))</f>
        <v>0</v>
      </c>
      <c r="P1054" s="9" t="str">
        <f t="shared" si="150"/>
        <v/>
      </c>
      <c r="Q1054" s="9">
        <f t="shared" si="151"/>
        <v>0</v>
      </c>
      <c r="R1054" s="9">
        <f t="shared" si="152"/>
        <v>0</v>
      </c>
      <c r="S1054" s="9">
        <f t="array" ref="S1054">+SUM(IFERROR(VALUE(Q1054:R1054),0))</f>
        <v>0</v>
      </c>
    </row>
    <row r="1055" spans="1:19">
      <c r="A1055" s="26"/>
      <c r="B1055" s="27"/>
      <c r="C1055" s="27"/>
      <c r="D1055" s="28"/>
      <c r="F1055" s="9" t="str">
        <f t="shared" si="144"/>
        <v/>
      </c>
      <c r="G1055" s="9">
        <f t="shared" si="145"/>
        <v>0</v>
      </c>
      <c r="H1055" s="9">
        <f t="shared" si="146"/>
        <v>0</v>
      </c>
      <c r="I1055" s="9">
        <f t="array" ref="I1055">+SUM(IFERROR(VALUE(G1055:H1055),0))</f>
        <v>0</v>
      </c>
      <c r="K1055" s="9" t="str">
        <f t="shared" si="147"/>
        <v/>
      </c>
      <c r="L1055" s="9">
        <f t="shared" si="148"/>
        <v>0</v>
      </c>
      <c r="M1055" s="9">
        <f t="shared" si="149"/>
        <v>0</v>
      </c>
      <c r="N1055" s="9">
        <f t="array" ref="N1055">+SUM(IFERROR(VALUE(L1055:M1055),0))</f>
        <v>0</v>
      </c>
      <c r="P1055" s="9" t="str">
        <f t="shared" si="150"/>
        <v/>
      </c>
      <c r="Q1055" s="9">
        <f t="shared" si="151"/>
        <v>0</v>
      </c>
      <c r="R1055" s="9">
        <f t="shared" si="152"/>
        <v>0</v>
      </c>
      <c r="S1055" s="9">
        <f t="array" ref="S1055">+SUM(IFERROR(VALUE(Q1055:R1055),0))</f>
        <v>0</v>
      </c>
    </row>
    <row r="1056" spans="1:19">
      <c r="A1056" s="26"/>
      <c r="B1056" s="27"/>
      <c r="C1056" s="27"/>
      <c r="D1056" s="28"/>
      <c r="F1056" s="9" t="str">
        <f t="shared" si="144"/>
        <v/>
      </c>
      <c r="G1056" s="9">
        <f t="shared" si="145"/>
        <v>0</v>
      </c>
      <c r="H1056" s="9">
        <f t="shared" si="146"/>
        <v>0</v>
      </c>
      <c r="I1056" s="9">
        <f t="array" ref="I1056">+SUM(IFERROR(VALUE(G1056:H1056),0))</f>
        <v>0</v>
      </c>
      <c r="K1056" s="9" t="str">
        <f t="shared" si="147"/>
        <v/>
      </c>
      <c r="L1056" s="9">
        <f t="shared" si="148"/>
        <v>0</v>
      </c>
      <c r="M1056" s="9">
        <f t="shared" si="149"/>
        <v>0</v>
      </c>
      <c r="N1056" s="9">
        <f t="array" ref="N1056">+SUM(IFERROR(VALUE(L1056:M1056),0))</f>
        <v>0</v>
      </c>
      <c r="P1056" s="9" t="str">
        <f t="shared" si="150"/>
        <v/>
      </c>
      <c r="Q1056" s="9">
        <f t="shared" si="151"/>
        <v>0</v>
      </c>
      <c r="R1056" s="9">
        <f t="shared" si="152"/>
        <v>0</v>
      </c>
      <c r="S1056" s="9">
        <f t="array" ref="S1056">+SUM(IFERROR(VALUE(Q1056:R1056),0))</f>
        <v>0</v>
      </c>
    </row>
    <row r="1057" spans="1:19">
      <c r="A1057" s="26"/>
      <c r="B1057" s="27"/>
      <c r="C1057" s="27"/>
      <c r="D1057" s="28"/>
      <c r="F1057" s="9" t="str">
        <f t="shared" si="144"/>
        <v/>
      </c>
      <c r="G1057" s="9">
        <f t="shared" si="145"/>
        <v>0</v>
      </c>
      <c r="H1057" s="9">
        <f t="shared" si="146"/>
        <v>0</v>
      </c>
      <c r="I1057" s="9">
        <f t="array" ref="I1057">+SUM(IFERROR(VALUE(G1057:H1057),0))</f>
        <v>0</v>
      </c>
      <c r="K1057" s="9" t="str">
        <f t="shared" si="147"/>
        <v/>
      </c>
      <c r="L1057" s="9">
        <f t="shared" si="148"/>
        <v>0</v>
      </c>
      <c r="M1057" s="9">
        <f t="shared" si="149"/>
        <v>0</v>
      </c>
      <c r="N1057" s="9">
        <f t="array" ref="N1057">+SUM(IFERROR(VALUE(L1057:M1057),0))</f>
        <v>0</v>
      </c>
      <c r="P1057" s="9" t="str">
        <f t="shared" si="150"/>
        <v/>
      </c>
      <c r="Q1057" s="9">
        <f t="shared" si="151"/>
        <v>0</v>
      </c>
      <c r="R1057" s="9">
        <f t="shared" si="152"/>
        <v>0</v>
      </c>
      <c r="S1057" s="9">
        <f t="array" ref="S1057">+SUM(IFERROR(VALUE(Q1057:R1057),0))</f>
        <v>0</v>
      </c>
    </row>
    <row r="1058" spans="1:19">
      <c r="A1058" s="26"/>
      <c r="B1058" s="27"/>
      <c r="C1058" s="27"/>
      <c r="D1058" s="28"/>
      <c r="F1058" s="9" t="str">
        <f t="shared" si="144"/>
        <v/>
      </c>
      <c r="G1058" s="9">
        <f t="shared" si="145"/>
        <v>0</v>
      </c>
      <c r="H1058" s="9">
        <f t="shared" si="146"/>
        <v>0</v>
      </c>
      <c r="I1058" s="9">
        <f t="array" ref="I1058">+SUM(IFERROR(VALUE(G1058:H1058),0))</f>
        <v>0</v>
      </c>
      <c r="K1058" s="9" t="str">
        <f t="shared" si="147"/>
        <v/>
      </c>
      <c r="L1058" s="9">
        <f t="shared" si="148"/>
        <v>0</v>
      </c>
      <c r="M1058" s="9">
        <f t="shared" si="149"/>
        <v>0</v>
      </c>
      <c r="N1058" s="9">
        <f t="array" ref="N1058">+SUM(IFERROR(VALUE(L1058:M1058),0))</f>
        <v>0</v>
      </c>
      <c r="P1058" s="9" t="str">
        <f t="shared" si="150"/>
        <v/>
      </c>
      <c r="Q1058" s="9">
        <f t="shared" si="151"/>
        <v>0</v>
      </c>
      <c r="R1058" s="9">
        <f t="shared" si="152"/>
        <v>0</v>
      </c>
      <c r="S1058" s="9">
        <f t="array" ref="S1058">+SUM(IFERROR(VALUE(Q1058:R1058),0))</f>
        <v>0</v>
      </c>
    </row>
    <row r="1059" spans="1:19">
      <c r="A1059" s="26"/>
      <c r="B1059" s="27"/>
      <c r="C1059" s="27"/>
      <c r="D1059" s="28"/>
      <c r="F1059" s="9" t="str">
        <f t="shared" si="144"/>
        <v/>
      </c>
      <c r="G1059" s="9">
        <f t="shared" si="145"/>
        <v>0</v>
      </c>
      <c r="H1059" s="9">
        <f t="shared" si="146"/>
        <v>0</v>
      </c>
      <c r="I1059" s="9">
        <f t="array" ref="I1059">+SUM(IFERROR(VALUE(G1059:H1059),0))</f>
        <v>0</v>
      </c>
      <c r="K1059" s="9" t="str">
        <f t="shared" si="147"/>
        <v/>
      </c>
      <c r="L1059" s="9">
        <f t="shared" si="148"/>
        <v>0</v>
      </c>
      <c r="M1059" s="9">
        <f t="shared" si="149"/>
        <v>0</v>
      </c>
      <c r="N1059" s="9">
        <f t="array" ref="N1059">+SUM(IFERROR(VALUE(L1059:M1059),0))</f>
        <v>0</v>
      </c>
      <c r="P1059" s="9" t="str">
        <f t="shared" si="150"/>
        <v/>
      </c>
      <c r="Q1059" s="9">
        <f t="shared" si="151"/>
        <v>0</v>
      </c>
      <c r="R1059" s="9">
        <f t="shared" si="152"/>
        <v>0</v>
      </c>
      <c r="S1059" s="9">
        <f t="array" ref="S1059">+SUM(IFERROR(VALUE(Q1059:R1059),0))</f>
        <v>0</v>
      </c>
    </row>
    <row r="1060" spans="1:19">
      <c r="A1060" s="26"/>
      <c r="B1060" s="27"/>
      <c r="C1060" s="27"/>
      <c r="D1060" s="28"/>
      <c r="F1060" s="9" t="str">
        <f t="shared" si="144"/>
        <v/>
      </c>
      <c r="G1060" s="9">
        <f t="shared" si="145"/>
        <v>0</v>
      </c>
      <c r="H1060" s="9">
        <f t="shared" si="146"/>
        <v>0</v>
      </c>
      <c r="I1060" s="9">
        <f t="array" ref="I1060">+SUM(IFERROR(VALUE(G1060:H1060),0))</f>
        <v>0</v>
      </c>
      <c r="K1060" s="9" t="str">
        <f t="shared" si="147"/>
        <v/>
      </c>
      <c r="L1060" s="9">
        <f t="shared" si="148"/>
        <v>0</v>
      </c>
      <c r="M1060" s="9">
        <f t="shared" si="149"/>
        <v>0</v>
      </c>
      <c r="N1060" s="9">
        <f t="array" ref="N1060">+SUM(IFERROR(VALUE(L1060:M1060),0))</f>
        <v>0</v>
      </c>
      <c r="P1060" s="9" t="str">
        <f t="shared" si="150"/>
        <v/>
      </c>
      <c r="Q1060" s="9">
        <f t="shared" si="151"/>
        <v>0</v>
      </c>
      <c r="R1060" s="9">
        <f t="shared" si="152"/>
        <v>0</v>
      </c>
      <c r="S1060" s="9">
        <f t="array" ref="S1060">+SUM(IFERROR(VALUE(Q1060:R1060),0))</f>
        <v>0</v>
      </c>
    </row>
    <row r="1061" spans="1:19">
      <c r="A1061" s="26"/>
      <c r="B1061" s="27"/>
      <c r="C1061" s="27"/>
      <c r="D1061" s="28"/>
      <c r="F1061" s="9" t="str">
        <f t="shared" si="144"/>
        <v/>
      </c>
      <c r="G1061" s="9">
        <f t="shared" si="145"/>
        <v>0</v>
      </c>
      <c r="H1061" s="9">
        <f t="shared" si="146"/>
        <v>0</v>
      </c>
      <c r="I1061" s="9">
        <f t="array" ref="I1061">+SUM(IFERROR(VALUE(G1061:H1061),0))</f>
        <v>0</v>
      </c>
      <c r="K1061" s="9" t="str">
        <f t="shared" si="147"/>
        <v/>
      </c>
      <c r="L1061" s="9">
        <f t="shared" si="148"/>
        <v>0</v>
      </c>
      <c r="M1061" s="9">
        <f t="shared" si="149"/>
        <v>0</v>
      </c>
      <c r="N1061" s="9">
        <f t="array" ref="N1061">+SUM(IFERROR(VALUE(L1061:M1061),0))</f>
        <v>0</v>
      </c>
      <c r="P1061" s="9" t="str">
        <f t="shared" si="150"/>
        <v/>
      </c>
      <c r="Q1061" s="9">
        <f t="shared" si="151"/>
        <v>0</v>
      </c>
      <c r="R1061" s="9">
        <f t="shared" si="152"/>
        <v>0</v>
      </c>
      <c r="S1061" s="9">
        <f t="array" ref="S1061">+SUM(IFERROR(VALUE(Q1061:R1061),0))</f>
        <v>0</v>
      </c>
    </row>
    <row r="1062" spans="1:19">
      <c r="A1062" s="26"/>
      <c r="B1062" s="27"/>
      <c r="C1062" s="27"/>
      <c r="D1062" s="28"/>
      <c r="F1062" s="9" t="str">
        <f t="shared" si="144"/>
        <v/>
      </c>
      <c r="G1062" s="9">
        <f t="shared" si="145"/>
        <v>0</v>
      </c>
      <c r="H1062" s="9">
        <f t="shared" si="146"/>
        <v>0</v>
      </c>
      <c r="I1062" s="9">
        <f t="array" ref="I1062">+SUM(IFERROR(VALUE(G1062:H1062),0))</f>
        <v>0</v>
      </c>
      <c r="K1062" s="9" t="str">
        <f t="shared" si="147"/>
        <v/>
      </c>
      <c r="L1062" s="9">
        <f t="shared" si="148"/>
        <v>0</v>
      </c>
      <c r="M1062" s="9">
        <f t="shared" si="149"/>
        <v>0</v>
      </c>
      <c r="N1062" s="9">
        <f t="array" ref="N1062">+SUM(IFERROR(VALUE(L1062:M1062),0))</f>
        <v>0</v>
      </c>
      <c r="P1062" s="9" t="str">
        <f t="shared" si="150"/>
        <v/>
      </c>
      <c r="Q1062" s="9">
        <f t="shared" si="151"/>
        <v>0</v>
      </c>
      <c r="R1062" s="9">
        <f t="shared" si="152"/>
        <v>0</v>
      </c>
      <c r="S1062" s="9">
        <f t="array" ref="S1062">+SUM(IFERROR(VALUE(Q1062:R1062),0))</f>
        <v>0</v>
      </c>
    </row>
    <row r="1063" spans="1:19">
      <c r="A1063" s="26"/>
      <c r="B1063" s="27"/>
      <c r="C1063" s="27"/>
      <c r="D1063" s="28"/>
      <c r="F1063" s="9" t="str">
        <f t="shared" si="144"/>
        <v/>
      </c>
      <c r="G1063" s="9">
        <f t="shared" si="145"/>
        <v>0</v>
      </c>
      <c r="H1063" s="9">
        <f t="shared" si="146"/>
        <v>0</v>
      </c>
      <c r="I1063" s="9">
        <f t="array" ref="I1063">+SUM(IFERROR(VALUE(G1063:H1063),0))</f>
        <v>0</v>
      </c>
      <c r="K1063" s="9" t="str">
        <f t="shared" si="147"/>
        <v/>
      </c>
      <c r="L1063" s="9">
        <f t="shared" si="148"/>
        <v>0</v>
      </c>
      <c r="M1063" s="9">
        <f t="shared" si="149"/>
        <v>0</v>
      </c>
      <c r="N1063" s="9">
        <f t="array" ref="N1063">+SUM(IFERROR(VALUE(L1063:M1063),0))</f>
        <v>0</v>
      </c>
      <c r="P1063" s="9" t="str">
        <f t="shared" si="150"/>
        <v/>
      </c>
      <c r="Q1063" s="9">
        <f t="shared" si="151"/>
        <v>0</v>
      </c>
      <c r="R1063" s="9">
        <f t="shared" si="152"/>
        <v>0</v>
      </c>
      <c r="S1063" s="9">
        <f t="array" ref="S1063">+SUM(IFERROR(VALUE(Q1063:R1063),0))</f>
        <v>0</v>
      </c>
    </row>
    <row r="1064" spans="1:19">
      <c r="A1064" s="26"/>
      <c r="B1064" s="27"/>
      <c r="C1064" s="27"/>
      <c r="D1064" s="28"/>
      <c r="F1064" s="9" t="str">
        <f t="shared" si="144"/>
        <v/>
      </c>
      <c r="G1064" s="9">
        <f t="shared" si="145"/>
        <v>0</v>
      </c>
      <c r="H1064" s="9">
        <f t="shared" si="146"/>
        <v>0</v>
      </c>
      <c r="I1064" s="9">
        <f t="array" ref="I1064">+SUM(IFERROR(VALUE(G1064:H1064),0))</f>
        <v>0</v>
      </c>
      <c r="K1064" s="9" t="str">
        <f t="shared" si="147"/>
        <v/>
      </c>
      <c r="L1064" s="9">
        <f t="shared" si="148"/>
        <v>0</v>
      </c>
      <c r="M1064" s="9">
        <f t="shared" si="149"/>
        <v>0</v>
      </c>
      <c r="N1064" s="9">
        <f t="array" ref="N1064">+SUM(IFERROR(VALUE(L1064:M1064),0))</f>
        <v>0</v>
      </c>
      <c r="P1064" s="9" t="str">
        <f t="shared" si="150"/>
        <v/>
      </c>
      <c r="Q1064" s="9">
        <f t="shared" si="151"/>
        <v>0</v>
      </c>
      <c r="R1064" s="9">
        <f t="shared" si="152"/>
        <v>0</v>
      </c>
      <c r="S1064" s="9">
        <f t="array" ref="S1064">+SUM(IFERROR(VALUE(Q1064:R1064),0))</f>
        <v>0</v>
      </c>
    </row>
    <row r="1065" spans="1:19">
      <c r="A1065" s="26"/>
      <c r="B1065" s="27"/>
      <c r="C1065" s="27"/>
      <c r="D1065" s="28"/>
      <c r="F1065" s="9" t="str">
        <f t="shared" si="144"/>
        <v/>
      </c>
      <c r="G1065" s="9">
        <f t="shared" si="145"/>
        <v>0</v>
      </c>
      <c r="H1065" s="9">
        <f t="shared" si="146"/>
        <v>0</v>
      </c>
      <c r="I1065" s="9">
        <f t="array" ref="I1065">+SUM(IFERROR(VALUE(G1065:H1065),0))</f>
        <v>0</v>
      </c>
      <c r="K1065" s="9" t="str">
        <f t="shared" si="147"/>
        <v/>
      </c>
      <c r="L1065" s="9">
        <f t="shared" si="148"/>
        <v>0</v>
      </c>
      <c r="M1065" s="9">
        <f t="shared" si="149"/>
        <v>0</v>
      </c>
      <c r="N1065" s="9">
        <f t="array" ref="N1065">+SUM(IFERROR(VALUE(L1065:M1065),0))</f>
        <v>0</v>
      </c>
      <c r="P1065" s="9" t="str">
        <f t="shared" si="150"/>
        <v/>
      </c>
      <c r="Q1065" s="9">
        <f t="shared" si="151"/>
        <v>0</v>
      </c>
      <c r="R1065" s="9">
        <f t="shared" si="152"/>
        <v>0</v>
      </c>
      <c r="S1065" s="9">
        <f t="array" ref="S1065">+SUM(IFERROR(VALUE(Q1065:R1065),0))</f>
        <v>0</v>
      </c>
    </row>
    <row r="1066" spans="1:19">
      <c r="A1066" s="26"/>
      <c r="B1066" s="27"/>
      <c r="C1066" s="27"/>
      <c r="D1066" s="28"/>
      <c r="F1066" s="9" t="str">
        <f t="shared" si="144"/>
        <v/>
      </c>
      <c r="G1066" s="9">
        <f t="shared" si="145"/>
        <v>0</v>
      </c>
      <c r="H1066" s="9">
        <f t="shared" si="146"/>
        <v>0</v>
      </c>
      <c r="I1066" s="9">
        <f t="array" ref="I1066">+SUM(IFERROR(VALUE(G1066:H1066),0))</f>
        <v>0</v>
      </c>
      <c r="K1066" s="9" t="str">
        <f t="shared" si="147"/>
        <v/>
      </c>
      <c r="L1066" s="9">
        <f t="shared" si="148"/>
        <v>0</v>
      </c>
      <c r="M1066" s="9">
        <f t="shared" si="149"/>
        <v>0</v>
      </c>
      <c r="N1066" s="9">
        <f t="array" ref="N1066">+SUM(IFERROR(VALUE(L1066:M1066),0))</f>
        <v>0</v>
      </c>
      <c r="P1066" s="9" t="str">
        <f t="shared" si="150"/>
        <v/>
      </c>
      <c r="Q1066" s="9">
        <f t="shared" si="151"/>
        <v>0</v>
      </c>
      <c r="R1066" s="9">
        <f t="shared" si="152"/>
        <v>0</v>
      </c>
      <c r="S1066" s="9">
        <f t="array" ref="S1066">+SUM(IFERROR(VALUE(Q1066:R1066),0))</f>
        <v>0</v>
      </c>
    </row>
    <row r="1067" spans="1:19">
      <c r="A1067" s="26"/>
      <c r="B1067" s="27"/>
      <c r="C1067" s="27"/>
      <c r="D1067" s="28"/>
      <c r="F1067" s="9" t="str">
        <f t="shared" si="144"/>
        <v/>
      </c>
      <c r="G1067" s="9">
        <f t="shared" si="145"/>
        <v>0</v>
      </c>
      <c r="H1067" s="9">
        <f t="shared" si="146"/>
        <v>0</v>
      </c>
      <c r="I1067" s="9">
        <f t="array" ref="I1067">+SUM(IFERROR(VALUE(G1067:H1067),0))</f>
        <v>0</v>
      </c>
      <c r="K1067" s="9" t="str">
        <f t="shared" si="147"/>
        <v/>
      </c>
      <c r="L1067" s="9">
        <f t="shared" si="148"/>
        <v>0</v>
      </c>
      <c r="M1067" s="9">
        <f t="shared" si="149"/>
        <v>0</v>
      </c>
      <c r="N1067" s="9">
        <f t="array" ref="N1067">+SUM(IFERROR(VALUE(L1067:M1067),0))</f>
        <v>0</v>
      </c>
      <c r="P1067" s="9" t="str">
        <f t="shared" si="150"/>
        <v/>
      </c>
      <c r="Q1067" s="9">
        <f t="shared" si="151"/>
        <v>0</v>
      </c>
      <c r="R1067" s="9">
        <f t="shared" si="152"/>
        <v>0</v>
      </c>
      <c r="S1067" s="9">
        <f t="array" ref="S1067">+SUM(IFERROR(VALUE(Q1067:R1067),0))</f>
        <v>0</v>
      </c>
    </row>
    <row r="1068" spans="1:19">
      <c r="A1068" s="26"/>
      <c r="B1068" s="27"/>
      <c r="C1068" s="27"/>
      <c r="D1068" s="28"/>
      <c r="F1068" s="9" t="str">
        <f t="shared" si="144"/>
        <v/>
      </c>
      <c r="G1068" s="9">
        <f t="shared" si="145"/>
        <v>0</v>
      </c>
      <c r="H1068" s="9">
        <f t="shared" si="146"/>
        <v>0</v>
      </c>
      <c r="I1068" s="9">
        <f t="array" ref="I1068">+SUM(IFERROR(VALUE(G1068:H1068),0))</f>
        <v>0</v>
      </c>
      <c r="K1068" s="9" t="str">
        <f t="shared" si="147"/>
        <v/>
      </c>
      <c r="L1068" s="9">
        <f t="shared" si="148"/>
        <v>0</v>
      </c>
      <c r="M1068" s="9">
        <f t="shared" si="149"/>
        <v>0</v>
      </c>
      <c r="N1068" s="9">
        <f t="array" ref="N1068">+SUM(IFERROR(VALUE(L1068:M1068),0))</f>
        <v>0</v>
      </c>
      <c r="P1068" s="9" t="str">
        <f t="shared" si="150"/>
        <v/>
      </c>
      <c r="Q1068" s="9">
        <f t="shared" si="151"/>
        <v>0</v>
      </c>
      <c r="R1068" s="9">
        <f t="shared" si="152"/>
        <v>0</v>
      </c>
      <c r="S1068" s="9">
        <f t="array" ref="S1068">+SUM(IFERROR(VALUE(Q1068:R1068),0))</f>
        <v>0</v>
      </c>
    </row>
    <row r="1069" spans="1:19">
      <c r="A1069" s="26"/>
      <c r="B1069" s="27"/>
      <c r="C1069" s="27"/>
      <c r="D1069" s="28"/>
      <c r="F1069" s="9" t="str">
        <f t="shared" si="144"/>
        <v/>
      </c>
      <c r="G1069" s="9">
        <f t="shared" si="145"/>
        <v>0</v>
      </c>
      <c r="H1069" s="9">
        <f t="shared" si="146"/>
        <v>0</v>
      </c>
      <c r="I1069" s="9">
        <f t="array" ref="I1069">+SUM(IFERROR(VALUE(G1069:H1069),0))</f>
        <v>0</v>
      </c>
      <c r="K1069" s="9" t="str">
        <f t="shared" si="147"/>
        <v/>
      </c>
      <c r="L1069" s="9">
        <f t="shared" si="148"/>
        <v>0</v>
      </c>
      <c r="M1069" s="9">
        <f t="shared" si="149"/>
        <v>0</v>
      </c>
      <c r="N1069" s="9">
        <f t="array" ref="N1069">+SUM(IFERROR(VALUE(L1069:M1069),0))</f>
        <v>0</v>
      </c>
      <c r="P1069" s="9" t="str">
        <f t="shared" si="150"/>
        <v/>
      </c>
      <c r="Q1069" s="9">
        <f t="shared" si="151"/>
        <v>0</v>
      </c>
      <c r="R1069" s="9">
        <f t="shared" si="152"/>
        <v>0</v>
      </c>
      <c r="S1069" s="9">
        <f t="array" ref="S1069">+SUM(IFERROR(VALUE(Q1069:R1069),0))</f>
        <v>0</v>
      </c>
    </row>
    <row r="1070" spans="1:19">
      <c r="A1070" s="26"/>
      <c r="B1070" s="27"/>
      <c r="C1070" s="27"/>
      <c r="D1070" s="28"/>
      <c r="F1070" s="9" t="str">
        <f t="shared" si="144"/>
        <v/>
      </c>
      <c r="G1070" s="9">
        <f t="shared" si="145"/>
        <v>0</v>
      </c>
      <c r="H1070" s="9">
        <f t="shared" si="146"/>
        <v>0</v>
      </c>
      <c r="I1070" s="9">
        <f t="array" ref="I1070">+SUM(IFERROR(VALUE(G1070:H1070),0))</f>
        <v>0</v>
      </c>
      <c r="K1070" s="9" t="str">
        <f t="shared" si="147"/>
        <v/>
      </c>
      <c r="L1070" s="9">
        <f t="shared" si="148"/>
        <v>0</v>
      </c>
      <c r="M1070" s="9">
        <f t="shared" si="149"/>
        <v>0</v>
      </c>
      <c r="N1070" s="9">
        <f t="array" ref="N1070">+SUM(IFERROR(VALUE(L1070:M1070),0))</f>
        <v>0</v>
      </c>
      <c r="P1070" s="9" t="str">
        <f t="shared" si="150"/>
        <v/>
      </c>
      <c r="Q1070" s="9">
        <f t="shared" si="151"/>
        <v>0</v>
      </c>
      <c r="R1070" s="9">
        <f t="shared" si="152"/>
        <v>0</v>
      </c>
      <c r="S1070" s="9">
        <f t="array" ref="S1070">+SUM(IFERROR(VALUE(Q1070:R1070),0))</f>
        <v>0</v>
      </c>
    </row>
    <row r="1071" spans="1:19">
      <c r="A1071" s="26"/>
      <c r="B1071" s="27"/>
      <c r="C1071" s="27"/>
      <c r="D1071" s="28"/>
      <c r="F1071" s="9" t="str">
        <f t="shared" si="144"/>
        <v/>
      </c>
      <c r="G1071" s="9">
        <f t="shared" si="145"/>
        <v>0</v>
      </c>
      <c r="H1071" s="9">
        <f t="shared" si="146"/>
        <v>0</v>
      </c>
      <c r="I1071" s="9">
        <f t="array" ref="I1071">+SUM(IFERROR(VALUE(G1071:H1071),0))</f>
        <v>0</v>
      </c>
      <c r="K1071" s="9" t="str">
        <f t="shared" si="147"/>
        <v/>
      </c>
      <c r="L1071" s="9">
        <f t="shared" si="148"/>
        <v>0</v>
      </c>
      <c r="M1071" s="9">
        <f t="shared" si="149"/>
        <v>0</v>
      </c>
      <c r="N1071" s="9">
        <f t="array" ref="N1071">+SUM(IFERROR(VALUE(L1071:M1071),0))</f>
        <v>0</v>
      </c>
      <c r="P1071" s="9" t="str">
        <f t="shared" si="150"/>
        <v/>
      </c>
      <c r="Q1071" s="9">
        <f t="shared" si="151"/>
        <v>0</v>
      </c>
      <c r="R1071" s="9">
        <f t="shared" si="152"/>
        <v>0</v>
      </c>
      <c r="S1071" s="9">
        <f t="array" ref="S1071">+SUM(IFERROR(VALUE(Q1071:R1071),0))</f>
        <v>0</v>
      </c>
    </row>
    <row r="1072" spans="1:19">
      <c r="A1072" s="26"/>
      <c r="B1072" s="27"/>
      <c r="C1072" s="27"/>
      <c r="D1072" s="28"/>
      <c r="F1072" s="9" t="str">
        <f t="shared" si="144"/>
        <v/>
      </c>
      <c r="G1072" s="9">
        <f t="shared" si="145"/>
        <v>0</v>
      </c>
      <c r="H1072" s="9">
        <f t="shared" si="146"/>
        <v>0</v>
      </c>
      <c r="I1072" s="9">
        <f t="array" ref="I1072">+SUM(IFERROR(VALUE(G1072:H1072),0))</f>
        <v>0</v>
      </c>
      <c r="K1072" s="9" t="str">
        <f t="shared" si="147"/>
        <v/>
      </c>
      <c r="L1072" s="9">
        <f t="shared" si="148"/>
        <v>0</v>
      </c>
      <c r="M1072" s="9">
        <f t="shared" si="149"/>
        <v>0</v>
      </c>
      <c r="N1072" s="9">
        <f t="array" ref="N1072">+SUM(IFERROR(VALUE(L1072:M1072),0))</f>
        <v>0</v>
      </c>
      <c r="P1072" s="9" t="str">
        <f t="shared" si="150"/>
        <v/>
      </c>
      <c r="Q1072" s="9">
        <f t="shared" si="151"/>
        <v>0</v>
      </c>
      <c r="R1072" s="9">
        <f t="shared" si="152"/>
        <v>0</v>
      </c>
      <c r="S1072" s="9">
        <f t="array" ref="S1072">+SUM(IFERROR(VALUE(Q1072:R1072),0))</f>
        <v>0</v>
      </c>
    </row>
    <row r="1073" spans="1:19">
      <c r="A1073" s="26"/>
      <c r="B1073" s="27"/>
      <c r="C1073" s="27"/>
      <c r="D1073" s="28"/>
      <c r="F1073" s="9" t="str">
        <f t="shared" si="144"/>
        <v/>
      </c>
      <c r="G1073" s="9">
        <f t="shared" si="145"/>
        <v>0</v>
      </c>
      <c r="H1073" s="9">
        <f t="shared" si="146"/>
        <v>0</v>
      </c>
      <c r="I1073" s="9">
        <f t="array" ref="I1073">+SUM(IFERROR(VALUE(G1073:H1073),0))</f>
        <v>0</v>
      </c>
      <c r="K1073" s="9" t="str">
        <f t="shared" si="147"/>
        <v/>
      </c>
      <c r="L1073" s="9">
        <f t="shared" si="148"/>
        <v>0</v>
      </c>
      <c r="M1073" s="9">
        <f t="shared" si="149"/>
        <v>0</v>
      </c>
      <c r="N1073" s="9">
        <f t="array" ref="N1073">+SUM(IFERROR(VALUE(L1073:M1073),0))</f>
        <v>0</v>
      </c>
      <c r="P1073" s="9" t="str">
        <f t="shared" si="150"/>
        <v/>
      </c>
      <c r="Q1073" s="9">
        <f t="shared" si="151"/>
        <v>0</v>
      </c>
      <c r="R1073" s="9">
        <f t="shared" si="152"/>
        <v>0</v>
      </c>
      <c r="S1073" s="9">
        <f t="array" ref="S1073">+SUM(IFERROR(VALUE(Q1073:R1073),0))</f>
        <v>0</v>
      </c>
    </row>
    <row r="1074" spans="1:19">
      <c r="A1074" s="26"/>
      <c r="B1074" s="27"/>
      <c r="C1074" s="27"/>
      <c r="D1074" s="28"/>
      <c r="F1074" s="9" t="str">
        <f t="shared" si="144"/>
        <v/>
      </c>
      <c r="G1074" s="9">
        <f t="shared" si="145"/>
        <v>0</v>
      </c>
      <c r="H1074" s="9">
        <f t="shared" si="146"/>
        <v>0</v>
      </c>
      <c r="I1074" s="9">
        <f t="array" ref="I1074">+SUM(IFERROR(VALUE(G1074:H1074),0))</f>
        <v>0</v>
      </c>
      <c r="K1074" s="9" t="str">
        <f t="shared" si="147"/>
        <v/>
      </c>
      <c r="L1074" s="9">
        <f t="shared" si="148"/>
        <v>0</v>
      </c>
      <c r="M1074" s="9">
        <f t="shared" si="149"/>
        <v>0</v>
      </c>
      <c r="N1074" s="9">
        <f t="array" ref="N1074">+SUM(IFERROR(VALUE(L1074:M1074),0))</f>
        <v>0</v>
      </c>
      <c r="P1074" s="9" t="str">
        <f t="shared" si="150"/>
        <v/>
      </c>
      <c r="Q1074" s="9">
        <f t="shared" si="151"/>
        <v>0</v>
      </c>
      <c r="R1074" s="9">
        <f t="shared" si="152"/>
        <v>0</v>
      </c>
      <c r="S1074" s="9">
        <f t="array" ref="S1074">+SUM(IFERROR(VALUE(Q1074:R1074),0))</f>
        <v>0</v>
      </c>
    </row>
    <row r="1075" spans="1:19">
      <c r="A1075" s="26"/>
      <c r="B1075" s="27"/>
      <c r="C1075" s="27"/>
      <c r="D1075" s="28"/>
      <c r="F1075" s="9" t="str">
        <f t="shared" si="144"/>
        <v/>
      </c>
      <c r="G1075" s="9">
        <f t="shared" si="145"/>
        <v>0</v>
      </c>
      <c r="H1075" s="9">
        <f t="shared" si="146"/>
        <v>0</v>
      </c>
      <c r="I1075" s="9">
        <f t="array" ref="I1075">+SUM(IFERROR(VALUE(G1075:H1075),0))</f>
        <v>0</v>
      </c>
      <c r="K1075" s="9" t="str">
        <f t="shared" si="147"/>
        <v/>
      </c>
      <c r="L1075" s="9">
        <f t="shared" si="148"/>
        <v>0</v>
      </c>
      <c r="M1075" s="9">
        <f t="shared" si="149"/>
        <v>0</v>
      </c>
      <c r="N1075" s="9">
        <f t="array" ref="N1075">+SUM(IFERROR(VALUE(L1075:M1075),0))</f>
        <v>0</v>
      </c>
      <c r="P1075" s="9" t="str">
        <f t="shared" si="150"/>
        <v/>
      </c>
      <c r="Q1075" s="9">
        <f t="shared" si="151"/>
        <v>0</v>
      </c>
      <c r="R1075" s="9">
        <f t="shared" si="152"/>
        <v>0</v>
      </c>
      <c r="S1075" s="9">
        <f t="array" ref="S1075">+SUM(IFERROR(VALUE(Q1075:R1075),0))</f>
        <v>0</v>
      </c>
    </row>
    <row r="1076" spans="1:19">
      <c r="A1076" s="26"/>
      <c r="B1076" s="27"/>
      <c r="C1076" s="27"/>
      <c r="D1076" s="28"/>
      <c r="F1076" s="9" t="str">
        <f t="shared" si="144"/>
        <v/>
      </c>
      <c r="G1076" s="9">
        <f t="shared" si="145"/>
        <v>0</v>
      </c>
      <c r="H1076" s="9">
        <f t="shared" si="146"/>
        <v>0</v>
      </c>
      <c r="I1076" s="9">
        <f t="array" ref="I1076">+SUM(IFERROR(VALUE(G1076:H1076),0))</f>
        <v>0</v>
      </c>
      <c r="K1076" s="9" t="str">
        <f t="shared" si="147"/>
        <v/>
      </c>
      <c r="L1076" s="9">
        <f t="shared" si="148"/>
        <v>0</v>
      </c>
      <c r="M1076" s="9">
        <f t="shared" si="149"/>
        <v>0</v>
      </c>
      <c r="N1076" s="9">
        <f t="array" ref="N1076">+SUM(IFERROR(VALUE(L1076:M1076),0))</f>
        <v>0</v>
      </c>
      <c r="P1076" s="9" t="str">
        <f t="shared" si="150"/>
        <v/>
      </c>
      <c r="Q1076" s="9">
        <f t="shared" si="151"/>
        <v>0</v>
      </c>
      <c r="R1076" s="9">
        <f t="shared" si="152"/>
        <v>0</v>
      </c>
      <c r="S1076" s="9">
        <f t="array" ref="S1076">+SUM(IFERROR(VALUE(Q1076:R1076),0))</f>
        <v>0</v>
      </c>
    </row>
    <row r="1077" spans="1:19">
      <c r="A1077" s="26"/>
      <c r="B1077" s="27"/>
      <c r="C1077" s="27"/>
      <c r="D1077" s="28"/>
      <c r="F1077" s="9" t="str">
        <f t="shared" si="144"/>
        <v/>
      </c>
      <c r="G1077" s="9">
        <f t="shared" si="145"/>
        <v>0</v>
      </c>
      <c r="H1077" s="9">
        <f t="shared" si="146"/>
        <v>0</v>
      </c>
      <c r="I1077" s="9">
        <f t="array" ref="I1077">+SUM(IFERROR(VALUE(G1077:H1077),0))</f>
        <v>0</v>
      </c>
      <c r="K1077" s="9" t="str">
        <f t="shared" si="147"/>
        <v/>
      </c>
      <c r="L1077" s="9">
        <f t="shared" si="148"/>
        <v>0</v>
      </c>
      <c r="M1077" s="9">
        <f t="shared" si="149"/>
        <v>0</v>
      </c>
      <c r="N1077" s="9">
        <f t="array" ref="N1077">+SUM(IFERROR(VALUE(L1077:M1077),0))</f>
        <v>0</v>
      </c>
      <c r="P1077" s="9" t="str">
        <f t="shared" si="150"/>
        <v/>
      </c>
      <c r="Q1077" s="9">
        <f t="shared" si="151"/>
        <v>0</v>
      </c>
      <c r="R1077" s="9">
        <f t="shared" si="152"/>
        <v>0</v>
      </c>
      <c r="S1077" s="9">
        <f t="array" ref="S1077">+SUM(IFERROR(VALUE(Q1077:R1077),0))</f>
        <v>0</v>
      </c>
    </row>
    <row r="1078" spans="1:19">
      <c r="A1078" s="26"/>
      <c r="B1078" s="27"/>
      <c r="C1078" s="27"/>
      <c r="D1078" s="28"/>
      <c r="F1078" s="9" t="str">
        <f t="shared" si="144"/>
        <v/>
      </c>
      <c r="G1078" s="9">
        <f t="shared" si="145"/>
        <v>0</v>
      </c>
      <c r="H1078" s="9">
        <f t="shared" si="146"/>
        <v>0</v>
      </c>
      <c r="I1078" s="9">
        <f t="array" ref="I1078">+SUM(IFERROR(VALUE(G1078:H1078),0))</f>
        <v>0</v>
      </c>
      <c r="K1078" s="9" t="str">
        <f t="shared" si="147"/>
        <v/>
      </c>
      <c r="L1078" s="9">
        <f t="shared" si="148"/>
        <v>0</v>
      </c>
      <c r="M1078" s="9">
        <f t="shared" si="149"/>
        <v>0</v>
      </c>
      <c r="N1078" s="9">
        <f t="array" ref="N1078">+SUM(IFERROR(VALUE(L1078:M1078),0))</f>
        <v>0</v>
      </c>
      <c r="P1078" s="9" t="str">
        <f t="shared" si="150"/>
        <v/>
      </c>
      <c r="Q1078" s="9">
        <f t="shared" si="151"/>
        <v>0</v>
      </c>
      <c r="R1078" s="9">
        <f t="shared" si="152"/>
        <v>0</v>
      </c>
      <c r="S1078" s="9">
        <f t="array" ref="S1078">+SUM(IFERROR(VALUE(Q1078:R1078),0))</f>
        <v>0</v>
      </c>
    </row>
    <row r="1079" spans="1:19">
      <c r="A1079" s="26"/>
      <c r="B1079" s="27"/>
      <c r="C1079" s="27"/>
      <c r="D1079" s="28"/>
      <c r="F1079" s="9" t="str">
        <f t="shared" si="144"/>
        <v/>
      </c>
      <c r="G1079" s="9">
        <f t="shared" si="145"/>
        <v>0</v>
      </c>
      <c r="H1079" s="9">
        <f t="shared" si="146"/>
        <v>0</v>
      </c>
      <c r="I1079" s="9">
        <f t="array" ref="I1079">+SUM(IFERROR(VALUE(G1079:H1079),0))</f>
        <v>0</v>
      </c>
      <c r="K1079" s="9" t="str">
        <f t="shared" si="147"/>
        <v/>
      </c>
      <c r="L1079" s="9">
        <f t="shared" si="148"/>
        <v>0</v>
      </c>
      <c r="M1079" s="9">
        <f t="shared" si="149"/>
        <v>0</v>
      </c>
      <c r="N1079" s="9">
        <f t="array" ref="N1079">+SUM(IFERROR(VALUE(L1079:M1079),0))</f>
        <v>0</v>
      </c>
      <c r="P1079" s="9" t="str">
        <f t="shared" si="150"/>
        <v/>
      </c>
      <c r="Q1079" s="9">
        <f t="shared" si="151"/>
        <v>0</v>
      </c>
      <c r="R1079" s="9">
        <f t="shared" si="152"/>
        <v>0</v>
      </c>
      <c r="S1079" s="9">
        <f t="array" ref="S1079">+SUM(IFERROR(VALUE(Q1079:R1079),0))</f>
        <v>0</v>
      </c>
    </row>
    <row r="1080" spans="1:19">
      <c r="A1080" s="26"/>
      <c r="B1080" s="27"/>
      <c r="C1080" s="27"/>
      <c r="D1080" s="28"/>
      <c r="F1080" s="9" t="str">
        <f t="shared" si="144"/>
        <v/>
      </c>
      <c r="G1080" s="9">
        <f t="shared" si="145"/>
        <v>0</v>
      </c>
      <c r="H1080" s="9">
        <f t="shared" si="146"/>
        <v>0</v>
      </c>
      <c r="I1080" s="9">
        <f t="array" ref="I1080">+SUM(IFERROR(VALUE(G1080:H1080),0))</f>
        <v>0</v>
      </c>
      <c r="K1080" s="9" t="str">
        <f t="shared" si="147"/>
        <v/>
      </c>
      <c r="L1080" s="9">
        <f t="shared" si="148"/>
        <v>0</v>
      </c>
      <c r="M1080" s="9">
        <f t="shared" si="149"/>
        <v>0</v>
      </c>
      <c r="N1080" s="9">
        <f t="array" ref="N1080">+SUM(IFERROR(VALUE(L1080:M1080),0))</f>
        <v>0</v>
      </c>
      <c r="P1080" s="9" t="str">
        <f t="shared" si="150"/>
        <v/>
      </c>
      <c r="Q1080" s="9">
        <f t="shared" si="151"/>
        <v>0</v>
      </c>
      <c r="R1080" s="9">
        <f t="shared" si="152"/>
        <v>0</v>
      </c>
      <c r="S1080" s="9">
        <f t="array" ref="S1080">+SUM(IFERROR(VALUE(Q1080:R1080),0))</f>
        <v>0</v>
      </c>
    </row>
    <row r="1081" spans="1:19">
      <c r="A1081" s="26"/>
      <c r="B1081" s="27"/>
      <c r="C1081" s="27"/>
      <c r="D1081" s="28"/>
      <c r="F1081" s="9" t="str">
        <f t="shared" si="144"/>
        <v/>
      </c>
      <c r="G1081" s="9">
        <f t="shared" si="145"/>
        <v>0</v>
      </c>
      <c r="H1081" s="9">
        <f t="shared" si="146"/>
        <v>0</v>
      </c>
      <c r="I1081" s="9">
        <f t="array" ref="I1081">+SUM(IFERROR(VALUE(G1081:H1081),0))</f>
        <v>0</v>
      </c>
      <c r="K1081" s="9" t="str">
        <f t="shared" si="147"/>
        <v/>
      </c>
      <c r="L1081" s="9">
        <f t="shared" si="148"/>
        <v>0</v>
      </c>
      <c r="M1081" s="9">
        <f t="shared" si="149"/>
        <v>0</v>
      </c>
      <c r="N1081" s="9">
        <f t="array" ref="N1081">+SUM(IFERROR(VALUE(L1081:M1081),0))</f>
        <v>0</v>
      </c>
      <c r="P1081" s="9" t="str">
        <f t="shared" si="150"/>
        <v/>
      </c>
      <c r="Q1081" s="9">
        <f t="shared" si="151"/>
        <v>0</v>
      </c>
      <c r="R1081" s="9">
        <f t="shared" si="152"/>
        <v>0</v>
      </c>
      <c r="S1081" s="9">
        <f t="array" ref="S1081">+SUM(IFERROR(VALUE(Q1081:R1081),0))</f>
        <v>0</v>
      </c>
    </row>
    <row r="1082" spans="1:19">
      <c r="A1082" s="26"/>
      <c r="B1082" s="27"/>
      <c r="C1082" s="27"/>
      <c r="D1082" s="28"/>
      <c r="F1082" s="9" t="str">
        <f t="shared" si="144"/>
        <v/>
      </c>
      <c r="G1082" s="9">
        <f t="shared" si="145"/>
        <v>0</v>
      </c>
      <c r="H1082" s="9">
        <f t="shared" si="146"/>
        <v>0</v>
      </c>
      <c r="I1082" s="9">
        <f t="array" ref="I1082">+SUM(IFERROR(VALUE(G1082:H1082),0))</f>
        <v>0</v>
      </c>
      <c r="K1082" s="9" t="str">
        <f t="shared" si="147"/>
        <v/>
      </c>
      <c r="L1082" s="9">
        <f t="shared" si="148"/>
        <v>0</v>
      </c>
      <c r="M1082" s="9">
        <f t="shared" si="149"/>
        <v>0</v>
      </c>
      <c r="N1082" s="9">
        <f t="array" ref="N1082">+SUM(IFERROR(VALUE(L1082:M1082),0))</f>
        <v>0</v>
      </c>
      <c r="P1082" s="9" t="str">
        <f t="shared" si="150"/>
        <v/>
      </c>
      <c r="Q1082" s="9">
        <f t="shared" si="151"/>
        <v>0</v>
      </c>
      <c r="R1082" s="9">
        <f t="shared" si="152"/>
        <v>0</v>
      </c>
      <c r="S1082" s="9">
        <f t="array" ref="S1082">+SUM(IFERROR(VALUE(Q1082:R1082),0))</f>
        <v>0</v>
      </c>
    </row>
    <row r="1083" spans="1:19">
      <c r="A1083" s="26"/>
      <c r="B1083" s="27"/>
      <c r="C1083" s="27"/>
      <c r="D1083" s="28"/>
      <c r="F1083" s="9" t="str">
        <f t="shared" si="144"/>
        <v/>
      </c>
      <c r="G1083" s="9">
        <f t="shared" si="145"/>
        <v>0</v>
      </c>
      <c r="H1083" s="9">
        <f t="shared" si="146"/>
        <v>0</v>
      </c>
      <c r="I1083" s="9">
        <f t="array" ref="I1083">+SUM(IFERROR(VALUE(G1083:H1083),0))</f>
        <v>0</v>
      </c>
      <c r="K1083" s="9" t="str">
        <f t="shared" si="147"/>
        <v/>
      </c>
      <c r="L1083" s="9">
        <f t="shared" si="148"/>
        <v>0</v>
      </c>
      <c r="M1083" s="9">
        <f t="shared" si="149"/>
        <v>0</v>
      </c>
      <c r="N1083" s="9">
        <f t="array" ref="N1083">+SUM(IFERROR(VALUE(L1083:M1083),0))</f>
        <v>0</v>
      </c>
      <c r="P1083" s="9" t="str">
        <f t="shared" si="150"/>
        <v/>
      </c>
      <c r="Q1083" s="9">
        <f t="shared" si="151"/>
        <v>0</v>
      </c>
      <c r="R1083" s="9">
        <f t="shared" si="152"/>
        <v>0</v>
      </c>
      <c r="S1083" s="9">
        <f t="array" ref="S1083">+SUM(IFERROR(VALUE(Q1083:R1083),0))</f>
        <v>0</v>
      </c>
    </row>
    <row r="1084" spans="1:19">
      <c r="A1084" s="26"/>
      <c r="B1084" s="27"/>
      <c r="C1084" s="27"/>
      <c r="D1084" s="28"/>
      <c r="F1084" s="9" t="str">
        <f t="shared" si="144"/>
        <v/>
      </c>
      <c r="G1084" s="9">
        <f t="shared" si="145"/>
        <v>0</v>
      </c>
      <c r="H1084" s="9">
        <f t="shared" si="146"/>
        <v>0</v>
      </c>
      <c r="I1084" s="9">
        <f t="array" ref="I1084">+SUM(IFERROR(VALUE(G1084:H1084),0))</f>
        <v>0</v>
      </c>
      <c r="K1084" s="9" t="str">
        <f t="shared" si="147"/>
        <v/>
      </c>
      <c r="L1084" s="9">
        <f t="shared" si="148"/>
        <v>0</v>
      </c>
      <c r="M1084" s="9">
        <f t="shared" si="149"/>
        <v>0</v>
      </c>
      <c r="N1084" s="9">
        <f t="array" ref="N1084">+SUM(IFERROR(VALUE(L1084:M1084),0))</f>
        <v>0</v>
      </c>
      <c r="P1084" s="9" t="str">
        <f t="shared" si="150"/>
        <v/>
      </c>
      <c r="Q1084" s="9">
        <f t="shared" si="151"/>
        <v>0</v>
      </c>
      <c r="R1084" s="9">
        <f t="shared" si="152"/>
        <v>0</v>
      </c>
      <c r="S1084" s="9">
        <f t="array" ref="S1084">+SUM(IFERROR(VALUE(Q1084:R1084),0))</f>
        <v>0</v>
      </c>
    </row>
    <row r="1085" spans="1:19">
      <c r="A1085" s="26"/>
      <c r="B1085" s="27"/>
      <c r="C1085" s="27"/>
      <c r="D1085" s="28"/>
      <c r="F1085" s="9" t="str">
        <f t="shared" si="144"/>
        <v/>
      </c>
      <c r="G1085" s="9">
        <f t="shared" si="145"/>
        <v>0</v>
      </c>
      <c r="H1085" s="9">
        <f t="shared" si="146"/>
        <v>0</v>
      </c>
      <c r="I1085" s="9">
        <f t="array" ref="I1085">+SUM(IFERROR(VALUE(G1085:H1085),0))</f>
        <v>0</v>
      </c>
      <c r="K1085" s="9" t="str">
        <f t="shared" si="147"/>
        <v/>
      </c>
      <c r="L1085" s="9">
        <f t="shared" si="148"/>
        <v>0</v>
      </c>
      <c r="M1085" s="9">
        <f t="shared" si="149"/>
        <v>0</v>
      </c>
      <c r="N1085" s="9">
        <f t="array" ref="N1085">+SUM(IFERROR(VALUE(L1085:M1085),0))</f>
        <v>0</v>
      </c>
      <c r="P1085" s="9" t="str">
        <f t="shared" si="150"/>
        <v/>
      </c>
      <c r="Q1085" s="9">
        <f t="shared" si="151"/>
        <v>0</v>
      </c>
      <c r="R1085" s="9">
        <f t="shared" si="152"/>
        <v>0</v>
      </c>
      <c r="S1085" s="9">
        <f t="array" ref="S1085">+SUM(IFERROR(VALUE(Q1085:R1085),0))</f>
        <v>0</v>
      </c>
    </row>
    <row r="1086" spans="1:19">
      <c r="A1086" s="26"/>
      <c r="B1086" s="27"/>
      <c r="C1086" s="27"/>
      <c r="D1086" s="28"/>
      <c r="F1086" s="9" t="str">
        <f t="shared" si="144"/>
        <v/>
      </c>
      <c r="G1086" s="9">
        <f t="shared" si="145"/>
        <v>0</v>
      </c>
      <c r="H1086" s="9">
        <f t="shared" si="146"/>
        <v>0</v>
      </c>
      <c r="I1086" s="9">
        <f t="array" ref="I1086">+SUM(IFERROR(VALUE(G1086:H1086),0))</f>
        <v>0</v>
      </c>
      <c r="K1086" s="9" t="str">
        <f t="shared" si="147"/>
        <v/>
      </c>
      <c r="L1086" s="9">
        <f t="shared" si="148"/>
        <v>0</v>
      </c>
      <c r="M1086" s="9">
        <f t="shared" si="149"/>
        <v>0</v>
      </c>
      <c r="N1086" s="9">
        <f t="array" ref="N1086">+SUM(IFERROR(VALUE(L1086:M1086),0))</f>
        <v>0</v>
      </c>
      <c r="P1086" s="9" t="str">
        <f t="shared" si="150"/>
        <v/>
      </c>
      <c r="Q1086" s="9">
        <f t="shared" si="151"/>
        <v>0</v>
      </c>
      <c r="R1086" s="9">
        <f t="shared" si="152"/>
        <v>0</v>
      </c>
      <c r="S1086" s="9">
        <f t="array" ref="S1086">+SUM(IFERROR(VALUE(Q1086:R1086),0))</f>
        <v>0</v>
      </c>
    </row>
    <row r="1087" spans="1:19">
      <c r="A1087" s="26"/>
      <c r="B1087" s="27"/>
      <c r="C1087" s="27"/>
      <c r="D1087" s="28"/>
      <c r="F1087" s="9" t="str">
        <f t="shared" si="144"/>
        <v/>
      </c>
      <c r="G1087" s="9">
        <f t="shared" si="145"/>
        <v>0</v>
      </c>
      <c r="H1087" s="9">
        <f t="shared" si="146"/>
        <v>0</v>
      </c>
      <c r="I1087" s="9">
        <f t="array" ref="I1087">+SUM(IFERROR(VALUE(G1087:H1087),0))</f>
        <v>0</v>
      </c>
      <c r="K1087" s="9" t="str">
        <f t="shared" si="147"/>
        <v/>
      </c>
      <c r="L1087" s="9">
        <f t="shared" si="148"/>
        <v>0</v>
      </c>
      <c r="M1087" s="9">
        <f t="shared" si="149"/>
        <v>0</v>
      </c>
      <c r="N1087" s="9">
        <f t="array" ref="N1087">+SUM(IFERROR(VALUE(L1087:M1087),0))</f>
        <v>0</v>
      </c>
      <c r="P1087" s="9" t="str">
        <f t="shared" si="150"/>
        <v/>
      </c>
      <c r="Q1087" s="9">
        <f t="shared" si="151"/>
        <v>0</v>
      </c>
      <c r="R1087" s="9">
        <f t="shared" si="152"/>
        <v>0</v>
      </c>
      <c r="S1087" s="9">
        <f t="array" ref="S1087">+SUM(IFERROR(VALUE(Q1087:R1087),0))</f>
        <v>0</v>
      </c>
    </row>
    <row r="1088" spans="1:19">
      <c r="A1088" s="26"/>
      <c r="B1088" s="27"/>
      <c r="C1088" s="27"/>
      <c r="D1088" s="28"/>
      <c r="F1088" s="9" t="str">
        <f t="shared" si="144"/>
        <v/>
      </c>
      <c r="G1088" s="9">
        <f t="shared" si="145"/>
        <v>0</v>
      </c>
      <c r="H1088" s="9">
        <f t="shared" si="146"/>
        <v>0</v>
      </c>
      <c r="I1088" s="9">
        <f t="array" ref="I1088">+SUM(IFERROR(VALUE(G1088:H1088),0))</f>
        <v>0</v>
      </c>
      <c r="K1088" s="9" t="str">
        <f t="shared" si="147"/>
        <v/>
      </c>
      <c r="L1088" s="9">
        <f t="shared" si="148"/>
        <v>0</v>
      </c>
      <c r="M1088" s="9">
        <f t="shared" si="149"/>
        <v>0</v>
      </c>
      <c r="N1088" s="9">
        <f t="array" ref="N1088">+SUM(IFERROR(VALUE(L1088:M1088),0))</f>
        <v>0</v>
      </c>
      <c r="P1088" s="9" t="str">
        <f t="shared" si="150"/>
        <v/>
      </c>
      <c r="Q1088" s="9">
        <f t="shared" si="151"/>
        <v>0</v>
      </c>
      <c r="R1088" s="9">
        <f t="shared" si="152"/>
        <v>0</v>
      </c>
      <c r="S1088" s="9">
        <f t="array" ref="S1088">+SUM(IFERROR(VALUE(Q1088:R1088),0))</f>
        <v>0</v>
      </c>
    </row>
    <row r="1089" spans="1:19">
      <c r="A1089" s="26"/>
      <c r="B1089" s="27"/>
      <c r="C1089" s="27"/>
      <c r="D1089" s="28"/>
      <c r="F1089" s="9" t="str">
        <f t="shared" si="144"/>
        <v/>
      </c>
      <c r="G1089" s="9">
        <f t="shared" si="145"/>
        <v>0</v>
      </c>
      <c r="H1089" s="9">
        <f t="shared" si="146"/>
        <v>0</v>
      </c>
      <c r="I1089" s="9">
        <f t="array" ref="I1089">+SUM(IFERROR(VALUE(G1089:H1089),0))</f>
        <v>0</v>
      </c>
      <c r="K1089" s="9" t="str">
        <f t="shared" si="147"/>
        <v/>
      </c>
      <c r="L1089" s="9">
        <f t="shared" si="148"/>
        <v>0</v>
      </c>
      <c r="M1089" s="9">
        <f t="shared" si="149"/>
        <v>0</v>
      </c>
      <c r="N1089" s="9">
        <f t="array" ref="N1089">+SUM(IFERROR(VALUE(L1089:M1089),0))</f>
        <v>0</v>
      </c>
      <c r="P1089" s="9" t="str">
        <f t="shared" si="150"/>
        <v/>
      </c>
      <c r="Q1089" s="9">
        <f t="shared" si="151"/>
        <v>0</v>
      </c>
      <c r="R1089" s="9">
        <f t="shared" si="152"/>
        <v>0</v>
      </c>
      <c r="S1089" s="9">
        <f t="array" ref="S1089">+SUM(IFERROR(VALUE(Q1089:R1089),0))</f>
        <v>0</v>
      </c>
    </row>
    <row r="1090" spans="1:19">
      <c r="A1090" s="26"/>
      <c r="B1090" s="27"/>
      <c r="C1090" s="27"/>
      <c r="D1090" s="28"/>
      <c r="F1090" s="9" t="str">
        <f t="shared" si="144"/>
        <v/>
      </c>
      <c r="G1090" s="9">
        <f t="shared" si="145"/>
        <v>0</v>
      </c>
      <c r="H1090" s="9">
        <f t="shared" si="146"/>
        <v>0</v>
      </c>
      <c r="I1090" s="9">
        <f t="array" ref="I1090">+SUM(IFERROR(VALUE(G1090:H1090),0))</f>
        <v>0</v>
      </c>
      <c r="K1090" s="9" t="str">
        <f t="shared" si="147"/>
        <v/>
      </c>
      <c r="L1090" s="9">
        <f t="shared" si="148"/>
        <v>0</v>
      </c>
      <c r="M1090" s="9">
        <f t="shared" si="149"/>
        <v>0</v>
      </c>
      <c r="N1090" s="9">
        <f t="array" ref="N1090">+SUM(IFERROR(VALUE(L1090:M1090),0))</f>
        <v>0</v>
      </c>
      <c r="P1090" s="9" t="str">
        <f t="shared" si="150"/>
        <v/>
      </c>
      <c r="Q1090" s="9">
        <f t="shared" si="151"/>
        <v>0</v>
      </c>
      <c r="R1090" s="9">
        <f t="shared" si="152"/>
        <v>0</v>
      </c>
      <c r="S1090" s="9">
        <f t="array" ref="S1090">+SUM(IFERROR(VALUE(Q1090:R1090),0))</f>
        <v>0</v>
      </c>
    </row>
    <row r="1091" spans="1:19">
      <c r="A1091" s="26"/>
      <c r="B1091" s="27"/>
      <c r="C1091" s="27"/>
      <c r="D1091" s="28"/>
      <c r="F1091" s="9" t="str">
        <f t="shared" si="144"/>
        <v/>
      </c>
      <c r="G1091" s="9">
        <f t="shared" si="145"/>
        <v>0</v>
      </c>
      <c r="H1091" s="9">
        <f t="shared" si="146"/>
        <v>0</v>
      </c>
      <c r="I1091" s="9">
        <f t="array" ref="I1091">+SUM(IFERROR(VALUE(G1091:H1091),0))</f>
        <v>0</v>
      </c>
      <c r="K1091" s="9" t="str">
        <f t="shared" si="147"/>
        <v/>
      </c>
      <c r="L1091" s="9">
        <f t="shared" si="148"/>
        <v>0</v>
      </c>
      <c r="M1091" s="9">
        <f t="shared" si="149"/>
        <v>0</v>
      </c>
      <c r="N1091" s="9">
        <f t="array" ref="N1091">+SUM(IFERROR(VALUE(L1091:M1091),0))</f>
        <v>0</v>
      </c>
      <c r="P1091" s="9" t="str">
        <f t="shared" si="150"/>
        <v/>
      </c>
      <c r="Q1091" s="9">
        <f t="shared" si="151"/>
        <v>0</v>
      </c>
      <c r="R1091" s="9">
        <f t="shared" si="152"/>
        <v>0</v>
      </c>
      <c r="S1091" s="9">
        <f t="array" ref="S1091">+SUM(IFERROR(VALUE(Q1091:R1091),0))</f>
        <v>0</v>
      </c>
    </row>
    <row r="1092" spans="1:19">
      <c r="A1092" s="26"/>
      <c r="B1092" s="27"/>
      <c r="C1092" s="27"/>
      <c r="D1092" s="28"/>
      <c r="F1092" s="9" t="str">
        <f t="shared" si="144"/>
        <v/>
      </c>
      <c r="G1092" s="9">
        <f t="shared" si="145"/>
        <v>0</v>
      </c>
      <c r="H1092" s="9">
        <f t="shared" si="146"/>
        <v>0</v>
      </c>
      <c r="I1092" s="9">
        <f t="array" ref="I1092">+SUM(IFERROR(VALUE(G1092:H1092),0))</f>
        <v>0</v>
      </c>
      <c r="K1092" s="9" t="str">
        <f t="shared" si="147"/>
        <v/>
      </c>
      <c r="L1092" s="9">
        <f t="shared" si="148"/>
        <v>0</v>
      </c>
      <c r="M1092" s="9">
        <f t="shared" si="149"/>
        <v>0</v>
      </c>
      <c r="N1092" s="9">
        <f t="array" ref="N1092">+SUM(IFERROR(VALUE(L1092:M1092),0))</f>
        <v>0</v>
      </c>
      <c r="P1092" s="9" t="str">
        <f t="shared" si="150"/>
        <v/>
      </c>
      <c r="Q1092" s="9">
        <f t="shared" si="151"/>
        <v>0</v>
      </c>
      <c r="R1092" s="9">
        <f t="shared" si="152"/>
        <v>0</v>
      </c>
      <c r="S1092" s="9">
        <f t="array" ref="S1092">+SUM(IFERROR(VALUE(Q1092:R1092),0))</f>
        <v>0</v>
      </c>
    </row>
    <row r="1093" spans="1:19">
      <c r="A1093" s="26"/>
      <c r="B1093" s="27"/>
      <c r="C1093" s="27"/>
      <c r="D1093" s="28"/>
      <c r="F1093" s="9" t="str">
        <f t="shared" si="144"/>
        <v/>
      </c>
      <c r="G1093" s="9">
        <f t="shared" si="145"/>
        <v>0</v>
      </c>
      <c r="H1093" s="9">
        <f t="shared" si="146"/>
        <v>0</v>
      </c>
      <c r="I1093" s="9">
        <f t="array" ref="I1093">+SUM(IFERROR(VALUE(G1093:H1093),0))</f>
        <v>0</v>
      </c>
      <c r="K1093" s="9" t="str">
        <f t="shared" si="147"/>
        <v/>
      </c>
      <c r="L1093" s="9">
        <f t="shared" si="148"/>
        <v>0</v>
      </c>
      <c r="M1093" s="9">
        <f t="shared" si="149"/>
        <v>0</v>
      </c>
      <c r="N1093" s="9">
        <f t="array" ref="N1093">+SUM(IFERROR(VALUE(L1093:M1093),0))</f>
        <v>0</v>
      </c>
      <c r="P1093" s="9" t="str">
        <f t="shared" si="150"/>
        <v/>
      </c>
      <c r="Q1093" s="9">
        <f t="shared" si="151"/>
        <v>0</v>
      </c>
      <c r="R1093" s="9">
        <f t="shared" si="152"/>
        <v>0</v>
      </c>
      <c r="S1093" s="9">
        <f t="array" ref="S1093">+SUM(IFERROR(VALUE(Q1093:R1093),0))</f>
        <v>0</v>
      </c>
    </row>
    <row r="1094" spans="1:19">
      <c r="A1094" s="26"/>
      <c r="B1094" s="27"/>
      <c r="C1094" s="27"/>
      <c r="D1094" s="28"/>
      <c r="F1094" s="9" t="str">
        <f t="shared" ref="F1094:F1157" si="153">+LEFT(A1094,4)</f>
        <v/>
      </c>
      <c r="G1094" s="9">
        <f t="shared" ref="G1094:G1157" si="154">+C1094</f>
        <v>0</v>
      </c>
      <c r="H1094" s="9">
        <f t="shared" ref="H1094:H1157" si="155">-D1094</f>
        <v>0</v>
      </c>
      <c r="I1094" s="9">
        <f t="array" ref="I1094">+SUM(IFERROR(VALUE(G1094:H1094),0))</f>
        <v>0</v>
      </c>
      <c r="K1094" s="9" t="str">
        <f t="shared" ref="K1094:K1157" si="156">+LEFT(A1094,3)</f>
        <v/>
      </c>
      <c r="L1094" s="9">
        <f t="shared" ref="L1094:L1157" si="157">+C1094</f>
        <v>0</v>
      </c>
      <c r="M1094" s="9">
        <f t="shared" ref="M1094:M1157" si="158">-D1094</f>
        <v>0</v>
      </c>
      <c r="N1094" s="9">
        <f t="array" ref="N1094">+SUM(IFERROR(VALUE(L1094:M1094),0))</f>
        <v>0</v>
      </c>
      <c r="P1094" s="9" t="str">
        <f t="shared" ref="P1094:P1157" si="159">+LEFT(A1094,2)</f>
        <v/>
      </c>
      <c r="Q1094" s="9">
        <f t="shared" ref="Q1094:Q1157" si="160">+C1094</f>
        <v>0</v>
      </c>
      <c r="R1094" s="9">
        <f t="shared" ref="R1094:R1157" si="161">-D1094</f>
        <v>0</v>
      </c>
      <c r="S1094" s="9">
        <f t="array" ref="S1094">+SUM(IFERROR(VALUE(Q1094:R1094),0))</f>
        <v>0</v>
      </c>
    </row>
    <row r="1095" spans="1:19">
      <c r="A1095" s="26"/>
      <c r="B1095" s="27"/>
      <c r="C1095" s="27"/>
      <c r="D1095" s="28"/>
      <c r="F1095" s="9" t="str">
        <f t="shared" si="153"/>
        <v/>
      </c>
      <c r="G1095" s="9">
        <f t="shared" si="154"/>
        <v>0</v>
      </c>
      <c r="H1095" s="9">
        <f t="shared" si="155"/>
        <v>0</v>
      </c>
      <c r="I1095" s="9">
        <f t="array" ref="I1095">+SUM(IFERROR(VALUE(G1095:H1095),0))</f>
        <v>0</v>
      </c>
      <c r="K1095" s="9" t="str">
        <f t="shared" si="156"/>
        <v/>
      </c>
      <c r="L1095" s="9">
        <f t="shared" si="157"/>
        <v>0</v>
      </c>
      <c r="M1095" s="9">
        <f t="shared" si="158"/>
        <v>0</v>
      </c>
      <c r="N1095" s="9">
        <f t="array" ref="N1095">+SUM(IFERROR(VALUE(L1095:M1095),0))</f>
        <v>0</v>
      </c>
      <c r="P1095" s="9" t="str">
        <f t="shared" si="159"/>
        <v/>
      </c>
      <c r="Q1095" s="9">
        <f t="shared" si="160"/>
        <v>0</v>
      </c>
      <c r="R1095" s="9">
        <f t="shared" si="161"/>
        <v>0</v>
      </c>
      <c r="S1095" s="9">
        <f t="array" ref="S1095">+SUM(IFERROR(VALUE(Q1095:R1095),0))</f>
        <v>0</v>
      </c>
    </row>
    <row r="1096" spans="1:19">
      <c r="A1096" s="26"/>
      <c r="B1096" s="27"/>
      <c r="C1096" s="27"/>
      <c r="D1096" s="28"/>
      <c r="F1096" s="9" t="str">
        <f t="shared" si="153"/>
        <v/>
      </c>
      <c r="G1096" s="9">
        <f t="shared" si="154"/>
        <v>0</v>
      </c>
      <c r="H1096" s="9">
        <f t="shared" si="155"/>
        <v>0</v>
      </c>
      <c r="I1096" s="9">
        <f t="array" ref="I1096">+SUM(IFERROR(VALUE(G1096:H1096),0))</f>
        <v>0</v>
      </c>
      <c r="K1096" s="9" t="str">
        <f t="shared" si="156"/>
        <v/>
      </c>
      <c r="L1096" s="9">
        <f t="shared" si="157"/>
        <v>0</v>
      </c>
      <c r="M1096" s="9">
        <f t="shared" si="158"/>
        <v>0</v>
      </c>
      <c r="N1096" s="9">
        <f t="array" ref="N1096">+SUM(IFERROR(VALUE(L1096:M1096),0))</f>
        <v>0</v>
      </c>
      <c r="P1096" s="9" t="str">
        <f t="shared" si="159"/>
        <v/>
      </c>
      <c r="Q1096" s="9">
        <f t="shared" si="160"/>
        <v>0</v>
      </c>
      <c r="R1096" s="9">
        <f t="shared" si="161"/>
        <v>0</v>
      </c>
      <c r="S1096" s="9">
        <f t="array" ref="S1096">+SUM(IFERROR(VALUE(Q1096:R1096),0))</f>
        <v>0</v>
      </c>
    </row>
    <row r="1097" spans="1:19">
      <c r="A1097" s="26"/>
      <c r="B1097" s="27"/>
      <c r="C1097" s="27"/>
      <c r="D1097" s="28"/>
      <c r="F1097" s="9" t="str">
        <f t="shared" si="153"/>
        <v/>
      </c>
      <c r="G1097" s="9">
        <f t="shared" si="154"/>
        <v>0</v>
      </c>
      <c r="H1097" s="9">
        <f t="shared" si="155"/>
        <v>0</v>
      </c>
      <c r="I1097" s="9">
        <f t="array" ref="I1097">+SUM(IFERROR(VALUE(G1097:H1097),0))</f>
        <v>0</v>
      </c>
      <c r="K1097" s="9" t="str">
        <f t="shared" si="156"/>
        <v/>
      </c>
      <c r="L1097" s="9">
        <f t="shared" si="157"/>
        <v>0</v>
      </c>
      <c r="M1097" s="9">
        <f t="shared" si="158"/>
        <v>0</v>
      </c>
      <c r="N1097" s="9">
        <f t="array" ref="N1097">+SUM(IFERROR(VALUE(L1097:M1097),0))</f>
        <v>0</v>
      </c>
      <c r="P1097" s="9" t="str">
        <f t="shared" si="159"/>
        <v/>
      </c>
      <c r="Q1097" s="9">
        <f t="shared" si="160"/>
        <v>0</v>
      </c>
      <c r="R1097" s="9">
        <f t="shared" si="161"/>
        <v>0</v>
      </c>
      <c r="S1097" s="9">
        <f t="array" ref="S1097">+SUM(IFERROR(VALUE(Q1097:R1097),0))</f>
        <v>0</v>
      </c>
    </row>
    <row r="1098" spans="1:19">
      <c r="A1098" s="26"/>
      <c r="B1098" s="27"/>
      <c r="C1098" s="27"/>
      <c r="D1098" s="28"/>
      <c r="F1098" s="9" t="str">
        <f t="shared" si="153"/>
        <v/>
      </c>
      <c r="G1098" s="9">
        <f t="shared" si="154"/>
        <v>0</v>
      </c>
      <c r="H1098" s="9">
        <f t="shared" si="155"/>
        <v>0</v>
      </c>
      <c r="I1098" s="9">
        <f t="array" ref="I1098">+SUM(IFERROR(VALUE(G1098:H1098),0))</f>
        <v>0</v>
      </c>
      <c r="K1098" s="9" t="str">
        <f t="shared" si="156"/>
        <v/>
      </c>
      <c r="L1098" s="9">
        <f t="shared" si="157"/>
        <v>0</v>
      </c>
      <c r="M1098" s="9">
        <f t="shared" si="158"/>
        <v>0</v>
      </c>
      <c r="N1098" s="9">
        <f t="array" ref="N1098">+SUM(IFERROR(VALUE(L1098:M1098),0))</f>
        <v>0</v>
      </c>
      <c r="P1098" s="9" t="str">
        <f t="shared" si="159"/>
        <v/>
      </c>
      <c r="Q1098" s="9">
        <f t="shared" si="160"/>
        <v>0</v>
      </c>
      <c r="R1098" s="9">
        <f t="shared" si="161"/>
        <v>0</v>
      </c>
      <c r="S1098" s="9">
        <f t="array" ref="S1098">+SUM(IFERROR(VALUE(Q1098:R1098),0))</f>
        <v>0</v>
      </c>
    </row>
    <row r="1099" spans="1:19">
      <c r="A1099" s="26"/>
      <c r="B1099" s="27"/>
      <c r="C1099" s="27"/>
      <c r="D1099" s="28"/>
      <c r="F1099" s="9" t="str">
        <f t="shared" si="153"/>
        <v/>
      </c>
      <c r="G1099" s="9">
        <f t="shared" si="154"/>
        <v>0</v>
      </c>
      <c r="H1099" s="9">
        <f t="shared" si="155"/>
        <v>0</v>
      </c>
      <c r="I1099" s="9">
        <f t="array" ref="I1099">+SUM(IFERROR(VALUE(G1099:H1099),0))</f>
        <v>0</v>
      </c>
      <c r="K1099" s="9" t="str">
        <f t="shared" si="156"/>
        <v/>
      </c>
      <c r="L1099" s="9">
        <f t="shared" si="157"/>
        <v>0</v>
      </c>
      <c r="M1099" s="9">
        <f t="shared" si="158"/>
        <v>0</v>
      </c>
      <c r="N1099" s="9">
        <f t="array" ref="N1099">+SUM(IFERROR(VALUE(L1099:M1099),0))</f>
        <v>0</v>
      </c>
      <c r="P1099" s="9" t="str">
        <f t="shared" si="159"/>
        <v/>
      </c>
      <c r="Q1099" s="9">
        <f t="shared" si="160"/>
        <v>0</v>
      </c>
      <c r="R1099" s="9">
        <f t="shared" si="161"/>
        <v>0</v>
      </c>
      <c r="S1099" s="9">
        <f t="array" ref="S1099">+SUM(IFERROR(VALUE(Q1099:R1099),0))</f>
        <v>0</v>
      </c>
    </row>
    <row r="1100" spans="1:19">
      <c r="A1100" s="26"/>
      <c r="B1100" s="27"/>
      <c r="C1100" s="27"/>
      <c r="D1100" s="28"/>
      <c r="F1100" s="9" t="str">
        <f t="shared" si="153"/>
        <v/>
      </c>
      <c r="G1100" s="9">
        <f t="shared" si="154"/>
        <v>0</v>
      </c>
      <c r="H1100" s="9">
        <f t="shared" si="155"/>
        <v>0</v>
      </c>
      <c r="I1100" s="9">
        <f t="array" ref="I1100">+SUM(IFERROR(VALUE(G1100:H1100),0))</f>
        <v>0</v>
      </c>
      <c r="K1100" s="9" t="str">
        <f t="shared" si="156"/>
        <v/>
      </c>
      <c r="L1100" s="9">
        <f t="shared" si="157"/>
        <v>0</v>
      </c>
      <c r="M1100" s="9">
        <f t="shared" si="158"/>
        <v>0</v>
      </c>
      <c r="N1100" s="9">
        <f t="array" ref="N1100">+SUM(IFERROR(VALUE(L1100:M1100),0))</f>
        <v>0</v>
      </c>
      <c r="P1100" s="9" t="str">
        <f t="shared" si="159"/>
        <v/>
      </c>
      <c r="Q1100" s="9">
        <f t="shared" si="160"/>
        <v>0</v>
      </c>
      <c r="R1100" s="9">
        <f t="shared" si="161"/>
        <v>0</v>
      </c>
      <c r="S1100" s="9">
        <f t="array" ref="S1100">+SUM(IFERROR(VALUE(Q1100:R1100),0))</f>
        <v>0</v>
      </c>
    </row>
    <row r="1101" spans="1:19">
      <c r="A1101" s="26"/>
      <c r="B1101" s="27"/>
      <c r="C1101" s="27"/>
      <c r="D1101" s="28"/>
      <c r="F1101" s="9" t="str">
        <f t="shared" si="153"/>
        <v/>
      </c>
      <c r="G1101" s="9">
        <f t="shared" si="154"/>
        <v>0</v>
      </c>
      <c r="H1101" s="9">
        <f t="shared" si="155"/>
        <v>0</v>
      </c>
      <c r="I1101" s="9">
        <f t="array" ref="I1101">+SUM(IFERROR(VALUE(G1101:H1101),0))</f>
        <v>0</v>
      </c>
      <c r="K1101" s="9" t="str">
        <f t="shared" si="156"/>
        <v/>
      </c>
      <c r="L1101" s="9">
        <f t="shared" si="157"/>
        <v>0</v>
      </c>
      <c r="M1101" s="9">
        <f t="shared" si="158"/>
        <v>0</v>
      </c>
      <c r="N1101" s="9">
        <f t="array" ref="N1101">+SUM(IFERROR(VALUE(L1101:M1101),0))</f>
        <v>0</v>
      </c>
      <c r="P1101" s="9" t="str">
        <f t="shared" si="159"/>
        <v/>
      </c>
      <c r="Q1101" s="9">
        <f t="shared" si="160"/>
        <v>0</v>
      </c>
      <c r="R1101" s="9">
        <f t="shared" si="161"/>
        <v>0</v>
      </c>
      <c r="S1101" s="9">
        <f t="array" ref="S1101">+SUM(IFERROR(VALUE(Q1101:R1101),0))</f>
        <v>0</v>
      </c>
    </row>
    <row r="1102" spans="1:19">
      <c r="A1102" s="26"/>
      <c r="B1102" s="27"/>
      <c r="C1102" s="27"/>
      <c r="D1102" s="28"/>
      <c r="F1102" s="9" t="str">
        <f t="shared" si="153"/>
        <v/>
      </c>
      <c r="G1102" s="9">
        <f t="shared" si="154"/>
        <v>0</v>
      </c>
      <c r="H1102" s="9">
        <f t="shared" si="155"/>
        <v>0</v>
      </c>
      <c r="I1102" s="9">
        <f t="array" ref="I1102">+SUM(IFERROR(VALUE(G1102:H1102),0))</f>
        <v>0</v>
      </c>
      <c r="K1102" s="9" t="str">
        <f t="shared" si="156"/>
        <v/>
      </c>
      <c r="L1102" s="9">
        <f t="shared" si="157"/>
        <v>0</v>
      </c>
      <c r="M1102" s="9">
        <f t="shared" si="158"/>
        <v>0</v>
      </c>
      <c r="N1102" s="9">
        <f t="array" ref="N1102">+SUM(IFERROR(VALUE(L1102:M1102),0))</f>
        <v>0</v>
      </c>
      <c r="P1102" s="9" t="str">
        <f t="shared" si="159"/>
        <v/>
      </c>
      <c r="Q1102" s="9">
        <f t="shared" si="160"/>
        <v>0</v>
      </c>
      <c r="R1102" s="9">
        <f t="shared" si="161"/>
        <v>0</v>
      </c>
      <c r="S1102" s="9">
        <f t="array" ref="S1102">+SUM(IFERROR(VALUE(Q1102:R1102),0))</f>
        <v>0</v>
      </c>
    </row>
    <row r="1103" spans="1:19">
      <c r="A1103" s="26"/>
      <c r="B1103" s="27"/>
      <c r="C1103" s="27"/>
      <c r="D1103" s="28"/>
      <c r="F1103" s="9" t="str">
        <f t="shared" si="153"/>
        <v/>
      </c>
      <c r="G1103" s="9">
        <f t="shared" si="154"/>
        <v>0</v>
      </c>
      <c r="H1103" s="9">
        <f t="shared" si="155"/>
        <v>0</v>
      </c>
      <c r="I1103" s="9">
        <f t="array" ref="I1103">+SUM(IFERROR(VALUE(G1103:H1103),0))</f>
        <v>0</v>
      </c>
      <c r="K1103" s="9" t="str">
        <f t="shared" si="156"/>
        <v/>
      </c>
      <c r="L1103" s="9">
        <f t="shared" si="157"/>
        <v>0</v>
      </c>
      <c r="M1103" s="9">
        <f t="shared" si="158"/>
        <v>0</v>
      </c>
      <c r="N1103" s="9">
        <f t="array" ref="N1103">+SUM(IFERROR(VALUE(L1103:M1103),0))</f>
        <v>0</v>
      </c>
      <c r="P1103" s="9" t="str">
        <f t="shared" si="159"/>
        <v/>
      </c>
      <c r="Q1103" s="9">
        <f t="shared" si="160"/>
        <v>0</v>
      </c>
      <c r="R1103" s="9">
        <f t="shared" si="161"/>
        <v>0</v>
      </c>
      <c r="S1103" s="9">
        <f t="array" ref="S1103">+SUM(IFERROR(VALUE(Q1103:R1103),0))</f>
        <v>0</v>
      </c>
    </row>
    <row r="1104" spans="1:19">
      <c r="A1104" s="26"/>
      <c r="B1104" s="27"/>
      <c r="C1104" s="27"/>
      <c r="D1104" s="28"/>
      <c r="F1104" s="9" t="str">
        <f t="shared" si="153"/>
        <v/>
      </c>
      <c r="G1104" s="9">
        <f t="shared" si="154"/>
        <v>0</v>
      </c>
      <c r="H1104" s="9">
        <f t="shared" si="155"/>
        <v>0</v>
      </c>
      <c r="I1104" s="9">
        <f t="array" ref="I1104">+SUM(IFERROR(VALUE(G1104:H1104),0))</f>
        <v>0</v>
      </c>
      <c r="K1104" s="9" t="str">
        <f t="shared" si="156"/>
        <v/>
      </c>
      <c r="L1104" s="9">
        <f t="shared" si="157"/>
        <v>0</v>
      </c>
      <c r="M1104" s="9">
        <f t="shared" si="158"/>
        <v>0</v>
      </c>
      <c r="N1104" s="9">
        <f t="array" ref="N1104">+SUM(IFERROR(VALUE(L1104:M1104),0))</f>
        <v>0</v>
      </c>
      <c r="P1104" s="9" t="str">
        <f t="shared" si="159"/>
        <v/>
      </c>
      <c r="Q1104" s="9">
        <f t="shared" si="160"/>
        <v>0</v>
      </c>
      <c r="R1104" s="9">
        <f t="shared" si="161"/>
        <v>0</v>
      </c>
      <c r="S1104" s="9">
        <f t="array" ref="S1104">+SUM(IFERROR(VALUE(Q1104:R1104),0))</f>
        <v>0</v>
      </c>
    </row>
    <row r="1105" spans="1:19">
      <c r="A1105" s="26"/>
      <c r="B1105" s="27"/>
      <c r="C1105" s="27"/>
      <c r="D1105" s="28"/>
      <c r="F1105" s="9" t="str">
        <f t="shared" si="153"/>
        <v/>
      </c>
      <c r="G1105" s="9">
        <f t="shared" si="154"/>
        <v>0</v>
      </c>
      <c r="H1105" s="9">
        <f t="shared" si="155"/>
        <v>0</v>
      </c>
      <c r="I1105" s="9">
        <f t="array" ref="I1105">+SUM(IFERROR(VALUE(G1105:H1105),0))</f>
        <v>0</v>
      </c>
      <c r="K1105" s="9" t="str">
        <f t="shared" si="156"/>
        <v/>
      </c>
      <c r="L1105" s="9">
        <f t="shared" si="157"/>
        <v>0</v>
      </c>
      <c r="M1105" s="9">
        <f t="shared" si="158"/>
        <v>0</v>
      </c>
      <c r="N1105" s="9">
        <f t="array" ref="N1105">+SUM(IFERROR(VALUE(L1105:M1105),0))</f>
        <v>0</v>
      </c>
      <c r="P1105" s="9" t="str">
        <f t="shared" si="159"/>
        <v/>
      </c>
      <c r="Q1105" s="9">
        <f t="shared" si="160"/>
        <v>0</v>
      </c>
      <c r="R1105" s="9">
        <f t="shared" si="161"/>
        <v>0</v>
      </c>
      <c r="S1105" s="9">
        <f t="array" ref="S1105">+SUM(IFERROR(VALUE(Q1105:R1105),0))</f>
        <v>0</v>
      </c>
    </row>
    <row r="1106" spans="1:19">
      <c r="A1106" s="26"/>
      <c r="B1106" s="27"/>
      <c r="C1106" s="27"/>
      <c r="D1106" s="28"/>
      <c r="F1106" s="9" t="str">
        <f t="shared" si="153"/>
        <v/>
      </c>
      <c r="G1106" s="9">
        <f t="shared" si="154"/>
        <v>0</v>
      </c>
      <c r="H1106" s="9">
        <f t="shared" si="155"/>
        <v>0</v>
      </c>
      <c r="I1106" s="9">
        <f t="array" ref="I1106">+SUM(IFERROR(VALUE(G1106:H1106),0))</f>
        <v>0</v>
      </c>
      <c r="K1106" s="9" t="str">
        <f t="shared" si="156"/>
        <v/>
      </c>
      <c r="L1106" s="9">
        <f t="shared" si="157"/>
        <v>0</v>
      </c>
      <c r="M1106" s="9">
        <f t="shared" si="158"/>
        <v>0</v>
      </c>
      <c r="N1106" s="9">
        <f t="array" ref="N1106">+SUM(IFERROR(VALUE(L1106:M1106),0))</f>
        <v>0</v>
      </c>
      <c r="P1106" s="9" t="str">
        <f t="shared" si="159"/>
        <v/>
      </c>
      <c r="Q1106" s="9">
        <f t="shared" si="160"/>
        <v>0</v>
      </c>
      <c r="R1106" s="9">
        <f t="shared" si="161"/>
        <v>0</v>
      </c>
      <c r="S1106" s="9">
        <f t="array" ref="S1106">+SUM(IFERROR(VALUE(Q1106:R1106),0))</f>
        <v>0</v>
      </c>
    </row>
    <row r="1107" spans="1:19">
      <c r="A1107" s="26"/>
      <c r="B1107" s="27"/>
      <c r="C1107" s="27"/>
      <c r="D1107" s="28"/>
      <c r="F1107" s="9" t="str">
        <f t="shared" si="153"/>
        <v/>
      </c>
      <c r="G1107" s="9">
        <f t="shared" si="154"/>
        <v>0</v>
      </c>
      <c r="H1107" s="9">
        <f t="shared" si="155"/>
        <v>0</v>
      </c>
      <c r="I1107" s="9">
        <f t="array" ref="I1107">+SUM(IFERROR(VALUE(G1107:H1107),0))</f>
        <v>0</v>
      </c>
      <c r="K1107" s="9" t="str">
        <f t="shared" si="156"/>
        <v/>
      </c>
      <c r="L1107" s="9">
        <f t="shared" si="157"/>
        <v>0</v>
      </c>
      <c r="M1107" s="9">
        <f t="shared" si="158"/>
        <v>0</v>
      </c>
      <c r="N1107" s="9">
        <f t="array" ref="N1107">+SUM(IFERROR(VALUE(L1107:M1107),0))</f>
        <v>0</v>
      </c>
      <c r="P1107" s="9" t="str">
        <f t="shared" si="159"/>
        <v/>
      </c>
      <c r="Q1107" s="9">
        <f t="shared" si="160"/>
        <v>0</v>
      </c>
      <c r="R1107" s="9">
        <f t="shared" si="161"/>
        <v>0</v>
      </c>
      <c r="S1107" s="9">
        <f t="array" ref="S1107">+SUM(IFERROR(VALUE(Q1107:R1107),0))</f>
        <v>0</v>
      </c>
    </row>
    <row r="1108" spans="1:19">
      <c r="A1108" s="26"/>
      <c r="B1108" s="27"/>
      <c r="C1108" s="27"/>
      <c r="D1108" s="28"/>
      <c r="F1108" s="9" t="str">
        <f t="shared" si="153"/>
        <v/>
      </c>
      <c r="G1108" s="9">
        <f t="shared" si="154"/>
        <v>0</v>
      </c>
      <c r="H1108" s="9">
        <f t="shared" si="155"/>
        <v>0</v>
      </c>
      <c r="I1108" s="9">
        <f t="array" ref="I1108">+SUM(IFERROR(VALUE(G1108:H1108),0))</f>
        <v>0</v>
      </c>
      <c r="K1108" s="9" t="str">
        <f t="shared" si="156"/>
        <v/>
      </c>
      <c r="L1108" s="9">
        <f t="shared" si="157"/>
        <v>0</v>
      </c>
      <c r="M1108" s="9">
        <f t="shared" si="158"/>
        <v>0</v>
      </c>
      <c r="N1108" s="9">
        <f t="array" ref="N1108">+SUM(IFERROR(VALUE(L1108:M1108),0))</f>
        <v>0</v>
      </c>
      <c r="P1108" s="9" t="str">
        <f t="shared" si="159"/>
        <v/>
      </c>
      <c r="Q1108" s="9">
        <f t="shared" si="160"/>
        <v>0</v>
      </c>
      <c r="R1108" s="9">
        <f t="shared" si="161"/>
        <v>0</v>
      </c>
      <c r="S1108" s="9">
        <f t="array" ref="S1108">+SUM(IFERROR(VALUE(Q1108:R1108),0))</f>
        <v>0</v>
      </c>
    </row>
    <row r="1109" spans="1:19">
      <c r="A1109" s="26"/>
      <c r="B1109" s="27"/>
      <c r="C1109" s="27"/>
      <c r="D1109" s="28"/>
      <c r="F1109" s="9" t="str">
        <f t="shared" si="153"/>
        <v/>
      </c>
      <c r="G1109" s="9">
        <f t="shared" si="154"/>
        <v>0</v>
      </c>
      <c r="H1109" s="9">
        <f t="shared" si="155"/>
        <v>0</v>
      </c>
      <c r="I1109" s="9">
        <f t="array" ref="I1109">+SUM(IFERROR(VALUE(G1109:H1109),0))</f>
        <v>0</v>
      </c>
      <c r="K1109" s="9" t="str">
        <f t="shared" si="156"/>
        <v/>
      </c>
      <c r="L1109" s="9">
        <f t="shared" si="157"/>
        <v>0</v>
      </c>
      <c r="M1109" s="9">
        <f t="shared" si="158"/>
        <v>0</v>
      </c>
      <c r="N1109" s="9">
        <f t="array" ref="N1109">+SUM(IFERROR(VALUE(L1109:M1109),0))</f>
        <v>0</v>
      </c>
      <c r="P1109" s="9" t="str">
        <f t="shared" si="159"/>
        <v/>
      </c>
      <c r="Q1109" s="9">
        <f t="shared" si="160"/>
        <v>0</v>
      </c>
      <c r="R1109" s="9">
        <f t="shared" si="161"/>
        <v>0</v>
      </c>
      <c r="S1109" s="9">
        <f t="array" ref="S1109">+SUM(IFERROR(VALUE(Q1109:R1109),0))</f>
        <v>0</v>
      </c>
    </row>
    <row r="1110" spans="1:19">
      <c r="A1110" s="26"/>
      <c r="B1110" s="27"/>
      <c r="C1110" s="27"/>
      <c r="D1110" s="28"/>
      <c r="F1110" s="9" t="str">
        <f t="shared" si="153"/>
        <v/>
      </c>
      <c r="G1110" s="9">
        <f t="shared" si="154"/>
        <v>0</v>
      </c>
      <c r="H1110" s="9">
        <f t="shared" si="155"/>
        <v>0</v>
      </c>
      <c r="I1110" s="9">
        <f t="array" ref="I1110">+SUM(IFERROR(VALUE(G1110:H1110),0))</f>
        <v>0</v>
      </c>
      <c r="K1110" s="9" t="str">
        <f t="shared" si="156"/>
        <v/>
      </c>
      <c r="L1110" s="9">
        <f t="shared" si="157"/>
        <v>0</v>
      </c>
      <c r="M1110" s="9">
        <f t="shared" si="158"/>
        <v>0</v>
      </c>
      <c r="N1110" s="9">
        <f t="array" ref="N1110">+SUM(IFERROR(VALUE(L1110:M1110),0))</f>
        <v>0</v>
      </c>
      <c r="P1110" s="9" t="str">
        <f t="shared" si="159"/>
        <v/>
      </c>
      <c r="Q1110" s="9">
        <f t="shared" si="160"/>
        <v>0</v>
      </c>
      <c r="R1110" s="9">
        <f t="shared" si="161"/>
        <v>0</v>
      </c>
      <c r="S1110" s="9">
        <f t="array" ref="S1110">+SUM(IFERROR(VALUE(Q1110:R1110),0))</f>
        <v>0</v>
      </c>
    </row>
    <row r="1111" spans="1:19">
      <c r="A1111" s="26"/>
      <c r="B1111" s="27"/>
      <c r="C1111" s="27"/>
      <c r="D1111" s="28"/>
      <c r="F1111" s="9" t="str">
        <f t="shared" si="153"/>
        <v/>
      </c>
      <c r="G1111" s="9">
        <f t="shared" si="154"/>
        <v>0</v>
      </c>
      <c r="H1111" s="9">
        <f t="shared" si="155"/>
        <v>0</v>
      </c>
      <c r="I1111" s="9">
        <f t="array" ref="I1111">+SUM(IFERROR(VALUE(G1111:H1111),0))</f>
        <v>0</v>
      </c>
      <c r="K1111" s="9" t="str">
        <f t="shared" si="156"/>
        <v/>
      </c>
      <c r="L1111" s="9">
        <f t="shared" si="157"/>
        <v>0</v>
      </c>
      <c r="M1111" s="9">
        <f t="shared" si="158"/>
        <v>0</v>
      </c>
      <c r="N1111" s="9">
        <f t="array" ref="N1111">+SUM(IFERROR(VALUE(L1111:M1111),0))</f>
        <v>0</v>
      </c>
      <c r="P1111" s="9" t="str">
        <f t="shared" si="159"/>
        <v/>
      </c>
      <c r="Q1111" s="9">
        <f t="shared" si="160"/>
        <v>0</v>
      </c>
      <c r="R1111" s="9">
        <f t="shared" si="161"/>
        <v>0</v>
      </c>
      <c r="S1111" s="9">
        <f t="array" ref="S1111">+SUM(IFERROR(VALUE(Q1111:R1111),0))</f>
        <v>0</v>
      </c>
    </row>
    <row r="1112" spans="1:19">
      <c r="A1112" s="26"/>
      <c r="B1112" s="27"/>
      <c r="C1112" s="27"/>
      <c r="D1112" s="28"/>
      <c r="F1112" s="9" t="str">
        <f t="shared" si="153"/>
        <v/>
      </c>
      <c r="G1112" s="9">
        <f t="shared" si="154"/>
        <v>0</v>
      </c>
      <c r="H1112" s="9">
        <f t="shared" si="155"/>
        <v>0</v>
      </c>
      <c r="I1112" s="9">
        <f t="array" ref="I1112">+SUM(IFERROR(VALUE(G1112:H1112),0))</f>
        <v>0</v>
      </c>
      <c r="K1112" s="9" t="str">
        <f t="shared" si="156"/>
        <v/>
      </c>
      <c r="L1112" s="9">
        <f t="shared" si="157"/>
        <v>0</v>
      </c>
      <c r="M1112" s="9">
        <f t="shared" si="158"/>
        <v>0</v>
      </c>
      <c r="N1112" s="9">
        <f t="array" ref="N1112">+SUM(IFERROR(VALUE(L1112:M1112),0))</f>
        <v>0</v>
      </c>
      <c r="P1112" s="9" t="str">
        <f t="shared" si="159"/>
        <v/>
      </c>
      <c r="Q1112" s="9">
        <f t="shared" si="160"/>
        <v>0</v>
      </c>
      <c r="R1112" s="9">
        <f t="shared" si="161"/>
        <v>0</v>
      </c>
      <c r="S1112" s="9">
        <f t="array" ref="S1112">+SUM(IFERROR(VALUE(Q1112:R1112),0))</f>
        <v>0</v>
      </c>
    </row>
    <row r="1113" spans="1:19">
      <c r="A1113" s="26"/>
      <c r="B1113" s="27"/>
      <c r="C1113" s="27"/>
      <c r="D1113" s="28"/>
      <c r="F1113" s="9" t="str">
        <f t="shared" si="153"/>
        <v/>
      </c>
      <c r="G1113" s="9">
        <f t="shared" si="154"/>
        <v>0</v>
      </c>
      <c r="H1113" s="9">
        <f t="shared" si="155"/>
        <v>0</v>
      </c>
      <c r="I1113" s="9">
        <f t="array" ref="I1113">+SUM(IFERROR(VALUE(G1113:H1113),0))</f>
        <v>0</v>
      </c>
      <c r="K1113" s="9" t="str">
        <f t="shared" si="156"/>
        <v/>
      </c>
      <c r="L1113" s="9">
        <f t="shared" si="157"/>
        <v>0</v>
      </c>
      <c r="M1113" s="9">
        <f t="shared" si="158"/>
        <v>0</v>
      </c>
      <c r="N1113" s="9">
        <f t="array" ref="N1113">+SUM(IFERROR(VALUE(L1113:M1113),0))</f>
        <v>0</v>
      </c>
      <c r="P1113" s="9" t="str">
        <f t="shared" si="159"/>
        <v/>
      </c>
      <c r="Q1113" s="9">
        <f t="shared" si="160"/>
        <v>0</v>
      </c>
      <c r="R1113" s="9">
        <f t="shared" si="161"/>
        <v>0</v>
      </c>
      <c r="S1113" s="9">
        <f t="array" ref="S1113">+SUM(IFERROR(VALUE(Q1113:R1113),0))</f>
        <v>0</v>
      </c>
    </row>
    <row r="1114" spans="1:19">
      <c r="A1114" s="26"/>
      <c r="B1114" s="27"/>
      <c r="C1114" s="27"/>
      <c r="D1114" s="28"/>
      <c r="F1114" s="9" t="str">
        <f t="shared" si="153"/>
        <v/>
      </c>
      <c r="G1114" s="9">
        <f t="shared" si="154"/>
        <v>0</v>
      </c>
      <c r="H1114" s="9">
        <f t="shared" si="155"/>
        <v>0</v>
      </c>
      <c r="I1114" s="9">
        <f t="array" ref="I1114">+SUM(IFERROR(VALUE(G1114:H1114),0))</f>
        <v>0</v>
      </c>
      <c r="K1114" s="9" t="str">
        <f t="shared" si="156"/>
        <v/>
      </c>
      <c r="L1114" s="9">
        <f t="shared" si="157"/>
        <v>0</v>
      </c>
      <c r="M1114" s="9">
        <f t="shared" si="158"/>
        <v>0</v>
      </c>
      <c r="N1114" s="9">
        <f t="array" ref="N1114">+SUM(IFERROR(VALUE(L1114:M1114),0))</f>
        <v>0</v>
      </c>
      <c r="P1114" s="9" t="str">
        <f t="shared" si="159"/>
        <v/>
      </c>
      <c r="Q1114" s="9">
        <f t="shared" si="160"/>
        <v>0</v>
      </c>
      <c r="R1114" s="9">
        <f t="shared" si="161"/>
        <v>0</v>
      </c>
      <c r="S1114" s="9">
        <f t="array" ref="S1114">+SUM(IFERROR(VALUE(Q1114:R1114),0))</f>
        <v>0</v>
      </c>
    </row>
    <row r="1115" spans="1:19">
      <c r="A1115" s="26"/>
      <c r="B1115" s="27"/>
      <c r="C1115" s="27"/>
      <c r="D1115" s="28"/>
      <c r="F1115" s="9" t="str">
        <f t="shared" si="153"/>
        <v/>
      </c>
      <c r="G1115" s="9">
        <f t="shared" si="154"/>
        <v>0</v>
      </c>
      <c r="H1115" s="9">
        <f t="shared" si="155"/>
        <v>0</v>
      </c>
      <c r="I1115" s="9">
        <f t="array" ref="I1115">+SUM(IFERROR(VALUE(G1115:H1115),0))</f>
        <v>0</v>
      </c>
      <c r="K1115" s="9" t="str">
        <f t="shared" si="156"/>
        <v/>
      </c>
      <c r="L1115" s="9">
        <f t="shared" si="157"/>
        <v>0</v>
      </c>
      <c r="M1115" s="9">
        <f t="shared" si="158"/>
        <v>0</v>
      </c>
      <c r="N1115" s="9">
        <f t="array" ref="N1115">+SUM(IFERROR(VALUE(L1115:M1115),0))</f>
        <v>0</v>
      </c>
      <c r="P1115" s="9" t="str">
        <f t="shared" si="159"/>
        <v/>
      </c>
      <c r="Q1115" s="9">
        <f t="shared" si="160"/>
        <v>0</v>
      </c>
      <c r="R1115" s="9">
        <f t="shared" si="161"/>
        <v>0</v>
      </c>
      <c r="S1115" s="9">
        <f t="array" ref="S1115">+SUM(IFERROR(VALUE(Q1115:R1115),0))</f>
        <v>0</v>
      </c>
    </row>
    <row r="1116" spans="1:19">
      <c r="A1116" s="26"/>
      <c r="B1116" s="27"/>
      <c r="C1116" s="27"/>
      <c r="D1116" s="28"/>
      <c r="F1116" s="9" t="str">
        <f t="shared" si="153"/>
        <v/>
      </c>
      <c r="G1116" s="9">
        <f t="shared" si="154"/>
        <v>0</v>
      </c>
      <c r="H1116" s="9">
        <f t="shared" si="155"/>
        <v>0</v>
      </c>
      <c r="I1116" s="9">
        <f t="array" ref="I1116">+SUM(IFERROR(VALUE(G1116:H1116),0))</f>
        <v>0</v>
      </c>
      <c r="K1116" s="9" t="str">
        <f t="shared" si="156"/>
        <v/>
      </c>
      <c r="L1116" s="9">
        <f t="shared" si="157"/>
        <v>0</v>
      </c>
      <c r="M1116" s="9">
        <f t="shared" si="158"/>
        <v>0</v>
      </c>
      <c r="N1116" s="9">
        <f t="array" ref="N1116">+SUM(IFERROR(VALUE(L1116:M1116),0))</f>
        <v>0</v>
      </c>
      <c r="P1116" s="9" t="str">
        <f t="shared" si="159"/>
        <v/>
      </c>
      <c r="Q1116" s="9">
        <f t="shared" si="160"/>
        <v>0</v>
      </c>
      <c r="R1116" s="9">
        <f t="shared" si="161"/>
        <v>0</v>
      </c>
      <c r="S1116" s="9">
        <f t="array" ref="S1116">+SUM(IFERROR(VALUE(Q1116:R1116),0))</f>
        <v>0</v>
      </c>
    </row>
    <row r="1117" spans="1:19">
      <c r="A1117" s="26"/>
      <c r="B1117" s="27"/>
      <c r="C1117" s="27"/>
      <c r="D1117" s="28"/>
      <c r="F1117" s="9" t="str">
        <f t="shared" si="153"/>
        <v/>
      </c>
      <c r="G1117" s="9">
        <f t="shared" si="154"/>
        <v>0</v>
      </c>
      <c r="H1117" s="9">
        <f t="shared" si="155"/>
        <v>0</v>
      </c>
      <c r="I1117" s="9">
        <f t="array" ref="I1117">+SUM(IFERROR(VALUE(G1117:H1117),0))</f>
        <v>0</v>
      </c>
      <c r="K1117" s="9" t="str">
        <f t="shared" si="156"/>
        <v/>
      </c>
      <c r="L1117" s="9">
        <f t="shared" si="157"/>
        <v>0</v>
      </c>
      <c r="M1117" s="9">
        <f t="shared" si="158"/>
        <v>0</v>
      </c>
      <c r="N1117" s="9">
        <f t="array" ref="N1117">+SUM(IFERROR(VALUE(L1117:M1117),0))</f>
        <v>0</v>
      </c>
      <c r="P1117" s="9" t="str">
        <f t="shared" si="159"/>
        <v/>
      </c>
      <c r="Q1117" s="9">
        <f t="shared" si="160"/>
        <v>0</v>
      </c>
      <c r="R1117" s="9">
        <f t="shared" si="161"/>
        <v>0</v>
      </c>
      <c r="S1117" s="9">
        <f t="array" ref="S1117">+SUM(IFERROR(VALUE(Q1117:R1117),0))</f>
        <v>0</v>
      </c>
    </row>
    <row r="1118" spans="1:19">
      <c r="A1118" s="26"/>
      <c r="B1118" s="27"/>
      <c r="C1118" s="27"/>
      <c r="D1118" s="28"/>
      <c r="F1118" s="9" t="str">
        <f t="shared" si="153"/>
        <v/>
      </c>
      <c r="G1118" s="9">
        <f t="shared" si="154"/>
        <v>0</v>
      </c>
      <c r="H1118" s="9">
        <f t="shared" si="155"/>
        <v>0</v>
      </c>
      <c r="I1118" s="9">
        <f t="array" ref="I1118">+SUM(IFERROR(VALUE(G1118:H1118),0))</f>
        <v>0</v>
      </c>
      <c r="K1118" s="9" t="str">
        <f t="shared" si="156"/>
        <v/>
      </c>
      <c r="L1118" s="9">
        <f t="shared" si="157"/>
        <v>0</v>
      </c>
      <c r="M1118" s="9">
        <f t="shared" si="158"/>
        <v>0</v>
      </c>
      <c r="N1118" s="9">
        <f t="array" ref="N1118">+SUM(IFERROR(VALUE(L1118:M1118),0))</f>
        <v>0</v>
      </c>
      <c r="P1118" s="9" t="str">
        <f t="shared" si="159"/>
        <v/>
      </c>
      <c r="Q1118" s="9">
        <f t="shared" si="160"/>
        <v>0</v>
      </c>
      <c r="R1118" s="9">
        <f t="shared" si="161"/>
        <v>0</v>
      </c>
      <c r="S1118" s="9">
        <f t="array" ref="S1118">+SUM(IFERROR(VALUE(Q1118:R1118),0))</f>
        <v>0</v>
      </c>
    </row>
    <row r="1119" spans="1:19">
      <c r="A1119" s="26"/>
      <c r="B1119" s="27"/>
      <c r="C1119" s="27"/>
      <c r="D1119" s="28"/>
      <c r="F1119" s="9" t="str">
        <f t="shared" si="153"/>
        <v/>
      </c>
      <c r="G1119" s="9">
        <f t="shared" si="154"/>
        <v>0</v>
      </c>
      <c r="H1119" s="9">
        <f t="shared" si="155"/>
        <v>0</v>
      </c>
      <c r="I1119" s="9">
        <f t="array" ref="I1119">+SUM(IFERROR(VALUE(G1119:H1119),0))</f>
        <v>0</v>
      </c>
      <c r="K1119" s="9" t="str">
        <f t="shared" si="156"/>
        <v/>
      </c>
      <c r="L1119" s="9">
        <f t="shared" si="157"/>
        <v>0</v>
      </c>
      <c r="M1119" s="9">
        <f t="shared" si="158"/>
        <v>0</v>
      </c>
      <c r="N1119" s="9">
        <f t="array" ref="N1119">+SUM(IFERROR(VALUE(L1119:M1119),0))</f>
        <v>0</v>
      </c>
      <c r="P1119" s="9" t="str">
        <f t="shared" si="159"/>
        <v/>
      </c>
      <c r="Q1119" s="9">
        <f t="shared" si="160"/>
        <v>0</v>
      </c>
      <c r="R1119" s="9">
        <f t="shared" si="161"/>
        <v>0</v>
      </c>
      <c r="S1119" s="9">
        <f t="array" ref="S1119">+SUM(IFERROR(VALUE(Q1119:R1119),0))</f>
        <v>0</v>
      </c>
    </row>
    <row r="1120" spans="1:19">
      <c r="A1120" s="26"/>
      <c r="B1120" s="27"/>
      <c r="C1120" s="27"/>
      <c r="D1120" s="28"/>
      <c r="F1120" s="9" t="str">
        <f t="shared" si="153"/>
        <v/>
      </c>
      <c r="G1120" s="9">
        <f t="shared" si="154"/>
        <v>0</v>
      </c>
      <c r="H1120" s="9">
        <f t="shared" si="155"/>
        <v>0</v>
      </c>
      <c r="I1120" s="9">
        <f t="array" ref="I1120">+SUM(IFERROR(VALUE(G1120:H1120),0))</f>
        <v>0</v>
      </c>
      <c r="K1120" s="9" t="str">
        <f t="shared" si="156"/>
        <v/>
      </c>
      <c r="L1120" s="9">
        <f t="shared" si="157"/>
        <v>0</v>
      </c>
      <c r="M1120" s="9">
        <f t="shared" si="158"/>
        <v>0</v>
      </c>
      <c r="N1120" s="9">
        <f t="array" ref="N1120">+SUM(IFERROR(VALUE(L1120:M1120),0))</f>
        <v>0</v>
      </c>
      <c r="P1120" s="9" t="str">
        <f t="shared" si="159"/>
        <v/>
      </c>
      <c r="Q1120" s="9">
        <f t="shared" si="160"/>
        <v>0</v>
      </c>
      <c r="R1120" s="9">
        <f t="shared" si="161"/>
        <v>0</v>
      </c>
      <c r="S1120" s="9">
        <f t="array" ref="S1120">+SUM(IFERROR(VALUE(Q1120:R1120),0))</f>
        <v>0</v>
      </c>
    </row>
    <row r="1121" spans="1:19">
      <c r="A1121" s="26"/>
      <c r="B1121" s="27"/>
      <c r="C1121" s="27"/>
      <c r="D1121" s="28"/>
      <c r="F1121" s="9" t="str">
        <f t="shared" si="153"/>
        <v/>
      </c>
      <c r="G1121" s="9">
        <f t="shared" si="154"/>
        <v>0</v>
      </c>
      <c r="H1121" s="9">
        <f t="shared" si="155"/>
        <v>0</v>
      </c>
      <c r="I1121" s="9">
        <f t="array" ref="I1121">+SUM(IFERROR(VALUE(G1121:H1121),0))</f>
        <v>0</v>
      </c>
      <c r="K1121" s="9" t="str">
        <f t="shared" si="156"/>
        <v/>
      </c>
      <c r="L1121" s="9">
        <f t="shared" si="157"/>
        <v>0</v>
      </c>
      <c r="M1121" s="9">
        <f t="shared" si="158"/>
        <v>0</v>
      </c>
      <c r="N1121" s="9">
        <f t="array" ref="N1121">+SUM(IFERROR(VALUE(L1121:M1121),0))</f>
        <v>0</v>
      </c>
      <c r="P1121" s="9" t="str">
        <f t="shared" si="159"/>
        <v/>
      </c>
      <c r="Q1121" s="9">
        <f t="shared" si="160"/>
        <v>0</v>
      </c>
      <c r="R1121" s="9">
        <f t="shared" si="161"/>
        <v>0</v>
      </c>
      <c r="S1121" s="9">
        <f t="array" ref="S1121">+SUM(IFERROR(VALUE(Q1121:R1121),0))</f>
        <v>0</v>
      </c>
    </row>
    <row r="1122" spans="1:19">
      <c r="A1122" s="26"/>
      <c r="B1122" s="27"/>
      <c r="C1122" s="27"/>
      <c r="D1122" s="28"/>
      <c r="F1122" s="9" t="str">
        <f t="shared" si="153"/>
        <v/>
      </c>
      <c r="G1122" s="9">
        <f t="shared" si="154"/>
        <v>0</v>
      </c>
      <c r="H1122" s="9">
        <f t="shared" si="155"/>
        <v>0</v>
      </c>
      <c r="I1122" s="9">
        <f t="array" ref="I1122">+SUM(IFERROR(VALUE(G1122:H1122),0))</f>
        <v>0</v>
      </c>
      <c r="K1122" s="9" t="str">
        <f t="shared" si="156"/>
        <v/>
      </c>
      <c r="L1122" s="9">
        <f t="shared" si="157"/>
        <v>0</v>
      </c>
      <c r="M1122" s="9">
        <f t="shared" si="158"/>
        <v>0</v>
      </c>
      <c r="N1122" s="9">
        <f t="array" ref="N1122">+SUM(IFERROR(VALUE(L1122:M1122),0))</f>
        <v>0</v>
      </c>
      <c r="P1122" s="9" t="str">
        <f t="shared" si="159"/>
        <v/>
      </c>
      <c r="Q1122" s="9">
        <f t="shared" si="160"/>
        <v>0</v>
      </c>
      <c r="R1122" s="9">
        <f t="shared" si="161"/>
        <v>0</v>
      </c>
      <c r="S1122" s="9">
        <f t="array" ref="S1122">+SUM(IFERROR(VALUE(Q1122:R1122),0))</f>
        <v>0</v>
      </c>
    </row>
    <row r="1123" spans="1:19">
      <c r="A1123" s="26"/>
      <c r="B1123" s="27"/>
      <c r="C1123" s="27"/>
      <c r="D1123" s="28"/>
      <c r="F1123" s="9" t="str">
        <f t="shared" si="153"/>
        <v/>
      </c>
      <c r="G1123" s="9">
        <f t="shared" si="154"/>
        <v>0</v>
      </c>
      <c r="H1123" s="9">
        <f t="shared" si="155"/>
        <v>0</v>
      </c>
      <c r="I1123" s="9">
        <f t="array" ref="I1123">+SUM(IFERROR(VALUE(G1123:H1123),0))</f>
        <v>0</v>
      </c>
      <c r="K1123" s="9" t="str">
        <f t="shared" si="156"/>
        <v/>
      </c>
      <c r="L1123" s="9">
        <f t="shared" si="157"/>
        <v>0</v>
      </c>
      <c r="M1123" s="9">
        <f t="shared" si="158"/>
        <v>0</v>
      </c>
      <c r="N1123" s="9">
        <f t="array" ref="N1123">+SUM(IFERROR(VALUE(L1123:M1123),0))</f>
        <v>0</v>
      </c>
      <c r="P1123" s="9" t="str">
        <f t="shared" si="159"/>
        <v/>
      </c>
      <c r="Q1123" s="9">
        <f t="shared" si="160"/>
        <v>0</v>
      </c>
      <c r="R1123" s="9">
        <f t="shared" si="161"/>
        <v>0</v>
      </c>
      <c r="S1123" s="9">
        <f t="array" ref="S1123">+SUM(IFERROR(VALUE(Q1123:R1123),0))</f>
        <v>0</v>
      </c>
    </row>
    <row r="1124" spans="1:19">
      <c r="A1124" s="26"/>
      <c r="B1124" s="27"/>
      <c r="C1124" s="27"/>
      <c r="D1124" s="28"/>
      <c r="F1124" s="9" t="str">
        <f t="shared" si="153"/>
        <v/>
      </c>
      <c r="G1124" s="9">
        <f t="shared" si="154"/>
        <v>0</v>
      </c>
      <c r="H1124" s="9">
        <f t="shared" si="155"/>
        <v>0</v>
      </c>
      <c r="I1124" s="9">
        <f t="array" ref="I1124">+SUM(IFERROR(VALUE(G1124:H1124),0))</f>
        <v>0</v>
      </c>
      <c r="K1124" s="9" t="str">
        <f t="shared" si="156"/>
        <v/>
      </c>
      <c r="L1124" s="9">
        <f t="shared" si="157"/>
        <v>0</v>
      </c>
      <c r="M1124" s="9">
        <f t="shared" si="158"/>
        <v>0</v>
      </c>
      <c r="N1124" s="9">
        <f t="array" ref="N1124">+SUM(IFERROR(VALUE(L1124:M1124),0))</f>
        <v>0</v>
      </c>
      <c r="P1124" s="9" t="str">
        <f t="shared" si="159"/>
        <v/>
      </c>
      <c r="Q1124" s="9">
        <f t="shared" si="160"/>
        <v>0</v>
      </c>
      <c r="R1124" s="9">
        <f t="shared" si="161"/>
        <v>0</v>
      </c>
      <c r="S1124" s="9">
        <f t="array" ref="S1124">+SUM(IFERROR(VALUE(Q1124:R1124),0))</f>
        <v>0</v>
      </c>
    </row>
    <row r="1125" spans="1:19">
      <c r="A1125" s="26"/>
      <c r="B1125" s="27"/>
      <c r="C1125" s="27"/>
      <c r="D1125" s="28"/>
      <c r="F1125" s="9" t="str">
        <f t="shared" si="153"/>
        <v/>
      </c>
      <c r="G1125" s="9">
        <f t="shared" si="154"/>
        <v>0</v>
      </c>
      <c r="H1125" s="9">
        <f t="shared" si="155"/>
        <v>0</v>
      </c>
      <c r="I1125" s="9">
        <f t="array" ref="I1125">+SUM(IFERROR(VALUE(G1125:H1125),0))</f>
        <v>0</v>
      </c>
      <c r="K1125" s="9" t="str">
        <f t="shared" si="156"/>
        <v/>
      </c>
      <c r="L1125" s="9">
        <f t="shared" si="157"/>
        <v>0</v>
      </c>
      <c r="M1125" s="9">
        <f t="shared" si="158"/>
        <v>0</v>
      </c>
      <c r="N1125" s="9">
        <f t="array" ref="N1125">+SUM(IFERROR(VALUE(L1125:M1125),0))</f>
        <v>0</v>
      </c>
      <c r="P1125" s="9" t="str">
        <f t="shared" si="159"/>
        <v/>
      </c>
      <c r="Q1125" s="9">
        <f t="shared" si="160"/>
        <v>0</v>
      </c>
      <c r="R1125" s="9">
        <f t="shared" si="161"/>
        <v>0</v>
      </c>
      <c r="S1125" s="9">
        <f t="array" ref="S1125">+SUM(IFERROR(VALUE(Q1125:R1125),0))</f>
        <v>0</v>
      </c>
    </row>
    <row r="1126" spans="1:19">
      <c r="A1126" s="26"/>
      <c r="B1126" s="27"/>
      <c r="C1126" s="27"/>
      <c r="D1126" s="28"/>
      <c r="F1126" s="9" t="str">
        <f t="shared" si="153"/>
        <v/>
      </c>
      <c r="G1126" s="9">
        <f t="shared" si="154"/>
        <v>0</v>
      </c>
      <c r="H1126" s="9">
        <f t="shared" si="155"/>
        <v>0</v>
      </c>
      <c r="I1126" s="9">
        <f t="array" ref="I1126">+SUM(IFERROR(VALUE(G1126:H1126),0))</f>
        <v>0</v>
      </c>
      <c r="K1126" s="9" t="str">
        <f t="shared" si="156"/>
        <v/>
      </c>
      <c r="L1126" s="9">
        <f t="shared" si="157"/>
        <v>0</v>
      </c>
      <c r="M1126" s="9">
        <f t="shared" si="158"/>
        <v>0</v>
      </c>
      <c r="N1126" s="9">
        <f t="array" ref="N1126">+SUM(IFERROR(VALUE(L1126:M1126),0))</f>
        <v>0</v>
      </c>
      <c r="P1126" s="9" t="str">
        <f t="shared" si="159"/>
        <v/>
      </c>
      <c r="Q1126" s="9">
        <f t="shared" si="160"/>
        <v>0</v>
      </c>
      <c r="R1126" s="9">
        <f t="shared" si="161"/>
        <v>0</v>
      </c>
      <c r="S1126" s="9">
        <f t="array" ref="S1126">+SUM(IFERROR(VALUE(Q1126:R1126),0))</f>
        <v>0</v>
      </c>
    </row>
    <row r="1127" spans="1:19">
      <c r="A1127" s="26"/>
      <c r="B1127" s="27"/>
      <c r="C1127" s="27"/>
      <c r="D1127" s="28"/>
      <c r="F1127" s="9" t="str">
        <f t="shared" si="153"/>
        <v/>
      </c>
      <c r="G1127" s="9">
        <f t="shared" si="154"/>
        <v>0</v>
      </c>
      <c r="H1127" s="9">
        <f t="shared" si="155"/>
        <v>0</v>
      </c>
      <c r="I1127" s="9">
        <f t="array" ref="I1127">+SUM(IFERROR(VALUE(G1127:H1127),0))</f>
        <v>0</v>
      </c>
      <c r="K1127" s="9" t="str">
        <f t="shared" si="156"/>
        <v/>
      </c>
      <c r="L1127" s="9">
        <f t="shared" si="157"/>
        <v>0</v>
      </c>
      <c r="M1127" s="9">
        <f t="shared" si="158"/>
        <v>0</v>
      </c>
      <c r="N1127" s="9">
        <f t="array" ref="N1127">+SUM(IFERROR(VALUE(L1127:M1127),0))</f>
        <v>0</v>
      </c>
      <c r="P1127" s="9" t="str">
        <f t="shared" si="159"/>
        <v/>
      </c>
      <c r="Q1127" s="9">
        <f t="shared" si="160"/>
        <v>0</v>
      </c>
      <c r="R1127" s="9">
        <f t="shared" si="161"/>
        <v>0</v>
      </c>
      <c r="S1127" s="9">
        <f t="array" ref="S1127">+SUM(IFERROR(VALUE(Q1127:R1127),0))</f>
        <v>0</v>
      </c>
    </row>
    <row r="1128" spans="1:19">
      <c r="A1128" s="26"/>
      <c r="B1128" s="27"/>
      <c r="C1128" s="27"/>
      <c r="D1128" s="28"/>
      <c r="F1128" s="9" t="str">
        <f t="shared" si="153"/>
        <v/>
      </c>
      <c r="G1128" s="9">
        <f t="shared" si="154"/>
        <v>0</v>
      </c>
      <c r="H1128" s="9">
        <f t="shared" si="155"/>
        <v>0</v>
      </c>
      <c r="I1128" s="9">
        <f t="array" ref="I1128">+SUM(IFERROR(VALUE(G1128:H1128),0))</f>
        <v>0</v>
      </c>
      <c r="K1128" s="9" t="str">
        <f t="shared" si="156"/>
        <v/>
      </c>
      <c r="L1128" s="9">
        <f t="shared" si="157"/>
        <v>0</v>
      </c>
      <c r="M1128" s="9">
        <f t="shared" si="158"/>
        <v>0</v>
      </c>
      <c r="N1128" s="9">
        <f t="array" ref="N1128">+SUM(IFERROR(VALUE(L1128:M1128),0))</f>
        <v>0</v>
      </c>
      <c r="P1128" s="9" t="str">
        <f t="shared" si="159"/>
        <v/>
      </c>
      <c r="Q1128" s="9">
        <f t="shared" si="160"/>
        <v>0</v>
      </c>
      <c r="R1128" s="9">
        <f t="shared" si="161"/>
        <v>0</v>
      </c>
      <c r="S1128" s="9">
        <f t="array" ref="S1128">+SUM(IFERROR(VALUE(Q1128:R1128),0))</f>
        <v>0</v>
      </c>
    </row>
    <row r="1129" spans="1:19">
      <c r="A1129" s="26"/>
      <c r="B1129" s="27"/>
      <c r="C1129" s="27"/>
      <c r="D1129" s="28"/>
      <c r="F1129" s="9" t="str">
        <f t="shared" si="153"/>
        <v/>
      </c>
      <c r="G1129" s="9">
        <f t="shared" si="154"/>
        <v>0</v>
      </c>
      <c r="H1129" s="9">
        <f t="shared" si="155"/>
        <v>0</v>
      </c>
      <c r="I1129" s="9">
        <f t="array" ref="I1129">+SUM(IFERROR(VALUE(G1129:H1129),0))</f>
        <v>0</v>
      </c>
      <c r="K1129" s="9" t="str">
        <f t="shared" si="156"/>
        <v/>
      </c>
      <c r="L1129" s="9">
        <f t="shared" si="157"/>
        <v>0</v>
      </c>
      <c r="M1129" s="9">
        <f t="shared" si="158"/>
        <v>0</v>
      </c>
      <c r="N1129" s="9">
        <f t="array" ref="N1129">+SUM(IFERROR(VALUE(L1129:M1129),0))</f>
        <v>0</v>
      </c>
      <c r="P1129" s="9" t="str">
        <f t="shared" si="159"/>
        <v/>
      </c>
      <c r="Q1129" s="9">
        <f t="shared" si="160"/>
        <v>0</v>
      </c>
      <c r="R1129" s="9">
        <f t="shared" si="161"/>
        <v>0</v>
      </c>
      <c r="S1129" s="9">
        <f t="array" ref="S1129">+SUM(IFERROR(VALUE(Q1129:R1129),0))</f>
        <v>0</v>
      </c>
    </row>
    <row r="1130" spans="1:19">
      <c r="A1130" s="26"/>
      <c r="B1130" s="27"/>
      <c r="C1130" s="27"/>
      <c r="D1130" s="28"/>
      <c r="F1130" s="9" t="str">
        <f t="shared" si="153"/>
        <v/>
      </c>
      <c r="G1130" s="9">
        <f t="shared" si="154"/>
        <v>0</v>
      </c>
      <c r="H1130" s="9">
        <f t="shared" si="155"/>
        <v>0</v>
      </c>
      <c r="I1130" s="9">
        <f t="array" ref="I1130">+SUM(IFERROR(VALUE(G1130:H1130),0))</f>
        <v>0</v>
      </c>
      <c r="K1130" s="9" t="str">
        <f t="shared" si="156"/>
        <v/>
      </c>
      <c r="L1130" s="9">
        <f t="shared" si="157"/>
        <v>0</v>
      </c>
      <c r="M1130" s="9">
        <f t="shared" si="158"/>
        <v>0</v>
      </c>
      <c r="N1130" s="9">
        <f t="array" ref="N1130">+SUM(IFERROR(VALUE(L1130:M1130),0))</f>
        <v>0</v>
      </c>
      <c r="P1130" s="9" t="str">
        <f t="shared" si="159"/>
        <v/>
      </c>
      <c r="Q1130" s="9">
        <f t="shared" si="160"/>
        <v>0</v>
      </c>
      <c r="R1130" s="9">
        <f t="shared" si="161"/>
        <v>0</v>
      </c>
      <c r="S1130" s="9">
        <f t="array" ref="S1130">+SUM(IFERROR(VALUE(Q1130:R1130),0))</f>
        <v>0</v>
      </c>
    </row>
    <row r="1131" spans="1:19">
      <c r="A1131" s="26"/>
      <c r="B1131" s="27"/>
      <c r="C1131" s="27"/>
      <c r="D1131" s="28"/>
      <c r="F1131" s="9" t="str">
        <f t="shared" si="153"/>
        <v/>
      </c>
      <c r="G1131" s="9">
        <f t="shared" si="154"/>
        <v>0</v>
      </c>
      <c r="H1131" s="9">
        <f t="shared" si="155"/>
        <v>0</v>
      </c>
      <c r="I1131" s="9">
        <f t="array" ref="I1131">+SUM(IFERROR(VALUE(G1131:H1131),0))</f>
        <v>0</v>
      </c>
      <c r="K1131" s="9" t="str">
        <f t="shared" si="156"/>
        <v/>
      </c>
      <c r="L1131" s="9">
        <f t="shared" si="157"/>
        <v>0</v>
      </c>
      <c r="M1131" s="9">
        <f t="shared" si="158"/>
        <v>0</v>
      </c>
      <c r="N1131" s="9">
        <f t="array" ref="N1131">+SUM(IFERROR(VALUE(L1131:M1131),0))</f>
        <v>0</v>
      </c>
      <c r="P1131" s="9" t="str">
        <f t="shared" si="159"/>
        <v/>
      </c>
      <c r="Q1131" s="9">
        <f t="shared" si="160"/>
        <v>0</v>
      </c>
      <c r="R1131" s="9">
        <f t="shared" si="161"/>
        <v>0</v>
      </c>
      <c r="S1131" s="9">
        <f t="array" ref="S1131">+SUM(IFERROR(VALUE(Q1131:R1131),0))</f>
        <v>0</v>
      </c>
    </row>
    <row r="1132" spans="1:19">
      <c r="A1132" s="26"/>
      <c r="B1132" s="27"/>
      <c r="C1132" s="27"/>
      <c r="D1132" s="28"/>
      <c r="F1132" s="9" t="str">
        <f t="shared" si="153"/>
        <v/>
      </c>
      <c r="G1132" s="9">
        <f t="shared" si="154"/>
        <v>0</v>
      </c>
      <c r="H1132" s="9">
        <f t="shared" si="155"/>
        <v>0</v>
      </c>
      <c r="I1132" s="9">
        <f t="array" ref="I1132">+SUM(IFERROR(VALUE(G1132:H1132),0))</f>
        <v>0</v>
      </c>
      <c r="K1132" s="9" t="str">
        <f t="shared" si="156"/>
        <v/>
      </c>
      <c r="L1132" s="9">
        <f t="shared" si="157"/>
        <v>0</v>
      </c>
      <c r="M1132" s="9">
        <f t="shared" si="158"/>
        <v>0</v>
      </c>
      <c r="N1132" s="9">
        <f t="array" ref="N1132">+SUM(IFERROR(VALUE(L1132:M1132),0))</f>
        <v>0</v>
      </c>
      <c r="P1132" s="9" t="str">
        <f t="shared" si="159"/>
        <v/>
      </c>
      <c r="Q1132" s="9">
        <f t="shared" si="160"/>
        <v>0</v>
      </c>
      <c r="R1132" s="9">
        <f t="shared" si="161"/>
        <v>0</v>
      </c>
      <c r="S1132" s="9">
        <f t="array" ref="S1132">+SUM(IFERROR(VALUE(Q1132:R1132),0))</f>
        <v>0</v>
      </c>
    </row>
    <row r="1133" spans="1:19">
      <c r="A1133" s="26"/>
      <c r="B1133" s="27"/>
      <c r="C1133" s="27"/>
      <c r="D1133" s="28"/>
      <c r="F1133" s="9" t="str">
        <f t="shared" si="153"/>
        <v/>
      </c>
      <c r="G1133" s="9">
        <f t="shared" si="154"/>
        <v>0</v>
      </c>
      <c r="H1133" s="9">
        <f t="shared" si="155"/>
        <v>0</v>
      </c>
      <c r="I1133" s="9">
        <f t="array" ref="I1133">+SUM(IFERROR(VALUE(G1133:H1133),0))</f>
        <v>0</v>
      </c>
      <c r="K1133" s="9" t="str">
        <f t="shared" si="156"/>
        <v/>
      </c>
      <c r="L1133" s="9">
        <f t="shared" si="157"/>
        <v>0</v>
      </c>
      <c r="M1133" s="9">
        <f t="shared" si="158"/>
        <v>0</v>
      </c>
      <c r="N1133" s="9">
        <f t="array" ref="N1133">+SUM(IFERROR(VALUE(L1133:M1133),0))</f>
        <v>0</v>
      </c>
      <c r="P1133" s="9" t="str">
        <f t="shared" si="159"/>
        <v/>
      </c>
      <c r="Q1133" s="9">
        <f t="shared" si="160"/>
        <v>0</v>
      </c>
      <c r="R1133" s="9">
        <f t="shared" si="161"/>
        <v>0</v>
      </c>
      <c r="S1133" s="9">
        <f t="array" ref="S1133">+SUM(IFERROR(VALUE(Q1133:R1133),0))</f>
        <v>0</v>
      </c>
    </row>
    <row r="1134" spans="1:19">
      <c r="A1134" s="26"/>
      <c r="B1134" s="27"/>
      <c r="C1134" s="27"/>
      <c r="D1134" s="28"/>
      <c r="F1134" s="9" t="str">
        <f t="shared" si="153"/>
        <v/>
      </c>
      <c r="G1134" s="9">
        <f t="shared" si="154"/>
        <v>0</v>
      </c>
      <c r="H1134" s="9">
        <f t="shared" si="155"/>
        <v>0</v>
      </c>
      <c r="I1134" s="9">
        <f t="array" ref="I1134">+SUM(IFERROR(VALUE(G1134:H1134),0))</f>
        <v>0</v>
      </c>
      <c r="K1134" s="9" t="str">
        <f t="shared" si="156"/>
        <v/>
      </c>
      <c r="L1134" s="9">
        <f t="shared" si="157"/>
        <v>0</v>
      </c>
      <c r="M1134" s="9">
        <f t="shared" si="158"/>
        <v>0</v>
      </c>
      <c r="N1134" s="9">
        <f t="array" ref="N1134">+SUM(IFERROR(VALUE(L1134:M1134),0))</f>
        <v>0</v>
      </c>
      <c r="P1134" s="9" t="str">
        <f t="shared" si="159"/>
        <v/>
      </c>
      <c r="Q1134" s="9">
        <f t="shared" si="160"/>
        <v>0</v>
      </c>
      <c r="R1134" s="9">
        <f t="shared" si="161"/>
        <v>0</v>
      </c>
      <c r="S1134" s="9">
        <f t="array" ref="S1134">+SUM(IFERROR(VALUE(Q1134:R1134),0))</f>
        <v>0</v>
      </c>
    </row>
    <row r="1135" spans="1:19">
      <c r="A1135" s="26"/>
      <c r="B1135" s="27"/>
      <c r="C1135" s="27"/>
      <c r="D1135" s="28"/>
      <c r="F1135" s="9" t="str">
        <f t="shared" si="153"/>
        <v/>
      </c>
      <c r="G1135" s="9">
        <f t="shared" si="154"/>
        <v>0</v>
      </c>
      <c r="H1135" s="9">
        <f t="shared" si="155"/>
        <v>0</v>
      </c>
      <c r="I1135" s="9">
        <f t="array" ref="I1135">+SUM(IFERROR(VALUE(G1135:H1135),0))</f>
        <v>0</v>
      </c>
      <c r="K1135" s="9" t="str">
        <f t="shared" si="156"/>
        <v/>
      </c>
      <c r="L1135" s="9">
        <f t="shared" si="157"/>
        <v>0</v>
      </c>
      <c r="M1135" s="9">
        <f t="shared" si="158"/>
        <v>0</v>
      </c>
      <c r="N1135" s="9">
        <f t="array" ref="N1135">+SUM(IFERROR(VALUE(L1135:M1135),0))</f>
        <v>0</v>
      </c>
      <c r="P1135" s="9" t="str">
        <f t="shared" si="159"/>
        <v/>
      </c>
      <c r="Q1135" s="9">
        <f t="shared" si="160"/>
        <v>0</v>
      </c>
      <c r="R1135" s="9">
        <f t="shared" si="161"/>
        <v>0</v>
      </c>
      <c r="S1135" s="9">
        <f t="array" ref="S1135">+SUM(IFERROR(VALUE(Q1135:R1135),0))</f>
        <v>0</v>
      </c>
    </row>
    <row r="1136" spans="1:19">
      <c r="A1136" s="26"/>
      <c r="B1136" s="27"/>
      <c r="C1136" s="27"/>
      <c r="D1136" s="28"/>
      <c r="F1136" s="9" t="str">
        <f t="shared" si="153"/>
        <v/>
      </c>
      <c r="G1136" s="9">
        <f t="shared" si="154"/>
        <v>0</v>
      </c>
      <c r="H1136" s="9">
        <f t="shared" si="155"/>
        <v>0</v>
      </c>
      <c r="I1136" s="9">
        <f t="array" ref="I1136">+SUM(IFERROR(VALUE(G1136:H1136),0))</f>
        <v>0</v>
      </c>
      <c r="K1136" s="9" t="str">
        <f t="shared" si="156"/>
        <v/>
      </c>
      <c r="L1136" s="9">
        <f t="shared" si="157"/>
        <v>0</v>
      </c>
      <c r="M1136" s="9">
        <f t="shared" si="158"/>
        <v>0</v>
      </c>
      <c r="N1136" s="9">
        <f t="array" ref="N1136">+SUM(IFERROR(VALUE(L1136:M1136),0))</f>
        <v>0</v>
      </c>
      <c r="P1136" s="9" t="str">
        <f t="shared" si="159"/>
        <v/>
      </c>
      <c r="Q1136" s="9">
        <f t="shared" si="160"/>
        <v>0</v>
      </c>
      <c r="R1136" s="9">
        <f t="shared" si="161"/>
        <v>0</v>
      </c>
      <c r="S1136" s="9">
        <f t="array" ref="S1136">+SUM(IFERROR(VALUE(Q1136:R1136),0))</f>
        <v>0</v>
      </c>
    </row>
    <row r="1137" spans="1:19">
      <c r="A1137" s="26"/>
      <c r="B1137" s="27"/>
      <c r="C1137" s="27"/>
      <c r="D1137" s="28"/>
      <c r="F1137" s="9" t="str">
        <f t="shared" si="153"/>
        <v/>
      </c>
      <c r="G1137" s="9">
        <f t="shared" si="154"/>
        <v>0</v>
      </c>
      <c r="H1137" s="9">
        <f t="shared" si="155"/>
        <v>0</v>
      </c>
      <c r="I1137" s="9">
        <f t="array" ref="I1137">+SUM(IFERROR(VALUE(G1137:H1137),0))</f>
        <v>0</v>
      </c>
      <c r="K1137" s="9" t="str">
        <f t="shared" si="156"/>
        <v/>
      </c>
      <c r="L1137" s="9">
        <f t="shared" si="157"/>
        <v>0</v>
      </c>
      <c r="M1137" s="9">
        <f t="shared" si="158"/>
        <v>0</v>
      </c>
      <c r="N1137" s="9">
        <f t="array" ref="N1137">+SUM(IFERROR(VALUE(L1137:M1137),0))</f>
        <v>0</v>
      </c>
      <c r="P1137" s="9" t="str">
        <f t="shared" si="159"/>
        <v/>
      </c>
      <c r="Q1137" s="9">
        <f t="shared" si="160"/>
        <v>0</v>
      </c>
      <c r="R1137" s="9">
        <f t="shared" si="161"/>
        <v>0</v>
      </c>
      <c r="S1137" s="9">
        <f t="array" ref="S1137">+SUM(IFERROR(VALUE(Q1137:R1137),0))</f>
        <v>0</v>
      </c>
    </row>
    <row r="1138" spans="1:19">
      <c r="A1138" s="26"/>
      <c r="B1138" s="27"/>
      <c r="C1138" s="27"/>
      <c r="D1138" s="28"/>
      <c r="F1138" s="9" t="str">
        <f t="shared" si="153"/>
        <v/>
      </c>
      <c r="G1138" s="9">
        <f t="shared" si="154"/>
        <v>0</v>
      </c>
      <c r="H1138" s="9">
        <f t="shared" si="155"/>
        <v>0</v>
      </c>
      <c r="I1138" s="9">
        <f t="array" ref="I1138">+SUM(IFERROR(VALUE(G1138:H1138),0))</f>
        <v>0</v>
      </c>
      <c r="K1138" s="9" t="str">
        <f t="shared" si="156"/>
        <v/>
      </c>
      <c r="L1138" s="9">
        <f t="shared" si="157"/>
        <v>0</v>
      </c>
      <c r="M1138" s="9">
        <f t="shared" si="158"/>
        <v>0</v>
      </c>
      <c r="N1138" s="9">
        <f t="array" ref="N1138">+SUM(IFERROR(VALUE(L1138:M1138),0))</f>
        <v>0</v>
      </c>
      <c r="P1138" s="9" t="str">
        <f t="shared" si="159"/>
        <v/>
      </c>
      <c r="Q1138" s="9">
        <f t="shared" si="160"/>
        <v>0</v>
      </c>
      <c r="R1138" s="9">
        <f t="shared" si="161"/>
        <v>0</v>
      </c>
      <c r="S1138" s="9">
        <f t="array" ref="S1138">+SUM(IFERROR(VALUE(Q1138:R1138),0))</f>
        <v>0</v>
      </c>
    </row>
    <row r="1139" spans="1:19">
      <c r="A1139" s="26"/>
      <c r="B1139" s="27"/>
      <c r="C1139" s="27"/>
      <c r="D1139" s="28"/>
      <c r="F1139" s="9" t="str">
        <f t="shared" si="153"/>
        <v/>
      </c>
      <c r="G1139" s="9">
        <f t="shared" si="154"/>
        <v>0</v>
      </c>
      <c r="H1139" s="9">
        <f t="shared" si="155"/>
        <v>0</v>
      </c>
      <c r="I1139" s="9">
        <f t="array" ref="I1139">+SUM(IFERROR(VALUE(G1139:H1139),0))</f>
        <v>0</v>
      </c>
      <c r="K1139" s="9" t="str">
        <f t="shared" si="156"/>
        <v/>
      </c>
      <c r="L1139" s="9">
        <f t="shared" si="157"/>
        <v>0</v>
      </c>
      <c r="M1139" s="9">
        <f t="shared" si="158"/>
        <v>0</v>
      </c>
      <c r="N1139" s="9">
        <f t="array" ref="N1139">+SUM(IFERROR(VALUE(L1139:M1139),0))</f>
        <v>0</v>
      </c>
      <c r="P1139" s="9" t="str">
        <f t="shared" si="159"/>
        <v/>
      </c>
      <c r="Q1139" s="9">
        <f t="shared" si="160"/>
        <v>0</v>
      </c>
      <c r="R1139" s="9">
        <f t="shared" si="161"/>
        <v>0</v>
      </c>
      <c r="S1139" s="9">
        <f t="array" ref="S1139">+SUM(IFERROR(VALUE(Q1139:R1139),0))</f>
        <v>0</v>
      </c>
    </row>
    <row r="1140" spans="1:19">
      <c r="A1140" s="26"/>
      <c r="B1140" s="27"/>
      <c r="C1140" s="27"/>
      <c r="D1140" s="28"/>
      <c r="F1140" s="9" t="str">
        <f t="shared" si="153"/>
        <v/>
      </c>
      <c r="G1140" s="9">
        <f t="shared" si="154"/>
        <v>0</v>
      </c>
      <c r="H1140" s="9">
        <f t="shared" si="155"/>
        <v>0</v>
      </c>
      <c r="I1140" s="9">
        <f t="array" ref="I1140">+SUM(IFERROR(VALUE(G1140:H1140),0))</f>
        <v>0</v>
      </c>
      <c r="K1140" s="9" t="str">
        <f t="shared" si="156"/>
        <v/>
      </c>
      <c r="L1140" s="9">
        <f t="shared" si="157"/>
        <v>0</v>
      </c>
      <c r="M1140" s="9">
        <f t="shared" si="158"/>
        <v>0</v>
      </c>
      <c r="N1140" s="9">
        <f t="array" ref="N1140">+SUM(IFERROR(VALUE(L1140:M1140),0))</f>
        <v>0</v>
      </c>
      <c r="P1140" s="9" t="str">
        <f t="shared" si="159"/>
        <v/>
      </c>
      <c r="Q1140" s="9">
        <f t="shared" si="160"/>
        <v>0</v>
      </c>
      <c r="R1140" s="9">
        <f t="shared" si="161"/>
        <v>0</v>
      </c>
      <c r="S1140" s="9">
        <f t="array" ref="S1140">+SUM(IFERROR(VALUE(Q1140:R1140),0))</f>
        <v>0</v>
      </c>
    </row>
    <row r="1141" spans="1:19">
      <c r="A1141" s="26"/>
      <c r="B1141" s="27"/>
      <c r="C1141" s="27"/>
      <c r="D1141" s="28"/>
      <c r="F1141" s="9" t="str">
        <f t="shared" si="153"/>
        <v/>
      </c>
      <c r="G1141" s="9">
        <f t="shared" si="154"/>
        <v>0</v>
      </c>
      <c r="H1141" s="9">
        <f t="shared" si="155"/>
        <v>0</v>
      </c>
      <c r="I1141" s="9">
        <f t="array" ref="I1141">+SUM(IFERROR(VALUE(G1141:H1141),0))</f>
        <v>0</v>
      </c>
      <c r="K1141" s="9" t="str">
        <f t="shared" si="156"/>
        <v/>
      </c>
      <c r="L1141" s="9">
        <f t="shared" si="157"/>
        <v>0</v>
      </c>
      <c r="M1141" s="9">
        <f t="shared" si="158"/>
        <v>0</v>
      </c>
      <c r="N1141" s="9">
        <f t="array" ref="N1141">+SUM(IFERROR(VALUE(L1141:M1141),0))</f>
        <v>0</v>
      </c>
      <c r="P1141" s="9" t="str">
        <f t="shared" si="159"/>
        <v/>
      </c>
      <c r="Q1141" s="9">
        <f t="shared" si="160"/>
        <v>0</v>
      </c>
      <c r="R1141" s="9">
        <f t="shared" si="161"/>
        <v>0</v>
      </c>
      <c r="S1141" s="9">
        <f t="array" ref="S1141">+SUM(IFERROR(VALUE(Q1141:R1141),0))</f>
        <v>0</v>
      </c>
    </row>
    <row r="1142" spans="1:19">
      <c r="A1142" s="26"/>
      <c r="B1142" s="27"/>
      <c r="C1142" s="27"/>
      <c r="D1142" s="28"/>
      <c r="F1142" s="9" t="str">
        <f t="shared" si="153"/>
        <v/>
      </c>
      <c r="G1142" s="9">
        <f t="shared" si="154"/>
        <v>0</v>
      </c>
      <c r="H1142" s="9">
        <f t="shared" si="155"/>
        <v>0</v>
      </c>
      <c r="I1142" s="9">
        <f t="array" ref="I1142">+SUM(IFERROR(VALUE(G1142:H1142),0))</f>
        <v>0</v>
      </c>
      <c r="K1142" s="9" t="str">
        <f t="shared" si="156"/>
        <v/>
      </c>
      <c r="L1142" s="9">
        <f t="shared" si="157"/>
        <v>0</v>
      </c>
      <c r="M1142" s="9">
        <f t="shared" si="158"/>
        <v>0</v>
      </c>
      <c r="N1142" s="9">
        <f t="array" ref="N1142">+SUM(IFERROR(VALUE(L1142:M1142),0))</f>
        <v>0</v>
      </c>
      <c r="P1142" s="9" t="str">
        <f t="shared" si="159"/>
        <v/>
      </c>
      <c r="Q1142" s="9">
        <f t="shared" si="160"/>
        <v>0</v>
      </c>
      <c r="R1142" s="9">
        <f t="shared" si="161"/>
        <v>0</v>
      </c>
      <c r="S1142" s="9">
        <f t="array" ref="S1142">+SUM(IFERROR(VALUE(Q1142:R1142),0))</f>
        <v>0</v>
      </c>
    </row>
    <row r="1143" spans="1:19">
      <c r="A1143" s="26"/>
      <c r="B1143" s="27"/>
      <c r="C1143" s="27"/>
      <c r="D1143" s="28"/>
      <c r="F1143" s="9" t="str">
        <f t="shared" si="153"/>
        <v/>
      </c>
      <c r="G1143" s="9">
        <f t="shared" si="154"/>
        <v>0</v>
      </c>
      <c r="H1143" s="9">
        <f t="shared" si="155"/>
        <v>0</v>
      </c>
      <c r="I1143" s="9">
        <f t="array" ref="I1143">+SUM(IFERROR(VALUE(G1143:H1143),0))</f>
        <v>0</v>
      </c>
      <c r="K1143" s="9" t="str">
        <f t="shared" si="156"/>
        <v/>
      </c>
      <c r="L1143" s="9">
        <f t="shared" si="157"/>
        <v>0</v>
      </c>
      <c r="M1143" s="9">
        <f t="shared" si="158"/>
        <v>0</v>
      </c>
      <c r="N1143" s="9">
        <f t="array" ref="N1143">+SUM(IFERROR(VALUE(L1143:M1143),0))</f>
        <v>0</v>
      </c>
      <c r="P1143" s="9" t="str">
        <f t="shared" si="159"/>
        <v/>
      </c>
      <c r="Q1143" s="9">
        <f t="shared" si="160"/>
        <v>0</v>
      </c>
      <c r="R1143" s="9">
        <f t="shared" si="161"/>
        <v>0</v>
      </c>
      <c r="S1143" s="9">
        <f t="array" ref="S1143">+SUM(IFERROR(VALUE(Q1143:R1143),0))</f>
        <v>0</v>
      </c>
    </row>
    <row r="1144" spans="1:19">
      <c r="A1144" s="26"/>
      <c r="B1144" s="27"/>
      <c r="C1144" s="27"/>
      <c r="D1144" s="28"/>
      <c r="F1144" s="9" t="str">
        <f t="shared" si="153"/>
        <v/>
      </c>
      <c r="G1144" s="9">
        <f t="shared" si="154"/>
        <v>0</v>
      </c>
      <c r="H1144" s="9">
        <f t="shared" si="155"/>
        <v>0</v>
      </c>
      <c r="I1144" s="9">
        <f t="array" ref="I1144">+SUM(IFERROR(VALUE(G1144:H1144),0))</f>
        <v>0</v>
      </c>
      <c r="K1144" s="9" t="str">
        <f t="shared" si="156"/>
        <v/>
      </c>
      <c r="L1144" s="9">
        <f t="shared" si="157"/>
        <v>0</v>
      </c>
      <c r="M1144" s="9">
        <f t="shared" si="158"/>
        <v>0</v>
      </c>
      <c r="N1144" s="9">
        <f t="array" ref="N1144">+SUM(IFERROR(VALUE(L1144:M1144),0))</f>
        <v>0</v>
      </c>
      <c r="P1144" s="9" t="str">
        <f t="shared" si="159"/>
        <v/>
      </c>
      <c r="Q1144" s="9">
        <f t="shared" si="160"/>
        <v>0</v>
      </c>
      <c r="R1144" s="9">
        <f t="shared" si="161"/>
        <v>0</v>
      </c>
      <c r="S1144" s="9">
        <f t="array" ref="S1144">+SUM(IFERROR(VALUE(Q1144:R1144),0))</f>
        <v>0</v>
      </c>
    </row>
    <row r="1145" spans="1:19">
      <c r="A1145" s="26"/>
      <c r="B1145" s="27"/>
      <c r="C1145" s="27"/>
      <c r="D1145" s="28"/>
      <c r="F1145" s="9" t="str">
        <f t="shared" si="153"/>
        <v/>
      </c>
      <c r="G1145" s="9">
        <f t="shared" si="154"/>
        <v>0</v>
      </c>
      <c r="H1145" s="9">
        <f t="shared" si="155"/>
        <v>0</v>
      </c>
      <c r="I1145" s="9">
        <f t="array" ref="I1145">+SUM(IFERROR(VALUE(G1145:H1145),0))</f>
        <v>0</v>
      </c>
      <c r="K1145" s="9" t="str">
        <f t="shared" si="156"/>
        <v/>
      </c>
      <c r="L1145" s="9">
        <f t="shared" si="157"/>
        <v>0</v>
      </c>
      <c r="M1145" s="9">
        <f t="shared" si="158"/>
        <v>0</v>
      </c>
      <c r="N1145" s="9">
        <f t="array" ref="N1145">+SUM(IFERROR(VALUE(L1145:M1145),0))</f>
        <v>0</v>
      </c>
      <c r="P1145" s="9" t="str">
        <f t="shared" si="159"/>
        <v/>
      </c>
      <c r="Q1145" s="9">
        <f t="shared" si="160"/>
        <v>0</v>
      </c>
      <c r="R1145" s="9">
        <f t="shared" si="161"/>
        <v>0</v>
      </c>
      <c r="S1145" s="9">
        <f t="array" ref="S1145">+SUM(IFERROR(VALUE(Q1145:R1145),0))</f>
        <v>0</v>
      </c>
    </row>
    <row r="1146" spans="1:19">
      <c r="A1146" s="26"/>
      <c r="B1146" s="27"/>
      <c r="C1146" s="27"/>
      <c r="D1146" s="28"/>
      <c r="F1146" s="9" t="str">
        <f t="shared" si="153"/>
        <v/>
      </c>
      <c r="G1146" s="9">
        <f t="shared" si="154"/>
        <v>0</v>
      </c>
      <c r="H1146" s="9">
        <f t="shared" si="155"/>
        <v>0</v>
      </c>
      <c r="I1146" s="9">
        <f t="array" ref="I1146">+SUM(IFERROR(VALUE(G1146:H1146),0))</f>
        <v>0</v>
      </c>
      <c r="K1146" s="9" t="str">
        <f t="shared" si="156"/>
        <v/>
      </c>
      <c r="L1146" s="9">
        <f t="shared" si="157"/>
        <v>0</v>
      </c>
      <c r="M1146" s="9">
        <f t="shared" si="158"/>
        <v>0</v>
      </c>
      <c r="N1146" s="9">
        <f t="array" ref="N1146">+SUM(IFERROR(VALUE(L1146:M1146),0))</f>
        <v>0</v>
      </c>
      <c r="P1146" s="9" t="str">
        <f t="shared" si="159"/>
        <v/>
      </c>
      <c r="Q1146" s="9">
        <f t="shared" si="160"/>
        <v>0</v>
      </c>
      <c r="R1146" s="9">
        <f t="shared" si="161"/>
        <v>0</v>
      </c>
      <c r="S1146" s="9">
        <f t="array" ref="S1146">+SUM(IFERROR(VALUE(Q1146:R1146),0))</f>
        <v>0</v>
      </c>
    </row>
    <row r="1147" spans="1:19">
      <c r="A1147" s="26"/>
      <c r="B1147" s="27"/>
      <c r="C1147" s="27"/>
      <c r="D1147" s="28"/>
      <c r="F1147" s="9" t="str">
        <f t="shared" si="153"/>
        <v/>
      </c>
      <c r="G1147" s="9">
        <f t="shared" si="154"/>
        <v>0</v>
      </c>
      <c r="H1147" s="9">
        <f t="shared" si="155"/>
        <v>0</v>
      </c>
      <c r="I1147" s="9">
        <f t="array" ref="I1147">+SUM(IFERROR(VALUE(G1147:H1147),0))</f>
        <v>0</v>
      </c>
      <c r="K1147" s="9" t="str">
        <f t="shared" si="156"/>
        <v/>
      </c>
      <c r="L1147" s="9">
        <f t="shared" si="157"/>
        <v>0</v>
      </c>
      <c r="M1147" s="9">
        <f t="shared" si="158"/>
        <v>0</v>
      </c>
      <c r="N1147" s="9">
        <f t="array" ref="N1147">+SUM(IFERROR(VALUE(L1147:M1147),0))</f>
        <v>0</v>
      </c>
      <c r="P1147" s="9" t="str">
        <f t="shared" si="159"/>
        <v/>
      </c>
      <c r="Q1147" s="9">
        <f t="shared" si="160"/>
        <v>0</v>
      </c>
      <c r="R1147" s="9">
        <f t="shared" si="161"/>
        <v>0</v>
      </c>
      <c r="S1147" s="9">
        <f t="array" ref="S1147">+SUM(IFERROR(VALUE(Q1147:R1147),0))</f>
        <v>0</v>
      </c>
    </row>
    <row r="1148" spans="1:19">
      <c r="A1148" s="26"/>
      <c r="B1148" s="27"/>
      <c r="C1148" s="27"/>
      <c r="D1148" s="28"/>
      <c r="F1148" s="9" t="str">
        <f t="shared" si="153"/>
        <v/>
      </c>
      <c r="G1148" s="9">
        <f t="shared" si="154"/>
        <v>0</v>
      </c>
      <c r="H1148" s="9">
        <f t="shared" si="155"/>
        <v>0</v>
      </c>
      <c r="I1148" s="9">
        <f t="array" ref="I1148">+SUM(IFERROR(VALUE(G1148:H1148),0))</f>
        <v>0</v>
      </c>
      <c r="K1148" s="9" t="str">
        <f t="shared" si="156"/>
        <v/>
      </c>
      <c r="L1148" s="9">
        <f t="shared" si="157"/>
        <v>0</v>
      </c>
      <c r="M1148" s="9">
        <f t="shared" si="158"/>
        <v>0</v>
      </c>
      <c r="N1148" s="9">
        <f t="array" ref="N1148">+SUM(IFERROR(VALUE(L1148:M1148),0))</f>
        <v>0</v>
      </c>
      <c r="P1148" s="9" t="str">
        <f t="shared" si="159"/>
        <v/>
      </c>
      <c r="Q1148" s="9">
        <f t="shared" si="160"/>
        <v>0</v>
      </c>
      <c r="R1148" s="9">
        <f t="shared" si="161"/>
        <v>0</v>
      </c>
      <c r="S1148" s="9">
        <f t="array" ref="S1148">+SUM(IFERROR(VALUE(Q1148:R1148),0))</f>
        <v>0</v>
      </c>
    </row>
    <row r="1149" spans="1:19">
      <c r="A1149" s="26"/>
      <c r="B1149" s="27"/>
      <c r="C1149" s="27"/>
      <c r="D1149" s="28"/>
      <c r="F1149" s="9" t="str">
        <f t="shared" si="153"/>
        <v/>
      </c>
      <c r="G1149" s="9">
        <f t="shared" si="154"/>
        <v>0</v>
      </c>
      <c r="H1149" s="9">
        <f t="shared" si="155"/>
        <v>0</v>
      </c>
      <c r="I1149" s="9">
        <f t="array" ref="I1149">+SUM(IFERROR(VALUE(G1149:H1149),0))</f>
        <v>0</v>
      </c>
      <c r="K1149" s="9" t="str">
        <f t="shared" si="156"/>
        <v/>
      </c>
      <c r="L1149" s="9">
        <f t="shared" si="157"/>
        <v>0</v>
      </c>
      <c r="M1149" s="9">
        <f t="shared" si="158"/>
        <v>0</v>
      </c>
      <c r="N1149" s="9">
        <f t="array" ref="N1149">+SUM(IFERROR(VALUE(L1149:M1149),0))</f>
        <v>0</v>
      </c>
      <c r="P1149" s="9" t="str">
        <f t="shared" si="159"/>
        <v/>
      </c>
      <c r="Q1149" s="9">
        <f t="shared" si="160"/>
        <v>0</v>
      </c>
      <c r="R1149" s="9">
        <f t="shared" si="161"/>
        <v>0</v>
      </c>
      <c r="S1149" s="9">
        <f t="array" ref="S1149">+SUM(IFERROR(VALUE(Q1149:R1149),0))</f>
        <v>0</v>
      </c>
    </row>
    <row r="1150" spans="1:19">
      <c r="A1150" s="26"/>
      <c r="B1150" s="27"/>
      <c r="C1150" s="27"/>
      <c r="D1150" s="28"/>
      <c r="F1150" s="9" t="str">
        <f t="shared" si="153"/>
        <v/>
      </c>
      <c r="G1150" s="9">
        <f t="shared" si="154"/>
        <v>0</v>
      </c>
      <c r="H1150" s="9">
        <f t="shared" si="155"/>
        <v>0</v>
      </c>
      <c r="I1150" s="9">
        <f t="array" ref="I1150">+SUM(IFERROR(VALUE(G1150:H1150),0))</f>
        <v>0</v>
      </c>
      <c r="K1150" s="9" t="str">
        <f t="shared" si="156"/>
        <v/>
      </c>
      <c r="L1150" s="9">
        <f t="shared" si="157"/>
        <v>0</v>
      </c>
      <c r="M1150" s="9">
        <f t="shared" si="158"/>
        <v>0</v>
      </c>
      <c r="N1150" s="9">
        <f t="array" ref="N1150">+SUM(IFERROR(VALUE(L1150:M1150),0))</f>
        <v>0</v>
      </c>
      <c r="P1150" s="9" t="str">
        <f t="shared" si="159"/>
        <v/>
      </c>
      <c r="Q1150" s="9">
        <f t="shared" si="160"/>
        <v>0</v>
      </c>
      <c r="R1150" s="9">
        <f t="shared" si="161"/>
        <v>0</v>
      </c>
      <c r="S1150" s="9">
        <f t="array" ref="S1150">+SUM(IFERROR(VALUE(Q1150:R1150),0))</f>
        <v>0</v>
      </c>
    </row>
    <row r="1151" spans="1:19">
      <c r="A1151" s="26"/>
      <c r="B1151" s="27"/>
      <c r="C1151" s="27"/>
      <c r="D1151" s="28"/>
      <c r="F1151" s="9" t="str">
        <f t="shared" si="153"/>
        <v/>
      </c>
      <c r="G1151" s="9">
        <f t="shared" si="154"/>
        <v>0</v>
      </c>
      <c r="H1151" s="9">
        <f t="shared" si="155"/>
        <v>0</v>
      </c>
      <c r="I1151" s="9">
        <f t="array" ref="I1151">+SUM(IFERROR(VALUE(G1151:H1151),0))</f>
        <v>0</v>
      </c>
      <c r="K1151" s="9" t="str">
        <f t="shared" si="156"/>
        <v/>
      </c>
      <c r="L1151" s="9">
        <f t="shared" si="157"/>
        <v>0</v>
      </c>
      <c r="M1151" s="9">
        <f t="shared" si="158"/>
        <v>0</v>
      </c>
      <c r="N1151" s="9">
        <f t="array" ref="N1151">+SUM(IFERROR(VALUE(L1151:M1151),0))</f>
        <v>0</v>
      </c>
      <c r="P1151" s="9" t="str">
        <f t="shared" si="159"/>
        <v/>
      </c>
      <c r="Q1151" s="9">
        <f t="shared" si="160"/>
        <v>0</v>
      </c>
      <c r="R1151" s="9">
        <f t="shared" si="161"/>
        <v>0</v>
      </c>
      <c r="S1151" s="9">
        <f t="array" ref="S1151">+SUM(IFERROR(VALUE(Q1151:R1151),0))</f>
        <v>0</v>
      </c>
    </row>
    <row r="1152" spans="1:19">
      <c r="A1152" s="26"/>
      <c r="B1152" s="27"/>
      <c r="C1152" s="27"/>
      <c r="D1152" s="28"/>
      <c r="F1152" s="9" t="str">
        <f t="shared" si="153"/>
        <v/>
      </c>
      <c r="G1152" s="9">
        <f t="shared" si="154"/>
        <v>0</v>
      </c>
      <c r="H1152" s="9">
        <f t="shared" si="155"/>
        <v>0</v>
      </c>
      <c r="I1152" s="9">
        <f t="array" ref="I1152">+SUM(IFERROR(VALUE(G1152:H1152),0))</f>
        <v>0</v>
      </c>
      <c r="K1152" s="9" t="str">
        <f t="shared" si="156"/>
        <v/>
      </c>
      <c r="L1152" s="9">
        <f t="shared" si="157"/>
        <v>0</v>
      </c>
      <c r="M1152" s="9">
        <f t="shared" si="158"/>
        <v>0</v>
      </c>
      <c r="N1152" s="9">
        <f t="array" ref="N1152">+SUM(IFERROR(VALUE(L1152:M1152),0))</f>
        <v>0</v>
      </c>
      <c r="P1152" s="9" t="str">
        <f t="shared" si="159"/>
        <v/>
      </c>
      <c r="Q1152" s="9">
        <f t="shared" si="160"/>
        <v>0</v>
      </c>
      <c r="R1152" s="9">
        <f t="shared" si="161"/>
        <v>0</v>
      </c>
      <c r="S1152" s="9">
        <f t="array" ref="S1152">+SUM(IFERROR(VALUE(Q1152:R1152),0))</f>
        <v>0</v>
      </c>
    </row>
    <row r="1153" spans="1:19">
      <c r="A1153" s="26"/>
      <c r="B1153" s="27"/>
      <c r="C1153" s="27"/>
      <c r="D1153" s="28"/>
      <c r="F1153" s="9" t="str">
        <f t="shared" si="153"/>
        <v/>
      </c>
      <c r="G1153" s="9">
        <f t="shared" si="154"/>
        <v>0</v>
      </c>
      <c r="H1153" s="9">
        <f t="shared" si="155"/>
        <v>0</v>
      </c>
      <c r="I1153" s="9">
        <f t="array" ref="I1153">+SUM(IFERROR(VALUE(G1153:H1153),0))</f>
        <v>0</v>
      </c>
      <c r="K1153" s="9" t="str">
        <f t="shared" si="156"/>
        <v/>
      </c>
      <c r="L1153" s="9">
        <f t="shared" si="157"/>
        <v>0</v>
      </c>
      <c r="M1153" s="9">
        <f t="shared" si="158"/>
        <v>0</v>
      </c>
      <c r="N1153" s="9">
        <f t="array" ref="N1153">+SUM(IFERROR(VALUE(L1153:M1153),0))</f>
        <v>0</v>
      </c>
      <c r="P1153" s="9" t="str">
        <f t="shared" si="159"/>
        <v/>
      </c>
      <c r="Q1153" s="9">
        <f t="shared" si="160"/>
        <v>0</v>
      </c>
      <c r="R1153" s="9">
        <f t="shared" si="161"/>
        <v>0</v>
      </c>
      <c r="S1153" s="9">
        <f t="array" ref="S1153">+SUM(IFERROR(VALUE(Q1153:R1153),0))</f>
        <v>0</v>
      </c>
    </row>
    <row r="1154" spans="1:19">
      <c r="A1154" s="26"/>
      <c r="B1154" s="27"/>
      <c r="C1154" s="27"/>
      <c r="D1154" s="28"/>
      <c r="F1154" s="9" t="str">
        <f t="shared" si="153"/>
        <v/>
      </c>
      <c r="G1154" s="9">
        <f t="shared" si="154"/>
        <v>0</v>
      </c>
      <c r="H1154" s="9">
        <f t="shared" si="155"/>
        <v>0</v>
      </c>
      <c r="I1154" s="9">
        <f t="array" ref="I1154">+SUM(IFERROR(VALUE(G1154:H1154),0))</f>
        <v>0</v>
      </c>
      <c r="K1154" s="9" t="str">
        <f t="shared" si="156"/>
        <v/>
      </c>
      <c r="L1154" s="9">
        <f t="shared" si="157"/>
        <v>0</v>
      </c>
      <c r="M1154" s="9">
        <f t="shared" si="158"/>
        <v>0</v>
      </c>
      <c r="N1154" s="9">
        <f t="array" ref="N1154">+SUM(IFERROR(VALUE(L1154:M1154),0))</f>
        <v>0</v>
      </c>
      <c r="P1154" s="9" t="str">
        <f t="shared" si="159"/>
        <v/>
      </c>
      <c r="Q1154" s="9">
        <f t="shared" si="160"/>
        <v>0</v>
      </c>
      <c r="R1154" s="9">
        <f t="shared" si="161"/>
        <v>0</v>
      </c>
      <c r="S1154" s="9">
        <f t="array" ref="S1154">+SUM(IFERROR(VALUE(Q1154:R1154),0))</f>
        <v>0</v>
      </c>
    </row>
    <row r="1155" spans="1:19">
      <c r="A1155" s="26"/>
      <c r="B1155" s="27"/>
      <c r="C1155" s="27"/>
      <c r="D1155" s="28"/>
      <c r="F1155" s="9" t="str">
        <f t="shared" si="153"/>
        <v/>
      </c>
      <c r="G1155" s="9">
        <f t="shared" si="154"/>
        <v>0</v>
      </c>
      <c r="H1155" s="9">
        <f t="shared" si="155"/>
        <v>0</v>
      </c>
      <c r="I1155" s="9">
        <f t="array" ref="I1155">+SUM(IFERROR(VALUE(G1155:H1155),0))</f>
        <v>0</v>
      </c>
      <c r="K1155" s="9" t="str">
        <f t="shared" si="156"/>
        <v/>
      </c>
      <c r="L1155" s="9">
        <f t="shared" si="157"/>
        <v>0</v>
      </c>
      <c r="M1155" s="9">
        <f t="shared" si="158"/>
        <v>0</v>
      </c>
      <c r="N1155" s="9">
        <f t="array" ref="N1155">+SUM(IFERROR(VALUE(L1155:M1155),0))</f>
        <v>0</v>
      </c>
      <c r="P1155" s="9" t="str">
        <f t="shared" si="159"/>
        <v/>
      </c>
      <c r="Q1155" s="9">
        <f t="shared" si="160"/>
        <v>0</v>
      </c>
      <c r="R1155" s="9">
        <f t="shared" si="161"/>
        <v>0</v>
      </c>
      <c r="S1155" s="9">
        <f t="array" ref="S1155">+SUM(IFERROR(VALUE(Q1155:R1155),0))</f>
        <v>0</v>
      </c>
    </row>
    <row r="1156" spans="1:19">
      <c r="A1156" s="26"/>
      <c r="B1156" s="27"/>
      <c r="C1156" s="27"/>
      <c r="D1156" s="28"/>
      <c r="F1156" s="9" t="str">
        <f t="shared" si="153"/>
        <v/>
      </c>
      <c r="G1156" s="9">
        <f t="shared" si="154"/>
        <v>0</v>
      </c>
      <c r="H1156" s="9">
        <f t="shared" si="155"/>
        <v>0</v>
      </c>
      <c r="I1156" s="9">
        <f t="array" ref="I1156">+SUM(IFERROR(VALUE(G1156:H1156),0))</f>
        <v>0</v>
      </c>
      <c r="K1156" s="9" t="str">
        <f t="shared" si="156"/>
        <v/>
      </c>
      <c r="L1156" s="9">
        <f t="shared" si="157"/>
        <v>0</v>
      </c>
      <c r="M1156" s="9">
        <f t="shared" si="158"/>
        <v>0</v>
      </c>
      <c r="N1156" s="9">
        <f t="array" ref="N1156">+SUM(IFERROR(VALUE(L1156:M1156),0))</f>
        <v>0</v>
      </c>
      <c r="P1156" s="9" t="str">
        <f t="shared" si="159"/>
        <v/>
      </c>
      <c r="Q1156" s="9">
        <f t="shared" si="160"/>
        <v>0</v>
      </c>
      <c r="R1156" s="9">
        <f t="shared" si="161"/>
        <v>0</v>
      </c>
      <c r="S1156" s="9">
        <f t="array" ref="S1156">+SUM(IFERROR(VALUE(Q1156:R1156),0))</f>
        <v>0</v>
      </c>
    </row>
    <row r="1157" spans="1:19">
      <c r="A1157" s="26"/>
      <c r="B1157" s="27"/>
      <c r="C1157" s="27"/>
      <c r="D1157" s="28"/>
      <c r="F1157" s="9" t="str">
        <f t="shared" si="153"/>
        <v/>
      </c>
      <c r="G1157" s="9">
        <f t="shared" si="154"/>
        <v>0</v>
      </c>
      <c r="H1157" s="9">
        <f t="shared" si="155"/>
        <v>0</v>
      </c>
      <c r="I1157" s="9">
        <f t="array" ref="I1157">+SUM(IFERROR(VALUE(G1157:H1157),0))</f>
        <v>0</v>
      </c>
      <c r="K1157" s="9" t="str">
        <f t="shared" si="156"/>
        <v/>
      </c>
      <c r="L1157" s="9">
        <f t="shared" si="157"/>
        <v>0</v>
      </c>
      <c r="M1157" s="9">
        <f t="shared" si="158"/>
        <v>0</v>
      </c>
      <c r="N1157" s="9">
        <f t="array" ref="N1157">+SUM(IFERROR(VALUE(L1157:M1157),0))</f>
        <v>0</v>
      </c>
      <c r="P1157" s="9" t="str">
        <f t="shared" si="159"/>
        <v/>
      </c>
      <c r="Q1157" s="9">
        <f t="shared" si="160"/>
        <v>0</v>
      </c>
      <c r="R1157" s="9">
        <f t="shared" si="161"/>
        <v>0</v>
      </c>
      <c r="S1157" s="9">
        <f t="array" ref="S1157">+SUM(IFERROR(VALUE(Q1157:R1157),0))</f>
        <v>0</v>
      </c>
    </row>
    <row r="1158" spans="1:19">
      <c r="A1158" s="26"/>
      <c r="B1158" s="27"/>
      <c r="C1158" s="27"/>
      <c r="D1158" s="28"/>
      <c r="F1158" s="9" t="str">
        <f t="shared" ref="F1158:F1221" si="162">+LEFT(A1158,4)</f>
        <v/>
      </c>
      <c r="G1158" s="9">
        <f t="shared" ref="G1158:G1221" si="163">+C1158</f>
        <v>0</v>
      </c>
      <c r="H1158" s="9">
        <f t="shared" ref="H1158:H1221" si="164">-D1158</f>
        <v>0</v>
      </c>
      <c r="I1158" s="9">
        <f t="array" ref="I1158">+SUM(IFERROR(VALUE(G1158:H1158),0))</f>
        <v>0</v>
      </c>
      <c r="K1158" s="9" t="str">
        <f t="shared" ref="K1158:K1221" si="165">+LEFT(A1158,3)</f>
        <v/>
      </c>
      <c r="L1158" s="9">
        <f t="shared" ref="L1158:L1221" si="166">+C1158</f>
        <v>0</v>
      </c>
      <c r="M1158" s="9">
        <f t="shared" ref="M1158:M1221" si="167">-D1158</f>
        <v>0</v>
      </c>
      <c r="N1158" s="9">
        <f t="array" ref="N1158">+SUM(IFERROR(VALUE(L1158:M1158),0))</f>
        <v>0</v>
      </c>
      <c r="P1158" s="9" t="str">
        <f t="shared" ref="P1158:P1221" si="168">+LEFT(A1158,2)</f>
        <v/>
      </c>
      <c r="Q1158" s="9">
        <f t="shared" ref="Q1158:Q1221" si="169">+C1158</f>
        <v>0</v>
      </c>
      <c r="R1158" s="9">
        <f t="shared" ref="R1158:R1221" si="170">-D1158</f>
        <v>0</v>
      </c>
      <c r="S1158" s="9">
        <f t="array" ref="S1158">+SUM(IFERROR(VALUE(Q1158:R1158),0))</f>
        <v>0</v>
      </c>
    </row>
    <row r="1159" spans="1:19">
      <c r="A1159" s="26"/>
      <c r="B1159" s="27"/>
      <c r="C1159" s="27"/>
      <c r="D1159" s="28"/>
      <c r="F1159" s="9" t="str">
        <f t="shared" si="162"/>
        <v/>
      </c>
      <c r="G1159" s="9">
        <f t="shared" si="163"/>
        <v>0</v>
      </c>
      <c r="H1159" s="9">
        <f t="shared" si="164"/>
        <v>0</v>
      </c>
      <c r="I1159" s="9">
        <f t="array" ref="I1159">+SUM(IFERROR(VALUE(G1159:H1159),0))</f>
        <v>0</v>
      </c>
      <c r="K1159" s="9" t="str">
        <f t="shared" si="165"/>
        <v/>
      </c>
      <c r="L1159" s="9">
        <f t="shared" si="166"/>
        <v>0</v>
      </c>
      <c r="M1159" s="9">
        <f t="shared" si="167"/>
        <v>0</v>
      </c>
      <c r="N1159" s="9">
        <f t="array" ref="N1159">+SUM(IFERROR(VALUE(L1159:M1159),0))</f>
        <v>0</v>
      </c>
      <c r="P1159" s="9" t="str">
        <f t="shared" si="168"/>
        <v/>
      </c>
      <c r="Q1159" s="9">
        <f t="shared" si="169"/>
        <v>0</v>
      </c>
      <c r="R1159" s="9">
        <f t="shared" si="170"/>
        <v>0</v>
      </c>
      <c r="S1159" s="9">
        <f t="array" ref="S1159">+SUM(IFERROR(VALUE(Q1159:R1159),0))</f>
        <v>0</v>
      </c>
    </row>
    <row r="1160" spans="1:19">
      <c r="A1160" s="26"/>
      <c r="B1160" s="27"/>
      <c r="C1160" s="27"/>
      <c r="D1160" s="28"/>
      <c r="F1160" s="9" t="str">
        <f t="shared" si="162"/>
        <v/>
      </c>
      <c r="G1160" s="9">
        <f t="shared" si="163"/>
        <v>0</v>
      </c>
      <c r="H1160" s="9">
        <f t="shared" si="164"/>
        <v>0</v>
      </c>
      <c r="I1160" s="9">
        <f t="array" ref="I1160">+SUM(IFERROR(VALUE(G1160:H1160),0))</f>
        <v>0</v>
      </c>
      <c r="K1160" s="9" t="str">
        <f t="shared" si="165"/>
        <v/>
      </c>
      <c r="L1160" s="9">
        <f t="shared" si="166"/>
        <v>0</v>
      </c>
      <c r="M1160" s="9">
        <f t="shared" si="167"/>
        <v>0</v>
      </c>
      <c r="N1160" s="9">
        <f t="array" ref="N1160">+SUM(IFERROR(VALUE(L1160:M1160),0))</f>
        <v>0</v>
      </c>
      <c r="P1160" s="9" t="str">
        <f t="shared" si="168"/>
        <v/>
      </c>
      <c r="Q1160" s="9">
        <f t="shared" si="169"/>
        <v>0</v>
      </c>
      <c r="R1160" s="9">
        <f t="shared" si="170"/>
        <v>0</v>
      </c>
      <c r="S1160" s="9">
        <f t="array" ref="S1160">+SUM(IFERROR(VALUE(Q1160:R1160),0))</f>
        <v>0</v>
      </c>
    </row>
    <row r="1161" spans="1:19">
      <c r="A1161" s="26"/>
      <c r="B1161" s="27"/>
      <c r="C1161" s="27"/>
      <c r="D1161" s="28"/>
      <c r="F1161" s="9" t="str">
        <f t="shared" si="162"/>
        <v/>
      </c>
      <c r="G1161" s="9">
        <f t="shared" si="163"/>
        <v>0</v>
      </c>
      <c r="H1161" s="9">
        <f t="shared" si="164"/>
        <v>0</v>
      </c>
      <c r="I1161" s="9">
        <f t="array" ref="I1161">+SUM(IFERROR(VALUE(G1161:H1161),0))</f>
        <v>0</v>
      </c>
      <c r="K1161" s="9" t="str">
        <f t="shared" si="165"/>
        <v/>
      </c>
      <c r="L1161" s="9">
        <f t="shared" si="166"/>
        <v>0</v>
      </c>
      <c r="M1161" s="9">
        <f t="shared" si="167"/>
        <v>0</v>
      </c>
      <c r="N1161" s="9">
        <f t="array" ref="N1161">+SUM(IFERROR(VALUE(L1161:M1161),0))</f>
        <v>0</v>
      </c>
      <c r="P1161" s="9" t="str">
        <f t="shared" si="168"/>
        <v/>
      </c>
      <c r="Q1161" s="9">
        <f t="shared" si="169"/>
        <v>0</v>
      </c>
      <c r="R1161" s="9">
        <f t="shared" si="170"/>
        <v>0</v>
      </c>
      <c r="S1161" s="9">
        <f t="array" ref="S1161">+SUM(IFERROR(VALUE(Q1161:R1161),0))</f>
        <v>0</v>
      </c>
    </row>
    <row r="1162" spans="1:19">
      <c r="A1162" s="26"/>
      <c r="B1162" s="27"/>
      <c r="C1162" s="27"/>
      <c r="D1162" s="28"/>
      <c r="F1162" s="9" t="str">
        <f t="shared" si="162"/>
        <v/>
      </c>
      <c r="G1162" s="9">
        <f t="shared" si="163"/>
        <v>0</v>
      </c>
      <c r="H1162" s="9">
        <f t="shared" si="164"/>
        <v>0</v>
      </c>
      <c r="I1162" s="9">
        <f t="array" ref="I1162">+SUM(IFERROR(VALUE(G1162:H1162),0))</f>
        <v>0</v>
      </c>
      <c r="K1162" s="9" t="str">
        <f t="shared" si="165"/>
        <v/>
      </c>
      <c r="L1162" s="9">
        <f t="shared" si="166"/>
        <v>0</v>
      </c>
      <c r="M1162" s="9">
        <f t="shared" si="167"/>
        <v>0</v>
      </c>
      <c r="N1162" s="9">
        <f t="array" ref="N1162">+SUM(IFERROR(VALUE(L1162:M1162),0))</f>
        <v>0</v>
      </c>
      <c r="P1162" s="9" t="str">
        <f t="shared" si="168"/>
        <v/>
      </c>
      <c r="Q1162" s="9">
        <f t="shared" si="169"/>
        <v>0</v>
      </c>
      <c r="R1162" s="9">
        <f t="shared" si="170"/>
        <v>0</v>
      </c>
      <c r="S1162" s="9">
        <f t="array" ref="S1162">+SUM(IFERROR(VALUE(Q1162:R1162),0))</f>
        <v>0</v>
      </c>
    </row>
    <row r="1163" spans="1:19">
      <c r="A1163" s="26"/>
      <c r="B1163" s="27"/>
      <c r="C1163" s="27"/>
      <c r="D1163" s="28"/>
      <c r="F1163" s="9" t="str">
        <f t="shared" si="162"/>
        <v/>
      </c>
      <c r="G1163" s="9">
        <f t="shared" si="163"/>
        <v>0</v>
      </c>
      <c r="H1163" s="9">
        <f t="shared" si="164"/>
        <v>0</v>
      </c>
      <c r="I1163" s="9">
        <f t="array" ref="I1163">+SUM(IFERROR(VALUE(G1163:H1163),0))</f>
        <v>0</v>
      </c>
      <c r="K1163" s="9" t="str">
        <f t="shared" si="165"/>
        <v/>
      </c>
      <c r="L1163" s="9">
        <f t="shared" si="166"/>
        <v>0</v>
      </c>
      <c r="M1163" s="9">
        <f t="shared" si="167"/>
        <v>0</v>
      </c>
      <c r="N1163" s="9">
        <f t="array" ref="N1163">+SUM(IFERROR(VALUE(L1163:M1163),0))</f>
        <v>0</v>
      </c>
      <c r="P1163" s="9" t="str">
        <f t="shared" si="168"/>
        <v/>
      </c>
      <c r="Q1163" s="9">
        <f t="shared" si="169"/>
        <v>0</v>
      </c>
      <c r="R1163" s="9">
        <f t="shared" si="170"/>
        <v>0</v>
      </c>
      <c r="S1163" s="9">
        <f t="array" ref="S1163">+SUM(IFERROR(VALUE(Q1163:R1163),0))</f>
        <v>0</v>
      </c>
    </row>
    <row r="1164" spans="1:19">
      <c r="A1164" s="26"/>
      <c r="B1164" s="27"/>
      <c r="C1164" s="27"/>
      <c r="D1164" s="28"/>
      <c r="F1164" s="9" t="str">
        <f t="shared" si="162"/>
        <v/>
      </c>
      <c r="G1164" s="9">
        <f t="shared" si="163"/>
        <v>0</v>
      </c>
      <c r="H1164" s="9">
        <f t="shared" si="164"/>
        <v>0</v>
      </c>
      <c r="I1164" s="9">
        <f t="array" ref="I1164">+SUM(IFERROR(VALUE(G1164:H1164),0))</f>
        <v>0</v>
      </c>
      <c r="K1164" s="9" t="str">
        <f t="shared" si="165"/>
        <v/>
      </c>
      <c r="L1164" s="9">
        <f t="shared" si="166"/>
        <v>0</v>
      </c>
      <c r="M1164" s="9">
        <f t="shared" si="167"/>
        <v>0</v>
      </c>
      <c r="N1164" s="9">
        <f t="array" ref="N1164">+SUM(IFERROR(VALUE(L1164:M1164),0))</f>
        <v>0</v>
      </c>
      <c r="P1164" s="9" t="str">
        <f t="shared" si="168"/>
        <v/>
      </c>
      <c r="Q1164" s="9">
        <f t="shared" si="169"/>
        <v>0</v>
      </c>
      <c r="R1164" s="9">
        <f t="shared" si="170"/>
        <v>0</v>
      </c>
      <c r="S1164" s="9">
        <f t="array" ref="S1164">+SUM(IFERROR(VALUE(Q1164:R1164),0))</f>
        <v>0</v>
      </c>
    </row>
    <row r="1165" spans="1:19">
      <c r="A1165" s="26"/>
      <c r="B1165" s="27"/>
      <c r="C1165" s="27"/>
      <c r="D1165" s="28"/>
      <c r="F1165" s="9" t="str">
        <f t="shared" si="162"/>
        <v/>
      </c>
      <c r="G1165" s="9">
        <f t="shared" si="163"/>
        <v>0</v>
      </c>
      <c r="H1165" s="9">
        <f t="shared" si="164"/>
        <v>0</v>
      </c>
      <c r="I1165" s="9">
        <f t="array" ref="I1165">+SUM(IFERROR(VALUE(G1165:H1165),0))</f>
        <v>0</v>
      </c>
      <c r="K1165" s="9" t="str">
        <f t="shared" si="165"/>
        <v/>
      </c>
      <c r="L1165" s="9">
        <f t="shared" si="166"/>
        <v>0</v>
      </c>
      <c r="M1165" s="9">
        <f t="shared" si="167"/>
        <v>0</v>
      </c>
      <c r="N1165" s="9">
        <f t="array" ref="N1165">+SUM(IFERROR(VALUE(L1165:M1165),0))</f>
        <v>0</v>
      </c>
      <c r="P1165" s="9" t="str">
        <f t="shared" si="168"/>
        <v/>
      </c>
      <c r="Q1165" s="9">
        <f t="shared" si="169"/>
        <v>0</v>
      </c>
      <c r="R1165" s="9">
        <f t="shared" si="170"/>
        <v>0</v>
      </c>
      <c r="S1165" s="9">
        <f t="array" ref="S1165">+SUM(IFERROR(VALUE(Q1165:R1165),0))</f>
        <v>0</v>
      </c>
    </row>
    <row r="1166" spans="1:19">
      <c r="A1166" s="26"/>
      <c r="B1166" s="27"/>
      <c r="C1166" s="27"/>
      <c r="D1166" s="28"/>
      <c r="F1166" s="9" t="str">
        <f t="shared" si="162"/>
        <v/>
      </c>
      <c r="G1166" s="9">
        <f t="shared" si="163"/>
        <v>0</v>
      </c>
      <c r="H1166" s="9">
        <f t="shared" si="164"/>
        <v>0</v>
      </c>
      <c r="I1166" s="9">
        <f t="array" ref="I1166">+SUM(IFERROR(VALUE(G1166:H1166),0))</f>
        <v>0</v>
      </c>
      <c r="K1166" s="9" t="str">
        <f t="shared" si="165"/>
        <v/>
      </c>
      <c r="L1166" s="9">
        <f t="shared" si="166"/>
        <v>0</v>
      </c>
      <c r="M1166" s="9">
        <f t="shared" si="167"/>
        <v>0</v>
      </c>
      <c r="N1166" s="9">
        <f t="array" ref="N1166">+SUM(IFERROR(VALUE(L1166:M1166),0))</f>
        <v>0</v>
      </c>
      <c r="P1166" s="9" t="str">
        <f t="shared" si="168"/>
        <v/>
      </c>
      <c r="Q1166" s="9">
        <f t="shared" si="169"/>
        <v>0</v>
      </c>
      <c r="R1166" s="9">
        <f t="shared" si="170"/>
        <v>0</v>
      </c>
      <c r="S1166" s="9">
        <f t="array" ref="S1166">+SUM(IFERROR(VALUE(Q1166:R1166),0))</f>
        <v>0</v>
      </c>
    </row>
    <row r="1167" spans="1:19">
      <c r="A1167" s="26"/>
      <c r="B1167" s="27"/>
      <c r="C1167" s="27"/>
      <c r="D1167" s="28"/>
      <c r="F1167" s="9" t="str">
        <f t="shared" si="162"/>
        <v/>
      </c>
      <c r="G1167" s="9">
        <f t="shared" si="163"/>
        <v>0</v>
      </c>
      <c r="H1167" s="9">
        <f t="shared" si="164"/>
        <v>0</v>
      </c>
      <c r="I1167" s="9">
        <f t="array" ref="I1167">+SUM(IFERROR(VALUE(G1167:H1167),0))</f>
        <v>0</v>
      </c>
      <c r="K1167" s="9" t="str">
        <f t="shared" si="165"/>
        <v/>
      </c>
      <c r="L1167" s="9">
        <f t="shared" si="166"/>
        <v>0</v>
      </c>
      <c r="M1167" s="9">
        <f t="shared" si="167"/>
        <v>0</v>
      </c>
      <c r="N1167" s="9">
        <f t="array" ref="N1167">+SUM(IFERROR(VALUE(L1167:M1167),0))</f>
        <v>0</v>
      </c>
      <c r="P1167" s="9" t="str">
        <f t="shared" si="168"/>
        <v/>
      </c>
      <c r="Q1167" s="9">
        <f t="shared" si="169"/>
        <v>0</v>
      </c>
      <c r="R1167" s="9">
        <f t="shared" si="170"/>
        <v>0</v>
      </c>
      <c r="S1167" s="9">
        <f t="array" ref="S1167">+SUM(IFERROR(VALUE(Q1167:R1167),0))</f>
        <v>0</v>
      </c>
    </row>
    <row r="1168" spans="1:19">
      <c r="A1168" s="26"/>
      <c r="B1168" s="27"/>
      <c r="C1168" s="27"/>
      <c r="D1168" s="28"/>
      <c r="F1168" s="9" t="str">
        <f t="shared" si="162"/>
        <v/>
      </c>
      <c r="G1168" s="9">
        <f t="shared" si="163"/>
        <v>0</v>
      </c>
      <c r="H1168" s="9">
        <f t="shared" si="164"/>
        <v>0</v>
      </c>
      <c r="I1168" s="9">
        <f t="array" ref="I1168">+SUM(IFERROR(VALUE(G1168:H1168),0))</f>
        <v>0</v>
      </c>
      <c r="K1168" s="9" t="str">
        <f t="shared" si="165"/>
        <v/>
      </c>
      <c r="L1168" s="9">
        <f t="shared" si="166"/>
        <v>0</v>
      </c>
      <c r="M1168" s="9">
        <f t="shared" si="167"/>
        <v>0</v>
      </c>
      <c r="N1168" s="9">
        <f t="array" ref="N1168">+SUM(IFERROR(VALUE(L1168:M1168),0))</f>
        <v>0</v>
      </c>
      <c r="P1168" s="9" t="str">
        <f t="shared" si="168"/>
        <v/>
      </c>
      <c r="Q1168" s="9">
        <f t="shared" si="169"/>
        <v>0</v>
      </c>
      <c r="R1168" s="9">
        <f t="shared" si="170"/>
        <v>0</v>
      </c>
      <c r="S1168" s="9">
        <f t="array" ref="S1168">+SUM(IFERROR(VALUE(Q1168:R1168),0))</f>
        <v>0</v>
      </c>
    </row>
    <row r="1169" spans="1:19">
      <c r="A1169" s="26"/>
      <c r="B1169" s="27"/>
      <c r="C1169" s="27"/>
      <c r="D1169" s="28"/>
      <c r="F1169" s="9" t="str">
        <f t="shared" si="162"/>
        <v/>
      </c>
      <c r="G1169" s="9">
        <f t="shared" si="163"/>
        <v>0</v>
      </c>
      <c r="H1169" s="9">
        <f t="shared" si="164"/>
        <v>0</v>
      </c>
      <c r="I1169" s="9">
        <f t="array" ref="I1169">+SUM(IFERROR(VALUE(G1169:H1169),0))</f>
        <v>0</v>
      </c>
      <c r="K1169" s="9" t="str">
        <f t="shared" si="165"/>
        <v/>
      </c>
      <c r="L1169" s="9">
        <f t="shared" si="166"/>
        <v>0</v>
      </c>
      <c r="M1169" s="9">
        <f t="shared" si="167"/>
        <v>0</v>
      </c>
      <c r="N1169" s="9">
        <f t="array" ref="N1169">+SUM(IFERROR(VALUE(L1169:M1169),0))</f>
        <v>0</v>
      </c>
      <c r="P1169" s="9" t="str">
        <f t="shared" si="168"/>
        <v/>
      </c>
      <c r="Q1169" s="9">
        <f t="shared" si="169"/>
        <v>0</v>
      </c>
      <c r="R1169" s="9">
        <f t="shared" si="170"/>
        <v>0</v>
      </c>
      <c r="S1169" s="9">
        <f t="array" ref="S1169">+SUM(IFERROR(VALUE(Q1169:R1169),0))</f>
        <v>0</v>
      </c>
    </row>
    <row r="1170" spans="1:19">
      <c r="A1170" s="26"/>
      <c r="B1170" s="27"/>
      <c r="C1170" s="27"/>
      <c r="D1170" s="28"/>
      <c r="F1170" s="9" t="str">
        <f t="shared" si="162"/>
        <v/>
      </c>
      <c r="G1170" s="9">
        <f t="shared" si="163"/>
        <v>0</v>
      </c>
      <c r="H1170" s="9">
        <f t="shared" si="164"/>
        <v>0</v>
      </c>
      <c r="I1170" s="9">
        <f t="array" ref="I1170">+SUM(IFERROR(VALUE(G1170:H1170),0))</f>
        <v>0</v>
      </c>
      <c r="K1170" s="9" t="str">
        <f t="shared" si="165"/>
        <v/>
      </c>
      <c r="L1170" s="9">
        <f t="shared" si="166"/>
        <v>0</v>
      </c>
      <c r="M1170" s="9">
        <f t="shared" si="167"/>
        <v>0</v>
      </c>
      <c r="N1170" s="9">
        <f t="array" ref="N1170">+SUM(IFERROR(VALUE(L1170:M1170),0))</f>
        <v>0</v>
      </c>
      <c r="P1170" s="9" t="str">
        <f t="shared" si="168"/>
        <v/>
      </c>
      <c r="Q1170" s="9">
        <f t="shared" si="169"/>
        <v>0</v>
      </c>
      <c r="R1170" s="9">
        <f t="shared" si="170"/>
        <v>0</v>
      </c>
      <c r="S1170" s="9">
        <f t="array" ref="S1170">+SUM(IFERROR(VALUE(Q1170:R1170),0))</f>
        <v>0</v>
      </c>
    </row>
    <row r="1171" spans="1:19">
      <c r="A1171" s="26"/>
      <c r="B1171" s="27"/>
      <c r="C1171" s="27"/>
      <c r="D1171" s="28"/>
      <c r="F1171" s="9" t="str">
        <f t="shared" si="162"/>
        <v/>
      </c>
      <c r="G1171" s="9">
        <f t="shared" si="163"/>
        <v>0</v>
      </c>
      <c r="H1171" s="9">
        <f t="shared" si="164"/>
        <v>0</v>
      </c>
      <c r="I1171" s="9">
        <f t="array" ref="I1171">+SUM(IFERROR(VALUE(G1171:H1171),0))</f>
        <v>0</v>
      </c>
      <c r="K1171" s="9" t="str">
        <f t="shared" si="165"/>
        <v/>
      </c>
      <c r="L1171" s="9">
        <f t="shared" si="166"/>
        <v>0</v>
      </c>
      <c r="M1171" s="9">
        <f t="shared" si="167"/>
        <v>0</v>
      </c>
      <c r="N1171" s="9">
        <f t="array" ref="N1171">+SUM(IFERROR(VALUE(L1171:M1171),0))</f>
        <v>0</v>
      </c>
      <c r="P1171" s="9" t="str">
        <f t="shared" si="168"/>
        <v/>
      </c>
      <c r="Q1171" s="9">
        <f t="shared" si="169"/>
        <v>0</v>
      </c>
      <c r="R1171" s="9">
        <f t="shared" si="170"/>
        <v>0</v>
      </c>
      <c r="S1171" s="9">
        <f t="array" ref="S1171">+SUM(IFERROR(VALUE(Q1171:R1171),0))</f>
        <v>0</v>
      </c>
    </row>
    <row r="1172" spans="1:19">
      <c r="A1172" s="26"/>
      <c r="B1172" s="27"/>
      <c r="C1172" s="27"/>
      <c r="D1172" s="28"/>
      <c r="F1172" s="9" t="str">
        <f t="shared" si="162"/>
        <v/>
      </c>
      <c r="G1172" s="9">
        <f t="shared" si="163"/>
        <v>0</v>
      </c>
      <c r="H1172" s="9">
        <f t="shared" si="164"/>
        <v>0</v>
      </c>
      <c r="I1172" s="9">
        <f t="array" ref="I1172">+SUM(IFERROR(VALUE(G1172:H1172),0))</f>
        <v>0</v>
      </c>
      <c r="K1172" s="9" t="str">
        <f t="shared" si="165"/>
        <v/>
      </c>
      <c r="L1172" s="9">
        <f t="shared" si="166"/>
        <v>0</v>
      </c>
      <c r="M1172" s="9">
        <f t="shared" si="167"/>
        <v>0</v>
      </c>
      <c r="N1172" s="9">
        <f t="array" ref="N1172">+SUM(IFERROR(VALUE(L1172:M1172),0))</f>
        <v>0</v>
      </c>
      <c r="P1172" s="9" t="str">
        <f t="shared" si="168"/>
        <v/>
      </c>
      <c r="Q1172" s="9">
        <f t="shared" si="169"/>
        <v>0</v>
      </c>
      <c r="R1172" s="9">
        <f t="shared" si="170"/>
        <v>0</v>
      </c>
      <c r="S1172" s="9">
        <f t="array" ref="S1172">+SUM(IFERROR(VALUE(Q1172:R1172),0))</f>
        <v>0</v>
      </c>
    </row>
    <row r="1173" spans="1:19">
      <c r="A1173" s="26"/>
      <c r="B1173" s="27"/>
      <c r="C1173" s="27"/>
      <c r="D1173" s="28"/>
      <c r="F1173" s="9" t="str">
        <f t="shared" si="162"/>
        <v/>
      </c>
      <c r="G1173" s="9">
        <f t="shared" si="163"/>
        <v>0</v>
      </c>
      <c r="H1173" s="9">
        <f t="shared" si="164"/>
        <v>0</v>
      </c>
      <c r="I1173" s="9">
        <f t="array" ref="I1173">+SUM(IFERROR(VALUE(G1173:H1173),0))</f>
        <v>0</v>
      </c>
      <c r="K1173" s="9" t="str">
        <f t="shared" si="165"/>
        <v/>
      </c>
      <c r="L1173" s="9">
        <f t="shared" si="166"/>
        <v>0</v>
      </c>
      <c r="M1173" s="9">
        <f t="shared" si="167"/>
        <v>0</v>
      </c>
      <c r="N1173" s="9">
        <f t="array" ref="N1173">+SUM(IFERROR(VALUE(L1173:M1173),0))</f>
        <v>0</v>
      </c>
      <c r="P1173" s="9" t="str">
        <f t="shared" si="168"/>
        <v/>
      </c>
      <c r="Q1173" s="9">
        <f t="shared" si="169"/>
        <v>0</v>
      </c>
      <c r="R1173" s="9">
        <f t="shared" si="170"/>
        <v>0</v>
      </c>
      <c r="S1173" s="9">
        <f t="array" ref="S1173">+SUM(IFERROR(VALUE(Q1173:R1173),0))</f>
        <v>0</v>
      </c>
    </row>
    <row r="1174" spans="1:19">
      <c r="A1174" s="26"/>
      <c r="B1174" s="27"/>
      <c r="C1174" s="27"/>
      <c r="D1174" s="28"/>
      <c r="F1174" s="9" t="str">
        <f t="shared" si="162"/>
        <v/>
      </c>
      <c r="G1174" s="9">
        <f t="shared" si="163"/>
        <v>0</v>
      </c>
      <c r="H1174" s="9">
        <f t="shared" si="164"/>
        <v>0</v>
      </c>
      <c r="I1174" s="9">
        <f t="array" ref="I1174">+SUM(IFERROR(VALUE(G1174:H1174),0))</f>
        <v>0</v>
      </c>
      <c r="K1174" s="9" t="str">
        <f t="shared" si="165"/>
        <v/>
      </c>
      <c r="L1174" s="9">
        <f t="shared" si="166"/>
        <v>0</v>
      </c>
      <c r="M1174" s="9">
        <f t="shared" si="167"/>
        <v>0</v>
      </c>
      <c r="N1174" s="9">
        <f t="array" ref="N1174">+SUM(IFERROR(VALUE(L1174:M1174),0))</f>
        <v>0</v>
      </c>
      <c r="P1174" s="9" t="str">
        <f t="shared" si="168"/>
        <v/>
      </c>
      <c r="Q1174" s="9">
        <f t="shared" si="169"/>
        <v>0</v>
      </c>
      <c r="R1174" s="9">
        <f t="shared" si="170"/>
        <v>0</v>
      </c>
      <c r="S1174" s="9">
        <f t="array" ref="S1174">+SUM(IFERROR(VALUE(Q1174:R1174),0))</f>
        <v>0</v>
      </c>
    </row>
    <row r="1175" spans="1:19">
      <c r="A1175" s="26"/>
      <c r="B1175" s="27"/>
      <c r="C1175" s="27"/>
      <c r="D1175" s="28"/>
      <c r="F1175" s="9" t="str">
        <f t="shared" si="162"/>
        <v/>
      </c>
      <c r="G1175" s="9">
        <f t="shared" si="163"/>
        <v>0</v>
      </c>
      <c r="H1175" s="9">
        <f t="shared" si="164"/>
        <v>0</v>
      </c>
      <c r="I1175" s="9">
        <f t="array" ref="I1175">+SUM(IFERROR(VALUE(G1175:H1175),0))</f>
        <v>0</v>
      </c>
      <c r="K1175" s="9" t="str">
        <f t="shared" si="165"/>
        <v/>
      </c>
      <c r="L1175" s="9">
        <f t="shared" si="166"/>
        <v>0</v>
      </c>
      <c r="M1175" s="9">
        <f t="shared" si="167"/>
        <v>0</v>
      </c>
      <c r="N1175" s="9">
        <f t="array" ref="N1175">+SUM(IFERROR(VALUE(L1175:M1175),0))</f>
        <v>0</v>
      </c>
      <c r="P1175" s="9" t="str">
        <f t="shared" si="168"/>
        <v/>
      </c>
      <c r="Q1175" s="9">
        <f t="shared" si="169"/>
        <v>0</v>
      </c>
      <c r="R1175" s="9">
        <f t="shared" si="170"/>
        <v>0</v>
      </c>
      <c r="S1175" s="9">
        <f t="array" ref="S1175">+SUM(IFERROR(VALUE(Q1175:R1175),0))</f>
        <v>0</v>
      </c>
    </row>
    <row r="1176" spans="1:19">
      <c r="A1176" s="26"/>
      <c r="B1176" s="27"/>
      <c r="C1176" s="27"/>
      <c r="D1176" s="28"/>
      <c r="F1176" s="9" t="str">
        <f t="shared" si="162"/>
        <v/>
      </c>
      <c r="G1176" s="9">
        <f t="shared" si="163"/>
        <v>0</v>
      </c>
      <c r="H1176" s="9">
        <f t="shared" si="164"/>
        <v>0</v>
      </c>
      <c r="I1176" s="9">
        <f t="array" ref="I1176">+SUM(IFERROR(VALUE(G1176:H1176),0))</f>
        <v>0</v>
      </c>
      <c r="K1176" s="9" t="str">
        <f t="shared" si="165"/>
        <v/>
      </c>
      <c r="L1176" s="9">
        <f t="shared" si="166"/>
        <v>0</v>
      </c>
      <c r="M1176" s="9">
        <f t="shared" si="167"/>
        <v>0</v>
      </c>
      <c r="N1176" s="9">
        <f t="array" ref="N1176">+SUM(IFERROR(VALUE(L1176:M1176),0))</f>
        <v>0</v>
      </c>
      <c r="P1176" s="9" t="str">
        <f t="shared" si="168"/>
        <v/>
      </c>
      <c r="Q1176" s="9">
        <f t="shared" si="169"/>
        <v>0</v>
      </c>
      <c r="R1176" s="9">
        <f t="shared" si="170"/>
        <v>0</v>
      </c>
      <c r="S1176" s="9">
        <f t="array" ref="S1176">+SUM(IFERROR(VALUE(Q1176:R1176),0))</f>
        <v>0</v>
      </c>
    </row>
    <row r="1177" spans="1:19">
      <c r="A1177" s="26"/>
      <c r="B1177" s="27"/>
      <c r="C1177" s="27"/>
      <c r="D1177" s="28"/>
      <c r="F1177" s="9" t="str">
        <f t="shared" si="162"/>
        <v/>
      </c>
      <c r="G1177" s="9">
        <f t="shared" si="163"/>
        <v>0</v>
      </c>
      <c r="H1177" s="9">
        <f t="shared" si="164"/>
        <v>0</v>
      </c>
      <c r="I1177" s="9">
        <f t="array" ref="I1177">+SUM(IFERROR(VALUE(G1177:H1177),0))</f>
        <v>0</v>
      </c>
      <c r="K1177" s="9" t="str">
        <f t="shared" si="165"/>
        <v/>
      </c>
      <c r="L1177" s="9">
        <f t="shared" si="166"/>
        <v>0</v>
      </c>
      <c r="M1177" s="9">
        <f t="shared" si="167"/>
        <v>0</v>
      </c>
      <c r="N1177" s="9">
        <f t="array" ref="N1177">+SUM(IFERROR(VALUE(L1177:M1177),0))</f>
        <v>0</v>
      </c>
      <c r="P1177" s="9" t="str">
        <f t="shared" si="168"/>
        <v/>
      </c>
      <c r="Q1177" s="9">
        <f t="shared" si="169"/>
        <v>0</v>
      </c>
      <c r="R1177" s="9">
        <f t="shared" si="170"/>
        <v>0</v>
      </c>
      <c r="S1177" s="9">
        <f t="array" ref="S1177">+SUM(IFERROR(VALUE(Q1177:R1177),0))</f>
        <v>0</v>
      </c>
    </row>
    <row r="1178" spans="1:19">
      <c r="A1178" s="26"/>
      <c r="B1178" s="27"/>
      <c r="C1178" s="27"/>
      <c r="D1178" s="28"/>
      <c r="F1178" s="9" t="str">
        <f t="shared" si="162"/>
        <v/>
      </c>
      <c r="G1178" s="9">
        <f t="shared" si="163"/>
        <v>0</v>
      </c>
      <c r="H1178" s="9">
        <f t="shared" si="164"/>
        <v>0</v>
      </c>
      <c r="I1178" s="9">
        <f t="array" ref="I1178">+SUM(IFERROR(VALUE(G1178:H1178),0))</f>
        <v>0</v>
      </c>
      <c r="K1178" s="9" t="str">
        <f t="shared" si="165"/>
        <v/>
      </c>
      <c r="L1178" s="9">
        <f t="shared" si="166"/>
        <v>0</v>
      </c>
      <c r="M1178" s="9">
        <f t="shared" si="167"/>
        <v>0</v>
      </c>
      <c r="N1178" s="9">
        <f t="array" ref="N1178">+SUM(IFERROR(VALUE(L1178:M1178),0))</f>
        <v>0</v>
      </c>
      <c r="P1178" s="9" t="str">
        <f t="shared" si="168"/>
        <v/>
      </c>
      <c r="Q1178" s="9">
        <f t="shared" si="169"/>
        <v>0</v>
      </c>
      <c r="R1178" s="9">
        <f t="shared" si="170"/>
        <v>0</v>
      </c>
      <c r="S1178" s="9">
        <f t="array" ref="S1178">+SUM(IFERROR(VALUE(Q1178:R1178),0))</f>
        <v>0</v>
      </c>
    </row>
    <row r="1179" spans="1:19">
      <c r="A1179" s="26"/>
      <c r="B1179" s="27"/>
      <c r="C1179" s="27"/>
      <c r="D1179" s="28"/>
      <c r="F1179" s="9" t="str">
        <f t="shared" si="162"/>
        <v/>
      </c>
      <c r="G1179" s="9">
        <f t="shared" si="163"/>
        <v>0</v>
      </c>
      <c r="H1179" s="9">
        <f t="shared" si="164"/>
        <v>0</v>
      </c>
      <c r="I1179" s="9">
        <f t="array" ref="I1179">+SUM(IFERROR(VALUE(G1179:H1179),0))</f>
        <v>0</v>
      </c>
      <c r="K1179" s="9" t="str">
        <f t="shared" si="165"/>
        <v/>
      </c>
      <c r="L1179" s="9">
        <f t="shared" si="166"/>
        <v>0</v>
      </c>
      <c r="M1179" s="9">
        <f t="shared" si="167"/>
        <v>0</v>
      </c>
      <c r="N1179" s="9">
        <f t="array" ref="N1179">+SUM(IFERROR(VALUE(L1179:M1179),0))</f>
        <v>0</v>
      </c>
      <c r="P1179" s="9" t="str">
        <f t="shared" si="168"/>
        <v/>
      </c>
      <c r="Q1179" s="9">
        <f t="shared" si="169"/>
        <v>0</v>
      </c>
      <c r="R1179" s="9">
        <f t="shared" si="170"/>
        <v>0</v>
      </c>
      <c r="S1179" s="9">
        <f t="array" ref="S1179">+SUM(IFERROR(VALUE(Q1179:R1179),0))</f>
        <v>0</v>
      </c>
    </row>
    <row r="1180" spans="1:19">
      <c r="A1180" s="26"/>
      <c r="B1180" s="27"/>
      <c r="C1180" s="27"/>
      <c r="D1180" s="28"/>
      <c r="F1180" s="9" t="str">
        <f t="shared" si="162"/>
        <v/>
      </c>
      <c r="G1180" s="9">
        <f t="shared" si="163"/>
        <v>0</v>
      </c>
      <c r="H1180" s="9">
        <f t="shared" si="164"/>
        <v>0</v>
      </c>
      <c r="I1180" s="9">
        <f t="array" ref="I1180">+SUM(IFERROR(VALUE(G1180:H1180),0))</f>
        <v>0</v>
      </c>
      <c r="K1180" s="9" t="str">
        <f t="shared" si="165"/>
        <v/>
      </c>
      <c r="L1180" s="9">
        <f t="shared" si="166"/>
        <v>0</v>
      </c>
      <c r="M1180" s="9">
        <f t="shared" si="167"/>
        <v>0</v>
      </c>
      <c r="N1180" s="9">
        <f t="array" ref="N1180">+SUM(IFERROR(VALUE(L1180:M1180),0))</f>
        <v>0</v>
      </c>
      <c r="P1180" s="9" t="str">
        <f t="shared" si="168"/>
        <v/>
      </c>
      <c r="Q1180" s="9">
        <f t="shared" si="169"/>
        <v>0</v>
      </c>
      <c r="R1180" s="9">
        <f t="shared" si="170"/>
        <v>0</v>
      </c>
      <c r="S1180" s="9">
        <f t="array" ref="S1180">+SUM(IFERROR(VALUE(Q1180:R1180),0))</f>
        <v>0</v>
      </c>
    </row>
    <row r="1181" spans="1:19">
      <c r="A1181" s="26"/>
      <c r="B1181" s="27"/>
      <c r="C1181" s="27"/>
      <c r="D1181" s="28"/>
      <c r="F1181" s="9" t="str">
        <f t="shared" si="162"/>
        <v/>
      </c>
      <c r="G1181" s="9">
        <f t="shared" si="163"/>
        <v>0</v>
      </c>
      <c r="H1181" s="9">
        <f t="shared" si="164"/>
        <v>0</v>
      </c>
      <c r="I1181" s="9">
        <f t="array" ref="I1181">+SUM(IFERROR(VALUE(G1181:H1181),0))</f>
        <v>0</v>
      </c>
      <c r="K1181" s="9" t="str">
        <f t="shared" si="165"/>
        <v/>
      </c>
      <c r="L1181" s="9">
        <f t="shared" si="166"/>
        <v>0</v>
      </c>
      <c r="M1181" s="9">
        <f t="shared" si="167"/>
        <v>0</v>
      </c>
      <c r="N1181" s="9">
        <f t="array" ref="N1181">+SUM(IFERROR(VALUE(L1181:M1181),0))</f>
        <v>0</v>
      </c>
      <c r="P1181" s="9" t="str">
        <f t="shared" si="168"/>
        <v/>
      </c>
      <c r="Q1181" s="9">
        <f t="shared" si="169"/>
        <v>0</v>
      </c>
      <c r="R1181" s="9">
        <f t="shared" si="170"/>
        <v>0</v>
      </c>
      <c r="S1181" s="9">
        <f t="array" ref="S1181">+SUM(IFERROR(VALUE(Q1181:R1181),0))</f>
        <v>0</v>
      </c>
    </row>
    <row r="1182" spans="1:19">
      <c r="A1182" s="26"/>
      <c r="B1182" s="27"/>
      <c r="C1182" s="27"/>
      <c r="D1182" s="28"/>
      <c r="F1182" s="9" t="str">
        <f t="shared" si="162"/>
        <v/>
      </c>
      <c r="G1182" s="9">
        <f t="shared" si="163"/>
        <v>0</v>
      </c>
      <c r="H1182" s="9">
        <f t="shared" si="164"/>
        <v>0</v>
      </c>
      <c r="I1182" s="9">
        <f t="array" ref="I1182">+SUM(IFERROR(VALUE(G1182:H1182),0))</f>
        <v>0</v>
      </c>
      <c r="K1182" s="9" t="str">
        <f t="shared" si="165"/>
        <v/>
      </c>
      <c r="L1182" s="9">
        <f t="shared" si="166"/>
        <v>0</v>
      </c>
      <c r="M1182" s="9">
        <f t="shared" si="167"/>
        <v>0</v>
      </c>
      <c r="N1182" s="9">
        <f t="array" ref="N1182">+SUM(IFERROR(VALUE(L1182:M1182),0))</f>
        <v>0</v>
      </c>
      <c r="P1182" s="9" t="str">
        <f t="shared" si="168"/>
        <v/>
      </c>
      <c r="Q1182" s="9">
        <f t="shared" si="169"/>
        <v>0</v>
      </c>
      <c r="R1182" s="9">
        <f t="shared" si="170"/>
        <v>0</v>
      </c>
      <c r="S1182" s="9">
        <f t="array" ref="S1182">+SUM(IFERROR(VALUE(Q1182:R1182),0))</f>
        <v>0</v>
      </c>
    </row>
    <row r="1183" spans="1:19">
      <c r="A1183" s="26"/>
      <c r="B1183" s="27"/>
      <c r="C1183" s="27"/>
      <c r="D1183" s="28"/>
      <c r="F1183" s="9" t="str">
        <f t="shared" si="162"/>
        <v/>
      </c>
      <c r="G1183" s="9">
        <f t="shared" si="163"/>
        <v>0</v>
      </c>
      <c r="H1183" s="9">
        <f t="shared" si="164"/>
        <v>0</v>
      </c>
      <c r="I1183" s="9">
        <f t="array" ref="I1183">+SUM(IFERROR(VALUE(G1183:H1183),0))</f>
        <v>0</v>
      </c>
      <c r="K1183" s="9" t="str">
        <f t="shared" si="165"/>
        <v/>
      </c>
      <c r="L1183" s="9">
        <f t="shared" si="166"/>
        <v>0</v>
      </c>
      <c r="M1183" s="9">
        <f t="shared" si="167"/>
        <v>0</v>
      </c>
      <c r="N1183" s="9">
        <f t="array" ref="N1183">+SUM(IFERROR(VALUE(L1183:M1183),0))</f>
        <v>0</v>
      </c>
      <c r="P1183" s="9" t="str">
        <f t="shared" si="168"/>
        <v/>
      </c>
      <c r="Q1183" s="9">
        <f t="shared" si="169"/>
        <v>0</v>
      </c>
      <c r="R1183" s="9">
        <f t="shared" si="170"/>
        <v>0</v>
      </c>
      <c r="S1183" s="9">
        <f t="array" ref="S1183">+SUM(IFERROR(VALUE(Q1183:R1183),0))</f>
        <v>0</v>
      </c>
    </row>
    <row r="1184" spans="1:19">
      <c r="A1184" s="26"/>
      <c r="B1184" s="27"/>
      <c r="C1184" s="27"/>
      <c r="D1184" s="28"/>
      <c r="F1184" s="9" t="str">
        <f t="shared" si="162"/>
        <v/>
      </c>
      <c r="G1184" s="9">
        <f t="shared" si="163"/>
        <v>0</v>
      </c>
      <c r="H1184" s="9">
        <f t="shared" si="164"/>
        <v>0</v>
      </c>
      <c r="I1184" s="9">
        <f t="array" ref="I1184">+SUM(IFERROR(VALUE(G1184:H1184),0))</f>
        <v>0</v>
      </c>
      <c r="K1184" s="9" t="str">
        <f t="shared" si="165"/>
        <v/>
      </c>
      <c r="L1184" s="9">
        <f t="shared" si="166"/>
        <v>0</v>
      </c>
      <c r="M1184" s="9">
        <f t="shared" si="167"/>
        <v>0</v>
      </c>
      <c r="N1184" s="9">
        <f t="array" ref="N1184">+SUM(IFERROR(VALUE(L1184:M1184),0))</f>
        <v>0</v>
      </c>
      <c r="P1184" s="9" t="str">
        <f t="shared" si="168"/>
        <v/>
      </c>
      <c r="Q1184" s="9">
        <f t="shared" si="169"/>
        <v>0</v>
      </c>
      <c r="R1184" s="9">
        <f t="shared" si="170"/>
        <v>0</v>
      </c>
      <c r="S1184" s="9">
        <f t="array" ref="S1184">+SUM(IFERROR(VALUE(Q1184:R1184),0))</f>
        <v>0</v>
      </c>
    </row>
    <row r="1185" spans="1:19">
      <c r="A1185" s="26"/>
      <c r="B1185" s="27"/>
      <c r="C1185" s="27"/>
      <c r="D1185" s="28"/>
      <c r="F1185" s="9" t="str">
        <f t="shared" si="162"/>
        <v/>
      </c>
      <c r="G1185" s="9">
        <f t="shared" si="163"/>
        <v>0</v>
      </c>
      <c r="H1185" s="9">
        <f t="shared" si="164"/>
        <v>0</v>
      </c>
      <c r="I1185" s="9">
        <f t="array" ref="I1185">+SUM(IFERROR(VALUE(G1185:H1185),0))</f>
        <v>0</v>
      </c>
      <c r="K1185" s="9" t="str">
        <f t="shared" si="165"/>
        <v/>
      </c>
      <c r="L1185" s="9">
        <f t="shared" si="166"/>
        <v>0</v>
      </c>
      <c r="M1185" s="9">
        <f t="shared" si="167"/>
        <v>0</v>
      </c>
      <c r="N1185" s="9">
        <f t="array" ref="N1185">+SUM(IFERROR(VALUE(L1185:M1185),0))</f>
        <v>0</v>
      </c>
      <c r="P1185" s="9" t="str">
        <f t="shared" si="168"/>
        <v/>
      </c>
      <c r="Q1185" s="9">
        <f t="shared" si="169"/>
        <v>0</v>
      </c>
      <c r="R1185" s="9">
        <f t="shared" si="170"/>
        <v>0</v>
      </c>
      <c r="S1185" s="9">
        <f t="array" ref="S1185">+SUM(IFERROR(VALUE(Q1185:R1185),0))</f>
        <v>0</v>
      </c>
    </row>
    <row r="1186" spans="1:19">
      <c r="A1186" s="26"/>
      <c r="B1186" s="27"/>
      <c r="C1186" s="27"/>
      <c r="D1186" s="28"/>
      <c r="F1186" s="9" t="str">
        <f t="shared" si="162"/>
        <v/>
      </c>
      <c r="G1186" s="9">
        <f t="shared" si="163"/>
        <v>0</v>
      </c>
      <c r="H1186" s="9">
        <f t="shared" si="164"/>
        <v>0</v>
      </c>
      <c r="I1186" s="9">
        <f t="array" ref="I1186">+SUM(IFERROR(VALUE(G1186:H1186),0))</f>
        <v>0</v>
      </c>
      <c r="K1186" s="9" t="str">
        <f t="shared" si="165"/>
        <v/>
      </c>
      <c r="L1186" s="9">
        <f t="shared" si="166"/>
        <v>0</v>
      </c>
      <c r="M1186" s="9">
        <f t="shared" si="167"/>
        <v>0</v>
      </c>
      <c r="N1186" s="9">
        <f t="array" ref="N1186">+SUM(IFERROR(VALUE(L1186:M1186),0))</f>
        <v>0</v>
      </c>
      <c r="P1186" s="9" t="str">
        <f t="shared" si="168"/>
        <v/>
      </c>
      <c r="Q1186" s="9">
        <f t="shared" si="169"/>
        <v>0</v>
      </c>
      <c r="R1186" s="9">
        <f t="shared" si="170"/>
        <v>0</v>
      </c>
      <c r="S1186" s="9">
        <f t="array" ref="S1186">+SUM(IFERROR(VALUE(Q1186:R1186),0))</f>
        <v>0</v>
      </c>
    </row>
    <row r="1187" spans="1:19">
      <c r="A1187" s="26"/>
      <c r="B1187" s="27"/>
      <c r="C1187" s="27"/>
      <c r="D1187" s="28"/>
      <c r="F1187" s="9" t="str">
        <f t="shared" si="162"/>
        <v/>
      </c>
      <c r="G1187" s="9">
        <f t="shared" si="163"/>
        <v>0</v>
      </c>
      <c r="H1187" s="9">
        <f t="shared" si="164"/>
        <v>0</v>
      </c>
      <c r="I1187" s="9">
        <f t="array" ref="I1187">+SUM(IFERROR(VALUE(G1187:H1187),0))</f>
        <v>0</v>
      </c>
      <c r="K1187" s="9" t="str">
        <f t="shared" si="165"/>
        <v/>
      </c>
      <c r="L1187" s="9">
        <f t="shared" si="166"/>
        <v>0</v>
      </c>
      <c r="M1187" s="9">
        <f t="shared" si="167"/>
        <v>0</v>
      </c>
      <c r="N1187" s="9">
        <f t="array" ref="N1187">+SUM(IFERROR(VALUE(L1187:M1187),0))</f>
        <v>0</v>
      </c>
      <c r="P1187" s="9" t="str">
        <f t="shared" si="168"/>
        <v/>
      </c>
      <c r="Q1187" s="9">
        <f t="shared" si="169"/>
        <v>0</v>
      </c>
      <c r="R1187" s="9">
        <f t="shared" si="170"/>
        <v>0</v>
      </c>
      <c r="S1187" s="9">
        <f t="array" ref="S1187">+SUM(IFERROR(VALUE(Q1187:R1187),0))</f>
        <v>0</v>
      </c>
    </row>
    <row r="1188" spans="1:19">
      <c r="A1188" s="26"/>
      <c r="B1188" s="27"/>
      <c r="C1188" s="27"/>
      <c r="D1188" s="28"/>
      <c r="F1188" s="9" t="str">
        <f t="shared" si="162"/>
        <v/>
      </c>
      <c r="G1188" s="9">
        <f t="shared" si="163"/>
        <v>0</v>
      </c>
      <c r="H1188" s="9">
        <f t="shared" si="164"/>
        <v>0</v>
      </c>
      <c r="I1188" s="9">
        <f t="array" ref="I1188">+SUM(IFERROR(VALUE(G1188:H1188),0))</f>
        <v>0</v>
      </c>
      <c r="K1188" s="9" t="str">
        <f t="shared" si="165"/>
        <v/>
      </c>
      <c r="L1188" s="9">
        <f t="shared" si="166"/>
        <v>0</v>
      </c>
      <c r="M1188" s="9">
        <f t="shared" si="167"/>
        <v>0</v>
      </c>
      <c r="N1188" s="9">
        <f t="array" ref="N1188">+SUM(IFERROR(VALUE(L1188:M1188),0))</f>
        <v>0</v>
      </c>
      <c r="P1188" s="9" t="str">
        <f t="shared" si="168"/>
        <v/>
      </c>
      <c r="Q1188" s="9">
        <f t="shared" si="169"/>
        <v>0</v>
      </c>
      <c r="R1188" s="9">
        <f t="shared" si="170"/>
        <v>0</v>
      </c>
      <c r="S1188" s="9">
        <f t="array" ref="S1188">+SUM(IFERROR(VALUE(Q1188:R1188),0))</f>
        <v>0</v>
      </c>
    </row>
    <row r="1189" spans="1:19">
      <c r="A1189" s="26"/>
      <c r="B1189" s="27"/>
      <c r="C1189" s="27"/>
      <c r="D1189" s="28"/>
      <c r="F1189" s="9" t="str">
        <f t="shared" si="162"/>
        <v/>
      </c>
      <c r="G1189" s="9">
        <f t="shared" si="163"/>
        <v>0</v>
      </c>
      <c r="H1189" s="9">
        <f t="shared" si="164"/>
        <v>0</v>
      </c>
      <c r="I1189" s="9">
        <f t="array" ref="I1189">+SUM(IFERROR(VALUE(G1189:H1189),0))</f>
        <v>0</v>
      </c>
      <c r="K1189" s="9" t="str">
        <f t="shared" si="165"/>
        <v/>
      </c>
      <c r="L1189" s="9">
        <f t="shared" si="166"/>
        <v>0</v>
      </c>
      <c r="M1189" s="9">
        <f t="shared" si="167"/>
        <v>0</v>
      </c>
      <c r="N1189" s="9">
        <f t="array" ref="N1189">+SUM(IFERROR(VALUE(L1189:M1189),0))</f>
        <v>0</v>
      </c>
      <c r="P1189" s="9" t="str">
        <f t="shared" si="168"/>
        <v/>
      </c>
      <c r="Q1189" s="9">
        <f t="shared" si="169"/>
        <v>0</v>
      </c>
      <c r="R1189" s="9">
        <f t="shared" si="170"/>
        <v>0</v>
      </c>
      <c r="S1189" s="9">
        <f t="array" ref="S1189">+SUM(IFERROR(VALUE(Q1189:R1189),0))</f>
        <v>0</v>
      </c>
    </row>
    <row r="1190" spans="1:19">
      <c r="A1190" s="26"/>
      <c r="B1190" s="27"/>
      <c r="C1190" s="27"/>
      <c r="D1190" s="28"/>
      <c r="F1190" s="9" t="str">
        <f t="shared" si="162"/>
        <v/>
      </c>
      <c r="G1190" s="9">
        <f t="shared" si="163"/>
        <v>0</v>
      </c>
      <c r="H1190" s="9">
        <f t="shared" si="164"/>
        <v>0</v>
      </c>
      <c r="I1190" s="9">
        <f t="array" ref="I1190">+SUM(IFERROR(VALUE(G1190:H1190),0))</f>
        <v>0</v>
      </c>
      <c r="K1190" s="9" t="str">
        <f t="shared" si="165"/>
        <v/>
      </c>
      <c r="L1190" s="9">
        <f t="shared" si="166"/>
        <v>0</v>
      </c>
      <c r="M1190" s="9">
        <f t="shared" si="167"/>
        <v>0</v>
      </c>
      <c r="N1190" s="9">
        <f t="array" ref="N1190">+SUM(IFERROR(VALUE(L1190:M1190),0))</f>
        <v>0</v>
      </c>
      <c r="P1190" s="9" t="str">
        <f t="shared" si="168"/>
        <v/>
      </c>
      <c r="Q1190" s="9">
        <f t="shared" si="169"/>
        <v>0</v>
      </c>
      <c r="R1190" s="9">
        <f t="shared" si="170"/>
        <v>0</v>
      </c>
      <c r="S1190" s="9">
        <f t="array" ref="S1190">+SUM(IFERROR(VALUE(Q1190:R1190),0))</f>
        <v>0</v>
      </c>
    </row>
    <row r="1191" spans="1:19">
      <c r="A1191" s="26"/>
      <c r="B1191" s="27"/>
      <c r="C1191" s="27"/>
      <c r="D1191" s="28"/>
      <c r="F1191" s="9" t="str">
        <f t="shared" si="162"/>
        <v/>
      </c>
      <c r="G1191" s="9">
        <f t="shared" si="163"/>
        <v>0</v>
      </c>
      <c r="H1191" s="9">
        <f t="shared" si="164"/>
        <v>0</v>
      </c>
      <c r="I1191" s="9">
        <f t="array" ref="I1191">+SUM(IFERROR(VALUE(G1191:H1191),0))</f>
        <v>0</v>
      </c>
      <c r="K1191" s="9" t="str">
        <f t="shared" si="165"/>
        <v/>
      </c>
      <c r="L1191" s="9">
        <f t="shared" si="166"/>
        <v>0</v>
      </c>
      <c r="M1191" s="9">
        <f t="shared" si="167"/>
        <v>0</v>
      </c>
      <c r="N1191" s="9">
        <f t="array" ref="N1191">+SUM(IFERROR(VALUE(L1191:M1191),0))</f>
        <v>0</v>
      </c>
      <c r="P1191" s="9" t="str">
        <f t="shared" si="168"/>
        <v/>
      </c>
      <c r="Q1191" s="9">
        <f t="shared" si="169"/>
        <v>0</v>
      </c>
      <c r="R1191" s="9">
        <f t="shared" si="170"/>
        <v>0</v>
      </c>
      <c r="S1191" s="9">
        <f t="array" ref="S1191">+SUM(IFERROR(VALUE(Q1191:R1191),0))</f>
        <v>0</v>
      </c>
    </row>
    <row r="1192" spans="1:19">
      <c r="A1192" s="26"/>
      <c r="B1192" s="27"/>
      <c r="C1192" s="27"/>
      <c r="D1192" s="28"/>
      <c r="F1192" s="9" t="str">
        <f t="shared" si="162"/>
        <v/>
      </c>
      <c r="G1192" s="9">
        <f t="shared" si="163"/>
        <v>0</v>
      </c>
      <c r="H1192" s="9">
        <f t="shared" si="164"/>
        <v>0</v>
      </c>
      <c r="I1192" s="9">
        <f t="array" ref="I1192">+SUM(IFERROR(VALUE(G1192:H1192),0))</f>
        <v>0</v>
      </c>
      <c r="K1192" s="9" t="str">
        <f t="shared" si="165"/>
        <v/>
      </c>
      <c r="L1192" s="9">
        <f t="shared" si="166"/>
        <v>0</v>
      </c>
      <c r="M1192" s="9">
        <f t="shared" si="167"/>
        <v>0</v>
      </c>
      <c r="N1192" s="9">
        <f t="array" ref="N1192">+SUM(IFERROR(VALUE(L1192:M1192),0))</f>
        <v>0</v>
      </c>
      <c r="P1192" s="9" t="str">
        <f t="shared" si="168"/>
        <v/>
      </c>
      <c r="Q1192" s="9">
        <f t="shared" si="169"/>
        <v>0</v>
      </c>
      <c r="R1192" s="9">
        <f t="shared" si="170"/>
        <v>0</v>
      </c>
      <c r="S1192" s="9">
        <f t="array" ref="S1192">+SUM(IFERROR(VALUE(Q1192:R1192),0))</f>
        <v>0</v>
      </c>
    </row>
    <row r="1193" spans="1:19">
      <c r="A1193" s="26"/>
      <c r="B1193" s="27"/>
      <c r="C1193" s="27"/>
      <c r="D1193" s="28"/>
      <c r="F1193" s="9" t="str">
        <f t="shared" si="162"/>
        <v/>
      </c>
      <c r="G1193" s="9">
        <f t="shared" si="163"/>
        <v>0</v>
      </c>
      <c r="H1193" s="9">
        <f t="shared" si="164"/>
        <v>0</v>
      </c>
      <c r="I1193" s="9">
        <f t="array" ref="I1193">+SUM(IFERROR(VALUE(G1193:H1193),0))</f>
        <v>0</v>
      </c>
      <c r="K1193" s="9" t="str">
        <f t="shared" si="165"/>
        <v/>
      </c>
      <c r="L1193" s="9">
        <f t="shared" si="166"/>
        <v>0</v>
      </c>
      <c r="M1193" s="9">
        <f t="shared" si="167"/>
        <v>0</v>
      </c>
      <c r="N1193" s="9">
        <f t="array" ref="N1193">+SUM(IFERROR(VALUE(L1193:M1193),0))</f>
        <v>0</v>
      </c>
      <c r="P1193" s="9" t="str">
        <f t="shared" si="168"/>
        <v/>
      </c>
      <c r="Q1193" s="9">
        <f t="shared" si="169"/>
        <v>0</v>
      </c>
      <c r="R1193" s="9">
        <f t="shared" si="170"/>
        <v>0</v>
      </c>
      <c r="S1193" s="9">
        <f t="array" ref="S1193">+SUM(IFERROR(VALUE(Q1193:R1193),0))</f>
        <v>0</v>
      </c>
    </row>
    <row r="1194" spans="1:19">
      <c r="A1194" s="26"/>
      <c r="B1194" s="27"/>
      <c r="C1194" s="27"/>
      <c r="D1194" s="28"/>
      <c r="F1194" s="9" t="str">
        <f t="shared" si="162"/>
        <v/>
      </c>
      <c r="G1194" s="9">
        <f t="shared" si="163"/>
        <v>0</v>
      </c>
      <c r="H1194" s="9">
        <f t="shared" si="164"/>
        <v>0</v>
      </c>
      <c r="I1194" s="9">
        <f t="array" ref="I1194">+SUM(IFERROR(VALUE(G1194:H1194),0))</f>
        <v>0</v>
      </c>
      <c r="K1194" s="9" t="str">
        <f t="shared" si="165"/>
        <v/>
      </c>
      <c r="L1194" s="9">
        <f t="shared" si="166"/>
        <v>0</v>
      </c>
      <c r="M1194" s="9">
        <f t="shared" si="167"/>
        <v>0</v>
      </c>
      <c r="N1194" s="9">
        <f t="array" ref="N1194">+SUM(IFERROR(VALUE(L1194:M1194),0))</f>
        <v>0</v>
      </c>
      <c r="P1194" s="9" t="str">
        <f t="shared" si="168"/>
        <v/>
      </c>
      <c r="Q1194" s="9">
        <f t="shared" si="169"/>
        <v>0</v>
      </c>
      <c r="R1194" s="9">
        <f t="shared" si="170"/>
        <v>0</v>
      </c>
      <c r="S1194" s="9">
        <f t="array" ref="S1194">+SUM(IFERROR(VALUE(Q1194:R1194),0))</f>
        <v>0</v>
      </c>
    </row>
    <row r="1195" spans="1:19">
      <c r="A1195" s="26"/>
      <c r="B1195" s="27"/>
      <c r="C1195" s="27"/>
      <c r="D1195" s="28"/>
      <c r="F1195" s="9" t="str">
        <f t="shared" si="162"/>
        <v/>
      </c>
      <c r="G1195" s="9">
        <f t="shared" si="163"/>
        <v>0</v>
      </c>
      <c r="H1195" s="9">
        <f t="shared" si="164"/>
        <v>0</v>
      </c>
      <c r="I1195" s="9">
        <f t="array" ref="I1195">+SUM(IFERROR(VALUE(G1195:H1195),0))</f>
        <v>0</v>
      </c>
      <c r="K1195" s="9" t="str">
        <f t="shared" si="165"/>
        <v/>
      </c>
      <c r="L1195" s="9">
        <f t="shared" si="166"/>
        <v>0</v>
      </c>
      <c r="M1195" s="9">
        <f t="shared" si="167"/>
        <v>0</v>
      </c>
      <c r="N1195" s="9">
        <f t="array" ref="N1195">+SUM(IFERROR(VALUE(L1195:M1195),0))</f>
        <v>0</v>
      </c>
      <c r="P1195" s="9" t="str">
        <f t="shared" si="168"/>
        <v/>
      </c>
      <c r="Q1195" s="9">
        <f t="shared" si="169"/>
        <v>0</v>
      </c>
      <c r="R1195" s="9">
        <f t="shared" si="170"/>
        <v>0</v>
      </c>
      <c r="S1195" s="9">
        <f t="array" ref="S1195">+SUM(IFERROR(VALUE(Q1195:R1195),0))</f>
        <v>0</v>
      </c>
    </row>
    <row r="1196" spans="1:19">
      <c r="A1196" s="26"/>
      <c r="B1196" s="27"/>
      <c r="C1196" s="27"/>
      <c r="D1196" s="28"/>
      <c r="F1196" s="9" t="str">
        <f t="shared" si="162"/>
        <v/>
      </c>
      <c r="G1196" s="9">
        <f t="shared" si="163"/>
        <v>0</v>
      </c>
      <c r="H1196" s="9">
        <f t="shared" si="164"/>
        <v>0</v>
      </c>
      <c r="I1196" s="9">
        <f t="array" ref="I1196">+SUM(IFERROR(VALUE(G1196:H1196),0))</f>
        <v>0</v>
      </c>
      <c r="K1196" s="9" t="str">
        <f t="shared" si="165"/>
        <v/>
      </c>
      <c r="L1196" s="9">
        <f t="shared" si="166"/>
        <v>0</v>
      </c>
      <c r="M1196" s="9">
        <f t="shared" si="167"/>
        <v>0</v>
      </c>
      <c r="N1196" s="9">
        <f t="array" ref="N1196">+SUM(IFERROR(VALUE(L1196:M1196),0))</f>
        <v>0</v>
      </c>
      <c r="P1196" s="9" t="str">
        <f t="shared" si="168"/>
        <v/>
      </c>
      <c r="Q1196" s="9">
        <f t="shared" si="169"/>
        <v>0</v>
      </c>
      <c r="R1196" s="9">
        <f t="shared" si="170"/>
        <v>0</v>
      </c>
      <c r="S1196" s="9">
        <f t="array" ref="S1196">+SUM(IFERROR(VALUE(Q1196:R1196),0))</f>
        <v>0</v>
      </c>
    </row>
    <row r="1197" spans="1:19">
      <c r="A1197" s="26"/>
      <c r="B1197" s="27"/>
      <c r="C1197" s="27"/>
      <c r="D1197" s="28"/>
      <c r="F1197" s="9" t="str">
        <f t="shared" si="162"/>
        <v/>
      </c>
      <c r="G1197" s="9">
        <f t="shared" si="163"/>
        <v>0</v>
      </c>
      <c r="H1197" s="9">
        <f t="shared" si="164"/>
        <v>0</v>
      </c>
      <c r="I1197" s="9">
        <f t="array" ref="I1197">+SUM(IFERROR(VALUE(G1197:H1197),0))</f>
        <v>0</v>
      </c>
      <c r="K1197" s="9" t="str">
        <f t="shared" si="165"/>
        <v/>
      </c>
      <c r="L1197" s="9">
        <f t="shared" si="166"/>
        <v>0</v>
      </c>
      <c r="M1197" s="9">
        <f t="shared" si="167"/>
        <v>0</v>
      </c>
      <c r="N1197" s="9">
        <f t="array" ref="N1197">+SUM(IFERROR(VALUE(L1197:M1197),0))</f>
        <v>0</v>
      </c>
      <c r="P1197" s="9" t="str">
        <f t="shared" si="168"/>
        <v/>
      </c>
      <c r="Q1197" s="9">
        <f t="shared" si="169"/>
        <v>0</v>
      </c>
      <c r="R1197" s="9">
        <f t="shared" si="170"/>
        <v>0</v>
      </c>
      <c r="S1197" s="9">
        <f t="array" ref="S1197">+SUM(IFERROR(VALUE(Q1197:R1197),0))</f>
        <v>0</v>
      </c>
    </row>
    <row r="1198" spans="1:19">
      <c r="A1198" s="26"/>
      <c r="B1198" s="27"/>
      <c r="C1198" s="27"/>
      <c r="D1198" s="28"/>
      <c r="F1198" s="9" t="str">
        <f t="shared" si="162"/>
        <v/>
      </c>
      <c r="G1198" s="9">
        <f t="shared" si="163"/>
        <v>0</v>
      </c>
      <c r="H1198" s="9">
        <f t="shared" si="164"/>
        <v>0</v>
      </c>
      <c r="I1198" s="9">
        <f t="array" ref="I1198">+SUM(IFERROR(VALUE(G1198:H1198),0))</f>
        <v>0</v>
      </c>
      <c r="K1198" s="9" t="str">
        <f t="shared" si="165"/>
        <v/>
      </c>
      <c r="L1198" s="9">
        <f t="shared" si="166"/>
        <v>0</v>
      </c>
      <c r="M1198" s="9">
        <f t="shared" si="167"/>
        <v>0</v>
      </c>
      <c r="N1198" s="9">
        <f t="array" ref="N1198">+SUM(IFERROR(VALUE(L1198:M1198),0))</f>
        <v>0</v>
      </c>
      <c r="P1198" s="9" t="str">
        <f t="shared" si="168"/>
        <v/>
      </c>
      <c r="Q1198" s="9">
        <f t="shared" si="169"/>
        <v>0</v>
      </c>
      <c r="R1198" s="9">
        <f t="shared" si="170"/>
        <v>0</v>
      </c>
      <c r="S1198" s="9">
        <f t="array" ref="S1198">+SUM(IFERROR(VALUE(Q1198:R1198),0))</f>
        <v>0</v>
      </c>
    </row>
    <row r="1199" spans="1:19">
      <c r="A1199" s="26"/>
      <c r="B1199" s="27"/>
      <c r="C1199" s="27"/>
      <c r="D1199" s="28"/>
      <c r="F1199" s="9" t="str">
        <f t="shared" si="162"/>
        <v/>
      </c>
      <c r="G1199" s="9">
        <f t="shared" si="163"/>
        <v>0</v>
      </c>
      <c r="H1199" s="9">
        <f t="shared" si="164"/>
        <v>0</v>
      </c>
      <c r="I1199" s="9">
        <f t="array" ref="I1199">+SUM(IFERROR(VALUE(G1199:H1199),0))</f>
        <v>0</v>
      </c>
      <c r="K1199" s="9" t="str">
        <f t="shared" si="165"/>
        <v/>
      </c>
      <c r="L1199" s="9">
        <f t="shared" si="166"/>
        <v>0</v>
      </c>
      <c r="M1199" s="9">
        <f t="shared" si="167"/>
        <v>0</v>
      </c>
      <c r="N1199" s="9">
        <f t="array" ref="N1199">+SUM(IFERROR(VALUE(L1199:M1199),0))</f>
        <v>0</v>
      </c>
      <c r="P1199" s="9" t="str">
        <f t="shared" si="168"/>
        <v/>
      </c>
      <c r="Q1199" s="9">
        <f t="shared" si="169"/>
        <v>0</v>
      </c>
      <c r="R1199" s="9">
        <f t="shared" si="170"/>
        <v>0</v>
      </c>
      <c r="S1199" s="9">
        <f t="array" ref="S1199">+SUM(IFERROR(VALUE(Q1199:R1199),0))</f>
        <v>0</v>
      </c>
    </row>
    <row r="1200" spans="1:19">
      <c r="A1200" s="26"/>
      <c r="B1200" s="27"/>
      <c r="C1200" s="27"/>
      <c r="D1200" s="28"/>
      <c r="F1200" s="9" t="str">
        <f t="shared" si="162"/>
        <v/>
      </c>
      <c r="G1200" s="9">
        <f t="shared" si="163"/>
        <v>0</v>
      </c>
      <c r="H1200" s="9">
        <f t="shared" si="164"/>
        <v>0</v>
      </c>
      <c r="I1200" s="9">
        <f t="array" ref="I1200">+SUM(IFERROR(VALUE(G1200:H1200),0))</f>
        <v>0</v>
      </c>
      <c r="K1200" s="9" t="str">
        <f t="shared" si="165"/>
        <v/>
      </c>
      <c r="L1200" s="9">
        <f t="shared" si="166"/>
        <v>0</v>
      </c>
      <c r="M1200" s="9">
        <f t="shared" si="167"/>
        <v>0</v>
      </c>
      <c r="N1200" s="9">
        <f t="array" ref="N1200">+SUM(IFERROR(VALUE(L1200:M1200),0))</f>
        <v>0</v>
      </c>
      <c r="P1200" s="9" t="str">
        <f t="shared" si="168"/>
        <v/>
      </c>
      <c r="Q1200" s="9">
        <f t="shared" si="169"/>
        <v>0</v>
      </c>
      <c r="R1200" s="9">
        <f t="shared" si="170"/>
        <v>0</v>
      </c>
      <c r="S1200" s="9">
        <f t="array" ref="S1200">+SUM(IFERROR(VALUE(Q1200:R1200),0))</f>
        <v>0</v>
      </c>
    </row>
    <row r="1201" spans="1:19">
      <c r="A1201" s="26"/>
      <c r="B1201" s="27"/>
      <c r="C1201" s="27"/>
      <c r="D1201" s="28"/>
      <c r="F1201" s="9" t="str">
        <f t="shared" si="162"/>
        <v/>
      </c>
      <c r="G1201" s="9">
        <f t="shared" si="163"/>
        <v>0</v>
      </c>
      <c r="H1201" s="9">
        <f t="shared" si="164"/>
        <v>0</v>
      </c>
      <c r="I1201" s="9">
        <f t="array" ref="I1201">+SUM(IFERROR(VALUE(G1201:H1201),0))</f>
        <v>0</v>
      </c>
      <c r="K1201" s="9" t="str">
        <f t="shared" si="165"/>
        <v/>
      </c>
      <c r="L1201" s="9">
        <f t="shared" si="166"/>
        <v>0</v>
      </c>
      <c r="M1201" s="9">
        <f t="shared" si="167"/>
        <v>0</v>
      </c>
      <c r="N1201" s="9">
        <f t="array" ref="N1201">+SUM(IFERROR(VALUE(L1201:M1201),0))</f>
        <v>0</v>
      </c>
      <c r="P1201" s="9" t="str">
        <f t="shared" si="168"/>
        <v/>
      </c>
      <c r="Q1201" s="9">
        <f t="shared" si="169"/>
        <v>0</v>
      </c>
      <c r="R1201" s="9">
        <f t="shared" si="170"/>
        <v>0</v>
      </c>
      <c r="S1201" s="9">
        <f t="array" ref="S1201">+SUM(IFERROR(VALUE(Q1201:R1201),0))</f>
        <v>0</v>
      </c>
    </row>
    <row r="1202" spans="1:19">
      <c r="A1202" s="26"/>
      <c r="B1202" s="27"/>
      <c r="C1202" s="27"/>
      <c r="D1202" s="28"/>
      <c r="F1202" s="9" t="str">
        <f t="shared" si="162"/>
        <v/>
      </c>
      <c r="G1202" s="9">
        <f t="shared" si="163"/>
        <v>0</v>
      </c>
      <c r="H1202" s="9">
        <f t="shared" si="164"/>
        <v>0</v>
      </c>
      <c r="I1202" s="9">
        <f t="array" ref="I1202">+SUM(IFERROR(VALUE(G1202:H1202),0))</f>
        <v>0</v>
      </c>
      <c r="K1202" s="9" t="str">
        <f t="shared" si="165"/>
        <v/>
      </c>
      <c r="L1202" s="9">
        <f t="shared" si="166"/>
        <v>0</v>
      </c>
      <c r="M1202" s="9">
        <f t="shared" si="167"/>
        <v>0</v>
      </c>
      <c r="N1202" s="9">
        <f t="array" ref="N1202">+SUM(IFERROR(VALUE(L1202:M1202),0))</f>
        <v>0</v>
      </c>
      <c r="P1202" s="9" t="str">
        <f t="shared" si="168"/>
        <v/>
      </c>
      <c r="Q1202" s="9">
        <f t="shared" si="169"/>
        <v>0</v>
      </c>
      <c r="R1202" s="9">
        <f t="shared" si="170"/>
        <v>0</v>
      </c>
      <c r="S1202" s="9">
        <f t="array" ref="S1202">+SUM(IFERROR(VALUE(Q1202:R1202),0))</f>
        <v>0</v>
      </c>
    </row>
    <row r="1203" spans="1:19">
      <c r="A1203" s="26"/>
      <c r="B1203" s="27"/>
      <c r="C1203" s="27"/>
      <c r="D1203" s="28"/>
      <c r="F1203" s="9" t="str">
        <f t="shared" si="162"/>
        <v/>
      </c>
      <c r="G1203" s="9">
        <f t="shared" si="163"/>
        <v>0</v>
      </c>
      <c r="H1203" s="9">
        <f t="shared" si="164"/>
        <v>0</v>
      </c>
      <c r="I1203" s="9">
        <f t="array" ref="I1203">+SUM(IFERROR(VALUE(G1203:H1203),0))</f>
        <v>0</v>
      </c>
      <c r="K1203" s="9" t="str">
        <f t="shared" si="165"/>
        <v/>
      </c>
      <c r="L1203" s="9">
        <f t="shared" si="166"/>
        <v>0</v>
      </c>
      <c r="M1203" s="9">
        <f t="shared" si="167"/>
        <v>0</v>
      </c>
      <c r="N1203" s="9">
        <f t="array" ref="N1203">+SUM(IFERROR(VALUE(L1203:M1203),0))</f>
        <v>0</v>
      </c>
      <c r="P1203" s="9" t="str">
        <f t="shared" si="168"/>
        <v/>
      </c>
      <c r="Q1203" s="9">
        <f t="shared" si="169"/>
        <v>0</v>
      </c>
      <c r="R1203" s="9">
        <f t="shared" si="170"/>
        <v>0</v>
      </c>
      <c r="S1203" s="9">
        <f t="array" ref="S1203">+SUM(IFERROR(VALUE(Q1203:R1203),0))</f>
        <v>0</v>
      </c>
    </row>
    <row r="1204" spans="1:19">
      <c r="A1204" s="26"/>
      <c r="B1204" s="27"/>
      <c r="C1204" s="27"/>
      <c r="D1204" s="28"/>
      <c r="F1204" s="9" t="str">
        <f t="shared" si="162"/>
        <v/>
      </c>
      <c r="G1204" s="9">
        <f t="shared" si="163"/>
        <v>0</v>
      </c>
      <c r="H1204" s="9">
        <f t="shared" si="164"/>
        <v>0</v>
      </c>
      <c r="I1204" s="9">
        <f t="array" ref="I1204">+SUM(IFERROR(VALUE(G1204:H1204),0))</f>
        <v>0</v>
      </c>
      <c r="K1204" s="9" t="str">
        <f t="shared" si="165"/>
        <v/>
      </c>
      <c r="L1204" s="9">
        <f t="shared" si="166"/>
        <v>0</v>
      </c>
      <c r="M1204" s="9">
        <f t="shared" si="167"/>
        <v>0</v>
      </c>
      <c r="N1204" s="9">
        <f t="array" ref="N1204">+SUM(IFERROR(VALUE(L1204:M1204),0))</f>
        <v>0</v>
      </c>
      <c r="P1204" s="9" t="str">
        <f t="shared" si="168"/>
        <v/>
      </c>
      <c r="Q1204" s="9">
        <f t="shared" si="169"/>
        <v>0</v>
      </c>
      <c r="R1204" s="9">
        <f t="shared" si="170"/>
        <v>0</v>
      </c>
      <c r="S1204" s="9">
        <f t="array" ref="S1204">+SUM(IFERROR(VALUE(Q1204:R1204),0))</f>
        <v>0</v>
      </c>
    </row>
    <row r="1205" spans="1:19">
      <c r="A1205" s="26"/>
      <c r="B1205" s="27"/>
      <c r="C1205" s="27"/>
      <c r="D1205" s="28"/>
      <c r="F1205" s="9" t="str">
        <f t="shared" si="162"/>
        <v/>
      </c>
      <c r="G1205" s="9">
        <f t="shared" si="163"/>
        <v>0</v>
      </c>
      <c r="H1205" s="9">
        <f t="shared" si="164"/>
        <v>0</v>
      </c>
      <c r="I1205" s="9">
        <f t="array" ref="I1205">+SUM(IFERROR(VALUE(G1205:H1205),0))</f>
        <v>0</v>
      </c>
      <c r="K1205" s="9" t="str">
        <f t="shared" si="165"/>
        <v/>
      </c>
      <c r="L1205" s="9">
        <f t="shared" si="166"/>
        <v>0</v>
      </c>
      <c r="M1205" s="9">
        <f t="shared" si="167"/>
        <v>0</v>
      </c>
      <c r="N1205" s="9">
        <f t="array" ref="N1205">+SUM(IFERROR(VALUE(L1205:M1205),0))</f>
        <v>0</v>
      </c>
      <c r="P1205" s="9" t="str">
        <f t="shared" si="168"/>
        <v/>
      </c>
      <c r="Q1205" s="9">
        <f t="shared" si="169"/>
        <v>0</v>
      </c>
      <c r="R1205" s="9">
        <f t="shared" si="170"/>
        <v>0</v>
      </c>
      <c r="S1205" s="9">
        <f t="array" ref="S1205">+SUM(IFERROR(VALUE(Q1205:R1205),0))</f>
        <v>0</v>
      </c>
    </row>
    <row r="1206" spans="1:19">
      <c r="A1206" s="26"/>
      <c r="B1206" s="27"/>
      <c r="C1206" s="27"/>
      <c r="D1206" s="28"/>
      <c r="F1206" s="9" t="str">
        <f t="shared" si="162"/>
        <v/>
      </c>
      <c r="G1206" s="9">
        <f t="shared" si="163"/>
        <v>0</v>
      </c>
      <c r="H1206" s="9">
        <f t="shared" si="164"/>
        <v>0</v>
      </c>
      <c r="I1206" s="9">
        <f t="array" ref="I1206">+SUM(IFERROR(VALUE(G1206:H1206),0))</f>
        <v>0</v>
      </c>
      <c r="K1206" s="9" t="str">
        <f t="shared" si="165"/>
        <v/>
      </c>
      <c r="L1206" s="9">
        <f t="shared" si="166"/>
        <v>0</v>
      </c>
      <c r="M1206" s="9">
        <f t="shared" si="167"/>
        <v>0</v>
      </c>
      <c r="N1206" s="9">
        <f t="array" ref="N1206">+SUM(IFERROR(VALUE(L1206:M1206),0))</f>
        <v>0</v>
      </c>
      <c r="P1206" s="9" t="str">
        <f t="shared" si="168"/>
        <v/>
      </c>
      <c r="Q1206" s="9">
        <f t="shared" si="169"/>
        <v>0</v>
      </c>
      <c r="R1206" s="9">
        <f t="shared" si="170"/>
        <v>0</v>
      </c>
      <c r="S1206" s="9">
        <f t="array" ref="S1206">+SUM(IFERROR(VALUE(Q1206:R1206),0))</f>
        <v>0</v>
      </c>
    </row>
    <row r="1207" spans="1:19">
      <c r="A1207" s="26"/>
      <c r="B1207" s="27"/>
      <c r="C1207" s="27"/>
      <c r="D1207" s="28"/>
      <c r="F1207" s="9" t="str">
        <f t="shared" si="162"/>
        <v/>
      </c>
      <c r="G1207" s="9">
        <f t="shared" si="163"/>
        <v>0</v>
      </c>
      <c r="H1207" s="9">
        <f t="shared" si="164"/>
        <v>0</v>
      </c>
      <c r="I1207" s="9">
        <f t="array" ref="I1207">+SUM(IFERROR(VALUE(G1207:H1207),0))</f>
        <v>0</v>
      </c>
      <c r="K1207" s="9" t="str">
        <f t="shared" si="165"/>
        <v/>
      </c>
      <c r="L1207" s="9">
        <f t="shared" si="166"/>
        <v>0</v>
      </c>
      <c r="M1207" s="9">
        <f t="shared" si="167"/>
        <v>0</v>
      </c>
      <c r="N1207" s="9">
        <f t="array" ref="N1207">+SUM(IFERROR(VALUE(L1207:M1207),0))</f>
        <v>0</v>
      </c>
      <c r="P1207" s="9" t="str">
        <f t="shared" si="168"/>
        <v/>
      </c>
      <c r="Q1207" s="9">
        <f t="shared" si="169"/>
        <v>0</v>
      </c>
      <c r="R1207" s="9">
        <f t="shared" si="170"/>
        <v>0</v>
      </c>
      <c r="S1207" s="9">
        <f t="array" ref="S1207">+SUM(IFERROR(VALUE(Q1207:R1207),0))</f>
        <v>0</v>
      </c>
    </row>
    <row r="1208" spans="1:19">
      <c r="A1208" s="26"/>
      <c r="B1208" s="27"/>
      <c r="C1208" s="27"/>
      <c r="D1208" s="28"/>
      <c r="F1208" s="9" t="str">
        <f t="shared" si="162"/>
        <v/>
      </c>
      <c r="G1208" s="9">
        <f t="shared" si="163"/>
        <v>0</v>
      </c>
      <c r="H1208" s="9">
        <f t="shared" si="164"/>
        <v>0</v>
      </c>
      <c r="I1208" s="9">
        <f t="array" ref="I1208">+SUM(IFERROR(VALUE(G1208:H1208),0))</f>
        <v>0</v>
      </c>
      <c r="K1208" s="9" t="str">
        <f t="shared" si="165"/>
        <v/>
      </c>
      <c r="L1208" s="9">
        <f t="shared" si="166"/>
        <v>0</v>
      </c>
      <c r="M1208" s="9">
        <f t="shared" si="167"/>
        <v>0</v>
      </c>
      <c r="N1208" s="9">
        <f t="array" ref="N1208">+SUM(IFERROR(VALUE(L1208:M1208),0))</f>
        <v>0</v>
      </c>
      <c r="P1208" s="9" t="str">
        <f t="shared" si="168"/>
        <v/>
      </c>
      <c r="Q1208" s="9">
        <f t="shared" si="169"/>
        <v>0</v>
      </c>
      <c r="R1208" s="9">
        <f t="shared" si="170"/>
        <v>0</v>
      </c>
      <c r="S1208" s="9">
        <f t="array" ref="S1208">+SUM(IFERROR(VALUE(Q1208:R1208),0))</f>
        <v>0</v>
      </c>
    </row>
    <row r="1209" spans="1:19">
      <c r="A1209" s="26"/>
      <c r="B1209" s="27"/>
      <c r="C1209" s="27"/>
      <c r="D1209" s="28"/>
      <c r="F1209" s="9" t="str">
        <f t="shared" si="162"/>
        <v/>
      </c>
      <c r="G1209" s="9">
        <f t="shared" si="163"/>
        <v>0</v>
      </c>
      <c r="H1209" s="9">
        <f t="shared" si="164"/>
        <v>0</v>
      </c>
      <c r="I1209" s="9">
        <f t="array" ref="I1209">+SUM(IFERROR(VALUE(G1209:H1209),0))</f>
        <v>0</v>
      </c>
      <c r="K1209" s="9" t="str">
        <f t="shared" si="165"/>
        <v/>
      </c>
      <c r="L1209" s="9">
        <f t="shared" si="166"/>
        <v>0</v>
      </c>
      <c r="M1209" s="9">
        <f t="shared" si="167"/>
        <v>0</v>
      </c>
      <c r="N1209" s="9">
        <f t="array" ref="N1209">+SUM(IFERROR(VALUE(L1209:M1209),0))</f>
        <v>0</v>
      </c>
      <c r="P1209" s="9" t="str">
        <f t="shared" si="168"/>
        <v/>
      </c>
      <c r="Q1209" s="9">
        <f t="shared" si="169"/>
        <v>0</v>
      </c>
      <c r="R1209" s="9">
        <f t="shared" si="170"/>
        <v>0</v>
      </c>
      <c r="S1209" s="9">
        <f t="array" ref="S1209">+SUM(IFERROR(VALUE(Q1209:R1209),0))</f>
        <v>0</v>
      </c>
    </row>
    <row r="1210" spans="1:19">
      <c r="A1210" s="26"/>
      <c r="B1210" s="27"/>
      <c r="C1210" s="27"/>
      <c r="D1210" s="28"/>
      <c r="F1210" s="9" t="str">
        <f t="shared" si="162"/>
        <v/>
      </c>
      <c r="G1210" s="9">
        <f t="shared" si="163"/>
        <v>0</v>
      </c>
      <c r="H1210" s="9">
        <f t="shared" si="164"/>
        <v>0</v>
      </c>
      <c r="I1210" s="9">
        <f t="array" ref="I1210">+SUM(IFERROR(VALUE(G1210:H1210),0))</f>
        <v>0</v>
      </c>
      <c r="K1210" s="9" t="str">
        <f t="shared" si="165"/>
        <v/>
      </c>
      <c r="L1210" s="9">
        <f t="shared" si="166"/>
        <v>0</v>
      </c>
      <c r="M1210" s="9">
        <f t="shared" si="167"/>
        <v>0</v>
      </c>
      <c r="N1210" s="9">
        <f t="array" ref="N1210">+SUM(IFERROR(VALUE(L1210:M1210),0))</f>
        <v>0</v>
      </c>
      <c r="P1210" s="9" t="str">
        <f t="shared" si="168"/>
        <v/>
      </c>
      <c r="Q1210" s="9">
        <f t="shared" si="169"/>
        <v>0</v>
      </c>
      <c r="R1210" s="9">
        <f t="shared" si="170"/>
        <v>0</v>
      </c>
      <c r="S1210" s="9">
        <f t="array" ref="S1210">+SUM(IFERROR(VALUE(Q1210:R1210),0))</f>
        <v>0</v>
      </c>
    </row>
    <row r="1211" spans="1:19">
      <c r="A1211" s="26"/>
      <c r="B1211" s="27"/>
      <c r="C1211" s="27"/>
      <c r="D1211" s="28"/>
      <c r="F1211" s="9" t="str">
        <f t="shared" si="162"/>
        <v/>
      </c>
      <c r="G1211" s="9">
        <f t="shared" si="163"/>
        <v>0</v>
      </c>
      <c r="H1211" s="9">
        <f t="shared" si="164"/>
        <v>0</v>
      </c>
      <c r="I1211" s="9">
        <f t="array" ref="I1211">+SUM(IFERROR(VALUE(G1211:H1211),0))</f>
        <v>0</v>
      </c>
      <c r="K1211" s="9" t="str">
        <f t="shared" si="165"/>
        <v/>
      </c>
      <c r="L1211" s="9">
        <f t="shared" si="166"/>
        <v>0</v>
      </c>
      <c r="M1211" s="9">
        <f t="shared" si="167"/>
        <v>0</v>
      </c>
      <c r="N1211" s="9">
        <f t="array" ref="N1211">+SUM(IFERROR(VALUE(L1211:M1211),0))</f>
        <v>0</v>
      </c>
      <c r="P1211" s="9" t="str">
        <f t="shared" si="168"/>
        <v/>
      </c>
      <c r="Q1211" s="9">
        <f t="shared" si="169"/>
        <v>0</v>
      </c>
      <c r="R1211" s="9">
        <f t="shared" si="170"/>
        <v>0</v>
      </c>
      <c r="S1211" s="9">
        <f t="array" ref="S1211">+SUM(IFERROR(VALUE(Q1211:R1211),0))</f>
        <v>0</v>
      </c>
    </row>
    <row r="1212" spans="1:19">
      <c r="A1212" s="26"/>
      <c r="B1212" s="27"/>
      <c r="C1212" s="27"/>
      <c r="D1212" s="28"/>
      <c r="F1212" s="9" t="str">
        <f t="shared" si="162"/>
        <v/>
      </c>
      <c r="G1212" s="9">
        <f t="shared" si="163"/>
        <v>0</v>
      </c>
      <c r="H1212" s="9">
        <f t="shared" si="164"/>
        <v>0</v>
      </c>
      <c r="I1212" s="9">
        <f t="array" ref="I1212">+SUM(IFERROR(VALUE(G1212:H1212),0))</f>
        <v>0</v>
      </c>
      <c r="K1212" s="9" t="str">
        <f t="shared" si="165"/>
        <v/>
      </c>
      <c r="L1212" s="9">
        <f t="shared" si="166"/>
        <v>0</v>
      </c>
      <c r="M1212" s="9">
        <f t="shared" si="167"/>
        <v>0</v>
      </c>
      <c r="N1212" s="9">
        <f t="array" ref="N1212">+SUM(IFERROR(VALUE(L1212:M1212),0))</f>
        <v>0</v>
      </c>
      <c r="P1212" s="9" t="str">
        <f t="shared" si="168"/>
        <v/>
      </c>
      <c r="Q1212" s="9">
        <f t="shared" si="169"/>
        <v>0</v>
      </c>
      <c r="R1212" s="9">
        <f t="shared" si="170"/>
        <v>0</v>
      </c>
      <c r="S1212" s="9">
        <f t="array" ref="S1212">+SUM(IFERROR(VALUE(Q1212:R1212),0))</f>
        <v>0</v>
      </c>
    </row>
    <row r="1213" spans="1:19">
      <c r="A1213" s="26"/>
      <c r="B1213" s="27"/>
      <c r="C1213" s="27"/>
      <c r="D1213" s="28"/>
      <c r="F1213" s="9" t="str">
        <f t="shared" si="162"/>
        <v/>
      </c>
      <c r="G1213" s="9">
        <f t="shared" si="163"/>
        <v>0</v>
      </c>
      <c r="H1213" s="9">
        <f t="shared" si="164"/>
        <v>0</v>
      </c>
      <c r="I1213" s="9">
        <f t="array" ref="I1213">+SUM(IFERROR(VALUE(G1213:H1213),0))</f>
        <v>0</v>
      </c>
      <c r="K1213" s="9" t="str">
        <f t="shared" si="165"/>
        <v/>
      </c>
      <c r="L1213" s="9">
        <f t="shared" si="166"/>
        <v>0</v>
      </c>
      <c r="M1213" s="9">
        <f t="shared" si="167"/>
        <v>0</v>
      </c>
      <c r="N1213" s="9">
        <f t="array" ref="N1213">+SUM(IFERROR(VALUE(L1213:M1213),0))</f>
        <v>0</v>
      </c>
      <c r="P1213" s="9" t="str">
        <f t="shared" si="168"/>
        <v/>
      </c>
      <c r="Q1213" s="9">
        <f t="shared" si="169"/>
        <v>0</v>
      </c>
      <c r="R1213" s="9">
        <f t="shared" si="170"/>
        <v>0</v>
      </c>
      <c r="S1213" s="9">
        <f t="array" ref="S1213">+SUM(IFERROR(VALUE(Q1213:R1213),0))</f>
        <v>0</v>
      </c>
    </row>
    <row r="1214" spans="1:19">
      <c r="A1214" s="26"/>
      <c r="B1214" s="27"/>
      <c r="C1214" s="27"/>
      <c r="D1214" s="28"/>
      <c r="F1214" s="9" t="str">
        <f t="shared" si="162"/>
        <v/>
      </c>
      <c r="G1214" s="9">
        <f t="shared" si="163"/>
        <v>0</v>
      </c>
      <c r="H1214" s="9">
        <f t="shared" si="164"/>
        <v>0</v>
      </c>
      <c r="I1214" s="9">
        <f t="array" ref="I1214">+SUM(IFERROR(VALUE(G1214:H1214),0))</f>
        <v>0</v>
      </c>
      <c r="K1214" s="9" t="str">
        <f t="shared" si="165"/>
        <v/>
      </c>
      <c r="L1214" s="9">
        <f t="shared" si="166"/>
        <v>0</v>
      </c>
      <c r="M1214" s="9">
        <f t="shared" si="167"/>
        <v>0</v>
      </c>
      <c r="N1214" s="9">
        <f t="array" ref="N1214">+SUM(IFERROR(VALUE(L1214:M1214),0))</f>
        <v>0</v>
      </c>
      <c r="P1214" s="9" t="str">
        <f t="shared" si="168"/>
        <v/>
      </c>
      <c r="Q1214" s="9">
        <f t="shared" si="169"/>
        <v>0</v>
      </c>
      <c r="R1214" s="9">
        <f t="shared" si="170"/>
        <v>0</v>
      </c>
      <c r="S1214" s="9">
        <f t="array" ref="S1214">+SUM(IFERROR(VALUE(Q1214:R1214),0))</f>
        <v>0</v>
      </c>
    </row>
    <row r="1215" spans="1:19">
      <c r="A1215" s="26"/>
      <c r="B1215" s="27"/>
      <c r="C1215" s="27"/>
      <c r="D1215" s="28"/>
      <c r="F1215" s="9" t="str">
        <f t="shared" si="162"/>
        <v/>
      </c>
      <c r="G1215" s="9">
        <f t="shared" si="163"/>
        <v>0</v>
      </c>
      <c r="H1215" s="9">
        <f t="shared" si="164"/>
        <v>0</v>
      </c>
      <c r="I1215" s="9">
        <f t="array" ref="I1215">+SUM(IFERROR(VALUE(G1215:H1215),0))</f>
        <v>0</v>
      </c>
      <c r="K1215" s="9" t="str">
        <f t="shared" si="165"/>
        <v/>
      </c>
      <c r="L1215" s="9">
        <f t="shared" si="166"/>
        <v>0</v>
      </c>
      <c r="M1215" s="9">
        <f t="shared" si="167"/>
        <v>0</v>
      </c>
      <c r="N1215" s="9">
        <f t="array" ref="N1215">+SUM(IFERROR(VALUE(L1215:M1215),0))</f>
        <v>0</v>
      </c>
      <c r="P1215" s="9" t="str">
        <f t="shared" si="168"/>
        <v/>
      </c>
      <c r="Q1215" s="9">
        <f t="shared" si="169"/>
        <v>0</v>
      </c>
      <c r="R1215" s="9">
        <f t="shared" si="170"/>
        <v>0</v>
      </c>
      <c r="S1215" s="9">
        <f t="array" ref="S1215">+SUM(IFERROR(VALUE(Q1215:R1215),0))</f>
        <v>0</v>
      </c>
    </row>
    <row r="1216" spans="1:19">
      <c r="A1216" s="26"/>
      <c r="B1216" s="27"/>
      <c r="C1216" s="27"/>
      <c r="D1216" s="28"/>
      <c r="F1216" s="9" t="str">
        <f t="shared" si="162"/>
        <v/>
      </c>
      <c r="G1216" s="9">
        <f t="shared" si="163"/>
        <v>0</v>
      </c>
      <c r="H1216" s="9">
        <f t="shared" si="164"/>
        <v>0</v>
      </c>
      <c r="I1216" s="9">
        <f t="array" ref="I1216">+SUM(IFERROR(VALUE(G1216:H1216),0))</f>
        <v>0</v>
      </c>
      <c r="K1216" s="9" t="str">
        <f t="shared" si="165"/>
        <v/>
      </c>
      <c r="L1216" s="9">
        <f t="shared" si="166"/>
        <v>0</v>
      </c>
      <c r="M1216" s="9">
        <f t="shared" si="167"/>
        <v>0</v>
      </c>
      <c r="N1216" s="9">
        <f t="array" ref="N1216">+SUM(IFERROR(VALUE(L1216:M1216),0))</f>
        <v>0</v>
      </c>
      <c r="P1216" s="9" t="str">
        <f t="shared" si="168"/>
        <v/>
      </c>
      <c r="Q1216" s="9">
        <f t="shared" si="169"/>
        <v>0</v>
      </c>
      <c r="R1216" s="9">
        <f t="shared" si="170"/>
        <v>0</v>
      </c>
      <c r="S1216" s="9">
        <f t="array" ref="S1216">+SUM(IFERROR(VALUE(Q1216:R1216),0))</f>
        <v>0</v>
      </c>
    </row>
    <row r="1217" spans="1:19">
      <c r="A1217" s="26"/>
      <c r="B1217" s="27"/>
      <c r="C1217" s="27"/>
      <c r="D1217" s="28"/>
      <c r="F1217" s="9" t="str">
        <f t="shared" si="162"/>
        <v/>
      </c>
      <c r="G1217" s="9">
        <f t="shared" si="163"/>
        <v>0</v>
      </c>
      <c r="H1217" s="9">
        <f t="shared" si="164"/>
        <v>0</v>
      </c>
      <c r="I1217" s="9">
        <f t="array" ref="I1217">+SUM(IFERROR(VALUE(G1217:H1217),0))</f>
        <v>0</v>
      </c>
      <c r="K1217" s="9" t="str">
        <f t="shared" si="165"/>
        <v/>
      </c>
      <c r="L1217" s="9">
        <f t="shared" si="166"/>
        <v>0</v>
      </c>
      <c r="M1217" s="9">
        <f t="shared" si="167"/>
        <v>0</v>
      </c>
      <c r="N1217" s="9">
        <f t="array" ref="N1217">+SUM(IFERROR(VALUE(L1217:M1217),0))</f>
        <v>0</v>
      </c>
      <c r="P1217" s="9" t="str">
        <f t="shared" si="168"/>
        <v/>
      </c>
      <c r="Q1217" s="9">
        <f t="shared" si="169"/>
        <v>0</v>
      </c>
      <c r="R1217" s="9">
        <f t="shared" si="170"/>
        <v>0</v>
      </c>
      <c r="S1217" s="9">
        <f t="array" ref="S1217">+SUM(IFERROR(VALUE(Q1217:R1217),0))</f>
        <v>0</v>
      </c>
    </row>
    <row r="1218" spans="1:19">
      <c r="A1218" s="26"/>
      <c r="B1218" s="27"/>
      <c r="C1218" s="27"/>
      <c r="D1218" s="28"/>
      <c r="F1218" s="9" t="str">
        <f t="shared" si="162"/>
        <v/>
      </c>
      <c r="G1218" s="9">
        <f t="shared" si="163"/>
        <v>0</v>
      </c>
      <c r="H1218" s="9">
        <f t="shared" si="164"/>
        <v>0</v>
      </c>
      <c r="I1218" s="9">
        <f t="array" ref="I1218">+SUM(IFERROR(VALUE(G1218:H1218),0))</f>
        <v>0</v>
      </c>
      <c r="K1218" s="9" t="str">
        <f t="shared" si="165"/>
        <v/>
      </c>
      <c r="L1218" s="9">
        <f t="shared" si="166"/>
        <v>0</v>
      </c>
      <c r="M1218" s="9">
        <f t="shared" si="167"/>
        <v>0</v>
      </c>
      <c r="N1218" s="9">
        <f t="array" ref="N1218">+SUM(IFERROR(VALUE(L1218:M1218),0))</f>
        <v>0</v>
      </c>
      <c r="P1218" s="9" t="str">
        <f t="shared" si="168"/>
        <v/>
      </c>
      <c r="Q1218" s="9">
        <f t="shared" si="169"/>
        <v>0</v>
      </c>
      <c r="R1218" s="9">
        <f t="shared" si="170"/>
        <v>0</v>
      </c>
      <c r="S1218" s="9">
        <f t="array" ref="S1218">+SUM(IFERROR(VALUE(Q1218:R1218),0))</f>
        <v>0</v>
      </c>
    </row>
    <row r="1219" spans="1:19">
      <c r="A1219" s="26"/>
      <c r="B1219" s="27"/>
      <c r="C1219" s="27"/>
      <c r="D1219" s="28"/>
      <c r="F1219" s="9" t="str">
        <f t="shared" si="162"/>
        <v/>
      </c>
      <c r="G1219" s="9">
        <f t="shared" si="163"/>
        <v>0</v>
      </c>
      <c r="H1219" s="9">
        <f t="shared" si="164"/>
        <v>0</v>
      </c>
      <c r="I1219" s="9">
        <f t="array" ref="I1219">+SUM(IFERROR(VALUE(G1219:H1219),0))</f>
        <v>0</v>
      </c>
      <c r="K1219" s="9" t="str">
        <f t="shared" si="165"/>
        <v/>
      </c>
      <c r="L1219" s="9">
        <f t="shared" si="166"/>
        <v>0</v>
      </c>
      <c r="M1219" s="9">
        <f t="shared" si="167"/>
        <v>0</v>
      </c>
      <c r="N1219" s="9">
        <f t="array" ref="N1219">+SUM(IFERROR(VALUE(L1219:M1219),0))</f>
        <v>0</v>
      </c>
      <c r="P1219" s="9" t="str">
        <f t="shared" si="168"/>
        <v/>
      </c>
      <c r="Q1219" s="9">
        <f t="shared" si="169"/>
        <v>0</v>
      </c>
      <c r="R1219" s="9">
        <f t="shared" si="170"/>
        <v>0</v>
      </c>
      <c r="S1219" s="9">
        <f t="array" ref="S1219">+SUM(IFERROR(VALUE(Q1219:R1219),0))</f>
        <v>0</v>
      </c>
    </row>
    <row r="1220" spans="1:19">
      <c r="A1220" s="26"/>
      <c r="B1220" s="27"/>
      <c r="C1220" s="27"/>
      <c r="D1220" s="28"/>
      <c r="F1220" s="9" t="str">
        <f t="shared" si="162"/>
        <v/>
      </c>
      <c r="G1220" s="9">
        <f t="shared" si="163"/>
        <v>0</v>
      </c>
      <c r="H1220" s="9">
        <f t="shared" si="164"/>
        <v>0</v>
      </c>
      <c r="I1220" s="9">
        <f t="array" ref="I1220">+SUM(IFERROR(VALUE(G1220:H1220),0))</f>
        <v>0</v>
      </c>
      <c r="K1220" s="9" t="str">
        <f t="shared" si="165"/>
        <v/>
      </c>
      <c r="L1220" s="9">
        <f t="shared" si="166"/>
        <v>0</v>
      </c>
      <c r="M1220" s="9">
        <f t="shared" si="167"/>
        <v>0</v>
      </c>
      <c r="N1220" s="9">
        <f t="array" ref="N1220">+SUM(IFERROR(VALUE(L1220:M1220),0))</f>
        <v>0</v>
      </c>
      <c r="P1220" s="9" t="str">
        <f t="shared" si="168"/>
        <v/>
      </c>
      <c r="Q1220" s="9">
        <f t="shared" si="169"/>
        <v>0</v>
      </c>
      <c r="R1220" s="9">
        <f t="shared" si="170"/>
        <v>0</v>
      </c>
      <c r="S1220" s="9">
        <f t="array" ref="S1220">+SUM(IFERROR(VALUE(Q1220:R1220),0))</f>
        <v>0</v>
      </c>
    </row>
    <row r="1221" spans="1:19">
      <c r="A1221" s="26"/>
      <c r="B1221" s="27"/>
      <c r="C1221" s="27"/>
      <c r="D1221" s="28"/>
      <c r="F1221" s="9" t="str">
        <f t="shared" si="162"/>
        <v/>
      </c>
      <c r="G1221" s="9">
        <f t="shared" si="163"/>
        <v>0</v>
      </c>
      <c r="H1221" s="9">
        <f t="shared" si="164"/>
        <v>0</v>
      </c>
      <c r="I1221" s="9">
        <f t="array" ref="I1221">+SUM(IFERROR(VALUE(G1221:H1221),0))</f>
        <v>0</v>
      </c>
      <c r="K1221" s="9" t="str">
        <f t="shared" si="165"/>
        <v/>
      </c>
      <c r="L1221" s="9">
        <f t="shared" si="166"/>
        <v>0</v>
      </c>
      <c r="M1221" s="9">
        <f t="shared" si="167"/>
        <v>0</v>
      </c>
      <c r="N1221" s="9">
        <f t="array" ref="N1221">+SUM(IFERROR(VALUE(L1221:M1221),0))</f>
        <v>0</v>
      </c>
      <c r="P1221" s="9" t="str">
        <f t="shared" si="168"/>
        <v/>
      </c>
      <c r="Q1221" s="9">
        <f t="shared" si="169"/>
        <v>0</v>
      </c>
      <c r="R1221" s="9">
        <f t="shared" si="170"/>
        <v>0</v>
      </c>
      <c r="S1221" s="9">
        <f t="array" ref="S1221">+SUM(IFERROR(VALUE(Q1221:R1221),0))</f>
        <v>0</v>
      </c>
    </row>
    <row r="1222" spans="1:19">
      <c r="A1222" s="26"/>
      <c r="B1222" s="27"/>
      <c r="C1222" s="27"/>
      <c r="D1222" s="28"/>
      <c r="F1222" s="9" t="str">
        <f t="shared" ref="F1222:F1285" si="171">+LEFT(A1222,4)</f>
        <v/>
      </c>
      <c r="G1222" s="9">
        <f t="shared" ref="G1222:G1285" si="172">+C1222</f>
        <v>0</v>
      </c>
      <c r="H1222" s="9">
        <f t="shared" ref="H1222:H1285" si="173">-D1222</f>
        <v>0</v>
      </c>
      <c r="I1222" s="9">
        <f t="array" ref="I1222">+SUM(IFERROR(VALUE(G1222:H1222),0))</f>
        <v>0</v>
      </c>
      <c r="K1222" s="9" t="str">
        <f t="shared" ref="K1222:K1285" si="174">+LEFT(A1222,3)</f>
        <v/>
      </c>
      <c r="L1222" s="9">
        <f t="shared" ref="L1222:L1285" si="175">+C1222</f>
        <v>0</v>
      </c>
      <c r="M1222" s="9">
        <f t="shared" ref="M1222:M1285" si="176">-D1222</f>
        <v>0</v>
      </c>
      <c r="N1222" s="9">
        <f t="array" ref="N1222">+SUM(IFERROR(VALUE(L1222:M1222),0))</f>
        <v>0</v>
      </c>
      <c r="P1222" s="9" t="str">
        <f t="shared" ref="P1222:P1285" si="177">+LEFT(A1222,2)</f>
        <v/>
      </c>
      <c r="Q1222" s="9">
        <f t="shared" ref="Q1222:Q1285" si="178">+C1222</f>
        <v>0</v>
      </c>
      <c r="R1222" s="9">
        <f t="shared" ref="R1222:R1285" si="179">-D1222</f>
        <v>0</v>
      </c>
      <c r="S1222" s="9">
        <f t="array" ref="S1222">+SUM(IFERROR(VALUE(Q1222:R1222),0))</f>
        <v>0</v>
      </c>
    </row>
    <row r="1223" spans="1:19">
      <c r="A1223" s="26"/>
      <c r="B1223" s="27"/>
      <c r="C1223" s="27"/>
      <c r="D1223" s="28"/>
      <c r="F1223" s="9" t="str">
        <f t="shared" si="171"/>
        <v/>
      </c>
      <c r="G1223" s="9">
        <f t="shared" si="172"/>
        <v>0</v>
      </c>
      <c r="H1223" s="9">
        <f t="shared" si="173"/>
        <v>0</v>
      </c>
      <c r="I1223" s="9">
        <f t="array" ref="I1223">+SUM(IFERROR(VALUE(G1223:H1223),0))</f>
        <v>0</v>
      </c>
      <c r="K1223" s="9" t="str">
        <f t="shared" si="174"/>
        <v/>
      </c>
      <c r="L1223" s="9">
        <f t="shared" si="175"/>
        <v>0</v>
      </c>
      <c r="M1223" s="9">
        <f t="shared" si="176"/>
        <v>0</v>
      </c>
      <c r="N1223" s="9">
        <f t="array" ref="N1223">+SUM(IFERROR(VALUE(L1223:M1223),0))</f>
        <v>0</v>
      </c>
      <c r="P1223" s="9" t="str">
        <f t="shared" si="177"/>
        <v/>
      </c>
      <c r="Q1223" s="9">
        <f t="shared" si="178"/>
        <v>0</v>
      </c>
      <c r="R1223" s="9">
        <f t="shared" si="179"/>
        <v>0</v>
      </c>
      <c r="S1223" s="9">
        <f t="array" ref="S1223">+SUM(IFERROR(VALUE(Q1223:R1223),0))</f>
        <v>0</v>
      </c>
    </row>
    <row r="1224" spans="1:19">
      <c r="A1224" s="26"/>
      <c r="B1224" s="27"/>
      <c r="C1224" s="27"/>
      <c r="D1224" s="28"/>
      <c r="F1224" s="9" t="str">
        <f t="shared" si="171"/>
        <v/>
      </c>
      <c r="G1224" s="9">
        <f t="shared" si="172"/>
        <v>0</v>
      </c>
      <c r="H1224" s="9">
        <f t="shared" si="173"/>
        <v>0</v>
      </c>
      <c r="I1224" s="9">
        <f t="array" ref="I1224">+SUM(IFERROR(VALUE(G1224:H1224),0))</f>
        <v>0</v>
      </c>
      <c r="K1224" s="9" t="str">
        <f t="shared" si="174"/>
        <v/>
      </c>
      <c r="L1224" s="9">
        <f t="shared" si="175"/>
        <v>0</v>
      </c>
      <c r="M1224" s="9">
        <f t="shared" si="176"/>
        <v>0</v>
      </c>
      <c r="N1224" s="9">
        <f t="array" ref="N1224">+SUM(IFERROR(VALUE(L1224:M1224),0))</f>
        <v>0</v>
      </c>
      <c r="P1224" s="9" t="str">
        <f t="shared" si="177"/>
        <v/>
      </c>
      <c r="Q1224" s="9">
        <f t="shared" si="178"/>
        <v>0</v>
      </c>
      <c r="R1224" s="9">
        <f t="shared" si="179"/>
        <v>0</v>
      </c>
      <c r="S1224" s="9">
        <f t="array" ref="S1224">+SUM(IFERROR(VALUE(Q1224:R1224),0))</f>
        <v>0</v>
      </c>
    </row>
    <row r="1225" spans="1:19">
      <c r="A1225" s="26"/>
      <c r="B1225" s="27"/>
      <c r="C1225" s="27"/>
      <c r="D1225" s="28"/>
      <c r="F1225" s="9" t="str">
        <f t="shared" si="171"/>
        <v/>
      </c>
      <c r="G1225" s="9">
        <f t="shared" si="172"/>
        <v>0</v>
      </c>
      <c r="H1225" s="9">
        <f t="shared" si="173"/>
        <v>0</v>
      </c>
      <c r="I1225" s="9">
        <f t="array" ref="I1225">+SUM(IFERROR(VALUE(G1225:H1225),0))</f>
        <v>0</v>
      </c>
      <c r="K1225" s="9" t="str">
        <f t="shared" si="174"/>
        <v/>
      </c>
      <c r="L1225" s="9">
        <f t="shared" si="175"/>
        <v>0</v>
      </c>
      <c r="M1225" s="9">
        <f t="shared" si="176"/>
        <v>0</v>
      </c>
      <c r="N1225" s="9">
        <f t="array" ref="N1225">+SUM(IFERROR(VALUE(L1225:M1225),0))</f>
        <v>0</v>
      </c>
      <c r="P1225" s="9" t="str">
        <f t="shared" si="177"/>
        <v/>
      </c>
      <c r="Q1225" s="9">
        <f t="shared" si="178"/>
        <v>0</v>
      </c>
      <c r="R1225" s="9">
        <f t="shared" si="179"/>
        <v>0</v>
      </c>
      <c r="S1225" s="9">
        <f t="array" ref="S1225">+SUM(IFERROR(VALUE(Q1225:R1225),0))</f>
        <v>0</v>
      </c>
    </row>
    <row r="1226" spans="1:19">
      <c r="A1226" s="26"/>
      <c r="B1226" s="27"/>
      <c r="C1226" s="27"/>
      <c r="D1226" s="28"/>
      <c r="F1226" s="9" t="str">
        <f t="shared" si="171"/>
        <v/>
      </c>
      <c r="G1226" s="9">
        <f t="shared" si="172"/>
        <v>0</v>
      </c>
      <c r="H1226" s="9">
        <f t="shared" si="173"/>
        <v>0</v>
      </c>
      <c r="I1226" s="9">
        <f t="array" ref="I1226">+SUM(IFERROR(VALUE(G1226:H1226),0))</f>
        <v>0</v>
      </c>
      <c r="K1226" s="9" t="str">
        <f t="shared" si="174"/>
        <v/>
      </c>
      <c r="L1226" s="9">
        <f t="shared" si="175"/>
        <v>0</v>
      </c>
      <c r="M1226" s="9">
        <f t="shared" si="176"/>
        <v>0</v>
      </c>
      <c r="N1226" s="9">
        <f t="array" ref="N1226">+SUM(IFERROR(VALUE(L1226:M1226),0))</f>
        <v>0</v>
      </c>
      <c r="P1226" s="9" t="str">
        <f t="shared" si="177"/>
        <v/>
      </c>
      <c r="Q1226" s="9">
        <f t="shared" si="178"/>
        <v>0</v>
      </c>
      <c r="R1226" s="9">
        <f t="shared" si="179"/>
        <v>0</v>
      </c>
      <c r="S1226" s="9">
        <f t="array" ref="S1226">+SUM(IFERROR(VALUE(Q1226:R1226),0))</f>
        <v>0</v>
      </c>
    </row>
    <row r="1227" spans="1:19">
      <c r="A1227" s="26"/>
      <c r="B1227" s="27"/>
      <c r="C1227" s="27"/>
      <c r="D1227" s="28"/>
      <c r="F1227" s="9" t="str">
        <f t="shared" si="171"/>
        <v/>
      </c>
      <c r="G1227" s="9">
        <f t="shared" si="172"/>
        <v>0</v>
      </c>
      <c r="H1227" s="9">
        <f t="shared" si="173"/>
        <v>0</v>
      </c>
      <c r="I1227" s="9">
        <f t="array" ref="I1227">+SUM(IFERROR(VALUE(G1227:H1227),0))</f>
        <v>0</v>
      </c>
      <c r="K1227" s="9" t="str">
        <f t="shared" si="174"/>
        <v/>
      </c>
      <c r="L1227" s="9">
        <f t="shared" si="175"/>
        <v>0</v>
      </c>
      <c r="M1227" s="9">
        <f t="shared" si="176"/>
        <v>0</v>
      </c>
      <c r="N1227" s="9">
        <f t="array" ref="N1227">+SUM(IFERROR(VALUE(L1227:M1227),0))</f>
        <v>0</v>
      </c>
      <c r="P1227" s="9" t="str">
        <f t="shared" si="177"/>
        <v/>
      </c>
      <c r="Q1227" s="9">
        <f t="shared" si="178"/>
        <v>0</v>
      </c>
      <c r="R1227" s="9">
        <f t="shared" si="179"/>
        <v>0</v>
      </c>
      <c r="S1227" s="9">
        <f t="array" ref="S1227">+SUM(IFERROR(VALUE(Q1227:R1227),0))</f>
        <v>0</v>
      </c>
    </row>
    <row r="1228" spans="1:19">
      <c r="A1228" s="26"/>
      <c r="B1228" s="27"/>
      <c r="C1228" s="27"/>
      <c r="D1228" s="28"/>
      <c r="F1228" s="9" t="str">
        <f t="shared" si="171"/>
        <v/>
      </c>
      <c r="G1228" s="9">
        <f t="shared" si="172"/>
        <v>0</v>
      </c>
      <c r="H1228" s="9">
        <f t="shared" si="173"/>
        <v>0</v>
      </c>
      <c r="I1228" s="9">
        <f t="array" ref="I1228">+SUM(IFERROR(VALUE(G1228:H1228),0))</f>
        <v>0</v>
      </c>
      <c r="K1228" s="9" t="str">
        <f t="shared" si="174"/>
        <v/>
      </c>
      <c r="L1228" s="9">
        <f t="shared" si="175"/>
        <v>0</v>
      </c>
      <c r="M1228" s="9">
        <f t="shared" si="176"/>
        <v>0</v>
      </c>
      <c r="N1228" s="9">
        <f t="array" ref="N1228">+SUM(IFERROR(VALUE(L1228:M1228),0))</f>
        <v>0</v>
      </c>
      <c r="P1228" s="9" t="str">
        <f t="shared" si="177"/>
        <v/>
      </c>
      <c r="Q1228" s="9">
        <f t="shared" si="178"/>
        <v>0</v>
      </c>
      <c r="R1228" s="9">
        <f t="shared" si="179"/>
        <v>0</v>
      </c>
      <c r="S1228" s="9">
        <f t="array" ref="S1228">+SUM(IFERROR(VALUE(Q1228:R1228),0))</f>
        <v>0</v>
      </c>
    </row>
    <row r="1229" spans="1:19">
      <c r="A1229" s="26"/>
      <c r="B1229" s="27"/>
      <c r="C1229" s="27"/>
      <c r="D1229" s="28"/>
      <c r="F1229" s="9" t="str">
        <f t="shared" si="171"/>
        <v/>
      </c>
      <c r="G1229" s="9">
        <f t="shared" si="172"/>
        <v>0</v>
      </c>
      <c r="H1229" s="9">
        <f t="shared" si="173"/>
        <v>0</v>
      </c>
      <c r="I1229" s="9">
        <f t="array" ref="I1229">+SUM(IFERROR(VALUE(G1229:H1229),0))</f>
        <v>0</v>
      </c>
      <c r="K1229" s="9" t="str">
        <f t="shared" si="174"/>
        <v/>
      </c>
      <c r="L1229" s="9">
        <f t="shared" si="175"/>
        <v>0</v>
      </c>
      <c r="M1229" s="9">
        <f t="shared" si="176"/>
        <v>0</v>
      </c>
      <c r="N1229" s="9">
        <f t="array" ref="N1229">+SUM(IFERROR(VALUE(L1229:M1229),0))</f>
        <v>0</v>
      </c>
      <c r="P1229" s="9" t="str">
        <f t="shared" si="177"/>
        <v/>
      </c>
      <c r="Q1229" s="9">
        <f t="shared" si="178"/>
        <v>0</v>
      </c>
      <c r="R1229" s="9">
        <f t="shared" si="179"/>
        <v>0</v>
      </c>
      <c r="S1229" s="9">
        <f t="array" ref="S1229">+SUM(IFERROR(VALUE(Q1229:R1229),0))</f>
        <v>0</v>
      </c>
    </row>
    <row r="1230" spans="1:19">
      <c r="A1230" s="26"/>
      <c r="B1230" s="27"/>
      <c r="C1230" s="27"/>
      <c r="D1230" s="28"/>
      <c r="F1230" s="9" t="str">
        <f t="shared" si="171"/>
        <v/>
      </c>
      <c r="G1230" s="9">
        <f t="shared" si="172"/>
        <v>0</v>
      </c>
      <c r="H1230" s="9">
        <f t="shared" si="173"/>
        <v>0</v>
      </c>
      <c r="I1230" s="9">
        <f t="array" ref="I1230">+SUM(IFERROR(VALUE(G1230:H1230),0))</f>
        <v>0</v>
      </c>
      <c r="K1230" s="9" t="str">
        <f t="shared" si="174"/>
        <v/>
      </c>
      <c r="L1230" s="9">
        <f t="shared" si="175"/>
        <v>0</v>
      </c>
      <c r="M1230" s="9">
        <f t="shared" si="176"/>
        <v>0</v>
      </c>
      <c r="N1230" s="9">
        <f t="array" ref="N1230">+SUM(IFERROR(VALUE(L1230:M1230),0))</f>
        <v>0</v>
      </c>
      <c r="P1230" s="9" t="str">
        <f t="shared" si="177"/>
        <v/>
      </c>
      <c r="Q1230" s="9">
        <f t="shared" si="178"/>
        <v>0</v>
      </c>
      <c r="R1230" s="9">
        <f t="shared" si="179"/>
        <v>0</v>
      </c>
      <c r="S1230" s="9">
        <f t="array" ref="S1230">+SUM(IFERROR(VALUE(Q1230:R1230),0))</f>
        <v>0</v>
      </c>
    </row>
    <row r="1231" spans="1:19">
      <c r="A1231" s="26"/>
      <c r="B1231" s="27"/>
      <c r="C1231" s="27"/>
      <c r="D1231" s="28"/>
      <c r="F1231" s="9" t="str">
        <f t="shared" si="171"/>
        <v/>
      </c>
      <c r="G1231" s="9">
        <f t="shared" si="172"/>
        <v>0</v>
      </c>
      <c r="H1231" s="9">
        <f t="shared" si="173"/>
        <v>0</v>
      </c>
      <c r="I1231" s="9">
        <f t="array" ref="I1231">+SUM(IFERROR(VALUE(G1231:H1231),0))</f>
        <v>0</v>
      </c>
      <c r="K1231" s="9" t="str">
        <f t="shared" si="174"/>
        <v/>
      </c>
      <c r="L1231" s="9">
        <f t="shared" si="175"/>
        <v>0</v>
      </c>
      <c r="M1231" s="9">
        <f t="shared" si="176"/>
        <v>0</v>
      </c>
      <c r="N1231" s="9">
        <f t="array" ref="N1231">+SUM(IFERROR(VALUE(L1231:M1231),0))</f>
        <v>0</v>
      </c>
      <c r="P1231" s="9" t="str">
        <f t="shared" si="177"/>
        <v/>
      </c>
      <c r="Q1231" s="9">
        <f t="shared" si="178"/>
        <v>0</v>
      </c>
      <c r="R1231" s="9">
        <f t="shared" si="179"/>
        <v>0</v>
      </c>
      <c r="S1231" s="9">
        <f t="array" ref="S1231">+SUM(IFERROR(VALUE(Q1231:R1231),0))</f>
        <v>0</v>
      </c>
    </row>
    <row r="1232" spans="1:19">
      <c r="A1232" s="26"/>
      <c r="B1232" s="27"/>
      <c r="C1232" s="27"/>
      <c r="D1232" s="28"/>
      <c r="F1232" s="9" t="str">
        <f t="shared" si="171"/>
        <v/>
      </c>
      <c r="G1232" s="9">
        <f t="shared" si="172"/>
        <v>0</v>
      </c>
      <c r="H1232" s="9">
        <f t="shared" si="173"/>
        <v>0</v>
      </c>
      <c r="I1232" s="9">
        <f t="array" ref="I1232">+SUM(IFERROR(VALUE(G1232:H1232),0))</f>
        <v>0</v>
      </c>
      <c r="K1232" s="9" t="str">
        <f t="shared" si="174"/>
        <v/>
      </c>
      <c r="L1232" s="9">
        <f t="shared" si="175"/>
        <v>0</v>
      </c>
      <c r="M1232" s="9">
        <f t="shared" si="176"/>
        <v>0</v>
      </c>
      <c r="N1232" s="9">
        <f t="array" ref="N1232">+SUM(IFERROR(VALUE(L1232:M1232),0))</f>
        <v>0</v>
      </c>
      <c r="P1232" s="9" t="str">
        <f t="shared" si="177"/>
        <v/>
      </c>
      <c r="Q1232" s="9">
        <f t="shared" si="178"/>
        <v>0</v>
      </c>
      <c r="R1232" s="9">
        <f t="shared" si="179"/>
        <v>0</v>
      </c>
      <c r="S1232" s="9">
        <f t="array" ref="S1232">+SUM(IFERROR(VALUE(Q1232:R1232),0))</f>
        <v>0</v>
      </c>
    </row>
    <row r="1233" spans="1:19">
      <c r="A1233" s="26"/>
      <c r="B1233" s="27"/>
      <c r="C1233" s="27"/>
      <c r="D1233" s="28"/>
      <c r="F1233" s="9" t="str">
        <f t="shared" si="171"/>
        <v/>
      </c>
      <c r="G1233" s="9">
        <f t="shared" si="172"/>
        <v>0</v>
      </c>
      <c r="H1233" s="9">
        <f t="shared" si="173"/>
        <v>0</v>
      </c>
      <c r="I1233" s="9">
        <f t="array" ref="I1233">+SUM(IFERROR(VALUE(G1233:H1233),0))</f>
        <v>0</v>
      </c>
      <c r="K1233" s="9" t="str">
        <f t="shared" si="174"/>
        <v/>
      </c>
      <c r="L1233" s="9">
        <f t="shared" si="175"/>
        <v>0</v>
      </c>
      <c r="M1233" s="9">
        <f t="shared" si="176"/>
        <v>0</v>
      </c>
      <c r="N1233" s="9">
        <f t="array" ref="N1233">+SUM(IFERROR(VALUE(L1233:M1233),0))</f>
        <v>0</v>
      </c>
      <c r="P1233" s="9" t="str">
        <f t="shared" si="177"/>
        <v/>
      </c>
      <c r="Q1233" s="9">
        <f t="shared" si="178"/>
        <v>0</v>
      </c>
      <c r="R1233" s="9">
        <f t="shared" si="179"/>
        <v>0</v>
      </c>
      <c r="S1233" s="9">
        <f t="array" ref="S1233">+SUM(IFERROR(VALUE(Q1233:R1233),0))</f>
        <v>0</v>
      </c>
    </row>
    <row r="1234" spans="1:19">
      <c r="A1234" s="26"/>
      <c r="B1234" s="27"/>
      <c r="C1234" s="27"/>
      <c r="D1234" s="28"/>
      <c r="F1234" s="9" t="str">
        <f t="shared" si="171"/>
        <v/>
      </c>
      <c r="G1234" s="9">
        <f t="shared" si="172"/>
        <v>0</v>
      </c>
      <c r="H1234" s="9">
        <f t="shared" si="173"/>
        <v>0</v>
      </c>
      <c r="I1234" s="9">
        <f t="array" ref="I1234">+SUM(IFERROR(VALUE(G1234:H1234),0))</f>
        <v>0</v>
      </c>
      <c r="K1234" s="9" t="str">
        <f t="shared" si="174"/>
        <v/>
      </c>
      <c r="L1234" s="9">
        <f t="shared" si="175"/>
        <v>0</v>
      </c>
      <c r="M1234" s="9">
        <f t="shared" si="176"/>
        <v>0</v>
      </c>
      <c r="N1234" s="9">
        <f t="array" ref="N1234">+SUM(IFERROR(VALUE(L1234:M1234),0))</f>
        <v>0</v>
      </c>
      <c r="P1234" s="9" t="str">
        <f t="shared" si="177"/>
        <v/>
      </c>
      <c r="Q1234" s="9">
        <f t="shared" si="178"/>
        <v>0</v>
      </c>
      <c r="R1234" s="9">
        <f t="shared" si="179"/>
        <v>0</v>
      </c>
      <c r="S1234" s="9">
        <f t="array" ref="S1234">+SUM(IFERROR(VALUE(Q1234:R1234),0))</f>
        <v>0</v>
      </c>
    </row>
    <row r="1235" spans="1:19">
      <c r="A1235" s="26"/>
      <c r="B1235" s="27"/>
      <c r="C1235" s="27"/>
      <c r="D1235" s="28"/>
      <c r="F1235" s="9" t="str">
        <f t="shared" si="171"/>
        <v/>
      </c>
      <c r="G1235" s="9">
        <f t="shared" si="172"/>
        <v>0</v>
      </c>
      <c r="H1235" s="9">
        <f t="shared" si="173"/>
        <v>0</v>
      </c>
      <c r="I1235" s="9">
        <f t="array" ref="I1235">+SUM(IFERROR(VALUE(G1235:H1235),0))</f>
        <v>0</v>
      </c>
      <c r="K1235" s="9" t="str">
        <f t="shared" si="174"/>
        <v/>
      </c>
      <c r="L1235" s="9">
        <f t="shared" si="175"/>
        <v>0</v>
      </c>
      <c r="M1235" s="9">
        <f t="shared" si="176"/>
        <v>0</v>
      </c>
      <c r="N1235" s="9">
        <f t="array" ref="N1235">+SUM(IFERROR(VALUE(L1235:M1235),0))</f>
        <v>0</v>
      </c>
      <c r="P1235" s="9" t="str">
        <f t="shared" si="177"/>
        <v/>
      </c>
      <c r="Q1235" s="9">
        <f t="shared" si="178"/>
        <v>0</v>
      </c>
      <c r="R1235" s="9">
        <f t="shared" si="179"/>
        <v>0</v>
      </c>
      <c r="S1235" s="9">
        <f t="array" ref="S1235">+SUM(IFERROR(VALUE(Q1235:R1235),0))</f>
        <v>0</v>
      </c>
    </row>
    <row r="1236" spans="1:19">
      <c r="A1236" s="26"/>
      <c r="B1236" s="27"/>
      <c r="C1236" s="27"/>
      <c r="D1236" s="28"/>
      <c r="F1236" s="9" t="str">
        <f t="shared" si="171"/>
        <v/>
      </c>
      <c r="G1236" s="9">
        <f t="shared" si="172"/>
        <v>0</v>
      </c>
      <c r="H1236" s="9">
        <f t="shared" si="173"/>
        <v>0</v>
      </c>
      <c r="I1236" s="9">
        <f t="array" ref="I1236">+SUM(IFERROR(VALUE(G1236:H1236),0))</f>
        <v>0</v>
      </c>
      <c r="K1236" s="9" t="str">
        <f t="shared" si="174"/>
        <v/>
      </c>
      <c r="L1236" s="9">
        <f t="shared" si="175"/>
        <v>0</v>
      </c>
      <c r="M1236" s="9">
        <f t="shared" si="176"/>
        <v>0</v>
      </c>
      <c r="N1236" s="9">
        <f t="array" ref="N1236">+SUM(IFERROR(VALUE(L1236:M1236),0))</f>
        <v>0</v>
      </c>
      <c r="P1236" s="9" t="str">
        <f t="shared" si="177"/>
        <v/>
      </c>
      <c r="Q1236" s="9">
        <f t="shared" si="178"/>
        <v>0</v>
      </c>
      <c r="R1236" s="9">
        <f t="shared" si="179"/>
        <v>0</v>
      </c>
      <c r="S1236" s="9">
        <f t="array" ref="S1236">+SUM(IFERROR(VALUE(Q1236:R1236),0))</f>
        <v>0</v>
      </c>
    </row>
    <row r="1237" spans="1:19">
      <c r="A1237" s="26"/>
      <c r="B1237" s="27"/>
      <c r="C1237" s="27"/>
      <c r="D1237" s="28"/>
      <c r="F1237" s="9" t="str">
        <f t="shared" si="171"/>
        <v/>
      </c>
      <c r="G1237" s="9">
        <f t="shared" si="172"/>
        <v>0</v>
      </c>
      <c r="H1237" s="9">
        <f t="shared" si="173"/>
        <v>0</v>
      </c>
      <c r="I1237" s="9">
        <f t="array" ref="I1237">+SUM(IFERROR(VALUE(G1237:H1237),0))</f>
        <v>0</v>
      </c>
      <c r="K1237" s="9" t="str">
        <f t="shared" si="174"/>
        <v/>
      </c>
      <c r="L1237" s="9">
        <f t="shared" si="175"/>
        <v>0</v>
      </c>
      <c r="M1237" s="9">
        <f t="shared" si="176"/>
        <v>0</v>
      </c>
      <c r="N1237" s="9">
        <f t="array" ref="N1237">+SUM(IFERROR(VALUE(L1237:M1237),0))</f>
        <v>0</v>
      </c>
      <c r="P1237" s="9" t="str">
        <f t="shared" si="177"/>
        <v/>
      </c>
      <c r="Q1237" s="9">
        <f t="shared" si="178"/>
        <v>0</v>
      </c>
      <c r="R1237" s="9">
        <f t="shared" si="179"/>
        <v>0</v>
      </c>
      <c r="S1237" s="9">
        <f t="array" ref="S1237">+SUM(IFERROR(VALUE(Q1237:R1237),0))</f>
        <v>0</v>
      </c>
    </row>
    <row r="1238" spans="1:19">
      <c r="A1238" s="26"/>
      <c r="B1238" s="27"/>
      <c r="C1238" s="27"/>
      <c r="D1238" s="28"/>
      <c r="F1238" s="9" t="str">
        <f t="shared" si="171"/>
        <v/>
      </c>
      <c r="G1238" s="9">
        <f t="shared" si="172"/>
        <v>0</v>
      </c>
      <c r="H1238" s="9">
        <f t="shared" si="173"/>
        <v>0</v>
      </c>
      <c r="I1238" s="9">
        <f t="array" ref="I1238">+SUM(IFERROR(VALUE(G1238:H1238),0))</f>
        <v>0</v>
      </c>
      <c r="K1238" s="9" t="str">
        <f t="shared" si="174"/>
        <v/>
      </c>
      <c r="L1238" s="9">
        <f t="shared" si="175"/>
        <v>0</v>
      </c>
      <c r="M1238" s="9">
        <f t="shared" si="176"/>
        <v>0</v>
      </c>
      <c r="N1238" s="9">
        <f t="array" ref="N1238">+SUM(IFERROR(VALUE(L1238:M1238),0))</f>
        <v>0</v>
      </c>
      <c r="P1238" s="9" t="str">
        <f t="shared" si="177"/>
        <v/>
      </c>
      <c r="Q1238" s="9">
        <f t="shared" si="178"/>
        <v>0</v>
      </c>
      <c r="R1238" s="9">
        <f t="shared" si="179"/>
        <v>0</v>
      </c>
      <c r="S1238" s="9">
        <f t="array" ref="S1238">+SUM(IFERROR(VALUE(Q1238:R1238),0))</f>
        <v>0</v>
      </c>
    </row>
    <row r="1239" spans="1:19">
      <c r="A1239" s="26"/>
      <c r="B1239" s="27"/>
      <c r="C1239" s="27"/>
      <c r="D1239" s="28"/>
      <c r="F1239" s="9" t="str">
        <f t="shared" si="171"/>
        <v/>
      </c>
      <c r="G1239" s="9">
        <f t="shared" si="172"/>
        <v>0</v>
      </c>
      <c r="H1239" s="9">
        <f t="shared" si="173"/>
        <v>0</v>
      </c>
      <c r="I1239" s="9">
        <f t="array" ref="I1239">+SUM(IFERROR(VALUE(G1239:H1239),0))</f>
        <v>0</v>
      </c>
      <c r="K1239" s="9" t="str">
        <f t="shared" si="174"/>
        <v/>
      </c>
      <c r="L1239" s="9">
        <f t="shared" si="175"/>
        <v>0</v>
      </c>
      <c r="M1239" s="9">
        <f t="shared" si="176"/>
        <v>0</v>
      </c>
      <c r="N1239" s="9">
        <f t="array" ref="N1239">+SUM(IFERROR(VALUE(L1239:M1239),0))</f>
        <v>0</v>
      </c>
      <c r="P1239" s="9" t="str">
        <f t="shared" si="177"/>
        <v/>
      </c>
      <c r="Q1239" s="9">
        <f t="shared" si="178"/>
        <v>0</v>
      </c>
      <c r="R1239" s="9">
        <f t="shared" si="179"/>
        <v>0</v>
      </c>
      <c r="S1239" s="9">
        <f t="array" ref="S1239">+SUM(IFERROR(VALUE(Q1239:R1239),0))</f>
        <v>0</v>
      </c>
    </row>
    <row r="1240" spans="1:19">
      <c r="A1240" s="26"/>
      <c r="B1240" s="27"/>
      <c r="C1240" s="27"/>
      <c r="D1240" s="28"/>
      <c r="F1240" s="9" t="str">
        <f t="shared" si="171"/>
        <v/>
      </c>
      <c r="G1240" s="9">
        <f t="shared" si="172"/>
        <v>0</v>
      </c>
      <c r="H1240" s="9">
        <f t="shared" si="173"/>
        <v>0</v>
      </c>
      <c r="I1240" s="9">
        <f t="array" ref="I1240">+SUM(IFERROR(VALUE(G1240:H1240),0))</f>
        <v>0</v>
      </c>
      <c r="K1240" s="9" t="str">
        <f t="shared" si="174"/>
        <v/>
      </c>
      <c r="L1240" s="9">
        <f t="shared" si="175"/>
        <v>0</v>
      </c>
      <c r="M1240" s="9">
        <f t="shared" si="176"/>
        <v>0</v>
      </c>
      <c r="N1240" s="9">
        <f t="array" ref="N1240">+SUM(IFERROR(VALUE(L1240:M1240),0))</f>
        <v>0</v>
      </c>
      <c r="P1240" s="9" t="str">
        <f t="shared" si="177"/>
        <v/>
      </c>
      <c r="Q1240" s="9">
        <f t="shared" si="178"/>
        <v>0</v>
      </c>
      <c r="R1240" s="9">
        <f t="shared" si="179"/>
        <v>0</v>
      </c>
      <c r="S1240" s="9">
        <f t="array" ref="S1240">+SUM(IFERROR(VALUE(Q1240:R1240),0))</f>
        <v>0</v>
      </c>
    </row>
    <row r="1241" spans="1:19">
      <c r="A1241" s="26"/>
      <c r="B1241" s="27"/>
      <c r="C1241" s="27"/>
      <c r="D1241" s="28"/>
      <c r="F1241" s="9" t="str">
        <f t="shared" si="171"/>
        <v/>
      </c>
      <c r="G1241" s="9">
        <f t="shared" si="172"/>
        <v>0</v>
      </c>
      <c r="H1241" s="9">
        <f t="shared" si="173"/>
        <v>0</v>
      </c>
      <c r="I1241" s="9">
        <f t="array" ref="I1241">+SUM(IFERROR(VALUE(G1241:H1241),0))</f>
        <v>0</v>
      </c>
      <c r="K1241" s="9" t="str">
        <f t="shared" si="174"/>
        <v/>
      </c>
      <c r="L1241" s="9">
        <f t="shared" si="175"/>
        <v>0</v>
      </c>
      <c r="M1241" s="9">
        <f t="shared" si="176"/>
        <v>0</v>
      </c>
      <c r="N1241" s="9">
        <f t="array" ref="N1241">+SUM(IFERROR(VALUE(L1241:M1241),0))</f>
        <v>0</v>
      </c>
      <c r="P1241" s="9" t="str">
        <f t="shared" si="177"/>
        <v/>
      </c>
      <c r="Q1241" s="9">
        <f t="shared" si="178"/>
        <v>0</v>
      </c>
      <c r="R1241" s="9">
        <f t="shared" si="179"/>
        <v>0</v>
      </c>
      <c r="S1241" s="9">
        <f t="array" ref="S1241">+SUM(IFERROR(VALUE(Q1241:R1241),0))</f>
        <v>0</v>
      </c>
    </row>
    <row r="1242" spans="1:19">
      <c r="A1242" s="26"/>
      <c r="B1242" s="27"/>
      <c r="C1242" s="27"/>
      <c r="D1242" s="28"/>
      <c r="F1242" s="9" t="str">
        <f t="shared" si="171"/>
        <v/>
      </c>
      <c r="G1242" s="9">
        <f t="shared" si="172"/>
        <v>0</v>
      </c>
      <c r="H1242" s="9">
        <f t="shared" si="173"/>
        <v>0</v>
      </c>
      <c r="I1242" s="9">
        <f t="array" ref="I1242">+SUM(IFERROR(VALUE(G1242:H1242),0))</f>
        <v>0</v>
      </c>
      <c r="K1242" s="9" t="str">
        <f t="shared" si="174"/>
        <v/>
      </c>
      <c r="L1242" s="9">
        <f t="shared" si="175"/>
        <v>0</v>
      </c>
      <c r="M1242" s="9">
        <f t="shared" si="176"/>
        <v>0</v>
      </c>
      <c r="N1242" s="9">
        <f t="array" ref="N1242">+SUM(IFERROR(VALUE(L1242:M1242),0))</f>
        <v>0</v>
      </c>
      <c r="P1242" s="9" t="str">
        <f t="shared" si="177"/>
        <v/>
      </c>
      <c r="Q1242" s="9">
        <f t="shared" si="178"/>
        <v>0</v>
      </c>
      <c r="R1242" s="9">
        <f t="shared" si="179"/>
        <v>0</v>
      </c>
      <c r="S1242" s="9">
        <f t="array" ref="S1242">+SUM(IFERROR(VALUE(Q1242:R1242),0))</f>
        <v>0</v>
      </c>
    </row>
    <row r="1243" spans="1:19">
      <c r="A1243" s="26"/>
      <c r="B1243" s="27"/>
      <c r="C1243" s="27"/>
      <c r="D1243" s="28"/>
      <c r="F1243" s="9" t="str">
        <f t="shared" si="171"/>
        <v/>
      </c>
      <c r="G1243" s="9">
        <f t="shared" si="172"/>
        <v>0</v>
      </c>
      <c r="H1243" s="9">
        <f t="shared" si="173"/>
        <v>0</v>
      </c>
      <c r="I1243" s="9">
        <f t="array" ref="I1243">+SUM(IFERROR(VALUE(G1243:H1243),0))</f>
        <v>0</v>
      </c>
      <c r="K1243" s="9" t="str">
        <f t="shared" si="174"/>
        <v/>
      </c>
      <c r="L1243" s="9">
        <f t="shared" si="175"/>
        <v>0</v>
      </c>
      <c r="M1243" s="9">
        <f t="shared" si="176"/>
        <v>0</v>
      </c>
      <c r="N1243" s="9">
        <f t="array" ref="N1243">+SUM(IFERROR(VALUE(L1243:M1243),0))</f>
        <v>0</v>
      </c>
      <c r="P1243" s="9" t="str">
        <f t="shared" si="177"/>
        <v/>
      </c>
      <c r="Q1243" s="9">
        <f t="shared" si="178"/>
        <v>0</v>
      </c>
      <c r="R1243" s="9">
        <f t="shared" si="179"/>
        <v>0</v>
      </c>
      <c r="S1243" s="9">
        <f t="array" ref="S1243">+SUM(IFERROR(VALUE(Q1243:R1243),0))</f>
        <v>0</v>
      </c>
    </row>
    <row r="1244" spans="1:19">
      <c r="A1244" s="26"/>
      <c r="B1244" s="27"/>
      <c r="C1244" s="27"/>
      <c r="D1244" s="28"/>
      <c r="F1244" s="9" t="str">
        <f t="shared" si="171"/>
        <v/>
      </c>
      <c r="G1244" s="9">
        <f t="shared" si="172"/>
        <v>0</v>
      </c>
      <c r="H1244" s="9">
        <f t="shared" si="173"/>
        <v>0</v>
      </c>
      <c r="I1244" s="9">
        <f t="array" ref="I1244">+SUM(IFERROR(VALUE(G1244:H1244),0))</f>
        <v>0</v>
      </c>
      <c r="K1244" s="9" t="str">
        <f t="shared" si="174"/>
        <v/>
      </c>
      <c r="L1244" s="9">
        <f t="shared" si="175"/>
        <v>0</v>
      </c>
      <c r="M1244" s="9">
        <f t="shared" si="176"/>
        <v>0</v>
      </c>
      <c r="N1244" s="9">
        <f t="array" ref="N1244">+SUM(IFERROR(VALUE(L1244:M1244),0))</f>
        <v>0</v>
      </c>
      <c r="P1244" s="9" t="str">
        <f t="shared" si="177"/>
        <v/>
      </c>
      <c r="Q1244" s="9">
        <f t="shared" si="178"/>
        <v>0</v>
      </c>
      <c r="R1244" s="9">
        <f t="shared" si="179"/>
        <v>0</v>
      </c>
      <c r="S1244" s="9">
        <f t="array" ref="S1244">+SUM(IFERROR(VALUE(Q1244:R1244),0))</f>
        <v>0</v>
      </c>
    </row>
    <row r="1245" spans="1:19">
      <c r="A1245" s="26"/>
      <c r="B1245" s="27"/>
      <c r="C1245" s="27"/>
      <c r="D1245" s="28"/>
      <c r="F1245" s="9" t="str">
        <f t="shared" si="171"/>
        <v/>
      </c>
      <c r="G1245" s="9">
        <f t="shared" si="172"/>
        <v>0</v>
      </c>
      <c r="H1245" s="9">
        <f t="shared" si="173"/>
        <v>0</v>
      </c>
      <c r="I1245" s="9">
        <f t="array" ref="I1245">+SUM(IFERROR(VALUE(G1245:H1245),0))</f>
        <v>0</v>
      </c>
      <c r="K1245" s="9" t="str">
        <f t="shared" si="174"/>
        <v/>
      </c>
      <c r="L1245" s="9">
        <f t="shared" si="175"/>
        <v>0</v>
      </c>
      <c r="M1245" s="9">
        <f t="shared" si="176"/>
        <v>0</v>
      </c>
      <c r="N1245" s="9">
        <f t="array" ref="N1245">+SUM(IFERROR(VALUE(L1245:M1245),0))</f>
        <v>0</v>
      </c>
      <c r="P1245" s="9" t="str">
        <f t="shared" si="177"/>
        <v/>
      </c>
      <c r="Q1245" s="9">
        <f t="shared" si="178"/>
        <v>0</v>
      </c>
      <c r="R1245" s="9">
        <f t="shared" si="179"/>
        <v>0</v>
      </c>
      <c r="S1245" s="9">
        <f t="array" ref="S1245">+SUM(IFERROR(VALUE(Q1245:R1245),0))</f>
        <v>0</v>
      </c>
    </row>
    <row r="1246" spans="1:19">
      <c r="A1246" s="26"/>
      <c r="B1246" s="27"/>
      <c r="C1246" s="27"/>
      <c r="D1246" s="28"/>
      <c r="F1246" s="9" t="str">
        <f t="shared" si="171"/>
        <v/>
      </c>
      <c r="G1246" s="9">
        <f t="shared" si="172"/>
        <v>0</v>
      </c>
      <c r="H1246" s="9">
        <f t="shared" si="173"/>
        <v>0</v>
      </c>
      <c r="I1246" s="9">
        <f t="array" ref="I1246">+SUM(IFERROR(VALUE(G1246:H1246),0))</f>
        <v>0</v>
      </c>
      <c r="K1246" s="9" t="str">
        <f t="shared" si="174"/>
        <v/>
      </c>
      <c r="L1246" s="9">
        <f t="shared" si="175"/>
        <v>0</v>
      </c>
      <c r="M1246" s="9">
        <f t="shared" si="176"/>
        <v>0</v>
      </c>
      <c r="N1246" s="9">
        <f t="array" ref="N1246">+SUM(IFERROR(VALUE(L1246:M1246),0))</f>
        <v>0</v>
      </c>
      <c r="P1246" s="9" t="str">
        <f t="shared" si="177"/>
        <v/>
      </c>
      <c r="Q1246" s="9">
        <f t="shared" si="178"/>
        <v>0</v>
      </c>
      <c r="R1246" s="9">
        <f t="shared" si="179"/>
        <v>0</v>
      </c>
      <c r="S1246" s="9">
        <f t="array" ref="S1246">+SUM(IFERROR(VALUE(Q1246:R1246),0))</f>
        <v>0</v>
      </c>
    </row>
    <row r="1247" spans="1:19">
      <c r="A1247" s="26"/>
      <c r="B1247" s="27"/>
      <c r="C1247" s="27"/>
      <c r="D1247" s="28"/>
      <c r="F1247" s="9" t="str">
        <f t="shared" si="171"/>
        <v/>
      </c>
      <c r="G1247" s="9">
        <f t="shared" si="172"/>
        <v>0</v>
      </c>
      <c r="H1247" s="9">
        <f t="shared" si="173"/>
        <v>0</v>
      </c>
      <c r="I1247" s="9">
        <f t="array" ref="I1247">+SUM(IFERROR(VALUE(G1247:H1247),0))</f>
        <v>0</v>
      </c>
      <c r="K1247" s="9" t="str">
        <f t="shared" si="174"/>
        <v/>
      </c>
      <c r="L1247" s="9">
        <f t="shared" si="175"/>
        <v>0</v>
      </c>
      <c r="M1247" s="9">
        <f t="shared" si="176"/>
        <v>0</v>
      </c>
      <c r="N1247" s="9">
        <f t="array" ref="N1247">+SUM(IFERROR(VALUE(L1247:M1247),0))</f>
        <v>0</v>
      </c>
      <c r="P1247" s="9" t="str">
        <f t="shared" si="177"/>
        <v/>
      </c>
      <c r="Q1247" s="9">
        <f t="shared" si="178"/>
        <v>0</v>
      </c>
      <c r="R1247" s="9">
        <f t="shared" si="179"/>
        <v>0</v>
      </c>
      <c r="S1247" s="9">
        <f t="array" ref="S1247">+SUM(IFERROR(VALUE(Q1247:R1247),0))</f>
        <v>0</v>
      </c>
    </row>
    <row r="1248" spans="1:19">
      <c r="A1248" s="26"/>
      <c r="B1248" s="27"/>
      <c r="C1248" s="27"/>
      <c r="D1248" s="28"/>
      <c r="F1248" s="9" t="str">
        <f t="shared" si="171"/>
        <v/>
      </c>
      <c r="G1248" s="9">
        <f t="shared" si="172"/>
        <v>0</v>
      </c>
      <c r="H1248" s="9">
        <f t="shared" si="173"/>
        <v>0</v>
      </c>
      <c r="I1248" s="9">
        <f t="array" ref="I1248">+SUM(IFERROR(VALUE(G1248:H1248),0))</f>
        <v>0</v>
      </c>
      <c r="K1248" s="9" t="str">
        <f t="shared" si="174"/>
        <v/>
      </c>
      <c r="L1248" s="9">
        <f t="shared" si="175"/>
        <v>0</v>
      </c>
      <c r="M1248" s="9">
        <f t="shared" si="176"/>
        <v>0</v>
      </c>
      <c r="N1248" s="9">
        <f t="array" ref="N1248">+SUM(IFERROR(VALUE(L1248:M1248),0))</f>
        <v>0</v>
      </c>
      <c r="P1248" s="9" t="str">
        <f t="shared" si="177"/>
        <v/>
      </c>
      <c r="Q1248" s="9">
        <f t="shared" si="178"/>
        <v>0</v>
      </c>
      <c r="R1248" s="9">
        <f t="shared" si="179"/>
        <v>0</v>
      </c>
      <c r="S1248" s="9">
        <f t="array" ref="S1248">+SUM(IFERROR(VALUE(Q1248:R1248),0))</f>
        <v>0</v>
      </c>
    </row>
    <row r="1249" spans="1:19">
      <c r="A1249" s="26"/>
      <c r="B1249" s="27"/>
      <c r="C1249" s="27"/>
      <c r="D1249" s="28"/>
      <c r="F1249" s="9" t="str">
        <f t="shared" si="171"/>
        <v/>
      </c>
      <c r="G1249" s="9">
        <f t="shared" si="172"/>
        <v>0</v>
      </c>
      <c r="H1249" s="9">
        <f t="shared" si="173"/>
        <v>0</v>
      </c>
      <c r="I1249" s="9">
        <f t="array" ref="I1249">+SUM(IFERROR(VALUE(G1249:H1249),0))</f>
        <v>0</v>
      </c>
      <c r="K1249" s="9" t="str">
        <f t="shared" si="174"/>
        <v/>
      </c>
      <c r="L1249" s="9">
        <f t="shared" si="175"/>
        <v>0</v>
      </c>
      <c r="M1249" s="9">
        <f t="shared" si="176"/>
        <v>0</v>
      </c>
      <c r="N1249" s="9">
        <f t="array" ref="N1249">+SUM(IFERROR(VALUE(L1249:M1249),0))</f>
        <v>0</v>
      </c>
      <c r="P1249" s="9" t="str">
        <f t="shared" si="177"/>
        <v/>
      </c>
      <c r="Q1249" s="9">
        <f t="shared" si="178"/>
        <v>0</v>
      </c>
      <c r="R1249" s="9">
        <f t="shared" si="179"/>
        <v>0</v>
      </c>
      <c r="S1249" s="9">
        <f t="array" ref="S1249">+SUM(IFERROR(VALUE(Q1249:R1249),0))</f>
        <v>0</v>
      </c>
    </row>
    <row r="1250" spans="1:19">
      <c r="A1250" s="26"/>
      <c r="B1250" s="27"/>
      <c r="C1250" s="27"/>
      <c r="D1250" s="28"/>
      <c r="F1250" s="9" t="str">
        <f t="shared" si="171"/>
        <v/>
      </c>
      <c r="G1250" s="9">
        <f t="shared" si="172"/>
        <v>0</v>
      </c>
      <c r="H1250" s="9">
        <f t="shared" si="173"/>
        <v>0</v>
      </c>
      <c r="I1250" s="9">
        <f t="array" ref="I1250">+SUM(IFERROR(VALUE(G1250:H1250),0))</f>
        <v>0</v>
      </c>
      <c r="K1250" s="9" t="str">
        <f t="shared" si="174"/>
        <v/>
      </c>
      <c r="L1250" s="9">
        <f t="shared" si="175"/>
        <v>0</v>
      </c>
      <c r="M1250" s="9">
        <f t="shared" si="176"/>
        <v>0</v>
      </c>
      <c r="N1250" s="9">
        <f t="array" ref="N1250">+SUM(IFERROR(VALUE(L1250:M1250),0))</f>
        <v>0</v>
      </c>
      <c r="P1250" s="9" t="str">
        <f t="shared" si="177"/>
        <v/>
      </c>
      <c r="Q1250" s="9">
        <f t="shared" si="178"/>
        <v>0</v>
      </c>
      <c r="R1250" s="9">
        <f t="shared" si="179"/>
        <v>0</v>
      </c>
      <c r="S1250" s="9">
        <f t="array" ref="S1250">+SUM(IFERROR(VALUE(Q1250:R1250),0))</f>
        <v>0</v>
      </c>
    </row>
    <row r="1251" spans="1:19">
      <c r="A1251" s="26"/>
      <c r="B1251" s="27"/>
      <c r="C1251" s="27"/>
      <c r="D1251" s="28"/>
      <c r="F1251" s="9" t="str">
        <f t="shared" si="171"/>
        <v/>
      </c>
      <c r="G1251" s="9">
        <f t="shared" si="172"/>
        <v>0</v>
      </c>
      <c r="H1251" s="9">
        <f t="shared" si="173"/>
        <v>0</v>
      </c>
      <c r="I1251" s="9">
        <f t="array" ref="I1251">+SUM(IFERROR(VALUE(G1251:H1251),0))</f>
        <v>0</v>
      </c>
      <c r="K1251" s="9" t="str">
        <f t="shared" si="174"/>
        <v/>
      </c>
      <c r="L1251" s="9">
        <f t="shared" si="175"/>
        <v>0</v>
      </c>
      <c r="M1251" s="9">
        <f t="shared" si="176"/>
        <v>0</v>
      </c>
      <c r="N1251" s="9">
        <f t="array" ref="N1251">+SUM(IFERROR(VALUE(L1251:M1251),0))</f>
        <v>0</v>
      </c>
      <c r="P1251" s="9" t="str">
        <f t="shared" si="177"/>
        <v/>
      </c>
      <c r="Q1251" s="9">
        <f t="shared" si="178"/>
        <v>0</v>
      </c>
      <c r="R1251" s="9">
        <f t="shared" si="179"/>
        <v>0</v>
      </c>
      <c r="S1251" s="9">
        <f t="array" ref="S1251">+SUM(IFERROR(VALUE(Q1251:R1251),0))</f>
        <v>0</v>
      </c>
    </row>
    <row r="1252" spans="1:19">
      <c r="A1252" s="26"/>
      <c r="B1252" s="27"/>
      <c r="C1252" s="27"/>
      <c r="D1252" s="28"/>
      <c r="F1252" s="9" t="str">
        <f t="shared" si="171"/>
        <v/>
      </c>
      <c r="G1252" s="9">
        <f t="shared" si="172"/>
        <v>0</v>
      </c>
      <c r="H1252" s="9">
        <f t="shared" si="173"/>
        <v>0</v>
      </c>
      <c r="I1252" s="9">
        <f t="array" ref="I1252">+SUM(IFERROR(VALUE(G1252:H1252),0))</f>
        <v>0</v>
      </c>
      <c r="K1252" s="9" t="str">
        <f t="shared" si="174"/>
        <v/>
      </c>
      <c r="L1252" s="9">
        <f t="shared" si="175"/>
        <v>0</v>
      </c>
      <c r="M1252" s="9">
        <f t="shared" si="176"/>
        <v>0</v>
      </c>
      <c r="N1252" s="9">
        <f t="array" ref="N1252">+SUM(IFERROR(VALUE(L1252:M1252),0))</f>
        <v>0</v>
      </c>
      <c r="P1252" s="9" t="str">
        <f t="shared" si="177"/>
        <v/>
      </c>
      <c r="Q1252" s="9">
        <f t="shared" si="178"/>
        <v>0</v>
      </c>
      <c r="R1252" s="9">
        <f t="shared" si="179"/>
        <v>0</v>
      </c>
      <c r="S1252" s="9">
        <f t="array" ref="S1252">+SUM(IFERROR(VALUE(Q1252:R1252),0))</f>
        <v>0</v>
      </c>
    </row>
    <row r="1253" spans="1:19">
      <c r="A1253" s="26"/>
      <c r="B1253" s="27"/>
      <c r="C1253" s="27"/>
      <c r="D1253" s="28"/>
      <c r="F1253" s="9" t="str">
        <f t="shared" si="171"/>
        <v/>
      </c>
      <c r="G1253" s="9">
        <f t="shared" si="172"/>
        <v>0</v>
      </c>
      <c r="H1253" s="9">
        <f t="shared" si="173"/>
        <v>0</v>
      </c>
      <c r="I1253" s="9">
        <f t="array" ref="I1253">+SUM(IFERROR(VALUE(G1253:H1253),0))</f>
        <v>0</v>
      </c>
      <c r="K1253" s="9" t="str">
        <f t="shared" si="174"/>
        <v/>
      </c>
      <c r="L1253" s="9">
        <f t="shared" si="175"/>
        <v>0</v>
      </c>
      <c r="M1253" s="9">
        <f t="shared" si="176"/>
        <v>0</v>
      </c>
      <c r="N1253" s="9">
        <f t="array" ref="N1253">+SUM(IFERROR(VALUE(L1253:M1253),0))</f>
        <v>0</v>
      </c>
      <c r="P1253" s="9" t="str">
        <f t="shared" si="177"/>
        <v/>
      </c>
      <c r="Q1253" s="9">
        <f t="shared" si="178"/>
        <v>0</v>
      </c>
      <c r="R1253" s="9">
        <f t="shared" si="179"/>
        <v>0</v>
      </c>
      <c r="S1253" s="9">
        <f t="array" ref="S1253">+SUM(IFERROR(VALUE(Q1253:R1253),0))</f>
        <v>0</v>
      </c>
    </row>
    <row r="1254" spans="1:19">
      <c r="A1254" s="26"/>
      <c r="B1254" s="27"/>
      <c r="C1254" s="27"/>
      <c r="D1254" s="28"/>
      <c r="F1254" s="9" t="str">
        <f t="shared" si="171"/>
        <v/>
      </c>
      <c r="G1254" s="9">
        <f t="shared" si="172"/>
        <v>0</v>
      </c>
      <c r="H1254" s="9">
        <f t="shared" si="173"/>
        <v>0</v>
      </c>
      <c r="I1254" s="9">
        <f t="array" ref="I1254">+SUM(IFERROR(VALUE(G1254:H1254),0))</f>
        <v>0</v>
      </c>
      <c r="K1254" s="9" t="str">
        <f t="shared" si="174"/>
        <v/>
      </c>
      <c r="L1254" s="9">
        <f t="shared" si="175"/>
        <v>0</v>
      </c>
      <c r="M1254" s="9">
        <f t="shared" si="176"/>
        <v>0</v>
      </c>
      <c r="N1254" s="9">
        <f t="array" ref="N1254">+SUM(IFERROR(VALUE(L1254:M1254),0))</f>
        <v>0</v>
      </c>
      <c r="P1254" s="9" t="str">
        <f t="shared" si="177"/>
        <v/>
      </c>
      <c r="Q1254" s="9">
        <f t="shared" si="178"/>
        <v>0</v>
      </c>
      <c r="R1254" s="9">
        <f t="shared" si="179"/>
        <v>0</v>
      </c>
      <c r="S1254" s="9">
        <f t="array" ref="S1254">+SUM(IFERROR(VALUE(Q1254:R1254),0))</f>
        <v>0</v>
      </c>
    </row>
    <row r="1255" spans="1:19">
      <c r="A1255" s="26"/>
      <c r="B1255" s="27"/>
      <c r="C1255" s="27"/>
      <c r="D1255" s="28"/>
      <c r="F1255" s="9" t="str">
        <f t="shared" si="171"/>
        <v/>
      </c>
      <c r="G1255" s="9">
        <f t="shared" si="172"/>
        <v>0</v>
      </c>
      <c r="H1255" s="9">
        <f t="shared" si="173"/>
        <v>0</v>
      </c>
      <c r="I1255" s="9">
        <f t="array" ref="I1255">+SUM(IFERROR(VALUE(G1255:H1255),0))</f>
        <v>0</v>
      </c>
      <c r="K1255" s="9" t="str">
        <f t="shared" si="174"/>
        <v/>
      </c>
      <c r="L1255" s="9">
        <f t="shared" si="175"/>
        <v>0</v>
      </c>
      <c r="M1255" s="9">
        <f t="shared" si="176"/>
        <v>0</v>
      </c>
      <c r="N1255" s="9">
        <f t="array" ref="N1255">+SUM(IFERROR(VALUE(L1255:M1255),0))</f>
        <v>0</v>
      </c>
      <c r="P1255" s="9" t="str">
        <f t="shared" si="177"/>
        <v/>
      </c>
      <c r="Q1255" s="9">
        <f t="shared" si="178"/>
        <v>0</v>
      </c>
      <c r="R1255" s="9">
        <f t="shared" si="179"/>
        <v>0</v>
      </c>
      <c r="S1255" s="9">
        <f t="array" ref="S1255">+SUM(IFERROR(VALUE(Q1255:R1255),0))</f>
        <v>0</v>
      </c>
    </row>
    <row r="1256" spans="1:19">
      <c r="A1256" s="26"/>
      <c r="B1256" s="27"/>
      <c r="C1256" s="27"/>
      <c r="D1256" s="28"/>
      <c r="F1256" s="9" t="str">
        <f t="shared" si="171"/>
        <v/>
      </c>
      <c r="G1256" s="9">
        <f t="shared" si="172"/>
        <v>0</v>
      </c>
      <c r="H1256" s="9">
        <f t="shared" si="173"/>
        <v>0</v>
      </c>
      <c r="I1256" s="9">
        <f t="array" ref="I1256">+SUM(IFERROR(VALUE(G1256:H1256),0))</f>
        <v>0</v>
      </c>
      <c r="K1256" s="9" t="str">
        <f t="shared" si="174"/>
        <v/>
      </c>
      <c r="L1256" s="9">
        <f t="shared" si="175"/>
        <v>0</v>
      </c>
      <c r="M1256" s="9">
        <f t="shared" si="176"/>
        <v>0</v>
      </c>
      <c r="N1256" s="9">
        <f t="array" ref="N1256">+SUM(IFERROR(VALUE(L1256:M1256),0))</f>
        <v>0</v>
      </c>
      <c r="P1256" s="9" t="str">
        <f t="shared" si="177"/>
        <v/>
      </c>
      <c r="Q1256" s="9">
        <f t="shared" si="178"/>
        <v>0</v>
      </c>
      <c r="R1256" s="9">
        <f t="shared" si="179"/>
        <v>0</v>
      </c>
      <c r="S1256" s="9">
        <f t="array" ref="S1256">+SUM(IFERROR(VALUE(Q1256:R1256),0))</f>
        <v>0</v>
      </c>
    </row>
    <row r="1257" spans="1:19">
      <c r="A1257" s="26"/>
      <c r="B1257" s="27"/>
      <c r="C1257" s="27"/>
      <c r="D1257" s="28"/>
      <c r="F1257" s="9" t="str">
        <f t="shared" si="171"/>
        <v/>
      </c>
      <c r="G1257" s="9">
        <f t="shared" si="172"/>
        <v>0</v>
      </c>
      <c r="H1257" s="9">
        <f t="shared" si="173"/>
        <v>0</v>
      </c>
      <c r="I1257" s="9">
        <f t="array" ref="I1257">+SUM(IFERROR(VALUE(G1257:H1257),0))</f>
        <v>0</v>
      </c>
      <c r="K1257" s="9" t="str">
        <f t="shared" si="174"/>
        <v/>
      </c>
      <c r="L1257" s="9">
        <f t="shared" si="175"/>
        <v>0</v>
      </c>
      <c r="M1257" s="9">
        <f t="shared" si="176"/>
        <v>0</v>
      </c>
      <c r="N1257" s="9">
        <f t="array" ref="N1257">+SUM(IFERROR(VALUE(L1257:M1257),0))</f>
        <v>0</v>
      </c>
      <c r="P1257" s="9" t="str">
        <f t="shared" si="177"/>
        <v/>
      </c>
      <c r="Q1257" s="9">
        <f t="shared" si="178"/>
        <v>0</v>
      </c>
      <c r="R1257" s="9">
        <f t="shared" si="179"/>
        <v>0</v>
      </c>
      <c r="S1257" s="9">
        <f t="array" ref="S1257">+SUM(IFERROR(VALUE(Q1257:R1257),0))</f>
        <v>0</v>
      </c>
    </row>
    <row r="1258" spans="1:19">
      <c r="A1258" s="26"/>
      <c r="B1258" s="27"/>
      <c r="C1258" s="27"/>
      <c r="D1258" s="28"/>
      <c r="F1258" s="9" t="str">
        <f t="shared" si="171"/>
        <v/>
      </c>
      <c r="G1258" s="9">
        <f t="shared" si="172"/>
        <v>0</v>
      </c>
      <c r="H1258" s="9">
        <f t="shared" si="173"/>
        <v>0</v>
      </c>
      <c r="I1258" s="9">
        <f t="array" ref="I1258">+SUM(IFERROR(VALUE(G1258:H1258),0))</f>
        <v>0</v>
      </c>
      <c r="K1258" s="9" t="str">
        <f t="shared" si="174"/>
        <v/>
      </c>
      <c r="L1258" s="9">
        <f t="shared" si="175"/>
        <v>0</v>
      </c>
      <c r="M1258" s="9">
        <f t="shared" si="176"/>
        <v>0</v>
      </c>
      <c r="N1258" s="9">
        <f t="array" ref="N1258">+SUM(IFERROR(VALUE(L1258:M1258),0))</f>
        <v>0</v>
      </c>
      <c r="P1258" s="9" t="str">
        <f t="shared" si="177"/>
        <v/>
      </c>
      <c r="Q1258" s="9">
        <f t="shared" si="178"/>
        <v>0</v>
      </c>
      <c r="R1258" s="9">
        <f t="shared" si="179"/>
        <v>0</v>
      </c>
      <c r="S1258" s="9">
        <f t="array" ref="S1258">+SUM(IFERROR(VALUE(Q1258:R1258),0))</f>
        <v>0</v>
      </c>
    </row>
    <row r="1259" spans="1:19">
      <c r="A1259" s="26"/>
      <c r="B1259" s="27"/>
      <c r="C1259" s="27"/>
      <c r="D1259" s="28"/>
      <c r="F1259" s="9" t="str">
        <f t="shared" si="171"/>
        <v/>
      </c>
      <c r="G1259" s="9">
        <f t="shared" si="172"/>
        <v>0</v>
      </c>
      <c r="H1259" s="9">
        <f t="shared" si="173"/>
        <v>0</v>
      </c>
      <c r="I1259" s="9">
        <f t="array" ref="I1259">+SUM(IFERROR(VALUE(G1259:H1259),0))</f>
        <v>0</v>
      </c>
      <c r="K1259" s="9" t="str">
        <f t="shared" si="174"/>
        <v/>
      </c>
      <c r="L1259" s="9">
        <f t="shared" si="175"/>
        <v>0</v>
      </c>
      <c r="M1259" s="9">
        <f t="shared" si="176"/>
        <v>0</v>
      </c>
      <c r="N1259" s="9">
        <f t="array" ref="N1259">+SUM(IFERROR(VALUE(L1259:M1259),0))</f>
        <v>0</v>
      </c>
      <c r="P1259" s="9" t="str">
        <f t="shared" si="177"/>
        <v/>
      </c>
      <c r="Q1259" s="9">
        <f t="shared" si="178"/>
        <v>0</v>
      </c>
      <c r="R1259" s="9">
        <f t="shared" si="179"/>
        <v>0</v>
      </c>
      <c r="S1259" s="9">
        <f t="array" ref="S1259">+SUM(IFERROR(VALUE(Q1259:R1259),0))</f>
        <v>0</v>
      </c>
    </row>
    <row r="1260" spans="1:19">
      <c r="A1260" s="26"/>
      <c r="B1260" s="27"/>
      <c r="C1260" s="27"/>
      <c r="D1260" s="28"/>
      <c r="F1260" s="9" t="str">
        <f t="shared" si="171"/>
        <v/>
      </c>
      <c r="G1260" s="9">
        <f t="shared" si="172"/>
        <v>0</v>
      </c>
      <c r="H1260" s="9">
        <f t="shared" si="173"/>
        <v>0</v>
      </c>
      <c r="I1260" s="9">
        <f t="array" ref="I1260">+SUM(IFERROR(VALUE(G1260:H1260),0))</f>
        <v>0</v>
      </c>
      <c r="K1260" s="9" t="str">
        <f t="shared" si="174"/>
        <v/>
      </c>
      <c r="L1260" s="9">
        <f t="shared" si="175"/>
        <v>0</v>
      </c>
      <c r="M1260" s="9">
        <f t="shared" si="176"/>
        <v>0</v>
      </c>
      <c r="N1260" s="9">
        <f t="array" ref="N1260">+SUM(IFERROR(VALUE(L1260:M1260),0))</f>
        <v>0</v>
      </c>
      <c r="P1260" s="9" t="str">
        <f t="shared" si="177"/>
        <v/>
      </c>
      <c r="Q1260" s="9">
        <f t="shared" si="178"/>
        <v>0</v>
      </c>
      <c r="R1260" s="9">
        <f t="shared" si="179"/>
        <v>0</v>
      </c>
      <c r="S1260" s="9">
        <f t="array" ref="S1260">+SUM(IFERROR(VALUE(Q1260:R1260),0))</f>
        <v>0</v>
      </c>
    </row>
    <row r="1261" spans="1:19">
      <c r="A1261" s="26"/>
      <c r="B1261" s="27"/>
      <c r="C1261" s="27"/>
      <c r="D1261" s="28"/>
      <c r="F1261" s="9" t="str">
        <f t="shared" si="171"/>
        <v/>
      </c>
      <c r="G1261" s="9">
        <f t="shared" si="172"/>
        <v>0</v>
      </c>
      <c r="H1261" s="9">
        <f t="shared" si="173"/>
        <v>0</v>
      </c>
      <c r="I1261" s="9">
        <f t="array" ref="I1261">+SUM(IFERROR(VALUE(G1261:H1261),0))</f>
        <v>0</v>
      </c>
      <c r="K1261" s="9" t="str">
        <f t="shared" si="174"/>
        <v/>
      </c>
      <c r="L1261" s="9">
        <f t="shared" si="175"/>
        <v>0</v>
      </c>
      <c r="M1261" s="9">
        <f t="shared" si="176"/>
        <v>0</v>
      </c>
      <c r="N1261" s="9">
        <f t="array" ref="N1261">+SUM(IFERROR(VALUE(L1261:M1261),0))</f>
        <v>0</v>
      </c>
      <c r="P1261" s="9" t="str">
        <f t="shared" si="177"/>
        <v/>
      </c>
      <c r="Q1261" s="9">
        <f t="shared" si="178"/>
        <v>0</v>
      </c>
      <c r="R1261" s="9">
        <f t="shared" si="179"/>
        <v>0</v>
      </c>
      <c r="S1261" s="9">
        <f t="array" ref="S1261">+SUM(IFERROR(VALUE(Q1261:R1261),0))</f>
        <v>0</v>
      </c>
    </row>
    <row r="1262" spans="1:19">
      <c r="A1262" s="26"/>
      <c r="B1262" s="27"/>
      <c r="C1262" s="27"/>
      <c r="D1262" s="28"/>
      <c r="F1262" s="9" t="str">
        <f t="shared" si="171"/>
        <v/>
      </c>
      <c r="G1262" s="9">
        <f t="shared" si="172"/>
        <v>0</v>
      </c>
      <c r="H1262" s="9">
        <f t="shared" si="173"/>
        <v>0</v>
      </c>
      <c r="I1262" s="9">
        <f t="array" ref="I1262">+SUM(IFERROR(VALUE(G1262:H1262),0))</f>
        <v>0</v>
      </c>
      <c r="K1262" s="9" t="str">
        <f t="shared" si="174"/>
        <v/>
      </c>
      <c r="L1262" s="9">
        <f t="shared" si="175"/>
        <v>0</v>
      </c>
      <c r="M1262" s="9">
        <f t="shared" si="176"/>
        <v>0</v>
      </c>
      <c r="N1262" s="9">
        <f t="array" ref="N1262">+SUM(IFERROR(VALUE(L1262:M1262),0))</f>
        <v>0</v>
      </c>
      <c r="P1262" s="9" t="str">
        <f t="shared" si="177"/>
        <v/>
      </c>
      <c r="Q1262" s="9">
        <f t="shared" si="178"/>
        <v>0</v>
      </c>
      <c r="R1262" s="9">
        <f t="shared" si="179"/>
        <v>0</v>
      </c>
      <c r="S1262" s="9">
        <f t="array" ref="S1262">+SUM(IFERROR(VALUE(Q1262:R1262),0))</f>
        <v>0</v>
      </c>
    </row>
    <row r="1263" spans="1:19">
      <c r="A1263" s="26"/>
      <c r="B1263" s="27"/>
      <c r="C1263" s="27"/>
      <c r="D1263" s="28"/>
      <c r="F1263" s="9" t="str">
        <f t="shared" si="171"/>
        <v/>
      </c>
      <c r="G1263" s="9">
        <f t="shared" si="172"/>
        <v>0</v>
      </c>
      <c r="H1263" s="9">
        <f t="shared" si="173"/>
        <v>0</v>
      </c>
      <c r="I1263" s="9">
        <f t="array" ref="I1263">+SUM(IFERROR(VALUE(G1263:H1263),0))</f>
        <v>0</v>
      </c>
      <c r="K1263" s="9" t="str">
        <f t="shared" si="174"/>
        <v/>
      </c>
      <c r="L1263" s="9">
        <f t="shared" si="175"/>
        <v>0</v>
      </c>
      <c r="M1263" s="9">
        <f t="shared" si="176"/>
        <v>0</v>
      </c>
      <c r="N1263" s="9">
        <f t="array" ref="N1263">+SUM(IFERROR(VALUE(L1263:M1263),0))</f>
        <v>0</v>
      </c>
      <c r="P1263" s="9" t="str">
        <f t="shared" si="177"/>
        <v/>
      </c>
      <c r="Q1263" s="9">
        <f t="shared" si="178"/>
        <v>0</v>
      </c>
      <c r="R1263" s="9">
        <f t="shared" si="179"/>
        <v>0</v>
      </c>
      <c r="S1263" s="9">
        <f t="array" ref="S1263">+SUM(IFERROR(VALUE(Q1263:R1263),0))</f>
        <v>0</v>
      </c>
    </row>
    <row r="1264" spans="1:19">
      <c r="A1264" s="26"/>
      <c r="B1264" s="27"/>
      <c r="C1264" s="27"/>
      <c r="D1264" s="28"/>
      <c r="F1264" s="9" t="str">
        <f t="shared" si="171"/>
        <v/>
      </c>
      <c r="G1264" s="9">
        <f t="shared" si="172"/>
        <v>0</v>
      </c>
      <c r="H1264" s="9">
        <f t="shared" si="173"/>
        <v>0</v>
      </c>
      <c r="I1264" s="9">
        <f t="array" ref="I1264">+SUM(IFERROR(VALUE(G1264:H1264),0))</f>
        <v>0</v>
      </c>
      <c r="K1264" s="9" t="str">
        <f t="shared" si="174"/>
        <v/>
      </c>
      <c r="L1264" s="9">
        <f t="shared" si="175"/>
        <v>0</v>
      </c>
      <c r="M1264" s="9">
        <f t="shared" si="176"/>
        <v>0</v>
      </c>
      <c r="N1264" s="9">
        <f t="array" ref="N1264">+SUM(IFERROR(VALUE(L1264:M1264),0))</f>
        <v>0</v>
      </c>
      <c r="P1264" s="9" t="str">
        <f t="shared" si="177"/>
        <v/>
      </c>
      <c r="Q1264" s="9">
        <f t="shared" si="178"/>
        <v>0</v>
      </c>
      <c r="R1264" s="9">
        <f t="shared" si="179"/>
        <v>0</v>
      </c>
      <c r="S1264" s="9">
        <f t="array" ref="S1264">+SUM(IFERROR(VALUE(Q1264:R1264),0))</f>
        <v>0</v>
      </c>
    </row>
    <row r="1265" spans="1:19">
      <c r="A1265" s="26"/>
      <c r="B1265" s="27"/>
      <c r="C1265" s="27"/>
      <c r="D1265" s="28"/>
      <c r="F1265" s="9" t="str">
        <f t="shared" si="171"/>
        <v/>
      </c>
      <c r="G1265" s="9">
        <f t="shared" si="172"/>
        <v>0</v>
      </c>
      <c r="H1265" s="9">
        <f t="shared" si="173"/>
        <v>0</v>
      </c>
      <c r="I1265" s="9">
        <f t="array" ref="I1265">+SUM(IFERROR(VALUE(G1265:H1265),0))</f>
        <v>0</v>
      </c>
      <c r="K1265" s="9" t="str">
        <f t="shared" si="174"/>
        <v/>
      </c>
      <c r="L1265" s="9">
        <f t="shared" si="175"/>
        <v>0</v>
      </c>
      <c r="M1265" s="9">
        <f t="shared" si="176"/>
        <v>0</v>
      </c>
      <c r="N1265" s="9">
        <f t="array" ref="N1265">+SUM(IFERROR(VALUE(L1265:M1265),0))</f>
        <v>0</v>
      </c>
      <c r="P1265" s="9" t="str">
        <f t="shared" si="177"/>
        <v/>
      </c>
      <c r="Q1265" s="9">
        <f t="shared" si="178"/>
        <v>0</v>
      </c>
      <c r="R1265" s="9">
        <f t="shared" si="179"/>
        <v>0</v>
      </c>
      <c r="S1265" s="9">
        <f t="array" ref="S1265">+SUM(IFERROR(VALUE(Q1265:R1265),0))</f>
        <v>0</v>
      </c>
    </row>
    <row r="1266" spans="1:19">
      <c r="A1266" s="26"/>
      <c r="B1266" s="27"/>
      <c r="C1266" s="27"/>
      <c r="D1266" s="28"/>
      <c r="F1266" s="9" t="str">
        <f t="shared" si="171"/>
        <v/>
      </c>
      <c r="G1266" s="9">
        <f t="shared" si="172"/>
        <v>0</v>
      </c>
      <c r="H1266" s="9">
        <f t="shared" si="173"/>
        <v>0</v>
      </c>
      <c r="I1266" s="9">
        <f t="array" ref="I1266">+SUM(IFERROR(VALUE(G1266:H1266),0))</f>
        <v>0</v>
      </c>
      <c r="K1266" s="9" t="str">
        <f t="shared" si="174"/>
        <v/>
      </c>
      <c r="L1266" s="9">
        <f t="shared" si="175"/>
        <v>0</v>
      </c>
      <c r="M1266" s="9">
        <f t="shared" si="176"/>
        <v>0</v>
      </c>
      <c r="N1266" s="9">
        <f t="array" ref="N1266">+SUM(IFERROR(VALUE(L1266:M1266),0))</f>
        <v>0</v>
      </c>
      <c r="P1266" s="9" t="str">
        <f t="shared" si="177"/>
        <v/>
      </c>
      <c r="Q1266" s="9">
        <f t="shared" si="178"/>
        <v>0</v>
      </c>
      <c r="R1266" s="9">
        <f t="shared" si="179"/>
        <v>0</v>
      </c>
      <c r="S1266" s="9">
        <f t="array" ref="S1266">+SUM(IFERROR(VALUE(Q1266:R1266),0))</f>
        <v>0</v>
      </c>
    </row>
    <row r="1267" spans="1:19">
      <c r="A1267" s="26"/>
      <c r="B1267" s="27"/>
      <c r="C1267" s="27"/>
      <c r="D1267" s="28"/>
      <c r="F1267" s="9" t="str">
        <f t="shared" si="171"/>
        <v/>
      </c>
      <c r="G1267" s="9">
        <f t="shared" si="172"/>
        <v>0</v>
      </c>
      <c r="H1267" s="9">
        <f t="shared" si="173"/>
        <v>0</v>
      </c>
      <c r="I1267" s="9">
        <f t="array" ref="I1267">+SUM(IFERROR(VALUE(G1267:H1267),0))</f>
        <v>0</v>
      </c>
      <c r="K1267" s="9" t="str">
        <f t="shared" si="174"/>
        <v/>
      </c>
      <c r="L1267" s="9">
        <f t="shared" si="175"/>
        <v>0</v>
      </c>
      <c r="M1267" s="9">
        <f t="shared" si="176"/>
        <v>0</v>
      </c>
      <c r="N1267" s="9">
        <f t="array" ref="N1267">+SUM(IFERROR(VALUE(L1267:M1267),0))</f>
        <v>0</v>
      </c>
      <c r="P1267" s="9" t="str">
        <f t="shared" si="177"/>
        <v/>
      </c>
      <c r="Q1267" s="9">
        <f t="shared" si="178"/>
        <v>0</v>
      </c>
      <c r="R1267" s="9">
        <f t="shared" si="179"/>
        <v>0</v>
      </c>
      <c r="S1267" s="9">
        <f t="array" ref="S1267">+SUM(IFERROR(VALUE(Q1267:R1267),0))</f>
        <v>0</v>
      </c>
    </row>
    <row r="1268" spans="1:19">
      <c r="A1268" s="26"/>
      <c r="B1268" s="27"/>
      <c r="C1268" s="27"/>
      <c r="D1268" s="28"/>
      <c r="F1268" s="9" t="str">
        <f t="shared" si="171"/>
        <v/>
      </c>
      <c r="G1268" s="9">
        <f t="shared" si="172"/>
        <v>0</v>
      </c>
      <c r="H1268" s="9">
        <f t="shared" si="173"/>
        <v>0</v>
      </c>
      <c r="I1268" s="9">
        <f t="array" ref="I1268">+SUM(IFERROR(VALUE(G1268:H1268),0))</f>
        <v>0</v>
      </c>
      <c r="K1268" s="9" t="str">
        <f t="shared" si="174"/>
        <v/>
      </c>
      <c r="L1268" s="9">
        <f t="shared" si="175"/>
        <v>0</v>
      </c>
      <c r="M1268" s="9">
        <f t="shared" si="176"/>
        <v>0</v>
      </c>
      <c r="N1268" s="9">
        <f t="array" ref="N1268">+SUM(IFERROR(VALUE(L1268:M1268),0))</f>
        <v>0</v>
      </c>
      <c r="P1268" s="9" t="str">
        <f t="shared" si="177"/>
        <v/>
      </c>
      <c r="Q1268" s="9">
        <f t="shared" si="178"/>
        <v>0</v>
      </c>
      <c r="R1268" s="9">
        <f t="shared" si="179"/>
        <v>0</v>
      </c>
      <c r="S1268" s="9">
        <f t="array" ref="S1268">+SUM(IFERROR(VALUE(Q1268:R1268),0))</f>
        <v>0</v>
      </c>
    </row>
    <row r="1269" spans="1:19">
      <c r="A1269" s="26"/>
      <c r="B1269" s="27"/>
      <c r="C1269" s="27"/>
      <c r="D1269" s="28"/>
      <c r="F1269" s="9" t="str">
        <f t="shared" si="171"/>
        <v/>
      </c>
      <c r="G1269" s="9">
        <f t="shared" si="172"/>
        <v>0</v>
      </c>
      <c r="H1269" s="9">
        <f t="shared" si="173"/>
        <v>0</v>
      </c>
      <c r="I1269" s="9">
        <f t="array" ref="I1269">+SUM(IFERROR(VALUE(G1269:H1269),0))</f>
        <v>0</v>
      </c>
      <c r="K1269" s="9" t="str">
        <f t="shared" si="174"/>
        <v/>
      </c>
      <c r="L1269" s="9">
        <f t="shared" si="175"/>
        <v>0</v>
      </c>
      <c r="M1269" s="9">
        <f t="shared" si="176"/>
        <v>0</v>
      </c>
      <c r="N1269" s="9">
        <f t="array" ref="N1269">+SUM(IFERROR(VALUE(L1269:M1269),0))</f>
        <v>0</v>
      </c>
      <c r="P1269" s="9" t="str">
        <f t="shared" si="177"/>
        <v/>
      </c>
      <c r="Q1269" s="9">
        <f t="shared" si="178"/>
        <v>0</v>
      </c>
      <c r="R1269" s="9">
        <f t="shared" si="179"/>
        <v>0</v>
      </c>
      <c r="S1269" s="9">
        <f t="array" ref="S1269">+SUM(IFERROR(VALUE(Q1269:R1269),0))</f>
        <v>0</v>
      </c>
    </row>
    <row r="1270" spans="1:19">
      <c r="A1270" s="26"/>
      <c r="B1270" s="27"/>
      <c r="C1270" s="27"/>
      <c r="D1270" s="28"/>
      <c r="F1270" s="9" t="str">
        <f t="shared" si="171"/>
        <v/>
      </c>
      <c r="G1270" s="9">
        <f t="shared" si="172"/>
        <v>0</v>
      </c>
      <c r="H1270" s="9">
        <f t="shared" si="173"/>
        <v>0</v>
      </c>
      <c r="I1270" s="9">
        <f t="array" ref="I1270">+SUM(IFERROR(VALUE(G1270:H1270),0))</f>
        <v>0</v>
      </c>
      <c r="K1270" s="9" t="str">
        <f t="shared" si="174"/>
        <v/>
      </c>
      <c r="L1270" s="9">
        <f t="shared" si="175"/>
        <v>0</v>
      </c>
      <c r="M1270" s="9">
        <f t="shared" si="176"/>
        <v>0</v>
      </c>
      <c r="N1270" s="9">
        <f t="array" ref="N1270">+SUM(IFERROR(VALUE(L1270:M1270),0))</f>
        <v>0</v>
      </c>
      <c r="P1270" s="9" t="str">
        <f t="shared" si="177"/>
        <v/>
      </c>
      <c r="Q1270" s="9">
        <f t="shared" si="178"/>
        <v>0</v>
      </c>
      <c r="R1270" s="9">
        <f t="shared" si="179"/>
        <v>0</v>
      </c>
      <c r="S1270" s="9">
        <f t="array" ref="S1270">+SUM(IFERROR(VALUE(Q1270:R1270),0))</f>
        <v>0</v>
      </c>
    </row>
    <row r="1271" spans="1:19">
      <c r="A1271" s="26"/>
      <c r="B1271" s="27"/>
      <c r="C1271" s="27"/>
      <c r="D1271" s="28"/>
      <c r="F1271" s="9" t="str">
        <f t="shared" si="171"/>
        <v/>
      </c>
      <c r="G1271" s="9">
        <f t="shared" si="172"/>
        <v>0</v>
      </c>
      <c r="H1271" s="9">
        <f t="shared" si="173"/>
        <v>0</v>
      </c>
      <c r="I1271" s="9">
        <f t="array" ref="I1271">+SUM(IFERROR(VALUE(G1271:H1271),0))</f>
        <v>0</v>
      </c>
      <c r="K1271" s="9" t="str">
        <f t="shared" si="174"/>
        <v/>
      </c>
      <c r="L1271" s="9">
        <f t="shared" si="175"/>
        <v>0</v>
      </c>
      <c r="M1271" s="9">
        <f t="shared" si="176"/>
        <v>0</v>
      </c>
      <c r="N1271" s="9">
        <f t="array" ref="N1271">+SUM(IFERROR(VALUE(L1271:M1271),0))</f>
        <v>0</v>
      </c>
      <c r="P1271" s="9" t="str">
        <f t="shared" si="177"/>
        <v/>
      </c>
      <c r="Q1271" s="9">
        <f t="shared" si="178"/>
        <v>0</v>
      </c>
      <c r="R1271" s="9">
        <f t="shared" si="179"/>
        <v>0</v>
      </c>
      <c r="S1271" s="9">
        <f t="array" ref="S1271">+SUM(IFERROR(VALUE(Q1271:R1271),0))</f>
        <v>0</v>
      </c>
    </row>
    <row r="1272" spans="1:19">
      <c r="A1272" s="26"/>
      <c r="B1272" s="27"/>
      <c r="C1272" s="27"/>
      <c r="D1272" s="28"/>
      <c r="F1272" s="9" t="str">
        <f t="shared" si="171"/>
        <v/>
      </c>
      <c r="G1272" s="9">
        <f t="shared" si="172"/>
        <v>0</v>
      </c>
      <c r="H1272" s="9">
        <f t="shared" si="173"/>
        <v>0</v>
      </c>
      <c r="I1272" s="9">
        <f t="array" ref="I1272">+SUM(IFERROR(VALUE(G1272:H1272),0))</f>
        <v>0</v>
      </c>
      <c r="K1272" s="9" t="str">
        <f t="shared" si="174"/>
        <v/>
      </c>
      <c r="L1272" s="9">
        <f t="shared" si="175"/>
        <v>0</v>
      </c>
      <c r="M1272" s="9">
        <f t="shared" si="176"/>
        <v>0</v>
      </c>
      <c r="N1272" s="9">
        <f t="array" ref="N1272">+SUM(IFERROR(VALUE(L1272:M1272),0))</f>
        <v>0</v>
      </c>
      <c r="P1272" s="9" t="str">
        <f t="shared" si="177"/>
        <v/>
      </c>
      <c r="Q1272" s="9">
        <f t="shared" si="178"/>
        <v>0</v>
      </c>
      <c r="R1272" s="9">
        <f t="shared" si="179"/>
        <v>0</v>
      </c>
      <c r="S1272" s="9">
        <f t="array" ref="S1272">+SUM(IFERROR(VALUE(Q1272:R1272),0))</f>
        <v>0</v>
      </c>
    </row>
    <row r="1273" spans="1:19">
      <c r="A1273" s="26"/>
      <c r="B1273" s="27"/>
      <c r="C1273" s="27"/>
      <c r="D1273" s="28"/>
      <c r="F1273" s="9" t="str">
        <f t="shared" si="171"/>
        <v/>
      </c>
      <c r="G1273" s="9">
        <f t="shared" si="172"/>
        <v>0</v>
      </c>
      <c r="H1273" s="9">
        <f t="shared" si="173"/>
        <v>0</v>
      </c>
      <c r="I1273" s="9">
        <f t="array" ref="I1273">+SUM(IFERROR(VALUE(G1273:H1273),0))</f>
        <v>0</v>
      </c>
      <c r="K1273" s="9" t="str">
        <f t="shared" si="174"/>
        <v/>
      </c>
      <c r="L1273" s="9">
        <f t="shared" si="175"/>
        <v>0</v>
      </c>
      <c r="M1273" s="9">
        <f t="shared" si="176"/>
        <v>0</v>
      </c>
      <c r="N1273" s="9">
        <f t="array" ref="N1273">+SUM(IFERROR(VALUE(L1273:M1273),0))</f>
        <v>0</v>
      </c>
      <c r="P1273" s="9" t="str">
        <f t="shared" si="177"/>
        <v/>
      </c>
      <c r="Q1273" s="9">
        <f t="shared" si="178"/>
        <v>0</v>
      </c>
      <c r="R1273" s="9">
        <f t="shared" si="179"/>
        <v>0</v>
      </c>
      <c r="S1273" s="9">
        <f t="array" ref="S1273">+SUM(IFERROR(VALUE(Q1273:R1273),0))</f>
        <v>0</v>
      </c>
    </row>
    <row r="1274" spans="1:19">
      <c r="A1274" s="26"/>
      <c r="B1274" s="27"/>
      <c r="C1274" s="27"/>
      <c r="D1274" s="28"/>
      <c r="F1274" s="9" t="str">
        <f t="shared" si="171"/>
        <v/>
      </c>
      <c r="G1274" s="9">
        <f t="shared" si="172"/>
        <v>0</v>
      </c>
      <c r="H1274" s="9">
        <f t="shared" si="173"/>
        <v>0</v>
      </c>
      <c r="I1274" s="9">
        <f t="array" ref="I1274">+SUM(IFERROR(VALUE(G1274:H1274),0))</f>
        <v>0</v>
      </c>
      <c r="K1274" s="9" t="str">
        <f t="shared" si="174"/>
        <v/>
      </c>
      <c r="L1274" s="9">
        <f t="shared" si="175"/>
        <v>0</v>
      </c>
      <c r="M1274" s="9">
        <f t="shared" si="176"/>
        <v>0</v>
      </c>
      <c r="N1274" s="9">
        <f t="array" ref="N1274">+SUM(IFERROR(VALUE(L1274:M1274),0))</f>
        <v>0</v>
      </c>
      <c r="P1274" s="9" t="str">
        <f t="shared" si="177"/>
        <v/>
      </c>
      <c r="Q1274" s="9">
        <f t="shared" si="178"/>
        <v>0</v>
      </c>
      <c r="R1274" s="9">
        <f t="shared" si="179"/>
        <v>0</v>
      </c>
      <c r="S1274" s="9">
        <f t="array" ref="S1274">+SUM(IFERROR(VALUE(Q1274:R1274),0))</f>
        <v>0</v>
      </c>
    </row>
    <row r="1275" spans="1:19">
      <c r="A1275" s="26"/>
      <c r="B1275" s="27"/>
      <c r="C1275" s="27"/>
      <c r="D1275" s="28"/>
      <c r="F1275" s="9" t="str">
        <f t="shared" si="171"/>
        <v/>
      </c>
      <c r="G1275" s="9">
        <f t="shared" si="172"/>
        <v>0</v>
      </c>
      <c r="H1275" s="9">
        <f t="shared" si="173"/>
        <v>0</v>
      </c>
      <c r="I1275" s="9">
        <f t="array" ref="I1275">+SUM(IFERROR(VALUE(G1275:H1275),0))</f>
        <v>0</v>
      </c>
      <c r="K1275" s="9" t="str">
        <f t="shared" si="174"/>
        <v/>
      </c>
      <c r="L1275" s="9">
        <f t="shared" si="175"/>
        <v>0</v>
      </c>
      <c r="M1275" s="9">
        <f t="shared" si="176"/>
        <v>0</v>
      </c>
      <c r="N1275" s="9">
        <f t="array" ref="N1275">+SUM(IFERROR(VALUE(L1275:M1275),0))</f>
        <v>0</v>
      </c>
      <c r="P1275" s="9" t="str">
        <f t="shared" si="177"/>
        <v/>
      </c>
      <c r="Q1275" s="9">
        <f t="shared" si="178"/>
        <v>0</v>
      </c>
      <c r="R1275" s="9">
        <f t="shared" si="179"/>
        <v>0</v>
      </c>
      <c r="S1275" s="9">
        <f t="array" ref="S1275">+SUM(IFERROR(VALUE(Q1275:R1275),0))</f>
        <v>0</v>
      </c>
    </row>
    <row r="1276" spans="1:19">
      <c r="A1276" s="26"/>
      <c r="B1276" s="27"/>
      <c r="C1276" s="27"/>
      <c r="D1276" s="28"/>
      <c r="F1276" s="9" t="str">
        <f t="shared" si="171"/>
        <v/>
      </c>
      <c r="G1276" s="9">
        <f t="shared" si="172"/>
        <v>0</v>
      </c>
      <c r="H1276" s="9">
        <f t="shared" si="173"/>
        <v>0</v>
      </c>
      <c r="I1276" s="9">
        <f t="array" ref="I1276">+SUM(IFERROR(VALUE(G1276:H1276),0))</f>
        <v>0</v>
      </c>
      <c r="K1276" s="9" t="str">
        <f t="shared" si="174"/>
        <v/>
      </c>
      <c r="L1276" s="9">
        <f t="shared" si="175"/>
        <v>0</v>
      </c>
      <c r="M1276" s="9">
        <f t="shared" si="176"/>
        <v>0</v>
      </c>
      <c r="N1276" s="9">
        <f t="array" ref="N1276">+SUM(IFERROR(VALUE(L1276:M1276),0))</f>
        <v>0</v>
      </c>
      <c r="P1276" s="9" t="str">
        <f t="shared" si="177"/>
        <v/>
      </c>
      <c r="Q1276" s="9">
        <f t="shared" si="178"/>
        <v>0</v>
      </c>
      <c r="R1276" s="9">
        <f t="shared" si="179"/>
        <v>0</v>
      </c>
      <c r="S1276" s="9">
        <f t="array" ref="S1276">+SUM(IFERROR(VALUE(Q1276:R1276),0))</f>
        <v>0</v>
      </c>
    </row>
    <row r="1277" spans="1:19">
      <c r="A1277" s="26"/>
      <c r="B1277" s="27"/>
      <c r="C1277" s="27"/>
      <c r="D1277" s="28"/>
      <c r="F1277" s="9" t="str">
        <f t="shared" si="171"/>
        <v/>
      </c>
      <c r="G1277" s="9">
        <f t="shared" si="172"/>
        <v>0</v>
      </c>
      <c r="H1277" s="9">
        <f t="shared" si="173"/>
        <v>0</v>
      </c>
      <c r="I1277" s="9">
        <f t="array" ref="I1277">+SUM(IFERROR(VALUE(G1277:H1277),0))</f>
        <v>0</v>
      </c>
      <c r="K1277" s="9" t="str">
        <f t="shared" si="174"/>
        <v/>
      </c>
      <c r="L1277" s="9">
        <f t="shared" si="175"/>
        <v>0</v>
      </c>
      <c r="M1277" s="9">
        <f t="shared" si="176"/>
        <v>0</v>
      </c>
      <c r="N1277" s="9">
        <f t="array" ref="N1277">+SUM(IFERROR(VALUE(L1277:M1277),0))</f>
        <v>0</v>
      </c>
      <c r="P1277" s="9" t="str">
        <f t="shared" si="177"/>
        <v/>
      </c>
      <c r="Q1277" s="9">
        <f t="shared" si="178"/>
        <v>0</v>
      </c>
      <c r="R1277" s="9">
        <f t="shared" si="179"/>
        <v>0</v>
      </c>
      <c r="S1277" s="9">
        <f t="array" ref="S1277">+SUM(IFERROR(VALUE(Q1277:R1277),0))</f>
        <v>0</v>
      </c>
    </row>
    <row r="1278" spans="1:19">
      <c r="A1278" s="26"/>
      <c r="B1278" s="27"/>
      <c r="C1278" s="27"/>
      <c r="D1278" s="28"/>
      <c r="F1278" s="9" t="str">
        <f t="shared" si="171"/>
        <v/>
      </c>
      <c r="G1278" s="9">
        <f t="shared" si="172"/>
        <v>0</v>
      </c>
      <c r="H1278" s="9">
        <f t="shared" si="173"/>
        <v>0</v>
      </c>
      <c r="I1278" s="9">
        <f t="array" ref="I1278">+SUM(IFERROR(VALUE(G1278:H1278),0))</f>
        <v>0</v>
      </c>
      <c r="K1278" s="9" t="str">
        <f t="shared" si="174"/>
        <v/>
      </c>
      <c r="L1278" s="9">
        <f t="shared" si="175"/>
        <v>0</v>
      </c>
      <c r="M1278" s="9">
        <f t="shared" si="176"/>
        <v>0</v>
      </c>
      <c r="N1278" s="9">
        <f t="array" ref="N1278">+SUM(IFERROR(VALUE(L1278:M1278),0))</f>
        <v>0</v>
      </c>
      <c r="P1278" s="9" t="str">
        <f t="shared" si="177"/>
        <v/>
      </c>
      <c r="Q1278" s="9">
        <f t="shared" si="178"/>
        <v>0</v>
      </c>
      <c r="R1278" s="9">
        <f t="shared" si="179"/>
        <v>0</v>
      </c>
      <c r="S1278" s="9">
        <f t="array" ref="S1278">+SUM(IFERROR(VALUE(Q1278:R1278),0))</f>
        <v>0</v>
      </c>
    </row>
    <row r="1279" spans="1:19">
      <c r="A1279" s="26"/>
      <c r="B1279" s="27"/>
      <c r="C1279" s="27"/>
      <c r="D1279" s="28"/>
      <c r="F1279" s="9" t="str">
        <f t="shared" si="171"/>
        <v/>
      </c>
      <c r="G1279" s="9">
        <f t="shared" si="172"/>
        <v>0</v>
      </c>
      <c r="H1279" s="9">
        <f t="shared" si="173"/>
        <v>0</v>
      </c>
      <c r="I1279" s="9">
        <f t="array" ref="I1279">+SUM(IFERROR(VALUE(G1279:H1279),0))</f>
        <v>0</v>
      </c>
      <c r="K1279" s="9" t="str">
        <f t="shared" si="174"/>
        <v/>
      </c>
      <c r="L1279" s="9">
        <f t="shared" si="175"/>
        <v>0</v>
      </c>
      <c r="M1279" s="9">
        <f t="shared" si="176"/>
        <v>0</v>
      </c>
      <c r="N1279" s="9">
        <f t="array" ref="N1279">+SUM(IFERROR(VALUE(L1279:M1279),0))</f>
        <v>0</v>
      </c>
      <c r="P1279" s="9" t="str">
        <f t="shared" si="177"/>
        <v/>
      </c>
      <c r="Q1279" s="9">
        <f t="shared" si="178"/>
        <v>0</v>
      </c>
      <c r="R1279" s="9">
        <f t="shared" si="179"/>
        <v>0</v>
      </c>
      <c r="S1279" s="9">
        <f t="array" ref="S1279">+SUM(IFERROR(VALUE(Q1279:R1279),0))</f>
        <v>0</v>
      </c>
    </row>
    <row r="1280" spans="1:19">
      <c r="A1280" s="26"/>
      <c r="B1280" s="27"/>
      <c r="C1280" s="27"/>
      <c r="D1280" s="28"/>
      <c r="F1280" s="9" t="str">
        <f t="shared" si="171"/>
        <v/>
      </c>
      <c r="G1280" s="9">
        <f t="shared" si="172"/>
        <v>0</v>
      </c>
      <c r="H1280" s="9">
        <f t="shared" si="173"/>
        <v>0</v>
      </c>
      <c r="I1280" s="9">
        <f t="array" ref="I1280">+SUM(IFERROR(VALUE(G1280:H1280),0))</f>
        <v>0</v>
      </c>
      <c r="K1280" s="9" t="str">
        <f t="shared" si="174"/>
        <v/>
      </c>
      <c r="L1280" s="9">
        <f t="shared" si="175"/>
        <v>0</v>
      </c>
      <c r="M1280" s="9">
        <f t="shared" si="176"/>
        <v>0</v>
      </c>
      <c r="N1280" s="9">
        <f t="array" ref="N1280">+SUM(IFERROR(VALUE(L1280:M1280),0))</f>
        <v>0</v>
      </c>
      <c r="P1280" s="9" t="str">
        <f t="shared" si="177"/>
        <v/>
      </c>
      <c r="Q1280" s="9">
        <f t="shared" si="178"/>
        <v>0</v>
      </c>
      <c r="R1280" s="9">
        <f t="shared" si="179"/>
        <v>0</v>
      </c>
      <c r="S1280" s="9">
        <f t="array" ref="S1280">+SUM(IFERROR(VALUE(Q1280:R1280),0))</f>
        <v>0</v>
      </c>
    </row>
    <row r="1281" spans="1:19">
      <c r="A1281" s="26"/>
      <c r="B1281" s="27"/>
      <c r="C1281" s="27"/>
      <c r="D1281" s="28"/>
      <c r="F1281" s="9" t="str">
        <f t="shared" si="171"/>
        <v/>
      </c>
      <c r="G1281" s="9">
        <f t="shared" si="172"/>
        <v>0</v>
      </c>
      <c r="H1281" s="9">
        <f t="shared" si="173"/>
        <v>0</v>
      </c>
      <c r="I1281" s="9">
        <f t="array" ref="I1281">+SUM(IFERROR(VALUE(G1281:H1281),0))</f>
        <v>0</v>
      </c>
      <c r="K1281" s="9" t="str">
        <f t="shared" si="174"/>
        <v/>
      </c>
      <c r="L1281" s="9">
        <f t="shared" si="175"/>
        <v>0</v>
      </c>
      <c r="M1281" s="9">
        <f t="shared" si="176"/>
        <v>0</v>
      </c>
      <c r="N1281" s="9">
        <f t="array" ref="N1281">+SUM(IFERROR(VALUE(L1281:M1281),0))</f>
        <v>0</v>
      </c>
      <c r="P1281" s="9" t="str">
        <f t="shared" si="177"/>
        <v/>
      </c>
      <c r="Q1281" s="9">
        <f t="shared" si="178"/>
        <v>0</v>
      </c>
      <c r="R1281" s="9">
        <f t="shared" si="179"/>
        <v>0</v>
      </c>
      <c r="S1281" s="9">
        <f t="array" ref="S1281">+SUM(IFERROR(VALUE(Q1281:R1281),0))</f>
        <v>0</v>
      </c>
    </row>
    <row r="1282" spans="1:19">
      <c r="A1282" s="26"/>
      <c r="B1282" s="27"/>
      <c r="C1282" s="27"/>
      <c r="D1282" s="28"/>
      <c r="F1282" s="9" t="str">
        <f t="shared" si="171"/>
        <v/>
      </c>
      <c r="G1282" s="9">
        <f t="shared" si="172"/>
        <v>0</v>
      </c>
      <c r="H1282" s="9">
        <f t="shared" si="173"/>
        <v>0</v>
      </c>
      <c r="I1282" s="9">
        <f t="array" ref="I1282">+SUM(IFERROR(VALUE(G1282:H1282),0))</f>
        <v>0</v>
      </c>
      <c r="K1282" s="9" t="str">
        <f t="shared" si="174"/>
        <v/>
      </c>
      <c r="L1282" s="9">
        <f t="shared" si="175"/>
        <v>0</v>
      </c>
      <c r="M1282" s="9">
        <f t="shared" si="176"/>
        <v>0</v>
      </c>
      <c r="N1282" s="9">
        <f t="array" ref="N1282">+SUM(IFERROR(VALUE(L1282:M1282),0))</f>
        <v>0</v>
      </c>
      <c r="P1282" s="9" t="str">
        <f t="shared" si="177"/>
        <v/>
      </c>
      <c r="Q1282" s="9">
        <f t="shared" si="178"/>
        <v>0</v>
      </c>
      <c r="R1282" s="9">
        <f t="shared" si="179"/>
        <v>0</v>
      </c>
      <c r="S1282" s="9">
        <f t="array" ref="S1282">+SUM(IFERROR(VALUE(Q1282:R1282),0))</f>
        <v>0</v>
      </c>
    </row>
    <row r="1283" spans="1:19">
      <c r="A1283" s="26"/>
      <c r="B1283" s="27"/>
      <c r="C1283" s="27"/>
      <c r="D1283" s="28"/>
      <c r="F1283" s="9" t="str">
        <f t="shared" si="171"/>
        <v/>
      </c>
      <c r="G1283" s="9">
        <f t="shared" si="172"/>
        <v>0</v>
      </c>
      <c r="H1283" s="9">
        <f t="shared" si="173"/>
        <v>0</v>
      </c>
      <c r="I1283" s="9">
        <f t="array" ref="I1283">+SUM(IFERROR(VALUE(G1283:H1283),0))</f>
        <v>0</v>
      </c>
      <c r="K1283" s="9" t="str">
        <f t="shared" si="174"/>
        <v/>
      </c>
      <c r="L1283" s="9">
        <f t="shared" si="175"/>
        <v>0</v>
      </c>
      <c r="M1283" s="9">
        <f t="shared" si="176"/>
        <v>0</v>
      </c>
      <c r="N1283" s="9">
        <f t="array" ref="N1283">+SUM(IFERROR(VALUE(L1283:M1283),0))</f>
        <v>0</v>
      </c>
      <c r="P1283" s="9" t="str">
        <f t="shared" si="177"/>
        <v/>
      </c>
      <c r="Q1283" s="9">
        <f t="shared" si="178"/>
        <v>0</v>
      </c>
      <c r="R1283" s="9">
        <f t="shared" si="179"/>
        <v>0</v>
      </c>
      <c r="S1283" s="9">
        <f t="array" ref="S1283">+SUM(IFERROR(VALUE(Q1283:R1283),0))</f>
        <v>0</v>
      </c>
    </row>
    <row r="1284" spans="1:19">
      <c r="A1284" s="26"/>
      <c r="B1284" s="27"/>
      <c r="C1284" s="27"/>
      <c r="D1284" s="28"/>
      <c r="F1284" s="9" t="str">
        <f t="shared" si="171"/>
        <v/>
      </c>
      <c r="G1284" s="9">
        <f t="shared" si="172"/>
        <v>0</v>
      </c>
      <c r="H1284" s="9">
        <f t="shared" si="173"/>
        <v>0</v>
      </c>
      <c r="I1284" s="9">
        <f t="array" ref="I1284">+SUM(IFERROR(VALUE(G1284:H1284),0))</f>
        <v>0</v>
      </c>
      <c r="K1284" s="9" t="str">
        <f t="shared" si="174"/>
        <v/>
      </c>
      <c r="L1284" s="9">
        <f t="shared" si="175"/>
        <v>0</v>
      </c>
      <c r="M1284" s="9">
        <f t="shared" si="176"/>
        <v>0</v>
      </c>
      <c r="N1284" s="9">
        <f t="array" ref="N1284">+SUM(IFERROR(VALUE(L1284:M1284),0))</f>
        <v>0</v>
      </c>
      <c r="P1284" s="9" t="str">
        <f t="shared" si="177"/>
        <v/>
      </c>
      <c r="Q1284" s="9">
        <f t="shared" si="178"/>
        <v>0</v>
      </c>
      <c r="R1284" s="9">
        <f t="shared" si="179"/>
        <v>0</v>
      </c>
      <c r="S1284" s="9">
        <f t="array" ref="S1284">+SUM(IFERROR(VALUE(Q1284:R1284),0))</f>
        <v>0</v>
      </c>
    </row>
    <row r="1285" spans="1:19">
      <c r="A1285" s="26"/>
      <c r="B1285" s="27"/>
      <c r="C1285" s="27"/>
      <c r="D1285" s="28"/>
      <c r="F1285" s="9" t="str">
        <f t="shared" si="171"/>
        <v/>
      </c>
      <c r="G1285" s="9">
        <f t="shared" si="172"/>
        <v>0</v>
      </c>
      <c r="H1285" s="9">
        <f t="shared" si="173"/>
        <v>0</v>
      </c>
      <c r="I1285" s="9">
        <f t="array" ref="I1285">+SUM(IFERROR(VALUE(G1285:H1285),0))</f>
        <v>0</v>
      </c>
      <c r="K1285" s="9" t="str">
        <f t="shared" si="174"/>
        <v/>
      </c>
      <c r="L1285" s="9">
        <f t="shared" si="175"/>
        <v>0</v>
      </c>
      <c r="M1285" s="9">
        <f t="shared" si="176"/>
        <v>0</v>
      </c>
      <c r="N1285" s="9">
        <f t="array" ref="N1285">+SUM(IFERROR(VALUE(L1285:M1285),0))</f>
        <v>0</v>
      </c>
      <c r="P1285" s="9" t="str">
        <f t="shared" si="177"/>
        <v/>
      </c>
      <c r="Q1285" s="9">
        <f t="shared" si="178"/>
        <v>0</v>
      </c>
      <c r="R1285" s="9">
        <f t="shared" si="179"/>
        <v>0</v>
      </c>
      <c r="S1285" s="9">
        <f t="array" ref="S1285">+SUM(IFERROR(VALUE(Q1285:R1285),0))</f>
        <v>0</v>
      </c>
    </row>
    <row r="1286" spans="1:19">
      <c r="A1286" s="26"/>
      <c r="B1286" s="27"/>
      <c r="C1286" s="27"/>
      <c r="D1286" s="28"/>
      <c r="F1286" s="9" t="str">
        <f t="shared" ref="F1286:F1349" si="180">+LEFT(A1286,4)</f>
        <v/>
      </c>
      <c r="G1286" s="9">
        <f t="shared" ref="G1286:G1349" si="181">+C1286</f>
        <v>0</v>
      </c>
      <c r="H1286" s="9">
        <f t="shared" ref="H1286:H1349" si="182">-D1286</f>
        <v>0</v>
      </c>
      <c r="I1286" s="9">
        <f t="array" ref="I1286">+SUM(IFERROR(VALUE(G1286:H1286),0))</f>
        <v>0</v>
      </c>
      <c r="K1286" s="9" t="str">
        <f t="shared" ref="K1286:K1349" si="183">+LEFT(A1286,3)</f>
        <v/>
      </c>
      <c r="L1286" s="9">
        <f t="shared" ref="L1286:L1349" si="184">+C1286</f>
        <v>0</v>
      </c>
      <c r="M1286" s="9">
        <f t="shared" ref="M1286:M1349" si="185">-D1286</f>
        <v>0</v>
      </c>
      <c r="N1286" s="9">
        <f t="array" ref="N1286">+SUM(IFERROR(VALUE(L1286:M1286),0))</f>
        <v>0</v>
      </c>
      <c r="P1286" s="9" t="str">
        <f t="shared" ref="P1286:P1349" si="186">+LEFT(A1286,2)</f>
        <v/>
      </c>
      <c r="Q1286" s="9">
        <f t="shared" ref="Q1286:Q1349" si="187">+C1286</f>
        <v>0</v>
      </c>
      <c r="R1286" s="9">
        <f t="shared" ref="R1286:R1349" si="188">-D1286</f>
        <v>0</v>
      </c>
      <c r="S1286" s="9">
        <f t="array" ref="S1286">+SUM(IFERROR(VALUE(Q1286:R1286),0))</f>
        <v>0</v>
      </c>
    </row>
    <row r="1287" spans="1:19">
      <c r="A1287" s="26"/>
      <c r="B1287" s="27"/>
      <c r="C1287" s="27"/>
      <c r="D1287" s="28"/>
      <c r="F1287" s="9" t="str">
        <f t="shared" si="180"/>
        <v/>
      </c>
      <c r="G1287" s="9">
        <f t="shared" si="181"/>
        <v>0</v>
      </c>
      <c r="H1287" s="9">
        <f t="shared" si="182"/>
        <v>0</v>
      </c>
      <c r="I1287" s="9">
        <f t="array" ref="I1287">+SUM(IFERROR(VALUE(G1287:H1287),0))</f>
        <v>0</v>
      </c>
      <c r="K1287" s="9" t="str">
        <f t="shared" si="183"/>
        <v/>
      </c>
      <c r="L1287" s="9">
        <f t="shared" si="184"/>
        <v>0</v>
      </c>
      <c r="M1287" s="9">
        <f t="shared" si="185"/>
        <v>0</v>
      </c>
      <c r="N1287" s="9">
        <f t="array" ref="N1287">+SUM(IFERROR(VALUE(L1287:M1287),0))</f>
        <v>0</v>
      </c>
      <c r="P1287" s="9" t="str">
        <f t="shared" si="186"/>
        <v/>
      </c>
      <c r="Q1287" s="9">
        <f t="shared" si="187"/>
        <v>0</v>
      </c>
      <c r="R1287" s="9">
        <f t="shared" si="188"/>
        <v>0</v>
      </c>
      <c r="S1287" s="9">
        <f t="array" ref="S1287">+SUM(IFERROR(VALUE(Q1287:R1287),0))</f>
        <v>0</v>
      </c>
    </row>
    <row r="1288" spans="1:19">
      <c r="A1288" s="26"/>
      <c r="B1288" s="27"/>
      <c r="C1288" s="27"/>
      <c r="D1288" s="28"/>
      <c r="F1288" s="9" t="str">
        <f t="shared" si="180"/>
        <v/>
      </c>
      <c r="G1288" s="9">
        <f t="shared" si="181"/>
        <v>0</v>
      </c>
      <c r="H1288" s="9">
        <f t="shared" si="182"/>
        <v>0</v>
      </c>
      <c r="I1288" s="9">
        <f t="array" ref="I1288">+SUM(IFERROR(VALUE(G1288:H1288),0))</f>
        <v>0</v>
      </c>
      <c r="K1288" s="9" t="str">
        <f t="shared" si="183"/>
        <v/>
      </c>
      <c r="L1288" s="9">
        <f t="shared" si="184"/>
        <v>0</v>
      </c>
      <c r="M1288" s="9">
        <f t="shared" si="185"/>
        <v>0</v>
      </c>
      <c r="N1288" s="9">
        <f t="array" ref="N1288">+SUM(IFERROR(VALUE(L1288:M1288),0))</f>
        <v>0</v>
      </c>
      <c r="P1288" s="9" t="str">
        <f t="shared" si="186"/>
        <v/>
      </c>
      <c r="Q1288" s="9">
        <f t="shared" si="187"/>
        <v>0</v>
      </c>
      <c r="R1288" s="9">
        <f t="shared" si="188"/>
        <v>0</v>
      </c>
      <c r="S1288" s="9">
        <f t="array" ref="S1288">+SUM(IFERROR(VALUE(Q1288:R1288),0))</f>
        <v>0</v>
      </c>
    </row>
    <row r="1289" spans="1:19">
      <c r="A1289" s="26"/>
      <c r="B1289" s="27"/>
      <c r="C1289" s="27"/>
      <c r="D1289" s="28"/>
      <c r="F1289" s="9" t="str">
        <f t="shared" si="180"/>
        <v/>
      </c>
      <c r="G1289" s="9">
        <f t="shared" si="181"/>
        <v>0</v>
      </c>
      <c r="H1289" s="9">
        <f t="shared" si="182"/>
        <v>0</v>
      </c>
      <c r="I1289" s="9">
        <f t="array" ref="I1289">+SUM(IFERROR(VALUE(G1289:H1289),0))</f>
        <v>0</v>
      </c>
      <c r="K1289" s="9" t="str">
        <f t="shared" si="183"/>
        <v/>
      </c>
      <c r="L1289" s="9">
        <f t="shared" si="184"/>
        <v>0</v>
      </c>
      <c r="M1289" s="9">
        <f t="shared" si="185"/>
        <v>0</v>
      </c>
      <c r="N1289" s="9">
        <f t="array" ref="N1289">+SUM(IFERROR(VALUE(L1289:M1289),0))</f>
        <v>0</v>
      </c>
      <c r="P1289" s="9" t="str">
        <f t="shared" si="186"/>
        <v/>
      </c>
      <c r="Q1289" s="9">
        <f t="shared" si="187"/>
        <v>0</v>
      </c>
      <c r="R1289" s="9">
        <f t="shared" si="188"/>
        <v>0</v>
      </c>
      <c r="S1289" s="9">
        <f t="array" ref="S1289">+SUM(IFERROR(VALUE(Q1289:R1289),0))</f>
        <v>0</v>
      </c>
    </row>
    <row r="1290" spans="1:19">
      <c r="A1290" s="26"/>
      <c r="B1290" s="27"/>
      <c r="C1290" s="27"/>
      <c r="D1290" s="28"/>
      <c r="F1290" s="9" t="str">
        <f t="shared" si="180"/>
        <v/>
      </c>
      <c r="G1290" s="9">
        <f t="shared" si="181"/>
        <v>0</v>
      </c>
      <c r="H1290" s="9">
        <f t="shared" si="182"/>
        <v>0</v>
      </c>
      <c r="I1290" s="9">
        <f t="array" ref="I1290">+SUM(IFERROR(VALUE(G1290:H1290),0))</f>
        <v>0</v>
      </c>
      <c r="K1290" s="9" t="str">
        <f t="shared" si="183"/>
        <v/>
      </c>
      <c r="L1290" s="9">
        <f t="shared" si="184"/>
        <v>0</v>
      </c>
      <c r="M1290" s="9">
        <f t="shared" si="185"/>
        <v>0</v>
      </c>
      <c r="N1290" s="9">
        <f t="array" ref="N1290">+SUM(IFERROR(VALUE(L1290:M1290),0))</f>
        <v>0</v>
      </c>
      <c r="P1290" s="9" t="str">
        <f t="shared" si="186"/>
        <v/>
      </c>
      <c r="Q1290" s="9">
        <f t="shared" si="187"/>
        <v>0</v>
      </c>
      <c r="R1290" s="9">
        <f t="shared" si="188"/>
        <v>0</v>
      </c>
      <c r="S1290" s="9">
        <f t="array" ref="S1290">+SUM(IFERROR(VALUE(Q1290:R1290),0))</f>
        <v>0</v>
      </c>
    </row>
    <row r="1291" spans="1:19">
      <c r="A1291" s="26"/>
      <c r="B1291" s="27"/>
      <c r="C1291" s="27"/>
      <c r="D1291" s="28"/>
      <c r="F1291" s="9" t="str">
        <f t="shared" si="180"/>
        <v/>
      </c>
      <c r="G1291" s="9">
        <f t="shared" si="181"/>
        <v>0</v>
      </c>
      <c r="H1291" s="9">
        <f t="shared" si="182"/>
        <v>0</v>
      </c>
      <c r="I1291" s="9">
        <f t="array" ref="I1291">+SUM(IFERROR(VALUE(G1291:H1291),0))</f>
        <v>0</v>
      </c>
      <c r="K1291" s="9" t="str">
        <f t="shared" si="183"/>
        <v/>
      </c>
      <c r="L1291" s="9">
        <f t="shared" si="184"/>
        <v>0</v>
      </c>
      <c r="M1291" s="9">
        <f t="shared" si="185"/>
        <v>0</v>
      </c>
      <c r="N1291" s="9">
        <f t="array" ref="N1291">+SUM(IFERROR(VALUE(L1291:M1291),0))</f>
        <v>0</v>
      </c>
      <c r="P1291" s="9" t="str">
        <f t="shared" si="186"/>
        <v/>
      </c>
      <c r="Q1291" s="9">
        <f t="shared" si="187"/>
        <v>0</v>
      </c>
      <c r="R1291" s="9">
        <f t="shared" si="188"/>
        <v>0</v>
      </c>
      <c r="S1291" s="9">
        <f t="array" ref="S1291">+SUM(IFERROR(VALUE(Q1291:R1291),0))</f>
        <v>0</v>
      </c>
    </row>
    <row r="1292" spans="1:19">
      <c r="A1292" s="26"/>
      <c r="B1292" s="27"/>
      <c r="C1292" s="27"/>
      <c r="D1292" s="28"/>
      <c r="F1292" s="9" t="str">
        <f t="shared" si="180"/>
        <v/>
      </c>
      <c r="G1292" s="9">
        <f t="shared" si="181"/>
        <v>0</v>
      </c>
      <c r="H1292" s="9">
        <f t="shared" si="182"/>
        <v>0</v>
      </c>
      <c r="I1292" s="9">
        <f t="array" ref="I1292">+SUM(IFERROR(VALUE(G1292:H1292),0))</f>
        <v>0</v>
      </c>
      <c r="K1292" s="9" t="str">
        <f t="shared" si="183"/>
        <v/>
      </c>
      <c r="L1292" s="9">
        <f t="shared" si="184"/>
        <v>0</v>
      </c>
      <c r="M1292" s="9">
        <f t="shared" si="185"/>
        <v>0</v>
      </c>
      <c r="N1292" s="9">
        <f t="array" ref="N1292">+SUM(IFERROR(VALUE(L1292:M1292),0))</f>
        <v>0</v>
      </c>
      <c r="P1292" s="9" t="str">
        <f t="shared" si="186"/>
        <v/>
      </c>
      <c r="Q1292" s="9">
        <f t="shared" si="187"/>
        <v>0</v>
      </c>
      <c r="R1292" s="9">
        <f t="shared" si="188"/>
        <v>0</v>
      </c>
      <c r="S1292" s="9">
        <f t="array" ref="S1292">+SUM(IFERROR(VALUE(Q1292:R1292),0))</f>
        <v>0</v>
      </c>
    </row>
    <row r="1293" spans="1:19">
      <c r="A1293" s="26"/>
      <c r="B1293" s="27"/>
      <c r="C1293" s="27"/>
      <c r="D1293" s="28"/>
      <c r="F1293" s="9" t="str">
        <f t="shared" si="180"/>
        <v/>
      </c>
      <c r="G1293" s="9">
        <f t="shared" si="181"/>
        <v>0</v>
      </c>
      <c r="H1293" s="9">
        <f t="shared" si="182"/>
        <v>0</v>
      </c>
      <c r="I1293" s="9">
        <f t="array" ref="I1293">+SUM(IFERROR(VALUE(G1293:H1293),0))</f>
        <v>0</v>
      </c>
      <c r="K1293" s="9" t="str">
        <f t="shared" si="183"/>
        <v/>
      </c>
      <c r="L1293" s="9">
        <f t="shared" si="184"/>
        <v>0</v>
      </c>
      <c r="M1293" s="9">
        <f t="shared" si="185"/>
        <v>0</v>
      </c>
      <c r="N1293" s="9">
        <f t="array" ref="N1293">+SUM(IFERROR(VALUE(L1293:M1293),0))</f>
        <v>0</v>
      </c>
      <c r="P1293" s="9" t="str">
        <f t="shared" si="186"/>
        <v/>
      </c>
      <c r="Q1293" s="9">
        <f t="shared" si="187"/>
        <v>0</v>
      </c>
      <c r="R1293" s="9">
        <f t="shared" si="188"/>
        <v>0</v>
      </c>
      <c r="S1293" s="9">
        <f t="array" ref="S1293">+SUM(IFERROR(VALUE(Q1293:R1293),0))</f>
        <v>0</v>
      </c>
    </row>
    <row r="1294" spans="1:19">
      <c r="A1294" s="26"/>
      <c r="B1294" s="27"/>
      <c r="C1294" s="27"/>
      <c r="D1294" s="28"/>
      <c r="F1294" s="9" t="str">
        <f t="shared" si="180"/>
        <v/>
      </c>
      <c r="G1294" s="9">
        <f t="shared" si="181"/>
        <v>0</v>
      </c>
      <c r="H1294" s="9">
        <f t="shared" si="182"/>
        <v>0</v>
      </c>
      <c r="I1294" s="9">
        <f t="array" ref="I1294">+SUM(IFERROR(VALUE(G1294:H1294),0))</f>
        <v>0</v>
      </c>
      <c r="K1294" s="9" t="str">
        <f t="shared" si="183"/>
        <v/>
      </c>
      <c r="L1294" s="9">
        <f t="shared" si="184"/>
        <v>0</v>
      </c>
      <c r="M1294" s="9">
        <f t="shared" si="185"/>
        <v>0</v>
      </c>
      <c r="N1294" s="9">
        <f t="array" ref="N1294">+SUM(IFERROR(VALUE(L1294:M1294),0))</f>
        <v>0</v>
      </c>
      <c r="P1294" s="9" t="str">
        <f t="shared" si="186"/>
        <v/>
      </c>
      <c r="Q1294" s="9">
        <f t="shared" si="187"/>
        <v>0</v>
      </c>
      <c r="R1294" s="9">
        <f t="shared" si="188"/>
        <v>0</v>
      </c>
      <c r="S1294" s="9">
        <f t="array" ref="S1294">+SUM(IFERROR(VALUE(Q1294:R1294),0))</f>
        <v>0</v>
      </c>
    </row>
    <row r="1295" spans="1:19">
      <c r="A1295" s="26"/>
      <c r="B1295" s="27"/>
      <c r="C1295" s="27"/>
      <c r="D1295" s="28"/>
      <c r="F1295" s="9" t="str">
        <f t="shared" si="180"/>
        <v/>
      </c>
      <c r="G1295" s="9">
        <f t="shared" si="181"/>
        <v>0</v>
      </c>
      <c r="H1295" s="9">
        <f t="shared" si="182"/>
        <v>0</v>
      </c>
      <c r="I1295" s="9">
        <f t="array" ref="I1295">+SUM(IFERROR(VALUE(G1295:H1295),0))</f>
        <v>0</v>
      </c>
      <c r="K1295" s="9" t="str">
        <f t="shared" si="183"/>
        <v/>
      </c>
      <c r="L1295" s="9">
        <f t="shared" si="184"/>
        <v>0</v>
      </c>
      <c r="M1295" s="9">
        <f t="shared" si="185"/>
        <v>0</v>
      </c>
      <c r="N1295" s="9">
        <f t="array" ref="N1295">+SUM(IFERROR(VALUE(L1295:M1295),0))</f>
        <v>0</v>
      </c>
      <c r="P1295" s="9" t="str">
        <f t="shared" si="186"/>
        <v/>
      </c>
      <c r="Q1295" s="9">
        <f t="shared" si="187"/>
        <v>0</v>
      </c>
      <c r="R1295" s="9">
        <f t="shared" si="188"/>
        <v>0</v>
      </c>
      <c r="S1295" s="9">
        <f t="array" ref="S1295">+SUM(IFERROR(VALUE(Q1295:R1295),0))</f>
        <v>0</v>
      </c>
    </row>
    <row r="1296" spans="1:19">
      <c r="A1296" s="26"/>
      <c r="B1296" s="27"/>
      <c r="C1296" s="27"/>
      <c r="D1296" s="28"/>
      <c r="F1296" s="9" t="str">
        <f t="shared" si="180"/>
        <v/>
      </c>
      <c r="G1296" s="9">
        <f t="shared" si="181"/>
        <v>0</v>
      </c>
      <c r="H1296" s="9">
        <f t="shared" si="182"/>
        <v>0</v>
      </c>
      <c r="I1296" s="9">
        <f t="array" ref="I1296">+SUM(IFERROR(VALUE(G1296:H1296),0))</f>
        <v>0</v>
      </c>
      <c r="K1296" s="9" t="str">
        <f t="shared" si="183"/>
        <v/>
      </c>
      <c r="L1296" s="9">
        <f t="shared" si="184"/>
        <v>0</v>
      </c>
      <c r="M1296" s="9">
        <f t="shared" si="185"/>
        <v>0</v>
      </c>
      <c r="N1296" s="9">
        <f t="array" ref="N1296">+SUM(IFERROR(VALUE(L1296:M1296),0))</f>
        <v>0</v>
      </c>
      <c r="P1296" s="9" t="str">
        <f t="shared" si="186"/>
        <v/>
      </c>
      <c r="Q1296" s="9">
        <f t="shared" si="187"/>
        <v>0</v>
      </c>
      <c r="R1296" s="9">
        <f t="shared" si="188"/>
        <v>0</v>
      </c>
      <c r="S1296" s="9">
        <f t="array" ref="S1296">+SUM(IFERROR(VALUE(Q1296:R1296),0))</f>
        <v>0</v>
      </c>
    </row>
    <row r="1297" spans="1:19">
      <c r="A1297" s="26"/>
      <c r="B1297" s="27"/>
      <c r="C1297" s="27"/>
      <c r="D1297" s="28"/>
      <c r="F1297" s="9" t="str">
        <f t="shared" si="180"/>
        <v/>
      </c>
      <c r="G1297" s="9">
        <f t="shared" si="181"/>
        <v>0</v>
      </c>
      <c r="H1297" s="9">
        <f t="shared" si="182"/>
        <v>0</v>
      </c>
      <c r="I1297" s="9">
        <f t="array" ref="I1297">+SUM(IFERROR(VALUE(G1297:H1297),0))</f>
        <v>0</v>
      </c>
      <c r="K1297" s="9" t="str">
        <f t="shared" si="183"/>
        <v/>
      </c>
      <c r="L1297" s="9">
        <f t="shared" si="184"/>
        <v>0</v>
      </c>
      <c r="M1297" s="9">
        <f t="shared" si="185"/>
        <v>0</v>
      </c>
      <c r="N1297" s="9">
        <f t="array" ref="N1297">+SUM(IFERROR(VALUE(L1297:M1297),0))</f>
        <v>0</v>
      </c>
      <c r="P1297" s="9" t="str">
        <f t="shared" si="186"/>
        <v/>
      </c>
      <c r="Q1297" s="9">
        <f t="shared" si="187"/>
        <v>0</v>
      </c>
      <c r="R1297" s="9">
        <f t="shared" si="188"/>
        <v>0</v>
      </c>
      <c r="S1297" s="9">
        <f t="array" ref="S1297">+SUM(IFERROR(VALUE(Q1297:R1297),0))</f>
        <v>0</v>
      </c>
    </row>
    <row r="1298" spans="1:19">
      <c r="A1298" s="26"/>
      <c r="B1298" s="27"/>
      <c r="C1298" s="27"/>
      <c r="D1298" s="28"/>
      <c r="F1298" s="9" t="str">
        <f t="shared" si="180"/>
        <v/>
      </c>
      <c r="G1298" s="9">
        <f t="shared" si="181"/>
        <v>0</v>
      </c>
      <c r="H1298" s="9">
        <f t="shared" si="182"/>
        <v>0</v>
      </c>
      <c r="I1298" s="9">
        <f t="array" ref="I1298">+SUM(IFERROR(VALUE(G1298:H1298),0))</f>
        <v>0</v>
      </c>
      <c r="K1298" s="9" t="str">
        <f t="shared" si="183"/>
        <v/>
      </c>
      <c r="L1298" s="9">
        <f t="shared" si="184"/>
        <v>0</v>
      </c>
      <c r="M1298" s="9">
        <f t="shared" si="185"/>
        <v>0</v>
      </c>
      <c r="N1298" s="9">
        <f t="array" ref="N1298">+SUM(IFERROR(VALUE(L1298:M1298),0))</f>
        <v>0</v>
      </c>
      <c r="P1298" s="9" t="str">
        <f t="shared" si="186"/>
        <v/>
      </c>
      <c r="Q1298" s="9">
        <f t="shared" si="187"/>
        <v>0</v>
      </c>
      <c r="R1298" s="9">
        <f t="shared" si="188"/>
        <v>0</v>
      </c>
      <c r="S1298" s="9">
        <f t="array" ref="S1298">+SUM(IFERROR(VALUE(Q1298:R1298),0))</f>
        <v>0</v>
      </c>
    </row>
    <row r="1299" spans="1:19">
      <c r="A1299" s="26"/>
      <c r="B1299" s="27"/>
      <c r="C1299" s="27"/>
      <c r="D1299" s="28"/>
      <c r="F1299" s="9" t="str">
        <f t="shared" si="180"/>
        <v/>
      </c>
      <c r="G1299" s="9">
        <f t="shared" si="181"/>
        <v>0</v>
      </c>
      <c r="H1299" s="9">
        <f t="shared" si="182"/>
        <v>0</v>
      </c>
      <c r="I1299" s="9">
        <f t="array" ref="I1299">+SUM(IFERROR(VALUE(G1299:H1299),0))</f>
        <v>0</v>
      </c>
      <c r="K1299" s="9" t="str">
        <f t="shared" si="183"/>
        <v/>
      </c>
      <c r="L1299" s="9">
        <f t="shared" si="184"/>
        <v>0</v>
      </c>
      <c r="M1299" s="9">
        <f t="shared" si="185"/>
        <v>0</v>
      </c>
      <c r="N1299" s="9">
        <f t="array" ref="N1299">+SUM(IFERROR(VALUE(L1299:M1299),0))</f>
        <v>0</v>
      </c>
      <c r="P1299" s="9" t="str">
        <f t="shared" si="186"/>
        <v/>
      </c>
      <c r="Q1299" s="9">
        <f t="shared" si="187"/>
        <v>0</v>
      </c>
      <c r="R1299" s="9">
        <f t="shared" si="188"/>
        <v>0</v>
      </c>
      <c r="S1299" s="9">
        <f t="array" ref="S1299">+SUM(IFERROR(VALUE(Q1299:R1299),0))</f>
        <v>0</v>
      </c>
    </row>
    <row r="1300" spans="1:19">
      <c r="A1300" s="26"/>
      <c r="B1300" s="27"/>
      <c r="C1300" s="27"/>
      <c r="D1300" s="28"/>
      <c r="F1300" s="9" t="str">
        <f t="shared" si="180"/>
        <v/>
      </c>
      <c r="G1300" s="9">
        <f t="shared" si="181"/>
        <v>0</v>
      </c>
      <c r="H1300" s="9">
        <f t="shared" si="182"/>
        <v>0</v>
      </c>
      <c r="I1300" s="9">
        <f t="array" ref="I1300">+SUM(IFERROR(VALUE(G1300:H1300),0))</f>
        <v>0</v>
      </c>
      <c r="K1300" s="9" t="str">
        <f t="shared" si="183"/>
        <v/>
      </c>
      <c r="L1300" s="9">
        <f t="shared" si="184"/>
        <v>0</v>
      </c>
      <c r="M1300" s="9">
        <f t="shared" si="185"/>
        <v>0</v>
      </c>
      <c r="N1300" s="9">
        <f t="array" ref="N1300">+SUM(IFERROR(VALUE(L1300:M1300),0))</f>
        <v>0</v>
      </c>
      <c r="P1300" s="9" t="str">
        <f t="shared" si="186"/>
        <v/>
      </c>
      <c r="Q1300" s="9">
        <f t="shared" si="187"/>
        <v>0</v>
      </c>
      <c r="R1300" s="9">
        <f t="shared" si="188"/>
        <v>0</v>
      </c>
      <c r="S1300" s="9">
        <f t="array" ref="S1300">+SUM(IFERROR(VALUE(Q1300:R1300),0))</f>
        <v>0</v>
      </c>
    </row>
    <row r="1301" spans="1:19">
      <c r="A1301" s="26"/>
      <c r="B1301" s="27"/>
      <c r="C1301" s="27"/>
      <c r="D1301" s="28"/>
      <c r="F1301" s="9" t="str">
        <f t="shared" si="180"/>
        <v/>
      </c>
      <c r="G1301" s="9">
        <f t="shared" si="181"/>
        <v>0</v>
      </c>
      <c r="H1301" s="9">
        <f t="shared" si="182"/>
        <v>0</v>
      </c>
      <c r="I1301" s="9">
        <f t="array" ref="I1301">+SUM(IFERROR(VALUE(G1301:H1301),0))</f>
        <v>0</v>
      </c>
      <c r="K1301" s="9" t="str">
        <f t="shared" si="183"/>
        <v/>
      </c>
      <c r="L1301" s="9">
        <f t="shared" si="184"/>
        <v>0</v>
      </c>
      <c r="M1301" s="9">
        <f t="shared" si="185"/>
        <v>0</v>
      </c>
      <c r="N1301" s="9">
        <f t="array" ref="N1301">+SUM(IFERROR(VALUE(L1301:M1301),0))</f>
        <v>0</v>
      </c>
      <c r="P1301" s="9" t="str">
        <f t="shared" si="186"/>
        <v/>
      </c>
      <c r="Q1301" s="9">
        <f t="shared" si="187"/>
        <v>0</v>
      </c>
      <c r="R1301" s="9">
        <f t="shared" si="188"/>
        <v>0</v>
      </c>
      <c r="S1301" s="9">
        <f t="array" ref="S1301">+SUM(IFERROR(VALUE(Q1301:R1301),0))</f>
        <v>0</v>
      </c>
    </row>
    <row r="1302" spans="1:19">
      <c r="A1302" s="26"/>
      <c r="B1302" s="27"/>
      <c r="C1302" s="27"/>
      <c r="D1302" s="28"/>
      <c r="F1302" s="9" t="str">
        <f t="shared" si="180"/>
        <v/>
      </c>
      <c r="G1302" s="9">
        <f t="shared" si="181"/>
        <v>0</v>
      </c>
      <c r="H1302" s="9">
        <f t="shared" si="182"/>
        <v>0</v>
      </c>
      <c r="I1302" s="9">
        <f t="array" ref="I1302">+SUM(IFERROR(VALUE(G1302:H1302),0))</f>
        <v>0</v>
      </c>
      <c r="K1302" s="9" t="str">
        <f t="shared" si="183"/>
        <v/>
      </c>
      <c r="L1302" s="9">
        <f t="shared" si="184"/>
        <v>0</v>
      </c>
      <c r="M1302" s="9">
        <f t="shared" si="185"/>
        <v>0</v>
      </c>
      <c r="N1302" s="9">
        <f t="array" ref="N1302">+SUM(IFERROR(VALUE(L1302:M1302),0))</f>
        <v>0</v>
      </c>
      <c r="P1302" s="9" t="str">
        <f t="shared" si="186"/>
        <v/>
      </c>
      <c r="Q1302" s="9">
        <f t="shared" si="187"/>
        <v>0</v>
      </c>
      <c r="R1302" s="9">
        <f t="shared" si="188"/>
        <v>0</v>
      </c>
      <c r="S1302" s="9">
        <f t="array" ref="S1302">+SUM(IFERROR(VALUE(Q1302:R1302),0))</f>
        <v>0</v>
      </c>
    </row>
    <row r="1303" spans="1:19">
      <c r="A1303" s="26"/>
      <c r="B1303" s="27"/>
      <c r="C1303" s="27"/>
      <c r="D1303" s="28"/>
      <c r="F1303" s="9" t="str">
        <f t="shared" si="180"/>
        <v/>
      </c>
      <c r="G1303" s="9">
        <f t="shared" si="181"/>
        <v>0</v>
      </c>
      <c r="H1303" s="9">
        <f t="shared" si="182"/>
        <v>0</v>
      </c>
      <c r="I1303" s="9">
        <f t="array" ref="I1303">+SUM(IFERROR(VALUE(G1303:H1303),0))</f>
        <v>0</v>
      </c>
      <c r="K1303" s="9" t="str">
        <f t="shared" si="183"/>
        <v/>
      </c>
      <c r="L1303" s="9">
        <f t="shared" si="184"/>
        <v>0</v>
      </c>
      <c r="M1303" s="9">
        <f t="shared" si="185"/>
        <v>0</v>
      </c>
      <c r="N1303" s="9">
        <f t="array" ref="N1303">+SUM(IFERROR(VALUE(L1303:M1303),0))</f>
        <v>0</v>
      </c>
      <c r="P1303" s="9" t="str">
        <f t="shared" si="186"/>
        <v/>
      </c>
      <c r="Q1303" s="9">
        <f t="shared" si="187"/>
        <v>0</v>
      </c>
      <c r="R1303" s="9">
        <f t="shared" si="188"/>
        <v>0</v>
      </c>
      <c r="S1303" s="9">
        <f t="array" ref="S1303">+SUM(IFERROR(VALUE(Q1303:R1303),0))</f>
        <v>0</v>
      </c>
    </row>
    <row r="1304" spans="1:19">
      <c r="A1304" s="26"/>
      <c r="B1304" s="27"/>
      <c r="C1304" s="27"/>
      <c r="D1304" s="28"/>
      <c r="F1304" s="9" t="str">
        <f t="shared" si="180"/>
        <v/>
      </c>
      <c r="G1304" s="9">
        <f t="shared" si="181"/>
        <v>0</v>
      </c>
      <c r="H1304" s="9">
        <f t="shared" si="182"/>
        <v>0</v>
      </c>
      <c r="I1304" s="9">
        <f t="array" ref="I1304">+SUM(IFERROR(VALUE(G1304:H1304),0))</f>
        <v>0</v>
      </c>
      <c r="K1304" s="9" t="str">
        <f t="shared" si="183"/>
        <v/>
      </c>
      <c r="L1304" s="9">
        <f t="shared" si="184"/>
        <v>0</v>
      </c>
      <c r="M1304" s="9">
        <f t="shared" si="185"/>
        <v>0</v>
      </c>
      <c r="N1304" s="9">
        <f t="array" ref="N1304">+SUM(IFERROR(VALUE(L1304:M1304),0))</f>
        <v>0</v>
      </c>
      <c r="P1304" s="9" t="str">
        <f t="shared" si="186"/>
        <v/>
      </c>
      <c r="Q1304" s="9">
        <f t="shared" si="187"/>
        <v>0</v>
      </c>
      <c r="R1304" s="9">
        <f t="shared" si="188"/>
        <v>0</v>
      </c>
      <c r="S1304" s="9">
        <f t="array" ref="S1304">+SUM(IFERROR(VALUE(Q1304:R1304),0))</f>
        <v>0</v>
      </c>
    </row>
    <row r="1305" spans="1:19">
      <c r="A1305" s="26"/>
      <c r="B1305" s="27"/>
      <c r="C1305" s="27"/>
      <c r="D1305" s="28"/>
      <c r="F1305" s="9" t="str">
        <f t="shared" si="180"/>
        <v/>
      </c>
      <c r="G1305" s="9">
        <f t="shared" si="181"/>
        <v>0</v>
      </c>
      <c r="H1305" s="9">
        <f t="shared" si="182"/>
        <v>0</v>
      </c>
      <c r="I1305" s="9">
        <f t="array" ref="I1305">+SUM(IFERROR(VALUE(G1305:H1305),0))</f>
        <v>0</v>
      </c>
      <c r="K1305" s="9" t="str">
        <f t="shared" si="183"/>
        <v/>
      </c>
      <c r="L1305" s="9">
        <f t="shared" si="184"/>
        <v>0</v>
      </c>
      <c r="M1305" s="9">
        <f t="shared" si="185"/>
        <v>0</v>
      </c>
      <c r="N1305" s="9">
        <f t="array" ref="N1305">+SUM(IFERROR(VALUE(L1305:M1305),0))</f>
        <v>0</v>
      </c>
      <c r="P1305" s="9" t="str">
        <f t="shared" si="186"/>
        <v/>
      </c>
      <c r="Q1305" s="9">
        <f t="shared" si="187"/>
        <v>0</v>
      </c>
      <c r="R1305" s="9">
        <f t="shared" si="188"/>
        <v>0</v>
      </c>
      <c r="S1305" s="9">
        <f t="array" ref="S1305">+SUM(IFERROR(VALUE(Q1305:R1305),0))</f>
        <v>0</v>
      </c>
    </row>
    <row r="1306" spans="1:19">
      <c r="A1306" s="26"/>
      <c r="B1306" s="27"/>
      <c r="C1306" s="27"/>
      <c r="D1306" s="28"/>
      <c r="F1306" s="9" t="str">
        <f t="shared" si="180"/>
        <v/>
      </c>
      <c r="G1306" s="9">
        <f t="shared" si="181"/>
        <v>0</v>
      </c>
      <c r="H1306" s="9">
        <f t="shared" si="182"/>
        <v>0</v>
      </c>
      <c r="I1306" s="9">
        <f t="array" ref="I1306">+SUM(IFERROR(VALUE(G1306:H1306),0))</f>
        <v>0</v>
      </c>
      <c r="K1306" s="9" t="str">
        <f t="shared" si="183"/>
        <v/>
      </c>
      <c r="L1306" s="9">
        <f t="shared" si="184"/>
        <v>0</v>
      </c>
      <c r="M1306" s="9">
        <f t="shared" si="185"/>
        <v>0</v>
      </c>
      <c r="N1306" s="9">
        <f t="array" ref="N1306">+SUM(IFERROR(VALUE(L1306:M1306),0))</f>
        <v>0</v>
      </c>
      <c r="P1306" s="9" t="str">
        <f t="shared" si="186"/>
        <v/>
      </c>
      <c r="Q1306" s="9">
        <f t="shared" si="187"/>
        <v>0</v>
      </c>
      <c r="R1306" s="9">
        <f t="shared" si="188"/>
        <v>0</v>
      </c>
      <c r="S1306" s="9">
        <f t="array" ref="S1306">+SUM(IFERROR(VALUE(Q1306:R1306),0))</f>
        <v>0</v>
      </c>
    </row>
    <row r="1307" spans="1:19">
      <c r="A1307" s="26"/>
      <c r="B1307" s="27"/>
      <c r="C1307" s="27"/>
      <c r="D1307" s="28"/>
      <c r="F1307" s="9" t="str">
        <f t="shared" si="180"/>
        <v/>
      </c>
      <c r="G1307" s="9">
        <f t="shared" si="181"/>
        <v>0</v>
      </c>
      <c r="H1307" s="9">
        <f t="shared" si="182"/>
        <v>0</v>
      </c>
      <c r="I1307" s="9">
        <f t="array" ref="I1307">+SUM(IFERROR(VALUE(G1307:H1307),0))</f>
        <v>0</v>
      </c>
      <c r="K1307" s="9" t="str">
        <f t="shared" si="183"/>
        <v/>
      </c>
      <c r="L1307" s="9">
        <f t="shared" si="184"/>
        <v>0</v>
      </c>
      <c r="M1307" s="9">
        <f t="shared" si="185"/>
        <v>0</v>
      </c>
      <c r="N1307" s="9">
        <f t="array" ref="N1307">+SUM(IFERROR(VALUE(L1307:M1307),0))</f>
        <v>0</v>
      </c>
      <c r="P1307" s="9" t="str">
        <f t="shared" si="186"/>
        <v/>
      </c>
      <c r="Q1307" s="9">
        <f t="shared" si="187"/>
        <v>0</v>
      </c>
      <c r="R1307" s="9">
        <f t="shared" si="188"/>
        <v>0</v>
      </c>
      <c r="S1307" s="9">
        <f t="array" ref="S1307">+SUM(IFERROR(VALUE(Q1307:R1307),0))</f>
        <v>0</v>
      </c>
    </row>
    <row r="1308" spans="1:19">
      <c r="A1308" s="26"/>
      <c r="B1308" s="27"/>
      <c r="C1308" s="27"/>
      <c r="D1308" s="28"/>
      <c r="F1308" s="9" t="str">
        <f t="shared" si="180"/>
        <v/>
      </c>
      <c r="G1308" s="9">
        <f t="shared" si="181"/>
        <v>0</v>
      </c>
      <c r="H1308" s="9">
        <f t="shared" si="182"/>
        <v>0</v>
      </c>
      <c r="I1308" s="9">
        <f t="array" ref="I1308">+SUM(IFERROR(VALUE(G1308:H1308),0))</f>
        <v>0</v>
      </c>
      <c r="K1308" s="9" t="str">
        <f t="shared" si="183"/>
        <v/>
      </c>
      <c r="L1308" s="9">
        <f t="shared" si="184"/>
        <v>0</v>
      </c>
      <c r="M1308" s="9">
        <f t="shared" si="185"/>
        <v>0</v>
      </c>
      <c r="N1308" s="9">
        <f t="array" ref="N1308">+SUM(IFERROR(VALUE(L1308:M1308),0))</f>
        <v>0</v>
      </c>
      <c r="P1308" s="9" t="str">
        <f t="shared" si="186"/>
        <v/>
      </c>
      <c r="Q1308" s="9">
        <f t="shared" si="187"/>
        <v>0</v>
      </c>
      <c r="R1308" s="9">
        <f t="shared" si="188"/>
        <v>0</v>
      </c>
      <c r="S1308" s="9">
        <f t="array" ref="S1308">+SUM(IFERROR(VALUE(Q1308:R1308),0))</f>
        <v>0</v>
      </c>
    </row>
    <row r="1309" spans="1:19">
      <c r="A1309" s="26"/>
      <c r="B1309" s="27"/>
      <c r="C1309" s="27"/>
      <c r="D1309" s="28"/>
      <c r="F1309" s="9" t="str">
        <f t="shared" si="180"/>
        <v/>
      </c>
      <c r="G1309" s="9">
        <f t="shared" si="181"/>
        <v>0</v>
      </c>
      <c r="H1309" s="9">
        <f t="shared" si="182"/>
        <v>0</v>
      </c>
      <c r="I1309" s="9">
        <f t="array" ref="I1309">+SUM(IFERROR(VALUE(G1309:H1309),0))</f>
        <v>0</v>
      </c>
      <c r="K1309" s="9" t="str">
        <f t="shared" si="183"/>
        <v/>
      </c>
      <c r="L1309" s="9">
        <f t="shared" si="184"/>
        <v>0</v>
      </c>
      <c r="M1309" s="9">
        <f t="shared" si="185"/>
        <v>0</v>
      </c>
      <c r="N1309" s="9">
        <f t="array" ref="N1309">+SUM(IFERROR(VALUE(L1309:M1309),0))</f>
        <v>0</v>
      </c>
      <c r="P1309" s="9" t="str">
        <f t="shared" si="186"/>
        <v/>
      </c>
      <c r="Q1309" s="9">
        <f t="shared" si="187"/>
        <v>0</v>
      </c>
      <c r="R1309" s="9">
        <f t="shared" si="188"/>
        <v>0</v>
      </c>
      <c r="S1309" s="9">
        <f t="array" ref="S1309">+SUM(IFERROR(VALUE(Q1309:R1309),0))</f>
        <v>0</v>
      </c>
    </row>
    <row r="1310" spans="1:19">
      <c r="A1310" s="26"/>
      <c r="B1310" s="27"/>
      <c r="C1310" s="27"/>
      <c r="D1310" s="28"/>
      <c r="F1310" s="9" t="str">
        <f t="shared" si="180"/>
        <v/>
      </c>
      <c r="G1310" s="9">
        <f t="shared" si="181"/>
        <v>0</v>
      </c>
      <c r="H1310" s="9">
        <f t="shared" si="182"/>
        <v>0</v>
      </c>
      <c r="I1310" s="9">
        <f t="array" ref="I1310">+SUM(IFERROR(VALUE(G1310:H1310),0))</f>
        <v>0</v>
      </c>
      <c r="K1310" s="9" t="str">
        <f t="shared" si="183"/>
        <v/>
      </c>
      <c r="L1310" s="9">
        <f t="shared" si="184"/>
        <v>0</v>
      </c>
      <c r="M1310" s="9">
        <f t="shared" si="185"/>
        <v>0</v>
      </c>
      <c r="N1310" s="9">
        <f t="array" ref="N1310">+SUM(IFERROR(VALUE(L1310:M1310),0))</f>
        <v>0</v>
      </c>
      <c r="P1310" s="9" t="str">
        <f t="shared" si="186"/>
        <v/>
      </c>
      <c r="Q1310" s="9">
        <f t="shared" si="187"/>
        <v>0</v>
      </c>
      <c r="R1310" s="9">
        <f t="shared" si="188"/>
        <v>0</v>
      </c>
      <c r="S1310" s="9">
        <f t="array" ref="S1310">+SUM(IFERROR(VALUE(Q1310:R1310),0))</f>
        <v>0</v>
      </c>
    </row>
    <row r="1311" spans="1:19">
      <c r="A1311" s="26"/>
      <c r="B1311" s="27"/>
      <c r="C1311" s="27"/>
      <c r="D1311" s="28"/>
      <c r="F1311" s="9" t="str">
        <f t="shared" si="180"/>
        <v/>
      </c>
      <c r="G1311" s="9">
        <f t="shared" si="181"/>
        <v>0</v>
      </c>
      <c r="H1311" s="9">
        <f t="shared" si="182"/>
        <v>0</v>
      </c>
      <c r="I1311" s="9">
        <f t="array" ref="I1311">+SUM(IFERROR(VALUE(G1311:H1311),0))</f>
        <v>0</v>
      </c>
      <c r="K1311" s="9" t="str">
        <f t="shared" si="183"/>
        <v/>
      </c>
      <c r="L1311" s="9">
        <f t="shared" si="184"/>
        <v>0</v>
      </c>
      <c r="M1311" s="9">
        <f t="shared" si="185"/>
        <v>0</v>
      </c>
      <c r="N1311" s="9">
        <f t="array" ref="N1311">+SUM(IFERROR(VALUE(L1311:M1311),0))</f>
        <v>0</v>
      </c>
      <c r="P1311" s="9" t="str">
        <f t="shared" si="186"/>
        <v/>
      </c>
      <c r="Q1311" s="9">
        <f t="shared" si="187"/>
        <v>0</v>
      </c>
      <c r="R1311" s="9">
        <f t="shared" si="188"/>
        <v>0</v>
      </c>
      <c r="S1311" s="9">
        <f t="array" ref="S1311">+SUM(IFERROR(VALUE(Q1311:R1311),0))</f>
        <v>0</v>
      </c>
    </row>
    <row r="1312" spans="1:19">
      <c r="A1312" s="26"/>
      <c r="B1312" s="27"/>
      <c r="C1312" s="27"/>
      <c r="D1312" s="28"/>
      <c r="F1312" s="9" t="str">
        <f t="shared" si="180"/>
        <v/>
      </c>
      <c r="G1312" s="9">
        <f t="shared" si="181"/>
        <v>0</v>
      </c>
      <c r="H1312" s="9">
        <f t="shared" si="182"/>
        <v>0</v>
      </c>
      <c r="I1312" s="9">
        <f t="array" ref="I1312">+SUM(IFERROR(VALUE(G1312:H1312),0))</f>
        <v>0</v>
      </c>
      <c r="K1312" s="9" t="str">
        <f t="shared" si="183"/>
        <v/>
      </c>
      <c r="L1312" s="9">
        <f t="shared" si="184"/>
        <v>0</v>
      </c>
      <c r="M1312" s="9">
        <f t="shared" si="185"/>
        <v>0</v>
      </c>
      <c r="N1312" s="9">
        <f t="array" ref="N1312">+SUM(IFERROR(VALUE(L1312:M1312),0))</f>
        <v>0</v>
      </c>
      <c r="P1312" s="9" t="str">
        <f t="shared" si="186"/>
        <v/>
      </c>
      <c r="Q1312" s="9">
        <f t="shared" si="187"/>
        <v>0</v>
      </c>
      <c r="R1312" s="9">
        <f t="shared" si="188"/>
        <v>0</v>
      </c>
      <c r="S1312" s="9">
        <f t="array" ref="S1312">+SUM(IFERROR(VALUE(Q1312:R1312),0))</f>
        <v>0</v>
      </c>
    </row>
    <row r="1313" spans="1:19">
      <c r="A1313" s="26"/>
      <c r="B1313" s="27"/>
      <c r="C1313" s="27"/>
      <c r="D1313" s="28"/>
      <c r="F1313" s="9" t="str">
        <f t="shared" si="180"/>
        <v/>
      </c>
      <c r="G1313" s="9">
        <f t="shared" si="181"/>
        <v>0</v>
      </c>
      <c r="H1313" s="9">
        <f t="shared" si="182"/>
        <v>0</v>
      </c>
      <c r="I1313" s="9">
        <f t="array" ref="I1313">+SUM(IFERROR(VALUE(G1313:H1313),0))</f>
        <v>0</v>
      </c>
      <c r="K1313" s="9" t="str">
        <f t="shared" si="183"/>
        <v/>
      </c>
      <c r="L1313" s="9">
        <f t="shared" si="184"/>
        <v>0</v>
      </c>
      <c r="M1313" s="9">
        <f t="shared" si="185"/>
        <v>0</v>
      </c>
      <c r="N1313" s="9">
        <f t="array" ref="N1313">+SUM(IFERROR(VALUE(L1313:M1313),0))</f>
        <v>0</v>
      </c>
      <c r="P1313" s="9" t="str">
        <f t="shared" si="186"/>
        <v/>
      </c>
      <c r="Q1313" s="9">
        <f t="shared" si="187"/>
        <v>0</v>
      </c>
      <c r="R1313" s="9">
        <f t="shared" si="188"/>
        <v>0</v>
      </c>
      <c r="S1313" s="9">
        <f t="array" ref="S1313">+SUM(IFERROR(VALUE(Q1313:R1313),0))</f>
        <v>0</v>
      </c>
    </row>
    <row r="1314" spans="1:19">
      <c r="A1314" s="26"/>
      <c r="B1314" s="27"/>
      <c r="C1314" s="27"/>
      <c r="D1314" s="28"/>
      <c r="F1314" s="9" t="str">
        <f t="shared" si="180"/>
        <v/>
      </c>
      <c r="G1314" s="9">
        <f t="shared" si="181"/>
        <v>0</v>
      </c>
      <c r="H1314" s="9">
        <f t="shared" si="182"/>
        <v>0</v>
      </c>
      <c r="I1314" s="9">
        <f t="array" ref="I1314">+SUM(IFERROR(VALUE(G1314:H1314),0))</f>
        <v>0</v>
      </c>
      <c r="K1314" s="9" t="str">
        <f t="shared" si="183"/>
        <v/>
      </c>
      <c r="L1314" s="9">
        <f t="shared" si="184"/>
        <v>0</v>
      </c>
      <c r="M1314" s="9">
        <f t="shared" si="185"/>
        <v>0</v>
      </c>
      <c r="N1314" s="9">
        <f t="array" ref="N1314">+SUM(IFERROR(VALUE(L1314:M1314),0))</f>
        <v>0</v>
      </c>
      <c r="P1314" s="9" t="str">
        <f t="shared" si="186"/>
        <v/>
      </c>
      <c r="Q1314" s="9">
        <f t="shared" si="187"/>
        <v>0</v>
      </c>
      <c r="R1314" s="9">
        <f t="shared" si="188"/>
        <v>0</v>
      </c>
      <c r="S1314" s="9">
        <f t="array" ref="S1314">+SUM(IFERROR(VALUE(Q1314:R1314),0))</f>
        <v>0</v>
      </c>
    </row>
    <row r="1315" spans="1:19">
      <c r="A1315" s="26"/>
      <c r="B1315" s="27"/>
      <c r="C1315" s="27"/>
      <c r="D1315" s="28"/>
      <c r="F1315" s="9" t="str">
        <f t="shared" si="180"/>
        <v/>
      </c>
      <c r="G1315" s="9">
        <f t="shared" si="181"/>
        <v>0</v>
      </c>
      <c r="H1315" s="9">
        <f t="shared" si="182"/>
        <v>0</v>
      </c>
      <c r="I1315" s="9">
        <f t="array" ref="I1315">+SUM(IFERROR(VALUE(G1315:H1315),0))</f>
        <v>0</v>
      </c>
      <c r="K1315" s="9" t="str">
        <f t="shared" si="183"/>
        <v/>
      </c>
      <c r="L1315" s="9">
        <f t="shared" si="184"/>
        <v>0</v>
      </c>
      <c r="M1315" s="9">
        <f t="shared" si="185"/>
        <v>0</v>
      </c>
      <c r="N1315" s="9">
        <f t="array" ref="N1315">+SUM(IFERROR(VALUE(L1315:M1315),0))</f>
        <v>0</v>
      </c>
      <c r="P1315" s="9" t="str">
        <f t="shared" si="186"/>
        <v/>
      </c>
      <c r="Q1315" s="9">
        <f t="shared" si="187"/>
        <v>0</v>
      </c>
      <c r="R1315" s="9">
        <f t="shared" si="188"/>
        <v>0</v>
      </c>
      <c r="S1315" s="9">
        <f t="array" ref="S1315">+SUM(IFERROR(VALUE(Q1315:R1315),0))</f>
        <v>0</v>
      </c>
    </row>
    <row r="1316" spans="1:19">
      <c r="A1316" s="26"/>
      <c r="B1316" s="27"/>
      <c r="C1316" s="27"/>
      <c r="D1316" s="28"/>
      <c r="F1316" s="9" t="str">
        <f t="shared" si="180"/>
        <v/>
      </c>
      <c r="G1316" s="9">
        <f t="shared" si="181"/>
        <v>0</v>
      </c>
      <c r="H1316" s="9">
        <f t="shared" si="182"/>
        <v>0</v>
      </c>
      <c r="I1316" s="9">
        <f t="array" ref="I1316">+SUM(IFERROR(VALUE(G1316:H1316),0))</f>
        <v>0</v>
      </c>
      <c r="K1316" s="9" t="str">
        <f t="shared" si="183"/>
        <v/>
      </c>
      <c r="L1316" s="9">
        <f t="shared" si="184"/>
        <v>0</v>
      </c>
      <c r="M1316" s="9">
        <f t="shared" si="185"/>
        <v>0</v>
      </c>
      <c r="N1316" s="9">
        <f t="array" ref="N1316">+SUM(IFERROR(VALUE(L1316:M1316),0))</f>
        <v>0</v>
      </c>
      <c r="P1316" s="9" t="str">
        <f t="shared" si="186"/>
        <v/>
      </c>
      <c r="Q1316" s="9">
        <f t="shared" si="187"/>
        <v>0</v>
      </c>
      <c r="R1316" s="9">
        <f t="shared" si="188"/>
        <v>0</v>
      </c>
      <c r="S1316" s="9">
        <f t="array" ref="S1316">+SUM(IFERROR(VALUE(Q1316:R1316),0))</f>
        <v>0</v>
      </c>
    </row>
    <row r="1317" spans="1:19">
      <c r="A1317" s="26"/>
      <c r="B1317" s="27"/>
      <c r="C1317" s="27"/>
      <c r="D1317" s="28"/>
      <c r="F1317" s="9" t="str">
        <f t="shared" si="180"/>
        <v/>
      </c>
      <c r="G1317" s="9">
        <f t="shared" si="181"/>
        <v>0</v>
      </c>
      <c r="H1317" s="9">
        <f t="shared" si="182"/>
        <v>0</v>
      </c>
      <c r="I1317" s="9">
        <f t="array" ref="I1317">+SUM(IFERROR(VALUE(G1317:H1317),0))</f>
        <v>0</v>
      </c>
      <c r="K1317" s="9" t="str">
        <f t="shared" si="183"/>
        <v/>
      </c>
      <c r="L1317" s="9">
        <f t="shared" si="184"/>
        <v>0</v>
      </c>
      <c r="M1317" s="9">
        <f t="shared" si="185"/>
        <v>0</v>
      </c>
      <c r="N1317" s="9">
        <f t="array" ref="N1317">+SUM(IFERROR(VALUE(L1317:M1317),0))</f>
        <v>0</v>
      </c>
      <c r="P1317" s="9" t="str">
        <f t="shared" si="186"/>
        <v/>
      </c>
      <c r="Q1317" s="9">
        <f t="shared" si="187"/>
        <v>0</v>
      </c>
      <c r="R1317" s="9">
        <f t="shared" si="188"/>
        <v>0</v>
      </c>
      <c r="S1317" s="9">
        <f t="array" ref="S1317">+SUM(IFERROR(VALUE(Q1317:R1317),0))</f>
        <v>0</v>
      </c>
    </row>
    <row r="1318" spans="1:19">
      <c r="A1318" s="26"/>
      <c r="B1318" s="27"/>
      <c r="C1318" s="27"/>
      <c r="D1318" s="28"/>
      <c r="F1318" s="9" t="str">
        <f t="shared" si="180"/>
        <v/>
      </c>
      <c r="G1318" s="9">
        <f t="shared" si="181"/>
        <v>0</v>
      </c>
      <c r="H1318" s="9">
        <f t="shared" si="182"/>
        <v>0</v>
      </c>
      <c r="I1318" s="9">
        <f t="array" ref="I1318">+SUM(IFERROR(VALUE(G1318:H1318),0))</f>
        <v>0</v>
      </c>
      <c r="K1318" s="9" t="str">
        <f t="shared" si="183"/>
        <v/>
      </c>
      <c r="L1318" s="9">
        <f t="shared" si="184"/>
        <v>0</v>
      </c>
      <c r="M1318" s="9">
        <f t="shared" si="185"/>
        <v>0</v>
      </c>
      <c r="N1318" s="9">
        <f t="array" ref="N1318">+SUM(IFERROR(VALUE(L1318:M1318),0))</f>
        <v>0</v>
      </c>
      <c r="P1318" s="9" t="str">
        <f t="shared" si="186"/>
        <v/>
      </c>
      <c r="Q1318" s="9">
        <f t="shared" si="187"/>
        <v>0</v>
      </c>
      <c r="R1318" s="9">
        <f t="shared" si="188"/>
        <v>0</v>
      </c>
      <c r="S1318" s="9">
        <f t="array" ref="S1318">+SUM(IFERROR(VALUE(Q1318:R1318),0))</f>
        <v>0</v>
      </c>
    </row>
    <row r="1319" spans="1:19">
      <c r="A1319" s="26"/>
      <c r="B1319" s="27"/>
      <c r="C1319" s="27"/>
      <c r="D1319" s="28"/>
      <c r="F1319" s="9" t="str">
        <f t="shared" si="180"/>
        <v/>
      </c>
      <c r="G1319" s="9">
        <f t="shared" si="181"/>
        <v>0</v>
      </c>
      <c r="H1319" s="9">
        <f t="shared" si="182"/>
        <v>0</v>
      </c>
      <c r="I1319" s="9">
        <f t="array" ref="I1319">+SUM(IFERROR(VALUE(G1319:H1319),0))</f>
        <v>0</v>
      </c>
      <c r="K1319" s="9" t="str">
        <f t="shared" si="183"/>
        <v/>
      </c>
      <c r="L1319" s="9">
        <f t="shared" si="184"/>
        <v>0</v>
      </c>
      <c r="M1319" s="9">
        <f t="shared" si="185"/>
        <v>0</v>
      </c>
      <c r="N1319" s="9">
        <f t="array" ref="N1319">+SUM(IFERROR(VALUE(L1319:M1319),0))</f>
        <v>0</v>
      </c>
      <c r="P1319" s="9" t="str">
        <f t="shared" si="186"/>
        <v/>
      </c>
      <c r="Q1319" s="9">
        <f t="shared" si="187"/>
        <v>0</v>
      </c>
      <c r="R1319" s="9">
        <f t="shared" si="188"/>
        <v>0</v>
      </c>
      <c r="S1319" s="9">
        <f t="array" ref="S1319">+SUM(IFERROR(VALUE(Q1319:R1319),0))</f>
        <v>0</v>
      </c>
    </row>
    <row r="1320" spans="1:19">
      <c r="A1320" s="26"/>
      <c r="B1320" s="27"/>
      <c r="C1320" s="27"/>
      <c r="D1320" s="28"/>
      <c r="F1320" s="9" t="str">
        <f t="shared" si="180"/>
        <v/>
      </c>
      <c r="G1320" s="9">
        <f t="shared" si="181"/>
        <v>0</v>
      </c>
      <c r="H1320" s="9">
        <f t="shared" si="182"/>
        <v>0</v>
      </c>
      <c r="I1320" s="9">
        <f t="array" ref="I1320">+SUM(IFERROR(VALUE(G1320:H1320),0))</f>
        <v>0</v>
      </c>
      <c r="K1320" s="9" t="str">
        <f t="shared" si="183"/>
        <v/>
      </c>
      <c r="L1320" s="9">
        <f t="shared" si="184"/>
        <v>0</v>
      </c>
      <c r="M1320" s="9">
        <f t="shared" si="185"/>
        <v>0</v>
      </c>
      <c r="N1320" s="9">
        <f t="array" ref="N1320">+SUM(IFERROR(VALUE(L1320:M1320),0))</f>
        <v>0</v>
      </c>
      <c r="P1320" s="9" t="str">
        <f t="shared" si="186"/>
        <v/>
      </c>
      <c r="Q1320" s="9">
        <f t="shared" si="187"/>
        <v>0</v>
      </c>
      <c r="R1320" s="9">
        <f t="shared" si="188"/>
        <v>0</v>
      </c>
      <c r="S1320" s="9">
        <f t="array" ref="S1320">+SUM(IFERROR(VALUE(Q1320:R1320),0))</f>
        <v>0</v>
      </c>
    </row>
    <row r="1321" spans="1:19">
      <c r="A1321" s="26"/>
      <c r="B1321" s="27"/>
      <c r="C1321" s="27"/>
      <c r="D1321" s="28"/>
      <c r="F1321" s="9" t="str">
        <f t="shared" si="180"/>
        <v/>
      </c>
      <c r="G1321" s="9">
        <f t="shared" si="181"/>
        <v>0</v>
      </c>
      <c r="H1321" s="9">
        <f t="shared" si="182"/>
        <v>0</v>
      </c>
      <c r="I1321" s="9">
        <f t="array" ref="I1321">+SUM(IFERROR(VALUE(G1321:H1321),0))</f>
        <v>0</v>
      </c>
      <c r="K1321" s="9" t="str">
        <f t="shared" si="183"/>
        <v/>
      </c>
      <c r="L1321" s="9">
        <f t="shared" si="184"/>
        <v>0</v>
      </c>
      <c r="M1321" s="9">
        <f t="shared" si="185"/>
        <v>0</v>
      </c>
      <c r="N1321" s="9">
        <f t="array" ref="N1321">+SUM(IFERROR(VALUE(L1321:M1321),0))</f>
        <v>0</v>
      </c>
      <c r="P1321" s="9" t="str">
        <f t="shared" si="186"/>
        <v/>
      </c>
      <c r="Q1321" s="9">
        <f t="shared" si="187"/>
        <v>0</v>
      </c>
      <c r="R1321" s="9">
        <f t="shared" si="188"/>
        <v>0</v>
      </c>
      <c r="S1321" s="9">
        <f t="array" ref="S1321">+SUM(IFERROR(VALUE(Q1321:R1321),0))</f>
        <v>0</v>
      </c>
    </row>
    <row r="1322" spans="1:19">
      <c r="A1322" s="26"/>
      <c r="B1322" s="27"/>
      <c r="C1322" s="27"/>
      <c r="D1322" s="28"/>
      <c r="F1322" s="9" t="str">
        <f t="shared" si="180"/>
        <v/>
      </c>
      <c r="G1322" s="9">
        <f t="shared" si="181"/>
        <v>0</v>
      </c>
      <c r="H1322" s="9">
        <f t="shared" si="182"/>
        <v>0</v>
      </c>
      <c r="I1322" s="9">
        <f t="array" ref="I1322">+SUM(IFERROR(VALUE(G1322:H1322),0))</f>
        <v>0</v>
      </c>
      <c r="K1322" s="9" t="str">
        <f t="shared" si="183"/>
        <v/>
      </c>
      <c r="L1322" s="9">
        <f t="shared" si="184"/>
        <v>0</v>
      </c>
      <c r="M1322" s="9">
        <f t="shared" si="185"/>
        <v>0</v>
      </c>
      <c r="N1322" s="9">
        <f t="array" ref="N1322">+SUM(IFERROR(VALUE(L1322:M1322),0))</f>
        <v>0</v>
      </c>
      <c r="P1322" s="9" t="str">
        <f t="shared" si="186"/>
        <v/>
      </c>
      <c r="Q1322" s="9">
        <f t="shared" si="187"/>
        <v>0</v>
      </c>
      <c r="R1322" s="9">
        <f t="shared" si="188"/>
        <v>0</v>
      </c>
      <c r="S1322" s="9">
        <f t="array" ref="S1322">+SUM(IFERROR(VALUE(Q1322:R1322),0))</f>
        <v>0</v>
      </c>
    </row>
    <row r="1323" spans="1:19">
      <c r="A1323" s="26"/>
      <c r="B1323" s="27"/>
      <c r="C1323" s="27"/>
      <c r="D1323" s="28"/>
      <c r="F1323" s="9" t="str">
        <f t="shared" si="180"/>
        <v/>
      </c>
      <c r="G1323" s="9">
        <f t="shared" si="181"/>
        <v>0</v>
      </c>
      <c r="H1323" s="9">
        <f t="shared" si="182"/>
        <v>0</v>
      </c>
      <c r="I1323" s="9">
        <f t="array" ref="I1323">+SUM(IFERROR(VALUE(G1323:H1323),0))</f>
        <v>0</v>
      </c>
      <c r="K1323" s="9" t="str">
        <f t="shared" si="183"/>
        <v/>
      </c>
      <c r="L1323" s="9">
        <f t="shared" si="184"/>
        <v>0</v>
      </c>
      <c r="M1323" s="9">
        <f t="shared" si="185"/>
        <v>0</v>
      </c>
      <c r="N1323" s="9">
        <f t="array" ref="N1323">+SUM(IFERROR(VALUE(L1323:M1323),0))</f>
        <v>0</v>
      </c>
      <c r="P1323" s="9" t="str">
        <f t="shared" si="186"/>
        <v/>
      </c>
      <c r="Q1323" s="9">
        <f t="shared" si="187"/>
        <v>0</v>
      </c>
      <c r="R1323" s="9">
        <f t="shared" si="188"/>
        <v>0</v>
      </c>
      <c r="S1323" s="9">
        <f t="array" ref="S1323">+SUM(IFERROR(VALUE(Q1323:R1323),0))</f>
        <v>0</v>
      </c>
    </row>
    <row r="1324" spans="1:19">
      <c r="A1324" s="26"/>
      <c r="B1324" s="27"/>
      <c r="C1324" s="27"/>
      <c r="D1324" s="28"/>
      <c r="F1324" s="9" t="str">
        <f t="shared" si="180"/>
        <v/>
      </c>
      <c r="G1324" s="9">
        <f t="shared" si="181"/>
        <v>0</v>
      </c>
      <c r="H1324" s="9">
        <f t="shared" si="182"/>
        <v>0</v>
      </c>
      <c r="I1324" s="9">
        <f t="array" ref="I1324">+SUM(IFERROR(VALUE(G1324:H1324),0))</f>
        <v>0</v>
      </c>
      <c r="K1324" s="9" t="str">
        <f t="shared" si="183"/>
        <v/>
      </c>
      <c r="L1324" s="9">
        <f t="shared" si="184"/>
        <v>0</v>
      </c>
      <c r="M1324" s="9">
        <f t="shared" si="185"/>
        <v>0</v>
      </c>
      <c r="N1324" s="9">
        <f t="array" ref="N1324">+SUM(IFERROR(VALUE(L1324:M1324),0))</f>
        <v>0</v>
      </c>
      <c r="P1324" s="9" t="str">
        <f t="shared" si="186"/>
        <v/>
      </c>
      <c r="Q1324" s="9">
        <f t="shared" si="187"/>
        <v>0</v>
      </c>
      <c r="R1324" s="9">
        <f t="shared" si="188"/>
        <v>0</v>
      </c>
      <c r="S1324" s="9">
        <f t="array" ref="S1324">+SUM(IFERROR(VALUE(Q1324:R1324),0))</f>
        <v>0</v>
      </c>
    </row>
    <row r="1325" spans="1:19">
      <c r="A1325" s="26"/>
      <c r="B1325" s="27"/>
      <c r="C1325" s="27"/>
      <c r="D1325" s="28"/>
      <c r="F1325" s="9" t="str">
        <f t="shared" si="180"/>
        <v/>
      </c>
      <c r="G1325" s="9">
        <f t="shared" si="181"/>
        <v>0</v>
      </c>
      <c r="H1325" s="9">
        <f t="shared" si="182"/>
        <v>0</v>
      </c>
      <c r="I1325" s="9">
        <f t="array" ref="I1325">+SUM(IFERROR(VALUE(G1325:H1325),0))</f>
        <v>0</v>
      </c>
      <c r="K1325" s="9" t="str">
        <f t="shared" si="183"/>
        <v/>
      </c>
      <c r="L1325" s="9">
        <f t="shared" si="184"/>
        <v>0</v>
      </c>
      <c r="M1325" s="9">
        <f t="shared" si="185"/>
        <v>0</v>
      </c>
      <c r="N1325" s="9">
        <f t="array" ref="N1325">+SUM(IFERROR(VALUE(L1325:M1325),0))</f>
        <v>0</v>
      </c>
      <c r="P1325" s="9" t="str">
        <f t="shared" si="186"/>
        <v/>
      </c>
      <c r="Q1325" s="9">
        <f t="shared" si="187"/>
        <v>0</v>
      </c>
      <c r="R1325" s="9">
        <f t="shared" si="188"/>
        <v>0</v>
      </c>
      <c r="S1325" s="9">
        <f t="array" ref="S1325">+SUM(IFERROR(VALUE(Q1325:R1325),0))</f>
        <v>0</v>
      </c>
    </row>
    <row r="1326" spans="1:19">
      <c r="A1326" s="26"/>
      <c r="B1326" s="27"/>
      <c r="C1326" s="27"/>
      <c r="D1326" s="28"/>
      <c r="F1326" s="9" t="str">
        <f t="shared" si="180"/>
        <v/>
      </c>
      <c r="G1326" s="9">
        <f t="shared" si="181"/>
        <v>0</v>
      </c>
      <c r="H1326" s="9">
        <f t="shared" si="182"/>
        <v>0</v>
      </c>
      <c r="I1326" s="9">
        <f t="array" ref="I1326">+SUM(IFERROR(VALUE(G1326:H1326),0))</f>
        <v>0</v>
      </c>
      <c r="K1326" s="9" t="str">
        <f t="shared" si="183"/>
        <v/>
      </c>
      <c r="L1326" s="9">
        <f t="shared" si="184"/>
        <v>0</v>
      </c>
      <c r="M1326" s="9">
        <f t="shared" si="185"/>
        <v>0</v>
      </c>
      <c r="N1326" s="9">
        <f t="array" ref="N1326">+SUM(IFERROR(VALUE(L1326:M1326),0))</f>
        <v>0</v>
      </c>
      <c r="P1326" s="9" t="str">
        <f t="shared" si="186"/>
        <v/>
      </c>
      <c r="Q1326" s="9">
        <f t="shared" si="187"/>
        <v>0</v>
      </c>
      <c r="R1326" s="9">
        <f t="shared" si="188"/>
        <v>0</v>
      </c>
      <c r="S1326" s="9">
        <f t="array" ref="S1326">+SUM(IFERROR(VALUE(Q1326:R1326),0))</f>
        <v>0</v>
      </c>
    </row>
    <row r="1327" spans="1:19">
      <c r="A1327" s="26"/>
      <c r="B1327" s="27"/>
      <c r="C1327" s="27"/>
      <c r="D1327" s="28"/>
      <c r="F1327" s="9" t="str">
        <f t="shared" si="180"/>
        <v/>
      </c>
      <c r="G1327" s="9">
        <f t="shared" si="181"/>
        <v>0</v>
      </c>
      <c r="H1327" s="9">
        <f t="shared" si="182"/>
        <v>0</v>
      </c>
      <c r="I1327" s="9">
        <f t="array" ref="I1327">+SUM(IFERROR(VALUE(G1327:H1327),0))</f>
        <v>0</v>
      </c>
      <c r="K1327" s="9" t="str">
        <f t="shared" si="183"/>
        <v/>
      </c>
      <c r="L1327" s="9">
        <f t="shared" si="184"/>
        <v>0</v>
      </c>
      <c r="M1327" s="9">
        <f t="shared" si="185"/>
        <v>0</v>
      </c>
      <c r="N1327" s="9">
        <f t="array" ref="N1327">+SUM(IFERROR(VALUE(L1327:M1327),0))</f>
        <v>0</v>
      </c>
      <c r="P1327" s="9" t="str">
        <f t="shared" si="186"/>
        <v/>
      </c>
      <c r="Q1327" s="9">
        <f t="shared" si="187"/>
        <v>0</v>
      </c>
      <c r="R1327" s="9">
        <f t="shared" si="188"/>
        <v>0</v>
      </c>
      <c r="S1327" s="9">
        <f t="array" ref="S1327">+SUM(IFERROR(VALUE(Q1327:R1327),0))</f>
        <v>0</v>
      </c>
    </row>
    <row r="1328" spans="1:19">
      <c r="A1328" s="26"/>
      <c r="B1328" s="27"/>
      <c r="C1328" s="27"/>
      <c r="D1328" s="28"/>
      <c r="F1328" s="9" t="str">
        <f t="shared" si="180"/>
        <v/>
      </c>
      <c r="G1328" s="9">
        <f t="shared" si="181"/>
        <v>0</v>
      </c>
      <c r="H1328" s="9">
        <f t="shared" si="182"/>
        <v>0</v>
      </c>
      <c r="I1328" s="9">
        <f t="array" ref="I1328">+SUM(IFERROR(VALUE(G1328:H1328),0))</f>
        <v>0</v>
      </c>
      <c r="K1328" s="9" t="str">
        <f t="shared" si="183"/>
        <v/>
      </c>
      <c r="L1328" s="9">
        <f t="shared" si="184"/>
        <v>0</v>
      </c>
      <c r="M1328" s="9">
        <f t="shared" si="185"/>
        <v>0</v>
      </c>
      <c r="N1328" s="9">
        <f t="array" ref="N1328">+SUM(IFERROR(VALUE(L1328:M1328),0))</f>
        <v>0</v>
      </c>
      <c r="P1328" s="9" t="str">
        <f t="shared" si="186"/>
        <v/>
      </c>
      <c r="Q1328" s="9">
        <f t="shared" si="187"/>
        <v>0</v>
      </c>
      <c r="R1328" s="9">
        <f t="shared" si="188"/>
        <v>0</v>
      </c>
      <c r="S1328" s="9">
        <f t="array" ref="S1328">+SUM(IFERROR(VALUE(Q1328:R1328),0))</f>
        <v>0</v>
      </c>
    </row>
    <row r="1329" spans="1:19">
      <c r="A1329" s="26"/>
      <c r="B1329" s="27"/>
      <c r="C1329" s="27"/>
      <c r="D1329" s="28"/>
      <c r="F1329" s="9" t="str">
        <f t="shared" si="180"/>
        <v/>
      </c>
      <c r="G1329" s="9">
        <f t="shared" si="181"/>
        <v>0</v>
      </c>
      <c r="H1329" s="9">
        <f t="shared" si="182"/>
        <v>0</v>
      </c>
      <c r="I1329" s="9">
        <f t="array" ref="I1329">+SUM(IFERROR(VALUE(G1329:H1329),0))</f>
        <v>0</v>
      </c>
      <c r="K1329" s="9" t="str">
        <f t="shared" si="183"/>
        <v/>
      </c>
      <c r="L1329" s="9">
        <f t="shared" si="184"/>
        <v>0</v>
      </c>
      <c r="M1329" s="9">
        <f t="shared" si="185"/>
        <v>0</v>
      </c>
      <c r="N1329" s="9">
        <f t="array" ref="N1329">+SUM(IFERROR(VALUE(L1329:M1329),0))</f>
        <v>0</v>
      </c>
      <c r="P1329" s="9" t="str">
        <f t="shared" si="186"/>
        <v/>
      </c>
      <c r="Q1329" s="9">
        <f t="shared" si="187"/>
        <v>0</v>
      </c>
      <c r="R1329" s="9">
        <f t="shared" si="188"/>
        <v>0</v>
      </c>
      <c r="S1329" s="9">
        <f t="array" ref="S1329">+SUM(IFERROR(VALUE(Q1329:R1329),0))</f>
        <v>0</v>
      </c>
    </row>
    <row r="1330" spans="1:19">
      <c r="A1330" s="26"/>
      <c r="B1330" s="27"/>
      <c r="C1330" s="27"/>
      <c r="D1330" s="28"/>
      <c r="F1330" s="9" t="str">
        <f t="shared" si="180"/>
        <v/>
      </c>
      <c r="G1330" s="9">
        <f t="shared" si="181"/>
        <v>0</v>
      </c>
      <c r="H1330" s="9">
        <f t="shared" si="182"/>
        <v>0</v>
      </c>
      <c r="I1330" s="9">
        <f t="array" ref="I1330">+SUM(IFERROR(VALUE(G1330:H1330),0))</f>
        <v>0</v>
      </c>
      <c r="K1330" s="9" t="str">
        <f t="shared" si="183"/>
        <v/>
      </c>
      <c r="L1330" s="9">
        <f t="shared" si="184"/>
        <v>0</v>
      </c>
      <c r="M1330" s="9">
        <f t="shared" si="185"/>
        <v>0</v>
      </c>
      <c r="N1330" s="9">
        <f t="array" ref="N1330">+SUM(IFERROR(VALUE(L1330:M1330),0))</f>
        <v>0</v>
      </c>
      <c r="P1330" s="9" t="str">
        <f t="shared" si="186"/>
        <v/>
      </c>
      <c r="Q1330" s="9">
        <f t="shared" si="187"/>
        <v>0</v>
      </c>
      <c r="R1330" s="9">
        <f t="shared" si="188"/>
        <v>0</v>
      </c>
      <c r="S1330" s="9">
        <f t="array" ref="S1330">+SUM(IFERROR(VALUE(Q1330:R1330),0))</f>
        <v>0</v>
      </c>
    </row>
    <row r="1331" spans="1:19">
      <c r="A1331" s="26"/>
      <c r="B1331" s="27"/>
      <c r="C1331" s="27"/>
      <c r="D1331" s="28"/>
      <c r="F1331" s="9" t="str">
        <f t="shared" si="180"/>
        <v/>
      </c>
      <c r="G1331" s="9">
        <f t="shared" si="181"/>
        <v>0</v>
      </c>
      <c r="H1331" s="9">
        <f t="shared" si="182"/>
        <v>0</v>
      </c>
      <c r="I1331" s="9">
        <f t="array" ref="I1331">+SUM(IFERROR(VALUE(G1331:H1331),0))</f>
        <v>0</v>
      </c>
      <c r="K1331" s="9" t="str">
        <f t="shared" si="183"/>
        <v/>
      </c>
      <c r="L1331" s="9">
        <f t="shared" si="184"/>
        <v>0</v>
      </c>
      <c r="M1331" s="9">
        <f t="shared" si="185"/>
        <v>0</v>
      </c>
      <c r="N1331" s="9">
        <f t="array" ref="N1331">+SUM(IFERROR(VALUE(L1331:M1331),0))</f>
        <v>0</v>
      </c>
      <c r="P1331" s="9" t="str">
        <f t="shared" si="186"/>
        <v/>
      </c>
      <c r="Q1331" s="9">
        <f t="shared" si="187"/>
        <v>0</v>
      </c>
      <c r="R1331" s="9">
        <f t="shared" si="188"/>
        <v>0</v>
      </c>
      <c r="S1331" s="9">
        <f t="array" ref="S1331">+SUM(IFERROR(VALUE(Q1331:R1331),0))</f>
        <v>0</v>
      </c>
    </row>
    <row r="1332" spans="1:19">
      <c r="A1332" s="26"/>
      <c r="B1332" s="27"/>
      <c r="C1332" s="27"/>
      <c r="D1332" s="28"/>
      <c r="F1332" s="9" t="str">
        <f t="shared" si="180"/>
        <v/>
      </c>
      <c r="G1332" s="9">
        <f t="shared" si="181"/>
        <v>0</v>
      </c>
      <c r="H1332" s="9">
        <f t="shared" si="182"/>
        <v>0</v>
      </c>
      <c r="I1332" s="9">
        <f t="array" ref="I1332">+SUM(IFERROR(VALUE(G1332:H1332),0))</f>
        <v>0</v>
      </c>
      <c r="K1332" s="9" t="str">
        <f t="shared" si="183"/>
        <v/>
      </c>
      <c r="L1332" s="9">
        <f t="shared" si="184"/>
        <v>0</v>
      </c>
      <c r="M1332" s="9">
        <f t="shared" si="185"/>
        <v>0</v>
      </c>
      <c r="N1332" s="9">
        <f t="array" ref="N1332">+SUM(IFERROR(VALUE(L1332:M1332),0))</f>
        <v>0</v>
      </c>
      <c r="P1332" s="9" t="str">
        <f t="shared" si="186"/>
        <v/>
      </c>
      <c r="Q1332" s="9">
        <f t="shared" si="187"/>
        <v>0</v>
      </c>
      <c r="R1332" s="9">
        <f t="shared" si="188"/>
        <v>0</v>
      </c>
      <c r="S1332" s="9">
        <f t="array" ref="S1332">+SUM(IFERROR(VALUE(Q1332:R1332),0))</f>
        <v>0</v>
      </c>
    </row>
    <row r="1333" spans="1:19">
      <c r="A1333" s="26"/>
      <c r="B1333" s="27"/>
      <c r="C1333" s="27"/>
      <c r="D1333" s="28"/>
      <c r="F1333" s="9" t="str">
        <f t="shared" si="180"/>
        <v/>
      </c>
      <c r="G1333" s="9">
        <f t="shared" si="181"/>
        <v>0</v>
      </c>
      <c r="H1333" s="9">
        <f t="shared" si="182"/>
        <v>0</v>
      </c>
      <c r="I1333" s="9">
        <f t="array" ref="I1333">+SUM(IFERROR(VALUE(G1333:H1333),0))</f>
        <v>0</v>
      </c>
      <c r="K1333" s="9" t="str">
        <f t="shared" si="183"/>
        <v/>
      </c>
      <c r="L1333" s="9">
        <f t="shared" si="184"/>
        <v>0</v>
      </c>
      <c r="M1333" s="9">
        <f t="shared" si="185"/>
        <v>0</v>
      </c>
      <c r="N1333" s="9">
        <f t="array" ref="N1333">+SUM(IFERROR(VALUE(L1333:M1333),0))</f>
        <v>0</v>
      </c>
      <c r="P1333" s="9" t="str">
        <f t="shared" si="186"/>
        <v/>
      </c>
      <c r="Q1333" s="9">
        <f t="shared" si="187"/>
        <v>0</v>
      </c>
      <c r="R1333" s="9">
        <f t="shared" si="188"/>
        <v>0</v>
      </c>
      <c r="S1333" s="9">
        <f t="array" ref="S1333">+SUM(IFERROR(VALUE(Q1333:R1333),0))</f>
        <v>0</v>
      </c>
    </row>
    <row r="1334" spans="1:19">
      <c r="A1334" s="26"/>
      <c r="B1334" s="27"/>
      <c r="C1334" s="27"/>
      <c r="D1334" s="28"/>
      <c r="F1334" s="9" t="str">
        <f t="shared" si="180"/>
        <v/>
      </c>
      <c r="G1334" s="9">
        <f t="shared" si="181"/>
        <v>0</v>
      </c>
      <c r="H1334" s="9">
        <f t="shared" si="182"/>
        <v>0</v>
      </c>
      <c r="I1334" s="9">
        <f t="array" ref="I1334">+SUM(IFERROR(VALUE(G1334:H1334),0))</f>
        <v>0</v>
      </c>
      <c r="K1334" s="9" t="str">
        <f t="shared" si="183"/>
        <v/>
      </c>
      <c r="L1334" s="9">
        <f t="shared" si="184"/>
        <v>0</v>
      </c>
      <c r="M1334" s="9">
        <f t="shared" si="185"/>
        <v>0</v>
      </c>
      <c r="N1334" s="9">
        <f t="array" ref="N1334">+SUM(IFERROR(VALUE(L1334:M1334),0))</f>
        <v>0</v>
      </c>
      <c r="P1334" s="9" t="str">
        <f t="shared" si="186"/>
        <v/>
      </c>
      <c r="Q1334" s="9">
        <f t="shared" si="187"/>
        <v>0</v>
      </c>
      <c r="R1334" s="9">
        <f t="shared" si="188"/>
        <v>0</v>
      </c>
      <c r="S1334" s="9">
        <f t="array" ref="S1334">+SUM(IFERROR(VALUE(Q1334:R1334),0))</f>
        <v>0</v>
      </c>
    </row>
    <row r="1335" spans="1:19">
      <c r="A1335" s="26"/>
      <c r="B1335" s="27"/>
      <c r="C1335" s="27"/>
      <c r="D1335" s="28"/>
      <c r="F1335" s="9" t="str">
        <f t="shared" si="180"/>
        <v/>
      </c>
      <c r="G1335" s="9">
        <f t="shared" si="181"/>
        <v>0</v>
      </c>
      <c r="H1335" s="9">
        <f t="shared" si="182"/>
        <v>0</v>
      </c>
      <c r="I1335" s="9">
        <f t="array" ref="I1335">+SUM(IFERROR(VALUE(G1335:H1335),0))</f>
        <v>0</v>
      </c>
      <c r="K1335" s="9" t="str">
        <f t="shared" si="183"/>
        <v/>
      </c>
      <c r="L1335" s="9">
        <f t="shared" si="184"/>
        <v>0</v>
      </c>
      <c r="M1335" s="9">
        <f t="shared" si="185"/>
        <v>0</v>
      </c>
      <c r="N1335" s="9">
        <f t="array" ref="N1335">+SUM(IFERROR(VALUE(L1335:M1335),0))</f>
        <v>0</v>
      </c>
      <c r="P1335" s="9" t="str">
        <f t="shared" si="186"/>
        <v/>
      </c>
      <c r="Q1335" s="9">
        <f t="shared" si="187"/>
        <v>0</v>
      </c>
      <c r="R1335" s="9">
        <f t="shared" si="188"/>
        <v>0</v>
      </c>
      <c r="S1335" s="9">
        <f t="array" ref="S1335">+SUM(IFERROR(VALUE(Q1335:R1335),0))</f>
        <v>0</v>
      </c>
    </row>
    <row r="1336" spans="1:19">
      <c r="A1336" s="26"/>
      <c r="B1336" s="27"/>
      <c r="C1336" s="27"/>
      <c r="D1336" s="28"/>
      <c r="F1336" s="9" t="str">
        <f t="shared" si="180"/>
        <v/>
      </c>
      <c r="G1336" s="9">
        <f t="shared" si="181"/>
        <v>0</v>
      </c>
      <c r="H1336" s="9">
        <f t="shared" si="182"/>
        <v>0</v>
      </c>
      <c r="I1336" s="9">
        <f t="array" ref="I1336">+SUM(IFERROR(VALUE(G1336:H1336),0))</f>
        <v>0</v>
      </c>
      <c r="K1336" s="9" t="str">
        <f t="shared" si="183"/>
        <v/>
      </c>
      <c r="L1336" s="9">
        <f t="shared" si="184"/>
        <v>0</v>
      </c>
      <c r="M1336" s="9">
        <f t="shared" si="185"/>
        <v>0</v>
      </c>
      <c r="N1336" s="9">
        <f t="array" ref="N1336">+SUM(IFERROR(VALUE(L1336:M1336),0))</f>
        <v>0</v>
      </c>
      <c r="P1336" s="9" t="str">
        <f t="shared" si="186"/>
        <v/>
      </c>
      <c r="Q1336" s="9">
        <f t="shared" si="187"/>
        <v>0</v>
      </c>
      <c r="R1336" s="9">
        <f t="shared" si="188"/>
        <v>0</v>
      </c>
      <c r="S1336" s="9">
        <f t="array" ref="S1336">+SUM(IFERROR(VALUE(Q1336:R1336),0))</f>
        <v>0</v>
      </c>
    </row>
    <row r="1337" spans="1:19">
      <c r="A1337" s="26"/>
      <c r="B1337" s="27"/>
      <c r="C1337" s="27"/>
      <c r="D1337" s="28"/>
      <c r="F1337" s="9" t="str">
        <f t="shared" si="180"/>
        <v/>
      </c>
      <c r="G1337" s="9">
        <f t="shared" si="181"/>
        <v>0</v>
      </c>
      <c r="H1337" s="9">
        <f t="shared" si="182"/>
        <v>0</v>
      </c>
      <c r="I1337" s="9">
        <f t="array" ref="I1337">+SUM(IFERROR(VALUE(G1337:H1337),0))</f>
        <v>0</v>
      </c>
      <c r="K1337" s="9" t="str">
        <f t="shared" si="183"/>
        <v/>
      </c>
      <c r="L1337" s="9">
        <f t="shared" si="184"/>
        <v>0</v>
      </c>
      <c r="M1337" s="9">
        <f t="shared" si="185"/>
        <v>0</v>
      </c>
      <c r="N1337" s="9">
        <f t="array" ref="N1337">+SUM(IFERROR(VALUE(L1337:M1337),0))</f>
        <v>0</v>
      </c>
      <c r="P1337" s="9" t="str">
        <f t="shared" si="186"/>
        <v/>
      </c>
      <c r="Q1337" s="9">
        <f t="shared" si="187"/>
        <v>0</v>
      </c>
      <c r="R1337" s="9">
        <f t="shared" si="188"/>
        <v>0</v>
      </c>
      <c r="S1337" s="9">
        <f t="array" ref="S1337">+SUM(IFERROR(VALUE(Q1337:R1337),0))</f>
        <v>0</v>
      </c>
    </row>
    <row r="1338" spans="1:19">
      <c r="A1338" s="26"/>
      <c r="B1338" s="27"/>
      <c r="C1338" s="27"/>
      <c r="D1338" s="28"/>
      <c r="F1338" s="9" t="str">
        <f t="shared" si="180"/>
        <v/>
      </c>
      <c r="G1338" s="9">
        <f t="shared" si="181"/>
        <v>0</v>
      </c>
      <c r="H1338" s="9">
        <f t="shared" si="182"/>
        <v>0</v>
      </c>
      <c r="I1338" s="9">
        <f t="array" ref="I1338">+SUM(IFERROR(VALUE(G1338:H1338),0))</f>
        <v>0</v>
      </c>
      <c r="K1338" s="9" t="str">
        <f t="shared" si="183"/>
        <v/>
      </c>
      <c r="L1338" s="9">
        <f t="shared" si="184"/>
        <v>0</v>
      </c>
      <c r="M1338" s="9">
        <f t="shared" si="185"/>
        <v>0</v>
      </c>
      <c r="N1338" s="9">
        <f t="array" ref="N1338">+SUM(IFERROR(VALUE(L1338:M1338),0))</f>
        <v>0</v>
      </c>
      <c r="P1338" s="9" t="str">
        <f t="shared" si="186"/>
        <v/>
      </c>
      <c r="Q1338" s="9">
        <f t="shared" si="187"/>
        <v>0</v>
      </c>
      <c r="R1338" s="9">
        <f t="shared" si="188"/>
        <v>0</v>
      </c>
      <c r="S1338" s="9">
        <f t="array" ref="S1338">+SUM(IFERROR(VALUE(Q1338:R1338),0))</f>
        <v>0</v>
      </c>
    </row>
    <row r="1339" spans="1:19">
      <c r="A1339" s="26"/>
      <c r="B1339" s="27"/>
      <c r="C1339" s="27"/>
      <c r="D1339" s="28"/>
      <c r="F1339" s="9" t="str">
        <f t="shared" si="180"/>
        <v/>
      </c>
      <c r="G1339" s="9">
        <f t="shared" si="181"/>
        <v>0</v>
      </c>
      <c r="H1339" s="9">
        <f t="shared" si="182"/>
        <v>0</v>
      </c>
      <c r="I1339" s="9">
        <f t="array" ref="I1339">+SUM(IFERROR(VALUE(G1339:H1339),0))</f>
        <v>0</v>
      </c>
      <c r="K1339" s="9" t="str">
        <f t="shared" si="183"/>
        <v/>
      </c>
      <c r="L1339" s="9">
        <f t="shared" si="184"/>
        <v>0</v>
      </c>
      <c r="M1339" s="9">
        <f t="shared" si="185"/>
        <v>0</v>
      </c>
      <c r="N1339" s="9">
        <f t="array" ref="N1339">+SUM(IFERROR(VALUE(L1339:M1339),0))</f>
        <v>0</v>
      </c>
      <c r="P1339" s="9" t="str">
        <f t="shared" si="186"/>
        <v/>
      </c>
      <c r="Q1339" s="9">
        <f t="shared" si="187"/>
        <v>0</v>
      </c>
      <c r="R1339" s="9">
        <f t="shared" si="188"/>
        <v>0</v>
      </c>
      <c r="S1339" s="9">
        <f t="array" ref="S1339">+SUM(IFERROR(VALUE(Q1339:R1339),0))</f>
        <v>0</v>
      </c>
    </row>
    <row r="1340" spans="1:19">
      <c r="A1340" s="26"/>
      <c r="B1340" s="27"/>
      <c r="C1340" s="27"/>
      <c r="D1340" s="28"/>
      <c r="F1340" s="9" t="str">
        <f t="shared" si="180"/>
        <v/>
      </c>
      <c r="G1340" s="9">
        <f t="shared" si="181"/>
        <v>0</v>
      </c>
      <c r="H1340" s="9">
        <f t="shared" si="182"/>
        <v>0</v>
      </c>
      <c r="I1340" s="9">
        <f t="array" ref="I1340">+SUM(IFERROR(VALUE(G1340:H1340),0))</f>
        <v>0</v>
      </c>
      <c r="K1340" s="9" t="str">
        <f t="shared" si="183"/>
        <v/>
      </c>
      <c r="L1340" s="9">
        <f t="shared" si="184"/>
        <v>0</v>
      </c>
      <c r="M1340" s="9">
        <f t="shared" si="185"/>
        <v>0</v>
      </c>
      <c r="N1340" s="9">
        <f t="array" ref="N1340">+SUM(IFERROR(VALUE(L1340:M1340),0))</f>
        <v>0</v>
      </c>
      <c r="P1340" s="9" t="str">
        <f t="shared" si="186"/>
        <v/>
      </c>
      <c r="Q1340" s="9">
        <f t="shared" si="187"/>
        <v>0</v>
      </c>
      <c r="R1340" s="9">
        <f t="shared" si="188"/>
        <v>0</v>
      </c>
      <c r="S1340" s="9">
        <f t="array" ref="S1340">+SUM(IFERROR(VALUE(Q1340:R1340),0))</f>
        <v>0</v>
      </c>
    </row>
    <row r="1341" spans="1:19">
      <c r="A1341" s="26"/>
      <c r="B1341" s="27"/>
      <c r="C1341" s="27"/>
      <c r="D1341" s="28"/>
      <c r="F1341" s="9" t="str">
        <f t="shared" si="180"/>
        <v/>
      </c>
      <c r="G1341" s="9">
        <f t="shared" si="181"/>
        <v>0</v>
      </c>
      <c r="H1341" s="9">
        <f t="shared" si="182"/>
        <v>0</v>
      </c>
      <c r="I1341" s="9">
        <f t="array" ref="I1341">+SUM(IFERROR(VALUE(G1341:H1341),0))</f>
        <v>0</v>
      </c>
      <c r="K1341" s="9" t="str">
        <f t="shared" si="183"/>
        <v/>
      </c>
      <c r="L1341" s="9">
        <f t="shared" si="184"/>
        <v>0</v>
      </c>
      <c r="M1341" s="9">
        <f t="shared" si="185"/>
        <v>0</v>
      </c>
      <c r="N1341" s="9">
        <f t="array" ref="N1341">+SUM(IFERROR(VALUE(L1341:M1341),0))</f>
        <v>0</v>
      </c>
      <c r="P1341" s="9" t="str">
        <f t="shared" si="186"/>
        <v/>
      </c>
      <c r="Q1341" s="9">
        <f t="shared" si="187"/>
        <v>0</v>
      </c>
      <c r="R1341" s="9">
        <f t="shared" si="188"/>
        <v>0</v>
      </c>
      <c r="S1341" s="9">
        <f t="array" ref="S1341">+SUM(IFERROR(VALUE(Q1341:R1341),0))</f>
        <v>0</v>
      </c>
    </row>
    <row r="1342" spans="1:19">
      <c r="A1342" s="26"/>
      <c r="B1342" s="27"/>
      <c r="C1342" s="27"/>
      <c r="D1342" s="28"/>
      <c r="F1342" s="9" t="str">
        <f t="shared" si="180"/>
        <v/>
      </c>
      <c r="G1342" s="9">
        <f t="shared" si="181"/>
        <v>0</v>
      </c>
      <c r="H1342" s="9">
        <f t="shared" si="182"/>
        <v>0</v>
      </c>
      <c r="I1342" s="9">
        <f t="array" ref="I1342">+SUM(IFERROR(VALUE(G1342:H1342),0))</f>
        <v>0</v>
      </c>
      <c r="K1342" s="9" t="str">
        <f t="shared" si="183"/>
        <v/>
      </c>
      <c r="L1342" s="9">
        <f t="shared" si="184"/>
        <v>0</v>
      </c>
      <c r="M1342" s="9">
        <f t="shared" si="185"/>
        <v>0</v>
      </c>
      <c r="N1342" s="9">
        <f t="array" ref="N1342">+SUM(IFERROR(VALUE(L1342:M1342),0))</f>
        <v>0</v>
      </c>
      <c r="P1342" s="9" t="str">
        <f t="shared" si="186"/>
        <v/>
      </c>
      <c r="Q1342" s="9">
        <f t="shared" si="187"/>
        <v>0</v>
      </c>
      <c r="R1342" s="9">
        <f t="shared" si="188"/>
        <v>0</v>
      </c>
      <c r="S1342" s="9">
        <f t="array" ref="S1342">+SUM(IFERROR(VALUE(Q1342:R1342),0))</f>
        <v>0</v>
      </c>
    </row>
    <row r="1343" spans="1:19">
      <c r="A1343" s="26"/>
      <c r="B1343" s="27"/>
      <c r="C1343" s="27"/>
      <c r="D1343" s="28"/>
      <c r="F1343" s="9" t="str">
        <f t="shared" si="180"/>
        <v/>
      </c>
      <c r="G1343" s="9">
        <f t="shared" si="181"/>
        <v>0</v>
      </c>
      <c r="H1343" s="9">
        <f t="shared" si="182"/>
        <v>0</v>
      </c>
      <c r="I1343" s="9">
        <f t="array" ref="I1343">+SUM(IFERROR(VALUE(G1343:H1343),0))</f>
        <v>0</v>
      </c>
      <c r="K1343" s="9" t="str">
        <f t="shared" si="183"/>
        <v/>
      </c>
      <c r="L1343" s="9">
        <f t="shared" si="184"/>
        <v>0</v>
      </c>
      <c r="M1343" s="9">
        <f t="shared" si="185"/>
        <v>0</v>
      </c>
      <c r="N1343" s="9">
        <f t="array" ref="N1343">+SUM(IFERROR(VALUE(L1343:M1343),0))</f>
        <v>0</v>
      </c>
      <c r="P1343" s="9" t="str">
        <f t="shared" si="186"/>
        <v/>
      </c>
      <c r="Q1343" s="9">
        <f t="shared" si="187"/>
        <v>0</v>
      </c>
      <c r="R1343" s="9">
        <f t="shared" si="188"/>
        <v>0</v>
      </c>
      <c r="S1343" s="9">
        <f t="array" ref="S1343">+SUM(IFERROR(VALUE(Q1343:R1343),0))</f>
        <v>0</v>
      </c>
    </row>
    <row r="1344" spans="1:19">
      <c r="A1344" s="26"/>
      <c r="B1344" s="27"/>
      <c r="C1344" s="27"/>
      <c r="D1344" s="28"/>
      <c r="F1344" s="9" t="str">
        <f t="shared" si="180"/>
        <v/>
      </c>
      <c r="G1344" s="9">
        <f t="shared" si="181"/>
        <v>0</v>
      </c>
      <c r="H1344" s="9">
        <f t="shared" si="182"/>
        <v>0</v>
      </c>
      <c r="I1344" s="9">
        <f t="array" ref="I1344">+SUM(IFERROR(VALUE(G1344:H1344),0))</f>
        <v>0</v>
      </c>
      <c r="K1344" s="9" t="str">
        <f t="shared" si="183"/>
        <v/>
      </c>
      <c r="L1344" s="9">
        <f t="shared" si="184"/>
        <v>0</v>
      </c>
      <c r="M1344" s="9">
        <f t="shared" si="185"/>
        <v>0</v>
      </c>
      <c r="N1344" s="9">
        <f t="array" ref="N1344">+SUM(IFERROR(VALUE(L1344:M1344),0))</f>
        <v>0</v>
      </c>
      <c r="P1344" s="9" t="str">
        <f t="shared" si="186"/>
        <v/>
      </c>
      <c r="Q1344" s="9">
        <f t="shared" si="187"/>
        <v>0</v>
      </c>
      <c r="R1344" s="9">
        <f t="shared" si="188"/>
        <v>0</v>
      </c>
      <c r="S1344" s="9">
        <f t="array" ref="S1344">+SUM(IFERROR(VALUE(Q1344:R1344),0))</f>
        <v>0</v>
      </c>
    </row>
    <row r="1345" spans="1:19">
      <c r="A1345" s="26"/>
      <c r="B1345" s="27"/>
      <c r="C1345" s="27"/>
      <c r="D1345" s="28"/>
      <c r="F1345" s="9" t="str">
        <f t="shared" si="180"/>
        <v/>
      </c>
      <c r="G1345" s="9">
        <f t="shared" si="181"/>
        <v>0</v>
      </c>
      <c r="H1345" s="9">
        <f t="shared" si="182"/>
        <v>0</v>
      </c>
      <c r="I1345" s="9">
        <f t="array" ref="I1345">+SUM(IFERROR(VALUE(G1345:H1345),0))</f>
        <v>0</v>
      </c>
      <c r="K1345" s="9" t="str">
        <f t="shared" si="183"/>
        <v/>
      </c>
      <c r="L1345" s="9">
        <f t="shared" si="184"/>
        <v>0</v>
      </c>
      <c r="M1345" s="9">
        <f t="shared" si="185"/>
        <v>0</v>
      </c>
      <c r="N1345" s="9">
        <f t="array" ref="N1345">+SUM(IFERROR(VALUE(L1345:M1345),0))</f>
        <v>0</v>
      </c>
      <c r="P1345" s="9" t="str">
        <f t="shared" si="186"/>
        <v/>
      </c>
      <c r="Q1345" s="9">
        <f t="shared" si="187"/>
        <v>0</v>
      </c>
      <c r="R1345" s="9">
        <f t="shared" si="188"/>
        <v>0</v>
      </c>
      <c r="S1345" s="9">
        <f t="array" ref="S1345">+SUM(IFERROR(VALUE(Q1345:R1345),0))</f>
        <v>0</v>
      </c>
    </row>
    <row r="1346" spans="1:19">
      <c r="A1346" s="26"/>
      <c r="B1346" s="27"/>
      <c r="C1346" s="27"/>
      <c r="D1346" s="28"/>
      <c r="F1346" s="9" t="str">
        <f t="shared" si="180"/>
        <v/>
      </c>
      <c r="G1346" s="9">
        <f t="shared" si="181"/>
        <v>0</v>
      </c>
      <c r="H1346" s="9">
        <f t="shared" si="182"/>
        <v>0</v>
      </c>
      <c r="I1346" s="9">
        <f t="array" ref="I1346">+SUM(IFERROR(VALUE(G1346:H1346),0))</f>
        <v>0</v>
      </c>
      <c r="K1346" s="9" t="str">
        <f t="shared" si="183"/>
        <v/>
      </c>
      <c r="L1346" s="9">
        <f t="shared" si="184"/>
        <v>0</v>
      </c>
      <c r="M1346" s="9">
        <f t="shared" si="185"/>
        <v>0</v>
      </c>
      <c r="N1346" s="9">
        <f t="array" ref="N1346">+SUM(IFERROR(VALUE(L1346:M1346),0))</f>
        <v>0</v>
      </c>
      <c r="P1346" s="9" t="str">
        <f t="shared" si="186"/>
        <v/>
      </c>
      <c r="Q1346" s="9">
        <f t="shared" si="187"/>
        <v>0</v>
      </c>
      <c r="R1346" s="9">
        <f t="shared" si="188"/>
        <v>0</v>
      </c>
      <c r="S1346" s="9">
        <f t="array" ref="S1346">+SUM(IFERROR(VALUE(Q1346:R1346),0))</f>
        <v>0</v>
      </c>
    </row>
    <row r="1347" spans="1:19">
      <c r="A1347" s="26"/>
      <c r="B1347" s="27"/>
      <c r="C1347" s="27"/>
      <c r="D1347" s="28"/>
      <c r="F1347" s="9" t="str">
        <f t="shared" si="180"/>
        <v/>
      </c>
      <c r="G1347" s="9">
        <f t="shared" si="181"/>
        <v>0</v>
      </c>
      <c r="H1347" s="9">
        <f t="shared" si="182"/>
        <v>0</v>
      </c>
      <c r="I1347" s="9">
        <f t="array" ref="I1347">+SUM(IFERROR(VALUE(G1347:H1347),0))</f>
        <v>0</v>
      </c>
      <c r="K1347" s="9" t="str">
        <f t="shared" si="183"/>
        <v/>
      </c>
      <c r="L1347" s="9">
        <f t="shared" si="184"/>
        <v>0</v>
      </c>
      <c r="M1347" s="9">
        <f t="shared" si="185"/>
        <v>0</v>
      </c>
      <c r="N1347" s="9">
        <f t="array" ref="N1347">+SUM(IFERROR(VALUE(L1347:M1347),0))</f>
        <v>0</v>
      </c>
      <c r="P1347" s="9" t="str">
        <f t="shared" si="186"/>
        <v/>
      </c>
      <c r="Q1347" s="9">
        <f t="shared" si="187"/>
        <v>0</v>
      </c>
      <c r="R1347" s="9">
        <f t="shared" si="188"/>
        <v>0</v>
      </c>
      <c r="S1347" s="9">
        <f t="array" ref="S1347">+SUM(IFERROR(VALUE(Q1347:R1347),0))</f>
        <v>0</v>
      </c>
    </row>
    <row r="1348" spans="1:19">
      <c r="A1348" s="26"/>
      <c r="B1348" s="27"/>
      <c r="C1348" s="27"/>
      <c r="D1348" s="28"/>
      <c r="F1348" s="9" t="str">
        <f t="shared" si="180"/>
        <v/>
      </c>
      <c r="G1348" s="9">
        <f t="shared" si="181"/>
        <v>0</v>
      </c>
      <c r="H1348" s="9">
        <f t="shared" si="182"/>
        <v>0</v>
      </c>
      <c r="I1348" s="9">
        <f t="array" ref="I1348">+SUM(IFERROR(VALUE(G1348:H1348),0))</f>
        <v>0</v>
      </c>
      <c r="K1348" s="9" t="str">
        <f t="shared" si="183"/>
        <v/>
      </c>
      <c r="L1348" s="9">
        <f t="shared" si="184"/>
        <v>0</v>
      </c>
      <c r="M1348" s="9">
        <f t="shared" si="185"/>
        <v>0</v>
      </c>
      <c r="N1348" s="9">
        <f t="array" ref="N1348">+SUM(IFERROR(VALUE(L1348:M1348),0))</f>
        <v>0</v>
      </c>
      <c r="P1348" s="9" t="str">
        <f t="shared" si="186"/>
        <v/>
      </c>
      <c r="Q1348" s="9">
        <f t="shared" si="187"/>
        <v>0</v>
      </c>
      <c r="R1348" s="9">
        <f t="shared" si="188"/>
        <v>0</v>
      </c>
      <c r="S1348" s="9">
        <f t="array" ref="S1348">+SUM(IFERROR(VALUE(Q1348:R1348),0))</f>
        <v>0</v>
      </c>
    </row>
    <row r="1349" spans="1:19">
      <c r="A1349" s="26"/>
      <c r="B1349" s="27"/>
      <c r="C1349" s="27"/>
      <c r="D1349" s="28"/>
      <c r="F1349" s="9" t="str">
        <f t="shared" si="180"/>
        <v/>
      </c>
      <c r="G1349" s="9">
        <f t="shared" si="181"/>
        <v>0</v>
      </c>
      <c r="H1349" s="9">
        <f t="shared" si="182"/>
        <v>0</v>
      </c>
      <c r="I1349" s="9">
        <f t="array" ref="I1349">+SUM(IFERROR(VALUE(G1349:H1349),0))</f>
        <v>0</v>
      </c>
      <c r="K1349" s="9" t="str">
        <f t="shared" si="183"/>
        <v/>
      </c>
      <c r="L1349" s="9">
        <f t="shared" si="184"/>
        <v>0</v>
      </c>
      <c r="M1349" s="9">
        <f t="shared" si="185"/>
        <v>0</v>
      </c>
      <c r="N1349" s="9">
        <f t="array" ref="N1349">+SUM(IFERROR(VALUE(L1349:M1349),0))</f>
        <v>0</v>
      </c>
      <c r="P1349" s="9" t="str">
        <f t="shared" si="186"/>
        <v/>
      </c>
      <c r="Q1349" s="9">
        <f t="shared" si="187"/>
        <v>0</v>
      </c>
      <c r="R1349" s="9">
        <f t="shared" si="188"/>
        <v>0</v>
      </c>
      <c r="S1349" s="9">
        <f t="array" ref="S1349">+SUM(IFERROR(VALUE(Q1349:R1349),0))</f>
        <v>0</v>
      </c>
    </row>
    <row r="1350" spans="1:19">
      <c r="A1350" s="26"/>
      <c r="B1350" s="27"/>
      <c r="C1350" s="27"/>
      <c r="D1350" s="28"/>
      <c r="F1350" s="9" t="str">
        <f t="shared" ref="F1350:F1413" si="189">+LEFT(A1350,4)</f>
        <v/>
      </c>
      <c r="G1350" s="9">
        <f t="shared" ref="G1350:G1413" si="190">+C1350</f>
        <v>0</v>
      </c>
      <c r="H1350" s="9">
        <f t="shared" ref="H1350:H1413" si="191">-D1350</f>
        <v>0</v>
      </c>
      <c r="I1350" s="9">
        <f t="array" ref="I1350">+SUM(IFERROR(VALUE(G1350:H1350),0))</f>
        <v>0</v>
      </c>
      <c r="K1350" s="9" t="str">
        <f t="shared" ref="K1350:K1413" si="192">+LEFT(A1350,3)</f>
        <v/>
      </c>
      <c r="L1350" s="9">
        <f t="shared" ref="L1350:L1413" si="193">+C1350</f>
        <v>0</v>
      </c>
      <c r="M1350" s="9">
        <f t="shared" ref="M1350:M1413" si="194">-D1350</f>
        <v>0</v>
      </c>
      <c r="N1350" s="9">
        <f t="array" ref="N1350">+SUM(IFERROR(VALUE(L1350:M1350),0))</f>
        <v>0</v>
      </c>
      <c r="P1350" s="9" t="str">
        <f t="shared" ref="P1350:P1413" si="195">+LEFT(A1350,2)</f>
        <v/>
      </c>
      <c r="Q1350" s="9">
        <f t="shared" ref="Q1350:Q1413" si="196">+C1350</f>
        <v>0</v>
      </c>
      <c r="R1350" s="9">
        <f t="shared" ref="R1350:R1413" si="197">-D1350</f>
        <v>0</v>
      </c>
      <c r="S1350" s="9">
        <f t="array" ref="S1350">+SUM(IFERROR(VALUE(Q1350:R1350),0))</f>
        <v>0</v>
      </c>
    </row>
    <row r="1351" spans="1:19">
      <c r="A1351" s="26"/>
      <c r="B1351" s="27"/>
      <c r="C1351" s="27"/>
      <c r="D1351" s="28"/>
      <c r="F1351" s="9" t="str">
        <f t="shared" si="189"/>
        <v/>
      </c>
      <c r="G1351" s="9">
        <f t="shared" si="190"/>
        <v>0</v>
      </c>
      <c r="H1351" s="9">
        <f t="shared" si="191"/>
        <v>0</v>
      </c>
      <c r="I1351" s="9">
        <f t="array" ref="I1351">+SUM(IFERROR(VALUE(G1351:H1351),0))</f>
        <v>0</v>
      </c>
      <c r="K1351" s="9" t="str">
        <f t="shared" si="192"/>
        <v/>
      </c>
      <c r="L1351" s="9">
        <f t="shared" si="193"/>
        <v>0</v>
      </c>
      <c r="M1351" s="9">
        <f t="shared" si="194"/>
        <v>0</v>
      </c>
      <c r="N1351" s="9">
        <f t="array" ref="N1351">+SUM(IFERROR(VALUE(L1351:M1351),0))</f>
        <v>0</v>
      </c>
      <c r="P1351" s="9" t="str">
        <f t="shared" si="195"/>
        <v/>
      </c>
      <c r="Q1351" s="9">
        <f t="shared" si="196"/>
        <v>0</v>
      </c>
      <c r="R1351" s="9">
        <f t="shared" si="197"/>
        <v>0</v>
      </c>
      <c r="S1351" s="9">
        <f t="array" ref="S1351">+SUM(IFERROR(VALUE(Q1351:R1351),0))</f>
        <v>0</v>
      </c>
    </row>
    <row r="1352" spans="1:19">
      <c r="A1352" s="26"/>
      <c r="B1352" s="27"/>
      <c r="C1352" s="27"/>
      <c r="D1352" s="28"/>
      <c r="F1352" s="9" t="str">
        <f t="shared" si="189"/>
        <v/>
      </c>
      <c r="G1352" s="9">
        <f t="shared" si="190"/>
        <v>0</v>
      </c>
      <c r="H1352" s="9">
        <f t="shared" si="191"/>
        <v>0</v>
      </c>
      <c r="I1352" s="9">
        <f t="array" ref="I1352">+SUM(IFERROR(VALUE(G1352:H1352),0))</f>
        <v>0</v>
      </c>
      <c r="K1352" s="9" t="str">
        <f t="shared" si="192"/>
        <v/>
      </c>
      <c r="L1352" s="9">
        <f t="shared" si="193"/>
        <v>0</v>
      </c>
      <c r="M1352" s="9">
        <f t="shared" si="194"/>
        <v>0</v>
      </c>
      <c r="N1352" s="9">
        <f t="array" ref="N1352">+SUM(IFERROR(VALUE(L1352:M1352),0))</f>
        <v>0</v>
      </c>
      <c r="P1352" s="9" t="str">
        <f t="shared" si="195"/>
        <v/>
      </c>
      <c r="Q1352" s="9">
        <f t="shared" si="196"/>
        <v>0</v>
      </c>
      <c r="R1352" s="9">
        <f t="shared" si="197"/>
        <v>0</v>
      </c>
      <c r="S1352" s="9">
        <f t="array" ref="S1352">+SUM(IFERROR(VALUE(Q1352:R1352),0))</f>
        <v>0</v>
      </c>
    </row>
    <row r="1353" spans="1:19">
      <c r="A1353" s="26"/>
      <c r="B1353" s="27"/>
      <c r="C1353" s="27"/>
      <c r="D1353" s="28"/>
      <c r="F1353" s="9" t="str">
        <f t="shared" si="189"/>
        <v/>
      </c>
      <c r="G1353" s="9">
        <f t="shared" si="190"/>
        <v>0</v>
      </c>
      <c r="H1353" s="9">
        <f t="shared" si="191"/>
        <v>0</v>
      </c>
      <c r="I1353" s="9">
        <f t="array" ref="I1353">+SUM(IFERROR(VALUE(G1353:H1353),0))</f>
        <v>0</v>
      </c>
      <c r="K1353" s="9" t="str">
        <f t="shared" si="192"/>
        <v/>
      </c>
      <c r="L1353" s="9">
        <f t="shared" si="193"/>
        <v>0</v>
      </c>
      <c r="M1353" s="9">
        <f t="shared" si="194"/>
        <v>0</v>
      </c>
      <c r="N1353" s="9">
        <f t="array" ref="N1353">+SUM(IFERROR(VALUE(L1353:M1353),0))</f>
        <v>0</v>
      </c>
      <c r="P1353" s="9" t="str">
        <f t="shared" si="195"/>
        <v/>
      </c>
      <c r="Q1353" s="9">
        <f t="shared" si="196"/>
        <v>0</v>
      </c>
      <c r="R1353" s="9">
        <f t="shared" si="197"/>
        <v>0</v>
      </c>
      <c r="S1353" s="9">
        <f t="array" ref="S1353">+SUM(IFERROR(VALUE(Q1353:R1353),0))</f>
        <v>0</v>
      </c>
    </row>
    <row r="1354" spans="1:19">
      <c r="A1354" s="26"/>
      <c r="B1354" s="27"/>
      <c r="C1354" s="27"/>
      <c r="D1354" s="28"/>
      <c r="F1354" s="9" t="str">
        <f t="shared" si="189"/>
        <v/>
      </c>
      <c r="G1354" s="9">
        <f t="shared" si="190"/>
        <v>0</v>
      </c>
      <c r="H1354" s="9">
        <f t="shared" si="191"/>
        <v>0</v>
      </c>
      <c r="I1354" s="9">
        <f t="array" ref="I1354">+SUM(IFERROR(VALUE(G1354:H1354),0))</f>
        <v>0</v>
      </c>
      <c r="K1354" s="9" t="str">
        <f t="shared" si="192"/>
        <v/>
      </c>
      <c r="L1354" s="9">
        <f t="shared" si="193"/>
        <v>0</v>
      </c>
      <c r="M1354" s="9">
        <f t="shared" si="194"/>
        <v>0</v>
      </c>
      <c r="N1354" s="9">
        <f t="array" ref="N1354">+SUM(IFERROR(VALUE(L1354:M1354),0))</f>
        <v>0</v>
      </c>
      <c r="P1354" s="9" t="str">
        <f t="shared" si="195"/>
        <v/>
      </c>
      <c r="Q1354" s="9">
        <f t="shared" si="196"/>
        <v>0</v>
      </c>
      <c r="R1354" s="9">
        <f t="shared" si="197"/>
        <v>0</v>
      </c>
      <c r="S1354" s="9">
        <f t="array" ref="S1354">+SUM(IFERROR(VALUE(Q1354:R1354),0))</f>
        <v>0</v>
      </c>
    </row>
    <row r="1355" spans="1:19">
      <c r="A1355" s="26"/>
      <c r="B1355" s="27"/>
      <c r="C1355" s="27"/>
      <c r="D1355" s="28"/>
      <c r="F1355" s="9" t="str">
        <f t="shared" si="189"/>
        <v/>
      </c>
      <c r="G1355" s="9">
        <f t="shared" si="190"/>
        <v>0</v>
      </c>
      <c r="H1355" s="9">
        <f t="shared" si="191"/>
        <v>0</v>
      </c>
      <c r="I1355" s="9">
        <f t="array" ref="I1355">+SUM(IFERROR(VALUE(G1355:H1355),0))</f>
        <v>0</v>
      </c>
      <c r="K1355" s="9" t="str">
        <f t="shared" si="192"/>
        <v/>
      </c>
      <c r="L1355" s="9">
        <f t="shared" si="193"/>
        <v>0</v>
      </c>
      <c r="M1355" s="9">
        <f t="shared" si="194"/>
        <v>0</v>
      </c>
      <c r="N1355" s="9">
        <f t="array" ref="N1355">+SUM(IFERROR(VALUE(L1355:M1355),0))</f>
        <v>0</v>
      </c>
      <c r="P1355" s="9" t="str">
        <f t="shared" si="195"/>
        <v/>
      </c>
      <c r="Q1355" s="9">
        <f t="shared" si="196"/>
        <v>0</v>
      </c>
      <c r="R1355" s="9">
        <f t="shared" si="197"/>
        <v>0</v>
      </c>
      <c r="S1355" s="9">
        <f t="array" ref="S1355">+SUM(IFERROR(VALUE(Q1355:R1355),0))</f>
        <v>0</v>
      </c>
    </row>
    <row r="1356" spans="1:19">
      <c r="A1356" s="26"/>
      <c r="B1356" s="27"/>
      <c r="C1356" s="27"/>
      <c r="D1356" s="28"/>
      <c r="F1356" s="9" t="str">
        <f t="shared" si="189"/>
        <v/>
      </c>
      <c r="G1356" s="9">
        <f t="shared" si="190"/>
        <v>0</v>
      </c>
      <c r="H1356" s="9">
        <f t="shared" si="191"/>
        <v>0</v>
      </c>
      <c r="I1356" s="9">
        <f t="array" ref="I1356">+SUM(IFERROR(VALUE(G1356:H1356),0))</f>
        <v>0</v>
      </c>
      <c r="K1356" s="9" t="str">
        <f t="shared" si="192"/>
        <v/>
      </c>
      <c r="L1356" s="9">
        <f t="shared" si="193"/>
        <v>0</v>
      </c>
      <c r="M1356" s="9">
        <f t="shared" si="194"/>
        <v>0</v>
      </c>
      <c r="N1356" s="9">
        <f t="array" ref="N1356">+SUM(IFERROR(VALUE(L1356:M1356),0))</f>
        <v>0</v>
      </c>
      <c r="P1356" s="9" t="str">
        <f t="shared" si="195"/>
        <v/>
      </c>
      <c r="Q1356" s="9">
        <f t="shared" si="196"/>
        <v>0</v>
      </c>
      <c r="R1356" s="9">
        <f t="shared" si="197"/>
        <v>0</v>
      </c>
      <c r="S1356" s="9">
        <f t="array" ref="S1356">+SUM(IFERROR(VALUE(Q1356:R1356),0))</f>
        <v>0</v>
      </c>
    </row>
    <row r="1357" spans="1:19">
      <c r="A1357" s="26"/>
      <c r="B1357" s="27"/>
      <c r="C1357" s="27"/>
      <c r="D1357" s="28"/>
      <c r="F1357" s="9" t="str">
        <f t="shared" si="189"/>
        <v/>
      </c>
      <c r="G1357" s="9">
        <f t="shared" si="190"/>
        <v>0</v>
      </c>
      <c r="H1357" s="9">
        <f t="shared" si="191"/>
        <v>0</v>
      </c>
      <c r="I1357" s="9">
        <f t="array" ref="I1357">+SUM(IFERROR(VALUE(G1357:H1357),0))</f>
        <v>0</v>
      </c>
      <c r="K1357" s="9" t="str">
        <f t="shared" si="192"/>
        <v/>
      </c>
      <c r="L1357" s="9">
        <f t="shared" si="193"/>
        <v>0</v>
      </c>
      <c r="M1357" s="9">
        <f t="shared" si="194"/>
        <v>0</v>
      </c>
      <c r="N1357" s="9">
        <f t="array" ref="N1357">+SUM(IFERROR(VALUE(L1357:M1357),0))</f>
        <v>0</v>
      </c>
      <c r="P1357" s="9" t="str">
        <f t="shared" si="195"/>
        <v/>
      </c>
      <c r="Q1357" s="9">
        <f t="shared" si="196"/>
        <v>0</v>
      </c>
      <c r="R1357" s="9">
        <f t="shared" si="197"/>
        <v>0</v>
      </c>
      <c r="S1357" s="9">
        <f t="array" ref="S1357">+SUM(IFERROR(VALUE(Q1357:R1357),0))</f>
        <v>0</v>
      </c>
    </row>
    <row r="1358" spans="1:19">
      <c r="A1358" s="26"/>
      <c r="B1358" s="27"/>
      <c r="C1358" s="27"/>
      <c r="D1358" s="28"/>
      <c r="F1358" s="9" t="str">
        <f t="shared" si="189"/>
        <v/>
      </c>
      <c r="G1358" s="9">
        <f t="shared" si="190"/>
        <v>0</v>
      </c>
      <c r="H1358" s="9">
        <f t="shared" si="191"/>
        <v>0</v>
      </c>
      <c r="I1358" s="9">
        <f t="array" ref="I1358">+SUM(IFERROR(VALUE(G1358:H1358),0))</f>
        <v>0</v>
      </c>
      <c r="K1358" s="9" t="str">
        <f t="shared" si="192"/>
        <v/>
      </c>
      <c r="L1358" s="9">
        <f t="shared" si="193"/>
        <v>0</v>
      </c>
      <c r="M1358" s="9">
        <f t="shared" si="194"/>
        <v>0</v>
      </c>
      <c r="N1358" s="9">
        <f t="array" ref="N1358">+SUM(IFERROR(VALUE(L1358:M1358),0))</f>
        <v>0</v>
      </c>
      <c r="P1358" s="9" t="str">
        <f t="shared" si="195"/>
        <v/>
      </c>
      <c r="Q1358" s="9">
        <f t="shared" si="196"/>
        <v>0</v>
      </c>
      <c r="R1358" s="9">
        <f t="shared" si="197"/>
        <v>0</v>
      </c>
      <c r="S1358" s="9">
        <f t="array" ref="S1358">+SUM(IFERROR(VALUE(Q1358:R1358),0))</f>
        <v>0</v>
      </c>
    </row>
    <row r="1359" spans="1:19">
      <c r="A1359" s="26"/>
      <c r="B1359" s="27"/>
      <c r="C1359" s="27"/>
      <c r="D1359" s="28"/>
      <c r="F1359" s="9" t="str">
        <f t="shared" si="189"/>
        <v/>
      </c>
      <c r="G1359" s="9">
        <f t="shared" si="190"/>
        <v>0</v>
      </c>
      <c r="H1359" s="9">
        <f t="shared" si="191"/>
        <v>0</v>
      </c>
      <c r="I1359" s="9">
        <f t="array" ref="I1359">+SUM(IFERROR(VALUE(G1359:H1359),0))</f>
        <v>0</v>
      </c>
      <c r="K1359" s="9" t="str">
        <f t="shared" si="192"/>
        <v/>
      </c>
      <c r="L1359" s="9">
        <f t="shared" si="193"/>
        <v>0</v>
      </c>
      <c r="M1359" s="9">
        <f t="shared" si="194"/>
        <v>0</v>
      </c>
      <c r="N1359" s="9">
        <f t="array" ref="N1359">+SUM(IFERROR(VALUE(L1359:M1359),0))</f>
        <v>0</v>
      </c>
      <c r="P1359" s="9" t="str">
        <f t="shared" si="195"/>
        <v/>
      </c>
      <c r="Q1359" s="9">
        <f t="shared" si="196"/>
        <v>0</v>
      </c>
      <c r="R1359" s="9">
        <f t="shared" si="197"/>
        <v>0</v>
      </c>
      <c r="S1359" s="9">
        <f t="array" ref="S1359">+SUM(IFERROR(VALUE(Q1359:R1359),0))</f>
        <v>0</v>
      </c>
    </row>
    <row r="1360" spans="1:19">
      <c r="A1360" s="26"/>
      <c r="B1360" s="27"/>
      <c r="C1360" s="27"/>
      <c r="D1360" s="28"/>
      <c r="F1360" s="9" t="str">
        <f t="shared" si="189"/>
        <v/>
      </c>
      <c r="G1360" s="9">
        <f t="shared" si="190"/>
        <v>0</v>
      </c>
      <c r="H1360" s="9">
        <f t="shared" si="191"/>
        <v>0</v>
      </c>
      <c r="I1360" s="9">
        <f t="array" ref="I1360">+SUM(IFERROR(VALUE(G1360:H1360),0))</f>
        <v>0</v>
      </c>
      <c r="K1360" s="9" t="str">
        <f t="shared" si="192"/>
        <v/>
      </c>
      <c r="L1360" s="9">
        <f t="shared" si="193"/>
        <v>0</v>
      </c>
      <c r="M1360" s="9">
        <f t="shared" si="194"/>
        <v>0</v>
      </c>
      <c r="N1360" s="9">
        <f t="array" ref="N1360">+SUM(IFERROR(VALUE(L1360:M1360),0))</f>
        <v>0</v>
      </c>
      <c r="P1360" s="9" t="str">
        <f t="shared" si="195"/>
        <v/>
      </c>
      <c r="Q1360" s="9">
        <f t="shared" si="196"/>
        <v>0</v>
      </c>
      <c r="R1360" s="9">
        <f t="shared" si="197"/>
        <v>0</v>
      </c>
      <c r="S1360" s="9">
        <f t="array" ref="S1360">+SUM(IFERROR(VALUE(Q1360:R1360),0))</f>
        <v>0</v>
      </c>
    </row>
    <row r="1361" spans="1:19">
      <c r="A1361" s="26"/>
      <c r="B1361" s="27"/>
      <c r="C1361" s="27"/>
      <c r="D1361" s="28"/>
      <c r="F1361" s="9" t="str">
        <f t="shared" si="189"/>
        <v/>
      </c>
      <c r="G1361" s="9">
        <f t="shared" si="190"/>
        <v>0</v>
      </c>
      <c r="H1361" s="9">
        <f t="shared" si="191"/>
        <v>0</v>
      </c>
      <c r="I1361" s="9">
        <f t="array" ref="I1361">+SUM(IFERROR(VALUE(G1361:H1361),0))</f>
        <v>0</v>
      </c>
      <c r="K1361" s="9" t="str">
        <f t="shared" si="192"/>
        <v/>
      </c>
      <c r="L1361" s="9">
        <f t="shared" si="193"/>
        <v>0</v>
      </c>
      <c r="M1361" s="9">
        <f t="shared" si="194"/>
        <v>0</v>
      </c>
      <c r="N1361" s="9">
        <f t="array" ref="N1361">+SUM(IFERROR(VALUE(L1361:M1361),0))</f>
        <v>0</v>
      </c>
      <c r="P1361" s="9" t="str">
        <f t="shared" si="195"/>
        <v/>
      </c>
      <c r="Q1361" s="9">
        <f t="shared" si="196"/>
        <v>0</v>
      </c>
      <c r="R1361" s="9">
        <f t="shared" si="197"/>
        <v>0</v>
      </c>
      <c r="S1361" s="9">
        <f t="array" ref="S1361">+SUM(IFERROR(VALUE(Q1361:R1361),0))</f>
        <v>0</v>
      </c>
    </row>
    <row r="1362" spans="1:19">
      <c r="A1362" s="26"/>
      <c r="B1362" s="27"/>
      <c r="C1362" s="27"/>
      <c r="D1362" s="28"/>
      <c r="F1362" s="9" t="str">
        <f t="shared" si="189"/>
        <v/>
      </c>
      <c r="G1362" s="9">
        <f t="shared" si="190"/>
        <v>0</v>
      </c>
      <c r="H1362" s="9">
        <f t="shared" si="191"/>
        <v>0</v>
      </c>
      <c r="I1362" s="9">
        <f t="array" ref="I1362">+SUM(IFERROR(VALUE(G1362:H1362),0))</f>
        <v>0</v>
      </c>
      <c r="K1362" s="9" t="str">
        <f t="shared" si="192"/>
        <v/>
      </c>
      <c r="L1362" s="9">
        <f t="shared" si="193"/>
        <v>0</v>
      </c>
      <c r="M1362" s="9">
        <f t="shared" si="194"/>
        <v>0</v>
      </c>
      <c r="N1362" s="9">
        <f t="array" ref="N1362">+SUM(IFERROR(VALUE(L1362:M1362),0))</f>
        <v>0</v>
      </c>
      <c r="P1362" s="9" t="str">
        <f t="shared" si="195"/>
        <v/>
      </c>
      <c r="Q1362" s="9">
        <f t="shared" si="196"/>
        <v>0</v>
      </c>
      <c r="R1362" s="9">
        <f t="shared" si="197"/>
        <v>0</v>
      </c>
      <c r="S1362" s="9">
        <f t="array" ref="S1362">+SUM(IFERROR(VALUE(Q1362:R1362),0))</f>
        <v>0</v>
      </c>
    </row>
    <row r="1363" spans="1:19">
      <c r="A1363" s="26"/>
      <c r="B1363" s="27"/>
      <c r="C1363" s="27"/>
      <c r="D1363" s="28"/>
      <c r="F1363" s="9" t="str">
        <f t="shared" si="189"/>
        <v/>
      </c>
      <c r="G1363" s="9">
        <f t="shared" si="190"/>
        <v>0</v>
      </c>
      <c r="H1363" s="9">
        <f t="shared" si="191"/>
        <v>0</v>
      </c>
      <c r="I1363" s="9">
        <f t="array" ref="I1363">+SUM(IFERROR(VALUE(G1363:H1363),0))</f>
        <v>0</v>
      </c>
      <c r="K1363" s="9" t="str">
        <f t="shared" si="192"/>
        <v/>
      </c>
      <c r="L1363" s="9">
        <f t="shared" si="193"/>
        <v>0</v>
      </c>
      <c r="M1363" s="9">
        <f t="shared" si="194"/>
        <v>0</v>
      </c>
      <c r="N1363" s="9">
        <f t="array" ref="N1363">+SUM(IFERROR(VALUE(L1363:M1363),0))</f>
        <v>0</v>
      </c>
      <c r="P1363" s="9" t="str">
        <f t="shared" si="195"/>
        <v/>
      </c>
      <c r="Q1363" s="9">
        <f t="shared" si="196"/>
        <v>0</v>
      </c>
      <c r="R1363" s="9">
        <f t="shared" si="197"/>
        <v>0</v>
      </c>
      <c r="S1363" s="9">
        <f t="array" ref="S1363">+SUM(IFERROR(VALUE(Q1363:R1363),0))</f>
        <v>0</v>
      </c>
    </row>
    <row r="1364" spans="1:19">
      <c r="A1364" s="26"/>
      <c r="B1364" s="27"/>
      <c r="C1364" s="27"/>
      <c r="D1364" s="28"/>
      <c r="F1364" s="9" t="str">
        <f t="shared" si="189"/>
        <v/>
      </c>
      <c r="G1364" s="9">
        <f t="shared" si="190"/>
        <v>0</v>
      </c>
      <c r="H1364" s="9">
        <f t="shared" si="191"/>
        <v>0</v>
      </c>
      <c r="I1364" s="9">
        <f t="array" ref="I1364">+SUM(IFERROR(VALUE(G1364:H1364),0))</f>
        <v>0</v>
      </c>
      <c r="K1364" s="9" t="str">
        <f t="shared" si="192"/>
        <v/>
      </c>
      <c r="L1364" s="9">
        <f t="shared" si="193"/>
        <v>0</v>
      </c>
      <c r="M1364" s="9">
        <f t="shared" si="194"/>
        <v>0</v>
      </c>
      <c r="N1364" s="9">
        <f t="array" ref="N1364">+SUM(IFERROR(VALUE(L1364:M1364),0))</f>
        <v>0</v>
      </c>
      <c r="P1364" s="9" t="str">
        <f t="shared" si="195"/>
        <v/>
      </c>
      <c r="Q1364" s="9">
        <f t="shared" si="196"/>
        <v>0</v>
      </c>
      <c r="R1364" s="9">
        <f t="shared" si="197"/>
        <v>0</v>
      </c>
      <c r="S1364" s="9">
        <f t="array" ref="S1364">+SUM(IFERROR(VALUE(Q1364:R1364),0))</f>
        <v>0</v>
      </c>
    </row>
    <row r="1365" spans="1:19">
      <c r="A1365" s="26"/>
      <c r="B1365" s="27"/>
      <c r="C1365" s="27"/>
      <c r="D1365" s="28"/>
      <c r="F1365" s="9" t="str">
        <f t="shared" si="189"/>
        <v/>
      </c>
      <c r="G1365" s="9">
        <f t="shared" si="190"/>
        <v>0</v>
      </c>
      <c r="H1365" s="9">
        <f t="shared" si="191"/>
        <v>0</v>
      </c>
      <c r="I1365" s="9">
        <f t="array" ref="I1365">+SUM(IFERROR(VALUE(G1365:H1365),0))</f>
        <v>0</v>
      </c>
      <c r="K1365" s="9" t="str">
        <f t="shared" si="192"/>
        <v/>
      </c>
      <c r="L1365" s="9">
        <f t="shared" si="193"/>
        <v>0</v>
      </c>
      <c r="M1365" s="9">
        <f t="shared" si="194"/>
        <v>0</v>
      </c>
      <c r="N1365" s="9">
        <f t="array" ref="N1365">+SUM(IFERROR(VALUE(L1365:M1365),0))</f>
        <v>0</v>
      </c>
      <c r="P1365" s="9" t="str">
        <f t="shared" si="195"/>
        <v/>
      </c>
      <c r="Q1365" s="9">
        <f t="shared" si="196"/>
        <v>0</v>
      </c>
      <c r="R1365" s="9">
        <f t="shared" si="197"/>
        <v>0</v>
      </c>
      <c r="S1365" s="9">
        <f t="array" ref="S1365">+SUM(IFERROR(VALUE(Q1365:R1365),0))</f>
        <v>0</v>
      </c>
    </row>
    <row r="1366" spans="1:19">
      <c r="A1366" s="26"/>
      <c r="B1366" s="27"/>
      <c r="C1366" s="27"/>
      <c r="D1366" s="28"/>
      <c r="F1366" s="9" t="str">
        <f t="shared" si="189"/>
        <v/>
      </c>
      <c r="G1366" s="9">
        <f t="shared" si="190"/>
        <v>0</v>
      </c>
      <c r="H1366" s="9">
        <f t="shared" si="191"/>
        <v>0</v>
      </c>
      <c r="I1366" s="9">
        <f t="array" ref="I1366">+SUM(IFERROR(VALUE(G1366:H1366),0))</f>
        <v>0</v>
      </c>
      <c r="K1366" s="9" t="str">
        <f t="shared" si="192"/>
        <v/>
      </c>
      <c r="L1366" s="9">
        <f t="shared" si="193"/>
        <v>0</v>
      </c>
      <c r="M1366" s="9">
        <f t="shared" si="194"/>
        <v>0</v>
      </c>
      <c r="N1366" s="9">
        <f t="array" ref="N1366">+SUM(IFERROR(VALUE(L1366:M1366),0))</f>
        <v>0</v>
      </c>
      <c r="P1366" s="9" t="str">
        <f t="shared" si="195"/>
        <v/>
      </c>
      <c r="Q1366" s="9">
        <f t="shared" si="196"/>
        <v>0</v>
      </c>
      <c r="R1366" s="9">
        <f t="shared" si="197"/>
        <v>0</v>
      </c>
      <c r="S1366" s="9">
        <f t="array" ref="S1366">+SUM(IFERROR(VALUE(Q1366:R1366),0))</f>
        <v>0</v>
      </c>
    </row>
    <row r="1367" spans="1:19">
      <c r="A1367" s="26"/>
      <c r="B1367" s="27"/>
      <c r="C1367" s="27"/>
      <c r="D1367" s="28"/>
      <c r="F1367" s="9" t="str">
        <f t="shared" si="189"/>
        <v/>
      </c>
      <c r="G1367" s="9">
        <f t="shared" si="190"/>
        <v>0</v>
      </c>
      <c r="H1367" s="9">
        <f t="shared" si="191"/>
        <v>0</v>
      </c>
      <c r="I1367" s="9">
        <f t="array" ref="I1367">+SUM(IFERROR(VALUE(G1367:H1367),0))</f>
        <v>0</v>
      </c>
      <c r="K1367" s="9" t="str">
        <f t="shared" si="192"/>
        <v/>
      </c>
      <c r="L1367" s="9">
        <f t="shared" si="193"/>
        <v>0</v>
      </c>
      <c r="M1367" s="9">
        <f t="shared" si="194"/>
        <v>0</v>
      </c>
      <c r="N1367" s="9">
        <f t="array" ref="N1367">+SUM(IFERROR(VALUE(L1367:M1367),0))</f>
        <v>0</v>
      </c>
      <c r="P1367" s="9" t="str">
        <f t="shared" si="195"/>
        <v/>
      </c>
      <c r="Q1367" s="9">
        <f t="shared" si="196"/>
        <v>0</v>
      </c>
      <c r="R1367" s="9">
        <f t="shared" si="197"/>
        <v>0</v>
      </c>
      <c r="S1367" s="9">
        <f t="array" ref="S1367">+SUM(IFERROR(VALUE(Q1367:R1367),0))</f>
        <v>0</v>
      </c>
    </row>
    <row r="1368" spans="1:19">
      <c r="A1368" s="26"/>
      <c r="B1368" s="27"/>
      <c r="C1368" s="27"/>
      <c r="D1368" s="28"/>
      <c r="F1368" s="9" t="str">
        <f t="shared" si="189"/>
        <v/>
      </c>
      <c r="G1368" s="9">
        <f t="shared" si="190"/>
        <v>0</v>
      </c>
      <c r="H1368" s="9">
        <f t="shared" si="191"/>
        <v>0</v>
      </c>
      <c r="I1368" s="9">
        <f t="array" ref="I1368">+SUM(IFERROR(VALUE(G1368:H1368),0))</f>
        <v>0</v>
      </c>
      <c r="K1368" s="9" t="str">
        <f t="shared" si="192"/>
        <v/>
      </c>
      <c r="L1368" s="9">
        <f t="shared" si="193"/>
        <v>0</v>
      </c>
      <c r="M1368" s="9">
        <f t="shared" si="194"/>
        <v>0</v>
      </c>
      <c r="N1368" s="9">
        <f t="array" ref="N1368">+SUM(IFERROR(VALUE(L1368:M1368),0))</f>
        <v>0</v>
      </c>
      <c r="P1368" s="9" t="str">
        <f t="shared" si="195"/>
        <v/>
      </c>
      <c r="Q1368" s="9">
        <f t="shared" si="196"/>
        <v>0</v>
      </c>
      <c r="R1368" s="9">
        <f t="shared" si="197"/>
        <v>0</v>
      </c>
      <c r="S1368" s="9">
        <f t="array" ref="S1368">+SUM(IFERROR(VALUE(Q1368:R1368),0))</f>
        <v>0</v>
      </c>
    </row>
    <row r="1369" spans="1:19">
      <c r="A1369" s="26"/>
      <c r="B1369" s="27"/>
      <c r="C1369" s="27"/>
      <c r="D1369" s="28"/>
      <c r="F1369" s="9" t="str">
        <f t="shared" si="189"/>
        <v/>
      </c>
      <c r="G1369" s="9">
        <f t="shared" si="190"/>
        <v>0</v>
      </c>
      <c r="H1369" s="9">
        <f t="shared" si="191"/>
        <v>0</v>
      </c>
      <c r="I1369" s="9">
        <f t="array" ref="I1369">+SUM(IFERROR(VALUE(G1369:H1369),0))</f>
        <v>0</v>
      </c>
      <c r="K1369" s="9" t="str">
        <f t="shared" si="192"/>
        <v/>
      </c>
      <c r="L1369" s="9">
        <f t="shared" si="193"/>
        <v>0</v>
      </c>
      <c r="M1369" s="9">
        <f t="shared" si="194"/>
        <v>0</v>
      </c>
      <c r="N1369" s="9">
        <f t="array" ref="N1369">+SUM(IFERROR(VALUE(L1369:M1369),0))</f>
        <v>0</v>
      </c>
      <c r="P1369" s="9" t="str">
        <f t="shared" si="195"/>
        <v/>
      </c>
      <c r="Q1369" s="9">
        <f t="shared" si="196"/>
        <v>0</v>
      </c>
      <c r="R1369" s="9">
        <f t="shared" si="197"/>
        <v>0</v>
      </c>
      <c r="S1369" s="9">
        <f t="array" ref="S1369">+SUM(IFERROR(VALUE(Q1369:R1369),0))</f>
        <v>0</v>
      </c>
    </row>
    <row r="1370" spans="1:19">
      <c r="A1370" s="26"/>
      <c r="B1370" s="27"/>
      <c r="C1370" s="27"/>
      <c r="D1370" s="28"/>
      <c r="F1370" s="9" t="str">
        <f t="shared" si="189"/>
        <v/>
      </c>
      <c r="G1370" s="9">
        <f t="shared" si="190"/>
        <v>0</v>
      </c>
      <c r="H1370" s="9">
        <f t="shared" si="191"/>
        <v>0</v>
      </c>
      <c r="I1370" s="9">
        <f t="array" ref="I1370">+SUM(IFERROR(VALUE(G1370:H1370),0))</f>
        <v>0</v>
      </c>
      <c r="K1370" s="9" t="str">
        <f t="shared" si="192"/>
        <v/>
      </c>
      <c r="L1370" s="9">
        <f t="shared" si="193"/>
        <v>0</v>
      </c>
      <c r="M1370" s="9">
        <f t="shared" si="194"/>
        <v>0</v>
      </c>
      <c r="N1370" s="9">
        <f t="array" ref="N1370">+SUM(IFERROR(VALUE(L1370:M1370),0))</f>
        <v>0</v>
      </c>
      <c r="P1370" s="9" t="str">
        <f t="shared" si="195"/>
        <v/>
      </c>
      <c r="Q1370" s="9">
        <f t="shared" si="196"/>
        <v>0</v>
      </c>
      <c r="R1370" s="9">
        <f t="shared" si="197"/>
        <v>0</v>
      </c>
      <c r="S1370" s="9">
        <f t="array" ref="S1370">+SUM(IFERROR(VALUE(Q1370:R1370),0))</f>
        <v>0</v>
      </c>
    </row>
    <row r="1371" spans="1:19">
      <c r="A1371" s="26"/>
      <c r="B1371" s="27"/>
      <c r="C1371" s="27"/>
      <c r="D1371" s="28"/>
      <c r="F1371" s="9" t="str">
        <f t="shared" si="189"/>
        <v/>
      </c>
      <c r="G1371" s="9">
        <f t="shared" si="190"/>
        <v>0</v>
      </c>
      <c r="H1371" s="9">
        <f t="shared" si="191"/>
        <v>0</v>
      </c>
      <c r="I1371" s="9">
        <f t="array" ref="I1371">+SUM(IFERROR(VALUE(G1371:H1371),0))</f>
        <v>0</v>
      </c>
      <c r="K1371" s="9" t="str">
        <f t="shared" si="192"/>
        <v/>
      </c>
      <c r="L1371" s="9">
        <f t="shared" si="193"/>
        <v>0</v>
      </c>
      <c r="M1371" s="9">
        <f t="shared" si="194"/>
        <v>0</v>
      </c>
      <c r="N1371" s="9">
        <f t="array" ref="N1371">+SUM(IFERROR(VALUE(L1371:M1371),0))</f>
        <v>0</v>
      </c>
      <c r="P1371" s="9" t="str">
        <f t="shared" si="195"/>
        <v/>
      </c>
      <c r="Q1371" s="9">
        <f t="shared" si="196"/>
        <v>0</v>
      </c>
      <c r="R1371" s="9">
        <f t="shared" si="197"/>
        <v>0</v>
      </c>
      <c r="S1371" s="9">
        <f t="array" ref="S1371">+SUM(IFERROR(VALUE(Q1371:R1371),0))</f>
        <v>0</v>
      </c>
    </row>
    <row r="1372" spans="1:19">
      <c r="A1372" s="26"/>
      <c r="B1372" s="27"/>
      <c r="C1372" s="27"/>
      <c r="D1372" s="28"/>
      <c r="F1372" s="9" t="str">
        <f t="shared" si="189"/>
        <v/>
      </c>
      <c r="G1372" s="9">
        <f t="shared" si="190"/>
        <v>0</v>
      </c>
      <c r="H1372" s="9">
        <f t="shared" si="191"/>
        <v>0</v>
      </c>
      <c r="I1372" s="9">
        <f t="array" ref="I1372">+SUM(IFERROR(VALUE(G1372:H1372),0))</f>
        <v>0</v>
      </c>
      <c r="K1372" s="9" t="str">
        <f t="shared" si="192"/>
        <v/>
      </c>
      <c r="L1372" s="9">
        <f t="shared" si="193"/>
        <v>0</v>
      </c>
      <c r="M1372" s="9">
        <f t="shared" si="194"/>
        <v>0</v>
      </c>
      <c r="N1372" s="9">
        <f t="array" ref="N1372">+SUM(IFERROR(VALUE(L1372:M1372),0))</f>
        <v>0</v>
      </c>
      <c r="P1372" s="9" t="str">
        <f t="shared" si="195"/>
        <v/>
      </c>
      <c r="Q1372" s="9">
        <f t="shared" si="196"/>
        <v>0</v>
      </c>
      <c r="R1372" s="9">
        <f t="shared" si="197"/>
        <v>0</v>
      </c>
      <c r="S1372" s="9">
        <f t="array" ref="S1372">+SUM(IFERROR(VALUE(Q1372:R1372),0))</f>
        <v>0</v>
      </c>
    </row>
    <row r="1373" spans="1:19">
      <c r="A1373" s="26"/>
      <c r="B1373" s="27"/>
      <c r="C1373" s="27"/>
      <c r="D1373" s="28"/>
      <c r="F1373" s="9" t="str">
        <f t="shared" si="189"/>
        <v/>
      </c>
      <c r="G1373" s="9">
        <f t="shared" si="190"/>
        <v>0</v>
      </c>
      <c r="H1373" s="9">
        <f t="shared" si="191"/>
        <v>0</v>
      </c>
      <c r="I1373" s="9">
        <f t="array" ref="I1373">+SUM(IFERROR(VALUE(G1373:H1373),0))</f>
        <v>0</v>
      </c>
      <c r="K1373" s="9" t="str">
        <f t="shared" si="192"/>
        <v/>
      </c>
      <c r="L1373" s="9">
        <f t="shared" si="193"/>
        <v>0</v>
      </c>
      <c r="M1373" s="9">
        <f t="shared" si="194"/>
        <v>0</v>
      </c>
      <c r="N1373" s="9">
        <f t="array" ref="N1373">+SUM(IFERROR(VALUE(L1373:M1373),0))</f>
        <v>0</v>
      </c>
      <c r="P1373" s="9" t="str">
        <f t="shared" si="195"/>
        <v/>
      </c>
      <c r="Q1373" s="9">
        <f t="shared" si="196"/>
        <v>0</v>
      </c>
      <c r="R1373" s="9">
        <f t="shared" si="197"/>
        <v>0</v>
      </c>
      <c r="S1373" s="9">
        <f t="array" ref="S1373">+SUM(IFERROR(VALUE(Q1373:R1373),0))</f>
        <v>0</v>
      </c>
    </row>
    <row r="1374" spans="1:19">
      <c r="A1374" s="26"/>
      <c r="B1374" s="27"/>
      <c r="C1374" s="27"/>
      <c r="D1374" s="28"/>
      <c r="F1374" s="9" t="str">
        <f t="shared" si="189"/>
        <v/>
      </c>
      <c r="G1374" s="9">
        <f t="shared" si="190"/>
        <v>0</v>
      </c>
      <c r="H1374" s="9">
        <f t="shared" si="191"/>
        <v>0</v>
      </c>
      <c r="I1374" s="9">
        <f t="array" ref="I1374">+SUM(IFERROR(VALUE(G1374:H1374),0))</f>
        <v>0</v>
      </c>
      <c r="K1374" s="9" t="str">
        <f t="shared" si="192"/>
        <v/>
      </c>
      <c r="L1374" s="9">
        <f t="shared" si="193"/>
        <v>0</v>
      </c>
      <c r="M1374" s="9">
        <f t="shared" si="194"/>
        <v>0</v>
      </c>
      <c r="N1374" s="9">
        <f t="array" ref="N1374">+SUM(IFERROR(VALUE(L1374:M1374),0))</f>
        <v>0</v>
      </c>
      <c r="P1374" s="9" t="str">
        <f t="shared" si="195"/>
        <v/>
      </c>
      <c r="Q1374" s="9">
        <f t="shared" si="196"/>
        <v>0</v>
      </c>
      <c r="R1374" s="9">
        <f t="shared" si="197"/>
        <v>0</v>
      </c>
      <c r="S1374" s="9">
        <f t="array" ref="S1374">+SUM(IFERROR(VALUE(Q1374:R1374),0))</f>
        <v>0</v>
      </c>
    </row>
    <row r="1375" spans="1:19">
      <c r="A1375" s="26"/>
      <c r="B1375" s="27"/>
      <c r="C1375" s="27"/>
      <c r="D1375" s="28"/>
      <c r="F1375" s="9" t="str">
        <f t="shared" si="189"/>
        <v/>
      </c>
      <c r="G1375" s="9">
        <f t="shared" si="190"/>
        <v>0</v>
      </c>
      <c r="H1375" s="9">
        <f t="shared" si="191"/>
        <v>0</v>
      </c>
      <c r="I1375" s="9">
        <f t="array" ref="I1375">+SUM(IFERROR(VALUE(G1375:H1375),0))</f>
        <v>0</v>
      </c>
      <c r="K1375" s="9" t="str">
        <f t="shared" si="192"/>
        <v/>
      </c>
      <c r="L1375" s="9">
        <f t="shared" si="193"/>
        <v>0</v>
      </c>
      <c r="M1375" s="9">
        <f t="shared" si="194"/>
        <v>0</v>
      </c>
      <c r="N1375" s="9">
        <f t="array" ref="N1375">+SUM(IFERROR(VALUE(L1375:M1375),0))</f>
        <v>0</v>
      </c>
      <c r="P1375" s="9" t="str">
        <f t="shared" si="195"/>
        <v/>
      </c>
      <c r="Q1375" s="9">
        <f t="shared" si="196"/>
        <v>0</v>
      </c>
      <c r="R1375" s="9">
        <f t="shared" si="197"/>
        <v>0</v>
      </c>
      <c r="S1375" s="9">
        <f t="array" ref="S1375">+SUM(IFERROR(VALUE(Q1375:R1375),0))</f>
        <v>0</v>
      </c>
    </row>
    <row r="1376" spans="1:19">
      <c r="A1376" s="26"/>
      <c r="B1376" s="27"/>
      <c r="C1376" s="27"/>
      <c r="D1376" s="28"/>
      <c r="F1376" s="9" t="str">
        <f t="shared" si="189"/>
        <v/>
      </c>
      <c r="G1376" s="9">
        <f t="shared" si="190"/>
        <v>0</v>
      </c>
      <c r="H1376" s="9">
        <f t="shared" si="191"/>
        <v>0</v>
      </c>
      <c r="I1376" s="9">
        <f t="array" ref="I1376">+SUM(IFERROR(VALUE(G1376:H1376),0))</f>
        <v>0</v>
      </c>
      <c r="K1376" s="9" t="str">
        <f t="shared" si="192"/>
        <v/>
      </c>
      <c r="L1376" s="9">
        <f t="shared" si="193"/>
        <v>0</v>
      </c>
      <c r="M1376" s="9">
        <f t="shared" si="194"/>
        <v>0</v>
      </c>
      <c r="N1376" s="9">
        <f t="array" ref="N1376">+SUM(IFERROR(VALUE(L1376:M1376),0))</f>
        <v>0</v>
      </c>
      <c r="P1376" s="9" t="str">
        <f t="shared" si="195"/>
        <v/>
      </c>
      <c r="Q1376" s="9">
        <f t="shared" si="196"/>
        <v>0</v>
      </c>
      <c r="R1376" s="9">
        <f t="shared" si="197"/>
        <v>0</v>
      </c>
      <c r="S1376" s="9">
        <f t="array" ref="S1376">+SUM(IFERROR(VALUE(Q1376:R1376),0))</f>
        <v>0</v>
      </c>
    </row>
    <row r="1377" spans="1:19">
      <c r="A1377" s="26"/>
      <c r="B1377" s="27"/>
      <c r="C1377" s="27"/>
      <c r="D1377" s="28"/>
      <c r="F1377" s="9" t="str">
        <f t="shared" si="189"/>
        <v/>
      </c>
      <c r="G1377" s="9">
        <f t="shared" si="190"/>
        <v>0</v>
      </c>
      <c r="H1377" s="9">
        <f t="shared" si="191"/>
        <v>0</v>
      </c>
      <c r="I1377" s="9">
        <f t="array" ref="I1377">+SUM(IFERROR(VALUE(G1377:H1377),0))</f>
        <v>0</v>
      </c>
      <c r="K1377" s="9" t="str">
        <f t="shared" si="192"/>
        <v/>
      </c>
      <c r="L1377" s="9">
        <f t="shared" si="193"/>
        <v>0</v>
      </c>
      <c r="M1377" s="9">
        <f t="shared" si="194"/>
        <v>0</v>
      </c>
      <c r="N1377" s="9">
        <f t="array" ref="N1377">+SUM(IFERROR(VALUE(L1377:M1377),0))</f>
        <v>0</v>
      </c>
      <c r="P1377" s="9" t="str">
        <f t="shared" si="195"/>
        <v/>
      </c>
      <c r="Q1377" s="9">
        <f t="shared" si="196"/>
        <v>0</v>
      </c>
      <c r="R1377" s="9">
        <f t="shared" si="197"/>
        <v>0</v>
      </c>
      <c r="S1377" s="9">
        <f t="array" ref="S1377">+SUM(IFERROR(VALUE(Q1377:R1377),0))</f>
        <v>0</v>
      </c>
    </row>
    <row r="1378" spans="1:19">
      <c r="A1378" s="26"/>
      <c r="B1378" s="27"/>
      <c r="C1378" s="27"/>
      <c r="D1378" s="28"/>
      <c r="F1378" s="9" t="str">
        <f t="shared" si="189"/>
        <v/>
      </c>
      <c r="G1378" s="9">
        <f t="shared" si="190"/>
        <v>0</v>
      </c>
      <c r="H1378" s="9">
        <f t="shared" si="191"/>
        <v>0</v>
      </c>
      <c r="I1378" s="9">
        <f t="array" ref="I1378">+SUM(IFERROR(VALUE(G1378:H1378),0))</f>
        <v>0</v>
      </c>
      <c r="K1378" s="9" t="str">
        <f t="shared" si="192"/>
        <v/>
      </c>
      <c r="L1378" s="9">
        <f t="shared" si="193"/>
        <v>0</v>
      </c>
      <c r="M1378" s="9">
        <f t="shared" si="194"/>
        <v>0</v>
      </c>
      <c r="N1378" s="9">
        <f t="array" ref="N1378">+SUM(IFERROR(VALUE(L1378:M1378),0))</f>
        <v>0</v>
      </c>
      <c r="P1378" s="9" t="str">
        <f t="shared" si="195"/>
        <v/>
      </c>
      <c r="Q1378" s="9">
        <f t="shared" si="196"/>
        <v>0</v>
      </c>
      <c r="R1378" s="9">
        <f t="shared" si="197"/>
        <v>0</v>
      </c>
      <c r="S1378" s="9">
        <f t="array" ref="S1378">+SUM(IFERROR(VALUE(Q1378:R1378),0))</f>
        <v>0</v>
      </c>
    </row>
    <row r="1379" spans="1:19">
      <c r="A1379" s="26"/>
      <c r="B1379" s="27"/>
      <c r="C1379" s="27"/>
      <c r="D1379" s="28"/>
      <c r="F1379" s="9" t="str">
        <f t="shared" si="189"/>
        <v/>
      </c>
      <c r="G1379" s="9">
        <f t="shared" si="190"/>
        <v>0</v>
      </c>
      <c r="H1379" s="9">
        <f t="shared" si="191"/>
        <v>0</v>
      </c>
      <c r="I1379" s="9">
        <f t="array" ref="I1379">+SUM(IFERROR(VALUE(G1379:H1379),0))</f>
        <v>0</v>
      </c>
      <c r="K1379" s="9" t="str">
        <f t="shared" si="192"/>
        <v/>
      </c>
      <c r="L1379" s="9">
        <f t="shared" si="193"/>
        <v>0</v>
      </c>
      <c r="M1379" s="9">
        <f t="shared" si="194"/>
        <v>0</v>
      </c>
      <c r="N1379" s="9">
        <f t="array" ref="N1379">+SUM(IFERROR(VALUE(L1379:M1379),0))</f>
        <v>0</v>
      </c>
      <c r="P1379" s="9" t="str">
        <f t="shared" si="195"/>
        <v/>
      </c>
      <c r="Q1379" s="9">
        <f t="shared" si="196"/>
        <v>0</v>
      </c>
      <c r="R1379" s="9">
        <f t="shared" si="197"/>
        <v>0</v>
      </c>
      <c r="S1379" s="9">
        <f t="array" ref="S1379">+SUM(IFERROR(VALUE(Q1379:R1379),0))</f>
        <v>0</v>
      </c>
    </row>
    <row r="1380" spans="1:19">
      <c r="A1380" s="26"/>
      <c r="B1380" s="27"/>
      <c r="C1380" s="27"/>
      <c r="D1380" s="28"/>
      <c r="F1380" s="9" t="str">
        <f t="shared" si="189"/>
        <v/>
      </c>
      <c r="G1380" s="9">
        <f t="shared" si="190"/>
        <v>0</v>
      </c>
      <c r="H1380" s="9">
        <f t="shared" si="191"/>
        <v>0</v>
      </c>
      <c r="I1380" s="9">
        <f t="array" ref="I1380">+SUM(IFERROR(VALUE(G1380:H1380),0))</f>
        <v>0</v>
      </c>
      <c r="K1380" s="9" t="str">
        <f t="shared" si="192"/>
        <v/>
      </c>
      <c r="L1380" s="9">
        <f t="shared" si="193"/>
        <v>0</v>
      </c>
      <c r="M1380" s="9">
        <f t="shared" si="194"/>
        <v>0</v>
      </c>
      <c r="N1380" s="9">
        <f t="array" ref="N1380">+SUM(IFERROR(VALUE(L1380:M1380),0))</f>
        <v>0</v>
      </c>
      <c r="P1380" s="9" t="str">
        <f t="shared" si="195"/>
        <v/>
      </c>
      <c r="Q1380" s="9">
        <f t="shared" si="196"/>
        <v>0</v>
      </c>
      <c r="R1380" s="9">
        <f t="shared" si="197"/>
        <v>0</v>
      </c>
      <c r="S1380" s="9">
        <f t="array" ref="S1380">+SUM(IFERROR(VALUE(Q1380:R1380),0))</f>
        <v>0</v>
      </c>
    </row>
    <row r="1381" spans="1:19">
      <c r="A1381" s="26"/>
      <c r="B1381" s="27"/>
      <c r="C1381" s="27"/>
      <c r="D1381" s="28"/>
      <c r="F1381" s="9" t="str">
        <f t="shared" si="189"/>
        <v/>
      </c>
      <c r="G1381" s="9">
        <f t="shared" si="190"/>
        <v>0</v>
      </c>
      <c r="H1381" s="9">
        <f t="shared" si="191"/>
        <v>0</v>
      </c>
      <c r="I1381" s="9">
        <f t="array" ref="I1381">+SUM(IFERROR(VALUE(G1381:H1381),0))</f>
        <v>0</v>
      </c>
      <c r="K1381" s="9" t="str">
        <f t="shared" si="192"/>
        <v/>
      </c>
      <c r="L1381" s="9">
        <f t="shared" si="193"/>
        <v>0</v>
      </c>
      <c r="M1381" s="9">
        <f t="shared" si="194"/>
        <v>0</v>
      </c>
      <c r="N1381" s="9">
        <f t="array" ref="N1381">+SUM(IFERROR(VALUE(L1381:M1381),0))</f>
        <v>0</v>
      </c>
      <c r="P1381" s="9" t="str">
        <f t="shared" si="195"/>
        <v/>
      </c>
      <c r="Q1381" s="9">
        <f t="shared" si="196"/>
        <v>0</v>
      </c>
      <c r="R1381" s="9">
        <f t="shared" si="197"/>
        <v>0</v>
      </c>
      <c r="S1381" s="9">
        <f t="array" ref="S1381">+SUM(IFERROR(VALUE(Q1381:R1381),0))</f>
        <v>0</v>
      </c>
    </row>
    <row r="1382" spans="1:19">
      <c r="A1382" s="26"/>
      <c r="B1382" s="27"/>
      <c r="C1382" s="27"/>
      <c r="D1382" s="28"/>
      <c r="F1382" s="9" t="str">
        <f t="shared" si="189"/>
        <v/>
      </c>
      <c r="G1382" s="9">
        <f t="shared" si="190"/>
        <v>0</v>
      </c>
      <c r="H1382" s="9">
        <f t="shared" si="191"/>
        <v>0</v>
      </c>
      <c r="I1382" s="9">
        <f t="array" ref="I1382">+SUM(IFERROR(VALUE(G1382:H1382),0))</f>
        <v>0</v>
      </c>
      <c r="K1382" s="9" t="str">
        <f t="shared" si="192"/>
        <v/>
      </c>
      <c r="L1382" s="9">
        <f t="shared" si="193"/>
        <v>0</v>
      </c>
      <c r="M1382" s="9">
        <f t="shared" si="194"/>
        <v>0</v>
      </c>
      <c r="N1382" s="9">
        <f t="array" ref="N1382">+SUM(IFERROR(VALUE(L1382:M1382),0))</f>
        <v>0</v>
      </c>
      <c r="P1382" s="9" t="str">
        <f t="shared" si="195"/>
        <v/>
      </c>
      <c r="Q1382" s="9">
        <f t="shared" si="196"/>
        <v>0</v>
      </c>
      <c r="R1382" s="9">
        <f t="shared" si="197"/>
        <v>0</v>
      </c>
      <c r="S1382" s="9">
        <f t="array" ref="S1382">+SUM(IFERROR(VALUE(Q1382:R1382),0))</f>
        <v>0</v>
      </c>
    </row>
    <row r="1383" spans="1:19">
      <c r="A1383" s="26"/>
      <c r="B1383" s="27"/>
      <c r="C1383" s="27"/>
      <c r="D1383" s="28"/>
      <c r="F1383" s="9" t="str">
        <f t="shared" si="189"/>
        <v/>
      </c>
      <c r="G1383" s="9">
        <f t="shared" si="190"/>
        <v>0</v>
      </c>
      <c r="H1383" s="9">
        <f t="shared" si="191"/>
        <v>0</v>
      </c>
      <c r="I1383" s="9">
        <f t="array" ref="I1383">+SUM(IFERROR(VALUE(G1383:H1383),0))</f>
        <v>0</v>
      </c>
      <c r="K1383" s="9" t="str">
        <f t="shared" si="192"/>
        <v/>
      </c>
      <c r="L1383" s="9">
        <f t="shared" si="193"/>
        <v>0</v>
      </c>
      <c r="M1383" s="9">
        <f t="shared" si="194"/>
        <v>0</v>
      </c>
      <c r="N1383" s="9">
        <f t="array" ref="N1383">+SUM(IFERROR(VALUE(L1383:M1383),0))</f>
        <v>0</v>
      </c>
      <c r="P1383" s="9" t="str">
        <f t="shared" si="195"/>
        <v/>
      </c>
      <c r="Q1383" s="9">
        <f t="shared" si="196"/>
        <v>0</v>
      </c>
      <c r="R1383" s="9">
        <f t="shared" si="197"/>
        <v>0</v>
      </c>
      <c r="S1383" s="9">
        <f t="array" ref="S1383">+SUM(IFERROR(VALUE(Q1383:R1383),0))</f>
        <v>0</v>
      </c>
    </row>
    <row r="1384" spans="1:19">
      <c r="A1384" s="26"/>
      <c r="B1384" s="27"/>
      <c r="C1384" s="27"/>
      <c r="D1384" s="28"/>
      <c r="F1384" s="9" t="str">
        <f t="shared" si="189"/>
        <v/>
      </c>
      <c r="G1384" s="9">
        <f t="shared" si="190"/>
        <v>0</v>
      </c>
      <c r="H1384" s="9">
        <f t="shared" si="191"/>
        <v>0</v>
      </c>
      <c r="I1384" s="9">
        <f t="array" ref="I1384">+SUM(IFERROR(VALUE(G1384:H1384),0))</f>
        <v>0</v>
      </c>
      <c r="K1384" s="9" t="str">
        <f t="shared" si="192"/>
        <v/>
      </c>
      <c r="L1384" s="9">
        <f t="shared" si="193"/>
        <v>0</v>
      </c>
      <c r="M1384" s="9">
        <f t="shared" si="194"/>
        <v>0</v>
      </c>
      <c r="N1384" s="9">
        <f t="array" ref="N1384">+SUM(IFERROR(VALUE(L1384:M1384),0))</f>
        <v>0</v>
      </c>
      <c r="P1384" s="9" t="str">
        <f t="shared" si="195"/>
        <v/>
      </c>
      <c r="Q1384" s="9">
        <f t="shared" si="196"/>
        <v>0</v>
      </c>
      <c r="R1384" s="9">
        <f t="shared" si="197"/>
        <v>0</v>
      </c>
      <c r="S1384" s="9">
        <f t="array" ref="S1384">+SUM(IFERROR(VALUE(Q1384:R1384),0))</f>
        <v>0</v>
      </c>
    </row>
    <row r="1385" spans="1:19">
      <c r="A1385" s="26"/>
      <c r="B1385" s="27"/>
      <c r="C1385" s="27"/>
      <c r="D1385" s="28"/>
      <c r="F1385" s="9" t="str">
        <f t="shared" si="189"/>
        <v/>
      </c>
      <c r="G1385" s="9">
        <f t="shared" si="190"/>
        <v>0</v>
      </c>
      <c r="H1385" s="9">
        <f t="shared" si="191"/>
        <v>0</v>
      </c>
      <c r="I1385" s="9">
        <f t="array" ref="I1385">+SUM(IFERROR(VALUE(G1385:H1385),0))</f>
        <v>0</v>
      </c>
      <c r="K1385" s="9" t="str">
        <f t="shared" si="192"/>
        <v/>
      </c>
      <c r="L1385" s="9">
        <f t="shared" si="193"/>
        <v>0</v>
      </c>
      <c r="M1385" s="9">
        <f t="shared" si="194"/>
        <v>0</v>
      </c>
      <c r="N1385" s="9">
        <f t="array" ref="N1385">+SUM(IFERROR(VALUE(L1385:M1385),0))</f>
        <v>0</v>
      </c>
      <c r="P1385" s="9" t="str">
        <f t="shared" si="195"/>
        <v/>
      </c>
      <c r="Q1385" s="9">
        <f t="shared" si="196"/>
        <v>0</v>
      </c>
      <c r="R1385" s="9">
        <f t="shared" si="197"/>
        <v>0</v>
      </c>
      <c r="S1385" s="9">
        <f t="array" ref="S1385">+SUM(IFERROR(VALUE(Q1385:R1385),0))</f>
        <v>0</v>
      </c>
    </row>
    <row r="1386" spans="1:19">
      <c r="A1386" s="26"/>
      <c r="B1386" s="27"/>
      <c r="C1386" s="27"/>
      <c r="D1386" s="28"/>
      <c r="F1386" s="9" t="str">
        <f t="shared" si="189"/>
        <v/>
      </c>
      <c r="G1386" s="9">
        <f t="shared" si="190"/>
        <v>0</v>
      </c>
      <c r="H1386" s="9">
        <f t="shared" si="191"/>
        <v>0</v>
      </c>
      <c r="I1386" s="9">
        <f t="array" ref="I1386">+SUM(IFERROR(VALUE(G1386:H1386),0))</f>
        <v>0</v>
      </c>
      <c r="K1386" s="9" t="str">
        <f t="shared" si="192"/>
        <v/>
      </c>
      <c r="L1386" s="9">
        <f t="shared" si="193"/>
        <v>0</v>
      </c>
      <c r="M1386" s="9">
        <f t="shared" si="194"/>
        <v>0</v>
      </c>
      <c r="N1386" s="9">
        <f t="array" ref="N1386">+SUM(IFERROR(VALUE(L1386:M1386),0))</f>
        <v>0</v>
      </c>
      <c r="P1386" s="9" t="str">
        <f t="shared" si="195"/>
        <v/>
      </c>
      <c r="Q1386" s="9">
        <f t="shared" si="196"/>
        <v>0</v>
      </c>
      <c r="R1386" s="9">
        <f t="shared" si="197"/>
        <v>0</v>
      </c>
      <c r="S1386" s="9">
        <f t="array" ref="S1386">+SUM(IFERROR(VALUE(Q1386:R1386),0))</f>
        <v>0</v>
      </c>
    </row>
    <row r="1387" spans="1:19">
      <c r="A1387" s="26"/>
      <c r="B1387" s="27"/>
      <c r="C1387" s="27"/>
      <c r="D1387" s="28"/>
      <c r="F1387" s="9" t="str">
        <f t="shared" si="189"/>
        <v/>
      </c>
      <c r="G1387" s="9">
        <f t="shared" si="190"/>
        <v>0</v>
      </c>
      <c r="H1387" s="9">
        <f t="shared" si="191"/>
        <v>0</v>
      </c>
      <c r="I1387" s="9">
        <f t="array" ref="I1387">+SUM(IFERROR(VALUE(G1387:H1387),0))</f>
        <v>0</v>
      </c>
      <c r="K1387" s="9" t="str">
        <f t="shared" si="192"/>
        <v/>
      </c>
      <c r="L1387" s="9">
        <f t="shared" si="193"/>
        <v>0</v>
      </c>
      <c r="M1387" s="9">
        <f t="shared" si="194"/>
        <v>0</v>
      </c>
      <c r="N1387" s="9">
        <f t="array" ref="N1387">+SUM(IFERROR(VALUE(L1387:M1387),0))</f>
        <v>0</v>
      </c>
      <c r="P1387" s="9" t="str">
        <f t="shared" si="195"/>
        <v/>
      </c>
      <c r="Q1387" s="9">
        <f t="shared" si="196"/>
        <v>0</v>
      </c>
      <c r="R1387" s="9">
        <f t="shared" si="197"/>
        <v>0</v>
      </c>
      <c r="S1387" s="9">
        <f t="array" ref="S1387">+SUM(IFERROR(VALUE(Q1387:R1387),0))</f>
        <v>0</v>
      </c>
    </row>
    <row r="1388" spans="1:19">
      <c r="A1388" s="26"/>
      <c r="B1388" s="27"/>
      <c r="C1388" s="27"/>
      <c r="D1388" s="28"/>
      <c r="F1388" s="9" t="str">
        <f t="shared" si="189"/>
        <v/>
      </c>
      <c r="G1388" s="9">
        <f t="shared" si="190"/>
        <v>0</v>
      </c>
      <c r="H1388" s="9">
        <f t="shared" si="191"/>
        <v>0</v>
      </c>
      <c r="I1388" s="9">
        <f t="array" ref="I1388">+SUM(IFERROR(VALUE(G1388:H1388),0))</f>
        <v>0</v>
      </c>
      <c r="K1388" s="9" t="str">
        <f t="shared" si="192"/>
        <v/>
      </c>
      <c r="L1388" s="9">
        <f t="shared" si="193"/>
        <v>0</v>
      </c>
      <c r="M1388" s="9">
        <f t="shared" si="194"/>
        <v>0</v>
      </c>
      <c r="N1388" s="9">
        <f t="array" ref="N1388">+SUM(IFERROR(VALUE(L1388:M1388),0))</f>
        <v>0</v>
      </c>
      <c r="P1388" s="9" t="str">
        <f t="shared" si="195"/>
        <v/>
      </c>
      <c r="Q1388" s="9">
        <f t="shared" si="196"/>
        <v>0</v>
      </c>
      <c r="R1388" s="9">
        <f t="shared" si="197"/>
        <v>0</v>
      </c>
      <c r="S1388" s="9">
        <f t="array" ref="S1388">+SUM(IFERROR(VALUE(Q1388:R1388),0))</f>
        <v>0</v>
      </c>
    </row>
    <row r="1389" spans="1:19">
      <c r="A1389" s="26"/>
      <c r="B1389" s="27"/>
      <c r="C1389" s="27"/>
      <c r="D1389" s="28"/>
      <c r="F1389" s="9" t="str">
        <f t="shared" si="189"/>
        <v/>
      </c>
      <c r="G1389" s="9">
        <f t="shared" si="190"/>
        <v>0</v>
      </c>
      <c r="H1389" s="9">
        <f t="shared" si="191"/>
        <v>0</v>
      </c>
      <c r="I1389" s="9">
        <f t="array" ref="I1389">+SUM(IFERROR(VALUE(G1389:H1389),0))</f>
        <v>0</v>
      </c>
      <c r="K1389" s="9" t="str">
        <f t="shared" si="192"/>
        <v/>
      </c>
      <c r="L1389" s="9">
        <f t="shared" si="193"/>
        <v>0</v>
      </c>
      <c r="M1389" s="9">
        <f t="shared" si="194"/>
        <v>0</v>
      </c>
      <c r="N1389" s="9">
        <f t="array" ref="N1389">+SUM(IFERROR(VALUE(L1389:M1389),0))</f>
        <v>0</v>
      </c>
      <c r="P1389" s="9" t="str">
        <f t="shared" si="195"/>
        <v/>
      </c>
      <c r="Q1389" s="9">
        <f t="shared" si="196"/>
        <v>0</v>
      </c>
      <c r="R1389" s="9">
        <f t="shared" si="197"/>
        <v>0</v>
      </c>
      <c r="S1389" s="9">
        <f t="array" ref="S1389">+SUM(IFERROR(VALUE(Q1389:R1389),0))</f>
        <v>0</v>
      </c>
    </row>
    <row r="1390" spans="1:19">
      <c r="A1390" s="26"/>
      <c r="B1390" s="27"/>
      <c r="C1390" s="27"/>
      <c r="D1390" s="28"/>
      <c r="F1390" s="9" t="str">
        <f t="shared" si="189"/>
        <v/>
      </c>
      <c r="G1390" s="9">
        <f t="shared" si="190"/>
        <v>0</v>
      </c>
      <c r="H1390" s="9">
        <f t="shared" si="191"/>
        <v>0</v>
      </c>
      <c r="I1390" s="9">
        <f t="array" ref="I1390">+SUM(IFERROR(VALUE(G1390:H1390),0))</f>
        <v>0</v>
      </c>
      <c r="K1390" s="9" t="str">
        <f t="shared" si="192"/>
        <v/>
      </c>
      <c r="L1390" s="9">
        <f t="shared" si="193"/>
        <v>0</v>
      </c>
      <c r="M1390" s="9">
        <f t="shared" si="194"/>
        <v>0</v>
      </c>
      <c r="N1390" s="9">
        <f t="array" ref="N1390">+SUM(IFERROR(VALUE(L1390:M1390),0))</f>
        <v>0</v>
      </c>
      <c r="P1390" s="9" t="str">
        <f t="shared" si="195"/>
        <v/>
      </c>
      <c r="Q1390" s="9">
        <f t="shared" si="196"/>
        <v>0</v>
      </c>
      <c r="R1390" s="9">
        <f t="shared" si="197"/>
        <v>0</v>
      </c>
      <c r="S1390" s="9">
        <f t="array" ref="S1390">+SUM(IFERROR(VALUE(Q1390:R1390),0))</f>
        <v>0</v>
      </c>
    </row>
    <row r="1391" spans="1:19">
      <c r="A1391" s="26"/>
      <c r="B1391" s="27"/>
      <c r="C1391" s="27"/>
      <c r="D1391" s="28"/>
      <c r="F1391" s="9" t="str">
        <f t="shared" si="189"/>
        <v/>
      </c>
      <c r="G1391" s="9">
        <f t="shared" si="190"/>
        <v>0</v>
      </c>
      <c r="H1391" s="9">
        <f t="shared" si="191"/>
        <v>0</v>
      </c>
      <c r="I1391" s="9">
        <f t="array" ref="I1391">+SUM(IFERROR(VALUE(G1391:H1391),0))</f>
        <v>0</v>
      </c>
      <c r="K1391" s="9" t="str">
        <f t="shared" si="192"/>
        <v/>
      </c>
      <c r="L1391" s="9">
        <f t="shared" si="193"/>
        <v>0</v>
      </c>
      <c r="M1391" s="9">
        <f t="shared" si="194"/>
        <v>0</v>
      </c>
      <c r="N1391" s="9">
        <f t="array" ref="N1391">+SUM(IFERROR(VALUE(L1391:M1391),0))</f>
        <v>0</v>
      </c>
      <c r="P1391" s="9" t="str">
        <f t="shared" si="195"/>
        <v/>
      </c>
      <c r="Q1391" s="9">
        <f t="shared" si="196"/>
        <v>0</v>
      </c>
      <c r="R1391" s="9">
        <f t="shared" si="197"/>
        <v>0</v>
      </c>
      <c r="S1391" s="9">
        <f t="array" ref="S1391">+SUM(IFERROR(VALUE(Q1391:R1391),0))</f>
        <v>0</v>
      </c>
    </row>
    <row r="1392" spans="1:19">
      <c r="A1392" s="26"/>
      <c r="B1392" s="27"/>
      <c r="C1392" s="27"/>
      <c r="D1392" s="28"/>
      <c r="F1392" s="9" t="str">
        <f t="shared" si="189"/>
        <v/>
      </c>
      <c r="G1392" s="9">
        <f t="shared" si="190"/>
        <v>0</v>
      </c>
      <c r="H1392" s="9">
        <f t="shared" si="191"/>
        <v>0</v>
      </c>
      <c r="I1392" s="9">
        <f t="array" ref="I1392">+SUM(IFERROR(VALUE(G1392:H1392),0))</f>
        <v>0</v>
      </c>
      <c r="K1392" s="9" t="str">
        <f t="shared" si="192"/>
        <v/>
      </c>
      <c r="L1392" s="9">
        <f t="shared" si="193"/>
        <v>0</v>
      </c>
      <c r="M1392" s="9">
        <f t="shared" si="194"/>
        <v>0</v>
      </c>
      <c r="N1392" s="9">
        <f t="array" ref="N1392">+SUM(IFERROR(VALUE(L1392:M1392),0))</f>
        <v>0</v>
      </c>
      <c r="P1392" s="9" t="str">
        <f t="shared" si="195"/>
        <v/>
      </c>
      <c r="Q1392" s="9">
        <f t="shared" si="196"/>
        <v>0</v>
      </c>
      <c r="R1392" s="9">
        <f t="shared" si="197"/>
        <v>0</v>
      </c>
      <c r="S1392" s="9">
        <f t="array" ref="S1392">+SUM(IFERROR(VALUE(Q1392:R1392),0))</f>
        <v>0</v>
      </c>
    </row>
    <row r="1393" spans="1:19">
      <c r="A1393" s="26"/>
      <c r="B1393" s="27"/>
      <c r="C1393" s="27"/>
      <c r="D1393" s="28"/>
      <c r="F1393" s="9" t="str">
        <f t="shared" si="189"/>
        <v/>
      </c>
      <c r="G1393" s="9">
        <f t="shared" si="190"/>
        <v>0</v>
      </c>
      <c r="H1393" s="9">
        <f t="shared" si="191"/>
        <v>0</v>
      </c>
      <c r="I1393" s="9">
        <f t="array" ref="I1393">+SUM(IFERROR(VALUE(G1393:H1393),0))</f>
        <v>0</v>
      </c>
      <c r="K1393" s="9" t="str">
        <f t="shared" si="192"/>
        <v/>
      </c>
      <c r="L1393" s="9">
        <f t="shared" si="193"/>
        <v>0</v>
      </c>
      <c r="M1393" s="9">
        <f t="shared" si="194"/>
        <v>0</v>
      </c>
      <c r="N1393" s="9">
        <f t="array" ref="N1393">+SUM(IFERROR(VALUE(L1393:M1393),0))</f>
        <v>0</v>
      </c>
      <c r="P1393" s="9" t="str">
        <f t="shared" si="195"/>
        <v/>
      </c>
      <c r="Q1393" s="9">
        <f t="shared" si="196"/>
        <v>0</v>
      </c>
      <c r="R1393" s="9">
        <f t="shared" si="197"/>
        <v>0</v>
      </c>
      <c r="S1393" s="9">
        <f t="array" ref="S1393">+SUM(IFERROR(VALUE(Q1393:R1393),0))</f>
        <v>0</v>
      </c>
    </row>
    <row r="1394" spans="1:19">
      <c r="A1394" s="26"/>
      <c r="B1394" s="27"/>
      <c r="C1394" s="27"/>
      <c r="D1394" s="28"/>
      <c r="F1394" s="9" t="str">
        <f t="shared" si="189"/>
        <v/>
      </c>
      <c r="G1394" s="9">
        <f t="shared" si="190"/>
        <v>0</v>
      </c>
      <c r="H1394" s="9">
        <f t="shared" si="191"/>
        <v>0</v>
      </c>
      <c r="I1394" s="9">
        <f t="array" ref="I1394">+SUM(IFERROR(VALUE(G1394:H1394),0))</f>
        <v>0</v>
      </c>
      <c r="K1394" s="9" t="str">
        <f t="shared" si="192"/>
        <v/>
      </c>
      <c r="L1394" s="9">
        <f t="shared" si="193"/>
        <v>0</v>
      </c>
      <c r="M1394" s="9">
        <f t="shared" si="194"/>
        <v>0</v>
      </c>
      <c r="N1394" s="9">
        <f t="array" ref="N1394">+SUM(IFERROR(VALUE(L1394:M1394),0))</f>
        <v>0</v>
      </c>
      <c r="P1394" s="9" t="str">
        <f t="shared" si="195"/>
        <v/>
      </c>
      <c r="Q1394" s="9">
        <f t="shared" si="196"/>
        <v>0</v>
      </c>
      <c r="R1394" s="9">
        <f t="shared" si="197"/>
        <v>0</v>
      </c>
      <c r="S1394" s="9">
        <f t="array" ref="S1394">+SUM(IFERROR(VALUE(Q1394:R1394),0))</f>
        <v>0</v>
      </c>
    </row>
    <row r="1395" spans="1:19">
      <c r="A1395" s="26"/>
      <c r="B1395" s="27"/>
      <c r="C1395" s="27"/>
      <c r="D1395" s="28"/>
      <c r="F1395" s="9" t="str">
        <f t="shared" si="189"/>
        <v/>
      </c>
      <c r="G1395" s="9">
        <f t="shared" si="190"/>
        <v>0</v>
      </c>
      <c r="H1395" s="9">
        <f t="shared" si="191"/>
        <v>0</v>
      </c>
      <c r="I1395" s="9">
        <f t="array" ref="I1395">+SUM(IFERROR(VALUE(G1395:H1395),0))</f>
        <v>0</v>
      </c>
      <c r="K1395" s="9" t="str">
        <f t="shared" si="192"/>
        <v/>
      </c>
      <c r="L1395" s="9">
        <f t="shared" si="193"/>
        <v>0</v>
      </c>
      <c r="M1395" s="9">
        <f t="shared" si="194"/>
        <v>0</v>
      </c>
      <c r="N1395" s="9">
        <f t="array" ref="N1395">+SUM(IFERROR(VALUE(L1395:M1395),0))</f>
        <v>0</v>
      </c>
      <c r="P1395" s="9" t="str">
        <f t="shared" si="195"/>
        <v/>
      </c>
      <c r="Q1395" s="9">
        <f t="shared" si="196"/>
        <v>0</v>
      </c>
      <c r="R1395" s="9">
        <f t="shared" si="197"/>
        <v>0</v>
      </c>
      <c r="S1395" s="9">
        <f t="array" ref="S1395">+SUM(IFERROR(VALUE(Q1395:R1395),0))</f>
        <v>0</v>
      </c>
    </row>
    <row r="1396" spans="1:19">
      <c r="A1396" s="26"/>
      <c r="B1396" s="27"/>
      <c r="C1396" s="27"/>
      <c r="D1396" s="28"/>
      <c r="F1396" s="9" t="str">
        <f t="shared" si="189"/>
        <v/>
      </c>
      <c r="G1396" s="9">
        <f t="shared" si="190"/>
        <v>0</v>
      </c>
      <c r="H1396" s="9">
        <f t="shared" si="191"/>
        <v>0</v>
      </c>
      <c r="I1396" s="9">
        <f t="array" ref="I1396">+SUM(IFERROR(VALUE(G1396:H1396),0))</f>
        <v>0</v>
      </c>
      <c r="K1396" s="9" t="str">
        <f t="shared" si="192"/>
        <v/>
      </c>
      <c r="L1396" s="9">
        <f t="shared" si="193"/>
        <v>0</v>
      </c>
      <c r="M1396" s="9">
        <f t="shared" si="194"/>
        <v>0</v>
      </c>
      <c r="N1396" s="9">
        <f t="array" ref="N1396">+SUM(IFERROR(VALUE(L1396:M1396),0))</f>
        <v>0</v>
      </c>
      <c r="P1396" s="9" t="str">
        <f t="shared" si="195"/>
        <v/>
      </c>
      <c r="Q1396" s="9">
        <f t="shared" si="196"/>
        <v>0</v>
      </c>
      <c r="R1396" s="9">
        <f t="shared" si="197"/>
        <v>0</v>
      </c>
      <c r="S1396" s="9">
        <f t="array" ref="S1396">+SUM(IFERROR(VALUE(Q1396:R1396),0))</f>
        <v>0</v>
      </c>
    </row>
    <row r="1397" spans="1:19">
      <c r="A1397" s="26"/>
      <c r="B1397" s="27"/>
      <c r="C1397" s="27"/>
      <c r="D1397" s="28"/>
      <c r="F1397" s="9" t="str">
        <f t="shared" si="189"/>
        <v/>
      </c>
      <c r="G1397" s="9">
        <f t="shared" si="190"/>
        <v>0</v>
      </c>
      <c r="H1397" s="9">
        <f t="shared" si="191"/>
        <v>0</v>
      </c>
      <c r="I1397" s="9">
        <f t="array" ref="I1397">+SUM(IFERROR(VALUE(G1397:H1397),0))</f>
        <v>0</v>
      </c>
      <c r="K1397" s="9" t="str">
        <f t="shared" si="192"/>
        <v/>
      </c>
      <c r="L1397" s="9">
        <f t="shared" si="193"/>
        <v>0</v>
      </c>
      <c r="M1397" s="9">
        <f t="shared" si="194"/>
        <v>0</v>
      </c>
      <c r="N1397" s="9">
        <f t="array" ref="N1397">+SUM(IFERROR(VALUE(L1397:M1397),0))</f>
        <v>0</v>
      </c>
      <c r="P1397" s="9" t="str">
        <f t="shared" si="195"/>
        <v/>
      </c>
      <c r="Q1397" s="9">
        <f t="shared" si="196"/>
        <v>0</v>
      </c>
      <c r="R1397" s="9">
        <f t="shared" si="197"/>
        <v>0</v>
      </c>
      <c r="S1397" s="9">
        <f t="array" ref="S1397">+SUM(IFERROR(VALUE(Q1397:R1397),0))</f>
        <v>0</v>
      </c>
    </row>
    <row r="1398" spans="1:19">
      <c r="A1398" s="26"/>
      <c r="B1398" s="27"/>
      <c r="C1398" s="27"/>
      <c r="D1398" s="28"/>
      <c r="F1398" s="9" t="str">
        <f t="shared" si="189"/>
        <v/>
      </c>
      <c r="G1398" s="9">
        <f t="shared" si="190"/>
        <v>0</v>
      </c>
      <c r="H1398" s="9">
        <f t="shared" si="191"/>
        <v>0</v>
      </c>
      <c r="I1398" s="9">
        <f t="array" ref="I1398">+SUM(IFERROR(VALUE(G1398:H1398),0))</f>
        <v>0</v>
      </c>
      <c r="K1398" s="9" t="str">
        <f t="shared" si="192"/>
        <v/>
      </c>
      <c r="L1398" s="9">
        <f t="shared" si="193"/>
        <v>0</v>
      </c>
      <c r="M1398" s="9">
        <f t="shared" si="194"/>
        <v>0</v>
      </c>
      <c r="N1398" s="9">
        <f t="array" ref="N1398">+SUM(IFERROR(VALUE(L1398:M1398),0))</f>
        <v>0</v>
      </c>
      <c r="P1398" s="9" t="str">
        <f t="shared" si="195"/>
        <v/>
      </c>
      <c r="Q1398" s="9">
        <f t="shared" si="196"/>
        <v>0</v>
      </c>
      <c r="R1398" s="9">
        <f t="shared" si="197"/>
        <v>0</v>
      </c>
      <c r="S1398" s="9">
        <f t="array" ref="S1398">+SUM(IFERROR(VALUE(Q1398:R1398),0))</f>
        <v>0</v>
      </c>
    </row>
    <row r="1399" spans="1:19">
      <c r="A1399" s="26"/>
      <c r="B1399" s="27"/>
      <c r="C1399" s="27"/>
      <c r="D1399" s="28"/>
      <c r="F1399" s="9" t="str">
        <f t="shared" si="189"/>
        <v/>
      </c>
      <c r="G1399" s="9">
        <f t="shared" si="190"/>
        <v>0</v>
      </c>
      <c r="H1399" s="9">
        <f t="shared" si="191"/>
        <v>0</v>
      </c>
      <c r="I1399" s="9">
        <f t="array" ref="I1399">+SUM(IFERROR(VALUE(G1399:H1399),0))</f>
        <v>0</v>
      </c>
      <c r="K1399" s="9" t="str">
        <f t="shared" si="192"/>
        <v/>
      </c>
      <c r="L1399" s="9">
        <f t="shared" si="193"/>
        <v>0</v>
      </c>
      <c r="M1399" s="9">
        <f t="shared" si="194"/>
        <v>0</v>
      </c>
      <c r="N1399" s="9">
        <f t="array" ref="N1399">+SUM(IFERROR(VALUE(L1399:M1399),0))</f>
        <v>0</v>
      </c>
      <c r="P1399" s="9" t="str">
        <f t="shared" si="195"/>
        <v/>
      </c>
      <c r="Q1399" s="9">
        <f t="shared" si="196"/>
        <v>0</v>
      </c>
      <c r="R1399" s="9">
        <f t="shared" si="197"/>
        <v>0</v>
      </c>
      <c r="S1399" s="9">
        <f t="array" ref="S1399">+SUM(IFERROR(VALUE(Q1399:R1399),0))</f>
        <v>0</v>
      </c>
    </row>
    <row r="1400" spans="1:19">
      <c r="A1400" s="26"/>
      <c r="B1400" s="27"/>
      <c r="C1400" s="27"/>
      <c r="D1400" s="28"/>
      <c r="F1400" s="9" t="str">
        <f t="shared" si="189"/>
        <v/>
      </c>
      <c r="G1400" s="9">
        <f t="shared" si="190"/>
        <v>0</v>
      </c>
      <c r="H1400" s="9">
        <f t="shared" si="191"/>
        <v>0</v>
      </c>
      <c r="I1400" s="9">
        <f t="array" ref="I1400">+SUM(IFERROR(VALUE(G1400:H1400),0))</f>
        <v>0</v>
      </c>
      <c r="K1400" s="9" t="str">
        <f t="shared" si="192"/>
        <v/>
      </c>
      <c r="L1400" s="9">
        <f t="shared" si="193"/>
        <v>0</v>
      </c>
      <c r="M1400" s="9">
        <f t="shared" si="194"/>
        <v>0</v>
      </c>
      <c r="N1400" s="9">
        <f t="array" ref="N1400">+SUM(IFERROR(VALUE(L1400:M1400),0))</f>
        <v>0</v>
      </c>
      <c r="P1400" s="9" t="str">
        <f t="shared" si="195"/>
        <v/>
      </c>
      <c r="Q1400" s="9">
        <f t="shared" si="196"/>
        <v>0</v>
      </c>
      <c r="R1400" s="9">
        <f t="shared" si="197"/>
        <v>0</v>
      </c>
      <c r="S1400" s="9">
        <f t="array" ref="S1400">+SUM(IFERROR(VALUE(Q1400:R1400),0))</f>
        <v>0</v>
      </c>
    </row>
    <row r="1401" spans="1:19">
      <c r="A1401" s="26"/>
      <c r="B1401" s="27"/>
      <c r="C1401" s="27"/>
      <c r="D1401" s="28"/>
      <c r="F1401" s="9" t="str">
        <f t="shared" si="189"/>
        <v/>
      </c>
      <c r="G1401" s="9">
        <f t="shared" si="190"/>
        <v>0</v>
      </c>
      <c r="H1401" s="9">
        <f t="shared" si="191"/>
        <v>0</v>
      </c>
      <c r="I1401" s="9">
        <f t="array" ref="I1401">+SUM(IFERROR(VALUE(G1401:H1401),0))</f>
        <v>0</v>
      </c>
      <c r="K1401" s="9" t="str">
        <f t="shared" si="192"/>
        <v/>
      </c>
      <c r="L1401" s="9">
        <f t="shared" si="193"/>
        <v>0</v>
      </c>
      <c r="M1401" s="9">
        <f t="shared" si="194"/>
        <v>0</v>
      </c>
      <c r="N1401" s="9">
        <f t="array" ref="N1401">+SUM(IFERROR(VALUE(L1401:M1401),0))</f>
        <v>0</v>
      </c>
      <c r="P1401" s="9" t="str">
        <f t="shared" si="195"/>
        <v/>
      </c>
      <c r="Q1401" s="9">
        <f t="shared" si="196"/>
        <v>0</v>
      </c>
      <c r="R1401" s="9">
        <f t="shared" si="197"/>
        <v>0</v>
      </c>
      <c r="S1401" s="9">
        <f t="array" ref="S1401">+SUM(IFERROR(VALUE(Q1401:R1401),0))</f>
        <v>0</v>
      </c>
    </row>
    <row r="1402" spans="1:19">
      <c r="A1402" s="26"/>
      <c r="B1402" s="27"/>
      <c r="C1402" s="27"/>
      <c r="D1402" s="28"/>
      <c r="F1402" s="9" t="str">
        <f t="shared" si="189"/>
        <v/>
      </c>
      <c r="G1402" s="9">
        <f t="shared" si="190"/>
        <v>0</v>
      </c>
      <c r="H1402" s="9">
        <f t="shared" si="191"/>
        <v>0</v>
      </c>
      <c r="I1402" s="9">
        <f t="array" ref="I1402">+SUM(IFERROR(VALUE(G1402:H1402),0))</f>
        <v>0</v>
      </c>
      <c r="K1402" s="9" t="str">
        <f t="shared" si="192"/>
        <v/>
      </c>
      <c r="L1402" s="9">
        <f t="shared" si="193"/>
        <v>0</v>
      </c>
      <c r="M1402" s="9">
        <f t="shared" si="194"/>
        <v>0</v>
      </c>
      <c r="N1402" s="9">
        <f t="array" ref="N1402">+SUM(IFERROR(VALUE(L1402:M1402),0))</f>
        <v>0</v>
      </c>
      <c r="P1402" s="9" t="str">
        <f t="shared" si="195"/>
        <v/>
      </c>
      <c r="Q1402" s="9">
        <f t="shared" si="196"/>
        <v>0</v>
      </c>
      <c r="R1402" s="9">
        <f t="shared" si="197"/>
        <v>0</v>
      </c>
      <c r="S1402" s="9">
        <f t="array" ref="S1402">+SUM(IFERROR(VALUE(Q1402:R1402),0))</f>
        <v>0</v>
      </c>
    </row>
    <row r="1403" spans="1:19">
      <c r="A1403" s="26"/>
      <c r="B1403" s="27"/>
      <c r="C1403" s="27"/>
      <c r="D1403" s="28"/>
      <c r="F1403" s="9" t="str">
        <f t="shared" si="189"/>
        <v/>
      </c>
      <c r="G1403" s="9">
        <f t="shared" si="190"/>
        <v>0</v>
      </c>
      <c r="H1403" s="9">
        <f t="shared" si="191"/>
        <v>0</v>
      </c>
      <c r="I1403" s="9">
        <f t="array" ref="I1403">+SUM(IFERROR(VALUE(G1403:H1403),0))</f>
        <v>0</v>
      </c>
      <c r="K1403" s="9" t="str">
        <f t="shared" si="192"/>
        <v/>
      </c>
      <c r="L1403" s="9">
        <f t="shared" si="193"/>
        <v>0</v>
      </c>
      <c r="M1403" s="9">
        <f t="shared" si="194"/>
        <v>0</v>
      </c>
      <c r="N1403" s="9">
        <f t="array" ref="N1403">+SUM(IFERROR(VALUE(L1403:M1403),0))</f>
        <v>0</v>
      </c>
      <c r="P1403" s="9" t="str">
        <f t="shared" si="195"/>
        <v/>
      </c>
      <c r="Q1403" s="9">
        <f t="shared" si="196"/>
        <v>0</v>
      </c>
      <c r="R1403" s="9">
        <f t="shared" si="197"/>
        <v>0</v>
      </c>
      <c r="S1403" s="9">
        <f t="array" ref="S1403">+SUM(IFERROR(VALUE(Q1403:R1403),0))</f>
        <v>0</v>
      </c>
    </row>
    <row r="1404" spans="1:19">
      <c r="A1404" s="26"/>
      <c r="B1404" s="27"/>
      <c r="C1404" s="27"/>
      <c r="D1404" s="28"/>
      <c r="F1404" s="9" t="str">
        <f t="shared" si="189"/>
        <v/>
      </c>
      <c r="G1404" s="9">
        <f t="shared" si="190"/>
        <v>0</v>
      </c>
      <c r="H1404" s="9">
        <f t="shared" si="191"/>
        <v>0</v>
      </c>
      <c r="I1404" s="9">
        <f t="array" ref="I1404">+SUM(IFERROR(VALUE(G1404:H1404),0))</f>
        <v>0</v>
      </c>
      <c r="K1404" s="9" t="str">
        <f t="shared" si="192"/>
        <v/>
      </c>
      <c r="L1404" s="9">
        <f t="shared" si="193"/>
        <v>0</v>
      </c>
      <c r="M1404" s="9">
        <f t="shared" si="194"/>
        <v>0</v>
      </c>
      <c r="N1404" s="9">
        <f t="array" ref="N1404">+SUM(IFERROR(VALUE(L1404:M1404),0))</f>
        <v>0</v>
      </c>
      <c r="P1404" s="9" t="str">
        <f t="shared" si="195"/>
        <v/>
      </c>
      <c r="Q1404" s="9">
        <f t="shared" si="196"/>
        <v>0</v>
      </c>
      <c r="R1404" s="9">
        <f t="shared" si="197"/>
        <v>0</v>
      </c>
      <c r="S1404" s="9">
        <f t="array" ref="S1404">+SUM(IFERROR(VALUE(Q1404:R1404),0))</f>
        <v>0</v>
      </c>
    </row>
    <row r="1405" spans="1:19">
      <c r="A1405" s="26"/>
      <c r="B1405" s="27"/>
      <c r="C1405" s="27"/>
      <c r="D1405" s="28"/>
      <c r="F1405" s="9" t="str">
        <f t="shared" si="189"/>
        <v/>
      </c>
      <c r="G1405" s="9">
        <f t="shared" si="190"/>
        <v>0</v>
      </c>
      <c r="H1405" s="9">
        <f t="shared" si="191"/>
        <v>0</v>
      </c>
      <c r="I1405" s="9">
        <f t="array" ref="I1405">+SUM(IFERROR(VALUE(G1405:H1405),0))</f>
        <v>0</v>
      </c>
      <c r="K1405" s="9" t="str">
        <f t="shared" si="192"/>
        <v/>
      </c>
      <c r="L1405" s="9">
        <f t="shared" si="193"/>
        <v>0</v>
      </c>
      <c r="M1405" s="9">
        <f t="shared" si="194"/>
        <v>0</v>
      </c>
      <c r="N1405" s="9">
        <f t="array" ref="N1405">+SUM(IFERROR(VALUE(L1405:M1405),0))</f>
        <v>0</v>
      </c>
      <c r="P1405" s="9" t="str">
        <f t="shared" si="195"/>
        <v/>
      </c>
      <c r="Q1405" s="9">
        <f t="shared" si="196"/>
        <v>0</v>
      </c>
      <c r="R1405" s="9">
        <f t="shared" si="197"/>
        <v>0</v>
      </c>
      <c r="S1405" s="9">
        <f t="array" ref="S1405">+SUM(IFERROR(VALUE(Q1405:R1405),0))</f>
        <v>0</v>
      </c>
    </row>
    <row r="1406" spans="1:19">
      <c r="A1406" s="26"/>
      <c r="B1406" s="27"/>
      <c r="C1406" s="27"/>
      <c r="D1406" s="28"/>
      <c r="F1406" s="9" t="str">
        <f t="shared" si="189"/>
        <v/>
      </c>
      <c r="G1406" s="9">
        <f t="shared" si="190"/>
        <v>0</v>
      </c>
      <c r="H1406" s="9">
        <f t="shared" si="191"/>
        <v>0</v>
      </c>
      <c r="I1406" s="9">
        <f t="array" ref="I1406">+SUM(IFERROR(VALUE(G1406:H1406),0))</f>
        <v>0</v>
      </c>
      <c r="K1406" s="9" t="str">
        <f t="shared" si="192"/>
        <v/>
      </c>
      <c r="L1406" s="9">
        <f t="shared" si="193"/>
        <v>0</v>
      </c>
      <c r="M1406" s="9">
        <f t="shared" si="194"/>
        <v>0</v>
      </c>
      <c r="N1406" s="9">
        <f t="array" ref="N1406">+SUM(IFERROR(VALUE(L1406:M1406),0))</f>
        <v>0</v>
      </c>
      <c r="P1406" s="9" t="str">
        <f t="shared" si="195"/>
        <v/>
      </c>
      <c r="Q1406" s="9">
        <f t="shared" si="196"/>
        <v>0</v>
      </c>
      <c r="R1406" s="9">
        <f t="shared" si="197"/>
        <v>0</v>
      </c>
      <c r="S1406" s="9">
        <f t="array" ref="S1406">+SUM(IFERROR(VALUE(Q1406:R1406),0))</f>
        <v>0</v>
      </c>
    </row>
    <row r="1407" spans="1:19">
      <c r="A1407" s="26"/>
      <c r="B1407" s="27"/>
      <c r="C1407" s="27"/>
      <c r="D1407" s="28"/>
      <c r="F1407" s="9" t="str">
        <f t="shared" si="189"/>
        <v/>
      </c>
      <c r="G1407" s="9">
        <f t="shared" si="190"/>
        <v>0</v>
      </c>
      <c r="H1407" s="9">
        <f t="shared" si="191"/>
        <v>0</v>
      </c>
      <c r="I1407" s="9">
        <f t="array" ref="I1407">+SUM(IFERROR(VALUE(G1407:H1407),0))</f>
        <v>0</v>
      </c>
      <c r="K1407" s="9" t="str">
        <f t="shared" si="192"/>
        <v/>
      </c>
      <c r="L1407" s="9">
        <f t="shared" si="193"/>
        <v>0</v>
      </c>
      <c r="M1407" s="9">
        <f t="shared" si="194"/>
        <v>0</v>
      </c>
      <c r="N1407" s="9">
        <f t="array" ref="N1407">+SUM(IFERROR(VALUE(L1407:M1407),0))</f>
        <v>0</v>
      </c>
      <c r="P1407" s="9" t="str">
        <f t="shared" si="195"/>
        <v/>
      </c>
      <c r="Q1407" s="9">
        <f t="shared" si="196"/>
        <v>0</v>
      </c>
      <c r="R1407" s="9">
        <f t="shared" si="197"/>
        <v>0</v>
      </c>
      <c r="S1407" s="9">
        <f t="array" ref="S1407">+SUM(IFERROR(VALUE(Q1407:R1407),0))</f>
        <v>0</v>
      </c>
    </row>
    <row r="1408" spans="1:19">
      <c r="A1408" s="26"/>
      <c r="B1408" s="27"/>
      <c r="C1408" s="27"/>
      <c r="D1408" s="28"/>
      <c r="F1408" s="9" t="str">
        <f t="shared" si="189"/>
        <v/>
      </c>
      <c r="G1408" s="9">
        <f t="shared" si="190"/>
        <v>0</v>
      </c>
      <c r="H1408" s="9">
        <f t="shared" si="191"/>
        <v>0</v>
      </c>
      <c r="I1408" s="9">
        <f t="array" ref="I1408">+SUM(IFERROR(VALUE(G1408:H1408),0))</f>
        <v>0</v>
      </c>
      <c r="K1408" s="9" t="str">
        <f t="shared" si="192"/>
        <v/>
      </c>
      <c r="L1408" s="9">
        <f t="shared" si="193"/>
        <v>0</v>
      </c>
      <c r="M1408" s="9">
        <f t="shared" si="194"/>
        <v>0</v>
      </c>
      <c r="N1408" s="9">
        <f t="array" ref="N1408">+SUM(IFERROR(VALUE(L1408:M1408),0))</f>
        <v>0</v>
      </c>
      <c r="P1408" s="9" t="str">
        <f t="shared" si="195"/>
        <v/>
      </c>
      <c r="Q1408" s="9">
        <f t="shared" si="196"/>
        <v>0</v>
      </c>
      <c r="R1408" s="9">
        <f t="shared" si="197"/>
        <v>0</v>
      </c>
      <c r="S1408" s="9">
        <f t="array" ref="S1408">+SUM(IFERROR(VALUE(Q1408:R1408),0))</f>
        <v>0</v>
      </c>
    </row>
    <row r="1409" spans="1:19">
      <c r="A1409" s="26"/>
      <c r="B1409" s="27"/>
      <c r="C1409" s="27"/>
      <c r="D1409" s="28"/>
      <c r="F1409" s="9" t="str">
        <f t="shared" si="189"/>
        <v/>
      </c>
      <c r="G1409" s="9">
        <f t="shared" si="190"/>
        <v>0</v>
      </c>
      <c r="H1409" s="9">
        <f t="shared" si="191"/>
        <v>0</v>
      </c>
      <c r="I1409" s="9">
        <f t="array" ref="I1409">+SUM(IFERROR(VALUE(G1409:H1409),0))</f>
        <v>0</v>
      </c>
      <c r="K1409" s="9" t="str">
        <f t="shared" si="192"/>
        <v/>
      </c>
      <c r="L1409" s="9">
        <f t="shared" si="193"/>
        <v>0</v>
      </c>
      <c r="M1409" s="9">
        <f t="shared" si="194"/>
        <v>0</v>
      </c>
      <c r="N1409" s="9">
        <f t="array" ref="N1409">+SUM(IFERROR(VALUE(L1409:M1409),0))</f>
        <v>0</v>
      </c>
      <c r="P1409" s="9" t="str">
        <f t="shared" si="195"/>
        <v/>
      </c>
      <c r="Q1409" s="9">
        <f t="shared" si="196"/>
        <v>0</v>
      </c>
      <c r="R1409" s="9">
        <f t="shared" si="197"/>
        <v>0</v>
      </c>
      <c r="S1409" s="9">
        <f t="array" ref="S1409">+SUM(IFERROR(VALUE(Q1409:R1409),0))</f>
        <v>0</v>
      </c>
    </row>
    <row r="1410" spans="1:19">
      <c r="A1410" s="26"/>
      <c r="B1410" s="27"/>
      <c r="C1410" s="27"/>
      <c r="D1410" s="28"/>
      <c r="F1410" s="9" t="str">
        <f t="shared" si="189"/>
        <v/>
      </c>
      <c r="G1410" s="9">
        <f t="shared" si="190"/>
        <v>0</v>
      </c>
      <c r="H1410" s="9">
        <f t="shared" si="191"/>
        <v>0</v>
      </c>
      <c r="I1410" s="9">
        <f t="array" ref="I1410">+SUM(IFERROR(VALUE(G1410:H1410),0))</f>
        <v>0</v>
      </c>
      <c r="K1410" s="9" t="str">
        <f t="shared" si="192"/>
        <v/>
      </c>
      <c r="L1410" s="9">
        <f t="shared" si="193"/>
        <v>0</v>
      </c>
      <c r="M1410" s="9">
        <f t="shared" si="194"/>
        <v>0</v>
      </c>
      <c r="N1410" s="9">
        <f t="array" ref="N1410">+SUM(IFERROR(VALUE(L1410:M1410),0))</f>
        <v>0</v>
      </c>
      <c r="P1410" s="9" t="str">
        <f t="shared" si="195"/>
        <v/>
      </c>
      <c r="Q1410" s="9">
        <f t="shared" si="196"/>
        <v>0</v>
      </c>
      <c r="R1410" s="9">
        <f t="shared" si="197"/>
        <v>0</v>
      </c>
      <c r="S1410" s="9">
        <f t="array" ref="S1410">+SUM(IFERROR(VALUE(Q1410:R1410),0))</f>
        <v>0</v>
      </c>
    </row>
    <row r="1411" spans="1:19">
      <c r="A1411" s="26"/>
      <c r="B1411" s="27"/>
      <c r="C1411" s="27"/>
      <c r="D1411" s="28"/>
      <c r="F1411" s="9" t="str">
        <f t="shared" si="189"/>
        <v/>
      </c>
      <c r="G1411" s="9">
        <f t="shared" si="190"/>
        <v>0</v>
      </c>
      <c r="H1411" s="9">
        <f t="shared" si="191"/>
        <v>0</v>
      </c>
      <c r="I1411" s="9">
        <f t="array" ref="I1411">+SUM(IFERROR(VALUE(G1411:H1411),0))</f>
        <v>0</v>
      </c>
      <c r="K1411" s="9" t="str">
        <f t="shared" si="192"/>
        <v/>
      </c>
      <c r="L1411" s="9">
        <f t="shared" si="193"/>
        <v>0</v>
      </c>
      <c r="M1411" s="9">
        <f t="shared" si="194"/>
        <v>0</v>
      </c>
      <c r="N1411" s="9">
        <f t="array" ref="N1411">+SUM(IFERROR(VALUE(L1411:M1411),0))</f>
        <v>0</v>
      </c>
      <c r="P1411" s="9" t="str">
        <f t="shared" si="195"/>
        <v/>
      </c>
      <c r="Q1411" s="9">
        <f t="shared" si="196"/>
        <v>0</v>
      </c>
      <c r="R1411" s="9">
        <f t="shared" si="197"/>
        <v>0</v>
      </c>
      <c r="S1411" s="9">
        <f t="array" ref="S1411">+SUM(IFERROR(VALUE(Q1411:R1411),0))</f>
        <v>0</v>
      </c>
    </row>
    <row r="1412" spans="1:19">
      <c r="A1412" s="26"/>
      <c r="B1412" s="27"/>
      <c r="C1412" s="27"/>
      <c r="D1412" s="28"/>
      <c r="F1412" s="9" t="str">
        <f t="shared" si="189"/>
        <v/>
      </c>
      <c r="G1412" s="9">
        <f t="shared" si="190"/>
        <v>0</v>
      </c>
      <c r="H1412" s="9">
        <f t="shared" si="191"/>
        <v>0</v>
      </c>
      <c r="I1412" s="9">
        <f t="array" ref="I1412">+SUM(IFERROR(VALUE(G1412:H1412),0))</f>
        <v>0</v>
      </c>
      <c r="K1412" s="9" t="str">
        <f t="shared" si="192"/>
        <v/>
      </c>
      <c r="L1412" s="9">
        <f t="shared" si="193"/>
        <v>0</v>
      </c>
      <c r="M1412" s="9">
        <f t="shared" si="194"/>
        <v>0</v>
      </c>
      <c r="N1412" s="9">
        <f t="array" ref="N1412">+SUM(IFERROR(VALUE(L1412:M1412),0))</f>
        <v>0</v>
      </c>
      <c r="P1412" s="9" t="str">
        <f t="shared" si="195"/>
        <v/>
      </c>
      <c r="Q1412" s="9">
        <f t="shared" si="196"/>
        <v>0</v>
      </c>
      <c r="R1412" s="9">
        <f t="shared" si="197"/>
        <v>0</v>
      </c>
      <c r="S1412" s="9">
        <f t="array" ref="S1412">+SUM(IFERROR(VALUE(Q1412:R1412),0))</f>
        <v>0</v>
      </c>
    </row>
    <row r="1413" spans="1:19">
      <c r="A1413" s="26"/>
      <c r="B1413" s="27"/>
      <c r="C1413" s="27"/>
      <c r="D1413" s="28"/>
      <c r="F1413" s="9" t="str">
        <f t="shared" si="189"/>
        <v/>
      </c>
      <c r="G1413" s="9">
        <f t="shared" si="190"/>
        <v>0</v>
      </c>
      <c r="H1413" s="9">
        <f t="shared" si="191"/>
        <v>0</v>
      </c>
      <c r="I1413" s="9">
        <f t="array" ref="I1413">+SUM(IFERROR(VALUE(G1413:H1413),0))</f>
        <v>0</v>
      </c>
      <c r="K1413" s="9" t="str">
        <f t="shared" si="192"/>
        <v/>
      </c>
      <c r="L1413" s="9">
        <f t="shared" si="193"/>
        <v>0</v>
      </c>
      <c r="M1413" s="9">
        <f t="shared" si="194"/>
        <v>0</v>
      </c>
      <c r="N1413" s="9">
        <f t="array" ref="N1413">+SUM(IFERROR(VALUE(L1413:M1413),0))</f>
        <v>0</v>
      </c>
      <c r="P1413" s="9" t="str">
        <f t="shared" si="195"/>
        <v/>
      </c>
      <c r="Q1413" s="9">
        <f t="shared" si="196"/>
        <v>0</v>
      </c>
      <c r="R1413" s="9">
        <f t="shared" si="197"/>
        <v>0</v>
      </c>
      <c r="S1413" s="9">
        <f t="array" ref="S1413">+SUM(IFERROR(VALUE(Q1413:R1413),0))</f>
        <v>0</v>
      </c>
    </row>
    <row r="1414" spans="1:19">
      <c r="A1414" s="26"/>
      <c r="B1414" s="27"/>
      <c r="C1414" s="27"/>
      <c r="D1414" s="28"/>
      <c r="F1414" s="9" t="str">
        <f t="shared" ref="F1414:F1477" si="198">+LEFT(A1414,4)</f>
        <v/>
      </c>
      <c r="G1414" s="9">
        <f t="shared" ref="G1414:G1477" si="199">+C1414</f>
        <v>0</v>
      </c>
      <c r="H1414" s="9">
        <f t="shared" ref="H1414:H1477" si="200">-D1414</f>
        <v>0</v>
      </c>
      <c r="I1414" s="9">
        <f t="array" ref="I1414">+SUM(IFERROR(VALUE(G1414:H1414),0))</f>
        <v>0</v>
      </c>
      <c r="K1414" s="9" t="str">
        <f t="shared" ref="K1414:K1477" si="201">+LEFT(A1414,3)</f>
        <v/>
      </c>
      <c r="L1414" s="9">
        <f t="shared" ref="L1414:L1477" si="202">+C1414</f>
        <v>0</v>
      </c>
      <c r="M1414" s="9">
        <f t="shared" ref="M1414:M1477" si="203">-D1414</f>
        <v>0</v>
      </c>
      <c r="N1414" s="9">
        <f t="array" ref="N1414">+SUM(IFERROR(VALUE(L1414:M1414),0))</f>
        <v>0</v>
      </c>
      <c r="P1414" s="9" t="str">
        <f t="shared" ref="P1414:P1477" si="204">+LEFT(A1414,2)</f>
        <v/>
      </c>
      <c r="Q1414" s="9">
        <f t="shared" ref="Q1414:Q1477" si="205">+C1414</f>
        <v>0</v>
      </c>
      <c r="R1414" s="9">
        <f t="shared" ref="R1414:R1477" si="206">-D1414</f>
        <v>0</v>
      </c>
      <c r="S1414" s="9">
        <f t="array" ref="S1414">+SUM(IFERROR(VALUE(Q1414:R1414),0))</f>
        <v>0</v>
      </c>
    </row>
    <row r="1415" spans="1:19">
      <c r="A1415" s="26"/>
      <c r="B1415" s="27"/>
      <c r="C1415" s="27"/>
      <c r="D1415" s="28"/>
      <c r="F1415" s="9" t="str">
        <f t="shared" si="198"/>
        <v/>
      </c>
      <c r="G1415" s="9">
        <f t="shared" si="199"/>
        <v>0</v>
      </c>
      <c r="H1415" s="9">
        <f t="shared" si="200"/>
        <v>0</v>
      </c>
      <c r="I1415" s="9">
        <f t="array" ref="I1415">+SUM(IFERROR(VALUE(G1415:H1415),0))</f>
        <v>0</v>
      </c>
      <c r="K1415" s="9" t="str">
        <f t="shared" si="201"/>
        <v/>
      </c>
      <c r="L1415" s="9">
        <f t="shared" si="202"/>
        <v>0</v>
      </c>
      <c r="M1415" s="9">
        <f t="shared" si="203"/>
        <v>0</v>
      </c>
      <c r="N1415" s="9">
        <f t="array" ref="N1415">+SUM(IFERROR(VALUE(L1415:M1415),0))</f>
        <v>0</v>
      </c>
      <c r="P1415" s="9" t="str">
        <f t="shared" si="204"/>
        <v/>
      </c>
      <c r="Q1415" s="9">
        <f t="shared" si="205"/>
        <v>0</v>
      </c>
      <c r="R1415" s="9">
        <f t="shared" si="206"/>
        <v>0</v>
      </c>
      <c r="S1415" s="9">
        <f t="array" ref="S1415">+SUM(IFERROR(VALUE(Q1415:R1415),0))</f>
        <v>0</v>
      </c>
    </row>
    <row r="1416" spans="1:19">
      <c r="A1416" s="26"/>
      <c r="B1416" s="27"/>
      <c r="C1416" s="27"/>
      <c r="D1416" s="28"/>
      <c r="F1416" s="9" t="str">
        <f t="shared" si="198"/>
        <v/>
      </c>
      <c r="G1416" s="9">
        <f t="shared" si="199"/>
        <v>0</v>
      </c>
      <c r="H1416" s="9">
        <f t="shared" si="200"/>
        <v>0</v>
      </c>
      <c r="I1416" s="9">
        <f t="array" ref="I1416">+SUM(IFERROR(VALUE(G1416:H1416),0))</f>
        <v>0</v>
      </c>
      <c r="K1416" s="9" t="str">
        <f t="shared" si="201"/>
        <v/>
      </c>
      <c r="L1416" s="9">
        <f t="shared" si="202"/>
        <v>0</v>
      </c>
      <c r="M1416" s="9">
        <f t="shared" si="203"/>
        <v>0</v>
      </c>
      <c r="N1416" s="9">
        <f t="array" ref="N1416">+SUM(IFERROR(VALUE(L1416:M1416),0))</f>
        <v>0</v>
      </c>
      <c r="P1416" s="9" t="str">
        <f t="shared" si="204"/>
        <v/>
      </c>
      <c r="Q1416" s="9">
        <f t="shared" si="205"/>
        <v>0</v>
      </c>
      <c r="R1416" s="9">
        <f t="shared" si="206"/>
        <v>0</v>
      </c>
      <c r="S1416" s="9">
        <f t="array" ref="S1416">+SUM(IFERROR(VALUE(Q1416:R1416),0))</f>
        <v>0</v>
      </c>
    </row>
    <row r="1417" spans="1:19">
      <c r="A1417" s="26"/>
      <c r="B1417" s="27"/>
      <c r="C1417" s="27"/>
      <c r="D1417" s="28"/>
      <c r="F1417" s="9" t="str">
        <f t="shared" si="198"/>
        <v/>
      </c>
      <c r="G1417" s="9">
        <f t="shared" si="199"/>
        <v>0</v>
      </c>
      <c r="H1417" s="9">
        <f t="shared" si="200"/>
        <v>0</v>
      </c>
      <c r="I1417" s="9">
        <f t="array" ref="I1417">+SUM(IFERROR(VALUE(G1417:H1417),0))</f>
        <v>0</v>
      </c>
      <c r="K1417" s="9" t="str">
        <f t="shared" si="201"/>
        <v/>
      </c>
      <c r="L1417" s="9">
        <f t="shared" si="202"/>
        <v>0</v>
      </c>
      <c r="M1417" s="9">
        <f t="shared" si="203"/>
        <v>0</v>
      </c>
      <c r="N1417" s="9">
        <f t="array" ref="N1417">+SUM(IFERROR(VALUE(L1417:M1417),0))</f>
        <v>0</v>
      </c>
      <c r="P1417" s="9" t="str">
        <f t="shared" si="204"/>
        <v/>
      </c>
      <c r="Q1417" s="9">
        <f t="shared" si="205"/>
        <v>0</v>
      </c>
      <c r="R1417" s="9">
        <f t="shared" si="206"/>
        <v>0</v>
      </c>
      <c r="S1417" s="9">
        <f t="array" ref="S1417">+SUM(IFERROR(VALUE(Q1417:R1417),0))</f>
        <v>0</v>
      </c>
    </row>
    <row r="1418" spans="1:19">
      <c r="A1418" s="26"/>
      <c r="B1418" s="27"/>
      <c r="C1418" s="27"/>
      <c r="D1418" s="28"/>
      <c r="F1418" s="9" t="str">
        <f t="shared" si="198"/>
        <v/>
      </c>
      <c r="G1418" s="9">
        <f t="shared" si="199"/>
        <v>0</v>
      </c>
      <c r="H1418" s="9">
        <f t="shared" si="200"/>
        <v>0</v>
      </c>
      <c r="I1418" s="9">
        <f t="array" ref="I1418">+SUM(IFERROR(VALUE(G1418:H1418),0))</f>
        <v>0</v>
      </c>
      <c r="K1418" s="9" t="str">
        <f t="shared" si="201"/>
        <v/>
      </c>
      <c r="L1418" s="9">
        <f t="shared" si="202"/>
        <v>0</v>
      </c>
      <c r="M1418" s="9">
        <f t="shared" si="203"/>
        <v>0</v>
      </c>
      <c r="N1418" s="9">
        <f t="array" ref="N1418">+SUM(IFERROR(VALUE(L1418:M1418),0))</f>
        <v>0</v>
      </c>
      <c r="P1418" s="9" t="str">
        <f t="shared" si="204"/>
        <v/>
      </c>
      <c r="Q1418" s="9">
        <f t="shared" si="205"/>
        <v>0</v>
      </c>
      <c r="R1418" s="9">
        <f t="shared" si="206"/>
        <v>0</v>
      </c>
      <c r="S1418" s="9">
        <f t="array" ref="S1418">+SUM(IFERROR(VALUE(Q1418:R1418),0))</f>
        <v>0</v>
      </c>
    </row>
    <row r="1419" spans="1:19">
      <c r="A1419" s="26"/>
      <c r="B1419" s="27"/>
      <c r="C1419" s="27"/>
      <c r="D1419" s="28"/>
      <c r="F1419" s="9" t="str">
        <f t="shared" si="198"/>
        <v/>
      </c>
      <c r="G1419" s="9">
        <f t="shared" si="199"/>
        <v>0</v>
      </c>
      <c r="H1419" s="9">
        <f t="shared" si="200"/>
        <v>0</v>
      </c>
      <c r="I1419" s="9">
        <f t="array" ref="I1419">+SUM(IFERROR(VALUE(G1419:H1419),0))</f>
        <v>0</v>
      </c>
      <c r="K1419" s="9" t="str">
        <f t="shared" si="201"/>
        <v/>
      </c>
      <c r="L1419" s="9">
        <f t="shared" si="202"/>
        <v>0</v>
      </c>
      <c r="M1419" s="9">
        <f t="shared" si="203"/>
        <v>0</v>
      </c>
      <c r="N1419" s="9">
        <f t="array" ref="N1419">+SUM(IFERROR(VALUE(L1419:M1419),0))</f>
        <v>0</v>
      </c>
      <c r="P1419" s="9" t="str">
        <f t="shared" si="204"/>
        <v/>
      </c>
      <c r="Q1419" s="9">
        <f t="shared" si="205"/>
        <v>0</v>
      </c>
      <c r="R1419" s="9">
        <f t="shared" si="206"/>
        <v>0</v>
      </c>
      <c r="S1419" s="9">
        <f t="array" ref="S1419">+SUM(IFERROR(VALUE(Q1419:R1419),0))</f>
        <v>0</v>
      </c>
    </row>
    <row r="1420" spans="1:19">
      <c r="A1420" s="26"/>
      <c r="B1420" s="27"/>
      <c r="C1420" s="27"/>
      <c r="D1420" s="28"/>
      <c r="F1420" s="9" t="str">
        <f t="shared" si="198"/>
        <v/>
      </c>
      <c r="G1420" s="9">
        <f t="shared" si="199"/>
        <v>0</v>
      </c>
      <c r="H1420" s="9">
        <f t="shared" si="200"/>
        <v>0</v>
      </c>
      <c r="I1420" s="9">
        <f t="array" ref="I1420">+SUM(IFERROR(VALUE(G1420:H1420),0))</f>
        <v>0</v>
      </c>
      <c r="K1420" s="9" t="str">
        <f t="shared" si="201"/>
        <v/>
      </c>
      <c r="L1420" s="9">
        <f t="shared" si="202"/>
        <v>0</v>
      </c>
      <c r="M1420" s="9">
        <f t="shared" si="203"/>
        <v>0</v>
      </c>
      <c r="N1420" s="9">
        <f t="array" ref="N1420">+SUM(IFERROR(VALUE(L1420:M1420),0))</f>
        <v>0</v>
      </c>
      <c r="P1420" s="9" t="str">
        <f t="shared" si="204"/>
        <v/>
      </c>
      <c r="Q1420" s="9">
        <f t="shared" si="205"/>
        <v>0</v>
      </c>
      <c r="R1420" s="9">
        <f t="shared" si="206"/>
        <v>0</v>
      </c>
      <c r="S1420" s="9">
        <f t="array" ref="S1420">+SUM(IFERROR(VALUE(Q1420:R1420),0))</f>
        <v>0</v>
      </c>
    </row>
    <row r="1421" spans="1:19">
      <c r="A1421" s="26"/>
      <c r="B1421" s="27"/>
      <c r="C1421" s="27"/>
      <c r="D1421" s="28"/>
      <c r="F1421" s="9" t="str">
        <f t="shared" si="198"/>
        <v/>
      </c>
      <c r="G1421" s="9">
        <f t="shared" si="199"/>
        <v>0</v>
      </c>
      <c r="H1421" s="9">
        <f t="shared" si="200"/>
        <v>0</v>
      </c>
      <c r="I1421" s="9">
        <f t="array" ref="I1421">+SUM(IFERROR(VALUE(G1421:H1421),0))</f>
        <v>0</v>
      </c>
      <c r="K1421" s="9" t="str">
        <f t="shared" si="201"/>
        <v/>
      </c>
      <c r="L1421" s="9">
        <f t="shared" si="202"/>
        <v>0</v>
      </c>
      <c r="M1421" s="9">
        <f t="shared" si="203"/>
        <v>0</v>
      </c>
      <c r="N1421" s="9">
        <f t="array" ref="N1421">+SUM(IFERROR(VALUE(L1421:M1421),0))</f>
        <v>0</v>
      </c>
      <c r="P1421" s="9" t="str">
        <f t="shared" si="204"/>
        <v/>
      </c>
      <c r="Q1421" s="9">
        <f t="shared" si="205"/>
        <v>0</v>
      </c>
      <c r="R1421" s="9">
        <f t="shared" si="206"/>
        <v>0</v>
      </c>
      <c r="S1421" s="9">
        <f t="array" ref="S1421">+SUM(IFERROR(VALUE(Q1421:R1421),0))</f>
        <v>0</v>
      </c>
    </row>
    <row r="1422" spans="1:19">
      <c r="A1422" s="26"/>
      <c r="B1422" s="27"/>
      <c r="C1422" s="27"/>
      <c r="D1422" s="28"/>
      <c r="F1422" s="9" t="str">
        <f t="shared" si="198"/>
        <v/>
      </c>
      <c r="G1422" s="9">
        <f t="shared" si="199"/>
        <v>0</v>
      </c>
      <c r="H1422" s="9">
        <f t="shared" si="200"/>
        <v>0</v>
      </c>
      <c r="I1422" s="9">
        <f t="array" ref="I1422">+SUM(IFERROR(VALUE(G1422:H1422),0))</f>
        <v>0</v>
      </c>
      <c r="K1422" s="9" t="str">
        <f t="shared" si="201"/>
        <v/>
      </c>
      <c r="L1422" s="9">
        <f t="shared" si="202"/>
        <v>0</v>
      </c>
      <c r="M1422" s="9">
        <f t="shared" si="203"/>
        <v>0</v>
      </c>
      <c r="N1422" s="9">
        <f t="array" ref="N1422">+SUM(IFERROR(VALUE(L1422:M1422),0))</f>
        <v>0</v>
      </c>
      <c r="P1422" s="9" t="str">
        <f t="shared" si="204"/>
        <v/>
      </c>
      <c r="Q1422" s="9">
        <f t="shared" si="205"/>
        <v>0</v>
      </c>
      <c r="R1422" s="9">
        <f t="shared" si="206"/>
        <v>0</v>
      </c>
      <c r="S1422" s="9">
        <f t="array" ref="S1422">+SUM(IFERROR(VALUE(Q1422:R1422),0))</f>
        <v>0</v>
      </c>
    </row>
    <row r="1423" spans="1:19">
      <c r="A1423" s="26"/>
      <c r="B1423" s="27"/>
      <c r="C1423" s="27"/>
      <c r="D1423" s="28"/>
      <c r="F1423" s="9" t="str">
        <f t="shared" si="198"/>
        <v/>
      </c>
      <c r="G1423" s="9">
        <f t="shared" si="199"/>
        <v>0</v>
      </c>
      <c r="H1423" s="9">
        <f t="shared" si="200"/>
        <v>0</v>
      </c>
      <c r="I1423" s="9">
        <f t="array" ref="I1423">+SUM(IFERROR(VALUE(G1423:H1423),0))</f>
        <v>0</v>
      </c>
      <c r="K1423" s="9" t="str">
        <f t="shared" si="201"/>
        <v/>
      </c>
      <c r="L1423" s="9">
        <f t="shared" si="202"/>
        <v>0</v>
      </c>
      <c r="M1423" s="9">
        <f t="shared" si="203"/>
        <v>0</v>
      </c>
      <c r="N1423" s="9">
        <f t="array" ref="N1423">+SUM(IFERROR(VALUE(L1423:M1423),0))</f>
        <v>0</v>
      </c>
      <c r="P1423" s="9" t="str">
        <f t="shared" si="204"/>
        <v/>
      </c>
      <c r="Q1423" s="9">
        <f t="shared" si="205"/>
        <v>0</v>
      </c>
      <c r="R1423" s="9">
        <f t="shared" si="206"/>
        <v>0</v>
      </c>
      <c r="S1423" s="9">
        <f t="array" ref="S1423">+SUM(IFERROR(VALUE(Q1423:R1423),0))</f>
        <v>0</v>
      </c>
    </row>
    <row r="1424" spans="1:19">
      <c r="A1424" s="26"/>
      <c r="B1424" s="27"/>
      <c r="C1424" s="27"/>
      <c r="D1424" s="28"/>
      <c r="F1424" s="9" t="str">
        <f t="shared" si="198"/>
        <v/>
      </c>
      <c r="G1424" s="9">
        <f t="shared" si="199"/>
        <v>0</v>
      </c>
      <c r="H1424" s="9">
        <f t="shared" si="200"/>
        <v>0</v>
      </c>
      <c r="I1424" s="9">
        <f t="array" ref="I1424">+SUM(IFERROR(VALUE(G1424:H1424),0))</f>
        <v>0</v>
      </c>
      <c r="K1424" s="9" t="str">
        <f t="shared" si="201"/>
        <v/>
      </c>
      <c r="L1424" s="9">
        <f t="shared" si="202"/>
        <v>0</v>
      </c>
      <c r="M1424" s="9">
        <f t="shared" si="203"/>
        <v>0</v>
      </c>
      <c r="N1424" s="9">
        <f t="array" ref="N1424">+SUM(IFERROR(VALUE(L1424:M1424),0))</f>
        <v>0</v>
      </c>
      <c r="P1424" s="9" t="str">
        <f t="shared" si="204"/>
        <v/>
      </c>
      <c r="Q1424" s="9">
        <f t="shared" si="205"/>
        <v>0</v>
      </c>
      <c r="R1424" s="9">
        <f t="shared" si="206"/>
        <v>0</v>
      </c>
      <c r="S1424" s="9">
        <f t="array" ref="S1424">+SUM(IFERROR(VALUE(Q1424:R1424),0))</f>
        <v>0</v>
      </c>
    </row>
    <row r="1425" spans="1:19">
      <c r="A1425" s="26"/>
      <c r="B1425" s="27"/>
      <c r="C1425" s="27"/>
      <c r="D1425" s="28"/>
      <c r="F1425" s="9" t="str">
        <f t="shared" si="198"/>
        <v/>
      </c>
      <c r="G1425" s="9">
        <f t="shared" si="199"/>
        <v>0</v>
      </c>
      <c r="H1425" s="9">
        <f t="shared" si="200"/>
        <v>0</v>
      </c>
      <c r="I1425" s="9">
        <f t="array" ref="I1425">+SUM(IFERROR(VALUE(G1425:H1425),0))</f>
        <v>0</v>
      </c>
      <c r="K1425" s="9" t="str">
        <f t="shared" si="201"/>
        <v/>
      </c>
      <c r="L1425" s="9">
        <f t="shared" si="202"/>
        <v>0</v>
      </c>
      <c r="M1425" s="9">
        <f t="shared" si="203"/>
        <v>0</v>
      </c>
      <c r="N1425" s="9">
        <f t="array" ref="N1425">+SUM(IFERROR(VALUE(L1425:M1425),0))</f>
        <v>0</v>
      </c>
      <c r="P1425" s="9" t="str">
        <f t="shared" si="204"/>
        <v/>
      </c>
      <c r="Q1425" s="9">
        <f t="shared" si="205"/>
        <v>0</v>
      </c>
      <c r="R1425" s="9">
        <f t="shared" si="206"/>
        <v>0</v>
      </c>
      <c r="S1425" s="9">
        <f t="array" ref="S1425">+SUM(IFERROR(VALUE(Q1425:R1425),0))</f>
        <v>0</v>
      </c>
    </row>
    <row r="1426" spans="1:19">
      <c r="A1426" s="26"/>
      <c r="B1426" s="27"/>
      <c r="C1426" s="27"/>
      <c r="D1426" s="28"/>
      <c r="F1426" s="9" t="str">
        <f t="shared" si="198"/>
        <v/>
      </c>
      <c r="G1426" s="9">
        <f t="shared" si="199"/>
        <v>0</v>
      </c>
      <c r="H1426" s="9">
        <f t="shared" si="200"/>
        <v>0</v>
      </c>
      <c r="I1426" s="9">
        <f t="array" ref="I1426">+SUM(IFERROR(VALUE(G1426:H1426),0))</f>
        <v>0</v>
      </c>
      <c r="K1426" s="9" t="str">
        <f t="shared" si="201"/>
        <v/>
      </c>
      <c r="L1426" s="9">
        <f t="shared" si="202"/>
        <v>0</v>
      </c>
      <c r="M1426" s="9">
        <f t="shared" si="203"/>
        <v>0</v>
      </c>
      <c r="N1426" s="9">
        <f t="array" ref="N1426">+SUM(IFERROR(VALUE(L1426:M1426),0))</f>
        <v>0</v>
      </c>
      <c r="P1426" s="9" t="str">
        <f t="shared" si="204"/>
        <v/>
      </c>
      <c r="Q1426" s="9">
        <f t="shared" si="205"/>
        <v>0</v>
      </c>
      <c r="R1426" s="9">
        <f t="shared" si="206"/>
        <v>0</v>
      </c>
      <c r="S1426" s="9">
        <f t="array" ref="S1426">+SUM(IFERROR(VALUE(Q1426:R1426),0))</f>
        <v>0</v>
      </c>
    </row>
    <row r="1427" spans="1:19">
      <c r="A1427" s="26"/>
      <c r="B1427" s="27"/>
      <c r="C1427" s="27"/>
      <c r="D1427" s="28"/>
      <c r="F1427" s="9" t="str">
        <f t="shared" si="198"/>
        <v/>
      </c>
      <c r="G1427" s="9">
        <f t="shared" si="199"/>
        <v>0</v>
      </c>
      <c r="H1427" s="9">
        <f t="shared" si="200"/>
        <v>0</v>
      </c>
      <c r="I1427" s="9">
        <f t="array" ref="I1427">+SUM(IFERROR(VALUE(G1427:H1427),0))</f>
        <v>0</v>
      </c>
      <c r="K1427" s="9" t="str">
        <f t="shared" si="201"/>
        <v/>
      </c>
      <c r="L1427" s="9">
        <f t="shared" si="202"/>
        <v>0</v>
      </c>
      <c r="M1427" s="9">
        <f t="shared" si="203"/>
        <v>0</v>
      </c>
      <c r="N1427" s="9">
        <f t="array" ref="N1427">+SUM(IFERROR(VALUE(L1427:M1427),0))</f>
        <v>0</v>
      </c>
      <c r="P1427" s="9" t="str">
        <f t="shared" si="204"/>
        <v/>
      </c>
      <c r="Q1427" s="9">
        <f t="shared" si="205"/>
        <v>0</v>
      </c>
      <c r="R1427" s="9">
        <f t="shared" si="206"/>
        <v>0</v>
      </c>
      <c r="S1427" s="9">
        <f t="array" ref="S1427">+SUM(IFERROR(VALUE(Q1427:R1427),0))</f>
        <v>0</v>
      </c>
    </row>
    <row r="1428" spans="1:19">
      <c r="A1428" s="26"/>
      <c r="B1428" s="27"/>
      <c r="C1428" s="27"/>
      <c r="D1428" s="28"/>
      <c r="F1428" s="9" t="str">
        <f t="shared" si="198"/>
        <v/>
      </c>
      <c r="G1428" s="9">
        <f t="shared" si="199"/>
        <v>0</v>
      </c>
      <c r="H1428" s="9">
        <f t="shared" si="200"/>
        <v>0</v>
      </c>
      <c r="I1428" s="9">
        <f t="array" ref="I1428">+SUM(IFERROR(VALUE(G1428:H1428),0))</f>
        <v>0</v>
      </c>
      <c r="K1428" s="9" t="str">
        <f t="shared" si="201"/>
        <v/>
      </c>
      <c r="L1428" s="9">
        <f t="shared" si="202"/>
        <v>0</v>
      </c>
      <c r="M1428" s="9">
        <f t="shared" si="203"/>
        <v>0</v>
      </c>
      <c r="N1428" s="9">
        <f t="array" ref="N1428">+SUM(IFERROR(VALUE(L1428:M1428),0))</f>
        <v>0</v>
      </c>
      <c r="P1428" s="9" t="str">
        <f t="shared" si="204"/>
        <v/>
      </c>
      <c r="Q1428" s="9">
        <f t="shared" si="205"/>
        <v>0</v>
      </c>
      <c r="R1428" s="9">
        <f t="shared" si="206"/>
        <v>0</v>
      </c>
      <c r="S1428" s="9">
        <f t="array" ref="S1428">+SUM(IFERROR(VALUE(Q1428:R1428),0))</f>
        <v>0</v>
      </c>
    </row>
    <row r="1429" spans="1:19">
      <c r="A1429" s="26"/>
      <c r="B1429" s="27"/>
      <c r="C1429" s="27"/>
      <c r="D1429" s="28"/>
      <c r="F1429" s="9" t="str">
        <f t="shared" si="198"/>
        <v/>
      </c>
      <c r="G1429" s="9">
        <f t="shared" si="199"/>
        <v>0</v>
      </c>
      <c r="H1429" s="9">
        <f t="shared" si="200"/>
        <v>0</v>
      </c>
      <c r="I1429" s="9">
        <f t="array" ref="I1429">+SUM(IFERROR(VALUE(G1429:H1429),0))</f>
        <v>0</v>
      </c>
      <c r="K1429" s="9" t="str">
        <f t="shared" si="201"/>
        <v/>
      </c>
      <c r="L1429" s="9">
        <f t="shared" si="202"/>
        <v>0</v>
      </c>
      <c r="M1429" s="9">
        <f t="shared" si="203"/>
        <v>0</v>
      </c>
      <c r="N1429" s="9">
        <f t="array" ref="N1429">+SUM(IFERROR(VALUE(L1429:M1429),0))</f>
        <v>0</v>
      </c>
      <c r="P1429" s="9" t="str">
        <f t="shared" si="204"/>
        <v/>
      </c>
      <c r="Q1429" s="9">
        <f t="shared" si="205"/>
        <v>0</v>
      </c>
      <c r="R1429" s="9">
        <f t="shared" si="206"/>
        <v>0</v>
      </c>
      <c r="S1429" s="9">
        <f t="array" ref="S1429">+SUM(IFERROR(VALUE(Q1429:R1429),0))</f>
        <v>0</v>
      </c>
    </row>
    <row r="1430" spans="1:19">
      <c r="A1430" s="26"/>
      <c r="B1430" s="27"/>
      <c r="C1430" s="27"/>
      <c r="D1430" s="28"/>
      <c r="F1430" s="9" t="str">
        <f t="shared" si="198"/>
        <v/>
      </c>
      <c r="G1430" s="9">
        <f t="shared" si="199"/>
        <v>0</v>
      </c>
      <c r="H1430" s="9">
        <f t="shared" si="200"/>
        <v>0</v>
      </c>
      <c r="I1430" s="9">
        <f t="array" ref="I1430">+SUM(IFERROR(VALUE(G1430:H1430),0))</f>
        <v>0</v>
      </c>
      <c r="K1430" s="9" t="str">
        <f t="shared" si="201"/>
        <v/>
      </c>
      <c r="L1430" s="9">
        <f t="shared" si="202"/>
        <v>0</v>
      </c>
      <c r="M1430" s="9">
        <f t="shared" si="203"/>
        <v>0</v>
      </c>
      <c r="N1430" s="9">
        <f t="array" ref="N1430">+SUM(IFERROR(VALUE(L1430:M1430),0))</f>
        <v>0</v>
      </c>
      <c r="P1430" s="9" t="str">
        <f t="shared" si="204"/>
        <v/>
      </c>
      <c r="Q1430" s="9">
        <f t="shared" si="205"/>
        <v>0</v>
      </c>
      <c r="R1430" s="9">
        <f t="shared" si="206"/>
        <v>0</v>
      </c>
      <c r="S1430" s="9">
        <f t="array" ref="S1430">+SUM(IFERROR(VALUE(Q1430:R1430),0))</f>
        <v>0</v>
      </c>
    </row>
    <row r="1431" spans="1:19">
      <c r="A1431" s="26"/>
      <c r="B1431" s="27"/>
      <c r="C1431" s="27"/>
      <c r="D1431" s="28"/>
      <c r="F1431" s="9" t="str">
        <f t="shared" si="198"/>
        <v/>
      </c>
      <c r="G1431" s="9">
        <f t="shared" si="199"/>
        <v>0</v>
      </c>
      <c r="H1431" s="9">
        <f t="shared" si="200"/>
        <v>0</v>
      </c>
      <c r="I1431" s="9">
        <f t="array" ref="I1431">+SUM(IFERROR(VALUE(G1431:H1431),0))</f>
        <v>0</v>
      </c>
      <c r="K1431" s="9" t="str">
        <f t="shared" si="201"/>
        <v/>
      </c>
      <c r="L1431" s="9">
        <f t="shared" si="202"/>
        <v>0</v>
      </c>
      <c r="M1431" s="9">
        <f t="shared" si="203"/>
        <v>0</v>
      </c>
      <c r="N1431" s="9">
        <f t="array" ref="N1431">+SUM(IFERROR(VALUE(L1431:M1431),0))</f>
        <v>0</v>
      </c>
      <c r="P1431" s="9" t="str">
        <f t="shared" si="204"/>
        <v/>
      </c>
      <c r="Q1431" s="9">
        <f t="shared" si="205"/>
        <v>0</v>
      </c>
      <c r="R1431" s="9">
        <f t="shared" si="206"/>
        <v>0</v>
      </c>
      <c r="S1431" s="9">
        <f t="array" ref="S1431">+SUM(IFERROR(VALUE(Q1431:R1431),0))</f>
        <v>0</v>
      </c>
    </row>
    <row r="1432" spans="1:19">
      <c r="A1432" s="26"/>
      <c r="B1432" s="27"/>
      <c r="C1432" s="27"/>
      <c r="D1432" s="28"/>
      <c r="F1432" s="9" t="str">
        <f t="shared" si="198"/>
        <v/>
      </c>
      <c r="G1432" s="9">
        <f t="shared" si="199"/>
        <v>0</v>
      </c>
      <c r="H1432" s="9">
        <f t="shared" si="200"/>
        <v>0</v>
      </c>
      <c r="I1432" s="9">
        <f t="array" ref="I1432">+SUM(IFERROR(VALUE(G1432:H1432),0))</f>
        <v>0</v>
      </c>
      <c r="K1432" s="9" t="str">
        <f t="shared" si="201"/>
        <v/>
      </c>
      <c r="L1432" s="9">
        <f t="shared" si="202"/>
        <v>0</v>
      </c>
      <c r="M1432" s="9">
        <f t="shared" si="203"/>
        <v>0</v>
      </c>
      <c r="N1432" s="9">
        <f t="array" ref="N1432">+SUM(IFERROR(VALUE(L1432:M1432),0))</f>
        <v>0</v>
      </c>
      <c r="P1432" s="9" t="str">
        <f t="shared" si="204"/>
        <v/>
      </c>
      <c r="Q1432" s="9">
        <f t="shared" si="205"/>
        <v>0</v>
      </c>
      <c r="R1432" s="9">
        <f t="shared" si="206"/>
        <v>0</v>
      </c>
      <c r="S1432" s="9">
        <f t="array" ref="S1432">+SUM(IFERROR(VALUE(Q1432:R1432),0))</f>
        <v>0</v>
      </c>
    </row>
    <row r="1433" spans="1:19">
      <c r="A1433" s="26"/>
      <c r="B1433" s="27"/>
      <c r="C1433" s="27"/>
      <c r="D1433" s="28"/>
      <c r="F1433" s="9" t="str">
        <f t="shared" si="198"/>
        <v/>
      </c>
      <c r="G1433" s="9">
        <f t="shared" si="199"/>
        <v>0</v>
      </c>
      <c r="H1433" s="9">
        <f t="shared" si="200"/>
        <v>0</v>
      </c>
      <c r="I1433" s="9">
        <f t="array" ref="I1433">+SUM(IFERROR(VALUE(G1433:H1433),0))</f>
        <v>0</v>
      </c>
      <c r="K1433" s="9" t="str">
        <f t="shared" si="201"/>
        <v/>
      </c>
      <c r="L1433" s="9">
        <f t="shared" si="202"/>
        <v>0</v>
      </c>
      <c r="M1433" s="9">
        <f t="shared" si="203"/>
        <v>0</v>
      </c>
      <c r="N1433" s="9">
        <f t="array" ref="N1433">+SUM(IFERROR(VALUE(L1433:M1433),0))</f>
        <v>0</v>
      </c>
      <c r="P1433" s="9" t="str">
        <f t="shared" si="204"/>
        <v/>
      </c>
      <c r="Q1433" s="9">
        <f t="shared" si="205"/>
        <v>0</v>
      </c>
      <c r="R1433" s="9">
        <f t="shared" si="206"/>
        <v>0</v>
      </c>
      <c r="S1433" s="9">
        <f t="array" ref="S1433">+SUM(IFERROR(VALUE(Q1433:R1433),0))</f>
        <v>0</v>
      </c>
    </row>
    <row r="1434" spans="1:19">
      <c r="A1434" s="26"/>
      <c r="B1434" s="27"/>
      <c r="C1434" s="27"/>
      <c r="D1434" s="28"/>
      <c r="F1434" s="9" t="str">
        <f t="shared" si="198"/>
        <v/>
      </c>
      <c r="G1434" s="9">
        <f t="shared" si="199"/>
        <v>0</v>
      </c>
      <c r="H1434" s="9">
        <f t="shared" si="200"/>
        <v>0</v>
      </c>
      <c r="I1434" s="9">
        <f t="array" ref="I1434">+SUM(IFERROR(VALUE(G1434:H1434),0))</f>
        <v>0</v>
      </c>
      <c r="K1434" s="9" t="str">
        <f t="shared" si="201"/>
        <v/>
      </c>
      <c r="L1434" s="9">
        <f t="shared" si="202"/>
        <v>0</v>
      </c>
      <c r="M1434" s="9">
        <f t="shared" si="203"/>
        <v>0</v>
      </c>
      <c r="N1434" s="9">
        <f t="array" ref="N1434">+SUM(IFERROR(VALUE(L1434:M1434),0))</f>
        <v>0</v>
      </c>
      <c r="P1434" s="9" t="str">
        <f t="shared" si="204"/>
        <v/>
      </c>
      <c r="Q1434" s="9">
        <f t="shared" si="205"/>
        <v>0</v>
      </c>
      <c r="R1434" s="9">
        <f t="shared" si="206"/>
        <v>0</v>
      </c>
      <c r="S1434" s="9">
        <f t="array" ref="S1434">+SUM(IFERROR(VALUE(Q1434:R1434),0))</f>
        <v>0</v>
      </c>
    </row>
    <row r="1435" spans="1:19">
      <c r="A1435" s="26"/>
      <c r="B1435" s="27"/>
      <c r="C1435" s="27"/>
      <c r="D1435" s="28"/>
      <c r="F1435" s="9" t="str">
        <f t="shared" si="198"/>
        <v/>
      </c>
      <c r="G1435" s="9">
        <f t="shared" si="199"/>
        <v>0</v>
      </c>
      <c r="H1435" s="9">
        <f t="shared" si="200"/>
        <v>0</v>
      </c>
      <c r="I1435" s="9">
        <f t="array" ref="I1435">+SUM(IFERROR(VALUE(G1435:H1435),0))</f>
        <v>0</v>
      </c>
      <c r="K1435" s="9" t="str">
        <f t="shared" si="201"/>
        <v/>
      </c>
      <c r="L1435" s="9">
        <f t="shared" si="202"/>
        <v>0</v>
      </c>
      <c r="M1435" s="9">
        <f t="shared" si="203"/>
        <v>0</v>
      </c>
      <c r="N1435" s="9">
        <f t="array" ref="N1435">+SUM(IFERROR(VALUE(L1435:M1435),0))</f>
        <v>0</v>
      </c>
      <c r="P1435" s="9" t="str">
        <f t="shared" si="204"/>
        <v/>
      </c>
      <c r="Q1435" s="9">
        <f t="shared" si="205"/>
        <v>0</v>
      </c>
      <c r="R1435" s="9">
        <f t="shared" si="206"/>
        <v>0</v>
      </c>
      <c r="S1435" s="9">
        <f t="array" ref="S1435">+SUM(IFERROR(VALUE(Q1435:R1435),0))</f>
        <v>0</v>
      </c>
    </row>
    <row r="1436" spans="1:19">
      <c r="A1436" s="26"/>
      <c r="B1436" s="27"/>
      <c r="C1436" s="27"/>
      <c r="D1436" s="28"/>
      <c r="F1436" s="9" t="str">
        <f t="shared" si="198"/>
        <v/>
      </c>
      <c r="G1436" s="9">
        <f t="shared" si="199"/>
        <v>0</v>
      </c>
      <c r="H1436" s="9">
        <f t="shared" si="200"/>
        <v>0</v>
      </c>
      <c r="I1436" s="9">
        <f t="array" ref="I1436">+SUM(IFERROR(VALUE(G1436:H1436),0))</f>
        <v>0</v>
      </c>
      <c r="K1436" s="9" t="str">
        <f t="shared" si="201"/>
        <v/>
      </c>
      <c r="L1436" s="9">
        <f t="shared" si="202"/>
        <v>0</v>
      </c>
      <c r="M1436" s="9">
        <f t="shared" si="203"/>
        <v>0</v>
      </c>
      <c r="N1436" s="9">
        <f t="array" ref="N1436">+SUM(IFERROR(VALUE(L1436:M1436),0))</f>
        <v>0</v>
      </c>
      <c r="P1436" s="9" t="str">
        <f t="shared" si="204"/>
        <v/>
      </c>
      <c r="Q1436" s="9">
        <f t="shared" si="205"/>
        <v>0</v>
      </c>
      <c r="R1436" s="9">
        <f t="shared" si="206"/>
        <v>0</v>
      </c>
      <c r="S1436" s="9">
        <f t="array" ref="S1436">+SUM(IFERROR(VALUE(Q1436:R1436),0))</f>
        <v>0</v>
      </c>
    </row>
    <row r="1437" spans="1:19">
      <c r="A1437" s="26"/>
      <c r="B1437" s="27"/>
      <c r="C1437" s="27"/>
      <c r="D1437" s="28"/>
      <c r="F1437" s="9" t="str">
        <f t="shared" si="198"/>
        <v/>
      </c>
      <c r="G1437" s="9">
        <f t="shared" si="199"/>
        <v>0</v>
      </c>
      <c r="H1437" s="9">
        <f t="shared" si="200"/>
        <v>0</v>
      </c>
      <c r="I1437" s="9">
        <f t="array" ref="I1437">+SUM(IFERROR(VALUE(G1437:H1437),0))</f>
        <v>0</v>
      </c>
      <c r="K1437" s="9" t="str">
        <f t="shared" si="201"/>
        <v/>
      </c>
      <c r="L1437" s="9">
        <f t="shared" si="202"/>
        <v>0</v>
      </c>
      <c r="M1437" s="9">
        <f t="shared" si="203"/>
        <v>0</v>
      </c>
      <c r="N1437" s="9">
        <f t="array" ref="N1437">+SUM(IFERROR(VALUE(L1437:M1437),0))</f>
        <v>0</v>
      </c>
      <c r="P1437" s="9" t="str">
        <f t="shared" si="204"/>
        <v/>
      </c>
      <c r="Q1437" s="9">
        <f t="shared" si="205"/>
        <v>0</v>
      </c>
      <c r="R1437" s="9">
        <f t="shared" si="206"/>
        <v>0</v>
      </c>
      <c r="S1437" s="9">
        <f t="array" ref="S1437">+SUM(IFERROR(VALUE(Q1437:R1437),0))</f>
        <v>0</v>
      </c>
    </row>
    <row r="1438" spans="1:19">
      <c r="A1438" s="26"/>
      <c r="B1438" s="27"/>
      <c r="C1438" s="27"/>
      <c r="D1438" s="28"/>
      <c r="F1438" s="9" t="str">
        <f t="shared" si="198"/>
        <v/>
      </c>
      <c r="G1438" s="9">
        <f t="shared" si="199"/>
        <v>0</v>
      </c>
      <c r="H1438" s="9">
        <f t="shared" si="200"/>
        <v>0</v>
      </c>
      <c r="I1438" s="9">
        <f t="array" ref="I1438">+SUM(IFERROR(VALUE(G1438:H1438),0))</f>
        <v>0</v>
      </c>
      <c r="K1438" s="9" t="str">
        <f t="shared" si="201"/>
        <v/>
      </c>
      <c r="L1438" s="9">
        <f t="shared" si="202"/>
        <v>0</v>
      </c>
      <c r="M1438" s="9">
        <f t="shared" si="203"/>
        <v>0</v>
      </c>
      <c r="N1438" s="9">
        <f t="array" ref="N1438">+SUM(IFERROR(VALUE(L1438:M1438),0))</f>
        <v>0</v>
      </c>
      <c r="P1438" s="9" t="str">
        <f t="shared" si="204"/>
        <v/>
      </c>
      <c r="Q1438" s="9">
        <f t="shared" si="205"/>
        <v>0</v>
      </c>
      <c r="R1438" s="9">
        <f t="shared" si="206"/>
        <v>0</v>
      </c>
      <c r="S1438" s="9">
        <f t="array" ref="S1438">+SUM(IFERROR(VALUE(Q1438:R1438),0))</f>
        <v>0</v>
      </c>
    </row>
    <row r="1439" spans="1:19">
      <c r="A1439" s="26"/>
      <c r="B1439" s="27"/>
      <c r="C1439" s="27"/>
      <c r="D1439" s="28"/>
      <c r="F1439" s="9" t="str">
        <f t="shared" si="198"/>
        <v/>
      </c>
      <c r="G1439" s="9">
        <f t="shared" si="199"/>
        <v>0</v>
      </c>
      <c r="H1439" s="9">
        <f t="shared" si="200"/>
        <v>0</v>
      </c>
      <c r="I1439" s="9">
        <f t="array" ref="I1439">+SUM(IFERROR(VALUE(G1439:H1439),0))</f>
        <v>0</v>
      </c>
      <c r="K1439" s="9" t="str">
        <f t="shared" si="201"/>
        <v/>
      </c>
      <c r="L1439" s="9">
        <f t="shared" si="202"/>
        <v>0</v>
      </c>
      <c r="M1439" s="9">
        <f t="shared" si="203"/>
        <v>0</v>
      </c>
      <c r="N1439" s="9">
        <f t="array" ref="N1439">+SUM(IFERROR(VALUE(L1439:M1439),0))</f>
        <v>0</v>
      </c>
      <c r="P1439" s="9" t="str">
        <f t="shared" si="204"/>
        <v/>
      </c>
      <c r="Q1439" s="9">
        <f t="shared" si="205"/>
        <v>0</v>
      </c>
      <c r="R1439" s="9">
        <f t="shared" si="206"/>
        <v>0</v>
      </c>
      <c r="S1439" s="9">
        <f t="array" ref="S1439">+SUM(IFERROR(VALUE(Q1439:R1439),0))</f>
        <v>0</v>
      </c>
    </row>
    <row r="1440" spans="1:19">
      <c r="A1440" s="26"/>
      <c r="B1440" s="27"/>
      <c r="C1440" s="27"/>
      <c r="D1440" s="28"/>
      <c r="F1440" s="9" t="str">
        <f t="shared" si="198"/>
        <v/>
      </c>
      <c r="G1440" s="9">
        <f t="shared" si="199"/>
        <v>0</v>
      </c>
      <c r="H1440" s="9">
        <f t="shared" si="200"/>
        <v>0</v>
      </c>
      <c r="I1440" s="9">
        <f t="array" ref="I1440">+SUM(IFERROR(VALUE(G1440:H1440),0))</f>
        <v>0</v>
      </c>
      <c r="K1440" s="9" t="str">
        <f t="shared" si="201"/>
        <v/>
      </c>
      <c r="L1440" s="9">
        <f t="shared" si="202"/>
        <v>0</v>
      </c>
      <c r="M1440" s="9">
        <f t="shared" si="203"/>
        <v>0</v>
      </c>
      <c r="N1440" s="9">
        <f t="array" ref="N1440">+SUM(IFERROR(VALUE(L1440:M1440),0))</f>
        <v>0</v>
      </c>
      <c r="P1440" s="9" t="str">
        <f t="shared" si="204"/>
        <v/>
      </c>
      <c r="Q1440" s="9">
        <f t="shared" si="205"/>
        <v>0</v>
      </c>
      <c r="R1440" s="9">
        <f t="shared" si="206"/>
        <v>0</v>
      </c>
      <c r="S1440" s="9">
        <f t="array" ref="S1440">+SUM(IFERROR(VALUE(Q1440:R1440),0))</f>
        <v>0</v>
      </c>
    </row>
    <row r="1441" spans="1:19">
      <c r="A1441" s="26"/>
      <c r="B1441" s="27"/>
      <c r="C1441" s="27"/>
      <c r="D1441" s="28"/>
      <c r="F1441" s="9" t="str">
        <f t="shared" si="198"/>
        <v/>
      </c>
      <c r="G1441" s="9">
        <f t="shared" si="199"/>
        <v>0</v>
      </c>
      <c r="H1441" s="9">
        <f t="shared" si="200"/>
        <v>0</v>
      </c>
      <c r="I1441" s="9">
        <f t="array" ref="I1441">+SUM(IFERROR(VALUE(G1441:H1441),0))</f>
        <v>0</v>
      </c>
      <c r="K1441" s="9" t="str">
        <f t="shared" si="201"/>
        <v/>
      </c>
      <c r="L1441" s="9">
        <f t="shared" si="202"/>
        <v>0</v>
      </c>
      <c r="M1441" s="9">
        <f t="shared" si="203"/>
        <v>0</v>
      </c>
      <c r="N1441" s="9">
        <f t="array" ref="N1441">+SUM(IFERROR(VALUE(L1441:M1441),0))</f>
        <v>0</v>
      </c>
      <c r="P1441" s="9" t="str">
        <f t="shared" si="204"/>
        <v/>
      </c>
      <c r="Q1441" s="9">
        <f t="shared" si="205"/>
        <v>0</v>
      </c>
      <c r="R1441" s="9">
        <f t="shared" si="206"/>
        <v>0</v>
      </c>
      <c r="S1441" s="9">
        <f t="array" ref="S1441">+SUM(IFERROR(VALUE(Q1441:R1441),0))</f>
        <v>0</v>
      </c>
    </row>
    <row r="1442" spans="1:19">
      <c r="A1442" s="26"/>
      <c r="B1442" s="27"/>
      <c r="C1442" s="27"/>
      <c r="D1442" s="28"/>
      <c r="F1442" s="9" t="str">
        <f t="shared" si="198"/>
        <v/>
      </c>
      <c r="G1442" s="9">
        <f t="shared" si="199"/>
        <v>0</v>
      </c>
      <c r="H1442" s="9">
        <f t="shared" si="200"/>
        <v>0</v>
      </c>
      <c r="I1442" s="9">
        <f t="array" ref="I1442">+SUM(IFERROR(VALUE(G1442:H1442),0))</f>
        <v>0</v>
      </c>
      <c r="K1442" s="9" t="str">
        <f t="shared" si="201"/>
        <v/>
      </c>
      <c r="L1442" s="9">
        <f t="shared" si="202"/>
        <v>0</v>
      </c>
      <c r="M1442" s="9">
        <f t="shared" si="203"/>
        <v>0</v>
      </c>
      <c r="N1442" s="9">
        <f t="array" ref="N1442">+SUM(IFERROR(VALUE(L1442:M1442),0))</f>
        <v>0</v>
      </c>
      <c r="P1442" s="9" t="str">
        <f t="shared" si="204"/>
        <v/>
      </c>
      <c r="Q1442" s="9">
        <f t="shared" si="205"/>
        <v>0</v>
      </c>
      <c r="R1442" s="9">
        <f t="shared" si="206"/>
        <v>0</v>
      </c>
      <c r="S1442" s="9">
        <f t="array" ref="S1442">+SUM(IFERROR(VALUE(Q1442:R1442),0))</f>
        <v>0</v>
      </c>
    </row>
    <row r="1443" spans="1:19">
      <c r="A1443" s="26"/>
      <c r="B1443" s="27"/>
      <c r="C1443" s="27"/>
      <c r="D1443" s="28"/>
      <c r="F1443" s="9" t="str">
        <f t="shared" si="198"/>
        <v/>
      </c>
      <c r="G1443" s="9">
        <f t="shared" si="199"/>
        <v>0</v>
      </c>
      <c r="H1443" s="9">
        <f t="shared" si="200"/>
        <v>0</v>
      </c>
      <c r="I1443" s="9">
        <f t="array" ref="I1443">+SUM(IFERROR(VALUE(G1443:H1443),0))</f>
        <v>0</v>
      </c>
      <c r="K1443" s="9" t="str">
        <f t="shared" si="201"/>
        <v/>
      </c>
      <c r="L1443" s="9">
        <f t="shared" si="202"/>
        <v>0</v>
      </c>
      <c r="M1443" s="9">
        <f t="shared" si="203"/>
        <v>0</v>
      </c>
      <c r="N1443" s="9">
        <f t="array" ref="N1443">+SUM(IFERROR(VALUE(L1443:M1443),0))</f>
        <v>0</v>
      </c>
      <c r="P1443" s="9" t="str">
        <f t="shared" si="204"/>
        <v/>
      </c>
      <c r="Q1443" s="9">
        <f t="shared" si="205"/>
        <v>0</v>
      </c>
      <c r="R1443" s="9">
        <f t="shared" si="206"/>
        <v>0</v>
      </c>
      <c r="S1443" s="9">
        <f t="array" ref="S1443">+SUM(IFERROR(VALUE(Q1443:R1443),0))</f>
        <v>0</v>
      </c>
    </row>
    <row r="1444" spans="1:19">
      <c r="A1444" s="26"/>
      <c r="B1444" s="27"/>
      <c r="C1444" s="27"/>
      <c r="D1444" s="28"/>
      <c r="F1444" s="9" t="str">
        <f t="shared" si="198"/>
        <v/>
      </c>
      <c r="G1444" s="9">
        <f t="shared" si="199"/>
        <v>0</v>
      </c>
      <c r="H1444" s="9">
        <f t="shared" si="200"/>
        <v>0</v>
      </c>
      <c r="I1444" s="9">
        <f t="array" ref="I1444">+SUM(IFERROR(VALUE(G1444:H1444),0))</f>
        <v>0</v>
      </c>
      <c r="K1444" s="9" t="str">
        <f t="shared" si="201"/>
        <v/>
      </c>
      <c r="L1444" s="9">
        <f t="shared" si="202"/>
        <v>0</v>
      </c>
      <c r="M1444" s="9">
        <f t="shared" si="203"/>
        <v>0</v>
      </c>
      <c r="N1444" s="9">
        <f t="array" ref="N1444">+SUM(IFERROR(VALUE(L1444:M1444),0))</f>
        <v>0</v>
      </c>
      <c r="P1444" s="9" t="str">
        <f t="shared" si="204"/>
        <v/>
      </c>
      <c r="Q1444" s="9">
        <f t="shared" si="205"/>
        <v>0</v>
      </c>
      <c r="R1444" s="9">
        <f t="shared" si="206"/>
        <v>0</v>
      </c>
      <c r="S1444" s="9">
        <f t="array" ref="S1444">+SUM(IFERROR(VALUE(Q1444:R1444),0))</f>
        <v>0</v>
      </c>
    </row>
    <row r="1445" spans="1:19">
      <c r="A1445" s="26"/>
      <c r="B1445" s="27"/>
      <c r="C1445" s="27"/>
      <c r="D1445" s="28"/>
      <c r="F1445" s="9" t="str">
        <f t="shared" si="198"/>
        <v/>
      </c>
      <c r="G1445" s="9">
        <f t="shared" si="199"/>
        <v>0</v>
      </c>
      <c r="H1445" s="9">
        <f t="shared" si="200"/>
        <v>0</v>
      </c>
      <c r="I1445" s="9">
        <f t="array" ref="I1445">+SUM(IFERROR(VALUE(G1445:H1445),0))</f>
        <v>0</v>
      </c>
      <c r="K1445" s="9" t="str">
        <f t="shared" si="201"/>
        <v/>
      </c>
      <c r="L1445" s="9">
        <f t="shared" si="202"/>
        <v>0</v>
      </c>
      <c r="M1445" s="9">
        <f t="shared" si="203"/>
        <v>0</v>
      </c>
      <c r="N1445" s="9">
        <f t="array" ref="N1445">+SUM(IFERROR(VALUE(L1445:M1445),0))</f>
        <v>0</v>
      </c>
      <c r="P1445" s="9" t="str">
        <f t="shared" si="204"/>
        <v/>
      </c>
      <c r="Q1445" s="9">
        <f t="shared" si="205"/>
        <v>0</v>
      </c>
      <c r="R1445" s="9">
        <f t="shared" si="206"/>
        <v>0</v>
      </c>
      <c r="S1445" s="9">
        <f t="array" ref="S1445">+SUM(IFERROR(VALUE(Q1445:R1445),0))</f>
        <v>0</v>
      </c>
    </row>
    <row r="1446" spans="1:19">
      <c r="A1446" s="26"/>
      <c r="B1446" s="27"/>
      <c r="C1446" s="27"/>
      <c r="D1446" s="28"/>
      <c r="F1446" s="9" t="str">
        <f t="shared" si="198"/>
        <v/>
      </c>
      <c r="G1446" s="9">
        <f t="shared" si="199"/>
        <v>0</v>
      </c>
      <c r="H1446" s="9">
        <f t="shared" si="200"/>
        <v>0</v>
      </c>
      <c r="I1446" s="9">
        <f t="array" ref="I1446">+SUM(IFERROR(VALUE(G1446:H1446),0))</f>
        <v>0</v>
      </c>
      <c r="K1446" s="9" t="str">
        <f t="shared" si="201"/>
        <v/>
      </c>
      <c r="L1446" s="9">
        <f t="shared" si="202"/>
        <v>0</v>
      </c>
      <c r="M1446" s="9">
        <f t="shared" si="203"/>
        <v>0</v>
      </c>
      <c r="N1446" s="9">
        <f t="array" ref="N1446">+SUM(IFERROR(VALUE(L1446:M1446),0))</f>
        <v>0</v>
      </c>
      <c r="P1446" s="9" t="str">
        <f t="shared" si="204"/>
        <v/>
      </c>
      <c r="Q1446" s="9">
        <f t="shared" si="205"/>
        <v>0</v>
      </c>
      <c r="R1446" s="9">
        <f t="shared" si="206"/>
        <v>0</v>
      </c>
      <c r="S1446" s="9">
        <f t="array" ref="S1446">+SUM(IFERROR(VALUE(Q1446:R1446),0))</f>
        <v>0</v>
      </c>
    </row>
    <row r="1447" spans="1:19">
      <c r="A1447" s="26"/>
      <c r="B1447" s="27"/>
      <c r="C1447" s="27"/>
      <c r="D1447" s="28"/>
      <c r="F1447" s="9" t="str">
        <f t="shared" si="198"/>
        <v/>
      </c>
      <c r="G1447" s="9">
        <f t="shared" si="199"/>
        <v>0</v>
      </c>
      <c r="H1447" s="9">
        <f t="shared" si="200"/>
        <v>0</v>
      </c>
      <c r="I1447" s="9">
        <f t="array" ref="I1447">+SUM(IFERROR(VALUE(G1447:H1447),0))</f>
        <v>0</v>
      </c>
      <c r="K1447" s="9" t="str">
        <f t="shared" si="201"/>
        <v/>
      </c>
      <c r="L1447" s="9">
        <f t="shared" si="202"/>
        <v>0</v>
      </c>
      <c r="M1447" s="9">
        <f t="shared" si="203"/>
        <v>0</v>
      </c>
      <c r="N1447" s="9">
        <f t="array" ref="N1447">+SUM(IFERROR(VALUE(L1447:M1447),0))</f>
        <v>0</v>
      </c>
      <c r="P1447" s="9" t="str">
        <f t="shared" si="204"/>
        <v/>
      </c>
      <c r="Q1447" s="9">
        <f t="shared" si="205"/>
        <v>0</v>
      </c>
      <c r="R1447" s="9">
        <f t="shared" si="206"/>
        <v>0</v>
      </c>
      <c r="S1447" s="9">
        <f t="array" ref="S1447">+SUM(IFERROR(VALUE(Q1447:R1447),0))</f>
        <v>0</v>
      </c>
    </row>
    <row r="1448" spans="1:19">
      <c r="A1448" s="26"/>
      <c r="B1448" s="27"/>
      <c r="C1448" s="27"/>
      <c r="D1448" s="28"/>
      <c r="F1448" s="9" t="str">
        <f t="shared" si="198"/>
        <v/>
      </c>
      <c r="G1448" s="9">
        <f t="shared" si="199"/>
        <v>0</v>
      </c>
      <c r="H1448" s="9">
        <f t="shared" si="200"/>
        <v>0</v>
      </c>
      <c r="I1448" s="9">
        <f t="array" ref="I1448">+SUM(IFERROR(VALUE(G1448:H1448),0))</f>
        <v>0</v>
      </c>
      <c r="K1448" s="9" t="str">
        <f t="shared" si="201"/>
        <v/>
      </c>
      <c r="L1448" s="9">
        <f t="shared" si="202"/>
        <v>0</v>
      </c>
      <c r="M1448" s="9">
        <f t="shared" si="203"/>
        <v>0</v>
      </c>
      <c r="N1448" s="9">
        <f t="array" ref="N1448">+SUM(IFERROR(VALUE(L1448:M1448),0))</f>
        <v>0</v>
      </c>
      <c r="P1448" s="9" t="str">
        <f t="shared" si="204"/>
        <v/>
      </c>
      <c r="Q1448" s="9">
        <f t="shared" si="205"/>
        <v>0</v>
      </c>
      <c r="R1448" s="9">
        <f t="shared" si="206"/>
        <v>0</v>
      </c>
      <c r="S1448" s="9">
        <f t="array" ref="S1448">+SUM(IFERROR(VALUE(Q1448:R1448),0))</f>
        <v>0</v>
      </c>
    </row>
    <row r="1449" spans="1:19">
      <c r="A1449" s="26"/>
      <c r="B1449" s="27"/>
      <c r="C1449" s="27"/>
      <c r="D1449" s="28"/>
      <c r="F1449" s="9" t="str">
        <f t="shared" si="198"/>
        <v/>
      </c>
      <c r="G1449" s="9">
        <f t="shared" si="199"/>
        <v>0</v>
      </c>
      <c r="H1449" s="9">
        <f t="shared" si="200"/>
        <v>0</v>
      </c>
      <c r="I1449" s="9">
        <f t="array" ref="I1449">+SUM(IFERROR(VALUE(G1449:H1449),0))</f>
        <v>0</v>
      </c>
      <c r="K1449" s="9" t="str">
        <f t="shared" si="201"/>
        <v/>
      </c>
      <c r="L1449" s="9">
        <f t="shared" si="202"/>
        <v>0</v>
      </c>
      <c r="M1449" s="9">
        <f t="shared" si="203"/>
        <v>0</v>
      </c>
      <c r="N1449" s="9">
        <f t="array" ref="N1449">+SUM(IFERROR(VALUE(L1449:M1449),0))</f>
        <v>0</v>
      </c>
      <c r="P1449" s="9" t="str">
        <f t="shared" si="204"/>
        <v/>
      </c>
      <c r="Q1449" s="9">
        <f t="shared" si="205"/>
        <v>0</v>
      </c>
      <c r="R1449" s="9">
        <f t="shared" si="206"/>
        <v>0</v>
      </c>
      <c r="S1449" s="9">
        <f t="array" ref="S1449">+SUM(IFERROR(VALUE(Q1449:R1449),0))</f>
        <v>0</v>
      </c>
    </row>
    <row r="1450" spans="1:19">
      <c r="A1450" s="26"/>
      <c r="B1450" s="27"/>
      <c r="C1450" s="27"/>
      <c r="D1450" s="28"/>
      <c r="F1450" s="9" t="str">
        <f t="shared" si="198"/>
        <v/>
      </c>
      <c r="G1450" s="9">
        <f t="shared" si="199"/>
        <v>0</v>
      </c>
      <c r="H1450" s="9">
        <f t="shared" si="200"/>
        <v>0</v>
      </c>
      <c r="I1450" s="9">
        <f t="array" ref="I1450">+SUM(IFERROR(VALUE(G1450:H1450),0))</f>
        <v>0</v>
      </c>
      <c r="K1450" s="9" t="str">
        <f t="shared" si="201"/>
        <v/>
      </c>
      <c r="L1450" s="9">
        <f t="shared" si="202"/>
        <v>0</v>
      </c>
      <c r="M1450" s="9">
        <f t="shared" si="203"/>
        <v>0</v>
      </c>
      <c r="N1450" s="9">
        <f t="array" ref="N1450">+SUM(IFERROR(VALUE(L1450:M1450),0))</f>
        <v>0</v>
      </c>
      <c r="P1450" s="9" t="str">
        <f t="shared" si="204"/>
        <v/>
      </c>
      <c r="Q1450" s="9">
        <f t="shared" si="205"/>
        <v>0</v>
      </c>
      <c r="R1450" s="9">
        <f t="shared" si="206"/>
        <v>0</v>
      </c>
      <c r="S1450" s="9">
        <f t="array" ref="S1450">+SUM(IFERROR(VALUE(Q1450:R1450),0))</f>
        <v>0</v>
      </c>
    </row>
    <row r="1451" spans="1:19">
      <c r="A1451" s="26"/>
      <c r="B1451" s="27"/>
      <c r="C1451" s="27"/>
      <c r="D1451" s="28"/>
      <c r="F1451" s="9" t="str">
        <f t="shared" si="198"/>
        <v/>
      </c>
      <c r="G1451" s="9">
        <f t="shared" si="199"/>
        <v>0</v>
      </c>
      <c r="H1451" s="9">
        <f t="shared" si="200"/>
        <v>0</v>
      </c>
      <c r="I1451" s="9">
        <f t="array" ref="I1451">+SUM(IFERROR(VALUE(G1451:H1451),0))</f>
        <v>0</v>
      </c>
      <c r="K1451" s="9" t="str">
        <f t="shared" si="201"/>
        <v/>
      </c>
      <c r="L1451" s="9">
        <f t="shared" si="202"/>
        <v>0</v>
      </c>
      <c r="M1451" s="9">
        <f t="shared" si="203"/>
        <v>0</v>
      </c>
      <c r="N1451" s="9">
        <f t="array" ref="N1451">+SUM(IFERROR(VALUE(L1451:M1451),0))</f>
        <v>0</v>
      </c>
      <c r="P1451" s="9" t="str">
        <f t="shared" si="204"/>
        <v/>
      </c>
      <c r="Q1451" s="9">
        <f t="shared" si="205"/>
        <v>0</v>
      </c>
      <c r="R1451" s="9">
        <f t="shared" si="206"/>
        <v>0</v>
      </c>
      <c r="S1451" s="9">
        <f t="array" ref="S1451">+SUM(IFERROR(VALUE(Q1451:R1451),0))</f>
        <v>0</v>
      </c>
    </row>
    <row r="1452" spans="1:19">
      <c r="A1452" s="26"/>
      <c r="B1452" s="27"/>
      <c r="C1452" s="27"/>
      <c r="D1452" s="28"/>
      <c r="F1452" s="9" t="str">
        <f t="shared" si="198"/>
        <v/>
      </c>
      <c r="G1452" s="9">
        <f t="shared" si="199"/>
        <v>0</v>
      </c>
      <c r="H1452" s="9">
        <f t="shared" si="200"/>
        <v>0</v>
      </c>
      <c r="I1452" s="9">
        <f t="array" ref="I1452">+SUM(IFERROR(VALUE(G1452:H1452),0))</f>
        <v>0</v>
      </c>
      <c r="K1452" s="9" t="str">
        <f t="shared" si="201"/>
        <v/>
      </c>
      <c r="L1452" s="9">
        <f t="shared" si="202"/>
        <v>0</v>
      </c>
      <c r="M1452" s="9">
        <f t="shared" si="203"/>
        <v>0</v>
      </c>
      <c r="N1452" s="9">
        <f t="array" ref="N1452">+SUM(IFERROR(VALUE(L1452:M1452),0))</f>
        <v>0</v>
      </c>
      <c r="P1452" s="9" t="str">
        <f t="shared" si="204"/>
        <v/>
      </c>
      <c r="Q1452" s="9">
        <f t="shared" si="205"/>
        <v>0</v>
      </c>
      <c r="R1452" s="9">
        <f t="shared" si="206"/>
        <v>0</v>
      </c>
      <c r="S1452" s="9">
        <f t="array" ref="S1452">+SUM(IFERROR(VALUE(Q1452:R1452),0))</f>
        <v>0</v>
      </c>
    </row>
    <row r="1453" spans="1:19">
      <c r="A1453" s="26"/>
      <c r="B1453" s="27"/>
      <c r="C1453" s="27"/>
      <c r="D1453" s="28"/>
      <c r="F1453" s="9" t="str">
        <f t="shared" si="198"/>
        <v/>
      </c>
      <c r="G1453" s="9">
        <f t="shared" si="199"/>
        <v>0</v>
      </c>
      <c r="H1453" s="9">
        <f t="shared" si="200"/>
        <v>0</v>
      </c>
      <c r="I1453" s="9">
        <f t="array" ref="I1453">+SUM(IFERROR(VALUE(G1453:H1453),0))</f>
        <v>0</v>
      </c>
      <c r="K1453" s="9" t="str">
        <f t="shared" si="201"/>
        <v/>
      </c>
      <c r="L1453" s="9">
        <f t="shared" si="202"/>
        <v>0</v>
      </c>
      <c r="M1453" s="9">
        <f t="shared" si="203"/>
        <v>0</v>
      </c>
      <c r="N1453" s="9">
        <f t="array" ref="N1453">+SUM(IFERROR(VALUE(L1453:M1453),0))</f>
        <v>0</v>
      </c>
      <c r="P1453" s="9" t="str">
        <f t="shared" si="204"/>
        <v/>
      </c>
      <c r="Q1453" s="9">
        <f t="shared" si="205"/>
        <v>0</v>
      </c>
      <c r="R1453" s="9">
        <f t="shared" si="206"/>
        <v>0</v>
      </c>
      <c r="S1453" s="9">
        <f t="array" ref="S1453">+SUM(IFERROR(VALUE(Q1453:R1453),0))</f>
        <v>0</v>
      </c>
    </row>
    <row r="1454" spans="1:19">
      <c r="A1454" s="26"/>
      <c r="B1454" s="27"/>
      <c r="C1454" s="27"/>
      <c r="D1454" s="28"/>
      <c r="F1454" s="9" t="str">
        <f t="shared" si="198"/>
        <v/>
      </c>
      <c r="G1454" s="9">
        <f t="shared" si="199"/>
        <v>0</v>
      </c>
      <c r="H1454" s="9">
        <f t="shared" si="200"/>
        <v>0</v>
      </c>
      <c r="I1454" s="9">
        <f t="array" ref="I1454">+SUM(IFERROR(VALUE(G1454:H1454),0))</f>
        <v>0</v>
      </c>
      <c r="K1454" s="9" t="str">
        <f t="shared" si="201"/>
        <v/>
      </c>
      <c r="L1454" s="9">
        <f t="shared" si="202"/>
        <v>0</v>
      </c>
      <c r="M1454" s="9">
        <f t="shared" si="203"/>
        <v>0</v>
      </c>
      <c r="N1454" s="9">
        <f t="array" ref="N1454">+SUM(IFERROR(VALUE(L1454:M1454),0))</f>
        <v>0</v>
      </c>
      <c r="P1454" s="9" t="str">
        <f t="shared" si="204"/>
        <v/>
      </c>
      <c r="Q1454" s="9">
        <f t="shared" si="205"/>
        <v>0</v>
      </c>
      <c r="R1454" s="9">
        <f t="shared" si="206"/>
        <v>0</v>
      </c>
      <c r="S1454" s="9">
        <f t="array" ref="S1454">+SUM(IFERROR(VALUE(Q1454:R1454),0))</f>
        <v>0</v>
      </c>
    </row>
    <row r="1455" spans="1:19">
      <c r="A1455" s="26"/>
      <c r="B1455" s="27"/>
      <c r="C1455" s="27"/>
      <c r="D1455" s="28"/>
      <c r="F1455" s="9" t="str">
        <f t="shared" si="198"/>
        <v/>
      </c>
      <c r="G1455" s="9">
        <f t="shared" si="199"/>
        <v>0</v>
      </c>
      <c r="H1455" s="9">
        <f t="shared" si="200"/>
        <v>0</v>
      </c>
      <c r="I1455" s="9">
        <f t="array" ref="I1455">+SUM(IFERROR(VALUE(G1455:H1455),0))</f>
        <v>0</v>
      </c>
      <c r="K1455" s="9" t="str">
        <f t="shared" si="201"/>
        <v/>
      </c>
      <c r="L1455" s="9">
        <f t="shared" si="202"/>
        <v>0</v>
      </c>
      <c r="M1455" s="9">
        <f t="shared" si="203"/>
        <v>0</v>
      </c>
      <c r="N1455" s="9">
        <f t="array" ref="N1455">+SUM(IFERROR(VALUE(L1455:M1455),0))</f>
        <v>0</v>
      </c>
      <c r="P1455" s="9" t="str">
        <f t="shared" si="204"/>
        <v/>
      </c>
      <c r="Q1455" s="9">
        <f t="shared" si="205"/>
        <v>0</v>
      </c>
      <c r="R1455" s="9">
        <f t="shared" si="206"/>
        <v>0</v>
      </c>
      <c r="S1455" s="9">
        <f t="array" ref="S1455">+SUM(IFERROR(VALUE(Q1455:R1455),0))</f>
        <v>0</v>
      </c>
    </row>
    <row r="1456" spans="1:19">
      <c r="A1456" s="26"/>
      <c r="B1456" s="27"/>
      <c r="C1456" s="27"/>
      <c r="D1456" s="28"/>
      <c r="F1456" s="9" t="str">
        <f t="shared" si="198"/>
        <v/>
      </c>
      <c r="G1456" s="9">
        <f t="shared" si="199"/>
        <v>0</v>
      </c>
      <c r="H1456" s="9">
        <f t="shared" si="200"/>
        <v>0</v>
      </c>
      <c r="I1456" s="9">
        <f t="array" ref="I1456">+SUM(IFERROR(VALUE(G1456:H1456),0))</f>
        <v>0</v>
      </c>
      <c r="K1456" s="9" t="str">
        <f t="shared" si="201"/>
        <v/>
      </c>
      <c r="L1456" s="9">
        <f t="shared" si="202"/>
        <v>0</v>
      </c>
      <c r="M1456" s="9">
        <f t="shared" si="203"/>
        <v>0</v>
      </c>
      <c r="N1456" s="9">
        <f t="array" ref="N1456">+SUM(IFERROR(VALUE(L1456:M1456),0))</f>
        <v>0</v>
      </c>
      <c r="P1456" s="9" t="str">
        <f t="shared" si="204"/>
        <v/>
      </c>
      <c r="Q1456" s="9">
        <f t="shared" si="205"/>
        <v>0</v>
      </c>
      <c r="R1456" s="9">
        <f t="shared" si="206"/>
        <v>0</v>
      </c>
      <c r="S1456" s="9">
        <f t="array" ref="S1456">+SUM(IFERROR(VALUE(Q1456:R1456),0))</f>
        <v>0</v>
      </c>
    </row>
    <row r="1457" spans="1:19">
      <c r="A1457" s="26"/>
      <c r="B1457" s="27"/>
      <c r="C1457" s="27"/>
      <c r="D1457" s="28"/>
      <c r="F1457" s="9" t="str">
        <f t="shared" si="198"/>
        <v/>
      </c>
      <c r="G1457" s="9">
        <f t="shared" si="199"/>
        <v>0</v>
      </c>
      <c r="H1457" s="9">
        <f t="shared" si="200"/>
        <v>0</v>
      </c>
      <c r="I1457" s="9">
        <f t="array" ref="I1457">+SUM(IFERROR(VALUE(G1457:H1457),0))</f>
        <v>0</v>
      </c>
      <c r="K1457" s="9" t="str">
        <f t="shared" si="201"/>
        <v/>
      </c>
      <c r="L1457" s="9">
        <f t="shared" si="202"/>
        <v>0</v>
      </c>
      <c r="M1457" s="9">
        <f t="shared" si="203"/>
        <v>0</v>
      </c>
      <c r="N1457" s="9">
        <f t="array" ref="N1457">+SUM(IFERROR(VALUE(L1457:M1457),0))</f>
        <v>0</v>
      </c>
      <c r="P1457" s="9" t="str">
        <f t="shared" si="204"/>
        <v/>
      </c>
      <c r="Q1457" s="9">
        <f t="shared" si="205"/>
        <v>0</v>
      </c>
      <c r="R1457" s="9">
        <f t="shared" si="206"/>
        <v>0</v>
      </c>
      <c r="S1457" s="9">
        <f t="array" ref="S1457">+SUM(IFERROR(VALUE(Q1457:R1457),0))</f>
        <v>0</v>
      </c>
    </row>
    <row r="1458" spans="1:19">
      <c r="A1458" s="26"/>
      <c r="B1458" s="27"/>
      <c r="C1458" s="27"/>
      <c r="D1458" s="28"/>
      <c r="F1458" s="9" t="str">
        <f t="shared" si="198"/>
        <v/>
      </c>
      <c r="G1458" s="9">
        <f t="shared" si="199"/>
        <v>0</v>
      </c>
      <c r="H1458" s="9">
        <f t="shared" si="200"/>
        <v>0</v>
      </c>
      <c r="I1458" s="9">
        <f t="array" ref="I1458">+SUM(IFERROR(VALUE(G1458:H1458),0))</f>
        <v>0</v>
      </c>
      <c r="K1458" s="9" t="str">
        <f t="shared" si="201"/>
        <v/>
      </c>
      <c r="L1458" s="9">
        <f t="shared" si="202"/>
        <v>0</v>
      </c>
      <c r="M1458" s="9">
        <f t="shared" si="203"/>
        <v>0</v>
      </c>
      <c r="N1458" s="9">
        <f t="array" ref="N1458">+SUM(IFERROR(VALUE(L1458:M1458),0))</f>
        <v>0</v>
      </c>
      <c r="P1458" s="9" t="str">
        <f t="shared" si="204"/>
        <v/>
      </c>
      <c r="Q1458" s="9">
        <f t="shared" si="205"/>
        <v>0</v>
      </c>
      <c r="R1458" s="9">
        <f t="shared" si="206"/>
        <v>0</v>
      </c>
      <c r="S1458" s="9">
        <f t="array" ref="S1458">+SUM(IFERROR(VALUE(Q1458:R1458),0))</f>
        <v>0</v>
      </c>
    </row>
    <row r="1459" spans="1:19">
      <c r="A1459" s="26"/>
      <c r="B1459" s="27"/>
      <c r="C1459" s="27"/>
      <c r="D1459" s="28"/>
      <c r="F1459" s="9" t="str">
        <f t="shared" si="198"/>
        <v/>
      </c>
      <c r="G1459" s="9">
        <f t="shared" si="199"/>
        <v>0</v>
      </c>
      <c r="H1459" s="9">
        <f t="shared" si="200"/>
        <v>0</v>
      </c>
      <c r="I1459" s="9">
        <f t="array" ref="I1459">+SUM(IFERROR(VALUE(G1459:H1459),0))</f>
        <v>0</v>
      </c>
      <c r="K1459" s="9" t="str">
        <f t="shared" si="201"/>
        <v/>
      </c>
      <c r="L1459" s="9">
        <f t="shared" si="202"/>
        <v>0</v>
      </c>
      <c r="M1459" s="9">
        <f t="shared" si="203"/>
        <v>0</v>
      </c>
      <c r="N1459" s="9">
        <f t="array" ref="N1459">+SUM(IFERROR(VALUE(L1459:M1459),0))</f>
        <v>0</v>
      </c>
      <c r="P1459" s="9" t="str">
        <f t="shared" si="204"/>
        <v/>
      </c>
      <c r="Q1459" s="9">
        <f t="shared" si="205"/>
        <v>0</v>
      </c>
      <c r="R1459" s="9">
        <f t="shared" si="206"/>
        <v>0</v>
      </c>
      <c r="S1459" s="9">
        <f t="array" ref="S1459">+SUM(IFERROR(VALUE(Q1459:R1459),0))</f>
        <v>0</v>
      </c>
    </row>
    <row r="1460" spans="1:19">
      <c r="A1460" s="26"/>
      <c r="B1460" s="27"/>
      <c r="C1460" s="27"/>
      <c r="D1460" s="28"/>
      <c r="F1460" s="9" t="str">
        <f t="shared" si="198"/>
        <v/>
      </c>
      <c r="G1460" s="9">
        <f t="shared" si="199"/>
        <v>0</v>
      </c>
      <c r="H1460" s="9">
        <f t="shared" si="200"/>
        <v>0</v>
      </c>
      <c r="I1460" s="9">
        <f t="array" ref="I1460">+SUM(IFERROR(VALUE(G1460:H1460),0))</f>
        <v>0</v>
      </c>
      <c r="K1460" s="9" t="str">
        <f t="shared" si="201"/>
        <v/>
      </c>
      <c r="L1460" s="9">
        <f t="shared" si="202"/>
        <v>0</v>
      </c>
      <c r="M1460" s="9">
        <f t="shared" si="203"/>
        <v>0</v>
      </c>
      <c r="N1460" s="9">
        <f t="array" ref="N1460">+SUM(IFERROR(VALUE(L1460:M1460),0))</f>
        <v>0</v>
      </c>
      <c r="P1460" s="9" t="str">
        <f t="shared" si="204"/>
        <v/>
      </c>
      <c r="Q1460" s="9">
        <f t="shared" si="205"/>
        <v>0</v>
      </c>
      <c r="R1460" s="9">
        <f t="shared" si="206"/>
        <v>0</v>
      </c>
      <c r="S1460" s="9">
        <f t="array" ref="S1460">+SUM(IFERROR(VALUE(Q1460:R1460),0))</f>
        <v>0</v>
      </c>
    </row>
    <row r="1461" spans="1:19">
      <c r="A1461" s="26"/>
      <c r="B1461" s="27"/>
      <c r="C1461" s="27"/>
      <c r="D1461" s="28"/>
      <c r="F1461" s="9" t="str">
        <f t="shared" si="198"/>
        <v/>
      </c>
      <c r="G1461" s="9">
        <f t="shared" si="199"/>
        <v>0</v>
      </c>
      <c r="H1461" s="9">
        <f t="shared" si="200"/>
        <v>0</v>
      </c>
      <c r="I1461" s="9">
        <f t="array" ref="I1461">+SUM(IFERROR(VALUE(G1461:H1461),0))</f>
        <v>0</v>
      </c>
      <c r="K1461" s="9" t="str">
        <f t="shared" si="201"/>
        <v/>
      </c>
      <c r="L1461" s="9">
        <f t="shared" si="202"/>
        <v>0</v>
      </c>
      <c r="M1461" s="9">
        <f t="shared" si="203"/>
        <v>0</v>
      </c>
      <c r="N1461" s="9">
        <f t="array" ref="N1461">+SUM(IFERROR(VALUE(L1461:M1461),0))</f>
        <v>0</v>
      </c>
      <c r="P1461" s="9" t="str">
        <f t="shared" si="204"/>
        <v/>
      </c>
      <c r="Q1461" s="9">
        <f t="shared" si="205"/>
        <v>0</v>
      </c>
      <c r="R1461" s="9">
        <f t="shared" si="206"/>
        <v>0</v>
      </c>
      <c r="S1461" s="9">
        <f t="array" ref="S1461">+SUM(IFERROR(VALUE(Q1461:R1461),0))</f>
        <v>0</v>
      </c>
    </row>
    <row r="1462" spans="1:19">
      <c r="A1462" s="26"/>
      <c r="B1462" s="27"/>
      <c r="C1462" s="27"/>
      <c r="D1462" s="28"/>
      <c r="F1462" s="9" t="str">
        <f t="shared" si="198"/>
        <v/>
      </c>
      <c r="G1462" s="9">
        <f t="shared" si="199"/>
        <v>0</v>
      </c>
      <c r="H1462" s="9">
        <f t="shared" si="200"/>
        <v>0</v>
      </c>
      <c r="I1462" s="9">
        <f t="array" ref="I1462">+SUM(IFERROR(VALUE(G1462:H1462),0))</f>
        <v>0</v>
      </c>
      <c r="K1462" s="9" t="str">
        <f t="shared" si="201"/>
        <v/>
      </c>
      <c r="L1462" s="9">
        <f t="shared" si="202"/>
        <v>0</v>
      </c>
      <c r="M1462" s="9">
        <f t="shared" si="203"/>
        <v>0</v>
      </c>
      <c r="N1462" s="9">
        <f t="array" ref="N1462">+SUM(IFERROR(VALUE(L1462:M1462),0))</f>
        <v>0</v>
      </c>
      <c r="P1462" s="9" t="str">
        <f t="shared" si="204"/>
        <v/>
      </c>
      <c r="Q1462" s="9">
        <f t="shared" si="205"/>
        <v>0</v>
      </c>
      <c r="R1462" s="9">
        <f t="shared" si="206"/>
        <v>0</v>
      </c>
      <c r="S1462" s="9">
        <f t="array" ref="S1462">+SUM(IFERROR(VALUE(Q1462:R1462),0))</f>
        <v>0</v>
      </c>
    </row>
    <row r="1463" spans="1:19">
      <c r="A1463" s="26"/>
      <c r="B1463" s="27"/>
      <c r="C1463" s="27"/>
      <c r="D1463" s="28"/>
      <c r="F1463" s="9" t="str">
        <f t="shared" si="198"/>
        <v/>
      </c>
      <c r="G1463" s="9">
        <f t="shared" si="199"/>
        <v>0</v>
      </c>
      <c r="H1463" s="9">
        <f t="shared" si="200"/>
        <v>0</v>
      </c>
      <c r="I1463" s="9">
        <f t="array" ref="I1463">+SUM(IFERROR(VALUE(G1463:H1463),0))</f>
        <v>0</v>
      </c>
      <c r="K1463" s="9" t="str">
        <f t="shared" si="201"/>
        <v/>
      </c>
      <c r="L1463" s="9">
        <f t="shared" si="202"/>
        <v>0</v>
      </c>
      <c r="M1463" s="9">
        <f t="shared" si="203"/>
        <v>0</v>
      </c>
      <c r="N1463" s="9">
        <f t="array" ref="N1463">+SUM(IFERROR(VALUE(L1463:M1463),0))</f>
        <v>0</v>
      </c>
      <c r="P1463" s="9" t="str">
        <f t="shared" si="204"/>
        <v/>
      </c>
      <c r="Q1463" s="9">
        <f t="shared" si="205"/>
        <v>0</v>
      </c>
      <c r="R1463" s="9">
        <f t="shared" si="206"/>
        <v>0</v>
      </c>
      <c r="S1463" s="9">
        <f t="array" ref="S1463">+SUM(IFERROR(VALUE(Q1463:R1463),0))</f>
        <v>0</v>
      </c>
    </row>
    <row r="1464" spans="1:19">
      <c r="A1464" s="26"/>
      <c r="B1464" s="27"/>
      <c r="C1464" s="27"/>
      <c r="D1464" s="28"/>
      <c r="F1464" s="9" t="str">
        <f t="shared" si="198"/>
        <v/>
      </c>
      <c r="G1464" s="9">
        <f t="shared" si="199"/>
        <v>0</v>
      </c>
      <c r="H1464" s="9">
        <f t="shared" si="200"/>
        <v>0</v>
      </c>
      <c r="I1464" s="9">
        <f t="array" ref="I1464">+SUM(IFERROR(VALUE(G1464:H1464),0))</f>
        <v>0</v>
      </c>
      <c r="K1464" s="9" t="str">
        <f t="shared" si="201"/>
        <v/>
      </c>
      <c r="L1464" s="9">
        <f t="shared" si="202"/>
        <v>0</v>
      </c>
      <c r="M1464" s="9">
        <f t="shared" si="203"/>
        <v>0</v>
      </c>
      <c r="N1464" s="9">
        <f t="array" ref="N1464">+SUM(IFERROR(VALUE(L1464:M1464),0))</f>
        <v>0</v>
      </c>
      <c r="P1464" s="9" t="str">
        <f t="shared" si="204"/>
        <v/>
      </c>
      <c r="Q1464" s="9">
        <f t="shared" si="205"/>
        <v>0</v>
      </c>
      <c r="R1464" s="9">
        <f t="shared" si="206"/>
        <v>0</v>
      </c>
      <c r="S1464" s="9">
        <f t="array" ref="S1464">+SUM(IFERROR(VALUE(Q1464:R1464),0))</f>
        <v>0</v>
      </c>
    </row>
    <row r="1465" spans="1:19">
      <c r="A1465" s="26"/>
      <c r="B1465" s="27"/>
      <c r="C1465" s="27"/>
      <c r="D1465" s="28"/>
      <c r="F1465" s="9" t="str">
        <f t="shared" si="198"/>
        <v/>
      </c>
      <c r="G1465" s="9">
        <f t="shared" si="199"/>
        <v>0</v>
      </c>
      <c r="H1465" s="9">
        <f t="shared" si="200"/>
        <v>0</v>
      </c>
      <c r="I1465" s="9">
        <f t="array" ref="I1465">+SUM(IFERROR(VALUE(G1465:H1465),0))</f>
        <v>0</v>
      </c>
      <c r="K1465" s="9" t="str">
        <f t="shared" si="201"/>
        <v/>
      </c>
      <c r="L1465" s="9">
        <f t="shared" si="202"/>
        <v>0</v>
      </c>
      <c r="M1465" s="9">
        <f t="shared" si="203"/>
        <v>0</v>
      </c>
      <c r="N1465" s="9">
        <f t="array" ref="N1465">+SUM(IFERROR(VALUE(L1465:M1465),0))</f>
        <v>0</v>
      </c>
      <c r="P1465" s="9" t="str">
        <f t="shared" si="204"/>
        <v/>
      </c>
      <c r="Q1465" s="9">
        <f t="shared" si="205"/>
        <v>0</v>
      </c>
      <c r="R1465" s="9">
        <f t="shared" si="206"/>
        <v>0</v>
      </c>
      <c r="S1465" s="9">
        <f t="array" ref="S1465">+SUM(IFERROR(VALUE(Q1465:R1465),0))</f>
        <v>0</v>
      </c>
    </row>
    <row r="1466" spans="1:19">
      <c r="A1466" s="26"/>
      <c r="B1466" s="27"/>
      <c r="C1466" s="27"/>
      <c r="D1466" s="28"/>
      <c r="F1466" s="9" t="str">
        <f t="shared" si="198"/>
        <v/>
      </c>
      <c r="G1466" s="9">
        <f t="shared" si="199"/>
        <v>0</v>
      </c>
      <c r="H1466" s="9">
        <f t="shared" si="200"/>
        <v>0</v>
      </c>
      <c r="I1466" s="9">
        <f t="array" ref="I1466">+SUM(IFERROR(VALUE(G1466:H1466),0))</f>
        <v>0</v>
      </c>
      <c r="K1466" s="9" t="str">
        <f t="shared" si="201"/>
        <v/>
      </c>
      <c r="L1466" s="9">
        <f t="shared" si="202"/>
        <v>0</v>
      </c>
      <c r="M1466" s="9">
        <f t="shared" si="203"/>
        <v>0</v>
      </c>
      <c r="N1466" s="9">
        <f t="array" ref="N1466">+SUM(IFERROR(VALUE(L1466:M1466),0))</f>
        <v>0</v>
      </c>
      <c r="P1466" s="9" t="str">
        <f t="shared" si="204"/>
        <v/>
      </c>
      <c r="Q1466" s="9">
        <f t="shared" si="205"/>
        <v>0</v>
      </c>
      <c r="R1466" s="9">
        <f t="shared" si="206"/>
        <v>0</v>
      </c>
      <c r="S1466" s="9">
        <f t="array" ref="S1466">+SUM(IFERROR(VALUE(Q1466:R1466),0))</f>
        <v>0</v>
      </c>
    </row>
    <row r="1467" spans="1:19">
      <c r="A1467" s="26"/>
      <c r="B1467" s="27"/>
      <c r="C1467" s="27"/>
      <c r="D1467" s="28"/>
      <c r="F1467" s="9" t="str">
        <f t="shared" si="198"/>
        <v/>
      </c>
      <c r="G1467" s="9">
        <f t="shared" si="199"/>
        <v>0</v>
      </c>
      <c r="H1467" s="9">
        <f t="shared" si="200"/>
        <v>0</v>
      </c>
      <c r="I1467" s="9">
        <f t="array" ref="I1467">+SUM(IFERROR(VALUE(G1467:H1467),0))</f>
        <v>0</v>
      </c>
      <c r="K1467" s="9" t="str">
        <f t="shared" si="201"/>
        <v/>
      </c>
      <c r="L1467" s="9">
        <f t="shared" si="202"/>
        <v>0</v>
      </c>
      <c r="M1467" s="9">
        <f t="shared" si="203"/>
        <v>0</v>
      </c>
      <c r="N1467" s="9">
        <f t="array" ref="N1467">+SUM(IFERROR(VALUE(L1467:M1467),0))</f>
        <v>0</v>
      </c>
      <c r="P1467" s="9" t="str">
        <f t="shared" si="204"/>
        <v/>
      </c>
      <c r="Q1467" s="9">
        <f t="shared" si="205"/>
        <v>0</v>
      </c>
      <c r="R1467" s="9">
        <f t="shared" si="206"/>
        <v>0</v>
      </c>
      <c r="S1467" s="9">
        <f t="array" ref="S1467">+SUM(IFERROR(VALUE(Q1467:R1467),0))</f>
        <v>0</v>
      </c>
    </row>
    <row r="1468" spans="1:19">
      <c r="A1468" s="26"/>
      <c r="B1468" s="27"/>
      <c r="C1468" s="27"/>
      <c r="D1468" s="28"/>
      <c r="F1468" s="9" t="str">
        <f t="shared" si="198"/>
        <v/>
      </c>
      <c r="G1468" s="9">
        <f t="shared" si="199"/>
        <v>0</v>
      </c>
      <c r="H1468" s="9">
        <f t="shared" si="200"/>
        <v>0</v>
      </c>
      <c r="I1468" s="9">
        <f t="array" ref="I1468">+SUM(IFERROR(VALUE(G1468:H1468),0))</f>
        <v>0</v>
      </c>
      <c r="K1468" s="9" t="str">
        <f t="shared" si="201"/>
        <v/>
      </c>
      <c r="L1468" s="9">
        <f t="shared" si="202"/>
        <v>0</v>
      </c>
      <c r="M1468" s="9">
        <f t="shared" si="203"/>
        <v>0</v>
      </c>
      <c r="N1468" s="9">
        <f t="array" ref="N1468">+SUM(IFERROR(VALUE(L1468:M1468),0))</f>
        <v>0</v>
      </c>
      <c r="P1468" s="9" t="str">
        <f t="shared" si="204"/>
        <v/>
      </c>
      <c r="Q1468" s="9">
        <f t="shared" si="205"/>
        <v>0</v>
      </c>
      <c r="R1468" s="9">
        <f t="shared" si="206"/>
        <v>0</v>
      </c>
      <c r="S1468" s="9">
        <f t="array" ref="S1468">+SUM(IFERROR(VALUE(Q1468:R1468),0))</f>
        <v>0</v>
      </c>
    </row>
    <row r="1469" spans="1:19">
      <c r="A1469" s="26"/>
      <c r="B1469" s="27"/>
      <c r="C1469" s="27"/>
      <c r="D1469" s="28"/>
      <c r="F1469" s="9" t="str">
        <f t="shared" si="198"/>
        <v/>
      </c>
      <c r="G1469" s="9">
        <f t="shared" si="199"/>
        <v>0</v>
      </c>
      <c r="H1469" s="9">
        <f t="shared" si="200"/>
        <v>0</v>
      </c>
      <c r="I1469" s="9">
        <f t="array" ref="I1469">+SUM(IFERROR(VALUE(G1469:H1469),0))</f>
        <v>0</v>
      </c>
      <c r="K1469" s="9" t="str">
        <f t="shared" si="201"/>
        <v/>
      </c>
      <c r="L1469" s="9">
        <f t="shared" si="202"/>
        <v>0</v>
      </c>
      <c r="M1469" s="9">
        <f t="shared" si="203"/>
        <v>0</v>
      </c>
      <c r="N1469" s="9">
        <f t="array" ref="N1469">+SUM(IFERROR(VALUE(L1469:M1469),0))</f>
        <v>0</v>
      </c>
      <c r="P1469" s="9" t="str">
        <f t="shared" si="204"/>
        <v/>
      </c>
      <c r="Q1469" s="9">
        <f t="shared" si="205"/>
        <v>0</v>
      </c>
      <c r="R1469" s="9">
        <f t="shared" si="206"/>
        <v>0</v>
      </c>
      <c r="S1469" s="9">
        <f t="array" ref="S1469">+SUM(IFERROR(VALUE(Q1469:R1469),0))</f>
        <v>0</v>
      </c>
    </row>
    <row r="1470" spans="1:19">
      <c r="A1470" s="26"/>
      <c r="B1470" s="27"/>
      <c r="C1470" s="27"/>
      <c r="D1470" s="28"/>
      <c r="F1470" s="9" t="str">
        <f t="shared" si="198"/>
        <v/>
      </c>
      <c r="G1470" s="9">
        <f t="shared" si="199"/>
        <v>0</v>
      </c>
      <c r="H1470" s="9">
        <f t="shared" si="200"/>
        <v>0</v>
      </c>
      <c r="I1470" s="9">
        <f t="array" ref="I1470">+SUM(IFERROR(VALUE(G1470:H1470),0))</f>
        <v>0</v>
      </c>
      <c r="K1470" s="9" t="str">
        <f t="shared" si="201"/>
        <v/>
      </c>
      <c r="L1470" s="9">
        <f t="shared" si="202"/>
        <v>0</v>
      </c>
      <c r="M1470" s="9">
        <f t="shared" si="203"/>
        <v>0</v>
      </c>
      <c r="N1470" s="9">
        <f t="array" ref="N1470">+SUM(IFERROR(VALUE(L1470:M1470),0))</f>
        <v>0</v>
      </c>
      <c r="P1470" s="9" t="str">
        <f t="shared" si="204"/>
        <v/>
      </c>
      <c r="Q1470" s="9">
        <f t="shared" si="205"/>
        <v>0</v>
      </c>
      <c r="R1470" s="9">
        <f t="shared" si="206"/>
        <v>0</v>
      </c>
      <c r="S1470" s="9">
        <f t="array" ref="S1470">+SUM(IFERROR(VALUE(Q1470:R1470),0))</f>
        <v>0</v>
      </c>
    </row>
    <row r="1471" spans="1:19">
      <c r="A1471" s="26"/>
      <c r="B1471" s="27"/>
      <c r="C1471" s="27"/>
      <c r="D1471" s="28"/>
      <c r="F1471" s="9" t="str">
        <f t="shared" si="198"/>
        <v/>
      </c>
      <c r="G1471" s="9">
        <f t="shared" si="199"/>
        <v>0</v>
      </c>
      <c r="H1471" s="9">
        <f t="shared" si="200"/>
        <v>0</v>
      </c>
      <c r="I1471" s="9">
        <f t="array" ref="I1471">+SUM(IFERROR(VALUE(G1471:H1471),0))</f>
        <v>0</v>
      </c>
      <c r="K1471" s="9" t="str">
        <f t="shared" si="201"/>
        <v/>
      </c>
      <c r="L1471" s="9">
        <f t="shared" si="202"/>
        <v>0</v>
      </c>
      <c r="M1471" s="9">
        <f t="shared" si="203"/>
        <v>0</v>
      </c>
      <c r="N1471" s="9">
        <f t="array" ref="N1471">+SUM(IFERROR(VALUE(L1471:M1471),0))</f>
        <v>0</v>
      </c>
      <c r="P1471" s="9" t="str">
        <f t="shared" si="204"/>
        <v/>
      </c>
      <c r="Q1471" s="9">
        <f t="shared" si="205"/>
        <v>0</v>
      </c>
      <c r="R1471" s="9">
        <f t="shared" si="206"/>
        <v>0</v>
      </c>
      <c r="S1471" s="9">
        <f t="array" ref="S1471">+SUM(IFERROR(VALUE(Q1471:R1471),0))</f>
        <v>0</v>
      </c>
    </row>
    <row r="1472" spans="1:19">
      <c r="A1472" s="26"/>
      <c r="B1472" s="27"/>
      <c r="C1472" s="27"/>
      <c r="D1472" s="28"/>
      <c r="F1472" s="9" t="str">
        <f t="shared" si="198"/>
        <v/>
      </c>
      <c r="G1472" s="9">
        <f t="shared" si="199"/>
        <v>0</v>
      </c>
      <c r="H1472" s="9">
        <f t="shared" si="200"/>
        <v>0</v>
      </c>
      <c r="I1472" s="9">
        <f t="array" ref="I1472">+SUM(IFERROR(VALUE(G1472:H1472),0))</f>
        <v>0</v>
      </c>
      <c r="K1472" s="9" t="str">
        <f t="shared" si="201"/>
        <v/>
      </c>
      <c r="L1472" s="9">
        <f t="shared" si="202"/>
        <v>0</v>
      </c>
      <c r="M1472" s="9">
        <f t="shared" si="203"/>
        <v>0</v>
      </c>
      <c r="N1472" s="9">
        <f t="array" ref="N1472">+SUM(IFERROR(VALUE(L1472:M1472),0))</f>
        <v>0</v>
      </c>
      <c r="P1472" s="9" t="str">
        <f t="shared" si="204"/>
        <v/>
      </c>
      <c r="Q1472" s="9">
        <f t="shared" si="205"/>
        <v>0</v>
      </c>
      <c r="R1472" s="9">
        <f t="shared" si="206"/>
        <v>0</v>
      </c>
      <c r="S1472" s="9">
        <f t="array" ref="S1472">+SUM(IFERROR(VALUE(Q1472:R1472),0))</f>
        <v>0</v>
      </c>
    </row>
    <row r="1473" spans="1:19">
      <c r="A1473" s="26"/>
      <c r="B1473" s="27"/>
      <c r="C1473" s="27"/>
      <c r="D1473" s="28"/>
      <c r="F1473" s="9" t="str">
        <f t="shared" si="198"/>
        <v/>
      </c>
      <c r="G1473" s="9">
        <f t="shared" si="199"/>
        <v>0</v>
      </c>
      <c r="H1473" s="9">
        <f t="shared" si="200"/>
        <v>0</v>
      </c>
      <c r="I1473" s="9">
        <f t="array" ref="I1473">+SUM(IFERROR(VALUE(G1473:H1473),0))</f>
        <v>0</v>
      </c>
      <c r="K1473" s="9" t="str">
        <f t="shared" si="201"/>
        <v/>
      </c>
      <c r="L1473" s="9">
        <f t="shared" si="202"/>
        <v>0</v>
      </c>
      <c r="M1473" s="9">
        <f t="shared" si="203"/>
        <v>0</v>
      </c>
      <c r="N1473" s="9">
        <f t="array" ref="N1473">+SUM(IFERROR(VALUE(L1473:M1473),0))</f>
        <v>0</v>
      </c>
      <c r="P1473" s="9" t="str">
        <f t="shared" si="204"/>
        <v/>
      </c>
      <c r="Q1473" s="9">
        <f t="shared" si="205"/>
        <v>0</v>
      </c>
      <c r="R1473" s="9">
        <f t="shared" si="206"/>
        <v>0</v>
      </c>
      <c r="S1473" s="9">
        <f t="array" ref="S1473">+SUM(IFERROR(VALUE(Q1473:R1473),0))</f>
        <v>0</v>
      </c>
    </row>
    <row r="1474" spans="1:19">
      <c r="A1474" s="26"/>
      <c r="B1474" s="27"/>
      <c r="C1474" s="27"/>
      <c r="D1474" s="28"/>
      <c r="F1474" s="9" t="str">
        <f t="shared" si="198"/>
        <v/>
      </c>
      <c r="G1474" s="9">
        <f t="shared" si="199"/>
        <v>0</v>
      </c>
      <c r="H1474" s="9">
        <f t="shared" si="200"/>
        <v>0</v>
      </c>
      <c r="I1474" s="9">
        <f t="array" ref="I1474">+SUM(IFERROR(VALUE(G1474:H1474),0))</f>
        <v>0</v>
      </c>
      <c r="K1474" s="9" t="str">
        <f t="shared" si="201"/>
        <v/>
      </c>
      <c r="L1474" s="9">
        <f t="shared" si="202"/>
        <v>0</v>
      </c>
      <c r="M1474" s="9">
        <f t="shared" si="203"/>
        <v>0</v>
      </c>
      <c r="N1474" s="9">
        <f t="array" ref="N1474">+SUM(IFERROR(VALUE(L1474:M1474),0))</f>
        <v>0</v>
      </c>
      <c r="P1474" s="9" t="str">
        <f t="shared" si="204"/>
        <v/>
      </c>
      <c r="Q1474" s="9">
        <f t="shared" si="205"/>
        <v>0</v>
      </c>
      <c r="R1474" s="9">
        <f t="shared" si="206"/>
        <v>0</v>
      </c>
      <c r="S1474" s="9">
        <f t="array" ref="S1474">+SUM(IFERROR(VALUE(Q1474:R1474),0))</f>
        <v>0</v>
      </c>
    </row>
    <row r="1475" spans="1:19">
      <c r="A1475" s="26"/>
      <c r="B1475" s="27"/>
      <c r="C1475" s="27"/>
      <c r="D1475" s="28"/>
      <c r="F1475" s="9" t="str">
        <f t="shared" si="198"/>
        <v/>
      </c>
      <c r="G1475" s="9">
        <f t="shared" si="199"/>
        <v>0</v>
      </c>
      <c r="H1475" s="9">
        <f t="shared" si="200"/>
        <v>0</v>
      </c>
      <c r="I1475" s="9">
        <f t="array" ref="I1475">+SUM(IFERROR(VALUE(G1475:H1475),0))</f>
        <v>0</v>
      </c>
      <c r="K1475" s="9" t="str">
        <f t="shared" si="201"/>
        <v/>
      </c>
      <c r="L1475" s="9">
        <f t="shared" si="202"/>
        <v>0</v>
      </c>
      <c r="M1475" s="9">
        <f t="shared" si="203"/>
        <v>0</v>
      </c>
      <c r="N1475" s="9">
        <f t="array" ref="N1475">+SUM(IFERROR(VALUE(L1475:M1475),0))</f>
        <v>0</v>
      </c>
      <c r="P1475" s="9" t="str">
        <f t="shared" si="204"/>
        <v/>
      </c>
      <c r="Q1475" s="9">
        <f t="shared" si="205"/>
        <v>0</v>
      </c>
      <c r="R1475" s="9">
        <f t="shared" si="206"/>
        <v>0</v>
      </c>
      <c r="S1475" s="9">
        <f t="array" ref="S1475">+SUM(IFERROR(VALUE(Q1475:R1475),0))</f>
        <v>0</v>
      </c>
    </row>
    <row r="1476" spans="1:19">
      <c r="A1476" s="26"/>
      <c r="B1476" s="27"/>
      <c r="C1476" s="27"/>
      <c r="D1476" s="28"/>
      <c r="F1476" s="9" t="str">
        <f t="shared" si="198"/>
        <v/>
      </c>
      <c r="G1476" s="9">
        <f t="shared" si="199"/>
        <v>0</v>
      </c>
      <c r="H1476" s="9">
        <f t="shared" si="200"/>
        <v>0</v>
      </c>
      <c r="I1476" s="9">
        <f t="array" ref="I1476">+SUM(IFERROR(VALUE(G1476:H1476),0))</f>
        <v>0</v>
      </c>
      <c r="K1476" s="9" t="str">
        <f t="shared" si="201"/>
        <v/>
      </c>
      <c r="L1476" s="9">
        <f t="shared" si="202"/>
        <v>0</v>
      </c>
      <c r="M1476" s="9">
        <f t="shared" si="203"/>
        <v>0</v>
      </c>
      <c r="N1476" s="9">
        <f t="array" ref="N1476">+SUM(IFERROR(VALUE(L1476:M1476),0))</f>
        <v>0</v>
      </c>
      <c r="P1476" s="9" t="str">
        <f t="shared" si="204"/>
        <v/>
      </c>
      <c r="Q1476" s="9">
        <f t="shared" si="205"/>
        <v>0</v>
      </c>
      <c r="R1476" s="9">
        <f t="shared" si="206"/>
        <v>0</v>
      </c>
      <c r="S1476" s="9">
        <f t="array" ref="S1476">+SUM(IFERROR(VALUE(Q1476:R1476),0))</f>
        <v>0</v>
      </c>
    </row>
    <row r="1477" spans="1:19">
      <c r="A1477" s="26"/>
      <c r="B1477" s="27"/>
      <c r="C1477" s="27"/>
      <c r="D1477" s="28"/>
      <c r="F1477" s="9" t="str">
        <f t="shared" si="198"/>
        <v/>
      </c>
      <c r="G1477" s="9">
        <f t="shared" si="199"/>
        <v>0</v>
      </c>
      <c r="H1477" s="9">
        <f t="shared" si="200"/>
        <v>0</v>
      </c>
      <c r="I1477" s="9">
        <f t="array" ref="I1477">+SUM(IFERROR(VALUE(G1477:H1477),0))</f>
        <v>0</v>
      </c>
      <c r="K1477" s="9" t="str">
        <f t="shared" si="201"/>
        <v/>
      </c>
      <c r="L1477" s="9">
        <f t="shared" si="202"/>
        <v>0</v>
      </c>
      <c r="M1477" s="9">
        <f t="shared" si="203"/>
        <v>0</v>
      </c>
      <c r="N1477" s="9">
        <f t="array" ref="N1477">+SUM(IFERROR(VALUE(L1477:M1477),0))</f>
        <v>0</v>
      </c>
      <c r="P1477" s="9" t="str">
        <f t="shared" si="204"/>
        <v/>
      </c>
      <c r="Q1477" s="9">
        <f t="shared" si="205"/>
        <v>0</v>
      </c>
      <c r="R1477" s="9">
        <f t="shared" si="206"/>
        <v>0</v>
      </c>
      <c r="S1477" s="9">
        <f t="array" ref="S1477">+SUM(IFERROR(VALUE(Q1477:R1477),0))</f>
        <v>0</v>
      </c>
    </row>
    <row r="1478" spans="1:19">
      <c r="A1478" s="26"/>
      <c r="B1478" s="27"/>
      <c r="C1478" s="27"/>
      <c r="D1478" s="28"/>
      <c r="F1478" s="9" t="str">
        <f t="shared" ref="F1478:F1541" si="207">+LEFT(A1478,4)</f>
        <v/>
      </c>
      <c r="G1478" s="9">
        <f t="shared" ref="G1478:G1541" si="208">+C1478</f>
        <v>0</v>
      </c>
      <c r="H1478" s="9">
        <f t="shared" ref="H1478:H1541" si="209">-D1478</f>
        <v>0</v>
      </c>
      <c r="I1478" s="9">
        <f t="array" ref="I1478">+SUM(IFERROR(VALUE(G1478:H1478),0))</f>
        <v>0</v>
      </c>
      <c r="K1478" s="9" t="str">
        <f t="shared" ref="K1478:K1541" si="210">+LEFT(A1478,3)</f>
        <v/>
      </c>
      <c r="L1478" s="9">
        <f t="shared" ref="L1478:L1541" si="211">+C1478</f>
        <v>0</v>
      </c>
      <c r="M1478" s="9">
        <f t="shared" ref="M1478:M1541" si="212">-D1478</f>
        <v>0</v>
      </c>
      <c r="N1478" s="9">
        <f t="array" ref="N1478">+SUM(IFERROR(VALUE(L1478:M1478),0))</f>
        <v>0</v>
      </c>
      <c r="P1478" s="9" t="str">
        <f t="shared" ref="P1478:P1541" si="213">+LEFT(A1478,2)</f>
        <v/>
      </c>
      <c r="Q1478" s="9">
        <f t="shared" ref="Q1478:Q1541" si="214">+C1478</f>
        <v>0</v>
      </c>
      <c r="R1478" s="9">
        <f t="shared" ref="R1478:R1541" si="215">-D1478</f>
        <v>0</v>
      </c>
      <c r="S1478" s="9">
        <f t="array" ref="S1478">+SUM(IFERROR(VALUE(Q1478:R1478),0))</f>
        <v>0</v>
      </c>
    </row>
    <row r="1479" spans="1:19">
      <c r="A1479" s="26"/>
      <c r="B1479" s="27"/>
      <c r="C1479" s="27"/>
      <c r="D1479" s="28"/>
      <c r="F1479" s="9" t="str">
        <f t="shared" si="207"/>
        <v/>
      </c>
      <c r="G1479" s="9">
        <f t="shared" si="208"/>
        <v>0</v>
      </c>
      <c r="H1479" s="9">
        <f t="shared" si="209"/>
        <v>0</v>
      </c>
      <c r="I1479" s="9">
        <f t="array" ref="I1479">+SUM(IFERROR(VALUE(G1479:H1479),0))</f>
        <v>0</v>
      </c>
      <c r="K1479" s="9" t="str">
        <f t="shared" si="210"/>
        <v/>
      </c>
      <c r="L1479" s="9">
        <f t="shared" si="211"/>
        <v>0</v>
      </c>
      <c r="M1479" s="9">
        <f t="shared" si="212"/>
        <v>0</v>
      </c>
      <c r="N1479" s="9">
        <f t="array" ref="N1479">+SUM(IFERROR(VALUE(L1479:M1479),0))</f>
        <v>0</v>
      </c>
      <c r="P1479" s="9" t="str">
        <f t="shared" si="213"/>
        <v/>
      </c>
      <c r="Q1479" s="9">
        <f t="shared" si="214"/>
        <v>0</v>
      </c>
      <c r="R1479" s="9">
        <f t="shared" si="215"/>
        <v>0</v>
      </c>
      <c r="S1479" s="9">
        <f t="array" ref="S1479">+SUM(IFERROR(VALUE(Q1479:R1479),0))</f>
        <v>0</v>
      </c>
    </row>
    <row r="1480" spans="1:19">
      <c r="A1480" s="26"/>
      <c r="B1480" s="27"/>
      <c r="C1480" s="27"/>
      <c r="D1480" s="28"/>
      <c r="F1480" s="9" t="str">
        <f t="shared" si="207"/>
        <v/>
      </c>
      <c r="G1480" s="9">
        <f t="shared" si="208"/>
        <v>0</v>
      </c>
      <c r="H1480" s="9">
        <f t="shared" si="209"/>
        <v>0</v>
      </c>
      <c r="I1480" s="9">
        <f t="array" ref="I1480">+SUM(IFERROR(VALUE(G1480:H1480),0))</f>
        <v>0</v>
      </c>
      <c r="K1480" s="9" t="str">
        <f t="shared" si="210"/>
        <v/>
      </c>
      <c r="L1480" s="9">
        <f t="shared" si="211"/>
        <v>0</v>
      </c>
      <c r="M1480" s="9">
        <f t="shared" si="212"/>
        <v>0</v>
      </c>
      <c r="N1480" s="9">
        <f t="array" ref="N1480">+SUM(IFERROR(VALUE(L1480:M1480),0))</f>
        <v>0</v>
      </c>
      <c r="P1480" s="9" t="str">
        <f t="shared" si="213"/>
        <v/>
      </c>
      <c r="Q1480" s="9">
        <f t="shared" si="214"/>
        <v>0</v>
      </c>
      <c r="R1480" s="9">
        <f t="shared" si="215"/>
        <v>0</v>
      </c>
      <c r="S1480" s="9">
        <f t="array" ref="S1480">+SUM(IFERROR(VALUE(Q1480:R1480),0))</f>
        <v>0</v>
      </c>
    </row>
    <row r="1481" spans="1:19">
      <c r="A1481" s="26"/>
      <c r="B1481" s="27"/>
      <c r="C1481" s="27"/>
      <c r="D1481" s="28"/>
      <c r="F1481" s="9" t="str">
        <f t="shared" si="207"/>
        <v/>
      </c>
      <c r="G1481" s="9">
        <f t="shared" si="208"/>
        <v>0</v>
      </c>
      <c r="H1481" s="9">
        <f t="shared" si="209"/>
        <v>0</v>
      </c>
      <c r="I1481" s="9">
        <f t="array" ref="I1481">+SUM(IFERROR(VALUE(G1481:H1481),0))</f>
        <v>0</v>
      </c>
      <c r="K1481" s="9" t="str">
        <f t="shared" si="210"/>
        <v/>
      </c>
      <c r="L1481" s="9">
        <f t="shared" si="211"/>
        <v>0</v>
      </c>
      <c r="M1481" s="9">
        <f t="shared" si="212"/>
        <v>0</v>
      </c>
      <c r="N1481" s="9">
        <f t="array" ref="N1481">+SUM(IFERROR(VALUE(L1481:M1481),0))</f>
        <v>0</v>
      </c>
      <c r="P1481" s="9" t="str">
        <f t="shared" si="213"/>
        <v/>
      </c>
      <c r="Q1481" s="9">
        <f t="shared" si="214"/>
        <v>0</v>
      </c>
      <c r="R1481" s="9">
        <f t="shared" si="215"/>
        <v>0</v>
      </c>
      <c r="S1481" s="9">
        <f t="array" ref="S1481">+SUM(IFERROR(VALUE(Q1481:R1481),0))</f>
        <v>0</v>
      </c>
    </row>
    <row r="1482" spans="1:19">
      <c r="A1482" s="26"/>
      <c r="B1482" s="27"/>
      <c r="C1482" s="27"/>
      <c r="D1482" s="28"/>
      <c r="F1482" s="9" t="str">
        <f t="shared" si="207"/>
        <v/>
      </c>
      <c r="G1482" s="9">
        <f t="shared" si="208"/>
        <v>0</v>
      </c>
      <c r="H1482" s="9">
        <f t="shared" si="209"/>
        <v>0</v>
      </c>
      <c r="I1482" s="9">
        <f t="array" ref="I1482">+SUM(IFERROR(VALUE(G1482:H1482),0))</f>
        <v>0</v>
      </c>
      <c r="K1482" s="9" t="str">
        <f t="shared" si="210"/>
        <v/>
      </c>
      <c r="L1482" s="9">
        <f t="shared" si="211"/>
        <v>0</v>
      </c>
      <c r="M1482" s="9">
        <f t="shared" si="212"/>
        <v>0</v>
      </c>
      <c r="N1482" s="9">
        <f t="array" ref="N1482">+SUM(IFERROR(VALUE(L1482:M1482),0))</f>
        <v>0</v>
      </c>
      <c r="P1482" s="9" t="str">
        <f t="shared" si="213"/>
        <v/>
      </c>
      <c r="Q1482" s="9">
        <f t="shared" si="214"/>
        <v>0</v>
      </c>
      <c r="R1482" s="9">
        <f t="shared" si="215"/>
        <v>0</v>
      </c>
      <c r="S1482" s="9">
        <f t="array" ref="S1482">+SUM(IFERROR(VALUE(Q1482:R1482),0))</f>
        <v>0</v>
      </c>
    </row>
    <row r="1483" spans="1:19">
      <c r="A1483" s="26"/>
      <c r="B1483" s="27"/>
      <c r="C1483" s="27"/>
      <c r="D1483" s="28"/>
      <c r="F1483" s="9" t="str">
        <f t="shared" si="207"/>
        <v/>
      </c>
      <c r="G1483" s="9">
        <f t="shared" si="208"/>
        <v>0</v>
      </c>
      <c r="H1483" s="9">
        <f t="shared" si="209"/>
        <v>0</v>
      </c>
      <c r="I1483" s="9">
        <f t="array" ref="I1483">+SUM(IFERROR(VALUE(G1483:H1483),0))</f>
        <v>0</v>
      </c>
      <c r="K1483" s="9" t="str">
        <f t="shared" si="210"/>
        <v/>
      </c>
      <c r="L1483" s="9">
        <f t="shared" si="211"/>
        <v>0</v>
      </c>
      <c r="M1483" s="9">
        <f t="shared" si="212"/>
        <v>0</v>
      </c>
      <c r="N1483" s="9">
        <f t="array" ref="N1483">+SUM(IFERROR(VALUE(L1483:M1483),0))</f>
        <v>0</v>
      </c>
      <c r="P1483" s="9" t="str">
        <f t="shared" si="213"/>
        <v/>
      </c>
      <c r="Q1483" s="9">
        <f t="shared" si="214"/>
        <v>0</v>
      </c>
      <c r="R1483" s="9">
        <f t="shared" si="215"/>
        <v>0</v>
      </c>
      <c r="S1483" s="9">
        <f t="array" ref="S1483">+SUM(IFERROR(VALUE(Q1483:R1483),0))</f>
        <v>0</v>
      </c>
    </row>
    <row r="1484" spans="1:19">
      <c r="A1484" s="26"/>
      <c r="B1484" s="27"/>
      <c r="C1484" s="27"/>
      <c r="D1484" s="28"/>
      <c r="F1484" s="9" t="str">
        <f t="shared" si="207"/>
        <v/>
      </c>
      <c r="G1484" s="9">
        <f t="shared" si="208"/>
        <v>0</v>
      </c>
      <c r="H1484" s="9">
        <f t="shared" si="209"/>
        <v>0</v>
      </c>
      <c r="I1484" s="9">
        <f t="array" ref="I1484">+SUM(IFERROR(VALUE(G1484:H1484),0))</f>
        <v>0</v>
      </c>
      <c r="K1484" s="9" t="str">
        <f t="shared" si="210"/>
        <v/>
      </c>
      <c r="L1484" s="9">
        <f t="shared" si="211"/>
        <v>0</v>
      </c>
      <c r="M1484" s="9">
        <f t="shared" si="212"/>
        <v>0</v>
      </c>
      <c r="N1484" s="9">
        <f t="array" ref="N1484">+SUM(IFERROR(VALUE(L1484:M1484),0))</f>
        <v>0</v>
      </c>
      <c r="P1484" s="9" t="str">
        <f t="shared" si="213"/>
        <v/>
      </c>
      <c r="Q1484" s="9">
        <f t="shared" si="214"/>
        <v>0</v>
      </c>
      <c r="R1484" s="9">
        <f t="shared" si="215"/>
        <v>0</v>
      </c>
      <c r="S1484" s="9">
        <f t="array" ref="S1484">+SUM(IFERROR(VALUE(Q1484:R1484),0))</f>
        <v>0</v>
      </c>
    </row>
    <row r="1485" spans="1:19">
      <c r="A1485" s="26"/>
      <c r="B1485" s="27"/>
      <c r="C1485" s="27"/>
      <c r="D1485" s="28"/>
      <c r="F1485" s="9" t="str">
        <f t="shared" si="207"/>
        <v/>
      </c>
      <c r="G1485" s="9">
        <f t="shared" si="208"/>
        <v>0</v>
      </c>
      <c r="H1485" s="9">
        <f t="shared" si="209"/>
        <v>0</v>
      </c>
      <c r="I1485" s="9">
        <f t="array" ref="I1485">+SUM(IFERROR(VALUE(G1485:H1485),0))</f>
        <v>0</v>
      </c>
      <c r="K1485" s="9" t="str">
        <f t="shared" si="210"/>
        <v/>
      </c>
      <c r="L1485" s="9">
        <f t="shared" si="211"/>
        <v>0</v>
      </c>
      <c r="M1485" s="9">
        <f t="shared" si="212"/>
        <v>0</v>
      </c>
      <c r="N1485" s="9">
        <f t="array" ref="N1485">+SUM(IFERROR(VALUE(L1485:M1485),0))</f>
        <v>0</v>
      </c>
      <c r="P1485" s="9" t="str">
        <f t="shared" si="213"/>
        <v/>
      </c>
      <c r="Q1485" s="9">
        <f t="shared" si="214"/>
        <v>0</v>
      </c>
      <c r="R1485" s="9">
        <f t="shared" si="215"/>
        <v>0</v>
      </c>
      <c r="S1485" s="9">
        <f t="array" ref="S1485">+SUM(IFERROR(VALUE(Q1485:R1485),0))</f>
        <v>0</v>
      </c>
    </row>
    <row r="1486" spans="1:19">
      <c r="A1486" s="26"/>
      <c r="B1486" s="27"/>
      <c r="C1486" s="27"/>
      <c r="D1486" s="28"/>
      <c r="F1486" s="9" t="str">
        <f t="shared" si="207"/>
        <v/>
      </c>
      <c r="G1486" s="9">
        <f t="shared" si="208"/>
        <v>0</v>
      </c>
      <c r="H1486" s="9">
        <f t="shared" si="209"/>
        <v>0</v>
      </c>
      <c r="I1486" s="9">
        <f t="array" ref="I1486">+SUM(IFERROR(VALUE(G1486:H1486),0))</f>
        <v>0</v>
      </c>
      <c r="K1486" s="9" t="str">
        <f t="shared" si="210"/>
        <v/>
      </c>
      <c r="L1486" s="9">
        <f t="shared" si="211"/>
        <v>0</v>
      </c>
      <c r="M1486" s="9">
        <f t="shared" si="212"/>
        <v>0</v>
      </c>
      <c r="N1486" s="9">
        <f t="array" ref="N1486">+SUM(IFERROR(VALUE(L1486:M1486),0))</f>
        <v>0</v>
      </c>
      <c r="P1486" s="9" t="str">
        <f t="shared" si="213"/>
        <v/>
      </c>
      <c r="Q1486" s="9">
        <f t="shared" si="214"/>
        <v>0</v>
      </c>
      <c r="R1486" s="9">
        <f t="shared" si="215"/>
        <v>0</v>
      </c>
      <c r="S1486" s="9">
        <f t="array" ref="S1486">+SUM(IFERROR(VALUE(Q1486:R1486),0))</f>
        <v>0</v>
      </c>
    </row>
    <row r="1487" spans="1:19">
      <c r="A1487" s="26"/>
      <c r="B1487" s="27"/>
      <c r="C1487" s="27"/>
      <c r="D1487" s="28"/>
      <c r="F1487" s="9" t="str">
        <f t="shared" si="207"/>
        <v/>
      </c>
      <c r="G1487" s="9">
        <f t="shared" si="208"/>
        <v>0</v>
      </c>
      <c r="H1487" s="9">
        <f t="shared" si="209"/>
        <v>0</v>
      </c>
      <c r="I1487" s="9">
        <f t="array" ref="I1487">+SUM(IFERROR(VALUE(G1487:H1487),0))</f>
        <v>0</v>
      </c>
      <c r="K1487" s="9" t="str">
        <f t="shared" si="210"/>
        <v/>
      </c>
      <c r="L1487" s="9">
        <f t="shared" si="211"/>
        <v>0</v>
      </c>
      <c r="M1487" s="9">
        <f t="shared" si="212"/>
        <v>0</v>
      </c>
      <c r="N1487" s="9">
        <f t="array" ref="N1487">+SUM(IFERROR(VALUE(L1487:M1487),0))</f>
        <v>0</v>
      </c>
      <c r="P1487" s="9" t="str">
        <f t="shared" si="213"/>
        <v/>
      </c>
      <c r="Q1487" s="9">
        <f t="shared" si="214"/>
        <v>0</v>
      </c>
      <c r="R1487" s="9">
        <f t="shared" si="215"/>
        <v>0</v>
      </c>
      <c r="S1487" s="9">
        <f t="array" ref="S1487">+SUM(IFERROR(VALUE(Q1487:R1487),0))</f>
        <v>0</v>
      </c>
    </row>
    <row r="1488" spans="1:19">
      <c r="A1488" s="26"/>
      <c r="B1488" s="27"/>
      <c r="C1488" s="27"/>
      <c r="D1488" s="28"/>
      <c r="F1488" s="9" t="str">
        <f t="shared" si="207"/>
        <v/>
      </c>
      <c r="G1488" s="9">
        <f t="shared" si="208"/>
        <v>0</v>
      </c>
      <c r="H1488" s="9">
        <f t="shared" si="209"/>
        <v>0</v>
      </c>
      <c r="I1488" s="9">
        <f t="array" ref="I1488">+SUM(IFERROR(VALUE(G1488:H1488),0))</f>
        <v>0</v>
      </c>
      <c r="K1488" s="9" t="str">
        <f t="shared" si="210"/>
        <v/>
      </c>
      <c r="L1488" s="9">
        <f t="shared" si="211"/>
        <v>0</v>
      </c>
      <c r="M1488" s="9">
        <f t="shared" si="212"/>
        <v>0</v>
      </c>
      <c r="N1488" s="9">
        <f t="array" ref="N1488">+SUM(IFERROR(VALUE(L1488:M1488),0))</f>
        <v>0</v>
      </c>
      <c r="P1488" s="9" t="str">
        <f t="shared" si="213"/>
        <v/>
      </c>
      <c r="Q1488" s="9">
        <f t="shared" si="214"/>
        <v>0</v>
      </c>
      <c r="R1488" s="9">
        <f t="shared" si="215"/>
        <v>0</v>
      </c>
      <c r="S1488" s="9">
        <f t="array" ref="S1488">+SUM(IFERROR(VALUE(Q1488:R1488),0))</f>
        <v>0</v>
      </c>
    </row>
    <row r="1489" spans="1:19">
      <c r="A1489" s="26"/>
      <c r="B1489" s="27"/>
      <c r="C1489" s="27"/>
      <c r="D1489" s="28"/>
      <c r="F1489" s="9" t="str">
        <f t="shared" si="207"/>
        <v/>
      </c>
      <c r="G1489" s="9">
        <f t="shared" si="208"/>
        <v>0</v>
      </c>
      <c r="H1489" s="9">
        <f t="shared" si="209"/>
        <v>0</v>
      </c>
      <c r="I1489" s="9">
        <f t="array" ref="I1489">+SUM(IFERROR(VALUE(G1489:H1489),0))</f>
        <v>0</v>
      </c>
      <c r="K1489" s="9" t="str">
        <f t="shared" si="210"/>
        <v/>
      </c>
      <c r="L1489" s="9">
        <f t="shared" si="211"/>
        <v>0</v>
      </c>
      <c r="M1489" s="9">
        <f t="shared" si="212"/>
        <v>0</v>
      </c>
      <c r="N1489" s="9">
        <f t="array" ref="N1489">+SUM(IFERROR(VALUE(L1489:M1489),0))</f>
        <v>0</v>
      </c>
      <c r="P1489" s="9" t="str">
        <f t="shared" si="213"/>
        <v/>
      </c>
      <c r="Q1489" s="9">
        <f t="shared" si="214"/>
        <v>0</v>
      </c>
      <c r="R1489" s="9">
        <f t="shared" si="215"/>
        <v>0</v>
      </c>
      <c r="S1489" s="9">
        <f t="array" ref="S1489">+SUM(IFERROR(VALUE(Q1489:R1489),0))</f>
        <v>0</v>
      </c>
    </row>
    <row r="1490" spans="1:19">
      <c r="A1490" s="26"/>
      <c r="B1490" s="27"/>
      <c r="C1490" s="27"/>
      <c r="D1490" s="28"/>
      <c r="F1490" s="9" t="str">
        <f t="shared" si="207"/>
        <v/>
      </c>
      <c r="G1490" s="9">
        <f t="shared" si="208"/>
        <v>0</v>
      </c>
      <c r="H1490" s="9">
        <f t="shared" si="209"/>
        <v>0</v>
      </c>
      <c r="I1490" s="9">
        <f t="array" ref="I1490">+SUM(IFERROR(VALUE(G1490:H1490),0))</f>
        <v>0</v>
      </c>
      <c r="K1490" s="9" t="str">
        <f t="shared" si="210"/>
        <v/>
      </c>
      <c r="L1490" s="9">
        <f t="shared" si="211"/>
        <v>0</v>
      </c>
      <c r="M1490" s="9">
        <f t="shared" si="212"/>
        <v>0</v>
      </c>
      <c r="N1490" s="9">
        <f t="array" ref="N1490">+SUM(IFERROR(VALUE(L1490:M1490),0))</f>
        <v>0</v>
      </c>
      <c r="P1490" s="9" t="str">
        <f t="shared" si="213"/>
        <v/>
      </c>
      <c r="Q1490" s="9">
        <f t="shared" si="214"/>
        <v>0</v>
      </c>
      <c r="R1490" s="9">
        <f t="shared" si="215"/>
        <v>0</v>
      </c>
      <c r="S1490" s="9">
        <f t="array" ref="S1490">+SUM(IFERROR(VALUE(Q1490:R1490),0))</f>
        <v>0</v>
      </c>
    </row>
    <row r="1491" spans="1:19">
      <c r="A1491" s="26"/>
      <c r="B1491" s="27"/>
      <c r="C1491" s="27"/>
      <c r="D1491" s="28"/>
      <c r="F1491" s="9" t="str">
        <f t="shared" si="207"/>
        <v/>
      </c>
      <c r="G1491" s="9">
        <f t="shared" si="208"/>
        <v>0</v>
      </c>
      <c r="H1491" s="9">
        <f t="shared" si="209"/>
        <v>0</v>
      </c>
      <c r="I1491" s="9">
        <f t="array" ref="I1491">+SUM(IFERROR(VALUE(G1491:H1491),0))</f>
        <v>0</v>
      </c>
      <c r="K1491" s="9" t="str">
        <f t="shared" si="210"/>
        <v/>
      </c>
      <c r="L1491" s="9">
        <f t="shared" si="211"/>
        <v>0</v>
      </c>
      <c r="M1491" s="9">
        <f t="shared" si="212"/>
        <v>0</v>
      </c>
      <c r="N1491" s="9">
        <f t="array" ref="N1491">+SUM(IFERROR(VALUE(L1491:M1491),0))</f>
        <v>0</v>
      </c>
      <c r="P1491" s="9" t="str">
        <f t="shared" si="213"/>
        <v/>
      </c>
      <c r="Q1491" s="9">
        <f t="shared" si="214"/>
        <v>0</v>
      </c>
      <c r="R1491" s="9">
        <f t="shared" si="215"/>
        <v>0</v>
      </c>
      <c r="S1491" s="9">
        <f t="array" ref="S1491">+SUM(IFERROR(VALUE(Q1491:R1491),0))</f>
        <v>0</v>
      </c>
    </row>
    <row r="1492" spans="1:19">
      <c r="A1492" s="26"/>
      <c r="B1492" s="27"/>
      <c r="C1492" s="27"/>
      <c r="D1492" s="28"/>
      <c r="F1492" s="9" t="str">
        <f t="shared" si="207"/>
        <v/>
      </c>
      <c r="G1492" s="9">
        <f t="shared" si="208"/>
        <v>0</v>
      </c>
      <c r="H1492" s="9">
        <f t="shared" si="209"/>
        <v>0</v>
      </c>
      <c r="I1492" s="9">
        <f t="array" ref="I1492">+SUM(IFERROR(VALUE(G1492:H1492),0))</f>
        <v>0</v>
      </c>
      <c r="K1492" s="9" t="str">
        <f t="shared" si="210"/>
        <v/>
      </c>
      <c r="L1492" s="9">
        <f t="shared" si="211"/>
        <v>0</v>
      </c>
      <c r="M1492" s="9">
        <f t="shared" si="212"/>
        <v>0</v>
      </c>
      <c r="N1492" s="9">
        <f t="array" ref="N1492">+SUM(IFERROR(VALUE(L1492:M1492),0))</f>
        <v>0</v>
      </c>
      <c r="P1492" s="9" t="str">
        <f t="shared" si="213"/>
        <v/>
      </c>
      <c r="Q1492" s="9">
        <f t="shared" si="214"/>
        <v>0</v>
      </c>
      <c r="R1492" s="9">
        <f t="shared" si="215"/>
        <v>0</v>
      </c>
      <c r="S1492" s="9">
        <f t="array" ref="S1492">+SUM(IFERROR(VALUE(Q1492:R1492),0))</f>
        <v>0</v>
      </c>
    </row>
    <row r="1493" spans="1:19">
      <c r="A1493" s="26"/>
      <c r="B1493" s="27"/>
      <c r="C1493" s="27"/>
      <c r="D1493" s="28"/>
      <c r="F1493" s="9" t="str">
        <f t="shared" si="207"/>
        <v/>
      </c>
      <c r="G1493" s="9">
        <f t="shared" si="208"/>
        <v>0</v>
      </c>
      <c r="H1493" s="9">
        <f t="shared" si="209"/>
        <v>0</v>
      </c>
      <c r="I1493" s="9">
        <f t="array" ref="I1493">+SUM(IFERROR(VALUE(G1493:H1493),0))</f>
        <v>0</v>
      </c>
      <c r="K1493" s="9" t="str">
        <f t="shared" si="210"/>
        <v/>
      </c>
      <c r="L1493" s="9">
        <f t="shared" si="211"/>
        <v>0</v>
      </c>
      <c r="M1493" s="9">
        <f t="shared" si="212"/>
        <v>0</v>
      </c>
      <c r="N1493" s="9">
        <f t="array" ref="N1493">+SUM(IFERROR(VALUE(L1493:M1493),0))</f>
        <v>0</v>
      </c>
      <c r="P1493" s="9" t="str">
        <f t="shared" si="213"/>
        <v/>
      </c>
      <c r="Q1493" s="9">
        <f t="shared" si="214"/>
        <v>0</v>
      </c>
      <c r="R1493" s="9">
        <f t="shared" si="215"/>
        <v>0</v>
      </c>
      <c r="S1493" s="9">
        <f t="array" ref="S1493">+SUM(IFERROR(VALUE(Q1493:R1493),0))</f>
        <v>0</v>
      </c>
    </row>
    <row r="1494" spans="1:19">
      <c r="A1494" s="26"/>
      <c r="B1494" s="27"/>
      <c r="C1494" s="27"/>
      <c r="D1494" s="28"/>
      <c r="F1494" s="9" t="str">
        <f t="shared" si="207"/>
        <v/>
      </c>
      <c r="G1494" s="9">
        <f t="shared" si="208"/>
        <v>0</v>
      </c>
      <c r="H1494" s="9">
        <f t="shared" si="209"/>
        <v>0</v>
      </c>
      <c r="I1494" s="9">
        <f t="array" ref="I1494">+SUM(IFERROR(VALUE(G1494:H1494),0))</f>
        <v>0</v>
      </c>
      <c r="K1494" s="9" t="str">
        <f t="shared" si="210"/>
        <v/>
      </c>
      <c r="L1494" s="9">
        <f t="shared" si="211"/>
        <v>0</v>
      </c>
      <c r="M1494" s="9">
        <f t="shared" si="212"/>
        <v>0</v>
      </c>
      <c r="N1494" s="9">
        <f t="array" ref="N1494">+SUM(IFERROR(VALUE(L1494:M1494),0))</f>
        <v>0</v>
      </c>
      <c r="P1494" s="9" t="str">
        <f t="shared" si="213"/>
        <v/>
      </c>
      <c r="Q1494" s="9">
        <f t="shared" si="214"/>
        <v>0</v>
      </c>
      <c r="R1494" s="9">
        <f t="shared" si="215"/>
        <v>0</v>
      </c>
      <c r="S1494" s="9">
        <f t="array" ref="S1494">+SUM(IFERROR(VALUE(Q1494:R1494),0))</f>
        <v>0</v>
      </c>
    </row>
    <row r="1495" spans="1:19">
      <c r="A1495" s="26"/>
      <c r="B1495" s="27"/>
      <c r="C1495" s="27"/>
      <c r="D1495" s="28"/>
      <c r="F1495" s="9" t="str">
        <f t="shared" si="207"/>
        <v/>
      </c>
      <c r="G1495" s="9">
        <f t="shared" si="208"/>
        <v>0</v>
      </c>
      <c r="H1495" s="9">
        <f t="shared" si="209"/>
        <v>0</v>
      </c>
      <c r="I1495" s="9">
        <f t="array" ref="I1495">+SUM(IFERROR(VALUE(G1495:H1495),0))</f>
        <v>0</v>
      </c>
      <c r="K1495" s="9" t="str">
        <f t="shared" si="210"/>
        <v/>
      </c>
      <c r="L1495" s="9">
        <f t="shared" si="211"/>
        <v>0</v>
      </c>
      <c r="M1495" s="9">
        <f t="shared" si="212"/>
        <v>0</v>
      </c>
      <c r="N1495" s="9">
        <f t="array" ref="N1495">+SUM(IFERROR(VALUE(L1495:M1495),0))</f>
        <v>0</v>
      </c>
      <c r="P1495" s="9" t="str">
        <f t="shared" si="213"/>
        <v/>
      </c>
      <c r="Q1495" s="9">
        <f t="shared" si="214"/>
        <v>0</v>
      </c>
      <c r="R1495" s="9">
        <f t="shared" si="215"/>
        <v>0</v>
      </c>
      <c r="S1495" s="9">
        <f t="array" ref="S1495">+SUM(IFERROR(VALUE(Q1495:R1495),0))</f>
        <v>0</v>
      </c>
    </row>
    <row r="1496" spans="1:19">
      <c r="A1496" s="26"/>
      <c r="B1496" s="27"/>
      <c r="C1496" s="27"/>
      <c r="D1496" s="28"/>
      <c r="F1496" s="9" t="str">
        <f t="shared" si="207"/>
        <v/>
      </c>
      <c r="G1496" s="9">
        <f t="shared" si="208"/>
        <v>0</v>
      </c>
      <c r="H1496" s="9">
        <f t="shared" si="209"/>
        <v>0</v>
      </c>
      <c r="I1496" s="9">
        <f t="array" ref="I1496">+SUM(IFERROR(VALUE(G1496:H1496),0))</f>
        <v>0</v>
      </c>
      <c r="K1496" s="9" t="str">
        <f t="shared" si="210"/>
        <v/>
      </c>
      <c r="L1496" s="9">
        <f t="shared" si="211"/>
        <v>0</v>
      </c>
      <c r="M1496" s="9">
        <f t="shared" si="212"/>
        <v>0</v>
      </c>
      <c r="N1496" s="9">
        <f t="array" ref="N1496">+SUM(IFERROR(VALUE(L1496:M1496),0))</f>
        <v>0</v>
      </c>
      <c r="P1496" s="9" t="str">
        <f t="shared" si="213"/>
        <v/>
      </c>
      <c r="Q1496" s="9">
        <f t="shared" si="214"/>
        <v>0</v>
      </c>
      <c r="R1496" s="9">
        <f t="shared" si="215"/>
        <v>0</v>
      </c>
      <c r="S1496" s="9">
        <f t="array" ref="S1496">+SUM(IFERROR(VALUE(Q1496:R1496),0))</f>
        <v>0</v>
      </c>
    </row>
    <row r="1497" spans="1:19">
      <c r="A1497" s="26"/>
      <c r="B1497" s="27"/>
      <c r="C1497" s="27"/>
      <c r="D1497" s="28"/>
      <c r="F1497" s="9" t="str">
        <f t="shared" si="207"/>
        <v/>
      </c>
      <c r="G1497" s="9">
        <f t="shared" si="208"/>
        <v>0</v>
      </c>
      <c r="H1497" s="9">
        <f t="shared" si="209"/>
        <v>0</v>
      </c>
      <c r="I1497" s="9">
        <f t="array" ref="I1497">+SUM(IFERROR(VALUE(G1497:H1497),0))</f>
        <v>0</v>
      </c>
      <c r="K1497" s="9" t="str">
        <f t="shared" si="210"/>
        <v/>
      </c>
      <c r="L1497" s="9">
        <f t="shared" si="211"/>
        <v>0</v>
      </c>
      <c r="M1497" s="9">
        <f t="shared" si="212"/>
        <v>0</v>
      </c>
      <c r="N1497" s="9">
        <f t="array" ref="N1497">+SUM(IFERROR(VALUE(L1497:M1497),0))</f>
        <v>0</v>
      </c>
      <c r="P1497" s="9" t="str">
        <f t="shared" si="213"/>
        <v/>
      </c>
      <c r="Q1497" s="9">
        <f t="shared" si="214"/>
        <v>0</v>
      </c>
      <c r="R1497" s="9">
        <f t="shared" si="215"/>
        <v>0</v>
      </c>
      <c r="S1497" s="9">
        <f t="array" ref="S1497">+SUM(IFERROR(VALUE(Q1497:R1497),0))</f>
        <v>0</v>
      </c>
    </row>
    <row r="1498" spans="1:19">
      <c r="A1498" s="26"/>
      <c r="B1498" s="27"/>
      <c r="C1498" s="27"/>
      <c r="D1498" s="28"/>
      <c r="F1498" s="9" t="str">
        <f t="shared" si="207"/>
        <v/>
      </c>
      <c r="G1498" s="9">
        <f t="shared" si="208"/>
        <v>0</v>
      </c>
      <c r="H1498" s="9">
        <f t="shared" si="209"/>
        <v>0</v>
      </c>
      <c r="I1498" s="9">
        <f t="array" ref="I1498">+SUM(IFERROR(VALUE(G1498:H1498),0))</f>
        <v>0</v>
      </c>
      <c r="K1498" s="9" t="str">
        <f t="shared" si="210"/>
        <v/>
      </c>
      <c r="L1498" s="9">
        <f t="shared" si="211"/>
        <v>0</v>
      </c>
      <c r="M1498" s="9">
        <f t="shared" si="212"/>
        <v>0</v>
      </c>
      <c r="N1498" s="9">
        <f t="array" ref="N1498">+SUM(IFERROR(VALUE(L1498:M1498),0))</f>
        <v>0</v>
      </c>
      <c r="P1498" s="9" t="str">
        <f t="shared" si="213"/>
        <v/>
      </c>
      <c r="Q1498" s="9">
        <f t="shared" si="214"/>
        <v>0</v>
      </c>
      <c r="R1498" s="9">
        <f t="shared" si="215"/>
        <v>0</v>
      </c>
      <c r="S1498" s="9">
        <f t="array" ref="S1498">+SUM(IFERROR(VALUE(Q1498:R1498),0))</f>
        <v>0</v>
      </c>
    </row>
    <row r="1499" spans="1:19">
      <c r="A1499" s="26"/>
      <c r="B1499" s="27"/>
      <c r="C1499" s="27"/>
      <c r="D1499" s="28"/>
      <c r="F1499" s="9" t="str">
        <f t="shared" si="207"/>
        <v/>
      </c>
      <c r="G1499" s="9">
        <f t="shared" si="208"/>
        <v>0</v>
      </c>
      <c r="H1499" s="9">
        <f t="shared" si="209"/>
        <v>0</v>
      </c>
      <c r="I1499" s="9">
        <f t="array" ref="I1499">+SUM(IFERROR(VALUE(G1499:H1499),0))</f>
        <v>0</v>
      </c>
      <c r="K1499" s="9" t="str">
        <f t="shared" si="210"/>
        <v/>
      </c>
      <c r="L1499" s="9">
        <f t="shared" si="211"/>
        <v>0</v>
      </c>
      <c r="M1499" s="9">
        <f t="shared" si="212"/>
        <v>0</v>
      </c>
      <c r="N1499" s="9">
        <f t="array" ref="N1499">+SUM(IFERROR(VALUE(L1499:M1499),0))</f>
        <v>0</v>
      </c>
      <c r="P1499" s="9" t="str">
        <f t="shared" si="213"/>
        <v/>
      </c>
      <c r="Q1499" s="9">
        <f t="shared" si="214"/>
        <v>0</v>
      </c>
      <c r="R1499" s="9">
        <f t="shared" si="215"/>
        <v>0</v>
      </c>
      <c r="S1499" s="9">
        <f t="array" ref="S1499">+SUM(IFERROR(VALUE(Q1499:R1499),0))</f>
        <v>0</v>
      </c>
    </row>
    <row r="1500" spans="1:19">
      <c r="A1500" s="26"/>
      <c r="B1500" s="27"/>
      <c r="C1500" s="27"/>
      <c r="D1500" s="28"/>
      <c r="F1500" s="9" t="str">
        <f t="shared" si="207"/>
        <v/>
      </c>
      <c r="G1500" s="9">
        <f t="shared" si="208"/>
        <v>0</v>
      </c>
      <c r="H1500" s="9">
        <f t="shared" si="209"/>
        <v>0</v>
      </c>
      <c r="I1500" s="9">
        <f t="array" ref="I1500">+SUM(IFERROR(VALUE(G1500:H1500),0))</f>
        <v>0</v>
      </c>
      <c r="K1500" s="9" t="str">
        <f t="shared" si="210"/>
        <v/>
      </c>
      <c r="L1500" s="9">
        <f t="shared" si="211"/>
        <v>0</v>
      </c>
      <c r="M1500" s="9">
        <f t="shared" si="212"/>
        <v>0</v>
      </c>
      <c r="N1500" s="9">
        <f t="array" ref="N1500">+SUM(IFERROR(VALUE(L1500:M1500),0))</f>
        <v>0</v>
      </c>
      <c r="P1500" s="9" t="str">
        <f t="shared" si="213"/>
        <v/>
      </c>
      <c r="Q1500" s="9">
        <f t="shared" si="214"/>
        <v>0</v>
      </c>
      <c r="R1500" s="9">
        <f t="shared" si="215"/>
        <v>0</v>
      </c>
      <c r="S1500" s="9">
        <f t="array" ref="S1500">+SUM(IFERROR(VALUE(Q1500:R1500),0))</f>
        <v>0</v>
      </c>
    </row>
    <row r="1501" spans="1:19">
      <c r="A1501" s="26"/>
      <c r="B1501" s="27"/>
      <c r="C1501" s="27"/>
      <c r="D1501" s="28"/>
      <c r="F1501" s="9" t="str">
        <f t="shared" si="207"/>
        <v/>
      </c>
      <c r="G1501" s="9">
        <f t="shared" si="208"/>
        <v>0</v>
      </c>
      <c r="H1501" s="9">
        <f t="shared" si="209"/>
        <v>0</v>
      </c>
      <c r="I1501" s="9">
        <f t="array" ref="I1501">+SUM(IFERROR(VALUE(G1501:H1501),0))</f>
        <v>0</v>
      </c>
      <c r="K1501" s="9" t="str">
        <f t="shared" si="210"/>
        <v/>
      </c>
      <c r="L1501" s="9">
        <f t="shared" si="211"/>
        <v>0</v>
      </c>
      <c r="M1501" s="9">
        <f t="shared" si="212"/>
        <v>0</v>
      </c>
      <c r="N1501" s="9">
        <f t="array" ref="N1501">+SUM(IFERROR(VALUE(L1501:M1501),0))</f>
        <v>0</v>
      </c>
      <c r="P1501" s="9" t="str">
        <f t="shared" si="213"/>
        <v/>
      </c>
      <c r="Q1501" s="9">
        <f t="shared" si="214"/>
        <v>0</v>
      </c>
      <c r="R1501" s="9">
        <f t="shared" si="215"/>
        <v>0</v>
      </c>
      <c r="S1501" s="9">
        <f t="array" ref="S1501">+SUM(IFERROR(VALUE(Q1501:R1501),0))</f>
        <v>0</v>
      </c>
    </row>
    <row r="1502" spans="1:19">
      <c r="A1502" s="26"/>
      <c r="B1502" s="27"/>
      <c r="C1502" s="27"/>
      <c r="D1502" s="28"/>
      <c r="F1502" s="9" t="str">
        <f t="shared" si="207"/>
        <v/>
      </c>
      <c r="G1502" s="9">
        <f t="shared" si="208"/>
        <v>0</v>
      </c>
      <c r="H1502" s="9">
        <f t="shared" si="209"/>
        <v>0</v>
      </c>
      <c r="I1502" s="9">
        <f t="array" ref="I1502">+SUM(IFERROR(VALUE(G1502:H1502),0))</f>
        <v>0</v>
      </c>
      <c r="K1502" s="9" t="str">
        <f t="shared" si="210"/>
        <v/>
      </c>
      <c r="L1502" s="9">
        <f t="shared" si="211"/>
        <v>0</v>
      </c>
      <c r="M1502" s="9">
        <f t="shared" si="212"/>
        <v>0</v>
      </c>
      <c r="N1502" s="9">
        <f t="array" ref="N1502">+SUM(IFERROR(VALUE(L1502:M1502),0))</f>
        <v>0</v>
      </c>
      <c r="P1502" s="9" t="str">
        <f t="shared" si="213"/>
        <v/>
      </c>
      <c r="Q1502" s="9">
        <f t="shared" si="214"/>
        <v>0</v>
      </c>
      <c r="R1502" s="9">
        <f t="shared" si="215"/>
        <v>0</v>
      </c>
      <c r="S1502" s="9">
        <f t="array" ref="S1502">+SUM(IFERROR(VALUE(Q1502:R1502),0))</f>
        <v>0</v>
      </c>
    </row>
    <row r="1503" spans="1:19">
      <c r="A1503" s="26"/>
      <c r="B1503" s="27"/>
      <c r="C1503" s="27"/>
      <c r="D1503" s="28"/>
      <c r="F1503" s="9" t="str">
        <f t="shared" si="207"/>
        <v/>
      </c>
      <c r="G1503" s="9">
        <f t="shared" si="208"/>
        <v>0</v>
      </c>
      <c r="H1503" s="9">
        <f t="shared" si="209"/>
        <v>0</v>
      </c>
      <c r="I1503" s="9">
        <f t="array" ref="I1503">+SUM(IFERROR(VALUE(G1503:H1503),0))</f>
        <v>0</v>
      </c>
      <c r="K1503" s="9" t="str">
        <f t="shared" si="210"/>
        <v/>
      </c>
      <c r="L1503" s="9">
        <f t="shared" si="211"/>
        <v>0</v>
      </c>
      <c r="M1503" s="9">
        <f t="shared" si="212"/>
        <v>0</v>
      </c>
      <c r="N1503" s="9">
        <f t="array" ref="N1503">+SUM(IFERROR(VALUE(L1503:M1503),0))</f>
        <v>0</v>
      </c>
      <c r="P1503" s="9" t="str">
        <f t="shared" si="213"/>
        <v/>
      </c>
      <c r="Q1503" s="9">
        <f t="shared" si="214"/>
        <v>0</v>
      </c>
      <c r="R1503" s="9">
        <f t="shared" si="215"/>
        <v>0</v>
      </c>
      <c r="S1503" s="9">
        <f t="array" ref="S1503">+SUM(IFERROR(VALUE(Q1503:R1503),0))</f>
        <v>0</v>
      </c>
    </row>
    <row r="1504" spans="1:19">
      <c r="A1504" s="26"/>
      <c r="B1504" s="27"/>
      <c r="C1504" s="27"/>
      <c r="D1504" s="28"/>
      <c r="F1504" s="9" t="str">
        <f t="shared" si="207"/>
        <v/>
      </c>
      <c r="G1504" s="9">
        <f t="shared" si="208"/>
        <v>0</v>
      </c>
      <c r="H1504" s="9">
        <f t="shared" si="209"/>
        <v>0</v>
      </c>
      <c r="I1504" s="9">
        <f t="array" ref="I1504">+SUM(IFERROR(VALUE(G1504:H1504),0))</f>
        <v>0</v>
      </c>
      <c r="K1504" s="9" t="str">
        <f t="shared" si="210"/>
        <v/>
      </c>
      <c r="L1504" s="9">
        <f t="shared" si="211"/>
        <v>0</v>
      </c>
      <c r="M1504" s="9">
        <f t="shared" si="212"/>
        <v>0</v>
      </c>
      <c r="N1504" s="9">
        <f t="array" ref="N1504">+SUM(IFERROR(VALUE(L1504:M1504),0))</f>
        <v>0</v>
      </c>
      <c r="P1504" s="9" t="str">
        <f t="shared" si="213"/>
        <v/>
      </c>
      <c r="Q1504" s="9">
        <f t="shared" si="214"/>
        <v>0</v>
      </c>
      <c r="R1504" s="9">
        <f t="shared" si="215"/>
        <v>0</v>
      </c>
      <c r="S1504" s="9">
        <f t="array" ref="S1504">+SUM(IFERROR(VALUE(Q1504:R1504),0))</f>
        <v>0</v>
      </c>
    </row>
    <row r="1505" spans="1:19">
      <c r="A1505" s="26"/>
      <c r="B1505" s="27"/>
      <c r="C1505" s="27"/>
      <c r="D1505" s="28"/>
      <c r="F1505" s="9" t="str">
        <f t="shared" si="207"/>
        <v/>
      </c>
      <c r="G1505" s="9">
        <f t="shared" si="208"/>
        <v>0</v>
      </c>
      <c r="H1505" s="9">
        <f t="shared" si="209"/>
        <v>0</v>
      </c>
      <c r="I1505" s="9">
        <f t="array" ref="I1505">+SUM(IFERROR(VALUE(G1505:H1505),0))</f>
        <v>0</v>
      </c>
      <c r="K1505" s="9" t="str">
        <f t="shared" si="210"/>
        <v/>
      </c>
      <c r="L1505" s="9">
        <f t="shared" si="211"/>
        <v>0</v>
      </c>
      <c r="M1505" s="9">
        <f t="shared" si="212"/>
        <v>0</v>
      </c>
      <c r="N1505" s="9">
        <f t="array" ref="N1505">+SUM(IFERROR(VALUE(L1505:M1505),0))</f>
        <v>0</v>
      </c>
      <c r="P1505" s="9" t="str">
        <f t="shared" si="213"/>
        <v/>
      </c>
      <c r="Q1505" s="9">
        <f t="shared" si="214"/>
        <v>0</v>
      </c>
      <c r="R1505" s="9">
        <f t="shared" si="215"/>
        <v>0</v>
      </c>
      <c r="S1505" s="9">
        <f t="array" ref="S1505">+SUM(IFERROR(VALUE(Q1505:R1505),0))</f>
        <v>0</v>
      </c>
    </row>
    <row r="1506" spans="1:19">
      <c r="A1506" s="26"/>
      <c r="B1506" s="27"/>
      <c r="C1506" s="27"/>
      <c r="D1506" s="28"/>
      <c r="F1506" s="9" t="str">
        <f t="shared" si="207"/>
        <v/>
      </c>
      <c r="G1506" s="9">
        <f t="shared" si="208"/>
        <v>0</v>
      </c>
      <c r="H1506" s="9">
        <f t="shared" si="209"/>
        <v>0</v>
      </c>
      <c r="I1506" s="9">
        <f t="array" ref="I1506">+SUM(IFERROR(VALUE(G1506:H1506),0))</f>
        <v>0</v>
      </c>
      <c r="K1506" s="9" t="str">
        <f t="shared" si="210"/>
        <v/>
      </c>
      <c r="L1506" s="9">
        <f t="shared" si="211"/>
        <v>0</v>
      </c>
      <c r="M1506" s="9">
        <f t="shared" si="212"/>
        <v>0</v>
      </c>
      <c r="N1506" s="9">
        <f t="array" ref="N1506">+SUM(IFERROR(VALUE(L1506:M1506),0))</f>
        <v>0</v>
      </c>
      <c r="P1506" s="9" t="str">
        <f t="shared" si="213"/>
        <v/>
      </c>
      <c r="Q1506" s="9">
        <f t="shared" si="214"/>
        <v>0</v>
      </c>
      <c r="R1506" s="9">
        <f t="shared" si="215"/>
        <v>0</v>
      </c>
      <c r="S1506" s="9">
        <f t="array" ref="S1506">+SUM(IFERROR(VALUE(Q1506:R1506),0))</f>
        <v>0</v>
      </c>
    </row>
    <row r="1507" spans="1:19">
      <c r="A1507" s="26"/>
      <c r="B1507" s="27"/>
      <c r="C1507" s="27"/>
      <c r="D1507" s="28"/>
      <c r="F1507" s="9" t="str">
        <f t="shared" si="207"/>
        <v/>
      </c>
      <c r="G1507" s="9">
        <f t="shared" si="208"/>
        <v>0</v>
      </c>
      <c r="H1507" s="9">
        <f t="shared" si="209"/>
        <v>0</v>
      </c>
      <c r="I1507" s="9">
        <f t="array" ref="I1507">+SUM(IFERROR(VALUE(G1507:H1507),0))</f>
        <v>0</v>
      </c>
      <c r="K1507" s="9" t="str">
        <f t="shared" si="210"/>
        <v/>
      </c>
      <c r="L1507" s="9">
        <f t="shared" si="211"/>
        <v>0</v>
      </c>
      <c r="M1507" s="9">
        <f t="shared" si="212"/>
        <v>0</v>
      </c>
      <c r="N1507" s="9">
        <f t="array" ref="N1507">+SUM(IFERROR(VALUE(L1507:M1507),0))</f>
        <v>0</v>
      </c>
      <c r="P1507" s="9" t="str">
        <f t="shared" si="213"/>
        <v/>
      </c>
      <c r="Q1507" s="9">
        <f t="shared" si="214"/>
        <v>0</v>
      </c>
      <c r="R1507" s="9">
        <f t="shared" si="215"/>
        <v>0</v>
      </c>
      <c r="S1507" s="9">
        <f t="array" ref="S1507">+SUM(IFERROR(VALUE(Q1507:R1507),0))</f>
        <v>0</v>
      </c>
    </row>
    <row r="1508" spans="1:19">
      <c r="A1508" s="26"/>
      <c r="B1508" s="27"/>
      <c r="C1508" s="27"/>
      <c r="D1508" s="28"/>
      <c r="F1508" s="9" t="str">
        <f t="shared" si="207"/>
        <v/>
      </c>
      <c r="G1508" s="9">
        <f t="shared" si="208"/>
        <v>0</v>
      </c>
      <c r="H1508" s="9">
        <f t="shared" si="209"/>
        <v>0</v>
      </c>
      <c r="I1508" s="9">
        <f t="array" ref="I1508">+SUM(IFERROR(VALUE(G1508:H1508),0))</f>
        <v>0</v>
      </c>
      <c r="K1508" s="9" t="str">
        <f t="shared" si="210"/>
        <v/>
      </c>
      <c r="L1508" s="9">
        <f t="shared" si="211"/>
        <v>0</v>
      </c>
      <c r="M1508" s="9">
        <f t="shared" si="212"/>
        <v>0</v>
      </c>
      <c r="N1508" s="9">
        <f t="array" ref="N1508">+SUM(IFERROR(VALUE(L1508:M1508),0))</f>
        <v>0</v>
      </c>
      <c r="P1508" s="9" t="str">
        <f t="shared" si="213"/>
        <v/>
      </c>
      <c r="Q1508" s="9">
        <f t="shared" si="214"/>
        <v>0</v>
      </c>
      <c r="R1508" s="9">
        <f t="shared" si="215"/>
        <v>0</v>
      </c>
      <c r="S1508" s="9">
        <f t="array" ref="S1508">+SUM(IFERROR(VALUE(Q1508:R1508),0))</f>
        <v>0</v>
      </c>
    </row>
    <row r="1509" spans="1:19">
      <c r="A1509" s="26"/>
      <c r="B1509" s="27"/>
      <c r="C1509" s="27"/>
      <c r="D1509" s="28"/>
      <c r="F1509" s="9" t="str">
        <f t="shared" si="207"/>
        <v/>
      </c>
      <c r="G1509" s="9">
        <f t="shared" si="208"/>
        <v>0</v>
      </c>
      <c r="H1509" s="9">
        <f t="shared" si="209"/>
        <v>0</v>
      </c>
      <c r="I1509" s="9">
        <f t="array" ref="I1509">+SUM(IFERROR(VALUE(G1509:H1509),0))</f>
        <v>0</v>
      </c>
      <c r="K1509" s="9" t="str">
        <f t="shared" si="210"/>
        <v/>
      </c>
      <c r="L1509" s="9">
        <f t="shared" si="211"/>
        <v>0</v>
      </c>
      <c r="M1509" s="9">
        <f t="shared" si="212"/>
        <v>0</v>
      </c>
      <c r="N1509" s="9">
        <f t="array" ref="N1509">+SUM(IFERROR(VALUE(L1509:M1509),0))</f>
        <v>0</v>
      </c>
      <c r="P1509" s="9" t="str">
        <f t="shared" si="213"/>
        <v/>
      </c>
      <c r="Q1509" s="9">
        <f t="shared" si="214"/>
        <v>0</v>
      </c>
      <c r="R1509" s="9">
        <f t="shared" si="215"/>
        <v>0</v>
      </c>
      <c r="S1509" s="9">
        <f t="array" ref="S1509">+SUM(IFERROR(VALUE(Q1509:R1509),0))</f>
        <v>0</v>
      </c>
    </row>
    <row r="1510" spans="1:19">
      <c r="A1510" s="26"/>
      <c r="B1510" s="27"/>
      <c r="C1510" s="27"/>
      <c r="D1510" s="28"/>
      <c r="F1510" s="9" t="str">
        <f t="shared" si="207"/>
        <v/>
      </c>
      <c r="G1510" s="9">
        <f t="shared" si="208"/>
        <v>0</v>
      </c>
      <c r="H1510" s="9">
        <f t="shared" si="209"/>
        <v>0</v>
      </c>
      <c r="I1510" s="9">
        <f t="array" ref="I1510">+SUM(IFERROR(VALUE(G1510:H1510),0))</f>
        <v>0</v>
      </c>
      <c r="K1510" s="9" t="str">
        <f t="shared" si="210"/>
        <v/>
      </c>
      <c r="L1510" s="9">
        <f t="shared" si="211"/>
        <v>0</v>
      </c>
      <c r="M1510" s="9">
        <f t="shared" si="212"/>
        <v>0</v>
      </c>
      <c r="N1510" s="9">
        <f t="array" ref="N1510">+SUM(IFERROR(VALUE(L1510:M1510),0))</f>
        <v>0</v>
      </c>
      <c r="P1510" s="9" t="str">
        <f t="shared" si="213"/>
        <v/>
      </c>
      <c r="Q1510" s="9">
        <f t="shared" si="214"/>
        <v>0</v>
      </c>
      <c r="R1510" s="9">
        <f t="shared" si="215"/>
        <v>0</v>
      </c>
      <c r="S1510" s="9">
        <f t="array" ref="S1510">+SUM(IFERROR(VALUE(Q1510:R1510),0))</f>
        <v>0</v>
      </c>
    </row>
    <row r="1511" spans="1:19">
      <c r="A1511" s="26"/>
      <c r="B1511" s="27"/>
      <c r="C1511" s="27"/>
      <c r="D1511" s="28"/>
      <c r="F1511" s="9" t="str">
        <f t="shared" si="207"/>
        <v/>
      </c>
      <c r="G1511" s="9">
        <f t="shared" si="208"/>
        <v>0</v>
      </c>
      <c r="H1511" s="9">
        <f t="shared" si="209"/>
        <v>0</v>
      </c>
      <c r="I1511" s="9">
        <f t="array" ref="I1511">+SUM(IFERROR(VALUE(G1511:H1511),0))</f>
        <v>0</v>
      </c>
      <c r="K1511" s="9" t="str">
        <f t="shared" si="210"/>
        <v/>
      </c>
      <c r="L1511" s="9">
        <f t="shared" si="211"/>
        <v>0</v>
      </c>
      <c r="M1511" s="9">
        <f t="shared" si="212"/>
        <v>0</v>
      </c>
      <c r="N1511" s="9">
        <f t="array" ref="N1511">+SUM(IFERROR(VALUE(L1511:M1511),0))</f>
        <v>0</v>
      </c>
      <c r="P1511" s="9" t="str">
        <f t="shared" si="213"/>
        <v/>
      </c>
      <c r="Q1511" s="9">
        <f t="shared" si="214"/>
        <v>0</v>
      </c>
      <c r="R1511" s="9">
        <f t="shared" si="215"/>
        <v>0</v>
      </c>
      <c r="S1511" s="9">
        <f t="array" ref="S1511">+SUM(IFERROR(VALUE(Q1511:R1511),0))</f>
        <v>0</v>
      </c>
    </row>
    <row r="1512" spans="1:19">
      <c r="A1512" s="26"/>
      <c r="B1512" s="27"/>
      <c r="C1512" s="27"/>
      <c r="D1512" s="28"/>
      <c r="F1512" s="9" t="str">
        <f t="shared" si="207"/>
        <v/>
      </c>
      <c r="G1512" s="9">
        <f t="shared" si="208"/>
        <v>0</v>
      </c>
      <c r="H1512" s="9">
        <f t="shared" si="209"/>
        <v>0</v>
      </c>
      <c r="I1512" s="9">
        <f t="array" ref="I1512">+SUM(IFERROR(VALUE(G1512:H1512),0))</f>
        <v>0</v>
      </c>
      <c r="K1512" s="9" t="str">
        <f t="shared" si="210"/>
        <v/>
      </c>
      <c r="L1512" s="9">
        <f t="shared" si="211"/>
        <v>0</v>
      </c>
      <c r="M1512" s="9">
        <f t="shared" si="212"/>
        <v>0</v>
      </c>
      <c r="N1512" s="9">
        <f t="array" ref="N1512">+SUM(IFERROR(VALUE(L1512:M1512),0))</f>
        <v>0</v>
      </c>
      <c r="P1512" s="9" t="str">
        <f t="shared" si="213"/>
        <v/>
      </c>
      <c r="Q1512" s="9">
        <f t="shared" si="214"/>
        <v>0</v>
      </c>
      <c r="R1512" s="9">
        <f t="shared" si="215"/>
        <v>0</v>
      </c>
      <c r="S1512" s="9">
        <f t="array" ref="S1512">+SUM(IFERROR(VALUE(Q1512:R1512),0))</f>
        <v>0</v>
      </c>
    </row>
    <row r="1513" spans="1:19">
      <c r="A1513" s="26"/>
      <c r="B1513" s="27"/>
      <c r="C1513" s="27"/>
      <c r="D1513" s="28"/>
      <c r="F1513" s="9" t="str">
        <f t="shared" si="207"/>
        <v/>
      </c>
      <c r="G1513" s="9">
        <f t="shared" si="208"/>
        <v>0</v>
      </c>
      <c r="H1513" s="9">
        <f t="shared" si="209"/>
        <v>0</v>
      </c>
      <c r="I1513" s="9">
        <f t="array" ref="I1513">+SUM(IFERROR(VALUE(G1513:H1513),0))</f>
        <v>0</v>
      </c>
      <c r="K1513" s="9" t="str">
        <f t="shared" si="210"/>
        <v/>
      </c>
      <c r="L1513" s="9">
        <f t="shared" si="211"/>
        <v>0</v>
      </c>
      <c r="M1513" s="9">
        <f t="shared" si="212"/>
        <v>0</v>
      </c>
      <c r="N1513" s="9">
        <f t="array" ref="N1513">+SUM(IFERROR(VALUE(L1513:M1513),0))</f>
        <v>0</v>
      </c>
      <c r="P1513" s="9" t="str">
        <f t="shared" si="213"/>
        <v/>
      </c>
      <c r="Q1513" s="9">
        <f t="shared" si="214"/>
        <v>0</v>
      </c>
      <c r="R1513" s="9">
        <f t="shared" si="215"/>
        <v>0</v>
      </c>
      <c r="S1513" s="9">
        <f t="array" ref="S1513">+SUM(IFERROR(VALUE(Q1513:R1513),0))</f>
        <v>0</v>
      </c>
    </row>
    <row r="1514" spans="1:19">
      <c r="A1514" s="26"/>
      <c r="B1514" s="27"/>
      <c r="C1514" s="27"/>
      <c r="D1514" s="28"/>
      <c r="F1514" s="9" t="str">
        <f t="shared" si="207"/>
        <v/>
      </c>
      <c r="G1514" s="9">
        <f t="shared" si="208"/>
        <v>0</v>
      </c>
      <c r="H1514" s="9">
        <f t="shared" si="209"/>
        <v>0</v>
      </c>
      <c r="I1514" s="9">
        <f t="array" ref="I1514">+SUM(IFERROR(VALUE(G1514:H1514),0))</f>
        <v>0</v>
      </c>
      <c r="K1514" s="9" t="str">
        <f t="shared" si="210"/>
        <v/>
      </c>
      <c r="L1514" s="9">
        <f t="shared" si="211"/>
        <v>0</v>
      </c>
      <c r="M1514" s="9">
        <f t="shared" si="212"/>
        <v>0</v>
      </c>
      <c r="N1514" s="9">
        <f t="array" ref="N1514">+SUM(IFERROR(VALUE(L1514:M1514),0))</f>
        <v>0</v>
      </c>
      <c r="P1514" s="9" t="str">
        <f t="shared" si="213"/>
        <v/>
      </c>
      <c r="Q1514" s="9">
        <f t="shared" si="214"/>
        <v>0</v>
      </c>
      <c r="R1514" s="9">
        <f t="shared" si="215"/>
        <v>0</v>
      </c>
      <c r="S1514" s="9">
        <f t="array" ref="S1514">+SUM(IFERROR(VALUE(Q1514:R1514),0))</f>
        <v>0</v>
      </c>
    </row>
    <row r="1515" spans="1:19">
      <c r="A1515" s="26"/>
      <c r="B1515" s="27"/>
      <c r="C1515" s="27"/>
      <c r="D1515" s="28"/>
      <c r="F1515" s="9" t="str">
        <f t="shared" si="207"/>
        <v/>
      </c>
      <c r="G1515" s="9">
        <f t="shared" si="208"/>
        <v>0</v>
      </c>
      <c r="H1515" s="9">
        <f t="shared" si="209"/>
        <v>0</v>
      </c>
      <c r="I1515" s="9">
        <f t="array" ref="I1515">+SUM(IFERROR(VALUE(G1515:H1515),0))</f>
        <v>0</v>
      </c>
      <c r="K1515" s="9" t="str">
        <f t="shared" si="210"/>
        <v/>
      </c>
      <c r="L1515" s="9">
        <f t="shared" si="211"/>
        <v>0</v>
      </c>
      <c r="M1515" s="9">
        <f t="shared" si="212"/>
        <v>0</v>
      </c>
      <c r="N1515" s="9">
        <f t="array" ref="N1515">+SUM(IFERROR(VALUE(L1515:M1515),0))</f>
        <v>0</v>
      </c>
      <c r="P1515" s="9" t="str">
        <f t="shared" si="213"/>
        <v/>
      </c>
      <c r="Q1515" s="9">
        <f t="shared" si="214"/>
        <v>0</v>
      </c>
      <c r="R1515" s="9">
        <f t="shared" si="215"/>
        <v>0</v>
      </c>
      <c r="S1515" s="9">
        <f t="array" ref="S1515">+SUM(IFERROR(VALUE(Q1515:R1515),0))</f>
        <v>0</v>
      </c>
    </row>
    <row r="1516" spans="1:19">
      <c r="A1516" s="26"/>
      <c r="B1516" s="27"/>
      <c r="C1516" s="27"/>
      <c r="D1516" s="28"/>
      <c r="F1516" s="9" t="str">
        <f t="shared" si="207"/>
        <v/>
      </c>
      <c r="G1516" s="9">
        <f t="shared" si="208"/>
        <v>0</v>
      </c>
      <c r="H1516" s="9">
        <f t="shared" si="209"/>
        <v>0</v>
      </c>
      <c r="I1516" s="9">
        <f t="array" ref="I1516">+SUM(IFERROR(VALUE(G1516:H1516),0))</f>
        <v>0</v>
      </c>
      <c r="K1516" s="9" t="str">
        <f t="shared" si="210"/>
        <v/>
      </c>
      <c r="L1516" s="9">
        <f t="shared" si="211"/>
        <v>0</v>
      </c>
      <c r="M1516" s="9">
        <f t="shared" si="212"/>
        <v>0</v>
      </c>
      <c r="N1516" s="9">
        <f t="array" ref="N1516">+SUM(IFERROR(VALUE(L1516:M1516),0))</f>
        <v>0</v>
      </c>
      <c r="P1516" s="9" t="str">
        <f t="shared" si="213"/>
        <v/>
      </c>
      <c r="Q1516" s="9">
        <f t="shared" si="214"/>
        <v>0</v>
      </c>
      <c r="R1516" s="9">
        <f t="shared" si="215"/>
        <v>0</v>
      </c>
      <c r="S1516" s="9">
        <f t="array" ref="S1516">+SUM(IFERROR(VALUE(Q1516:R1516),0))</f>
        <v>0</v>
      </c>
    </row>
    <row r="1517" spans="1:19">
      <c r="A1517" s="26"/>
      <c r="B1517" s="27"/>
      <c r="C1517" s="27"/>
      <c r="D1517" s="28"/>
      <c r="F1517" s="9" t="str">
        <f t="shared" si="207"/>
        <v/>
      </c>
      <c r="G1517" s="9">
        <f t="shared" si="208"/>
        <v>0</v>
      </c>
      <c r="H1517" s="9">
        <f t="shared" si="209"/>
        <v>0</v>
      </c>
      <c r="I1517" s="9">
        <f t="array" ref="I1517">+SUM(IFERROR(VALUE(G1517:H1517),0))</f>
        <v>0</v>
      </c>
      <c r="K1517" s="9" t="str">
        <f t="shared" si="210"/>
        <v/>
      </c>
      <c r="L1517" s="9">
        <f t="shared" si="211"/>
        <v>0</v>
      </c>
      <c r="M1517" s="9">
        <f t="shared" si="212"/>
        <v>0</v>
      </c>
      <c r="N1517" s="9">
        <f t="array" ref="N1517">+SUM(IFERROR(VALUE(L1517:M1517),0))</f>
        <v>0</v>
      </c>
      <c r="P1517" s="9" t="str">
        <f t="shared" si="213"/>
        <v/>
      </c>
      <c r="Q1517" s="9">
        <f t="shared" si="214"/>
        <v>0</v>
      </c>
      <c r="R1517" s="9">
        <f t="shared" si="215"/>
        <v>0</v>
      </c>
      <c r="S1517" s="9">
        <f t="array" ref="S1517">+SUM(IFERROR(VALUE(Q1517:R1517),0))</f>
        <v>0</v>
      </c>
    </row>
    <row r="1518" spans="1:19">
      <c r="A1518" s="26"/>
      <c r="B1518" s="27"/>
      <c r="C1518" s="27"/>
      <c r="D1518" s="28"/>
      <c r="F1518" s="9" t="str">
        <f t="shared" si="207"/>
        <v/>
      </c>
      <c r="G1518" s="9">
        <f t="shared" si="208"/>
        <v>0</v>
      </c>
      <c r="H1518" s="9">
        <f t="shared" si="209"/>
        <v>0</v>
      </c>
      <c r="I1518" s="9">
        <f t="array" ref="I1518">+SUM(IFERROR(VALUE(G1518:H1518),0))</f>
        <v>0</v>
      </c>
      <c r="K1518" s="9" t="str">
        <f t="shared" si="210"/>
        <v/>
      </c>
      <c r="L1518" s="9">
        <f t="shared" si="211"/>
        <v>0</v>
      </c>
      <c r="M1518" s="9">
        <f t="shared" si="212"/>
        <v>0</v>
      </c>
      <c r="N1518" s="9">
        <f t="array" ref="N1518">+SUM(IFERROR(VALUE(L1518:M1518),0))</f>
        <v>0</v>
      </c>
      <c r="P1518" s="9" t="str">
        <f t="shared" si="213"/>
        <v/>
      </c>
      <c r="Q1518" s="9">
        <f t="shared" si="214"/>
        <v>0</v>
      </c>
      <c r="R1518" s="9">
        <f t="shared" si="215"/>
        <v>0</v>
      </c>
      <c r="S1518" s="9">
        <f t="array" ref="S1518">+SUM(IFERROR(VALUE(Q1518:R1518),0))</f>
        <v>0</v>
      </c>
    </row>
    <row r="1519" spans="1:19">
      <c r="A1519" s="26"/>
      <c r="B1519" s="27"/>
      <c r="C1519" s="27"/>
      <c r="D1519" s="28"/>
      <c r="F1519" s="9" t="str">
        <f t="shared" si="207"/>
        <v/>
      </c>
      <c r="G1519" s="9">
        <f t="shared" si="208"/>
        <v>0</v>
      </c>
      <c r="H1519" s="9">
        <f t="shared" si="209"/>
        <v>0</v>
      </c>
      <c r="I1519" s="9">
        <f t="array" ref="I1519">+SUM(IFERROR(VALUE(G1519:H1519),0))</f>
        <v>0</v>
      </c>
      <c r="K1519" s="9" t="str">
        <f t="shared" si="210"/>
        <v/>
      </c>
      <c r="L1519" s="9">
        <f t="shared" si="211"/>
        <v>0</v>
      </c>
      <c r="M1519" s="9">
        <f t="shared" si="212"/>
        <v>0</v>
      </c>
      <c r="N1519" s="9">
        <f t="array" ref="N1519">+SUM(IFERROR(VALUE(L1519:M1519),0))</f>
        <v>0</v>
      </c>
      <c r="P1519" s="9" t="str">
        <f t="shared" si="213"/>
        <v/>
      </c>
      <c r="Q1519" s="9">
        <f t="shared" si="214"/>
        <v>0</v>
      </c>
      <c r="R1519" s="9">
        <f t="shared" si="215"/>
        <v>0</v>
      </c>
      <c r="S1519" s="9">
        <f t="array" ref="S1519">+SUM(IFERROR(VALUE(Q1519:R1519),0))</f>
        <v>0</v>
      </c>
    </row>
    <row r="1520" spans="1:19">
      <c r="A1520" s="26"/>
      <c r="B1520" s="27"/>
      <c r="C1520" s="27"/>
      <c r="D1520" s="28"/>
      <c r="F1520" s="9" t="str">
        <f t="shared" si="207"/>
        <v/>
      </c>
      <c r="G1520" s="9">
        <f t="shared" si="208"/>
        <v>0</v>
      </c>
      <c r="H1520" s="9">
        <f t="shared" si="209"/>
        <v>0</v>
      </c>
      <c r="I1520" s="9">
        <f t="array" ref="I1520">+SUM(IFERROR(VALUE(G1520:H1520),0))</f>
        <v>0</v>
      </c>
      <c r="K1520" s="9" t="str">
        <f t="shared" si="210"/>
        <v/>
      </c>
      <c r="L1520" s="9">
        <f t="shared" si="211"/>
        <v>0</v>
      </c>
      <c r="M1520" s="9">
        <f t="shared" si="212"/>
        <v>0</v>
      </c>
      <c r="N1520" s="9">
        <f t="array" ref="N1520">+SUM(IFERROR(VALUE(L1520:M1520),0))</f>
        <v>0</v>
      </c>
      <c r="P1520" s="9" t="str">
        <f t="shared" si="213"/>
        <v/>
      </c>
      <c r="Q1520" s="9">
        <f t="shared" si="214"/>
        <v>0</v>
      </c>
      <c r="R1520" s="9">
        <f t="shared" si="215"/>
        <v>0</v>
      </c>
      <c r="S1520" s="9">
        <f t="array" ref="S1520">+SUM(IFERROR(VALUE(Q1520:R1520),0))</f>
        <v>0</v>
      </c>
    </row>
    <row r="1521" spans="1:19">
      <c r="A1521" s="26"/>
      <c r="B1521" s="27"/>
      <c r="C1521" s="27"/>
      <c r="D1521" s="28"/>
      <c r="F1521" s="9" t="str">
        <f t="shared" si="207"/>
        <v/>
      </c>
      <c r="G1521" s="9">
        <f t="shared" si="208"/>
        <v>0</v>
      </c>
      <c r="H1521" s="9">
        <f t="shared" si="209"/>
        <v>0</v>
      </c>
      <c r="I1521" s="9">
        <f t="array" ref="I1521">+SUM(IFERROR(VALUE(G1521:H1521),0))</f>
        <v>0</v>
      </c>
      <c r="K1521" s="9" t="str">
        <f t="shared" si="210"/>
        <v/>
      </c>
      <c r="L1521" s="9">
        <f t="shared" si="211"/>
        <v>0</v>
      </c>
      <c r="M1521" s="9">
        <f t="shared" si="212"/>
        <v>0</v>
      </c>
      <c r="N1521" s="9">
        <f t="array" ref="N1521">+SUM(IFERROR(VALUE(L1521:M1521),0))</f>
        <v>0</v>
      </c>
      <c r="P1521" s="9" t="str">
        <f t="shared" si="213"/>
        <v/>
      </c>
      <c r="Q1521" s="9">
        <f t="shared" si="214"/>
        <v>0</v>
      </c>
      <c r="R1521" s="9">
        <f t="shared" si="215"/>
        <v>0</v>
      </c>
      <c r="S1521" s="9">
        <f t="array" ref="S1521">+SUM(IFERROR(VALUE(Q1521:R1521),0))</f>
        <v>0</v>
      </c>
    </row>
    <row r="1522" spans="1:19">
      <c r="A1522" s="26"/>
      <c r="B1522" s="27"/>
      <c r="C1522" s="27"/>
      <c r="D1522" s="28"/>
      <c r="F1522" s="9" t="str">
        <f t="shared" si="207"/>
        <v/>
      </c>
      <c r="G1522" s="9">
        <f t="shared" si="208"/>
        <v>0</v>
      </c>
      <c r="H1522" s="9">
        <f t="shared" si="209"/>
        <v>0</v>
      </c>
      <c r="I1522" s="9">
        <f t="array" ref="I1522">+SUM(IFERROR(VALUE(G1522:H1522),0))</f>
        <v>0</v>
      </c>
      <c r="K1522" s="9" t="str">
        <f t="shared" si="210"/>
        <v/>
      </c>
      <c r="L1522" s="9">
        <f t="shared" si="211"/>
        <v>0</v>
      </c>
      <c r="M1522" s="9">
        <f t="shared" si="212"/>
        <v>0</v>
      </c>
      <c r="N1522" s="9">
        <f t="array" ref="N1522">+SUM(IFERROR(VALUE(L1522:M1522),0))</f>
        <v>0</v>
      </c>
      <c r="P1522" s="9" t="str">
        <f t="shared" si="213"/>
        <v/>
      </c>
      <c r="Q1522" s="9">
        <f t="shared" si="214"/>
        <v>0</v>
      </c>
      <c r="R1522" s="9">
        <f t="shared" si="215"/>
        <v>0</v>
      </c>
      <c r="S1522" s="9">
        <f t="array" ref="S1522">+SUM(IFERROR(VALUE(Q1522:R1522),0))</f>
        <v>0</v>
      </c>
    </row>
    <row r="1523" spans="1:19">
      <c r="A1523" s="26"/>
      <c r="B1523" s="27"/>
      <c r="C1523" s="27"/>
      <c r="D1523" s="28"/>
      <c r="F1523" s="9" t="str">
        <f t="shared" si="207"/>
        <v/>
      </c>
      <c r="G1523" s="9">
        <f t="shared" si="208"/>
        <v>0</v>
      </c>
      <c r="H1523" s="9">
        <f t="shared" si="209"/>
        <v>0</v>
      </c>
      <c r="I1523" s="9">
        <f t="array" ref="I1523">+SUM(IFERROR(VALUE(G1523:H1523),0))</f>
        <v>0</v>
      </c>
      <c r="K1523" s="9" t="str">
        <f t="shared" si="210"/>
        <v/>
      </c>
      <c r="L1523" s="9">
        <f t="shared" si="211"/>
        <v>0</v>
      </c>
      <c r="M1523" s="9">
        <f t="shared" si="212"/>
        <v>0</v>
      </c>
      <c r="N1523" s="9">
        <f t="array" ref="N1523">+SUM(IFERROR(VALUE(L1523:M1523),0))</f>
        <v>0</v>
      </c>
      <c r="P1523" s="9" t="str">
        <f t="shared" si="213"/>
        <v/>
      </c>
      <c r="Q1523" s="9">
        <f t="shared" si="214"/>
        <v>0</v>
      </c>
      <c r="R1523" s="9">
        <f t="shared" si="215"/>
        <v>0</v>
      </c>
      <c r="S1523" s="9">
        <f t="array" ref="S1523">+SUM(IFERROR(VALUE(Q1523:R1523),0))</f>
        <v>0</v>
      </c>
    </row>
    <row r="1524" spans="1:19">
      <c r="A1524" s="26"/>
      <c r="B1524" s="27"/>
      <c r="C1524" s="27"/>
      <c r="D1524" s="28"/>
      <c r="F1524" s="9" t="str">
        <f t="shared" si="207"/>
        <v/>
      </c>
      <c r="G1524" s="9">
        <f t="shared" si="208"/>
        <v>0</v>
      </c>
      <c r="H1524" s="9">
        <f t="shared" si="209"/>
        <v>0</v>
      </c>
      <c r="I1524" s="9">
        <f t="array" ref="I1524">+SUM(IFERROR(VALUE(G1524:H1524),0))</f>
        <v>0</v>
      </c>
      <c r="K1524" s="9" t="str">
        <f t="shared" si="210"/>
        <v/>
      </c>
      <c r="L1524" s="9">
        <f t="shared" si="211"/>
        <v>0</v>
      </c>
      <c r="M1524" s="9">
        <f t="shared" si="212"/>
        <v>0</v>
      </c>
      <c r="N1524" s="9">
        <f t="array" ref="N1524">+SUM(IFERROR(VALUE(L1524:M1524),0))</f>
        <v>0</v>
      </c>
      <c r="P1524" s="9" t="str">
        <f t="shared" si="213"/>
        <v/>
      </c>
      <c r="Q1524" s="9">
        <f t="shared" si="214"/>
        <v>0</v>
      </c>
      <c r="R1524" s="9">
        <f t="shared" si="215"/>
        <v>0</v>
      </c>
      <c r="S1524" s="9">
        <f t="array" ref="S1524">+SUM(IFERROR(VALUE(Q1524:R1524),0))</f>
        <v>0</v>
      </c>
    </row>
    <row r="1525" spans="1:19">
      <c r="A1525" s="26"/>
      <c r="B1525" s="27"/>
      <c r="C1525" s="27"/>
      <c r="D1525" s="28"/>
      <c r="F1525" s="9" t="str">
        <f t="shared" si="207"/>
        <v/>
      </c>
      <c r="G1525" s="9">
        <f t="shared" si="208"/>
        <v>0</v>
      </c>
      <c r="H1525" s="9">
        <f t="shared" si="209"/>
        <v>0</v>
      </c>
      <c r="I1525" s="9">
        <f t="array" ref="I1525">+SUM(IFERROR(VALUE(G1525:H1525),0))</f>
        <v>0</v>
      </c>
      <c r="K1525" s="9" t="str">
        <f t="shared" si="210"/>
        <v/>
      </c>
      <c r="L1525" s="9">
        <f t="shared" si="211"/>
        <v>0</v>
      </c>
      <c r="M1525" s="9">
        <f t="shared" si="212"/>
        <v>0</v>
      </c>
      <c r="N1525" s="9">
        <f t="array" ref="N1525">+SUM(IFERROR(VALUE(L1525:M1525),0))</f>
        <v>0</v>
      </c>
      <c r="P1525" s="9" t="str">
        <f t="shared" si="213"/>
        <v/>
      </c>
      <c r="Q1525" s="9">
        <f t="shared" si="214"/>
        <v>0</v>
      </c>
      <c r="R1525" s="9">
        <f t="shared" si="215"/>
        <v>0</v>
      </c>
      <c r="S1525" s="9">
        <f t="array" ref="S1525">+SUM(IFERROR(VALUE(Q1525:R1525),0))</f>
        <v>0</v>
      </c>
    </row>
    <row r="1526" spans="1:19">
      <c r="A1526" s="26"/>
      <c r="B1526" s="27"/>
      <c r="C1526" s="27"/>
      <c r="D1526" s="28"/>
      <c r="F1526" s="9" t="str">
        <f t="shared" si="207"/>
        <v/>
      </c>
      <c r="G1526" s="9">
        <f t="shared" si="208"/>
        <v>0</v>
      </c>
      <c r="H1526" s="9">
        <f t="shared" si="209"/>
        <v>0</v>
      </c>
      <c r="I1526" s="9">
        <f t="array" ref="I1526">+SUM(IFERROR(VALUE(G1526:H1526),0))</f>
        <v>0</v>
      </c>
      <c r="K1526" s="9" t="str">
        <f t="shared" si="210"/>
        <v/>
      </c>
      <c r="L1526" s="9">
        <f t="shared" si="211"/>
        <v>0</v>
      </c>
      <c r="M1526" s="9">
        <f t="shared" si="212"/>
        <v>0</v>
      </c>
      <c r="N1526" s="9">
        <f t="array" ref="N1526">+SUM(IFERROR(VALUE(L1526:M1526),0))</f>
        <v>0</v>
      </c>
      <c r="P1526" s="9" t="str">
        <f t="shared" si="213"/>
        <v/>
      </c>
      <c r="Q1526" s="9">
        <f t="shared" si="214"/>
        <v>0</v>
      </c>
      <c r="R1526" s="9">
        <f t="shared" si="215"/>
        <v>0</v>
      </c>
      <c r="S1526" s="9">
        <f t="array" ref="S1526">+SUM(IFERROR(VALUE(Q1526:R1526),0))</f>
        <v>0</v>
      </c>
    </row>
    <row r="1527" spans="1:19">
      <c r="A1527" s="26"/>
      <c r="B1527" s="27"/>
      <c r="C1527" s="27"/>
      <c r="D1527" s="28"/>
      <c r="F1527" s="9" t="str">
        <f t="shared" si="207"/>
        <v/>
      </c>
      <c r="G1527" s="9">
        <f t="shared" si="208"/>
        <v>0</v>
      </c>
      <c r="H1527" s="9">
        <f t="shared" si="209"/>
        <v>0</v>
      </c>
      <c r="I1527" s="9">
        <f t="array" ref="I1527">+SUM(IFERROR(VALUE(G1527:H1527),0))</f>
        <v>0</v>
      </c>
      <c r="K1527" s="9" t="str">
        <f t="shared" si="210"/>
        <v/>
      </c>
      <c r="L1527" s="9">
        <f t="shared" si="211"/>
        <v>0</v>
      </c>
      <c r="M1527" s="9">
        <f t="shared" si="212"/>
        <v>0</v>
      </c>
      <c r="N1527" s="9">
        <f t="array" ref="N1527">+SUM(IFERROR(VALUE(L1527:M1527),0))</f>
        <v>0</v>
      </c>
      <c r="P1527" s="9" t="str">
        <f t="shared" si="213"/>
        <v/>
      </c>
      <c r="Q1527" s="9">
        <f t="shared" si="214"/>
        <v>0</v>
      </c>
      <c r="R1527" s="9">
        <f t="shared" si="215"/>
        <v>0</v>
      </c>
      <c r="S1527" s="9">
        <f t="array" ref="S1527">+SUM(IFERROR(VALUE(Q1527:R1527),0))</f>
        <v>0</v>
      </c>
    </row>
    <row r="1528" spans="1:19">
      <c r="A1528" s="26"/>
      <c r="B1528" s="27"/>
      <c r="C1528" s="27"/>
      <c r="D1528" s="28"/>
      <c r="F1528" s="9" t="str">
        <f t="shared" si="207"/>
        <v/>
      </c>
      <c r="G1528" s="9">
        <f t="shared" si="208"/>
        <v>0</v>
      </c>
      <c r="H1528" s="9">
        <f t="shared" si="209"/>
        <v>0</v>
      </c>
      <c r="I1528" s="9">
        <f t="array" ref="I1528">+SUM(IFERROR(VALUE(G1528:H1528),0))</f>
        <v>0</v>
      </c>
      <c r="K1528" s="9" t="str">
        <f t="shared" si="210"/>
        <v/>
      </c>
      <c r="L1528" s="9">
        <f t="shared" si="211"/>
        <v>0</v>
      </c>
      <c r="M1528" s="9">
        <f t="shared" si="212"/>
        <v>0</v>
      </c>
      <c r="N1528" s="9">
        <f t="array" ref="N1528">+SUM(IFERROR(VALUE(L1528:M1528),0))</f>
        <v>0</v>
      </c>
      <c r="P1528" s="9" t="str">
        <f t="shared" si="213"/>
        <v/>
      </c>
      <c r="Q1528" s="9">
        <f t="shared" si="214"/>
        <v>0</v>
      </c>
      <c r="R1528" s="9">
        <f t="shared" si="215"/>
        <v>0</v>
      </c>
      <c r="S1528" s="9">
        <f t="array" ref="S1528">+SUM(IFERROR(VALUE(Q1528:R1528),0))</f>
        <v>0</v>
      </c>
    </row>
    <row r="1529" spans="1:19">
      <c r="A1529" s="26"/>
      <c r="B1529" s="27"/>
      <c r="C1529" s="27"/>
      <c r="D1529" s="28"/>
      <c r="F1529" s="9" t="str">
        <f t="shared" si="207"/>
        <v/>
      </c>
      <c r="G1529" s="9">
        <f t="shared" si="208"/>
        <v>0</v>
      </c>
      <c r="H1529" s="9">
        <f t="shared" si="209"/>
        <v>0</v>
      </c>
      <c r="I1529" s="9">
        <f t="array" ref="I1529">+SUM(IFERROR(VALUE(G1529:H1529),0))</f>
        <v>0</v>
      </c>
      <c r="K1529" s="9" t="str">
        <f t="shared" si="210"/>
        <v/>
      </c>
      <c r="L1529" s="9">
        <f t="shared" si="211"/>
        <v>0</v>
      </c>
      <c r="M1529" s="9">
        <f t="shared" si="212"/>
        <v>0</v>
      </c>
      <c r="N1529" s="9">
        <f t="array" ref="N1529">+SUM(IFERROR(VALUE(L1529:M1529),0))</f>
        <v>0</v>
      </c>
      <c r="P1529" s="9" t="str">
        <f t="shared" si="213"/>
        <v/>
      </c>
      <c r="Q1529" s="9">
        <f t="shared" si="214"/>
        <v>0</v>
      </c>
      <c r="R1529" s="9">
        <f t="shared" si="215"/>
        <v>0</v>
      </c>
      <c r="S1529" s="9">
        <f t="array" ref="S1529">+SUM(IFERROR(VALUE(Q1529:R1529),0))</f>
        <v>0</v>
      </c>
    </row>
    <row r="1530" spans="1:19">
      <c r="A1530" s="26"/>
      <c r="B1530" s="27"/>
      <c r="C1530" s="27"/>
      <c r="D1530" s="28"/>
      <c r="F1530" s="9" t="str">
        <f t="shared" si="207"/>
        <v/>
      </c>
      <c r="G1530" s="9">
        <f t="shared" si="208"/>
        <v>0</v>
      </c>
      <c r="H1530" s="9">
        <f t="shared" si="209"/>
        <v>0</v>
      </c>
      <c r="I1530" s="9">
        <f t="array" ref="I1530">+SUM(IFERROR(VALUE(G1530:H1530),0))</f>
        <v>0</v>
      </c>
      <c r="K1530" s="9" t="str">
        <f t="shared" si="210"/>
        <v/>
      </c>
      <c r="L1530" s="9">
        <f t="shared" si="211"/>
        <v>0</v>
      </c>
      <c r="M1530" s="9">
        <f t="shared" si="212"/>
        <v>0</v>
      </c>
      <c r="N1530" s="9">
        <f t="array" ref="N1530">+SUM(IFERROR(VALUE(L1530:M1530),0))</f>
        <v>0</v>
      </c>
      <c r="P1530" s="9" t="str">
        <f t="shared" si="213"/>
        <v/>
      </c>
      <c r="Q1530" s="9">
        <f t="shared" si="214"/>
        <v>0</v>
      </c>
      <c r="R1530" s="9">
        <f t="shared" si="215"/>
        <v>0</v>
      </c>
      <c r="S1530" s="9">
        <f t="array" ref="S1530">+SUM(IFERROR(VALUE(Q1530:R1530),0))</f>
        <v>0</v>
      </c>
    </row>
    <row r="1531" spans="1:19">
      <c r="A1531" s="26"/>
      <c r="B1531" s="27"/>
      <c r="C1531" s="27"/>
      <c r="D1531" s="28"/>
      <c r="F1531" s="9" t="str">
        <f t="shared" si="207"/>
        <v/>
      </c>
      <c r="G1531" s="9">
        <f t="shared" si="208"/>
        <v>0</v>
      </c>
      <c r="H1531" s="9">
        <f t="shared" si="209"/>
        <v>0</v>
      </c>
      <c r="I1531" s="9">
        <f t="array" ref="I1531">+SUM(IFERROR(VALUE(G1531:H1531),0))</f>
        <v>0</v>
      </c>
      <c r="K1531" s="9" t="str">
        <f t="shared" si="210"/>
        <v/>
      </c>
      <c r="L1531" s="9">
        <f t="shared" si="211"/>
        <v>0</v>
      </c>
      <c r="M1531" s="9">
        <f t="shared" si="212"/>
        <v>0</v>
      </c>
      <c r="N1531" s="9">
        <f t="array" ref="N1531">+SUM(IFERROR(VALUE(L1531:M1531),0))</f>
        <v>0</v>
      </c>
      <c r="P1531" s="9" t="str">
        <f t="shared" si="213"/>
        <v/>
      </c>
      <c r="Q1531" s="9">
        <f t="shared" si="214"/>
        <v>0</v>
      </c>
      <c r="R1531" s="9">
        <f t="shared" si="215"/>
        <v>0</v>
      </c>
      <c r="S1531" s="9">
        <f t="array" ref="S1531">+SUM(IFERROR(VALUE(Q1531:R1531),0))</f>
        <v>0</v>
      </c>
    </row>
    <row r="1532" spans="1:19">
      <c r="A1532" s="26"/>
      <c r="B1532" s="27"/>
      <c r="C1532" s="27"/>
      <c r="D1532" s="28"/>
      <c r="F1532" s="9" t="str">
        <f t="shared" si="207"/>
        <v/>
      </c>
      <c r="G1532" s="9">
        <f t="shared" si="208"/>
        <v>0</v>
      </c>
      <c r="H1532" s="9">
        <f t="shared" si="209"/>
        <v>0</v>
      </c>
      <c r="I1532" s="9">
        <f t="array" ref="I1532">+SUM(IFERROR(VALUE(G1532:H1532),0))</f>
        <v>0</v>
      </c>
      <c r="K1532" s="9" t="str">
        <f t="shared" si="210"/>
        <v/>
      </c>
      <c r="L1532" s="9">
        <f t="shared" si="211"/>
        <v>0</v>
      </c>
      <c r="M1532" s="9">
        <f t="shared" si="212"/>
        <v>0</v>
      </c>
      <c r="N1532" s="9">
        <f t="array" ref="N1532">+SUM(IFERROR(VALUE(L1532:M1532),0))</f>
        <v>0</v>
      </c>
      <c r="P1532" s="9" t="str">
        <f t="shared" si="213"/>
        <v/>
      </c>
      <c r="Q1532" s="9">
        <f t="shared" si="214"/>
        <v>0</v>
      </c>
      <c r="R1532" s="9">
        <f t="shared" si="215"/>
        <v>0</v>
      </c>
      <c r="S1532" s="9">
        <f t="array" ref="S1532">+SUM(IFERROR(VALUE(Q1532:R1532),0))</f>
        <v>0</v>
      </c>
    </row>
    <row r="1533" spans="1:19">
      <c r="A1533" s="26"/>
      <c r="B1533" s="27"/>
      <c r="C1533" s="27"/>
      <c r="D1533" s="28"/>
      <c r="F1533" s="9" t="str">
        <f t="shared" si="207"/>
        <v/>
      </c>
      <c r="G1533" s="9">
        <f t="shared" si="208"/>
        <v>0</v>
      </c>
      <c r="H1533" s="9">
        <f t="shared" si="209"/>
        <v>0</v>
      </c>
      <c r="I1533" s="9">
        <f t="array" ref="I1533">+SUM(IFERROR(VALUE(G1533:H1533),0))</f>
        <v>0</v>
      </c>
      <c r="K1533" s="9" t="str">
        <f t="shared" si="210"/>
        <v/>
      </c>
      <c r="L1533" s="9">
        <f t="shared" si="211"/>
        <v>0</v>
      </c>
      <c r="M1533" s="9">
        <f t="shared" si="212"/>
        <v>0</v>
      </c>
      <c r="N1533" s="9">
        <f t="array" ref="N1533">+SUM(IFERROR(VALUE(L1533:M1533),0))</f>
        <v>0</v>
      </c>
      <c r="P1533" s="9" t="str">
        <f t="shared" si="213"/>
        <v/>
      </c>
      <c r="Q1533" s="9">
        <f t="shared" si="214"/>
        <v>0</v>
      </c>
      <c r="R1533" s="9">
        <f t="shared" si="215"/>
        <v>0</v>
      </c>
      <c r="S1533" s="9">
        <f t="array" ref="S1533">+SUM(IFERROR(VALUE(Q1533:R1533),0))</f>
        <v>0</v>
      </c>
    </row>
    <row r="1534" spans="1:19">
      <c r="A1534" s="26"/>
      <c r="B1534" s="27"/>
      <c r="C1534" s="27"/>
      <c r="D1534" s="28"/>
      <c r="F1534" s="9" t="str">
        <f t="shared" si="207"/>
        <v/>
      </c>
      <c r="G1534" s="9">
        <f t="shared" si="208"/>
        <v>0</v>
      </c>
      <c r="H1534" s="9">
        <f t="shared" si="209"/>
        <v>0</v>
      </c>
      <c r="I1534" s="9">
        <f t="array" ref="I1534">+SUM(IFERROR(VALUE(G1534:H1534),0))</f>
        <v>0</v>
      </c>
      <c r="K1534" s="9" t="str">
        <f t="shared" si="210"/>
        <v/>
      </c>
      <c r="L1534" s="9">
        <f t="shared" si="211"/>
        <v>0</v>
      </c>
      <c r="M1534" s="9">
        <f t="shared" si="212"/>
        <v>0</v>
      </c>
      <c r="N1534" s="9">
        <f t="array" ref="N1534">+SUM(IFERROR(VALUE(L1534:M1534),0))</f>
        <v>0</v>
      </c>
      <c r="P1534" s="9" t="str">
        <f t="shared" si="213"/>
        <v/>
      </c>
      <c r="Q1534" s="9">
        <f t="shared" si="214"/>
        <v>0</v>
      </c>
      <c r="R1534" s="9">
        <f t="shared" si="215"/>
        <v>0</v>
      </c>
      <c r="S1534" s="9">
        <f t="array" ref="S1534">+SUM(IFERROR(VALUE(Q1534:R1534),0))</f>
        <v>0</v>
      </c>
    </row>
    <row r="1535" spans="1:19">
      <c r="A1535" s="26"/>
      <c r="B1535" s="27"/>
      <c r="C1535" s="27"/>
      <c r="D1535" s="28"/>
      <c r="F1535" s="9" t="str">
        <f t="shared" si="207"/>
        <v/>
      </c>
      <c r="G1535" s="9">
        <f t="shared" si="208"/>
        <v>0</v>
      </c>
      <c r="H1535" s="9">
        <f t="shared" si="209"/>
        <v>0</v>
      </c>
      <c r="I1535" s="9">
        <f t="array" ref="I1535">+SUM(IFERROR(VALUE(G1535:H1535),0))</f>
        <v>0</v>
      </c>
      <c r="K1535" s="9" t="str">
        <f t="shared" si="210"/>
        <v/>
      </c>
      <c r="L1535" s="9">
        <f t="shared" si="211"/>
        <v>0</v>
      </c>
      <c r="M1535" s="9">
        <f t="shared" si="212"/>
        <v>0</v>
      </c>
      <c r="N1535" s="9">
        <f t="array" ref="N1535">+SUM(IFERROR(VALUE(L1535:M1535),0))</f>
        <v>0</v>
      </c>
      <c r="P1535" s="9" t="str">
        <f t="shared" si="213"/>
        <v/>
      </c>
      <c r="Q1535" s="9">
        <f t="shared" si="214"/>
        <v>0</v>
      </c>
      <c r="R1535" s="9">
        <f t="shared" si="215"/>
        <v>0</v>
      </c>
      <c r="S1535" s="9">
        <f t="array" ref="S1535">+SUM(IFERROR(VALUE(Q1535:R1535),0))</f>
        <v>0</v>
      </c>
    </row>
    <row r="1536" spans="1:19">
      <c r="A1536" s="26"/>
      <c r="B1536" s="27"/>
      <c r="C1536" s="27"/>
      <c r="D1536" s="28"/>
      <c r="F1536" s="9" t="str">
        <f t="shared" si="207"/>
        <v/>
      </c>
      <c r="G1536" s="9">
        <f t="shared" si="208"/>
        <v>0</v>
      </c>
      <c r="H1536" s="9">
        <f t="shared" si="209"/>
        <v>0</v>
      </c>
      <c r="I1536" s="9">
        <f t="array" ref="I1536">+SUM(IFERROR(VALUE(G1536:H1536),0))</f>
        <v>0</v>
      </c>
      <c r="K1536" s="9" t="str">
        <f t="shared" si="210"/>
        <v/>
      </c>
      <c r="L1536" s="9">
        <f t="shared" si="211"/>
        <v>0</v>
      </c>
      <c r="M1536" s="9">
        <f t="shared" si="212"/>
        <v>0</v>
      </c>
      <c r="N1536" s="9">
        <f t="array" ref="N1536">+SUM(IFERROR(VALUE(L1536:M1536),0))</f>
        <v>0</v>
      </c>
      <c r="P1536" s="9" t="str">
        <f t="shared" si="213"/>
        <v/>
      </c>
      <c r="Q1536" s="9">
        <f t="shared" si="214"/>
        <v>0</v>
      </c>
      <c r="R1536" s="9">
        <f t="shared" si="215"/>
        <v>0</v>
      </c>
      <c r="S1536" s="9">
        <f t="array" ref="S1536">+SUM(IFERROR(VALUE(Q1536:R1536),0))</f>
        <v>0</v>
      </c>
    </row>
    <row r="1537" spans="1:19">
      <c r="A1537" s="26"/>
      <c r="B1537" s="27"/>
      <c r="C1537" s="27"/>
      <c r="D1537" s="28"/>
      <c r="F1537" s="9" t="str">
        <f t="shared" si="207"/>
        <v/>
      </c>
      <c r="G1537" s="9">
        <f t="shared" si="208"/>
        <v>0</v>
      </c>
      <c r="H1537" s="9">
        <f t="shared" si="209"/>
        <v>0</v>
      </c>
      <c r="I1537" s="9">
        <f t="array" ref="I1537">+SUM(IFERROR(VALUE(G1537:H1537),0))</f>
        <v>0</v>
      </c>
      <c r="K1537" s="9" t="str">
        <f t="shared" si="210"/>
        <v/>
      </c>
      <c r="L1537" s="9">
        <f t="shared" si="211"/>
        <v>0</v>
      </c>
      <c r="M1537" s="9">
        <f t="shared" si="212"/>
        <v>0</v>
      </c>
      <c r="N1537" s="9">
        <f t="array" ref="N1537">+SUM(IFERROR(VALUE(L1537:M1537),0))</f>
        <v>0</v>
      </c>
      <c r="P1537" s="9" t="str">
        <f t="shared" si="213"/>
        <v/>
      </c>
      <c r="Q1537" s="9">
        <f t="shared" si="214"/>
        <v>0</v>
      </c>
      <c r="R1537" s="9">
        <f t="shared" si="215"/>
        <v>0</v>
      </c>
      <c r="S1537" s="9">
        <f t="array" ref="S1537">+SUM(IFERROR(VALUE(Q1537:R1537),0))</f>
        <v>0</v>
      </c>
    </row>
    <row r="1538" spans="1:19">
      <c r="A1538" s="26"/>
      <c r="B1538" s="27"/>
      <c r="C1538" s="27"/>
      <c r="D1538" s="28"/>
      <c r="F1538" s="9" t="str">
        <f t="shared" si="207"/>
        <v/>
      </c>
      <c r="G1538" s="9">
        <f t="shared" si="208"/>
        <v>0</v>
      </c>
      <c r="H1538" s="9">
        <f t="shared" si="209"/>
        <v>0</v>
      </c>
      <c r="I1538" s="9">
        <f t="array" ref="I1538">+SUM(IFERROR(VALUE(G1538:H1538),0))</f>
        <v>0</v>
      </c>
      <c r="K1538" s="9" t="str">
        <f t="shared" si="210"/>
        <v/>
      </c>
      <c r="L1538" s="9">
        <f t="shared" si="211"/>
        <v>0</v>
      </c>
      <c r="M1538" s="9">
        <f t="shared" si="212"/>
        <v>0</v>
      </c>
      <c r="N1538" s="9">
        <f t="array" ref="N1538">+SUM(IFERROR(VALUE(L1538:M1538),0))</f>
        <v>0</v>
      </c>
      <c r="P1538" s="9" t="str">
        <f t="shared" si="213"/>
        <v/>
      </c>
      <c r="Q1538" s="9">
        <f t="shared" si="214"/>
        <v>0</v>
      </c>
      <c r="R1538" s="9">
        <f t="shared" si="215"/>
        <v>0</v>
      </c>
      <c r="S1538" s="9">
        <f t="array" ref="S1538">+SUM(IFERROR(VALUE(Q1538:R1538),0))</f>
        <v>0</v>
      </c>
    </row>
    <row r="1539" spans="1:19">
      <c r="A1539" s="26"/>
      <c r="B1539" s="27"/>
      <c r="C1539" s="27"/>
      <c r="D1539" s="28"/>
      <c r="F1539" s="9" t="str">
        <f t="shared" si="207"/>
        <v/>
      </c>
      <c r="G1539" s="9">
        <f t="shared" si="208"/>
        <v>0</v>
      </c>
      <c r="H1539" s="9">
        <f t="shared" si="209"/>
        <v>0</v>
      </c>
      <c r="I1539" s="9">
        <f t="array" ref="I1539">+SUM(IFERROR(VALUE(G1539:H1539),0))</f>
        <v>0</v>
      </c>
      <c r="K1539" s="9" t="str">
        <f t="shared" si="210"/>
        <v/>
      </c>
      <c r="L1539" s="9">
        <f t="shared" si="211"/>
        <v>0</v>
      </c>
      <c r="M1539" s="9">
        <f t="shared" si="212"/>
        <v>0</v>
      </c>
      <c r="N1539" s="9">
        <f t="array" ref="N1539">+SUM(IFERROR(VALUE(L1539:M1539),0))</f>
        <v>0</v>
      </c>
      <c r="P1539" s="9" t="str">
        <f t="shared" si="213"/>
        <v/>
      </c>
      <c r="Q1539" s="9">
        <f t="shared" si="214"/>
        <v>0</v>
      </c>
      <c r="R1539" s="9">
        <f t="shared" si="215"/>
        <v>0</v>
      </c>
      <c r="S1539" s="9">
        <f t="array" ref="S1539">+SUM(IFERROR(VALUE(Q1539:R1539),0))</f>
        <v>0</v>
      </c>
    </row>
    <row r="1540" spans="1:19">
      <c r="A1540" s="26"/>
      <c r="B1540" s="27"/>
      <c r="C1540" s="27"/>
      <c r="D1540" s="28"/>
      <c r="F1540" s="9" t="str">
        <f t="shared" si="207"/>
        <v/>
      </c>
      <c r="G1540" s="9">
        <f t="shared" si="208"/>
        <v>0</v>
      </c>
      <c r="H1540" s="9">
        <f t="shared" si="209"/>
        <v>0</v>
      </c>
      <c r="I1540" s="9">
        <f t="array" ref="I1540">+SUM(IFERROR(VALUE(G1540:H1540),0))</f>
        <v>0</v>
      </c>
      <c r="K1540" s="9" t="str">
        <f t="shared" si="210"/>
        <v/>
      </c>
      <c r="L1540" s="9">
        <f t="shared" si="211"/>
        <v>0</v>
      </c>
      <c r="M1540" s="9">
        <f t="shared" si="212"/>
        <v>0</v>
      </c>
      <c r="N1540" s="9">
        <f t="array" ref="N1540">+SUM(IFERROR(VALUE(L1540:M1540),0))</f>
        <v>0</v>
      </c>
      <c r="P1540" s="9" t="str">
        <f t="shared" si="213"/>
        <v/>
      </c>
      <c r="Q1540" s="9">
        <f t="shared" si="214"/>
        <v>0</v>
      </c>
      <c r="R1540" s="9">
        <f t="shared" si="215"/>
        <v>0</v>
      </c>
      <c r="S1540" s="9">
        <f t="array" ref="S1540">+SUM(IFERROR(VALUE(Q1540:R1540),0))</f>
        <v>0</v>
      </c>
    </row>
    <row r="1541" spans="1:19">
      <c r="A1541" s="26"/>
      <c r="B1541" s="27"/>
      <c r="C1541" s="27"/>
      <c r="D1541" s="28"/>
      <c r="F1541" s="9" t="str">
        <f t="shared" si="207"/>
        <v/>
      </c>
      <c r="G1541" s="9">
        <f t="shared" si="208"/>
        <v>0</v>
      </c>
      <c r="H1541" s="9">
        <f t="shared" si="209"/>
        <v>0</v>
      </c>
      <c r="I1541" s="9">
        <f t="array" ref="I1541">+SUM(IFERROR(VALUE(G1541:H1541),0))</f>
        <v>0</v>
      </c>
      <c r="K1541" s="9" t="str">
        <f t="shared" si="210"/>
        <v/>
      </c>
      <c r="L1541" s="9">
        <f t="shared" si="211"/>
        <v>0</v>
      </c>
      <c r="M1541" s="9">
        <f t="shared" si="212"/>
        <v>0</v>
      </c>
      <c r="N1541" s="9">
        <f t="array" ref="N1541">+SUM(IFERROR(VALUE(L1541:M1541),0))</f>
        <v>0</v>
      </c>
      <c r="P1541" s="9" t="str">
        <f t="shared" si="213"/>
        <v/>
      </c>
      <c r="Q1541" s="9">
        <f t="shared" si="214"/>
        <v>0</v>
      </c>
      <c r="R1541" s="9">
        <f t="shared" si="215"/>
        <v>0</v>
      </c>
      <c r="S1541" s="9">
        <f t="array" ref="S1541">+SUM(IFERROR(VALUE(Q1541:R1541),0))</f>
        <v>0</v>
      </c>
    </row>
    <row r="1542" spans="1:19">
      <c r="A1542" s="26"/>
      <c r="B1542" s="27"/>
      <c r="C1542" s="27"/>
      <c r="D1542" s="28"/>
      <c r="F1542" s="9" t="str">
        <f t="shared" ref="F1542:F1605" si="216">+LEFT(A1542,4)</f>
        <v/>
      </c>
      <c r="G1542" s="9">
        <f t="shared" ref="G1542:G1605" si="217">+C1542</f>
        <v>0</v>
      </c>
      <c r="H1542" s="9">
        <f t="shared" ref="H1542:H1605" si="218">-D1542</f>
        <v>0</v>
      </c>
      <c r="I1542" s="9">
        <f t="array" ref="I1542">+SUM(IFERROR(VALUE(G1542:H1542),0))</f>
        <v>0</v>
      </c>
      <c r="K1542" s="9" t="str">
        <f t="shared" ref="K1542:K1605" si="219">+LEFT(A1542,3)</f>
        <v/>
      </c>
      <c r="L1542" s="9">
        <f t="shared" ref="L1542:L1605" si="220">+C1542</f>
        <v>0</v>
      </c>
      <c r="M1542" s="9">
        <f t="shared" ref="M1542:M1605" si="221">-D1542</f>
        <v>0</v>
      </c>
      <c r="N1542" s="9">
        <f t="array" ref="N1542">+SUM(IFERROR(VALUE(L1542:M1542),0))</f>
        <v>0</v>
      </c>
      <c r="P1542" s="9" t="str">
        <f t="shared" ref="P1542:P1605" si="222">+LEFT(A1542,2)</f>
        <v/>
      </c>
      <c r="Q1542" s="9">
        <f t="shared" ref="Q1542:Q1605" si="223">+C1542</f>
        <v>0</v>
      </c>
      <c r="R1542" s="9">
        <f t="shared" ref="R1542:R1605" si="224">-D1542</f>
        <v>0</v>
      </c>
      <c r="S1542" s="9">
        <f t="array" ref="S1542">+SUM(IFERROR(VALUE(Q1542:R1542),0))</f>
        <v>0</v>
      </c>
    </row>
    <row r="1543" spans="1:19">
      <c r="A1543" s="26"/>
      <c r="B1543" s="27"/>
      <c r="C1543" s="27"/>
      <c r="D1543" s="28"/>
      <c r="F1543" s="9" t="str">
        <f t="shared" si="216"/>
        <v/>
      </c>
      <c r="G1543" s="9">
        <f t="shared" si="217"/>
        <v>0</v>
      </c>
      <c r="H1543" s="9">
        <f t="shared" si="218"/>
        <v>0</v>
      </c>
      <c r="I1543" s="9">
        <f t="array" ref="I1543">+SUM(IFERROR(VALUE(G1543:H1543),0))</f>
        <v>0</v>
      </c>
      <c r="K1543" s="9" t="str">
        <f t="shared" si="219"/>
        <v/>
      </c>
      <c r="L1543" s="9">
        <f t="shared" si="220"/>
        <v>0</v>
      </c>
      <c r="M1543" s="9">
        <f t="shared" si="221"/>
        <v>0</v>
      </c>
      <c r="N1543" s="9">
        <f t="array" ref="N1543">+SUM(IFERROR(VALUE(L1543:M1543),0))</f>
        <v>0</v>
      </c>
      <c r="P1543" s="9" t="str">
        <f t="shared" si="222"/>
        <v/>
      </c>
      <c r="Q1543" s="9">
        <f t="shared" si="223"/>
        <v>0</v>
      </c>
      <c r="R1543" s="9">
        <f t="shared" si="224"/>
        <v>0</v>
      </c>
      <c r="S1543" s="9">
        <f t="array" ref="S1543">+SUM(IFERROR(VALUE(Q1543:R1543),0))</f>
        <v>0</v>
      </c>
    </row>
    <row r="1544" spans="1:19">
      <c r="A1544" s="26"/>
      <c r="B1544" s="27"/>
      <c r="C1544" s="27"/>
      <c r="D1544" s="28"/>
      <c r="F1544" s="9" t="str">
        <f t="shared" si="216"/>
        <v/>
      </c>
      <c r="G1544" s="9">
        <f t="shared" si="217"/>
        <v>0</v>
      </c>
      <c r="H1544" s="9">
        <f t="shared" si="218"/>
        <v>0</v>
      </c>
      <c r="I1544" s="9">
        <f t="array" ref="I1544">+SUM(IFERROR(VALUE(G1544:H1544),0))</f>
        <v>0</v>
      </c>
      <c r="K1544" s="9" t="str">
        <f t="shared" si="219"/>
        <v/>
      </c>
      <c r="L1544" s="9">
        <f t="shared" si="220"/>
        <v>0</v>
      </c>
      <c r="M1544" s="9">
        <f t="shared" si="221"/>
        <v>0</v>
      </c>
      <c r="N1544" s="9">
        <f t="array" ref="N1544">+SUM(IFERROR(VALUE(L1544:M1544),0))</f>
        <v>0</v>
      </c>
      <c r="P1544" s="9" t="str">
        <f t="shared" si="222"/>
        <v/>
      </c>
      <c r="Q1544" s="9">
        <f t="shared" si="223"/>
        <v>0</v>
      </c>
      <c r="R1544" s="9">
        <f t="shared" si="224"/>
        <v>0</v>
      </c>
      <c r="S1544" s="9">
        <f t="array" ref="S1544">+SUM(IFERROR(VALUE(Q1544:R1544),0))</f>
        <v>0</v>
      </c>
    </row>
    <row r="1545" spans="1:19">
      <c r="A1545" s="26"/>
      <c r="B1545" s="27"/>
      <c r="C1545" s="27"/>
      <c r="D1545" s="28"/>
      <c r="F1545" s="9" t="str">
        <f t="shared" si="216"/>
        <v/>
      </c>
      <c r="G1545" s="9">
        <f t="shared" si="217"/>
        <v>0</v>
      </c>
      <c r="H1545" s="9">
        <f t="shared" si="218"/>
        <v>0</v>
      </c>
      <c r="I1545" s="9">
        <f t="array" ref="I1545">+SUM(IFERROR(VALUE(G1545:H1545),0))</f>
        <v>0</v>
      </c>
      <c r="K1545" s="9" t="str">
        <f t="shared" si="219"/>
        <v/>
      </c>
      <c r="L1545" s="9">
        <f t="shared" si="220"/>
        <v>0</v>
      </c>
      <c r="M1545" s="9">
        <f t="shared" si="221"/>
        <v>0</v>
      </c>
      <c r="N1545" s="9">
        <f t="array" ref="N1545">+SUM(IFERROR(VALUE(L1545:M1545),0))</f>
        <v>0</v>
      </c>
      <c r="P1545" s="9" t="str">
        <f t="shared" si="222"/>
        <v/>
      </c>
      <c r="Q1545" s="9">
        <f t="shared" si="223"/>
        <v>0</v>
      </c>
      <c r="R1545" s="9">
        <f t="shared" si="224"/>
        <v>0</v>
      </c>
      <c r="S1545" s="9">
        <f t="array" ref="S1545">+SUM(IFERROR(VALUE(Q1545:R1545),0))</f>
        <v>0</v>
      </c>
    </row>
    <row r="1546" spans="1:19">
      <c r="A1546" s="26"/>
      <c r="B1546" s="27"/>
      <c r="C1546" s="27"/>
      <c r="D1546" s="28"/>
      <c r="F1546" s="9" t="str">
        <f t="shared" si="216"/>
        <v/>
      </c>
      <c r="G1546" s="9">
        <f t="shared" si="217"/>
        <v>0</v>
      </c>
      <c r="H1546" s="9">
        <f t="shared" si="218"/>
        <v>0</v>
      </c>
      <c r="I1546" s="9">
        <f t="array" ref="I1546">+SUM(IFERROR(VALUE(G1546:H1546),0))</f>
        <v>0</v>
      </c>
      <c r="K1546" s="9" t="str">
        <f t="shared" si="219"/>
        <v/>
      </c>
      <c r="L1546" s="9">
        <f t="shared" si="220"/>
        <v>0</v>
      </c>
      <c r="M1546" s="9">
        <f t="shared" si="221"/>
        <v>0</v>
      </c>
      <c r="N1546" s="9">
        <f t="array" ref="N1546">+SUM(IFERROR(VALUE(L1546:M1546),0))</f>
        <v>0</v>
      </c>
      <c r="P1546" s="9" t="str">
        <f t="shared" si="222"/>
        <v/>
      </c>
      <c r="Q1546" s="9">
        <f t="shared" si="223"/>
        <v>0</v>
      </c>
      <c r="R1546" s="9">
        <f t="shared" si="224"/>
        <v>0</v>
      </c>
      <c r="S1546" s="9">
        <f t="array" ref="S1546">+SUM(IFERROR(VALUE(Q1546:R1546),0))</f>
        <v>0</v>
      </c>
    </row>
    <row r="1547" spans="1:19">
      <c r="A1547" s="26"/>
      <c r="B1547" s="27"/>
      <c r="C1547" s="27"/>
      <c r="D1547" s="28"/>
      <c r="F1547" s="9" t="str">
        <f t="shared" si="216"/>
        <v/>
      </c>
      <c r="G1547" s="9">
        <f t="shared" si="217"/>
        <v>0</v>
      </c>
      <c r="H1547" s="9">
        <f t="shared" si="218"/>
        <v>0</v>
      </c>
      <c r="I1547" s="9">
        <f t="array" ref="I1547">+SUM(IFERROR(VALUE(G1547:H1547),0))</f>
        <v>0</v>
      </c>
      <c r="K1547" s="9" t="str">
        <f t="shared" si="219"/>
        <v/>
      </c>
      <c r="L1547" s="9">
        <f t="shared" si="220"/>
        <v>0</v>
      </c>
      <c r="M1547" s="9">
        <f t="shared" si="221"/>
        <v>0</v>
      </c>
      <c r="N1547" s="9">
        <f t="array" ref="N1547">+SUM(IFERROR(VALUE(L1547:M1547),0))</f>
        <v>0</v>
      </c>
      <c r="P1547" s="9" t="str">
        <f t="shared" si="222"/>
        <v/>
      </c>
      <c r="Q1547" s="9">
        <f t="shared" si="223"/>
        <v>0</v>
      </c>
      <c r="R1547" s="9">
        <f t="shared" si="224"/>
        <v>0</v>
      </c>
      <c r="S1547" s="9">
        <f t="array" ref="S1547">+SUM(IFERROR(VALUE(Q1547:R1547),0))</f>
        <v>0</v>
      </c>
    </row>
    <row r="1548" spans="1:19">
      <c r="A1548" s="26"/>
      <c r="B1548" s="27"/>
      <c r="C1548" s="27"/>
      <c r="D1548" s="28"/>
      <c r="F1548" s="9" t="str">
        <f t="shared" si="216"/>
        <v/>
      </c>
      <c r="G1548" s="9">
        <f t="shared" si="217"/>
        <v>0</v>
      </c>
      <c r="H1548" s="9">
        <f t="shared" si="218"/>
        <v>0</v>
      </c>
      <c r="I1548" s="9">
        <f t="array" ref="I1548">+SUM(IFERROR(VALUE(G1548:H1548),0))</f>
        <v>0</v>
      </c>
      <c r="K1548" s="9" t="str">
        <f t="shared" si="219"/>
        <v/>
      </c>
      <c r="L1548" s="9">
        <f t="shared" si="220"/>
        <v>0</v>
      </c>
      <c r="M1548" s="9">
        <f t="shared" si="221"/>
        <v>0</v>
      </c>
      <c r="N1548" s="9">
        <f t="array" ref="N1548">+SUM(IFERROR(VALUE(L1548:M1548),0))</f>
        <v>0</v>
      </c>
      <c r="P1548" s="9" t="str">
        <f t="shared" si="222"/>
        <v/>
      </c>
      <c r="Q1548" s="9">
        <f t="shared" si="223"/>
        <v>0</v>
      </c>
      <c r="R1548" s="9">
        <f t="shared" si="224"/>
        <v>0</v>
      </c>
      <c r="S1548" s="9">
        <f t="array" ref="S1548">+SUM(IFERROR(VALUE(Q1548:R1548),0))</f>
        <v>0</v>
      </c>
    </row>
    <row r="1549" spans="1:19">
      <c r="A1549" s="26"/>
      <c r="B1549" s="27"/>
      <c r="C1549" s="27"/>
      <c r="D1549" s="28"/>
      <c r="F1549" s="9" t="str">
        <f t="shared" si="216"/>
        <v/>
      </c>
      <c r="G1549" s="9">
        <f t="shared" si="217"/>
        <v>0</v>
      </c>
      <c r="H1549" s="9">
        <f t="shared" si="218"/>
        <v>0</v>
      </c>
      <c r="I1549" s="9">
        <f t="array" ref="I1549">+SUM(IFERROR(VALUE(G1549:H1549),0))</f>
        <v>0</v>
      </c>
      <c r="K1549" s="9" t="str">
        <f t="shared" si="219"/>
        <v/>
      </c>
      <c r="L1549" s="9">
        <f t="shared" si="220"/>
        <v>0</v>
      </c>
      <c r="M1549" s="9">
        <f t="shared" si="221"/>
        <v>0</v>
      </c>
      <c r="N1549" s="9">
        <f t="array" ref="N1549">+SUM(IFERROR(VALUE(L1549:M1549),0))</f>
        <v>0</v>
      </c>
      <c r="P1549" s="9" t="str">
        <f t="shared" si="222"/>
        <v/>
      </c>
      <c r="Q1549" s="9">
        <f t="shared" si="223"/>
        <v>0</v>
      </c>
      <c r="R1549" s="9">
        <f t="shared" si="224"/>
        <v>0</v>
      </c>
      <c r="S1549" s="9">
        <f t="array" ref="S1549">+SUM(IFERROR(VALUE(Q1549:R1549),0))</f>
        <v>0</v>
      </c>
    </row>
    <row r="1550" spans="1:19">
      <c r="A1550" s="26"/>
      <c r="B1550" s="27"/>
      <c r="C1550" s="27"/>
      <c r="D1550" s="28"/>
      <c r="F1550" s="9" t="str">
        <f t="shared" si="216"/>
        <v/>
      </c>
      <c r="G1550" s="9">
        <f t="shared" si="217"/>
        <v>0</v>
      </c>
      <c r="H1550" s="9">
        <f t="shared" si="218"/>
        <v>0</v>
      </c>
      <c r="I1550" s="9">
        <f t="array" ref="I1550">+SUM(IFERROR(VALUE(G1550:H1550),0))</f>
        <v>0</v>
      </c>
      <c r="K1550" s="9" t="str">
        <f t="shared" si="219"/>
        <v/>
      </c>
      <c r="L1550" s="9">
        <f t="shared" si="220"/>
        <v>0</v>
      </c>
      <c r="M1550" s="9">
        <f t="shared" si="221"/>
        <v>0</v>
      </c>
      <c r="N1550" s="9">
        <f t="array" ref="N1550">+SUM(IFERROR(VALUE(L1550:M1550),0))</f>
        <v>0</v>
      </c>
      <c r="P1550" s="9" t="str">
        <f t="shared" si="222"/>
        <v/>
      </c>
      <c r="Q1550" s="9">
        <f t="shared" si="223"/>
        <v>0</v>
      </c>
      <c r="R1550" s="9">
        <f t="shared" si="224"/>
        <v>0</v>
      </c>
      <c r="S1550" s="9">
        <f t="array" ref="S1550">+SUM(IFERROR(VALUE(Q1550:R1550),0))</f>
        <v>0</v>
      </c>
    </row>
    <row r="1551" spans="1:19">
      <c r="A1551" s="26"/>
      <c r="B1551" s="27"/>
      <c r="C1551" s="27"/>
      <c r="D1551" s="28"/>
      <c r="F1551" s="9" t="str">
        <f t="shared" si="216"/>
        <v/>
      </c>
      <c r="G1551" s="9">
        <f t="shared" si="217"/>
        <v>0</v>
      </c>
      <c r="H1551" s="9">
        <f t="shared" si="218"/>
        <v>0</v>
      </c>
      <c r="I1551" s="9">
        <f t="array" ref="I1551">+SUM(IFERROR(VALUE(G1551:H1551),0))</f>
        <v>0</v>
      </c>
      <c r="K1551" s="9" t="str">
        <f t="shared" si="219"/>
        <v/>
      </c>
      <c r="L1551" s="9">
        <f t="shared" si="220"/>
        <v>0</v>
      </c>
      <c r="M1551" s="9">
        <f t="shared" si="221"/>
        <v>0</v>
      </c>
      <c r="N1551" s="9">
        <f t="array" ref="N1551">+SUM(IFERROR(VALUE(L1551:M1551),0))</f>
        <v>0</v>
      </c>
      <c r="P1551" s="9" t="str">
        <f t="shared" si="222"/>
        <v/>
      </c>
      <c r="Q1551" s="9">
        <f t="shared" si="223"/>
        <v>0</v>
      </c>
      <c r="R1551" s="9">
        <f t="shared" si="224"/>
        <v>0</v>
      </c>
      <c r="S1551" s="9">
        <f t="array" ref="S1551">+SUM(IFERROR(VALUE(Q1551:R1551),0))</f>
        <v>0</v>
      </c>
    </row>
    <row r="1552" spans="1:19">
      <c r="A1552" s="26"/>
      <c r="B1552" s="27"/>
      <c r="C1552" s="27"/>
      <c r="D1552" s="28"/>
      <c r="F1552" s="9" t="str">
        <f t="shared" si="216"/>
        <v/>
      </c>
      <c r="G1552" s="9">
        <f t="shared" si="217"/>
        <v>0</v>
      </c>
      <c r="H1552" s="9">
        <f t="shared" si="218"/>
        <v>0</v>
      </c>
      <c r="I1552" s="9">
        <f t="array" ref="I1552">+SUM(IFERROR(VALUE(G1552:H1552),0))</f>
        <v>0</v>
      </c>
      <c r="K1552" s="9" t="str">
        <f t="shared" si="219"/>
        <v/>
      </c>
      <c r="L1552" s="9">
        <f t="shared" si="220"/>
        <v>0</v>
      </c>
      <c r="M1552" s="9">
        <f t="shared" si="221"/>
        <v>0</v>
      </c>
      <c r="N1552" s="9">
        <f t="array" ref="N1552">+SUM(IFERROR(VALUE(L1552:M1552),0))</f>
        <v>0</v>
      </c>
      <c r="P1552" s="9" t="str">
        <f t="shared" si="222"/>
        <v/>
      </c>
      <c r="Q1552" s="9">
        <f t="shared" si="223"/>
        <v>0</v>
      </c>
      <c r="R1552" s="9">
        <f t="shared" si="224"/>
        <v>0</v>
      </c>
      <c r="S1552" s="9">
        <f t="array" ref="S1552">+SUM(IFERROR(VALUE(Q1552:R1552),0))</f>
        <v>0</v>
      </c>
    </row>
    <row r="1553" spans="1:19">
      <c r="A1553" s="26"/>
      <c r="B1553" s="27"/>
      <c r="C1553" s="27"/>
      <c r="D1553" s="28"/>
      <c r="F1553" s="9" t="str">
        <f t="shared" si="216"/>
        <v/>
      </c>
      <c r="G1553" s="9">
        <f t="shared" si="217"/>
        <v>0</v>
      </c>
      <c r="H1553" s="9">
        <f t="shared" si="218"/>
        <v>0</v>
      </c>
      <c r="I1553" s="9">
        <f t="array" ref="I1553">+SUM(IFERROR(VALUE(G1553:H1553),0))</f>
        <v>0</v>
      </c>
      <c r="K1553" s="9" t="str">
        <f t="shared" si="219"/>
        <v/>
      </c>
      <c r="L1553" s="9">
        <f t="shared" si="220"/>
        <v>0</v>
      </c>
      <c r="M1553" s="9">
        <f t="shared" si="221"/>
        <v>0</v>
      </c>
      <c r="N1553" s="9">
        <f t="array" ref="N1553">+SUM(IFERROR(VALUE(L1553:M1553),0))</f>
        <v>0</v>
      </c>
      <c r="P1553" s="9" t="str">
        <f t="shared" si="222"/>
        <v/>
      </c>
      <c r="Q1553" s="9">
        <f t="shared" si="223"/>
        <v>0</v>
      </c>
      <c r="R1553" s="9">
        <f t="shared" si="224"/>
        <v>0</v>
      </c>
      <c r="S1553" s="9">
        <f t="array" ref="S1553">+SUM(IFERROR(VALUE(Q1553:R1553),0))</f>
        <v>0</v>
      </c>
    </row>
    <row r="1554" spans="1:19">
      <c r="A1554" s="26"/>
      <c r="B1554" s="27"/>
      <c r="C1554" s="27"/>
      <c r="D1554" s="28"/>
      <c r="F1554" s="9" t="str">
        <f t="shared" si="216"/>
        <v/>
      </c>
      <c r="G1554" s="9">
        <f t="shared" si="217"/>
        <v>0</v>
      </c>
      <c r="H1554" s="9">
        <f t="shared" si="218"/>
        <v>0</v>
      </c>
      <c r="I1554" s="9">
        <f t="array" ref="I1554">+SUM(IFERROR(VALUE(G1554:H1554),0))</f>
        <v>0</v>
      </c>
      <c r="K1554" s="9" t="str">
        <f t="shared" si="219"/>
        <v/>
      </c>
      <c r="L1554" s="9">
        <f t="shared" si="220"/>
        <v>0</v>
      </c>
      <c r="M1554" s="9">
        <f t="shared" si="221"/>
        <v>0</v>
      </c>
      <c r="N1554" s="9">
        <f t="array" ref="N1554">+SUM(IFERROR(VALUE(L1554:M1554),0))</f>
        <v>0</v>
      </c>
      <c r="P1554" s="9" t="str">
        <f t="shared" si="222"/>
        <v/>
      </c>
      <c r="Q1554" s="9">
        <f t="shared" si="223"/>
        <v>0</v>
      </c>
      <c r="R1554" s="9">
        <f t="shared" si="224"/>
        <v>0</v>
      </c>
      <c r="S1554" s="9">
        <f t="array" ref="S1554">+SUM(IFERROR(VALUE(Q1554:R1554),0))</f>
        <v>0</v>
      </c>
    </row>
    <row r="1555" spans="1:19">
      <c r="A1555" s="26"/>
      <c r="B1555" s="27"/>
      <c r="C1555" s="27"/>
      <c r="D1555" s="28"/>
      <c r="F1555" s="9" t="str">
        <f t="shared" si="216"/>
        <v/>
      </c>
      <c r="G1555" s="9">
        <f t="shared" si="217"/>
        <v>0</v>
      </c>
      <c r="H1555" s="9">
        <f t="shared" si="218"/>
        <v>0</v>
      </c>
      <c r="I1555" s="9">
        <f t="array" ref="I1555">+SUM(IFERROR(VALUE(G1555:H1555),0))</f>
        <v>0</v>
      </c>
      <c r="K1555" s="9" t="str">
        <f t="shared" si="219"/>
        <v/>
      </c>
      <c r="L1555" s="9">
        <f t="shared" si="220"/>
        <v>0</v>
      </c>
      <c r="M1555" s="9">
        <f t="shared" si="221"/>
        <v>0</v>
      </c>
      <c r="N1555" s="9">
        <f t="array" ref="N1555">+SUM(IFERROR(VALUE(L1555:M1555),0))</f>
        <v>0</v>
      </c>
      <c r="P1555" s="9" t="str">
        <f t="shared" si="222"/>
        <v/>
      </c>
      <c r="Q1555" s="9">
        <f t="shared" si="223"/>
        <v>0</v>
      </c>
      <c r="R1555" s="9">
        <f t="shared" si="224"/>
        <v>0</v>
      </c>
      <c r="S1555" s="9">
        <f t="array" ref="S1555">+SUM(IFERROR(VALUE(Q1555:R1555),0))</f>
        <v>0</v>
      </c>
    </row>
    <row r="1556" spans="1:19">
      <c r="A1556" s="26"/>
      <c r="B1556" s="27"/>
      <c r="C1556" s="27"/>
      <c r="D1556" s="28"/>
      <c r="F1556" s="9" t="str">
        <f t="shared" si="216"/>
        <v/>
      </c>
      <c r="G1556" s="9">
        <f t="shared" si="217"/>
        <v>0</v>
      </c>
      <c r="H1556" s="9">
        <f t="shared" si="218"/>
        <v>0</v>
      </c>
      <c r="I1556" s="9">
        <f t="array" ref="I1556">+SUM(IFERROR(VALUE(G1556:H1556),0))</f>
        <v>0</v>
      </c>
      <c r="K1556" s="9" t="str">
        <f t="shared" si="219"/>
        <v/>
      </c>
      <c r="L1556" s="9">
        <f t="shared" si="220"/>
        <v>0</v>
      </c>
      <c r="M1556" s="9">
        <f t="shared" si="221"/>
        <v>0</v>
      </c>
      <c r="N1556" s="9">
        <f t="array" ref="N1556">+SUM(IFERROR(VALUE(L1556:M1556),0))</f>
        <v>0</v>
      </c>
      <c r="P1556" s="9" t="str">
        <f t="shared" si="222"/>
        <v/>
      </c>
      <c r="Q1556" s="9">
        <f t="shared" si="223"/>
        <v>0</v>
      </c>
      <c r="R1556" s="9">
        <f t="shared" si="224"/>
        <v>0</v>
      </c>
      <c r="S1556" s="9">
        <f t="array" ref="S1556">+SUM(IFERROR(VALUE(Q1556:R1556),0))</f>
        <v>0</v>
      </c>
    </row>
    <row r="1557" spans="1:19">
      <c r="A1557" s="26"/>
      <c r="B1557" s="27"/>
      <c r="C1557" s="27"/>
      <c r="D1557" s="28"/>
      <c r="F1557" s="9" t="str">
        <f t="shared" si="216"/>
        <v/>
      </c>
      <c r="G1557" s="9">
        <f t="shared" si="217"/>
        <v>0</v>
      </c>
      <c r="H1557" s="9">
        <f t="shared" si="218"/>
        <v>0</v>
      </c>
      <c r="I1557" s="9">
        <f t="array" ref="I1557">+SUM(IFERROR(VALUE(G1557:H1557),0))</f>
        <v>0</v>
      </c>
      <c r="K1557" s="9" t="str">
        <f t="shared" si="219"/>
        <v/>
      </c>
      <c r="L1557" s="9">
        <f t="shared" si="220"/>
        <v>0</v>
      </c>
      <c r="M1557" s="9">
        <f t="shared" si="221"/>
        <v>0</v>
      </c>
      <c r="N1557" s="9">
        <f t="array" ref="N1557">+SUM(IFERROR(VALUE(L1557:M1557),0))</f>
        <v>0</v>
      </c>
      <c r="P1557" s="9" t="str">
        <f t="shared" si="222"/>
        <v/>
      </c>
      <c r="Q1557" s="9">
        <f t="shared" si="223"/>
        <v>0</v>
      </c>
      <c r="R1557" s="9">
        <f t="shared" si="224"/>
        <v>0</v>
      </c>
      <c r="S1557" s="9">
        <f t="array" ref="S1557">+SUM(IFERROR(VALUE(Q1557:R1557),0))</f>
        <v>0</v>
      </c>
    </row>
    <row r="1558" spans="1:19">
      <c r="A1558" s="26"/>
      <c r="B1558" s="27"/>
      <c r="C1558" s="27"/>
      <c r="D1558" s="28"/>
      <c r="F1558" s="9" t="str">
        <f t="shared" si="216"/>
        <v/>
      </c>
      <c r="G1558" s="9">
        <f t="shared" si="217"/>
        <v>0</v>
      </c>
      <c r="H1558" s="9">
        <f t="shared" si="218"/>
        <v>0</v>
      </c>
      <c r="I1558" s="9">
        <f t="array" ref="I1558">+SUM(IFERROR(VALUE(G1558:H1558),0))</f>
        <v>0</v>
      </c>
      <c r="K1558" s="9" t="str">
        <f t="shared" si="219"/>
        <v/>
      </c>
      <c r="L1558" s="9">
        <f t="shared" si="220"/>
        <v>0</v>
      </c>
      <c r="M1558" s="9">
        <f t="shared" si="221"/>
        <v>0</v>
      </c>
      <c r="N1558" s="9">
        <f t="array" ref="N1558">+SUM(IFERROR(VALUE(L1558:M1558),0))</f>
        <v>0</v>
      </c>
      <c r="P1558" s="9" t="str">
        <f t="shared" si="222"/>
        <v/>
      </c>
      <c r="Q1558" s="9">
        <f t="shared" si="223"/>
        <v>0</v>
      </c>
      <c r="R1558" s="9">
        <f t="shared" si="224"/>
        <v>0</v>
      </c>
      <c r="S1558" s="9">
        <f t="array" ref="S1558">+SUM(IFERROR(VALUE(Q1558:R1558),0))</f>
        <v>0</v>
      </c>
    </row>
    <row r="1559" spans="1:19">
      <c r="A1559" s="26"/>
      <c r="B1559" s="27"/>
      <c r="C1559" s="27"/>
      <c r="D1559" s="28"/>
      <c r="F1559" s="9" t="str">
        <f t="shared" si="216"/>
        <v/>
      </c>
      <c r="G1559" s="9">
        <f t="shared" si="217"/>
        <v>0</v>
      </c>
      <c r="H1559" s="9">
        <f t="shared" si="218"/>
        <v>0</v>
      </c>
      <c r="I1559" s="9">
        <f t="array" ref="I1559">+SUM(IFERROR(VALUE(G1559:H1559),0))</f>
        <v>0</v>
      </c>
      <c r="K1559" s="9" t="str">
        <f t="shared" si="219"/>
        <v/>
      </c>
      <c r="L1559" s="9">
        <f t="shared" si="220"/>
        <v>0</v>
      </c>
      <c r="M1559" s="9">
        <f t="shared" si="221"/>
        <v>0</v>
      </c>
      <c r="N1559" s="9">
        <f t="array" ref="N1559">+SUM(IFERROR(VALUE(L1559:M1559),0))</f>
        <v>0</v>
      </c>
      <c r="P1559" s="9" t="str">
        <f t="shared" si="222"/>
        <v/>
      </c>
      <c r="Q1559" s="9">
        <f t="shared" si="223"/>
        <v>0</v>
      </c>
      <c r="R1559" s="9">
        <f t="shared" si="224"/>
        <v>0</v>
      </c>
      <c r="S1559" s="9">
        <f t="array" ref="S1559">+SUM(IFERROR(VALUE(Q1559:R1559),0))</f>
        <v>0</v>
      </c>
    </row>
    <row r="1560" spans="1:19">
      <c r="A1560" s="26"/>
      <c r="B1560" s="27"/>
      <c r="C1560" s="27"/>
      <c r="D1560" s="28"/>
      <c r="F1560" s="9" t="str">
        <f t="shared" si="216"/>
        <v/>
      </c>
      <c r="G1560" s="9">
        <f t="shared" si="217"/>
        <v>0</v>
      </c>
      <c r="H1560" s="9">
        <f t="shared" si="218"/>
        <v>0</v>
      </c>
      <c r="I1560" s="9">
        <f t="array" ref="I1560">+SUM(IFERROR(VALUE(G1560:H1560),0))</f>
        <v>0</v>
      </c>
      <c r="K1560" s="9" t="str">
        <f t="shared" si="219"/>
        <v/>
      </c>
      <c r="L1560" s="9">
        <f t="shared" si="220"/>
        <v>0</v>
      </c>
      <c r="M1560" s="9">
        <f t="shared" si="221"/>
        <v>0</v>
      </c>
      <c r="N1560" s="9">
        <f t="array" ref="N1560">+SUM(IFERROR(VALUE(L1560:M1560),0))</f>
        <v>0</v>
      </c>
      <c r="P1560" s="9" t="str">
        <f t="shared" si="222"/>
        <v/>
      </c>
      <c r="Q1560" s="9">
        <f t="shared" si="223"/>
        <v>0</v>
      </c>
      <c r="R1560" s="9">
        <f t="shared" si="224"/>
        <v>0</v>
      </c>
      <c r="S1560" s="9">
        <f t="array" ref="S1560">+SUM(IFERROR(VALUE(Q1560:R1560),0))</f>
        <v>0</v>
      </c>
    </row>
    <row r="1561" spans="1:19">
      <c r="A1561" s="26"/>
      <c r="B1561" s="27"/>
      <c r="C1561" s="27"/>
      <c r="D1561" s="28"/>
      <c r="F1561" s="9" t="str">
        <f t="shared" si="216"/>
        <v/>
      </c>
      <c r="G1561" s="9">
        <f t="shared" si="217"/>
        <v>0</v>
      </c>
      <c r="H1561" s="9">
        <f t="shared" si="218"/>
        <v>0</v>
      </c>
      <c r="I1561" s="9">
        <f t="array" ref="I1561">+SUM(IFERROR(VALUE(G1561:H1561),0))</f>
        <v>0</v>
      </c>
      <c r="K1561" s="9" t="str">
        <f t="shared" si="219"/>
        <v/>
      </c>
      <c r="L1561" s="9">
        <f t="shared" si="220"/>
        <v>0</v>
      </c>
      <c r="M1561" s="9">
        <f t="shared" si="221"/>
        <v>0</v>
      </c>
      <c r="N1561" s="9">
        <f t="array" ref="N1561">+SUM(IFERROR(VALUE(L1561:M1561),0))</f>
        <v>0</v>
      </c>
      <c r="P1561" s="9" t="str">
        <f t="shared" si="222"/>
        <v/>
      </c>
      <c r="Q1561" s="9">
        <f t="shared" si="223"/>
        <v>0</v>
      </c>
      <c r="R1561" s="9">
        <f t="shared" si="224"/>
        <v>0</v>
      </c>
      <c r="S1561" s="9">
        <f t="array" ref="S1561">+SUM(IFERROR(VALUE(Q1561:R1561),0))</f>
        <v>0</v>
      </c>
    </row>
    <row r="1562" spans="1:19">
      <c r="A1562" s="26"/>
      <c r="B1562" s="27"/>
      <c r="C1562" s="27"/>
      <c r="D1562" s="28"/>
      <c r="F1562" s="9" t="str">
        <f t="shared" si="216"/>
        <v/>
      </c>
      <c r="G1562" s="9">
        <f t="shared" si="217"/>
        <v>0</v>
      </c>
      <c r="H1562" s="9">
        <f t="shared" si="218"/>
        <v>0</v>
      </c>
      <c r="I1562" s="9">
        <f t="array" ref="I1562">+SUM(IFERROR(VALUE(G1562:H1562),0))</f>
        <v>0</v>
      </c>
      <c r="K1562" s="9" t="str">
        <f t="shared" si="219"/>
        <v/>
      </c>
      <c r="L1562" s="9">
        <f t="shared" si="220"/>
        <v>0</v>
      </c>
      <c r="M1562" s="9">
        <f t="shared" si="221"/>
        <v>0</v>
      </c>
      <c r="N1562" s="9">
        <f t="array" ref="N1562">+SUM(IFERROR(VALUE(L1562:M1562),0))</f>
        <v>0</v>
      </c>
      <c r="P1562" s="9" t="str">
        <f t="shared" si="222"/>
        <v/>
      </c>
      <c r="Q1562" s="9">
        <f t="shared" si="223"/>
        <v>0</v>
      </c>
      <c r="R1562" s="9">
        <f t="shared" si="224"/>
        <v>0</v>
      </c>
      <c r="S1562" s="9">
        <f t="array" ref="S1562">+SUM(IFERROR(VALUE(Q1562:R1562),0))</f>
        <v>0</v>
      </c>
    </row>
    <row r="1563" spans="1:19">
      <c r="A1563" s="26"/>
      <c r="B1563" s="27"/>
      <c r="C1563" s="27"/>
      <c r="D1563" s="28"/>
      <c r="F1563" s="9" t="str">
        <f t="shared" si="216"/>
        <v/>
      </c>
      <c r="G1563" s="9">
        <f t="shared" si="217"/>
        <v>0</v>
      </c>
      <c r="H1563" s="9">
        <f t="shared" si="218"/>
        <v>0</v>
      </c>
      <c r="I1563" s="9">
        <f t="array" ref="I1563">+SUM(IFERROR(VALUE(G1563:H1563),0))</f>
        <v>0</v>
      </c>
      <c r="K1563" s="9" t="str">
        <f t="shared" si="219"/>
        <v/>
      </c>
      <c r="L1563" s="9">
        <f t="shared" si="220"/>
        <v>0</v>
      </c>
      <c r="M1563" s="9">
        <f t="shared" si="221"/>
        <v>0</v>
      </c>
      <c r="N1563" s="9">
        <f t="array" ref="N1563">+SUM(IFERROR(VALUE(L1563:M1563),0))</f>
        <v>0</v>
      </c>
      <c r="P1563" s="9" t="str">
        <f t="shared" si="222"/>
        <v/>
      </c>
      <c r="Q1563" s="9">
        <f t="shared" si="223"/>
        <v>0</v>
      </c>
      <c r="R1563" s="9">
        <f t="shared" si="224"/>
        <v>0</v>
      </c>
      <c r="S1563" s="9">
        <f t="array" ref="S1563">+SUM(IFERROR(VALUE(Q1563:R1563),0))</f>
        <v>0</v>
      </c>
    </row>
    <row r="1564" spans="1:19">
      <c r="A1564" s="26"/>
      <c r="B1564" s="27"/>
      <c r="C1564" s="27"/>
      <c r="D1564" s="28"/>
      <c r="F1564" s="9" t="str">
        <f t="shared" si="216"/>
        <v/>
      </c>
      <c r="G1564" s="9">
        <f t="shared" si="217"/>
        <v>0</v>
      </c>
      <c r="H1564" s="9">
        <f t="shared" si="218"/>
        <v>0</v>
      </c>
      <c r="I1564" s="9">
        <f t="array" ref="I1564">+SUM(IFERROR(VALUE(G1564:H1564),0))</f>
        <v>0</v>
      </c>
      <c r="K1564" s="9" t="str">
        <f t="shared" si="219"/>
        <v/>
      </c>
      <c r="L1564" s="9">
        <f t="shared" si="220"/>
        <v>0</v>
      </c>
      <c r="M1564" s="9">
        <f t="shared" si="221"/>
        <v>0</v>
      </c>
      <c r="N1564" s="9">
        <f t="array" ref="N1564">+SUM(IFERROR(VALUE(L1564:M1564),0))</f>
        <v>0</v>
      </c>
      <c r="P1564" s="9" t="str">
        <f t="shared" si="222"/>
        <v/>
      </c>
      <c r="Q1564" s="9">
        <f t="shared" si="223"/>
        <v>0</v>
      </c>
      <c r="R1564" s="9">
        <f t="shared" si="224"/>
        <v>0</v>
      </c>
      <c r="S1564" s="9">
        <f t="array" ref="S1564">+SUM(IFERROR(VALUE(Q1564:R1564),0))</f>
        <v>0</v>
      </c>
    </row>
    <row r="1565" spans="1:19">
      <c r="A1565" s="26"/>
      <c r="B1565" s="27"/>
      <c r="C1565" s="27"/>
      <c r="D1565" s="28"/>
      <c r="F1565" s="9" t="str">
        <f t="shared" si="216"/>
        <v/>
      </c>
      <c r="G1565" s="9">
        <f t="shared" si="217"/>
        <v>0</v>
      </c>
      <c r="H1565" s="9">
        <f t="shared" si="218"/>
        <v>0</v>
      </c>
      <c r="I1565" s="9">
        <f t="array" ref="I1565">+SUM(IFERROR(VALUE(G1565:H1565),0))</f>
        <v>0</v>
      </c>
      <c r="K1565" s="9" t="str">
        <f t="shared" si="219"/>
        <v/>
      </c>
      <c r="L1565" s="9">
        <f t="shared" si="220"/>
        <v>0</v>
      </c>
      <c r="M1565" s="9">
        <f t="shared" si="221"/>
        <v>0</v>
      </c>
      <c r="N1565" s="9">
        <f t="array" ref="N1565">+SUM(IFERROR(VALUE(L1565:M1565),0))</f>
        <v>0</v>
      </c>
      <c r="P1565" s="9" t="str">
        <f t="shared" si="222"/>
        <v/>
      </c>
      <c r="Q1565" s="9">
        <f t="shared" si="223"/>
        <v>0</v>
      </c>
      <c r="R1565" s="9">
        <f t="shared" si="224"/>
        <v>0</v>
      </c>
      <c r="S1565" s="9">
        <f t="array" ref="S1565">+SUM(IFERROR(VALUE(Q1565:R1565),0))</f>
        <v>0</v>
      </c>
    </row>
    <row r="1566" spans="1:19">
      <c r="A1566" s="26"/>
      <c r="B1566" s="27"/>
      <c r="C1566" s="27"/>
      <c r="D1566" s="28"/>
      <c r="F1566" s="9" t="str">
        <f t="shared" si="216"/>
        <v/>
      </c>
      <c r="G1566" s="9">
        <f t="shared" si="217"/>
        <v>0</v>
      </c>
      <c r="H1566" s="9">
        <f t="shared" si="218"/>
        <v>0</v>
      </c>
      <c r="I1566" s="9">
        <f t="array" ref="I1566">+SUM(IFERROR(VALUE(G1566:H1566),0))</f>
        <v>0</v>
      </c>
      <c r="K1566" s="9" t="str">
        <f t="shared" si="219"/>
        <v/>
      </c>
      <c r="L1566" s="9">
        <f t="shared" si="220"/>
        <v>0</v>
      </c>
      <c r="M1566" s="9">
        <f t="shared" si="221"/>
        <v>0</v>
      </c>
      <c r="N1566" s="9">
        <f t="array" ref="N1566">+SUM(IFERROR(VALUE(L1566:M1566),0))</f>
        <v>0</v>
      </c>
      <c r="P1566" s="9" t="str">
        <f t="shared" si="222"/>
        <v/>
      </c>
      <c r="Q1566" s="9">
        <f t="shared" si="223"/>
        <v>0</v>
      </c>
      <c r="R1566" s="9">
        <f t="shared" si="224"/>
        <v>0</v>
      </c>
      <c r="S1566" s="9">
        <f t="array" ref="S1566">+SUM(IFERROR(VALUE(Q1566:R1566),0))</f>
        <v>0</v>
      </c>
    </row>
    <row r="1567" spans="1:19">
      <c r="A1567" s="26"/>
      <c r="B1567" s="27"/>
      <c r="C1567" s="27"/>
      <c r="D1567" s="28"/>
      <c r="F1567" s="9" t="str">
        <f t="shared" si="216"/>
        <v/>
      </c>
      <c r="G1567" s="9">
        <f t="shared" si="217"/>
        <v>0</v>
      </c>
      <c r="H1567" s="9">
        <f t="shared" si="218"/>
        <v>0</v>
      </c>
      <c r="I1567" s="9">
        <f t="array" ref="I1567">+SUM(IFERROR(VALUE(G1567:H1567),0))</f>
        <v>0</v>
      </c>
      <c r="K1567" s="9" t="str">
        <f t="shared" si="219"/>
        <v/>
      </c>
      <c r="L1567" s="9">
        <f t="shared" si="220"/>
        <v>0</v>
      </c>
      <c r="M1567" s="9">
        <f t="shared" si="221"/>
        <v>0</v>
      </c>
      <c r="N1567" s="9">
        <f t="array" ref="N1567">+SUM(IFERROR(VALUE(L1567:M1567),0))</f>
        <v>0</v>
      </c>
      <c r="P1567" s="9" t="str">
        <f t="shared" si="222"/>
        <v/>
      </c>
      <c r="Q1567" s="9">
        <f t="shared" si="223"/>
        <v>0</v>
      </c>
      <c r="R1567" s="9">
        <f t="shared" si="224"/>
        <v>0</v>
      </c>
      <c r="S1567" s="9">
        <f t="array" ref="S1567">+SUM(IFERROR(VALUE(Q1567:R1567),0))</f>
        <v>0</v>
      </c>
    </row>
    <row r="1568" spans="1:19">
      <c r="A1568" s="26"/>
      <c r="B1568" s="27"/>
      <c r="C1568" s="27"/>
      <c r="D1568" s="28"/>
      <c r="F1568" s="9" t="str">
        <f t="shared" si="216"/>
        <v/>
      </c>
      <c r="G1568" s="9">
        <f t="shared" si="217"/>
        <v>0</v>
      </c>
      <c r="H1568" s="9">
        <f t="shared" si="218"/>
        <v>0</v>
      </c>
      <c r="I1568" s="9">
        <f t="array" ref="I1568">+SUM(IFERROR(VALUE(G1568:H1568),0))</f>
        <v>0</v>
      </c>
      <c r="K1568" s="9" t="str">
        <f t="shared" si="219"/>
        <v/>
      </c>
      <c r="L1568" s="9">
        <f t="shared" si="220"/>
        <v>0</v>
      </c>
      <c r="M1568" s="9">
        <f t="shared" si="221"/>
        <v>0</v>
      </c>
      <c r="N1568" s="9">
        <f t="array" ref="N1568">+SUM(IFERROR(VALUE(L1568:M1568),0))</f>
        <v>0</v>
      </c>
      <c r="P1568" s="9" t="str">
        <f t="shared" si="222"/>
        <v/>
      </c>
      <c r="Q1568" s="9">
        <f t="shared" si="223"/>
        <v>0</v>
      </c>
      <c r="R1568" s="9">
        <f t="shared" si="224"/>
        <v>0</v>
      </c>
      <c r="S1568" s="9">
        <f t="array" ref="S1568">+SUM(IFERROR(VALUE(Q1568:R1568),0))</f>
        <v>0</v>
      </c>
    </row>
    <row r="1569" spans="1:19">
      <c r="A1569" s="26"/>
      <c r="B1569" s="27"/>
      <c r="C1569" s="27"/>
      <c r="D1569" s="28"/>
      <c r="F1569" s="9" t="str">
        <f t="shared" si="216"/>
        <v/>
      </c>
      <c r="G1569" s="9">
        <f t="shared" si="217"/>
        <v>0</v>
      </c>
      <c r="H1569" s="9">
        <f t="shared" si="218"/>
        <v>0</v>
      </c>
      <c r="I1569" s="9">
        <f t="array" ref="I1569">+SUM(IFERROR(VALUE(G1569:H1569),0))</f>
        <v>0</v>
      </c>
      <c r="K1569" s="9" t="str">
        <f t="shared" si="219"/>
        <v/>
      </c>
      <c r="L1569" s="9">
        <f t="shared" si="220"/>
        <v>0</v>
      </c>
      <c r="M1569" s="9">
        <f t="shared" si="221"/>
        <v>0</v>
      </c>
      <c r="N1569" s="9">
        <f t="array" ref="N1569">+SUM(IFERROR(VALUE(L1569:M1569),0))</f>
        <v>0</v>
      </c>
      <c r="P1569" s="9" t="str">
        <f t="shared" si="222"/>
        <v/>
      </c>
      <c r="Q1569" s="9">
        <f t="shared" si="223"/>
        <v>0</v>
      </c>
      <c r="R1569" s="9">
        <f t="shared" si="224"/>
        <v>0</v>
      </c>
      <c r="S1569" s="9">
        <f t="array" ref="S1569">+SUM(IFERROR(VALUE(Q1569:R1569),0))</f>
        <v>0</v>
      </c>
    </row>
    <row r="1570" spans="1:19">
      <c r="A1570" s="26"/>
      <c r="B1570" s="27"/>
      <c r="C1570" s="27"/>
      <c r="D1570" s="28"/>
      <c r="F1570" s="9" t="str">
        <f t="shared" si="216"/>
        <v/>
      </c>
      <c r="G1570" s="9">
        <f t="shared" si="217"/>
        <v>0</v>
      </c>
      <c r="H1570" s="9">
        <f t="shared" si="218"/>
        <v>0</v>
      </c>
      <c r="I1570" s="9">
        <f t="array" ref="I1570">+SUM(IFERROR(VALUE(G1570:H1570),0))</f>
        <v>0</v>
      </c>
      <c r="K1570" s="9" t="str">
        <f t="shared" si="219"/>
        <v/>
      </c>
      <c r="L1570" s="9">
        <f t="shared" si="220"/>
        <v>0</v>
      </c>
      <c r="M1570" s="9">
        <f t="shared" si="221"/>
        <v>0</v>
      </c>
      <c r="N1570" s="9">
        <f t="array" ref="N1570">+SUM(IFERROR(VALUE(L1570:M1570),0))</f>
        <v>0</v>
      </c>
      <c r="P1570" s="9" t="str">
        <f t="shared" si="222"/>
        <v/>
      </c>
      <c r="Q1570" s="9">
        <f t="shared" si="223"/>
        <v>0</v>
      </c>
      <c r="R1570" s="9">
        <f t="shared" si="224"/>
        <v>0</v>
      </c>
      <c r="S1570" s="9">
        <f t="array" ref="S1570">+SUM(IFERROR(VALUE(Q1570:R1570),0))</f>
        <v>0</v>
      </c>
    </row>
    <row r="1571" spans="1:19">
      <c r="A1571" s="26"/>
      <c r="B1571" s="27"/>
      <c r="C1571" s="27"/>
      <c r="D1571" s="28"/>
      <c r="F1571" s="9" t="str">
        <f t="shared" si="216"/>
        <v/>
      </c>
      <c r="G1571" s="9">
        <f t="shared" si="217"/>
        <v>0</v>
      </c>
      <c r="H1571" s="9">
        <f t="shared" si="218"/>
        <v>0</v>
      </c>
      <c r="I1571" s="9">
        <f t="array" ref="I1571">+SUM(IFERROR(VALUE(G1571:H1571),0))</f>
        <v>0</v>
      </c>
      <c r="K1571" s="9" t="str">
        <f t="shared" si="219"/>
        <v/>
      </c>
      <c r="L1571" s="9">
        <f t="shared" si="220"/>
        <v>0</v>
      </c>
      <c r="M1571" s="9">
        <f t="shared" si="221"/>
        <v>0</v>
      </c>
      <c r="N1571" s="9">
        <f t="array" ref="N1571">+SUM(IFERROR(VALUE(L1571:M1571),0))</f>
        <v>0</v>
      </c>
      <c r="P1571" s="9" t="str">
        <f t="shared" si="222"/>
        <v/>
      </c>
      <c r="Q1571" s="9">
        <f t="shared" si="223"/>
        <v>0</v>
      </c>
      <c r="R1571" s="9">
        <f t="shared" si="224"/>
        <v>0</v>
      </c>
      <c r="S1571" s="9">
        <f t="array" ref="S1571">+SUM(IFERROR(VALUE(Q1571:R1571),0))</f>
        <v>0</v>
      </c>
    </row>
    <row r="1572" spans="1:19">
      <c r="A1572" s="26"/>
      <c r="B1572" s="27"/>
      <c r="C1572" s="27"/>
      <c r="D1572" s="28"/>
      <c r="F1572" s="9" t="str">
        <f t="shared" si="216"/>
        <v/>
      </c>
      <c r="G1572" s="9">
        <f t="shared" si="217"/>
        <v>0</v>
      </c>
      <c r="H1572" s="9">
        <f t="shared" si="218"/>
        <v>0</v>
      </c>
      <c r="I1572" s="9">
        <f t="array" ref="I1572">+SUM(IFERROR(VALUE(G1572:H1572),0))</f>
        <v>0</v>
      </c>
      <c r="K1572" s="9" t="str">
        <f t="shared" si="219"/>
        <v/>
      </c>
      <c r="L1572" s="9">
        <f t="shared" si="220"/>
        <v>0</v>
      </c>
      <c r="M1572" s="9">
        <f t="shared" si="221"/>
        <v>0</v>
      </c>
      <c r="N1572" s="9">
        <f t="array" ref="N1572">+SUM(IFERROR(VALUE(L1572:M1572),0))</f>
        <v>0</v>
      </c>
      <c r="P1572" s="9" t="str">
        <f t="shared" si="222"/>
        <v/>
      </c>
      <c r="Q1572" s="9">
        <f t="shared" si="223"/>
        <v>0</v>
      </c>
      <c r="R1572" s="9">
        <f t="shared" si="224"/>
        <v>0</v>
      </c>
      <c r="S1572" s="9">
        <f t="array" ref="S1572">+SUM(IFERROR(VALUE(Q1572:R1572),0))</f>
        <v>0</v>
      </c>
    </row>
    <row r="1573" spans="1:19">
      <c r="A1573" s="26"/>
      <c r="B1573" s="27"/>
      <c r="C1573" s="27"/>
      <c r="D1573" s="28"/>
      <c r="F1573" s="9" t="str">
        <f t="shared" si="216"/>
        <v/>
      </c>
      <c r="G1573" s="9">
        <f t="shared" si="217"/>
        <v>0</v>
      </c>
      <c r="H1573" s="9">
        <f t="shared" si="218"/>
        <v>0</v>
      </c>
      <c r="I1573" s="9">
        <f t="array" ref="I1573">+SUM(IFERROR(VALUE(G1573:H1573),0))</f>
        <v>0</v>
      </c>
      <c r="K1573" s="9" t="str">
        <f t="shared" si="219"/>
        <v/>
      </c>
      <c r="L1573" s="9">
        <f t="shared" si="220"/>
        <v>0</v>
      </c>
      <c r="M1573" s="9">
        <f t="shared" si="221"/>
        <v>0</v>
      </c>
      <c r="N1573" s="9">
        <f t="array" ref="N1573">+SUM(IFERROR(VALUE(L1573:M1573),0))</f>
        <v>0</v>
      </c>
      <c r="P1573" s="9" t="str">
        <f t="shared" si="222"/>
        <v/>
      </c>
      <c r="Q1573" s="9">
        <f t="shared" si="223"/>
        <v>0</v>
      </c>
      <c r="R1573" s="9">
        <f t="shared" si="224"/>
        <v>0</v>
      </c>
      <c r="S1573" s="9">
        <f t="array" ref="S1573">+SUM(IFERROR(VALUE(Q1573:R1573),0))</f>
        <v>0</v>
      </c>
    </row>
    <row r="1574" spans="1:19">
      <c r="A1574" s="26"/>
      <c r="B1574" s="27"/>
      <c r="C1574" s="27"/>
      <c r="D1574" s="28"/>
      <c r="F1574" s="9" t="str">
        <f t="shared" si="216"/>
        <v/>
      </c>
      <c r="G1574" s="9">
        <f t="shared" si="217"/>
        <v>0</v>
      </c>
      <c r="H1574" s="9">
        <f t="shared" si="218"/>
        <v>0</v>
      </c>
      <c r="I1574" s="9">
        <f t="array" ref="I1574">+SUM(IFERROR(VALUE(G1574:H1574),0))</f>
        <v>0</v>
      </c>
      <c r="K1574" s="9" t="str">
        <f t="shared" si="219"/>
        <v/>
      </c>
      <c r="L1574" s="9">
        <f t="shared" si="220"/>
        <v>0</v>
      </c>
      <c r="M1574" s="9">
        <f t="shared" si="221"/>
        <v>0</v>
      </c>
      <c r="N1574" s="9">
        <f t="array" ref="N1574">+SUM(IFERROR(VALUE(L1574:M1574),0))</f>
        <v>0</v>
      </c>
      <c r="P1574" s="9" t="str">
        <f t="shared" si="222"/>
        <v/>
      </c>
      <c r="Q1574" s="9">
        <f t="shared" si="223"/>
        <v>0</v>
      </c>
      <c r="R1574" s="9">
        <f t="shared" si="224"/>
        <v>0</v>
      </c>
      <c r="S1574" s="9">
        <f t="array" ref="S1574">+SUM(IFERROR(VALUE(Q1574:R1574),0))</f>
        <v>0</v>
      </c>
    </row>
    <row r="1575" spans="1:19">
      <c r="A1575" s="26"/>
      <c r="B1575" s="27"/>
      <c r="C1575" s="27"/>
      <c r="D1575" s="28"/>
      <c r="F1575" s="9" t="str">
        <f t="shared" si="216"/>
        <v/>
      </c>
      <c r="G1575" s="9">
        <f t="shared" si="217"/>
        <v>0</v>
      </c>
      <c r="H1575" s="9">
        <f t="shared" si="218"/>
        <v>0</v>
      </c>
      <c r="I1575" s="9">
        <f t="array" ref="I1575">+SUM(IFERROR(VALUE(G1575:H1575),0))</f>
        <v>0</v>
      </c>
      <c r="K1575" s="9" t="str">
        <f t="shared" si="219"/>
        <v/>
      </c>
      <c r="L1575" s="9">
        <f t="shared" si="220"/>
        <v>0</v>
      </c>
      <c r="M1575" s="9">
        <f t="shared" si="221"/>
        <v>0</v>
      </c>
      <c r="N1575" s="9">
        <f t="array" ref="N1575">+SUM(IFERROR(VALUE(L1575:M1575),0))</f>
        <v>0</v>
      </c>
      <c r="P1575" s="9" t="str">
        <f t="shared" si="222"/>
        <v/>
      </c>
      <c r="Q1575" s="9">
        <f t="shared" si="223"/>
        <v>0</v>
      </c>
      <c r="R1575" s="9">
        <f t="shared" si="224"/>
        <v>0</v>
      </c>
      <c r="S1575" s="9">
        <f t="array" ref="S1575">+SUM(IFERROR(VALUE(Q1575:R1575),0))</f>
        <v>0</v>
      </c>
    </row>
    <row r="1576" spans="1:19">
      <c r="A1576" s="26"/>
      <c r="B1576" s="27"/>
      <c r="C1576" s="27"/>
      <c r="D1576" s="28"/>
      <c r="F1576" s="9" t="str">
        <f t="shared" si="216"/>
        <v/>
      </c>
      <c r="G1576" s="9">
        <f t="shared" si="217"/>
        <v>0</v>
      </c>
      <c r="H1576" s="9">
        <f t="shared" si="218"/>
        <v>0</v>
      </c>
      <c r="I1576" s="9">
        <f t="array" ref="I1576">+SUM(IFERROR(VALUE(G1576:H1576),0))</f>
        <v>0</v>
      </c>
      <c r="K1576" s="9" t="str">
        <f t="shared" si="219"/>
        <v/>
      </c>
      <c r="L1576" s="9">
        <f t="shared" si="220"/>
        <v>0</v>
      </c>
      <c r="M1576" s="9">
        <f t="shared" si="221"/>
        <v>0</v>
      </c>
      <c r="N1576" s="9">
        <f t="array" ref="N1576">+SUM(IFERROR(VALUE(L1576:M1576),0))</f>
        <v>0</v>
      </c>
      <c r="P1576" s="9" t="str">
        <f t="shared" si="222"/>
        <v/>
      </c>
      <c r="Q1576" s="9">
        <f t="shared" si="223"/>
        <v>0</v>
      </c>
      <c r="R1576" s="9">
        <f t="shared" si="224"/>
        <v>0</v>
      </c>
      <c r="S1576" s="9">
        <f t="array" ref="S1576">+SUM(IFERROR(VALUE(Q1576:R1576),0))</f>
        <v>0</v>
      </c>
    </row>
    <row r="1577" spans="1:19">
      <c r="A1577" s="26"/>
      <c r="B1577" s="27"/>
      <c r="C1577" s="27"/>
      <c r="D1577" s="28"/>
      <c r="F1577" s="9" t="str">
        <f t="shared" si="216"/>
        <v/>
      </c>
      <c r="G1577" s="9">
        <f t="shared" si="217"/>
        <v>0</v>
      </c>
      <c r="H1577" s="9">
        <f t="shared" si="218"/>
        <v>0</v>
      </c>
      <c r="I1577" s="9">
        <f t="array" ref="I1577">+SUM(IFERROR(VALUE(G1577:H1577),0))</f>
        <v>0</v>
      </c>
      <c r="K1577" s="9" t="str">
        <f t="shared" si="219"/>
        <v/>
      </c>
      <c r="L1577" s="9">
        <f t="shared" si="220"/>
        <v>0</v>
      </c>
      <c r="M1577" s="9">
        <f t="shared" si="221"/>
        <v>0</v>
      </c>
      <c r="N1577" s="9">
        <f t="array" ref="N1577">+SUM(IFERROR(VALUE(L1577:M1577),0))</f>
        <v>0</v>
      </c>
      <c r="P1577" s="9" t="str">
        <f t="shared" si="222"/>
        <v/>
      </c>
      <c r="Q1577" s="9">
        <f t="shared" si="223"/>
        <v>0</v>
      </c>
      <c r="R1577" s="9">
        <f t="shared" si="224"/>
        <v>0</v>
      </c>
      <c r="S1577" s="9">
        <f t="array" ref="S1577">+SUM(IFERROR(VALUE(Q1577:R1577),0))</f>
        <v>0</v>
      </c>
    </row>
    <row r="1578" spans="1:19">
      <c r="A1578" s="26"/>
      <c r="B1578" s="27"/>
      <c r="C1578" s="27"/>
      <c r="D1578" s="28"/>
      <c r="F1578" s="9" t="str">
        <f t="shared" si="216"/>
        <v/>
      </c>
      <c r="G1578" s="9">
        <f t="shared" si="217"/>
        <v>0</v>
      </c>
      <c r="H1578" s="9">
        <f t="shared" si="218"/>
        <v>0</v>
      </c>
      <c r="I1578" s="9">
        <f t="array" ref="I1578">+SUM(IFERROR(VALUE(G1578:H1578),0))</f>
        <v>0</v>
      </c>
      <c r="K1578" s="9" t="str">
        <f t="shared" si="219"/>
        <v/>
      </c>
      <c r="L1578" s="9">
        <f t="shared" si="220"/>
        <v>0</v>
      </c>
      <c r="M1578" s="9">
        <f t="shared" si="221"/>
        <v>0</v>
      </c>
      <c r="N1578" s="9">
        <f t="array" ref="N1578">+SUM(IFERROR(VALUE(L1578:M1578),0))</f>
        <v>0</v>
      </c>
      <c r="P1578" s="9" t="str">
        <f t="shared" si="222"/>
        <v/>
      </c>
      <c r="Q1578" s="9">
        <f t="shared" si="223"/>
        <v>0</v>
      </c>
      <c r="R1578" s="9">
        <f t="shared" si="224"/>
        <v>0</v>
      </c>
      <c r="S1578" s="9">
        <f t="array" ref="S1578">+SUM(IFERROR(VALUE(Q1578:R1578),0))</f>
        <v>0</v>
      </c>
    </row>
    <row r="1579" spans="1:19">
      <c r="A1579" s="26"/>
      <c r="B1579" s="27"/>
      <c r="C1579" s="27"/>
      <c r="D1579" s="28"/>
      <c r="F1579" s="9" t="str">
        <f t="shared" si="216"/>
        <v/>
      </c>
      <c r="G1579" s="9">
        <f t="shared" si="217"/>
        <v>0</v>
      </c>
      <c r="H1579" s="9">
        <f t="shared" si="218"/>
        <v>0</v>
      </c>
      <c r="I1579" s="9">
        <f t="array" ref="I1579">+SUM(IFERROR(VALUE(G1579:H1579),0))</f>
        <v>0</v>
      </c>
      <c r="K1579" s="9" t="str">
        <f t="shared" si="219"/>
        <v/>
      </c>
      <c r="L1579" s="9">
        <f t="shared" si="220"/>
        <v>0</v>
      </c>
      <c r="M1579" s="9">
        <f t="shared" si="221"/>
        <v>0</v>
      </c>
      <c r="N1579" s="9">
        <f t="array" ref="N1579">+SUM(IFERROR(VALUE(L1579:M1579),0))</f>
        <v>0</v>
      </c>
      <c r="P1579" s="9" t="str">
        <f t="shared" si="222"/>
        <v/>
      </c>
      <c r="Q1579" s="9">
        <f t="shared" si="223"/>
        <v>0</v>
      </c>
      <c r="R1579" s="9">
        <f t="shared" si="224"/>
        <v>0</v>
      </c>
      <c r="S1579" s="9">
        <f t="array" ref="S1579">+SUM(IFERROR(VALUE(Q1579:R1579),0))</f>
        <v>0</v>
      </c>
    </row>
    <row r="1580" spans="1:19">
      <c r="A1580" s="26"/>
      <c r="B1580" s="27"/>
      <c r="C1580" s="27"/>
      <c r="D1580" s="28"/>
      <c r="F1580" s="9" t="str">
        <f t="shared" si="216"/>
        <v/>
      </c>
      <c r="G1580" s="9">
        <f t="shared" si="217"/>
        <v>0</v>
      </c>
      <c r="H1580" s="9">
        <f t="shared" si="218"/>
        <v>0</v>
      </c>
      <c r="I1580" s="9">
        <f t="array" ref="I1580">+SUM(IFERROR(VALUE(G1580:H1580),0))</f>
        <v>0</v>
      </c>
      <c r="K1580" s="9" t="str">
        <f t="shared" si="219"/>
        <v/>
      </c>
      <c r="L1580" s="9">
        <f t="shared" si="220"/>
        <v>0</v>
      </c>
      <c r="M1580" s="9">
        <f t="shared" si="221"/>
        <v>0</v>
      </c>
      <c r="N1580" s="9">
        <f t="array" ref="N1580">+SUM(IFERROR(VALUE(L1580:M1580),0))</f>
        <v>0</v>
      </c>
      <c r="P1580" s="9" t="str">
        <f t="shared" si="222"/>
        <v/>
      </c>
      <c r="Q1580" s="9">
        <f t="shared" si="223"/>
        <v>0</v>
      </c>
      <c r="R1580" s="9">
        <f t="shared" si="224"/>
        <v>0</v>
      </c>
      <c r="S1580" s="9">
        <f t="array" ref="S1580">+SUM(IFERROR(VALUE(Q1580:R1580),0))</f>
        <v>0</v>
      </c>
    </row>
    <row r="1581" spans="1:19">
      <c r="A1581" s="26"/>
      <c r="B1581" s="27"/>
      <c r="C1581" s="27"/>
      <c r="D1581" s="28"/>
      <c r="F1581" s="9" t="str">
        <f t="shared" si="216"/>
        <v/>
      </c>
      <c r="G1581" s="9">
        <f t="shared" si="217"/>
        <v>0</v>
      </c>
      <c r="H1581" s="9">
        <f t="shared" si="218"/>
        <v>0</v>
      </c>
      <c r="I1581" s="9">
        <f t="array" ref="I1581">+SUM(IFERROR(VALUE(G1581:H1581),0))</f>
        <v>0</v>
      </c>
      <c r="K1581" s="9" t="str">
        <f t="shared" si="219"/>
        <v/>
      </c>
      <c r="L1581" s="9">
        <f t="shared" si="220"/>
        <v>0</v>
      </c>
      <c r="M1581" s="9">
        <f t="shared" si="221"/>
        <v>0</v>
      </c>
      <c r="N1581" s="9">
        <f t="array" ref="N1581">+SUM(IFERROR(VALUE(L1581:M1581),0))</f>
        <v>0</v>
      </c>
      <c r="P1581" s="9" t="str">
        <f t="shared" si="222"/>
        <v/>
      </c>
      <c r="Q1581" s="9">
        <f t="shared" si="223"/>
        <v>0</v>
      </c>
      <c r="R1581" s="9">
        <f t="shared" si="224"/>
        <v>0</v>
      </c>
      <c r="S1581" s="9">
        <f t="array" ref="S1581">+SUM(IFERROR(VALUE(Q1581:R1581),0))</f>
        <v>0</v>
      </c>
    </row>
    <row r="1582" spans="1:19">
      <c r="A1582" s="26"/>
      <c r="B1582" s="27"/>
      <c r="C1582" s="27"/>
      <c r="D1582" s="28"/>
      <c r="F1582" s="9" t="str">
        <f t="shared" si="216"/>
        <v/>
      </c>
      <c r="G1582" s="9">
        <f t="shared" si="217"/>
        <v>0</v>
      </c>
      <c r="H1582" s="9">
        <f t="shared" si="218"/>
        <v>0</v>
      </c>
      <c r="I1582" s="9">
        <f t="array" ref="I1582">+SUM(IFERROR(VALUE(G1582:H1582),0))</f>
        <v>0</v>
      </c>
      <c r="K1582" s="9" t="str">
        <f t="shared" si="219"/>
        <v/>
      </c>
      <c r="L1582" s="9">
        <f t="shared" si="220"/>
        <v>0</v>
      </c>
      <c r="M1582" s="9">
        <f t="shared" si="221"/>
        <v>0</v>
      </c>
      <c r="N1582" s="9">
        <f t="array" ref="N1582">+SUM(IFERROR(VALUE(L1582:M1582),0))</f>
        <v>0</v>
      </c>
      <c r="P1582" s="9" t="str">
        <f t="shared" si="222"/>
        <v/>
      </c>
      <c r="Q1582" s="9">
        <f t="shared" si="223"/>
        <v>0</v>
      </c>
      <c r="R1582" s="9">
        <f t="shared" si="224"/>
        <v>0</v>
      </c>
      <c r="S1582" s="9">
        <f t="array" ref="S1582">+SUM(IFERROR(VALUE(Q1582:R1582),0))</f>
        <v>0</v>
      </c>
    </row>
    <row r="1583" spans="1:19">
      <c r="A1583" s="26"/>
      <c r="B1583" s="27"/>
      <c r="C1583" s="27"/>
      <c r="D1583" s="28"/>
      <c r="F1583" s="9" t="str">
        <f t="shared" si="216"/>
        <v/>
      </c>
      <c r="G1583" s="9">
        <f t="shared" si="217"/>
        <v>0</v>
      </c>
      <c r="H1583" s="9">
        <f t="shared" si="218"/>
        <v>0</v>
      </c>
      <c r="I1583" s="9">
        <f t="array" ref="I1583">+SUM(IFERROR(VALUE(G1583:H1583),0))</f>
        <v>0</v>
      </c>
      <c r="K1583" s="9" t="str">
        <f t="shared" si="219"/>
        <v/>
      </c>
      <c r="L1583" s="9">
        <f t="shared" si="220"/>
        <v>0</v>
      </c>
      <c r="M1583" s="9">
        <f t="shared" si="221"/>
        <v>0</v>
      </c>
      <c r="N1583" s="9">
        <f t="array" ref="N1583">+SUM(IFERROR(VALUE(L1583:M1583),0))</f>
        <v>0</v>
      </c>
      <c r="P1583" s="9" t="str">
        <f t="shared" si="222"/>
        <v/>
      </c>
      <c r="Q1583" s="9">
        <f t="shared" si="223"/>
        <v>0</v>
      </c>
      <c r="R1583" s="9">
        <f t="shared" si="224"/>
        <v>0</v>
      </c>
      <c r="S1583" s="9">
        <f t="array" ref="S1583">+SUM(IFERROR(VALUE(Q1583:R1583),0))</f>
        <v>0</v>
      </c>
    </row>
    <row r="1584" spans="1:19">
      <c r="A1584" s="26"/>
      <c r="B1584" s="27"/>
      <c r="C1584" s="27"/>
      <c r="D1584" s="28"/>
      <c r="F1584" s="9" t="str">
        <f t="shared" si="216"/>
        <v/>
      </c>
      <c r="G1584" s="9">
        <f t="shared" si="217"/>
        <v>0</v>
      </c>
      <c r="H1584" s="9">
        <f t="shared" si="218"/>
        <v>0</v>
      </c>
      <c r="I1584" s="9">
        <f t="array" ref="I1584">+SUM(IFERROR(VALUE(G1584:H1584),0))</f>
        <v>0</v>
      </c>
      <c r="K1584" s="9" t="str">
        <f t="shared" si="219"/>
        <v/>
      </c>
      <c r="L1584" s="9">
        <f t="shared" si="220"/>
        <v>0</v>
      </c>
      <c r="M1584" s="9">
        <f t="shared" si="221"/>
        <v>0</v>
      </c>
      <c r="N1584" s="9">
        <f t="array" ref="N1584">+SUM(IFERROR(VALUE(L1584:M1584),0))</f>
        <v>0</v>
      </c>
      <c r="P1584" s="9" t="str">
        <f t="shared" si="222"/>
        <v/>
      </c>
      <c r="Q1584" s="9">
        <f t="shared" si="223"/>
        <v>0</v>
      </c>
      <c r="R1584" s="9">
        <f t="shared" si="224"/>
        <v>0</v>
      </c>
      <c r="S1584" s="9">
        <f t="array" ref="S1584">+SUM(IFERROR(VALUE(Q1584:R1584),0))</f>
        <v>0</v>
      </c>
    </row>
    <row r="1585" spans="1:19">
      <c r="A1585" s="26"/>
      <c r="B1585" s="27"/>
      <c r="C1585" s="27"/>
      <c r="D1585" s="28"/>
      <c r="F1585" s="9" t="str">
        <f t="shared" si="216"/>
        <v/>
      </c>
      <c r="G1585" s="9">
        <f t="shared" si="217"/>
        <v>0</v>
      </c>
      <c r="H1585" s="9">
        <f t="shared" si="218"/>
        <v>0</v>
      </c>
      <c r="I1585" s="9">
        <f t="array" ref="I1585">+SUM(IFERROR(VALUE(G1585:H1585),0))</f>
        <v>0</v>
      </c>
      <c r="K1585" s="9" t="str">
        <f t="shared" si="219"/>
        <v/>
      </c>
      <c r="L1585" s="9">
        <f t="shared" si="220"/>
        <v>0</v>
      </c>
      <c r="M1585" s="9">
        <f t="shared" si="221"/>
        <v>0</v>
      </c>
      <c r="N1585" s="9">
        <f t="array" ref="N1585">+SUM(IFERROR(VALUE(L1585:M1585),0))</f>
        <v>0</v>
      </c>
      <c r="P1585" s="9" t="str">
        <f t="shared" si="222"/>
        <v/>
      </c>
      <c r="Q1585" s="9">
        <f t="shared" si="223"/>
        <v>0</v>
      </c>
      <c r="R1585" s="9">
        <f t="shared" si="224"/>
        <v>0</v>
      </c>
      <c r="S1585" s="9">
        <f t="array" ref="S1585">+SUM(IFERROR(VALUE(Q1585:R1585),0))</f>
        <v>0</v>
      </c>
    </row>
    <row r="1586" spans="1:19">
      <c r="A1586" s="26"/>
      <c r="B1586" s="27"/>
      <c r="C1586" s="27"/>
      <c r="D1586" s="28"/>
      <c r="F1586" s="9" t="str">
        <f t="shared" si="216"/>
        <v/>
      </c>
      <c r="G1586" s="9">
        <f t="shared" si="217"/>
        <v>0</v>
      </c>
      <c r="H1586" s="9">
        <f t="shared" si="218"/>
        <v>0</v>
      </c>
      <c r="I1586" s="9">
        <f t="array" ref="I1586">+SUM(IFERROR(VALUE(G1586:H1586),0))</f>
        <v>0</v>
      </c>
      <c r="K1586" s="9" t="str">
        <f t="shared" si="219"/>
        <v/>
      </c>
      <c r="L1586" s="9">
        <f t="shared" si="220"/>
        <v>0</v>
      </c>
      <c r="M1586" s="9">
        <f t="shared" si="221"/>
        <v>0</v>
      </c>
      <c r="N1586" s="9">
        <f t="array" ref="N1586">+SUM(IFERROR(VALUE(L1586:M1586),0))</f>
        <v>0</v>
      </c>
      <c r="P1586" s="9" t="str">
        <f t="shared" si="222"/>
        <v/>
      </c>
      <c r="Q1586" s="9">
        <f t="shared" si="223"/>
        <v>0</v>
      </c>
      <c r="R1586" s="9">
        <f t="shared" si="224"/>
        <v>0</v>
      </c>
      <c r="S1586" s="9">
        <f t="array" ref="S1586">+SUM(IFERROR(VALUE(Q1586:R1586),0))</f>
        <v>0</v>
      </c>
    </row>
    <row r="1587" spans="1:19">
      <c r="A1587" s="26"/>
      <c r="B1587" s="27"/>
      <c r="C1587" s="27"/>
      <c r="D1587" s="28"/>
      <c r="F1587" s="9" t="str">
        <f t="shared" si="216"/>
        <v/>
      </c>
      <c r="G1587" s="9">
        <f t="shared" si="217"/>
        <v>0</v>
      </c>
      <c r="H1587" s="9">
        <f t="shared" si="218"/>
        <v>0</v>
      </c>
      <c r="I1587" s="9">
        <f t="array" ref="I1587">+SUM(IFERROR(VALUE(G1587:H1587),0))</f>
        <v>0</v>
      </c>
      <c r="K1587" s="9" t="str">
        <f t="shared" si="219"/>
        <v/>
      </c>
      <c r="L1587" s="9">
        <f t="shared" si="220"/>
        <v>0</v>
      </c>
      <c r="M1587" s="9">
        <f t="shared" si="221"/>
        <v>0</v>
      </c>
      <c r="N1587" s="9">
        <f t="array" ref="N1587">+SUM(IFERROR(VALUE(L1587:M1587),0))</f>
        <v>0</v>
      </c>
      <c r="P1587" s="9" t="str">
        <f t="shared" si="222"/>
        <v/>
      </c>
      <c r="Q1587" s="9">
        <f t="shared" si="223"/>
        <v>0</v>
      </c>
      <c r="R1587" s="9">
        <f t="shared" si="224"/>
        <v>0</v>
      </c>
      <c r="S1587" s="9">
        <f t="array" ref="S1587">+SUM(IFERROR(VALUE(Q1587:R1587),0))</f>
        <v>0</v>
      </c>
    </row>
    <row r="1588" spans="1:19">
      <c r="A1588" s="26"/>
      <c r="B1588" s="27"/>
      <c r="C1588" s="27"/>
      <c r="D1588" s="28"/>
      <c r="F1588" s="9" t="str">
        <f t="shared" si="216"/>
        <v/>
      </c>
      <c r="G1588" s="9">
        <f t="shared" si="217"/>
        <v>0</v>
      </c>
      <c r="H1588" s="9">
        <f t="shared" si="218"/>
        <v>0</v>
      </c>
      <c r="I1588" s="9">
        <f t="array" ref="I1588">+SUM(IFERROR(VALUE(G1588:H1588),0))</f>
        <v>0</v>
      </c>
      <c r="K1588" s="9" t="str">
        <f t="shared" si="219"/>
        <v/>
      </c>
      <c r="L1588" s="9">
        <f t="shared" si="220"/>
        <v>0</v>
      </c>
      <c r="M1588" s="9">
        <f t="shared" si="221"/>
        <v>0</v>
      </c>
      <c r="N1588" s="9">
        <f t="array" ref="N1588">+SUM(IFERROR(VALUE(L1588:M1588),0))</f>
        <v>0</v>
      </c>
      <c r="P1588" s="9" t="str">
        <f t="shared" si="222"/>
        <v/>
      </c>
      <c r="Q1588" s="9">
        <f t="shared" si="223"/>
        <v>0</v>
      </c>
      <c r="R1588" s="9">
        <f t="shared" si="224"/>
        <v>0</v>
      </c>
      <c r="S1588" s="9">
        <f t="array" ref="S1588">+SUM(IFERROR(VALUE(Q1588:R1588),0))</f>
        <v>0</v>
      </c>
    </row>
    <row r="1589" spans="1:19">
      <c r="A1589" s="26"/>
      <c r="B1589" s="27"/>
      <c r="C1589" s="27"/>
      <c r="D1589" s="28"/>
      <c r="F1589" s="9" t="str">
        <f t="shared" si="216"/>
        <v/>
      </c>
      <c r="G1589" s="9">
        <f t="shared" si="217"/>
        <v>0</v>
      </c>
      <c r="H1589" s="9">
        <f t="shared" si="218"/>
        <v>0</v>
      </c>
      <c r="I1589" s="9">
        <f t="array" ref="I1589">+SUM(IFERROR(VALUE(G1589:H1589),0))</f>
        <v>0</v>
      </c>
      <c r="K1589" s="9" t="str">
        <f t="shared" si="219"/>
        <v/>
      </c>
      <c r="L1589" s="9">
        <f t="shared" si="220"/>
        <v>0</v>
      </c>
      <c r="M1589" s="9">
        <f t="shared" si="221"/>
        <v>0</v>
      </c>
      <c r="N1589" s="9">
        <f t="array" ref="N1589">+SUM(IFERROR(VALUE(L1589:M1589),0))</f>
        <v>0</v>
      </c>
      <c r="P1589" s="9" t="str">
        <f t="shared" si="222"/>
        <v/>
      </c>
      <c r="Q1589" s="9">
        <f t="shared" si="223"/>
        <v>0</v>
      </c>
      <c r="R1589" s="9">
        <f t="shared" si="224"/>
        <v>0</v>
      </c>
      <c r="S1589" s="9">
        <f t="array" ref="S1589">+SUM(IFERROR(VALUE(Q1589:R1589),0))</f>
        <v>0</v>
      </c>
    </row>
    <row r="1590" spans="1:19">
      <c r="A1590" s="26"/>
      <c r="B1590" s="27"/>
      <c r="C1590" s="27"/>
      <c r="D1590" s="28"/>
      <c r="F1590" s="9" t="str">
        <f t="shared" si="216"/>
        <v/>
      </c>
      <c r="G1590" s="9">
        <f t="shared" si="217"/>
        <v>0</v>
      </c>
      <c r="H1590" s="9">
        <f t="shared" si="218"/>
        <v>0</v>
      </c>
      <c r="I1590" s="9">
        <f t="array" ref="I1590">+SUM(IFERROR(VALUE(G1590:H1590),0))</f>
        <v>0</v>
      </c>
      <c r="K1590" s="9" t="str">
        <f t="shared" si="219"/>
        <v/>
      </c>
      <c r="L1590" s="9">
        <f t="shared" si="220"/>
        <v>0</v>
      </c>
      <c r="M1590" s="9">
        <f t="shared" si="221"/>
        <v>0</v>
      </c>
      <c r="N1590" s="9">
        <f t="array" ref="N1590">+SUM(IFERROR(VALUE(L1590:M1590),0))</f>
        <v>0</v>
      </c>
      <c r="P1590" s="9" t="str">
        <f t="shared" si="222"/>
        <v/>
      </c>
      <c r="Q1590" s="9">
        <f t="shared" si="223"/>
        <v>0</v>
      </c>
      <c r="R1590" s="9">
        <f t="shared" si="224"/>
        <v>0</v>
      </c>
      <c r="S1590" s="9">
        <f t="array" ref="S1590">+SUM(IFERROR(VALUE(Q1590:R1590),0))</f>
        <v>0</v>
      </c>
    </row>
    <row r="1591" spans="1:19">
      <c r="A1591" s="26"/>
      <c r="B1591" s="27"/>
      <c r="C1591" s="27"/>
      <c r="D1591" s="28"/>
      <c r="F1591" s="9" t="str">
        <f t="shared" si="216"/>
        <v/>
      </c>
      <c r="G1591" s="9">
        <f t="shared" si="217"/>
        <v>0</v>
      </c>
      <c r="H1591" s="9">
        <f t="shared" si="218"/>
        <v>0</v>
      </c>
      <c r="I1591" s="9">
        <f t="array" ref="I1591">+SUM(IFERROR(VALUE(G1591:H1591),0))</f>
        <v>0</v>
      </c>
      <c r="K1591" s="9" t="str">
        <f t="shared" si="219"/>
        <v/>
      </c>
      <c r="L1591" s="9">
        <f t="shared" si="220"/>
        <v>0</v>
      </c>
      <c r="M1591" s="9">
        <f t="shared" si="221"/>
        <v>0</v>
      </c>
      <c r="N1591" s="9">
        <f t="array" ref="N1591">+SUM(IFERROR(VALUE(L1591:M1591),0))</f>
        <v>0</v>
      </c>
      <c r="P1591" s="9" t="str">
        <f t="shared" si="222"/>
        <v/>
      </c>
      <c r="Q1591" s="9">
        <f t="shared" si="223"/>
        <v>0</v>
      </c>
      <c r="R1591" s="9">
        <f t="shared" si="224"/>
        <v>0</v>
      </c>
      <c r="S1591" s="9">
        <f t="array" ref="S1591">+SUM(IFERROR(VALUE(Q1591:R1591),0))</f>
        <v>0</v>
      </c>
    </row>
    <row r="1592" spans="1:19">
      <c r="A1592" s="26"/>
      <c r="B1592" s="27"/>
      <c r="C1592" s="27"/>
      <c r="D1592" s="28"/>
      <c r="F1592" s="9" t="str">
        <f t="shared" si="216"/>
        <v/>
      </c>
      <c r="G1592" s="9">
        <f t="shared" si="217"/>
        <v>0</v>
      </c>
      <c r="H1592" s="9">
        <f t="shared" si="218"/>
        <v>0</v>
      </c>
      <c r="I1592" s="9">
        <f t="array" ref="I1592">+SUM(IFERROR(VALUE(G1592:H1592),0))</f>
        <v>0</v>
      </c>
      <c r="K1592" s="9" t="str">
        <f t="shared" si="219"/>
        <v/>
      </c>
      <c r="L1592" s="9">
        <f t="shared" si="220"/>
        <v>0</v>
      </c>
      <c r="M1592" s="9">
        <f t="shared" si="221"/>
        <v>0</v>
      </c>
      <c r="N1592" s="9">
        <f t="array" ref="N1592">+SUM(IFERROR(VALUE(L1592:M1592),0))</f>
        <v>0</v>
      </c>
      <c r="P1592" s="9" t="str">
        <f t="shared" si="222"/>
        <v/>
      </c>
      <c r="Q1592" s="9">
        <f t="shared" si="223"/>
        <v>0</v>
      </c>
      <c r="R1592" s="9">
        <f t="shared" si="224"/>
        <v>0</v>
      </c>
      <c r="S1592" s="9">
        <f t="array" ref="S1592">+SUM(IFERROR(VALUE(Q1592:R1592),0))</f>
        <v>0</v>
      </c>
    </row>
    <row r="1593" spans="1:19">
      <c r="A1593" s="26"/>
      <c r="B1593" s="27"/>
      <c r="C1593" s="27"/>
      <c r="D1593" s="28"/>
      <c r="F1593" s="9" t="str">
        <f t="shared" si="216"/>
        <v/>
      </c>
      <c r="G1593" s="9">
        <f t="shared" si="217"/>
        <v>0</v>
      </c>
      <c r="H1593" s="9">
        <f t="shared" si="218"/>
        <v>0</v>
      </c>
      <c r="I1593" s="9">
        <f t="array" ref="I1593">+SUM(IFERROR(VALUE(G1593:H1593),0))</f>
        <v>0</v>
      </c>
      <c r="K1593" s="9" t="str">
        <f t="shared" si="219"/>
        <v/>
      </c>
      <c r="L1593" s="9">
        <f t="shared" si="220"/>
        <v>0</v>
      </c>
      <c r="M1593" s="9">
        <f t="shared" si="221"/>
        <v>0</v>
      </c>
      <c r="N1593" s="9">
        <f t="array" ref="N1593">+SUM(IFERROR(VALUE(L1593:M1593),0))</f>
        <v>0</v>
      </c>
      <c r="P1593" s="9" t="str">
        <f t="shared" si="222"/>
        <v/>
      </c>
      <c r="Q1593" s="9">
        <f t="shared" si="223"/>
        <v>0</v>
      </c>
      <c r="R1593" s="9">
        <f t="shared" si="224"/>
        <v>0</v>
      </c>
      <c r="S1593" s="9">
        <f t="array" ref="S1593">+SUM(IFERROR(VALUE(Q1593:R1593),0))</f>
        <v>0</v>
      </c>
    </row>
    <row r="1594" spans="1:19">
      <c r="A1594" s="26"/>
      <c r="B1594" s="27"/>
      <c r="C1594" s="27"/>
      <c r="D1594" s="28"/>
      <c r="F1594" s="9" t="str">
        <f t="shared" si="216"/>
        <v/>
      </c>
      <c r="G1594" s="9">
        <f t="shared" si="217"/>
        <v>0</v>
      </c>
      <c r="H1594" s="9">
        <f t="shared" si="218"/>
        <v>0</v>
      </c>
      <c r="I1594" s="9">
        <f t="array" ref="I1594">+SUM(IFERROR(VALUE(G1594:H1594),0))</f>
        <v>0</v>
      </c>
      <c r="K1594" s="9" t="str">
        <f t="shared" si="219"/>
        <v/>
      </c>
      <c r="L1594" s="9">
        <f t="shared" si="220"/>
        <v>0</v>
      </c>
      <c r="M1594" s="9">
        <f t="shared" si="221"/>
        <v>0</v>
      </c>
      <c r="N1594" s="9">
        <f t="array" ref="N1594">+SUM(IFERROR(VALUE(L1594:M1594),0))</f>
        <v>0</v>
      </c>
      <c r="P1594" s="9" t="str">
        <f t="shared" si="222"/>
        <v/>
      </c>
      <c r="Q1594" s="9">
        <f t="shared" si="223"/>
        <v>0</v>
      </c>
      <c r="R1594" s="9">
        <f t="shared" si="224"/>
        <v>0</v>
      </c>
      <c r="S1594" s="9">
        <f t="array" ref="S1594">+SUM(IFERROR(VALUE(Q1594:R1594),0))</f>
        <v>0</v>
      </c>
    </row>
    <row r="1595" spans="1:19">
      <c r="A1595" s="26"/>
      <c r="B1595" s="27"/>
      <c r="C1595" s="27"/>
      <c r="D1595" s="28"/>
      <c r="F1595" s="9" t="str">
        <f t="shared" si="216"/>
        <v/>
      </c>
      <c r="G1595" s="9">
        <f t="shared" si="217"/>
        <v>0</v>
      </c>
      <c r="H1595" s="9">
        <f t="shared" si="218"/>
        <v>0</v>
      </c>
      <c r="I1595" s="9">
        <f t="array" ref="I1595">+SUM(IFERROR(VALUE(G1595:H1595),0))</f>
        <v>0</v>
      </c>
      <c r="K1595" s="9" t="str">
        <f t="shared" si="219"/>
        <v/>
      </c>
      <c r="L1595" s="9">
        <f t="shared" si="220"/>
        <v>0</v>
      </c>
      <c r="M1595" s="9">
        <f t="shared" si="221"/>
        <v>0</v>
      </c>
      <c r="N1595" s="9">
        <f t="array" ref="N1595">+SUM(IFERROR(VALUE(L1595:M1595),0))</f>
        <v>0</v>
      </c>
      <c r="P1595" s="9" t="str">
        <f t="shared" si="222"/>
        <v/>
      </c>
      <c r="Q1595" s="9">
        <f t="shared" si="223"/>
        <v>0</v>
      </c>
      <c r="R1595" s="9">
        <f t="shared" si="224"/>
        <v>0</v>
      </c>
      <c r="S1595" s="9">
        <f t="array" ref="S1595">+SUM(IFERROR(VALUE(Q1595:R1595),0))</f>
        <v>0</v>
      </c>
    </row>
    <row r="1596" spans="1:19">
      <c r="A1596" s="26"/>
      <c r="B1596" s="27"/>
      <c r="C1596" s="27"/>
      <c r="D1596" s="28"/>
      <c r="F1596" s="9" t="str">
        <f t="shared" si="216"/>
        <v/>
      </c>
      <c r="G1596" s="9">
        <f t="shared" si="217"/>
        <v>0</v>
      </c>
      <c r="H1596" s="9">
        <f t="shared" si="218"/>
        <v>0</v>
      </c>
      <c r="I1596" s="9">
        <f t="array" ref="I1596">+SUM(IFERROR(VALUE(G1596:H1596),0))</f>
        <v>0</v>
      </c>
      <c r="K1596" s="9" t="str">
        <f t="shared" si="219"/>
        <v/>
      </c>
      <c r="L1596" s="9">
        <f t="shared" si="220"/>
        <v>0</v>
      </c>
      <c r="M1596" s="9">
        <f t="shared" si="221"/>
        <v>0</v>
      </c>
      <c r="N1596" s="9">
        <f t="array" ref="N1596">+SUM(IFERROR(VALUE(L1596:M1596),0))</f>
        <v>0</v>
      </c>
      <c r="P1596" s="9" t="str">
        <f t="shared" si="222"/>
        <v/>
      </c>
      <c r="Q1596" s="9">
        <f t="shared" si="223"/>
        <v>0</v>
      </c>
      <c r="R1596" s="9">
        <f t="shared" si="224"/>
        <v>0</v>
      </c>
      <c r="S1596" s="9">
        <f t="array" ref="S1596">+SUM(IFERROR(VALUE(Q1596:R1596),0))</f>
        <v>0</v>
      </c>
    </row>
    <row r="1597" spans="1:19">
      <c r="A1597" s="26"/>
      <c r="B1597" s="27"/>
      <c r="C1597" s="27"/>
      <c r="D1597" s="28"/>
      <c r="F1597" s="9" t="str">
        <f t="shared" si="216"/>
        <v/>
      </c>
      <c r="G1597" s="9">
        <f t="shared" si="217"/>
        <v>0</v>
      </c>
      <c r="H1597" s="9">
        <f t="shared" si="218"/>
        <v>0</v>
      </c>
      <c r="I1597" s="9">
        <f t="array" ref="I1597">+SUM(IFERROR(VALUE(G1597:H1597),0))</f>
        <v>0</v>
      </c>
      <c r="K1597" s="9" t="str">
        <f t="shared" si="219"/>
        <v/>
      </c>
      <c r="L1597" s="9">
        <f t="shared" si="220"/>
        <v>0</v>
      </c>
      <c r="M1597" s="9">
        <f t="shared" si="221"/>
        <v>0</v>
      </c>
      <c r="N1597" s="9">
        <f t="array" ref="N1597">+SUM(IFERROR(VALUE(L1597:M1597),0))</f>
        <v>0</v>
      </c>
      <c r="P1597" s="9" t="str">
        <f t="shared" si="222"/>
        <v/>
      </c>
      <c r="Q1597" s="9">
        <f t="shared" si="223"/>
        <v>0</v>
      </c>
      <c r="R1597" s="9">
        <f t="shared" si="224"/>
        <v>0</v>
      </c>
      <c r="S1597" s="9">
        <f t="array" ref="S1597">+SUM(IFERROR(VALUE(Q1597:R1597),0))</f>
        <v>0</v>
      </c>
    </row>
    <row r="1598" spans="1:19">
      <c r="A1598" s="26"/>
      <c r="B1598" s="27"/>
      <c r="C1598" s="27"/>
      <c r="D1598" s="28"/>
      <c r="F1598" s="9" t="str">
        <f t="shared" si="216"/>
        <v/>
      </c>
      <c r="G1598" s="9">
        <f t="shared" si="217"/>
        <v>0</v>
      </c>
      <c r="H1598" s="9">
        <f t="shared" si="218"/>
        <v>0</v>
      </c>
      <c r="I1598" s="9">
        <f t="array" ref="I1598">+SUM(IFERROR(VALUE(G1598:H1598),0))</f>
        <v>0</v>
      </c>
      <c r="K1598" s="9" t="str">
        <f t="shared" si="219"/>
        <v/>
      </c>
      <c r="L1598" s="9">
        <f t="shared" si="220"/>
        <v>0</v>
      </c>
      <c r="M1598" s="9">
        <f t="shared" si="221"/>
        <v>0</v>
      </c>
      <c r="N1598" s="9">
        <f t="array" ref="N1598">+SUM(IFERROR(VALUE(L1598:M1598),0))</f>
        <v>0</v>
      </c>
      <c r="P1598" s="9" t="str">
        <f t="shared" si="222"/>
        <v/>
      </c>
      <c r="Q1598" s="9">
        <f t="shared" si="223"/>
        <v>0</v>
      </c>
      <c r="R1598" s="9">
        <f t="shared" si="224"/>
        <v>0</v>
      </c>
      <c r="S1598" s="9">
        <f t="array" ref="S1598">+SUM(IFERROR(VALUE(Q1598:R1598),0))</f>
        <v>0</v>
      </c>
    </row>
    <row r="1599" spans="1:19">
      <c r="A1599" s="26"/>
      <c r="B1599" s="27"/>
      <c r="C1599" s="27"/>
      <c r="D1599" s="28"/>
      <c r="F1599" s="9" t="str">
        <f t="shared" si="216"/>
        <v/>
      </c>
      <c r="G1599" s="9">
        <f t="shared" si="217"/>
        <v>0</v>
      </c>
      <c r="H1599" s="9">
        <f t="shared" si="218"/>
        <v>0</v>
      </c>
      <c r="I1599" s="9">
        <f t="array" ref="I1599">+SUM(IFERROR(VALUE(G1599:H1599),0))</f>
        <v>0</v>
      </c>
      <c r="K1599" s="9" t="str">
        <f t="shared" si="219"/>
        <v/>
      </c>
      <c r="L1599" s="9">
        <f t="shared" si="220"/>
        <v>0</v>
      </c>
      <c r="M1599" s="9">
        <f t="shared" si="221"/>
        <v>0</v>
      </c>
      <c r="N1599" s="9">
        <f t="array" ref="N1599">+SUM(IFERROR(VALUE(L1599:M1599),0))</f>
        <v>0</v>
      </c>
      <c r="P1599" s="9" t="str">
        <f t="shared" si="222"/>
        <v/>
      </c>
      <c r="Q1599" s="9">
        <f t="shared" si="223"/>
        <v>0</v>
      </c>
      <c r="R1599" s="9">
        <f t="shared" si="224"/>
        <v>0</v>
      </c>
      <c r="S1599" s="9">
        <f t="array" ref="S1599">+SUM(IFERROR(VALUE(Q1599:R1599),0))</f>
        <v>0</v>
      </c>
    </row>
    <row r="1600" spans="1:19">
      <c r="A1600" s="26"/>
      <c r="B1600" s="27"/>
      <c r="C1600" s="27"/>
      <c r="D1600" s="28"/>
      <c r="F1600" s="9" t="str">
        <f t="shared" si="216"/>
        <v/>
      </c>
      <c r="G1600" s="9">
        <f t="shared" si="217"/>
        <v>0</v>
      </c>
      <c r="H1600" s="9">
        <f t="shared" si="218"/>
        <v>0</v>
      </c>
      <c r="I1600" s="9">
        <f t="array" ref="I1600">+SUM(IFERROR(VALUE(G1600:H1600),0))</f>
        <v>0</v>
      </c>
      <c r="K1600" s="9" t="str">
        <f t="shared" si="219"/>
        <v/>
      </c>
      <c r="L1600" s="9">
        <f t="shared" si="220"/>
        <v>0</v>
      </c>
      <c r="M1600" s="9">
        <f t="shared" si="221"/>
        <v>0</v>
      </c>
      <c r="N1600" s="9">
        <f t="array" ref="N1600">+SUM(IFERROR(VALUE(L1600:M1600),0))</f>
        <v>0</v>
      </c>
      <c r="P1600" s="9" t="str">
        <f t="shared" si="222"/>
        <v/>
      </c>
      <c r="Q1600" s="9">
        <f t="shared" si="223"/>
        <v>0</v>
      </c>
      <c r="R1600" s="9">
        <f t="shared" si="224"/>
        <v>0</v>
      </c>
      <c r="S1600" s="9">
        <f t="array" ref="S1600">+SUM(IFERROR(VALUE(Q1600:R1600),0))</f>
        <v>0</v>
      </c>
    </row>
    <row r="1601" spans="1:19">
      <c r="A1601" s="26"/>
      <c r="B1601" s="27"/>
      <c r="C1601" s="27"/>
      <c r="D1601" s="28"/>
      <c r="F1601" s="9" t="str">
        <f t="shared" si="216"/>
        <v/>
      </c>
      <c r="G1601" s="9">
        <f t="shared" si="217"/>
        <v>0</v>
      </c>
      <c r="H1601" s="9">
        <f t="shared" si="218"/>
        <v>0</v>
      </c>
      <c r="I1601" s="9">
        <f t="array" ref="I1601">+SUM(IFERROR(VALUE(G1601:H1601),0))</f>
        <v>0</v>
      </c>
      <c r="K1601" s="9" t="str">
        <f t="shared" si="219"/>
        <v/>
      </c>
      <c r="L1601" s="9">
        <f t="shared" si="220"/>
        <v>0</v>
      </c>
      <c r="M1601" s="9">
        <f t="shared" si="221"/>
        <v>0</v>
      </c>
      <c r="N1601" s="9">
        <f t="array" ref="N1601">+SUM(IFERROR(VALUE(L1601:M1601),0))</f>
        <v>0</v>
      </c>
      <c r="P1601" s="9" t="str">
        <f t="shared" si="222"/>
        <v/>
      </c>
      <c r="Q1601" s="9">
        <f t="shared" si="223"/>
        <v>0</v>
      </c>
      <c r="R1601" s="9">
        <f t="shared" si="224"/>
        <v>0</v>
      </c>
      <c r="S1601" s="9">
        <f t="array" ref="S1601">+SUM(IFERROR(VALUE(Q1601:R1601),0))</f>
        <v>0</v>
      </c>
    </row>
    <row r="1602" spans="1:19">
      <c r="A1602" s="26"/>
      <c r="B1602" s="27"/>
      <c r="C1602" s="27"/>
      <c r="D1602" s="28"/>
      <c r="F1602" s="9" t="str">
        <f t="shared" si="216"/>
        <v/>
      </c>
      <c r="G1602" s="9">
        <f t="shared" si="217"/>
        <v>0</v>
      </c>
      <c r="H1602" s="9">
        <f t="shared" si="218"/>
        <v>0</v>
      </c>
      <c r="I1602" s="9">
        <f t="array" ref="I1602">+SUM(IFERROR(VALUE(G1602:H1602),0))</f>
        <v>0</v>
      </c>
      <c r="K1602" s="9" t="str">
        <f t="shared" si="219"/>
        <v/>
      </c>
      <c r="L1602" s="9">
        <f t="shared" si="220"/>
        <v>0</v>
      </c>
      <c r="M1602" s="9">
        <f t="shared" si="221"/>
        <v>0</v>
      </c>
      <c r="N1602" s="9">
        <f t="array" ref="N1602">+SUM(IFERROR(VALUE(L1602:M1602),0))</f>
        <v>0</v>
      </c>
      <c r="P1602" s="9" t="str">
        <f t="shared" si="222"/>
        <v/>
      </c>
      <c r="Q1602" s="9">
        <f t="shared" si="223"/>
        <v>0</v>
      </c>
      <c r="R1602" s="9">
        <f t="shared" si="224"/>
        <v>0</v>
      </c>
      <c r="S1602" s="9">
        <f t="array" ref="S1602">+SUM(IFERROR(VALUE(Q1602:R1602),0))</f>
        <v>0</v>
      </c>
    </row>
    <row r="1603" spans="1:19">
      <c r="A1603" s="26"/>
      <c r="B1603" s="27"/>
      <c r="C1603" s="27"/>
      <c r="D1603" s="28"/>
      <c r="F1603" s="9" t="str">
        <f t="shared" si="216"/>
        <v/>
      </c>
      <c r="G1603" s="9">
        <f t="shared" si="217"/>
        <v>0</v>
      </c>
      <c r="H1603" s="9">
        <f t="shared" si="218"/>
        <v>0</v>
      </c>
      <c r="I1603" s="9">
        <f t="array" ref="I1603">+SUM(IFERROR(VALUE(G1603:H1603),0))</f>
        <v>0</v>
      </c>
      <c r="K1603" s="9" t="str">
        <f t="shared" si="219"/>
        <v/>
      </c>
      <c r="L1603" s="9">
        <f t="shared" si="220"/>
        <v>0</v>
      </c>
      <c r="M1603" s="9">
        <f t="shared" si="221"/>
        <v>0</v>
      </c>
      <c r="N1603" s="9">
        <f t="array" ref="N1603">+SUM(IFERROR(VALUE(L1603:M1603),0))</f>
        <v>0</v>
      </c>
      <c r="P1603" s="9" t="str">
        <f t="shared" si="222"/>
        <v/>
      </c>
      <c r="Q1603" s="9">
        <f t="shared" si="223"/>
        <v>0</v>
      </c>
      <c r="R1603" s="9">
        <f t="shared" si="224"/>
        <v>0</v>
      </c>
      <c r="S1603" s="9">
        <f t="array" ref="S1603">+SUM(IFERROR(VALUE(Q1603:R1603),0))</f>
        <v>0</v>
      </c>
    </row>
    <row r="1604" spans="1:19">
      <c r="A1604" s="26"/>
      <c r="B1604" s="27"/>
      <c r="C1604" s="27"/>
      <c r="D1604" s="28"/>
      <c r="F1604" s="9" t="str">
        <f t="shared" si="216"/>
        <v/>
      </c>
      <c r="G1604" s="9">
        <f t="shared" si="217"/>
        <v>0</v>
      </c>
      <c r="H1604" s="9">
        <f t="shared" si="218"/>
        <v>0</v>
      </c>
      <c r="I1604" s="9">
        <f t="array" ref="I1604">+SUM(IFERROR(VALUE(G1604:H1604),0))</f>
        <v>0</v>
      </c>
      <c r="K1604" s="9" t="str">
        <f t="shared" si="219"/>
        <v/>
      </c>
      <c r="L1604" s="9">
        <f t="shared" si="220"/>
        <v>0</v>
      </c>
      <c r="M1604" s="9">
        <f t="shared" si="221"/>
        <v>0</v>
      </c>
      <c r="N1604" s="9">
        <f t="array" ref="N1604">+SUM(IFERROR(VALUE(L1604:M1604),0))</f>
        <v>0</v>
      </c>
      <c r="P1604" s="9" t="str">
        <f t="shared" si="222"/>
        <v/>
      </c>
      <c r="Q1604" s="9">
        <f t="shared" si="223"/>
        <v>0</v>
      </c>
      <c r="R1604" s="9">
        <f t="shared" si="224"/>
        <v>0</v>
      </c>
      <c r="S1604" s="9">
        <f t="array" ref="S1604">+SUM(IFERROR(VALUE(Q1604:R1604),0))</f>
        <v>0</v>
      </c>
    </row>
    <row r="1605" spans="1:19">
      <c r="A1605" s="26"/>
      <c r="B1605" s="27"/>
      <c r="C1605" s="27"/>
      <c r="D1605" s="28"/>
      <c r="F1605" s="9" t="str">
        <f t="shared" si="216"/>
        <v/>
      </c>
      <c r="G1605" s="9">
        <f t="shared" si="217"/>
        <v>0</v>
      </c>
      <c r="H1605" s="9">
        <f t="shared" si="218"/>
        <v>0</v>
      </c>
      <c r="I1605" s="9">
        <f t="array" ref="I1605">+SUM(IFERROR(VALUE(G1605:H1605),0))</f>
        <v>0</v>
      </c>
      <c r="K1605" s="9" t="str">
        <f t="shared" si="219"/>
        <v/>
      </c>
      <c r="L1605" s="9">
        <f t="shared" si="220"/>
        <v>0</v>
      </c>
      <c r="M1605" s="9">
        <f t="shared" si="221"/>
        <v>0</v>
      </c>
      <c r="N1605" s="9">
        <f t="array" ref="N1605">+SUM(IFERROR(VALUE(L1605:M1605),0))</f>
        <v>0</v>
      </c>
      <c r="P1605" s="9" t="str">
        <f t="shared" si="222"/>
        <v/>
      </c>
      <c r="Q1605" s="9">
        <f t="shared" si="223"/>
        <v>0</v>
      </c>
      <c r="R1605" s="9">
        <f t="shared" si="224"/>
        <v>0</v>
      </c>
      <c r="S1605" s="9">
        <f t="array" ref="S1605">+SUM(IFERROR(VALUE(Q1605:R1605),0))</f>
        <v>0</v>
      </c>
    </row>
    <row r="1606" spans="1:19">
      <c r="A1606" s="26"/>
      <c r="B1606" s="27"/>
      <c r="C1606" s="27"/>
      <c r="D1606" s="28"/>
      <c r="F1606" s="9" t="str">
        <f t="shared" ref="F1606:F1669" si="225">+LEFT(A1606,4)</f>
        <v/>
      </c>
      <c r="G1606" s="9">
        <f t="shared" ref="G1606:G1669" si="226">+C1606</f>
        <v>0</v>
      </c>
      <c r="H1606" s="9">
        <f t="shared" ref="H1606:H1669" si="227">-D1606</f>
        <v>0</v>
      </c>
      <c r="I1606" s="9">
        <f t="array" ref="I1606">+SUM(IFERROR(VALUE(G1606:H1606),0))</f>
        <v>0</v>
      </c>
      <c r="K1606" s="9" t="str">
        <f t="shared" ref="K1606:K1669" si="228">+LEFT(A1606,3)</f>
        <v/>
      </c>
      <c r="L1606" s="9">
        <f t="shared" ref="L1606:L1669" si="229">+C1606</f>
        <v>0</v>
      </c>
      <c r="M1606" s="9">
        <f t="shared" ref="M1606:M1669" si="230">-D1606</f>
        <v>0</v>
      </c>
      <c r="N1606" s="9">
        <f t="array" ref="N1606">+SUM(IFERROR(VALUE(L1606:M1606),0))</f>
        <v>0</v>
      </c>
      <c r="P1606" s="9" t="str">
        <f t="shared" ref="P1606:P1669" si="231">+LEFT(A1606,2)</f>
        <v/>
      </c>
      <c r="Q1606" s="9">
        <f t="shared" ref="Q1606:Q1669" si="232">+C1606</f>
        <v>0</v>
      </c>
      <c r="R1606" s="9">
        <f t="shared" ref="R1606:R1669" si="233">-D1606</f>
        <v>0</v>
      </c>
      <c r="S1606" s="9">
        <f t="array" ref="S1606">+SUM(IFERROR(VALUE(Q1606:R1606),0))</f>
        <v>0</v>
      </c>
    </row>
    <row r="1607" spans="1:19">
      <c r="A1607" s="26"/>
      <c r="B1607" s="27"/>
      <c r="C1607" s="27"/>
      <c r="D1607" s="28"/>
      <c r="F1607" s="9" t="str">
        <f t="shared" si="225"/>
        <v/>
      </c>
      <c r="G1607" s="9">
        <f t="shared" si="226"/>
        <v>0</v>
      </c>
      <c r="H1607" s="9">
        <f t="shared" si="227"/>
        <v>0</v>
      </c>
      <c r="I1607" s="9">
        <f t="array" ref="I1607">+SUM(IFERROR(VALUE(G1607:H1607),0))</f>
        <v>0</v>
      </c>
      <c r="K1607" s="9" t="str">
        <f t="shared" si="228"/>
        <v/>
      </c>
      <c r="L1607" s="9">
        <f t="shared" si="229"/>
        <v>0</v>
      </c>
      <c r="M1607" s="9">
        <f t="shared" si="230"/>
        <v>0</v>
      </c>
      <c r="N1607" s="9">
        <f t="array" ref="N1607">+SUM(IFERROR(VALUE(L1607:M1607),0))</f>
        <v>0</v>
      </c>
      <c r="P1607" s="9" t="str">
        <f t="shared" si="231"/>
        <v/>
      </c>
      <c r="Q1607" s="9">
        <f t="shared" si="232"/>
        <v>0</v>
      </c>
      <c r="R1607" s="9">
        <f t="shared" si="233"/>
        <v>0</v>
      </c>
      <c r="S1607" s="9">
        <f t="array" ref="S1607">+SUM(IFERROR(VALUE(Q1607:R1607),0))</f>
        <v>0</v>
      </c>
    </row>
    <row r="1608" spans="1:19">
      <c r="A1608" s="26"/>
      <c r="B1608" s="27"/>
      <c r="C1608" s="27"/>
      <c r="D1608" s="28"/>
      <c r="F1608" s="9" t="str">
        <f t="shared" si="225"/>
        <v/>
      </c>
      <c r="G1608" s="9">
        <f t="shared" si="226"/>
        <v>0</v>
      </c>
      <c r="H1608" s="9">
        <f t="shared" si="227"/>
        <v>0</v>
      </c>
      <c r="I1608" s="9">
        <f t="array" ref="I1608">+SUM(IFERROR(VALUE(G1608:H1608),0))</f>
        <v>0</v>
      </c>
      <c r="K1608" s="9" t="str">
        <f t="shared" si="228"/>
        <v/>
      </c>
      <c r="L1608" s="9">
        <f t="shared" si="229"/>
        <v>0</v>
      </c>
      <c r="M1608" s="9">
        <f t="shared" si="230"/>
        <v>0</v>
      </c>
      <c r="N1608" s="9">
        <f t="array" ref="N1608">+SUM(IFERROR(VALUE(L1608:M1608),0))</f>
        <v>0</v>
      </c>
      <c r="P1608" s="9" t="str">
        <f t="shared" si="231"/>
        <v/>
      </c>
      <c r="Q1608" s="9">
        <f t="shared" si="232"/>
        <v>0</v>
      </c>
      <c r="R1608" s="9">
        <f t="shared" si="233"/>
        <v>0</v>
      </c>
      <c r="S1608" s="9">
        <f t="array" ref="S1608">+SUM(IFERROR(VALUE(Q1608:R1608),0))</f>
        <v>0</v>
      </c>
    </row>
    <row r="1609" spans="1:19">
      <c r="A1609" s="26"/>
      <c r="B1609" s="27"/>
      <c r="C1609" s="27"/>
      <c r="D1609" s="28"/>
      <c r="F1609" s="9" t="str">
        <f t="shared" si="225"/>
        <v/>
      </c>
      <c r="G1609" s="9">
        <f t="shared" si="226"/>
        <v>0</v>
      </c>
      <c r="H1609" s="9">
        <f t="shared" si="227"/>
        <v>0</v>
      </c>
      <c r="I1609" s="9">
        <f t="array" ref="I1609">+SUM(IFERROR(VALUE(G1609:H1609),0))</f>
        <v>0</v>
      </c>
      <c r="K1609" s="9" t="str">
        <f t="shared" si="228"/>
        <v/>
      </c>
      <c r="L1609" s="9">
        <f t="shared" si="229"/>
        <v>0</v>
      </c>
      <c r="M1609" s="9">
        <f t="shared" si="230"/>
        <v>0</v>
      </c>
      <c r="N1609" s="9">
        <f t="array" ref="N1609">+SUM(IFERROR(VALUE(L1609:M1609),0))</f>
        <v>0</v>
      </c>
      <c r="P1609" s="9" t="str">
        <f t="shared" si="231"/>
        <v/>
      </c>
      <c r="Q1609" s="9">
        <f t="shared" si="232"/>
        <v>0</v>
      </c>
      <c r="R1609" s="9">
        <f t="shared" si="233"/>
        <v>0</v>
      </c>
      <c r="S1609" s="9">
        <f t="array" ref="S1609">+SUM(IFERROR(VALUE(Q1609:R1609),0))</f>
        <v>0</v>
      </c>
    </row>
    <row r="1610" spans="1:19">
      <c r="A1610" s="26"/>
      <c r="B1610" s="27"/>
      <c r="C1610" s="27"/>
      <c r="D1610" s="28"/>
      <c r="F1610" s="9" t="str">
        <f t="shared" si="225"/>
        <v/>
      </c>
      <c r="G1610" s="9">
        <f t="shared" si="226"/>
        <v>0</v>
      </c>
      <c r="H1610" s="9">
        <f t="shared" si="227"/>
        <v>0</v>
      </c>
      <c r="I1610" s="9">
        <f t="array" ref="I1610">+SUM(IFERROR(VALUE(G1610:H1610),0))</f>
        <v>0</v>
      </c>
      <c r="K1610" s="9" t="str">
        <f t="shared" si="228"/>
        <v/>
      </c>
      <c r="L1610" s="9">
        <f t="shared" si="229"/>
        <v>0</v>
      </c>
      <c r="M1610" s="9">
        <f t="shared" si="230"/>
        <v>0</v>
      </c>
      <c r="N1610" s="9">
        <f t="array" ref="N1610">+SUM(IFERROR(VALUE(L1610:M1610),0))</f>
        <v>0</v>
      </c>
      <c r="P1610" s="9" t="str">
        <f t="shared" si="231"/>
        <v/>
      </c>
      <c r="Q1610" s="9">
        <f t="shared" si="232"/>
        <v>0</v>
      </c>
      <c r="R1610" s="9">
        <f t="shared" si="233"/>
        <v>0</v>
      </c>
      <c r="S1610" s="9">
        <f t="array" ref="S1610">+SUM(IFERROR(VALUE(Q1610:R1610),0))</f>
        <v>0</v>
      </c>
    </row>
    <row r="1611" spans="1:19">
      <c r="A1611" s="26"/>
      <c r="B1611" s="27"/>
      <c r="C1611" s="27"/>
      <c r="D1611" s="28"/>
      <c r="F1611" s="9" t="str">
        <f t="shared" si="225"/>
        <v/>
      </c>
      <c r="G1611" s="9">
        <f t="shared" si="226"/>
        <v>0</v>
      </c>
      <c r="H1611" s="9">
        <f t="shared" si="227"/>
        <v>0</v>
      </c>
      <c r="I1611" s="9">
        <f t="array" ref="I1611">+SUM(IFERROR(VALUE(G1611:H1611),0))</f>
        <v>0</v>
      </c>
      <c r="K1611" s="9" t="str">
        <f t="shared" si="228"/>
        <v/>
      </c>
      <c r="L1611" s="9">
        <f t="shared" si="229"/>
        <v>0</v>
      </c>
      <c r="M1611" s="9">
        <f t="shared" si="230"/>
        <v>0</v>
      </c>
      <c r="N1611" s="9">
        <f t="array" ref="N1611">+SUM(IFERROR(VALUE(L1611:M1611),0))</f>
        <v>0</v>
      </c>
      <c r="P1611" s="9" t="str">
        <f t="shared" si="231"/>
        <v/>
      </c>
      <c r="Q1611" s="9">
        <f t="shared" si="232"/>
        <v>0</v>
      </c>
      <c r="R1611" s="9">
        <f t="shared" si="233"/>
        <v>0</v>
      </c>
      <c r="S1611" s="9">
        <f t="array" ref="S1611">+SUM(IFERROR(VALUE(Q1611:R1611),0))</f>
        <v>0</v>
      </c>
    </row>
    <row r="1612" spans="1:19">
      <c r="A1612" s="26"/>
      <c r="B1612" s="27"/>
      <c r="C1612" s="27"/>
      <c r="D1612" s="28"/>
      <c r="F1612" s="9" t="str">
        <f t="shared" si="225"/>
        <v/>
      </c>
      <c r="G1612" s="9">
        <f t="shared" si="226"/>
        <v>0</v>
      </c>
      <c r="H1612" s="9">
        <f t="shared" si="227"/>
        <v>0</v>
      </c>
      <c r="I1612" s="9">
        <f t="array" ref="I1612">+SUM(IFERROR(VALUE(G1612:H1612),0))</f>
        <v>0</v>
      </c>
      <c r="K1612" s="9" t="str">
        <f t="shared" si="228"/>
        <v/>
      </c>
      <c r="L1612" s="9">
        <f t="shared" si="229"/>
        <v>0</v>
      </c>
      <c r="M1612" s="9">
        <f t="shared" si="230"/>
        <v>0</v>
      </c>
      <c r="N1612" s="9">
        <f t="array" ref="N1612">+SUM(IFERROR(VALUE(L1612:M1612),0))</f>
        <v>0</v>
      </c>
      <c r="P1612" s="9" t="str">
        <f t="shared" si="231"/>
        <v/>
      </c>
      <c r="Q1612" s="9">
        <f t="shared" si="232"/>
        <v>0</v>
      </c>
      <c r="R1612" s="9">
        <f t="shared" si="233"/>
        <v>0</v>
      </c>
      <c r="S1612" s="9">
        <f t="array" ref="S1612">+SUM(IFERROR(VALUE(Q1612:R1612),0))</f>
        <v>0</v>
      </c>
    </row>
    <row r="1613" spans="1:19">
      <c r="A1613" s="26"/>
      <c r="B1613" s="27"/>
      <c r="C1613" s="27"/>
      <c r="D1613" s="28"/>
      <c r="F1613" s="9" t="str">
        <f t="shared" si="225"/>
        <v/>
      </c>
      <c r="G1613" s="9">
        <f t="shared" si="226"/>
        <v>0</v>
      </c>
      <c r="H1613" s="9">
        <f t="shared" si="227"/>
        <v>0</v>
      </c>
      <c r="I1613" s="9">
        <f t="array" ref="I1613">+SUM(IFERROR(VALUE(G1613:H1613),0))</f>
        <v>0</v>
      </c>
      <c r="K1613" s="9" t="str">
        <f t="shared" si="228"/>
        <v/>
      </c>
      <c r="L1613" s="9">
        <f t="shared" si="229"/>
        <v>0</v>
      </c>
      <c r="M1613" s="9">
        <f t="shared" si="230"/>
        <v>0</v>
      </c>
      <c r="N1613" s="9">
        <f t="array" ref="N1613">+SUM(IFERROR(VALUE(L1613:M1613),0))</f>
        <v>0</v>
      </c>
      <c r="P1613" s="9" t="str">
        <f t="shared" si="231"/>
        <v/>
      </c>
      <c r="Q1613" s="9">
        <f t="shared" si="232"/>
        <v>0</v>
      </c>
      <c r="R1613" s="9">
        <f t="shared" si="233"/>
        <v>0</v>
      </c>
      <c r="S1613" s="9">
        <f t="array" ref="S1613">+SUM(IFERROR(VALUE(Q1613:R1613),0))</f>
        <v>0</v>
      </c>
    </row>
    <row r="1614" spans="1:19">
      <c r="A1614" s="26"/>
      <c r="B1614" s="27"/>
      <c r="C1614" s="27"/>
      <c r="D1614" s="28"/>
      <c r="F1614" s="9" t="str">
        <f t="shared" si="225"/>
        <v/>
      </c>
      <c r="G1614" s="9">
        <f t="shared" si="226"/>
        <v>0</v>
      </c>
      <c r="H1614" s="9">
        <f t="shared" si="227"/>
        <v>0</v>
      </c>
      <c r="I1614" s="9">
        <f t="array" ref="I1614">+SUM(IFERROR(VALUE(G1614:H1614),0))</f>
        <v>0</v>
      </c>
      <c r="K1614" s="9" t="str">
        <f t="shared" si="228"/>
        <v/>
      </c>
      <c r="L1614" s="9">
        <f t="shared" si="229"/>
        <v>0</v>
      </c>
      <c r="M1614" s="9">
        <f t="shared" si="230"/>
        <v>0</v>
      </c>
      <c r="N1614" s="9">
        <f t="array" ref="N1614">+SUM(IFERROR(VALUE(L1614:M1614),0))</f>
        <v>0</v>
      </c>
      <c r="P1614" s="9" t="str">
        <f t="shared" si="231"/>
        <v/>
      </c>
      <c r="Q1614" s="9">
        <f t="shared" si="232"/>
        <v>0</v>
      </c>
      <c r="R1614" s="9">
        <f t="shared" si="233"/>
        <v>0</v>
      </c>
      <c r="S1614" s="9">
        <f t="array" ref="S1614">+SUM(IFERROR(VALUE(Q1614:R1614),0))</f>
        <v>0</v>
      </c>
    </row>
    <row r="1615" spans="1:19">
      <c r="A1615" s="26"/>
      <c r="B1615" s="27"/>
      <c r="C1615" s="27"/>
      <c r="D1615" s="28"/>
      <c r="F1615" s="9" t="str">
        <f t="shared" si="225"/>
        <v/>
      </c>
      <c r="G1615" s="9">
        <f t="shared" si="226"/>
        <v>0</v>
      </c>
      <c r="H1615" s="9">
        <f t="shared" si="227"/>
        <v>0</v>
      </c>
      <c r="I1615" s="9">
        <f t="array" ref="I1615">+SUM(IFERROR(VALUE(G1615:H1615),0))</f>
        <v>0</v>
      </c>
      <c r="K1615" s="9" t="str">
        <f t="shared" si="228"/>
        <v/>
      </c>
      <c r="L1615" s="9">
        <f t="shared" si="229"/>
        <v>0</v>
      </c>
      <c r="M1615" s="9">
        <f t="shared" si="230"/>
        <v>0</v>
      </c>
      <c r="N1615" s="9">
        <f t="array" ref="N1615">+SUM(IFERROR(VALUE(L1615:M1615),0))</f>
        <v>0</v>
      </c>
      <c r="P1615" s="9" t="str">
        <f t="shared" si="231"/>
        <v/>
      </c>
      <c r="Q1615" s="9">
        <f t="shared" si="232"/>
        <v>0</v>
      </c>
      <c r="R1615" s="9">
        <f t="shared" si="233"/>
        <v>0</v>
      </c>
      <c r="S1615" s="9">
        <f t="array" ref="S1615">+SUM(IFERROR(VALUE(Q1615:R1615),0))</f>
        <v>0</v>
      </c>
    </row>
    <row r="1616" spans="1:19">
      <c r="A1616" s="26"/>
      <c r="B1616" s="27"/>
      <c r="C1616" s="27"/>
      <c r="D1616" s="28"/>
      <c r="F1616" s="9" t="str">
        <f t="shared" si="225"/>
        <v/>
      </c>
      <c r="G1616" s="9">
        <f t="shared" si="226"/>
        <v>0</v>
      </c>
      <c r="H1616" s="9">
        <f t="shared" si="227"/>
        <v>0</v>
      </c>
      <c r="I1616" s="9">
        <f t="array" ref="I1616">+SUM(IFERROR(VALUE(G1616:H1616),0))</f>
        <v>0</v>
      </c>
      <c r="K1616" s="9" t="str">
        <f t="shared" si="228"/>
        <v/>
      </c>
      <c r="L1616" s="9">
        <f t="shared" si="229"/>
        <v>0</v>
      </c>
      <c r="M1616" s="9">
        <f t="shared" si="230"/>
        <v>0</v>
      </c>
      <c r="N1616" s="9">
        <f t="array" ref="N1616">+SUM(IFERROR(VALUE(L1616:M1616),0))</f>
        <v>0</v>
      </c>
      <c r="P1616" s="9" t="str">
        <f t="shared" si="231"/>
        <v/>
      </c>
      <c r="Q1616" s="9">
        <f t="shared" si="232"/>
        <v>0</v>
      </c>
      <c r="R1616" s="9">
        <f t="shared" si="233"/>
        <v>0</v>
      </c>
      <c r="S1616" s="9">
        <f t="array" ref="S1616">+SUM(IFERROR(VALUE(Q1616:R1616),0))</f>
        <v>0</v>
      </c>
    </row>
    <row r="1617" spans="1:19">
      <c r="A1617" s="26"/>
      <c r="B1617" s="27"/>
      <c r="C1617" s="27"/>
      <c r="D1617" s="28"/>
      <c r="F1617" s="9" t="str">
        <f t="shared" si="225"/>
        <v/>
      </c>
      <c r="G1617" s="9">
        <f t="shared" si="226"/>
        <v>0</v>
      </c>
      <c r="H1617" s="9">
        <f t="shared" si="227"/>
        <v>0</v>
      </c>
      <c r="I1617" s="9">
        <f t="array" ref="I1617">+SUM(IFERROR(VALUE(G1617:H1617),0))</f>
        <v>0</v>
      </c>
      <c r="K1617" s="9" t="str">
        <f t="shared" si="228"/>
        <v/>
      </c>
      <c r="L1617" s="9">
        <f t="shared" si="229"/>
        <v>0</v>
      </c>
      <c r="M1617" s="9">
        <f t="shared" si="230"/>
        <v>0</v>
      </c>
      <c r="N1617" s="9">
        <f t="array" ref="N1617">+SUM(IFERROR(VALUE(L1617:M1617),0))</f>
        <v>0</v>
      </c>
      <c r="P1617" s="9" t="str">
        <f t="shared" si="231"/>
        <v/>
      </c>
      <c r="Q1617" s="9">
        <f t="shared" si="232"/>
        <v>0</v>
      </c>
      <c r="R1617" s="9">
        <f t="shared" si="233"/>
        <v>0</v>
      </c>
      <c r="S1617" s="9">
        <f t="array" ref="S1617">+SUM(IFERROR(VALUE(Q1617:R1617),0))</f>
        <v>0</v>
      </c>
    </row>
    <row r="1618" spans="1:19">
      <c r="A1618" s="26"/>
      <c r="B1618" s="27"/>
      <c r="C1618" s="27"/>
      <c r="D1618" s="28"/>
      <c r="F1618" s="9" t="str">
        <f t="shared" si="225"/>
        <v/>
      </c>
      <c r="G1618" s="9">
        <f t="shared" si="226"/>
        <v>0</v>
      </c>
      <c r="H1618" s="9">
        <f t="shared" si="227"/>
        <v>0</v>
      </c>
      <c r="I1618" s="9">
        <f t="array" ref="I1618">+SUM(IFERROR(VALUE(G1618:H1618),0))</f>
        <v>0</v>
      </c>
      <c r="K1618" s="9" t="str">
        <f t="shared" si="228"/>
        <v/>
      </c>
      <c r="L1618" s="9">
        <f t="shared" si="229"/>
        <v>0</v>
      </c>
      <c r="M1618" s="9">
        <f t="shared" si="230"/>
        <v>0</v>
      </c>
      <c r="N1618" s="9">
        <f t="array" ref="N1618">+SUM(IFERROR(VALUE(L1618:M1618),0))</f>
        <v>0</v>
      </c>
      <c r="P1618" s="9" t="str">
        <f t="shared" si="231"/>
        <v/>
      </c>
      <c r="Q1618" s="9">
        <f t="shared" si="232"/>
        <v>0</v>
      </c>
      <c r="R1618" s="9">
        <f t="shared" si="233"/>
        <v>0</v>
      </c>
      <c r="S1618" s="9">
        <f t="array" ref="S1618">+SUM(IFERROR(VALUE(Q1618:R1618),0))</f>
        <v>0</v>
      </c>
    </row>
    <row r="1619" spans="1:19">
      <c r="A1619" s="26"/>
      <c r="B1619" s="27"/>
      <c r="C1619" s="27"/>
      <c r="D1619" s="28"/>
      <c r="F1619" s="9" t="str">
        <f t="shared" si="225"/>
        <v/>
      </c>
      <c r="G1619" s="9">
        <f t="shared" si="226"/>
        <v>0</v>
      </c>
      <c r="H1619" s="9">
        <f t="shared" si="227"/>
        <v>0</v>
      </c>
      <c r="I1619" s="9">
        <f t="array" ref="I1619">+SUM(IFERROR(VALUE(G1619:H1619),0))</f>
        <v>0</v>
      </c>
      <c r="K1619" s="9" t="str">
        <f t="shared" si="228"/>
        <v/>
      </c>
      <c r="L1619" s="9">
        <f t="shared" si="229"/>
        <v>0</v>
      </c>
      <c r="M1619" s="9">
        <f t="shared" si="230"/>
        <v>0</v>
      </c>
      <c r="N1619" s="9">
        <f t="array" ref="N1619">+SUM(IFERROR(VALUE(L1619:M1619),0))</f>
        <v>0</v>
      </c>
      <c r="P1619" s="9" t="str">
        <f t="shared" si="231"/>
        <v/>
      </c>
      <c r="Q1619" s="9">
        <f t="shared" si="232"/>
        <v>0</v>
      </c>
      <c r="R1619" s="9">
        <f t="shared" si="233"/>
        <v>0</v>
      </c>
      <c r="S1619" s="9">
        <f t="array" ref="S1619">+SUM(IFERROR(VALUE(Q1619:R1619),0))</f>
        <v>0</v>
      </c>
    </row>
    <row r="1620" spans="1:19">
      <c r="A1620" s="26"/>
      <c r="B1620" s="27"/>
      <c r="C1620" s="27"/>
      <c r="D1620" s="28"/>
      <c r="F1620" s="9" t="str">
        <f t="shared" si="225"/>
        <v/>
      </c>
      <c r="G1620" s="9">
        <f t="shared" si="226"/>
        <v>0</v>
      </c>
      <c r="H1620" s="9">
        <f t="shared" si="227"/>
        <v>0</v>
      </c>
      <c r="I1620" s="9">
        <f t="array" ref="I1620">+SUM(IFERROR(VALUE(G1620:H1620),0))</f>
        <v>0</v>
      </c>
      <c r="K1620" s="9" t="str">
        <f t="shared" si="228"/>
        <v/>
      </c>
      <c r="L1620" s="9">
        <f t="shared" si="229"/>
        <v>0</v>
      </c>
      <c r="M1620" s="9">
        <f t="shared" si="230"/>
        <v>0</v>
      </c>
      <c r="N1620" s="9">
        <f t="array" ref="N1620">+SUM(IFERROR(VALUE(L1620:M1620),0))</f>
        <v>0</v>
      </c>
      <c r="P1620" s="9" t="str">
        <f t="shared" si="231"/>
        <v/>
      </c>
      <c r="Q1620" s="9">
        <f t="shared" si="232"/>
        <v>0</v>
      </c>
      <c r="R1620" s="9">
        <f t="shared" si="233"/>
        <v>0</v>
      </c>
      <c r="S1620" s="9">
        <f t="array" ref="S1620">+SUM(IFERROR(VALUE(Q1620:R1620),0))</f>
        <v>0</v>
      </c>
    </row>
    <row r="1621" spans="1:19">
      <c r="A1621" s="26"/>
      <c r="B1621" s="27"/>
      <c r="C1621" s="27"/>
      <c r="D1621" s="28"/>
      <c r="F1621" s="9" t="str">
        <f t="shared" si="225"/>
        <v/>
      </c>
      <c r="G1621" s="9">
        <f t="shared" si="226"/>
        <v>0</v>
      </c>
      <c r="H1621" s="9">
        <f t="shared" si="227"/>
        <v>0</v>
      </c>
      <c r="I1621" s="9">
        <f t="array" ref="I1621">+SUM(IFERROR(VALUE(G1621:H1621),0))</f>
        <v>0</v>
      </c>
      <c r="K1621" s="9" t="str">
        <f t="shared" si="228"/>
        <v/>
      </c>
      <c r="L1621" s="9">
        <f t="shared" si="229"/>
        <v>0</v>
      </c>
      <c r="M1621" s="9">
        <f t="shared" si="230"/>
        <v>0</v>
      </c>
      <c r="N1621" s="9">
        <f t="array" ref="N1621">+SUM(IFERROR(VALUE(L1621:M1621),0))</f>
        <v>0</v>
      </c>
      <c r="P1621" s="9" t="str">
        <f t="shared" si="231"/>
        <v/>
      </c>
      <c r="Q1621" s="9">
        <f t="shared" si="232"/>
        <v>0</v>
      </c>
      <c r="R1621" s="9">
        <f t="shared" si="233"/>
        <v>0</v>
      </c>
      <c r="S1621" s="9">
        <f t="array" ref="S1621">+SUM(IFERROR(VALUE(Q1621:R1621),0))</f>
        <v>0</v>
      </c>
    </row>
    <row r="1622" spans="1:19">
      <c r="A1622" s="26"/>
      <c r="B1622" s="27"/>
      <c r="C1622" s="27"/>
      <c r="D1622" s="28"/>
      <c r="F1622" s="9" t="str">
        <f t="shared" si="225"/>
        <v/>
      </c>
      <c r="G1622" s="9">
        <f t="shared" si="226"/>
        <v>0</v>
      </c>
      <c r="H1622" s="9">
        <f t="shared" si="227"/>
        <v>0</v>
      </c>
      <c r="I1622" s="9">
        <f t="array" ref="I1622">+SUM(IFERROR(VALUE(G1622:H1622),0))</f>
        <v>0</v>
      </c>
      <c r="K1622" s="9" t="str">
        <f t="shared" si="228"/>
        <v/>
      </c>
      <c r="L1622" s="9">
        <f t="shared" si="229"/>
        <v>0</v>
      </c>
      <c r="M1622" s="9">
        <f t="shared" si="230"/>
        <v>0</v>
      </c>
      <c r="N1622" s="9">
        <f t="array" ref="N1622">+SUM(IFERROR(VALUE(L1622:M1622),0))</f>
        <v>0</v>
      </c>
      <c r="P1622" s="9" t="str">
        <f t="shared" si="231"/>
        <v/>
      </c>
      <c r="Q1622" s="9">
        <f t="shared" si="232"/>
        <v>0</v>
      </c>
      <c r="R1622" s="9">
        <f t="shared" si="233"/>
        <v>0</v>
      </c>
      <c r="S1622" s="9">
        <f t="array" ref="S1622">+SUM(IFERROR(VALUE(Q1622:R1622),0))</f>
        <v>0</v>
      </c>
    </row>
    <row r="1623" spans="1:19">
      <c r="A1623" s="26"/>
      <c r="B1623" s="27"/>
      <c r="C1623" s="27"/>
      <c r="D1623" s="28"/>
      <c r="F1623" s="9" t="str">
        <f t="shared" si="225"/>
        <v/>
      </c>
      <c r="G1623" s="9">
        <f t="shared" si="226"/>
        <v>0</v>
      </c>
      <c r="H1623" s="9">
        <f t="shared" si="227"/>
        <v>0</v>
      </c>
      <c r="I1623" s="9">
        <f t="array" ref="I1623">+SUM(IFERROR(VALUE(G1623:H1623),0))</f>
        <v>0</v>
      </c>
      <c r="K1623" s="9" t="str">
        <f t="shared" si="228"/>
        <v/>
      </c>
      <c r="L1623" s="9">
        <f t="shared" si="229"/>
        <v>0</v>
      </c>
      <c r="M1623" s="9">
        <f t="shared" si="230"/>
        <v>0</v>
      </c>
      <c r="N1623" s="9">
        <f t="array" ref="N1623">+SUM(IFERROR(VALUE(L1623:M1623),0))</f>
        <v>0</v>
      </c>
      <c r="P1623" s="9" t="str">
        <f t="shared" si="231"/>
        <v/>
      </c>
      <c r="Q1623" s="9">
        <f t="shared" si="232"/>
        <v>0</v>
      </c>
      <c r="R1623" s="9">
        <f t="shared" si="233"/>
        <v>0</v>
      </c>
      <c r="S1623" s="9">
        <f t="array" ref="S1623">+SUM(IFERROR(VALUE(Q1623:R1623),0))</f>
        <v>0</v>
      </c>
    </row>
    <row r="1624" spans="1:19">
      <c r="A1624" s="26"/>
      <c r="B1624" s="27"/>
      <c r="C1624" s="27"/>
      <c r="D1624" s="28"/>
      <c r="F1624" s="9" t="str">
        <f t="shared" si="225"/>
        <v/>
      </c>
      <c r="G1624" s="9">
        <f t="shared" si="226"/>
        <v>0</v>
      </c>
      <c r="H1624" s="9">
        <f t="shared" si="227"/>
        <v>0</v>
      </c>
      <c r="I1624" s="9">
        <f t="array" ref="I1624">+SUM(IFERROR(VALUE(G1624:H1624),0))</f>
        <v>0</v>
      </c>
      <c r="K1624" s="9" t="str">
        <f t="shared" si="228"/>
        <v/>
      </c>
      <c r="L1624" s="9">
        <f t="shared" si="229"/>
        <v>0</v>
      </c>
      <c r="M1624" s="9">
        <f t="shared" si="230"/>
        <v>0</v>
      </c>
      <c r="N1624" s="9">
        <f t="array" ref="N1624">+SUM(IFERROR(VALUE(L1624:M1624),0))</f>
        <v>0</v>
      </c>
      <c r="P1624" s="9" t="str">
        <f t="shared" si="231"/>
        <v/>
      </c>
      <c r="Q1624" s="9">
        <f t="shared" si="232"/>
        <v>0</v>
      </c>
      <c r="R1624" s="9">
        <f t="shared" si="233"/>
        <v>0</v>
      </c>
      <c r="S1624" s="9">
        <f t="array" ref="S1624">+SUM(IFERROR(VALUE(Q1624:R1624),0))</f>
        <v>0</v>
      </c>
    </row>
    <row r="1625" spans="1:19">
      <c r="A1625" s="26"/>
      <c r="B1625" s="27"/>
      <c r="C1625" s="27"/>
      <c r="D1625" s="28"/>
      <c r="F1625" s="9" t="str">
        <f t="shared" si="225"/>
        <v/>
      </c>
      <c r="G1625" s="9">
        <f t="shared" si="226"/>
        <v>0</v>
      </c>
      <c r="H1625" s="9">
        <f t="shared" si="227"/>
        <v>0</v>
      </c>
      <c r="I1625" s="9">
        <f t="array" ref="I1625">+SUM(IFERROR(VALUE(G1625:H1625),0))</f>
        <v>0</v>
      </c>
      <c r="K1625" s="9" t="str">
        <f t="shared" si="228"/>
        <v/>
      </c>
      <c r="L1625" s="9">
        <f t="shared" si="229"/>
        <v>0</v>
      </c>
      <c r="M1625" s="9">
        <f t="shared" si="230"/>
        <v>0</v>
      </c>
      <c r="N1625" s="9">
        <f t="array" ref="N1625">+SUM(IFERROR(VALUE(L1625:M1625),0))</f>
        <v>0</v>
      </c>
      <c r="P1625" s="9" t="str">
        <f t="shared" si="231"/>
        <v/>
      </c>
      <c r="Q1625" s="9">
        <f t="shared" si="232"/>
        <v>0</v>
      </c>
      <c r="R1625" s="9">
        <f t="shared" si="233"/>
        <v>0</v>
      </c>
      <c r="S1625" s="9">
        <f t="array" ref="S1625">+SUM(IFERROR(VALUE(Q1625:R1625),0))</f>
        <v>0</v>
      </c>
    </row>
    <row r="1626" spans="1:19">
      <c r="A1626" s="26"/>
      <c r="B1626" s="27"/>
      <c r="C1626" s="27"/>
      <c r="D1626" s="28"/>
      <c r="F1626" s="9" t="str">
        <f t="shared" si="225"/>
        <v/>
      </c>
      <c r="G1626" s="9">
        <f t="shared" si="226"/>
        <v>0</v>
      </c>
      <c r="H1626" s="9">
        <f t="shared" si="227"/>
        <v>0</v>
      </c>
      <c r="I1626" s="9">
        <f t="array" ref="I1626">+SUM(IFERROR(VALUE(G1626:H1626),0))</f>
        <v>0</v>
      </c>
      <c r="K1626" s="9" t="str">
        <f t="shared" si="228"/>
        <v/>
      </c>
      <c r="L1626" s="9">
        <f t="shared" si="229"/>
        <v>0</v>
      </c>
      <c r="M1626" s="9">
        <f t="shared" si="230"/>
        <v>0</v>
      </c>
      <c r="N1626" s="9">
        <f t="array" ref="N1626">+SUM(IFERROR(VALUE(L1626:M1626),0))</f>
        <v>0</v>
      </c>
      <c r="P1626" s="9" t="str">
        <f t="shared" si="231"/>
        <v/>
      </c>
      <c r="Q1626" s="9">
        <f t="shared" si="232"/>
        <v>0</v>
      </c>
      <c r="R1626" s="9">
        <f t="shared" si="233"/>
        <v>0</v>
      </c>
      <c r="S1626" s="9">
        <f t="array" ref="S1626">+SUM(IFERROR(VALUE(Q1626:R1626),0))</f>
        <v>0</v>
      </c>
    </row>
    <row r="1627" spans="1:19">
      <c r="A1627" s="26"/>
      <c r="B1627" s="27"/>
      <c r="C1627" s="27"/>
      <c r="D1627" s="28"/>
      <c r="F1627" s="9" t="str">
        <f t="shared" si="225"/>
        <v/>
      </c>
      <c r="G1627" s="9">
        <f t="shared" si="226"/>
        <v>0</v>
      </c>
      <c r="H1627" s="9">
        <f t="shared" si="227"/>
        <v>0</v>
      </c>
      <c r="I1627" s="9">
        <f t="array" ref="I1627">+SUM(IFERROR(VALUE(G1627:H1627),0))</f>
        <v>0</v>
      </c>
      <c r="K1627" s="9" t="str">
        <f t="shared" si="228"/>
        <v/>
      </c>
      <c r="L1627" s="9">
        <f t="shared" si="229"/>
        <v>0</v>
      </c>
      <c r="M1627" s="9">
        <f t="shared" si="230"/>
        <v>0</v>
      </c>
      <c r="N1627" s="9">
        <f t="array" ref="N1627">+SUM(IFERROR(VALUE(L1627:M1627),0))</f>
        <v>0</v>
      </c>
      <c r="P1627" s="9" t="str">
        <f t="shared" si="231"/>
        <v/>
      </c>
      <c r="Q1627" s="9">
        <f t="shared" si="232"/>
        <v>0</v>
      </c>
      <c r="R1627" s="9">
        <f t="shared" si="233"/>
        <v>0</v>
      </c>
      <c r="S1627" s="9">
        <f t="array" ref="S1627">+SUM(IFERROR(VALUE(Q1627:R1627),0))</f>
        <v>0</v>
      </c>
    </row>
    <row r="1628" spans="1:19">
      <c r="A1628" s="26"/>
      <c r="B1628" s="27"/>
      <c r="C1628" s="27"/>
      <c r="D1628" s="28"/>
      <c r="F1628" s="9" t="str">
        <f t="shared" si="225"/>
        <v/>
      </c>
      <c r="G1628" s="9">
        <f t="shared" si="226"/>
        <v>0</v>
      </c>
      <c r="H1628" s="9">
        <f t="shared" si="227"/>
        <v>0</v>
      </c>
      <c r="I1628" s="9">
        <f t="array" ref="I1628">+SUM(IFERROR(VALUE(G1628:H1628),0))</f>
        <v>0</v>
      </c>
      <c r="K1628" s="9" t="str">
        <f t="shared" si="228"/>
        <v/>
      </c>
      <c r="L1628" s="9">
        <f t="shared" si="229"/>
        <v>0</v>
      </c>
      <c r="M1628" s="9">
        <f t="shared" si="230"/>
        <v>0</v>
      </c>
      <c r="N1628" s="9">
        <f t="array" ref="N1628">+SUM(IFERROR(VALUE(L1628:M1628),0))</f>
        <v>0</v>
      </c>
      <c r="P1628" s="9" t="str">
        <f t="shared" si="231"/>
        <v/>
      </c>
      <c r="Q1628" s="9">
        <f t="shared" si="232"/>
        <v>0</v>
      </c>
      <c r="R1628" s="9">
        <f t="shared" si="233"/>
        <v>0</v>
      </c>
      <c r="S1628" s="9">
        <f t="array" ref="S1628">+SUM(IFERROR(VALUE(Q1628:R1628),0))</f>
        <v>0</v>
      </c>
    </row>
    <row r="1629" spans="1:19">
      <c r="A1629" s="26"/>
      <c r="B1629" s="27"/>
      <c r="C1629" s="27"/>
      <c r="D1629" s="28"/>
      <c r="F1629" s="9" t="str">
        <f t="shared" si="225"/>
        <v/>
      </c>
      <c r="G1629" s="9">
        <f t="shared" si="226"/>
        <v>0</v>
      </c>
      <c r="H1629" s="9">
        <f t="shared" si="227"/>
        <v>0</v>
      </c>
      <c r="I1629" s="9">
        <f t="array" ref="I1629">+SUM(IFERROR(VALUE(G1629:H1629),0))</f>
        <v>0</v>
      </c>
      <c r="K1629" s="9" t="str">
        <f t="shared" si="228"/>
        <v/>
      </c>
      <c r="L1629" s="9">
        <f t="shared" si="229"/>
        <v>0</v>
      </c>
      <c r="M1629" s="9">
        <f t="shared" si="230"/>
        <v>0</v>
      </c>
      <c r="N1629" s="9">
        <f t="array" ref="N1629">+SUM(IFERROR(VALUE(L1629:M1629),0))</f>
        <v>0</v>
      </c>
      <c r="P1629" s="9" t="str">
        <f t="shared" si="231"/>
        <v/>
      </c>
      <c r="Q1629" s="9">
        <f t="shared" si="232"/>
        <v>0</v>
      </c>
      <c r="R1629" s="9">
        <f t="shared" si="233"/>
        <v>0</v>
      </c>
      <c r="S1629" s="9">
        <f t="array" ref="S1629">+SUM(IFERROR(VALUE(Q1629:R1629),0))</f>
        <v>0</v>
      </c>
    </row>
    <row r="1630" spans="1:19">
      <c r="A1630" s="26"/>
      <c r="B1630" s="27"/>
      <c r="C1630" s="27"/>
      <c r="D1630" s="28"/>
      <c r="F1630" s="9" t="str">
        <f t="shared" si="225"/>
        <v/>
      </c>
      <c r="G1630" s="9">
        <f t="shared" si="226"/>
        <v>0</v>
      </c>
      <c r="H1630" s="9">
        <f t="shared" si="227"/>
        <v>0</v>
      </c>
      <c r="I1630" s="9">
        <f t="array" ref="I1630">+SUM(IFERROR(VALUE(G1630:H1630),0))</f>
        <v>0</v>
      </c>
      <c r="K1630" s="9" t="str">
        <f t="shared" si="228"/>
        <v/>
      </c>
      <c r="L1630" s="9">
        <f t="shared" si="229"/>
        <v>0</v>
      </c>
      <c r="M1630" s="9">
        <f t="shared" si="230"/>
        <v>0</v>
      </c>
      <c r="N1630" s="9">
        <f t="array" ref="N1630">+SUM(IFERROR(VALUE(L1630:M1630),0))</f>
        <v>0</v>
      </c>
      <c r="P1630" s="9" t="str">
        <f t="shared" si="231"/>
        <v/>
      </c>
      <c r="Q1630" s="9">
        <f t="shared" si="232"/>
        <v>0</v>
      </c>
      <c r="R1630" s="9">
        <f t="shared" si="233"/>
        <v>0</v>
      </c>
      <c r="S1630" s="9">
        <f t="array" ref="S1630">+SUM(IFERROR(VALUE(Q1630:R1630),0))</f>
        <v>0</v>
      </c>
    </row>
    <row r="1631" spans="1:19">
      <c r="A1631" s="26"/>
      <c r="B1631" s="27"/>
      <c r="C1631" s="27"/>
      <c r="D1631" s="28"/>
      <c r="F1631" s="9" t="str">
        <f t="shared" si="225"/>
        <v/>
      </c>
      <c r="G1631" s="9">
        <f t="shared" si="226"/>
        <v>0</v>
      </c>
      <c r="H1631" s="9">
        <f t="shared" si="227"/>
        <v>0</v>
      </c>
      <c r="I1631" s="9">
        <f t="array" ref="I1631">+SUM(IFERROR(VALUE(G1631:H1631),0))</f>
        <v>0</v>
      </c>
      <c r="K1631" s="9" t="str">
        <f t="shared" si="228"/>
        <v/>
      </c>
      <c r="L1631" s="9">
        <f t="shared" si="229"/>
        <v>0</v>
      </c>
      <c r="M1631" s="9">
        <f t="shared" si="230"/>
        <v>0</v>
      </c>
      <c r="N1631" s="9">
        <f t="array" ref="N1631">+SUM(IFERROR(VALUE(L1631:M1631),0))</f>
        <v>0</v>
      </c>
      <c r="P1631" s="9" t="str">
        <f t="shared" si="231"/>
        <v/>
      </c>
      <c r="Q1631" s="9">
        <f t="shared" si="232"/>
        <v>0</v>
      </c>
      <c r="R1631" s="9">
        <f t="shared" si="233"/>
        <v>0</v>
      </c>
      <c r="S1631" s="9">
        <f t="array" ref="S1631">+SUM(IFERROR(VALUE(Q1631:R1631),0))</f>
        <v>0</v>
      </c>
    </row>
    <row r="1632" spans="1:19">
      <c r="A1632" s="26"/>
      <c r="B1632" s="27"/>
      <c r="C1632" s="27"/>
      <c r="D1632" s="28"/>
      <c r="F1632" s="9" t="str">
        <f t="shared" si="225"/>
        <v/>
      </c>
      <c r="G1632" s="9">
        <f t="shared" si="226"/>
        <v>0</v>
      </c>
      <c r="H1632" s="9">
        <f t="shared" si="227"/>
        <v>0</v>
      </c>
      <c r="I1632" s="9">
        <f t="array" ref="I1632">+SUM(IFERROR(VALUE(G1632:H1632),0))</f>
        <v>0</v>
      </c>
      <c r="K1632" s="9" t="str">
        <f t="shared" si="228"/>
        <v/>
      </c>
      <c r="L1632" s="9">
        <f t="shared" si="229"/>
        <v>0</v>
      </c>
      <c r="M1632" s="9">
        <f t="shared" si="230"/>
        <v>0</v>
      </c>
      <c r="N1632" s="9">
        <f t="array" ref="N1632">+SUM(IFERROR(VALUE(L1632:M1632),0))</f>
        <v>0</v>
      </c>
      <c r="P1632" s="9" t="str">
        <f t="shared" si="231"/>
        <v/>
      </c>
      <c r="Q1632" s="9">
        <f t="shared" si="232"/>
        <v>0</v>
      </c>
      <c r="R1632" s="9">
        <f t="shared" si="233"/>
        <v>0</v>
      </c>
      <c r="S1632" s="9">
        <f t="array" ref="S1632">+SUM(IFERROR(VALUE(Q1632:R1632),0))</f>
        <v>0</v>
      </c>
    </row>
    <row r="1633" spans="1:19">
      <c r="A1633" s="26"/>
      <c r="B1633" s="27"/>
      <c r="C1633" s="27"/>
      <c r="D1633" s="28"/>
      <c r="F1633" s="9" t="str">
        <f t="shared" si="225"/>
        <v/>
      </c>
      <c r="G1633" s="9">
        <f t="shared" si="226"/>
        <v>0</v>
      </c>
      <c r="H1633" s="9">
        <f t="shared" si="227"/>
        <v>0</v>
      </c>
      <c r="I1633" s="9">
        <f t="array" ref="I1633">+SUM(IFERROR(VALUE(G1633:H1633),0))</f>
        <v>0</v>
      </c>
      <c r="K1633" s="9" t="str">
        <f t="shared" si="228"/>
        <v/>
      </c>
      <c r="L1633" s="9">
        <f t="shared" si="229"/>
        <v>0</v>
      </c>
      <c r="M1633" s="9">
        <f t="shared" si="230"/>
        <v>0</v>
      </c>
      <c r="N1633" s="9">
        <f t="array" ref="N1633">+SUM(IFERROR(VALUE(L1633:M1633),0))</f>
        <v>0</v>
      </c>
      <c r="P1633" s="9" t="str">
        <f t="shared" si="231"/>
        <v/>
      </c>
      <c r="Q1633" s="9">
        <f t="shared" si="232"/>
        <v>0</v>
      </c>
      <c r="R1633" s="9">
        <f t="shared" si="233"/>
        <v>0</v>
      </c>
      <c r="S1633" s="9">
        <f t="array" ref="S1633">+SUM(IFERROR(VALUE(Q1633:R1633),0))</f>
        <v>0</v>
      </c>
    </row>
    <row r="1634" spans="1:19">
      <c r="A1634" s="26"/>
      <c r="B1634" s="27"/>
      <c r="C1634" s="27"/>
      <c r="D1634" s="28"/>
      <c r="F1634" s="9" t="str">
        <f t="shared" si="225"/>
        <v/>
      </c>
      <c r="G1634" s="9">
        <f t="shared" si="226"/>
        <v>0</v>
      </c>
      <c r="H1634" s="9">
        <f t="shared" si="227"/>
        <v>0</v>
      </c>
      <c r="I1634" s="9">
        <f t="array" ref="I1634">+SUM(IFERROR(VALUE(G1634:H1634),0))</f>
        <v>0</v>
      </c>
      <c r="K1634" s="9" t="str">
        <f t="shared" si="228"/>
        <v/>
      </c>
      <c r="L1634" s="9">
        <f t="shared" si="229"/>
        <v>0</v>
      </c>
      <c r="M1634" s="9">
        <f t="shared" si="230"/>
        <v>0</v>
      </c>
      <c r="N1634" s="9">
        <f t="array" ref="N1634">+SUM(IFERROR(VALUE(L1634:M1634),0))</f>
        <v>0</v>
      </c>
      <c r="P1634" s="9" t="str">
        <f t="shared" si="231"/>
        <v/>
      </c>
      <c r="Q1634" s="9">
        <f t="shared" si="232"/>
        <v>0</v>
      </c>
      <c r="R1634" s="9">
        <f t="shared" si="233"/>
        <v>0</v>
      </c>
      <c r="S1634" s="9">
        <f t="array" ref="S1634">+SUM(IFERROR(VALUE(Q1634:R1634),0))</f>
        <v>0</v>
      </c>
    </row>
    <row r="1635" spans="1:19">
      <c r="A1635" s="26"/>
      <c r="B1635" s="27"/>
      <c r="C1635" s="27"/>
      <c r="D1635" s="28"/>
      <c r="F1635" s="9" t="str">
        <f t="shared" si="225"/>
        <v/>
      </c>
      <c r="G1635" s="9">
        <f t="shared" si="226"/>
        <v>0</v>
      </c>
      <c r="H1635" s="9">
        <f t="shared" si="227"/>
        <v>0</v>
      </c>
      <c r="I1635" s="9">
        <f t="array" ref="I1635">+SUM(IFERROR(VALUE(G1635:H1635),0))</f>
        <v>0</v>
      </c>
      <c r="K1635" s="9" t="str">
        <f t="shared" si="228"/>
        <v/>
      </c>
      <c r="L1635" s="9">
        <f t="shared" si="229"/>
        <v>0</v>
      </c>
      <c r="M1635" s="9">
        <f t="shared" si="230"/>
        <v>0</v>
      </c>
      <c r="N1635" s="9">
        <f t="array" ref="N1635">+SUM(IFERROR(VALUE(L1635:M1635),0))</f>
        <v>0</v>
      </c>
      <c r="P1635" s="9" t="str">
        <f t="shared" si="231"/>
        <v/>
      </c>
      <c r="Q1635" s="9">
        <f t="shared" si="232"/>
        <v>0</v>
      </c>
      <c r="R1635" s="9">
        <f t="shared" si="233"/>
        <v>0</v>
      </c>
      <c r="S1635" s="9">
        <f t="array" ref="S1635">+SUM(IFERROR(VALUE(Q1635:R1635),0))</f>
        <v>0</v>
      </c>
    </row>
    <row r="1636" spans="1:19">
      <c r="A1636" s="26"/>
      <c r="B1636" s="27"/>
      <c r="C1636" s="27"/>
      <c r="D1636" s="28"/>
      <c r="F1636" s="9" t="str">
        <f t="shared" si="225"/>
        <v/>
      </c>
      <c r="G1636" s="9">
        <f t="shared" si="226"/>
        <v>0</v>
      </c>
      <c r="H1636" s="9">
        <f t="shared" si="227"/>
        <v>0</v>
      </c>
      <c r="I1636" s="9">
        <f t="array" ref="I1636">+SUM(IFERROR(VALUE(G1636:H1636),0))</f>
        <v>0</v>
      </c>
      <c r="K1636" s="9" t="str">
        <f t="shared" si="228"/>
        <v/>
      </c>
      <c r="L1636" s="9">
        <f t="shared" si="229"/>
        <v>0</v>
      </c>
      <c r="M1636" s="9">
        <f t="shared" si="230"/>
        <v>0</v>
      </c>
      <c r="N1636" s="9">
        <f t="array" ref="N1636">+SUM(IFERROR(VALUE(L1636:M1636),0))</f>
        <v>0</v>
      </c>
      <c r="P1636" s="9" t="str">
        <f t="shared" si="231"/>
        <v/>
      </c>
      <c r="Q1636" s="9">
        <f t="shared" si="232"/>
        <v>0</v>
      </c>
      <c r="R1636" s="9">
        <f t="shared" si="233"/>
        <v>0</v>
      </c>
      <c r="S1636" s="9">
        <f t="array" ref="S1636">+SUM(IFERROR(VALUE(Q1636:R1636),0))</f>
        <v>0</v>
      </c>
    </row>
    <row r="1637" spans="1:19">
      <c r="A1637" s="26"/>
      <c r="B1637" s="27"/>
      <c r="C1637" s="27"/>
      <c r="D1637" s="28"/>
      <c r="F1637" s="9" t="str">
        <f t="shared" si="225"/>
        <v/>
      </c>
      <c r="G1637" s="9">
        <f t="shared" si="226"/>
        <v>0</v>
      </c>
      <c r="H1637" s="9">
        <f t="shared" si="227"/>
        <v>0</v>
      </c>
      <c r="I1637" s="9">
        <f t="array" ref="I1637">+SUM(IFERROR(VALUE(G1637:H1637),0))</f>
        <v>0</v>
      </c>
      <c r="K1637" s="9" t="str">
        <f t="shared" si="228"/>
        <v/>
      </c>
      <c r="L1637" s="9">
        <f t="shared" si="229"/>
        <v>0</v>
      </c>
      <c r="M1637" s="9">
        <f t="shared" si="230"/>
        <v>0</v>
      </c>
      <c r="N1637" s="9">
        <f t="array" ref="N1637">+SUM(IFERROR(VALUE(L1637:M1637),0))</f>
        <v>0</v>
      </c>
      <c r="P1637" s="9" t="str">
        <f t="shared" si="231"/>
        <v/>
      </c>
      <c r="Q1637" s="9">
        <f t="shared" si="232"/>
        <v>0</v>
      </c>
      <c r="R1637" s="9">
        <f t="shared" si="233"/>
        <v>0</v>
      </c>
      <c r="S1637" s="9">
        <f t="array" ref="S1637">+SUM(IFERROR(VALUE(Q1637:R1637),0))</f>
        <v>0</v>
      </c>
    </row>
    <row r="1638" spans="1:19">
      <c r="A1638" s="26"/>
      <c r="B1638" s="27"/>
      <c r="C1638" s="27"/>
      <c r="D1638" s="28"/>
      <c r="F1638" s="9" t="str">
        <f t="shared" si="225"/>
        <v/>
      </c>
      <c r="G1638" s="9">
        <f t="shared" si="226"/>
        <v>0</v>
      </c>
      <c r="H1638" s="9">
        <f t="shared" si="227"/>
        <v>0</v>
      </c>
      <c r="I1638" s="9">
        <f t="array" ref="I1638">+SUM(IFERROR(VALUE(G1638:H1638),0))</f>
        <v>0</v>
      </c>
      <c r="K1638" s="9" t="str">
        <f t="shared" si="228"/>
        <v/>
      </c>
      <c r="L1638" s="9">
        <f t="shared" si="229"/>
        <v>0</v>
      </c>
      <c r="M1638" s="9">
        <f t="shared" si="230"/>
        <v>0</v>
      </c>
      <c r="N1638" s="9">
        <f t="array" ref="N1638">+SUM(IFERROR(VALUE(L1638:M1638),0))</f>
        <v>0</v>
      </c>
      <c r="P1638" s="9" t="str">
        <f t="shared" si="231"/>
        <v/>
      </c>
      <c r="Q1638" s="9">
        <f t="shared" si="232"/>
        <v>0</v>
      </c>
      <c r="R1638" s="9">
        <f t="shared" si="233"/>
        <v>0</v>
      </c>
      <c r="S1638" s="9">
        <f t="array" ref="S1638">+SUM(IFERROR(VALUE(Q1638:R1638),0))</f>
        <v>0</v>
      </c>
    </row>
    <row r="1639" spans="1:19">
      <c r="A1639" s="26"/>
      <c r="B1639" s="27"/>
      <c r="C1639" s="27"/>
      <c r="D1639" s="28"/>
      <c r="F1639" s="9" t="str">
        <f t="shared" si="225"/>
        <v/>
      </c>
      <c r="G1639" s="9">
        <f t="shared" si="226"/>
        <v>0</v>
      </c>
      <c r="H1639" s="9">
        <f t="shared" si="227"/>
        <v>0</v>
      </c>
      <c r="I1639" s="9">
        <f t="array" ref="I1639">+SUM(IFERROR(VALUE(G1639:H1639),0))</f>
        <v>0</v>
      </c>
      <c r="K1639" s="9" t="str">
        <f t="shared" si="228"/>
        <v/>
      </c>
      <c r="L1639" s="9">
        <f t="shared" si="229"/>
        <v>0</v>
      </c>
      <c r="M1639" s="9">
        <f t="shared" si="230"/>
        <v>0</v>
      </c>
      <c r="N1639" s="9">
        <f t="array" ref="N1639">+SUM(IFERROR(VALUE(L1639:M1639),0))</f>
        <v>0</v>
      </c>
      <c r="P1639" s="9" t="str">
        <f t="shared" si="231"/>
        <v/>
      </c>
      <c r="Q1639" s="9">
        <f t="shared" si="232"/>
        <v>0</v>
      </c>
      <c r="R1639" s="9">
        <f t="shared" si="233"/>
        <v>0</v>
      </c>
      <c r="S1639" s="9">
        <f t="array" ref="S1639">+SUM(IFERROR(VALUE(Q1639:R1639),0))</f>
        <v>0</v>
      </c>
    </row>
    <row r="1640" spans="1:19">
      <c r="A1640" s="26"/>
      <c r="B1640" s="27"/>
      <c r="C1640" s="27"/>
      <c r="D1640" s="28"/>
      <c r="F1640" s="9" t="str">
        <f t="shared" si="225"/>
        <v/>
      </c>
      <c r="G1640" s="9">
        <f t="shared" si="226"/>
        <v>0</v>
      </c>
      <c r="H1640" s="9">
        <f t="shared" si="227"/>
        <v>0</v>
      </c>
      <c r="I1640" s="9">
        <f t="array" ref="I1640">+SUM(IFERROR(VALUE(G1640:H1640),0))</f>
        <v>0</v>
      </c>
      <c r="K1640" s="9" t="str">
        <f t="shared" si="228"/>
        <v/>
      </c>
      <c r="L1640" s="9">
        <f t="shared" si="229"/>
        <v>0</v>
      </c>
      <c r="M1640" s="9">
        <f t="shared" si="230"/>
        <v>0</v>
      </c>
      <c r="N1640" s="9">
        <f t="array" ref="N1640">+SUM(IFERROR(VALUE(L1640:M1640),0))</f>
        <v>0</v>
      </c>
      <c r="P1640" s="9" t="str">
        <f t="shared" si="231"/>
        <v/>
      </c>
      <c r="Q1640" s="9">
        <f t="shared" si="232"/>
        <v>0</v>
      </c>
      <c r="R1640" s="9">
        <f t="shared" si="233"/>
        <v>0</v>
      </c>
      <c r="S1640" s="9">
        <f t="array" ref="S1640">+SUM(IFERROR(VALUE(Q1640:R1640),0))</f>
        <v>0</v>
      </c>
    </row>
    <row r="1641" spans="1:19">
      <c r="A1641" s="26"/>
      <c r="B1641" s="27"/>
      <c r="C1641" s="27"/>
      <c r="D1641" s="28"/>
      <c r="F1641" s="9" t="str">
        <f t="shared" si="225"/>
        <v/>
      </c>
      <c r="G1641" s="9">
        <f t="shared" si="226"/>
        <v>0</v>
      </c>
      <c r="H1641" s="9">
        <f t="shared" si="227"/>
        <v>0</v>
      </c>
      <c r="I1641" s="9">
        <f t="array" ref="I1641">+SUM(IFERROR(VALUE(G1641:H1641),0))</f>
        <v>0</v>
      </c>
      <c r="K1641" s="9" t="str">
        <f t="shared" si="228"/>
        <v/>
      </c>
      <c r="L1641" s="9">
        <f t="shared" si="229"/>
        <v>0</v>
      </c>
      <c r="M1641" s="9">
        <f t="shared" si="230"/>
        <v>0</v>
      </c>
      <c r="N1641" s="9">
        <f t="array" ref="N1641">+SUM(IFERROR(VALUE(L1641:M1641),0))</f>
        <v>0</v>
      </c>
      <c r="P1641" s="9" t="str">
        <f t="shared" si="231"/>
        <v/>
      </c>
      <c r="Q1641" s="9">
        <f t="shared" si="232"/>
        <v>0</v>
      </c>
      <c r="R1641" s="9">
        <f t="shared" si="233"/>
        <v>0</v>
      </c>
      <c r="S1641" s="9">
        <f t="array" ref="S1641">+SUM(IFERROR(VALUE(Q1641:R1641),0))</f>
        <v>0</v>
      </c>
    </row>
    <row r="1642" spans="1:19">
      <c r="A1642" s="26"/>
      <c r="B1642" s="27"/>
      <c r="C1642" s="27"/>
      <c r="D1642" s="28"/>
      <c r="F1642" s="9" t="str">
        <f t="shared" si="225"/>
        <v/>
      </c>
      <c r="G1642" s="9">
        <f t="shared" si="226"/>
        <v>0</v>
      </c>
      <c r="H1642" s="9">
        <f t="shared" si="227"/>
        <v>0</v>
      </c>
      <c r="I1642" s="9">
        <f t="array" ref="I1642">+SUM(IFERROR(VALUE(G1642:H1642),0))</f>
        <v>0</v>
      </c>
      <c r="K1642" s="9" t="str">
        <f t="shared" si="228"/>
        <v/>
      </c>
      <c r="L1642" s="9">
        <f t="shared" si="229"/>
        <v>0</v>
      </c>
      <c r="M1642" s="9">
        <f t="shared" si="230"/>
        <v>0</v>
      </c>
      <c r="N1642" s="9">
        <f t="array" ref="N1642">+SUM(IFERROR(VALUE(L1642:M1642),0))</f>
        <v>0</v>
      </c>
      <c r="P1642" s="9" t="str">
        <f t="shared" si="231"/>
        <v/>
      </c>
      <c r="Q1642" s="9">
        <f t="shared" si="232"/>
        <v>0</v>
      </c>
      <c r="R1642" s="9">
        <f t="shared" si="233"/>
        <v>0</v>
      </c>
      <c r="S1642" s="9">
        <f t="array" ref="S1642">+SUM(IFERROR(VALUE(Q1642:R1642),0))</f>
        <v>0</v>
      </c>
    </row>
    <row r="1643" spans="1:19">
      <c r="A1643" s="26"/>
      <c r="B1643" s="27"/>
      <c r="C1643" s="27"/>
      <c r="D1643" s="28"/>
      <c r="F1643" s="9" t="str">
        <f t="shared" si="225"/>
        <v/>
      </c>
      <c r="G1643" s="9">
        <f t="shared" si="226"/>
        <v>0</v>
      </c>
      <c r="H1643" s="9">
        <f t="shared" si="227"/>
        <v>0</v>
      </c>
      <c r="I1643" s="9">
        <f t="array" ref="I1643">+SUM(IFERROR(VALUE(G1643:H1643),0))</f>
        <v>0</v>
      </c>
      <c r="K1643" s="9" t="str">
        <f t="shared" si="228"/>
        <v/>
      </c>
      <c r="L1643" s="9">
        <f t="shared" si="229"/>
        <v>0</v>
      </c>
      <c r="M1643" s="9">
        <f t="shared" si="230"/>
        <v>0</v>
      </c>
      <c r="N1643" s="9">
        <f t="array" ref="N1643">+SUM(IFERROR(VALUE(L1643:M1643),0))</f>
        <v>0</v>
      </c>
      <c r="P1643" s="9" t="str">
        <f t="shared" si="231"/>
        <v/>
      </c>
      <c r="Q1643" s="9">
        <f t="shared" si="232"/>
        <v>0</v>
      </c>
      <c r="R1643" s="9">
        <f t="shared" si="233"/>
        <v>0</v>
      </c>
      <c r="S1643" s="9">
        <f t="array" ref="S1643">+SUM(IFERROR(VALUE(Q1643:R1643),0))</f>
        <v>0</v>
      </c>
    </row>
    <row r="1644" spans="1:19">
      <c r="A1644" s="26"/>
      <c r="B1644" s="27"/>
      <c r="C1644" s="27"/>
      <c r="D1644" s="28"/>
      <c r="F1644" s="9" t="str">
        <f t="shared" si="225"/>
        <v/>
      </c>
      <c r="G1644" s="9">
        <f t="shared" si="226"/>
        <v>0</v>
      </c>
      <c r="H1644" s="9">
        <f t="shared" si="227"/>
        <v>0</v>
      </c>
      <c r="I1644" s="9">
        <f t="array" ref="I1644">+SUM(IFERROR(VALUE(G1644:H1644),0))</f>
        <v>0</v>
      </c>
      <c r="K1644" s="9" t="str">
        <f t="shared" si="228"/>
        <v/>
      </c>
      <c r="L1644" s="9">
        <f t="shared" si="229"/>
        <v>0</v>
      </c>
      <c r="M1644" s="9">
        <f t="shared" si="230"/>
        <v>0</v>
      </c>
      <c r="N1644" s="9">
        <f t="array" ref="N1644">+SUM(IFERROR(VALUE(L1644:M1644),0))</f>
        <v>0</v>
      </c>
      <c r="P1644" s="9" t="str">
        <f t="shared" si="231"/>
        <v/>
      </c>
      <c r="Q1644" s="9">
        <f t="shared" si="232"/>
        <v>0</v>
      </c>
      <c r="R1644" s="9">
        <f t="shared" si="233"/>
        <v>0</v>
      </c>
      <c r="S1644" s="9">
        <f t="array" ref="S1644">+SUM(IFERROR(VALUE(Q1644:R1644),0))</f>
        <v>0</v>
      </c>
    </row>
    <row r="1645" spans="1:19">
      <c r="A1645" s="26"/>
      <c r="B1645" s="27"/>
      <c r="C1645" s="27"/>
      <c r="D1645" s="28"/>
      <c r="F1645" s="9" t="str">
        <f t="shared" si="225"/>
        <v/>
      </c>
      <c r="G1645" s="9">
        <f t="shared" si="226"/>
        <v>0</v>
      </c>
      <c r="H1645" s="9">
        <f t="shared" si="227"/>
        <v>0</v>
      </c>
      <c r="I1645" s="9">
        <f t="array" ref="I1645">+SUM(IFERROR(VALUE(G1645:H1645),0))</f>
        <v>0</v>
      </c>
      <c r="K1645" s="9" t="str">
        <f t="shared" si="228"/>
        <v/>
      </c>
      <c r="L1645" s="9">
        <f t="shared" si="229"/>
        <v>0</v>
      </c>
      <c r="M1645" s="9">
        <f t="shared" si="230"/>
        <v>0</v>
      </c>
      <c r="N1645" s="9">
        <f t="array" ref="N1645">+SUM(IFERROR(VALUE(L1645:M1645),0))</f>
        <v>0</v>
      </c>
      <c r="P1645" s="9" t="str">
        <f t="shared" si="231"/>
        <v/>
      </c>
      <c r="Q1645" s="9">
        <f t="shared" si="232"/>
        <v>0</v>
      </c>
      <c r="R1645" s="9">
        <f t="shared" si="233"/>
        <v>0</v>
      </c>
      <c r="S1645" s="9">
        <f t="array" ref="S1645">+SUM(IFERROR(VALUE(Q1645:R1645),0))</f>
        <v>0</v>
      </c>
    </row>
    <row r="1646" spans="1:19">
      <c r="A1646" s="26"/>
      <c r="B1646" s="27"/>
      <c r="C1646" s="27"/>
      <c r="D1646" s="28"/>
      <c r="F1646" s="9" t="str">
        <f t="shared" si="225"/>
        <v/>
      </c>
      <c r="G1646" s="9">
        <f t="shared" si="226"/>
        <v>0</v>
      </c>
      <c r="H1646" s="9">
        <f t="shared" si="227"/>
        <v>0</v>
      </c>
      <c r="I1646" s="9">
        <f t="array" ref="I1646">+SUM(IFERROR(VALUE(G1646:H1646),0))</f>
        <v>0</v>
      </c>
      <c r="K1646" s="9" t="str">
        <f t="shared" si="228"/>
        <v/>
      </c>
      <c r="L1646" s="9">
        <f t="shared" si="229"/>
        <v>0</v>
      </c>
      <c r="M1646" s="9">
        <f t="shared" si="230"/>
        <v>0</v>
      </c>
      <c r="N1646" s="9">
        <f t="array" ref="N1646">+SUM(IFERROR(VALUE(L1646:M1646),0))</f>
        <v>0</v>
      </c>
      <c r="P1646" s="9" t="str">
        <f t="shared" si="231"/>
        <v/>
      </c>
      <c r="Q1646" s="9">
        <f t="shared" si="232"/>
        <v>0</v>
      </c>
      <c r="R1646" s="9">
        <f t="shared" si="233"/>
        <v>0</v>
      </c>
      <c r="S1646" s="9">
        <f t="array" ref="S1646">+SUM(IFERROR(VALUE(Q1646:R1646),0))</f>
        <v>0</v>
      </c>
    </row>
    <row r="1647" spans="1:19">
      <c r="A1647" s="26"/>
      <c r="B1647" s="27"/>
      <c r="C1647" s="27"/>
      <c r="D1647" s="28"/>
      <c r="F1647" s="9" t="str">
        <f t="shared" si="225"/>
        <v/>
      </c>
      <c r="G1647" s="9">
        <f t="shared" si="226"/>
        <v>0</v>
      </c>
      <c r="H1647" s="9">
        <f t="shared" si="227"/>
        <v>0</v>
      </c>
      <c r="I1647" s="9">
        <f t="array" ref="I1647">+SUM(IFERROR(VALUE(G1647:H1647),0))</f>
        <v>0</v>
      </c>
      <c r="K1647" s="9" t="str">
        <f t="shared" si="228"/>
        <v/>
      </c>
      <c r="L1647" s="9">
        <f t="shared" si="229"/>
        <v>0</v>
      </c>
      <c r="M1647" s="9">
        <f t="shared" si="230"/>
        <v>0</v>
      </c>
      <c r="N1647" s="9">
        <f t="array" ref="N1647">+SUM(IFERROR(VALUE(L1647:M1647),0))</f>
        <v>0</v>
      </c>
      <c r="P1647" s="9" t="str">
        <f t="shared" si="231"/>
        <v/>
      </c>
      <c r="Q1647" s="9">
        <f t="shared" si="232"/>
        <v>0</v>
      </c>
      <c r="R1647" s="9">
        <f t="shared" si="233"/>
        <v>0</v>
      </c>
      <c r="S1647" s="9">
        <f t="array" ref="S1647">+SUM(IFERROR(VALUE(Q1647:R1647),0))</f>
        <v>0</v>
      </c>
    </row>
    <row r="1648" spans="1:19">
      <c r="A1648" s="26"/>
      <c r="B1648" s="27"/>
      <c r="C1648" s="27"/>
      <c r="D1648" s="28"/>
      <c r="F1648" s="9" t="str">
        <f t="shared" si="225"/>
        <v/>
      </c>
      <c r="G1648" s="9">
        <f t="shared" si="226"/>
        <v>0</v>
      </c>
      <c r="H1648" s="9">
        <f t="shared" si="227"/>
        <v>0</v>
      </c>
      <c r="I1648" s="9">
        <f t="array" ref="I1648">+SUM(IFERROR(VALUE(G1648:H1648),0))</f>
        <v>0</v>
      </c>
      <c r="K1648" s="9" t="str">
        <f t="shared" si="228"/>
        <v/>
      </c>
      <c r="L1648" s="9">
        <f t="shared" si="229"/>
        <v>0</v>
      </c>
      <c r="M1648" s="9">
        <f t="shared" si="230"/>
        <v>0</v>
      </c>
      <c r="N1648" s="9">
        <f t="array" ref="N1648">+SUM(IFERROR(VALUE(L1648:M1648),0))</f>
        <v>0</v>
      </c>
      <c r="P1648" s="9" t="str">
        <f t="shared" si="231"/>
        <v/>
      </c>
      <c r="Q1648" s="9">
        <f t="shared" si="232"/>
        <v>0</v>
      </c>
      <c r="R1648" s="9">
        <f t="shared" si="233"/>
        <v>0</v>
      </c>
      <c r="S1648" s="9">
        <f t="array" ref="S1648">+SUM(IFERROR(VALUE(Q1648:R1648),0))</f>
        <v>0</v>
      </c>
    </row>
    <row r="1649" spans="1:19">
      <c r="A1649" s="26"/>
      <c r="B1649" s="27"/>
      <c r="C1649" s="27"/>
      <c r="D1649" s="28"/>
      <c r="F1649" s="9" t="str">
        <f t="shared" si="225"/>
        <v/>
      </c>
      <c r="G1649" s="9">
        <f t="shared" si="226"/>
        <v>0</v>
      </c>
      <c r="H1649" s="9">
        <f t="shared" si="227"/>
        <v>0</v>
      </c>
      <c r="I1649" s="9">
        <f t="array" ref="I1649">+SUM(IFERROR(VALUE(G1649:H1649),0))</f>
        <v>0</v>
      </c>
      <c r="K1649" s="9" t="str">
        <f t="shared" si="228"/>
        <v/>
      </c>
      <c r="L1649" s="9">
        <f t="shared" si="229"/>
        <v>0</v>
      </c>
      <c r="M1649" s="9">
        <f t="shared" si="230"/>
        <v>0</v>
      </c>
      <c r="N1649" s="9">
        <f t="array" ref="N1649">+SUM(IFERROR(VALUE(L1649:M1649),0))</f>
        <v>0</v>
      </c>
      <c r="P1649" s="9" t="str">
        <f t="shared" si="231"/>
        <v/>
      </c>
      <c r="Q1649" s="9">
        <f t="shared" si="232"/>
        <v>0</v>
      </c>
      <c r="R1649" s="9">
        <f t="shared" si="233"/>
        <v>0</v>
      </c>
      <c r="S1649" s="9">
        <f t="array" ref="S1649">+SUM(IFERROR(VALUE(Q1649:R1649),0))</f>
        <v>0</v>
      </c>
    </row>
    <row r="1650" spans="1:19">
      <c r="A1650" s="26"/>
      <c r="B1650" s="27"/>
      <c r="C1650" s="27"/>
      <c r="D1650" s="28"/>
      <c r="F1650" s="9" t="str">
        <f t="shared" si="225"/>
        <v/>
      </c>
      <c r="G1650" s="9">
        <f t="shared" si="226"/>
        <v>0</v>
      </c>
      <c r="H1650" s="9">
        <f t="shared" si="227"/>
        <v>0</v>
      </c>
      <c r="I1650" s="9">
        <f t="array" ref="I1650">+SUM(IFERROR(VALUE(G1650:H1650),0))</f>
        <v>0</v>
      </c>
      <c r="K1650" s="9" t="str">
        <f t="shared" si="228"/>
        <v/>
      </c>
      <c r="L1650" s="9">
        <f t="shared" si="229"/>
        <v>0</v>
      </c>
      <c r="M1650" s="9">
        <f t="shared" si="230"/>
        <v>0</v>
      </c>
      <c r="N1650" s="9">
        <f t="array" ref="N1650">+SUM(IFERROR(VALUE(L1650:M1650),0))</f>
        <v>0</v>
      </c>
      <c r="P1650" s="9" t="str">
        <f t="shared" si="231"/>
        <v/>
      </c>
      <c r="Q1650" s="9">
        <f t="shared" si="232"/>
        <v>0</v>
      </c>
      <c r="R1650" s="9">
        <f t="shared" si="233"/>
        <v>0</v>
      </c>
      <c r="S1650" s="9">
        <f t="array" ref="S1650">+SUM(IFERROR(VALUE(Q1650:R1650),0))</f>
        <v>0</v>
      </c>
    </row>
    <row r="1651" spans="1:19">
      <c r="A1651" s="26"/>
      <c r="B1651" s="27"/>
      <c r="C1651" s="27"/>
      <c r="D1651" s="28"/>
      <c r="F1651" s="9" t="str">
        <f t="shared" si="225"/>
        <v/>
      </c>
      <c r="G1651" s="9">
        <f t="shared" si="226"/>
        <v>0</v>
      </c>
      <c r="H1651" s="9">
        <f t="shared" si="227"/>
        <v>0</v>
      </c>
      <c r="I1651" s="9">
        <f t="array" ref="I1651">+SUM(IFERROR(VALUE(G1651:H1651),0))</f>
        <v>0</v>
      </c>
      <c r="K1651" s="9" t="str">
        <f t="shared" si="228"/>
        <v/>
      </c>
      <c r="L1651" s="9">
        <f t="shared" si="229"/>
        <v>0</v>
      </c>
      <c r="M1651" s="9">
        <f t="shared" si="230"/>
        <v>0</v>
      </c>
      <c r="N1651" s="9">
        <f t="array" ref="N1651">+SUM(IFERROR(VALUE(L1651:M1651),0))</f>
        <v>0</v>
      </c>
      <c r="P1651" s="9" t="str">
        <f t="shared" si="231"/>
        <v/>
      </c>
      <c r="Q1651" s="9">
        <f t="shared" si="232"/>
        <v>0</v>
      </c>
      <c r="R1651" s="9">
        <f t="shared" si="233"/>
        <v>0</v>
      </c>
      <c r="S1651" s="9">
        <f t="array" ref="S1651">+SUM(IFERROR(VALUE(Q1651:R1651),0))</f>
        <v>0</v>
      </c>
    </row>
    <row r="1652" spans="1:19">
      <c r="A1652" s="26"/>
      <c r="B1652" s="27"/>
      <c r="C1652" s="27"/>
      <c r="D1652" s="28"/>
      <c r="F1652" s="9" t="str">
        <f t="shared" si="225"/>
        <v/>
      </c>
      <c r="G1652" s="9">
        <f t="shared" si="226"/>
        <v>0</v>
      </c>
      <c r="H1652" s="9">
        <f t="shared" si="227"/>
        <v>0</v>
      </c>
      <c r="I1652" s="9">
        <f t="array" ref="I1652">+SUM(IFERROR(VALUE(G1652:H1652),0))</f>
        <v>0</v>
      </c>
      <c r="K1652" s="9" t="str">
        <f t="shared" si="228"/>
        <v/>
      </c>
      <c r="L1652" s="9">
        <f t="shared" si="229"/>
        <v>0</v>
      </c>
      <c r="M1652" s="9">
        <f t="shared" si="230"/>
        <v>0</v>
      </c>
      <c r="N1652" s="9">
        <f t="array" ref="N1652">+SUM(IFERROR(VALUE(L1652:M1652),0))</f>
        <v>0</v>
      </c>
      <c r="P1652" s="9" t="str">
        <f t="shared" si="231"/>
        <v/>
      </c>
      <c r="Q1652" s="9">
        <f t="shared" si="232"/>
        <v>0</v>
      </c>
      <c r="R1652" s="9">
        <f t="shared" si="233"/>
        <v>0</v>
      </c>
      <c r="S1652" s="9">
        <f t="array" ref="S1652">+SUM(IFERROR(VALUE(Q1652:R1652),0))</f>
        <v>0</v>
      </c>
    </row>
    <row r="1653" spans="1:19">
      <c r="A1653" s="26"/>
      <c r="B1653" s="27"/>
      <c r="C1653" s="27"/>
      <c r="D1653" s="28"/>
      <c r="F1653" s="9" t="str">
        <f t="shared" si="225"/>
        <v/>
      </c>
      <c r="G1653" s="9">
        <f t="shared" si="226"/>
        <v>0</v>
      </c>
      <c r="H1653" s="9">
        <f t="shared" si="227"/>
        <v>0</v>
      </c>
      <c r="I1653" s="9">
        <f t="array" ref="I1653">+SUM(IFERROR(VALUE(G1653:H1653),0))</f>
        <v>0</v>
      </c>
      <c r="K1653" s="9" t="str">
        <f t="shared" si="228"/>
        <v/>
      </c>
      <c r="L1653" s="9">
        <f t="shared" si="229"/>
        <v>0</v>
      </c>
      <c r="M1653" s="9">
        <f t="shared" si="230"/>
        <v>0</v>
      </c>
      <c r="N1653" s="9">
        <f t="array" ref="N1653">+SUM(IFERROR(VALUE(L1653:M1653),0))</f>
        <v>0</v>
      </c>
      <c r="P1653" s="9" t="str">
        <f t="shared" si="231"/>
        <v/>
      </c>
      <c r="Q1653" s="9">
        <f t="shared" si="232"/>
        <v>0</v>
      </c>
      <c r="R1653" s="9">
        <f t="shared" si="233"/>
        <v>0</v>
      </c>
      <c r="S1653" s="9">
        <f t="array" ref="S1653">+SUM(IFERROR(VALUE(Q1653:R1653),0))</f>
        <v>0</v>
      </c>
    </row>
    <row r="1654" spans="1:19">
      <c r="A1654" s="26"/>
      <c r="B1654" s="27"/>
      <c r="C1654" s="27"/>
      <c r="D1654" s="28"/>
      <c r="F1654" s="9" t="str">
        <f t="shared" si="225"/>
        <v/>
      </c>
      <c r="G1654" s="9">
        <f t="shared" si="226"/>
        <v>0</v>
      </c>
      <c r="H1654" s="9">
        <f t="shared" si="227"/>
        <v>0</v>
      </c>
      <c r="I1654" s="9">
        <f t="array" ref="I1654">+SUM(IFERROR(VALUE(G1654:H1654),0))</f>
        <v>0</v>
      </c>
      <c r="K1654" s="9" t="str">
        <f t="shared" si="228"/>
        <v/>
      </c>
      <c r="L1654" s="9">
        <f t="shared" si="229"/>
        <v>0</v>
      </c>
      <c r="M1654" s="9">
        <f t="shared" si="230"/>
        <v>0</v>
      </c>
      <c r="N1654" s="9">
        <f t="array" ref="N1654">+SUM(IFERROR(VALUE(L1654:M1654),0))</f>
        <v>0</v>
      </c>
      <c r="P1654" s="9" t="str">
        <f t="shared" si="231"/>
        <v/>
      </c>
      <c r="Q1654" s="9">
        <f t="shared" si="232"/>
        <v>0</v>
      </c>
      <c r="R1654" s="9">
        <f t="shared" si="233"/>
        <v>0</v>
      </c>
      <c r="S1654" s="9">
        <f t="array" ref="S1654">+SUM(IFERROR(VALUE(Q1654:R1654),0))</f>
        <v>0</v>
      </c>
    </row>
    <row r="1655" spans="1:19">
      <c r="A1655" s="26"/>
      <c r="B1655" s="27"/>
      <c r="C1655" s="27"/>
      <c r="D1655" s="28"/>
      <c r="F1655" s="9" t="str">
        <f t="shared" si="225"/>
        <v/>
      </c>
      <c r="G1655" s="9">
        <f t="shared" si="226"/>
        <v>0</v>
      </c>
      <c r="H1655" s="9">
        <f t="shared" si="227"/>
        <v>0</v>
      </c>
      <c r="I1655" s="9">
        <f t="array" ref="I1655">+SUM(IFERROR(VALUE(G1655:H1655),0))</f>
        <v>0</v>
      </c>
      <c r="K1655" s="9" t="str">
        <f t="shared" si="228"/>
        <v/>
      </c>
      <c r="L1655" s="9">
        <f t="shared" si="229"/>
        <v>0</v>
      </c>
      <c r="M1655" s="9">
        <f t="shared" si="230"/>
        <v>0</v>
      </c>
      <c r="N1655" s="9">
        <f t="array" ref="N1655">+SUM(IFERROR(VALUE(L1655:M1655),0))</f>
        <v>0</v>
      </c>
      <c r="P1655" s="9" t="str">
        <f t="shared" si="231"/>
        <v/>
      </c>
      <c r="Q1655" s="9">
        <f t="shared" si="232"/>
        <v>0</v>
      </c>
      <c r="R1655" s="9">
        <f t="shared" si="233"/>
        <v>0</v>
      </c>
      <c r="S1655" s="9">
        <f t="array" ref="S1655">+SUM(IFERROR(VALUE(Q1655:R1655),0))</f>
        <v>0</v>
      </c>
    </row>
    <row r="1656" spans="1:19">
      <c r="A1656" s="26"/>
      <c r="B1656" s="27"/>
      <c r="C1656" s="27"/>
      <c r="D1656" s="28"/>
      <c r="F1656" s="9" t="str">
        <f t="shared" si="225"/>
        <v/>
      </c>
      <c r="G1656" s="9">
        <f t="shared" si="226"/>
        <v>0</v>
      </c>
      <c r="H1656" s="9">
        <f t="shared" si="227"/>
        <v>0</v>
      </c>
      <c r="I1656" s="9">
        <f t="array" ref="I1656">+SUM(IFERROR(VALUE(G1656:H1656),0))</f>
        <v>0</v>
      </c>
      <c r="K1656" s="9" t="str">
        <f t="shared" si="228"/>
        <v/>
      </c>
      <c r="L1656" s="9">
        <f t="shared" si="229"/>
        <v>0</v>
      </c>
      <c r="M1656" s="9">
        <f t="shared" si="230"/>
        <v>0</v>
      </c>
      <c r="N1656" s="9">
        <f t="array" ref="N1656">+SUM(IFERROR(VALUE(L1656:M1656),0))</f>
        <v>0</v>
      </c>
      <c r="P1656" s="9" t="str">
        <f t="shared" si="231"/>
        <v/>
      </c>
      <c r="Q1656" s="9">
        <f t="shared" si="232"/>
        <v>0</v>
      </c>
      <c r="R1656" s="9">
        <f t="shared" si="233"/>
        <v>0</v>
      </c>
      <c r="S1656" s="9">
        <f t="array" ref="S1656">+SUM(IFERROR(VALUE(Q1656:R1656),0))</f>
        <v>0</v>
      </c>
    </row>
    <row r="1657" spans="1:19">
      <c r="A1657" s="26"/>
      <c r="B1657" s="27"/>
      <c r="C1657" s="27"/>
      <c r="D1657" s="28"/>
      <c r="F1657" s="9" t="str">
        <f t="shared" si="225"/>
        <v/>
      </c>
      <c r="G1657" s="9">
        <f t="shared" si="226"/>
        <v>0</v>
      </c>
      <c r="H1657" s="9">
        <f t="shared" si="227"/>
        <v>0</v>
      </c>
      <c r="I1657" s="9">
        <f t="array" ref="I1657">+SUM(IFERROR(VALUE(G1657:H1657),0))</f>
        <v>0</v>
      </c>
      <c r="K1657" s="9" t="str">
        <f t="shared" si="228"/>
        <v/>
      </c>
      <c r="L1657" s="9">
        <f t="shared" si="229"/>
        <v>0</v>
      </c>
      <c r="M1657" s="9">
        <f t="shared" si="230"/>
        <v>0</v>
      </c>
      <c r="N1657" s="9">
        <f t="array" ref="N1657">+SUM(IFERROR(VALUE(L1657:M1657),0))</f>
        <v>0</v>
      </c>
      <c r="P1657" s="9" t="str">
        <f t="shared" si="231"/>
        <v/>
      </c>
      <c r="Q1657" s="9">
        <f t="shared" si="232"/>
        <v>0</v>
      </c>
      <c r="R1657" s="9">
        <f t="shared" si="233"/>
        <v>0</v>
      </c>
      <c r="S1657" s="9">
        <f t="array" ref="S1657">+SUM(IFERROR(VALUE(Q1657:R1657),0))</f>
        <v>0</v>
      </c>
    </row>
    <row r="1658" spans="1:19">
      <c r="A1658" s="26"/>
      <c r="B1658" s="27"/>
      <c r="C1658" s="27"/>
      <c r="D1658" s="28"/>
      <c r="F1658" s="9" t="str">
        <f t="shared" si="225"/>
        <v/>
      </c>
      <c r="G1658" s="9">
        <f t="shared" si="226"/>
        <v>0</v>
      </c>
      <c r="H1658" s="9">
        <f t="shared" si="227"/>
        <v>0</v>
      </c>
      <c r="I1658" s="9">
        <f t="array" ref="I1658">+SUM(IFERROR(VALUE(G1658:H1658),0))</f>
        <v>0</v>
      </c>
      <c r="K1658" s="9" t="str">
        <f t="shared" si="228"/>
        <v/>
      </c>
      <c r="L1658" s="9">
        <f t="shared" si="229"/>
        <v>0</v>
      </c>
      <c r="M1658" s="9">
        <f t="shared" si="230"/>
        <v>0</v>
      </c>
      <c r="N1658" s="9">
        <f t="array" ref="N1658">+SUM(IFERROR(VALUE(L1658:M1658),0))</f>
        <v>0</v>
      </c>
      <c r="P1658" s="9" t="str">
        <f t="shared" si="231"/>
        <v/>
      </c>
      <c r="Q1658" s="9">
        <f t="shared" si="232"/>
        <v>0</v>
      </c>
      <c r="R1658" s="9">
        <f t="shared" si="233"/>
        <v>0</v>
      </c>
      <c r="S1658" s="9">
        <f t="array" ref="S1658">+SUM(IFERROR(VALUE(Q1658:R1658),0))</f>
        <v>0</v>
      </c>
    </row>
    <row r="1659" spans="1:19">
      <c r="A1659" s="26"/>
      <c r="B1659" s="27"/>
      <c r="C1659" s="27"/>
      <c r="D1659" s="28"/>
      <c r="F1659" s="9" t="str">
        <f t="shared" si="225"/>
        <v/>
      </c>
      <c r="G1659" s="9">
        <f t="shared" si="226"/>
        <v>0</v>
      </c>
      <c r="H1659" s="9">
        <f t="shared" si="227"/>
        <v>0</v>
      </c>
      <c r="I1659" s="9">
        <f t="array" ref="I1659">+SUM(IFERROR(VALUE(G1659:H1659),0))</f>
        <v>0</v>
      </c>
      <c r="K1659" s="9" t="str">
        <f t="shared" si="228"/>
        <v/>
      </c>
      <c r="L1659" s="9">
        <f t="shared" si="229"/>
        <v>0</v>
      </c>
      <c r="M1659" s="9">
        <f t="shared" si="230"/>
        <v>0</v>
      </c>
      <c r="N1659" s="9">
        <f t="array" ref="N1659">+SUM(IFERROR(VALUE(L1659:M1659),0))</f>
        <v>0</v>
      </c>
      <c r="P1659" s="9" t="str">
        <f t="shared" si="231"/>
        <v/>
      </c>
      <c r="Q1659" s="9">
        <f t="shared" si="232"/>
        <v>0</v>
      </c>
      <c r="R1659" s="9">
        <f t="shared" si="233"/>
        <v>0</v>
      </c>
      <c r="S1659" s="9">
        <f t="array" ref="S1659">+SUM(IFERROR(VALUE(Q1659:R1659),0))</f>
        <v>0</v>
      </c>
    </row>
    <row r="1660" spans="1:19">
      <c r="A1660" s="26"/>
      <c r="B1660" s="27"/>
      <c r="C1660" s="27"/>
      <c r="D1660" s="28"/>
      <c r="F1660" s="9" t="str">
        <f t="shared" si="225"/>
        <v/>
      </c>
      <c r="G1660" s="9">
        <f t="shared" si="226"/>
        <v>0</v>
      </c>
      <c r="H1660" s="9">
        <f t="shared" si="227"/>
        <v>0</v>
      </c>
      <c r="I1660" s="9">
        <f t="array" ref="I1660">+SUM(IFERROR(VALUE(G1660:H1660),0))</f>
        <v>0</v>
      </c>
      <c r="K1660" s="9" t="str">
        <f t="shared" si="228"/>
        <v/>
      </c>
      <c r="L1660" s="9">
        <f t="shared" si="229"/>
        <v>0</v>
      </c>
      <c r="M1660" s="9">
        <f t="shared" si="230"/>
        <v>0</v>
      </c>
      <c r="N1660" s="9">
        <f t="array" ref="N1660">+SUM(IFERROR(VALUE(L1660:M1660),0))</f>
        <v>0</v>
      </c>
      <c r="P1660" s="9" t="str">
        <f t="shared" si="231"/>
        <v/>
      </c>
      <c r="Q1660" s="9">
        <f t="shared" si="232"/>
        <v>0</v>
      </c>
      <c r="R1660" s="9">
        <f t="shared" si="233"/>
        <v>0</v>
      </c>
      <c r="S1660" s="9">
        <f t="array" ref="S1660">+SUM(IFERROR(VALUE(Q1660:R1660),0))</f>
        <v>0</v>
      </c>
    </row>
    <row r="1661" spans="1:19">
      <c r="A1661" s="26"/>
      <c r="B1661" s="27"/>
      <c r="C1661" s="27"/>
      <c r="D1661" s="28"/>
      <c r="F1661" s="9" t="str">
        <f t="shared" si="225"/>
        <v/>
      </c>
      <c r="G1661" s="9">
        <f t="shared" si="226"/>
        <v>0</v>
      </c>
      <c r="H1661" s="9">
        <f t="shared" si="227"/>
        <v>0</v>
      </c>
      <c r="I1661" s="9">
        <f t="array" ref="I1661">+SUM(IFERROR(VALUE(G1661:H1661),0))</f>
        <v>0</v>
      </c>
      <c r="K1661" s="9" t="str">
        <f t="shared" si="228"/>
        <v/>
      </c>
      <c r="L1661" s="9">
        <f t="shared" si="229"/>
        <v>0</v>
      </c>
      <c r="M1661" s="9">
        <f t="shared" si="230"/>
        <v>0</v>
      </c>
      <c r="N1661" s="9">
        <f t="array" ref="N1661">+SUM(IFERROR(VALUE(L1661:M1661),0))</f>
        <v>0</v>
      </c>
      <c r="P1661" s="9" t="str">
        <f t="shared" si="231"/>
        <v/>
      </c>
      <c r="Q1661" s="9">
        <f t="shared" si="232"/>
        <v>0</v>
      </c>
      <c r="R1661" s="9">
        <f t="shared" si="233"/>
        <v>0</v>
      </c>
      <c r="S1661" s="9">
        <f t="array" ref="S1661">+SUM(IFERROR(VALUE(Q1661:R1661),0))</f>
        <v>0</v>
      </c>
    </row>
    <row r="1662" spans="1:19">
      <c r="A1662" s="26"/>
      <c r="B1662" s="27"/>
      <c r="C1662" s="27"/>
      <c r="D1662" s="28"/>
      <c r="F1662" s="9" t="str">
        <f t="shared" si="225"/>
        <v/>
      </c>
      <c r="G1662" s="9">
        <f t="shared" si="226"/>
        <v>0</v>
      </c>
      <c r="H1662" s="9">
        <f t="shared" si="227"/>
        <v>0</v>
      </c>
      <c r="I1662" s="9">
        <f t="array" ref="I1662">+SUM(IFERROR(VALUE(G1662:H1662),0))</f>
        <v>0</v>
      </c>
      <c r="K1662" s="9" t="str">
        <f t="shared" si="228"/>
        <v/>
      </c>
      <c r="L1662" s="9">
        <f t="shared" si="229"/>
        <v>0</v>
      </c>
      <c r="M1662" s="9">
        <f t="shared" si="230"/>
        <v>0</v>
      </c>
      <c r="N1662" s="9">
        <f t="array" ref="N1662">+SUM(IFERROR(VALUE(L1662:M1662),0))</f>
        <v>0</v>
      </c>
      <c r="P1662" s="9" t="str">
        <f t="shared" si="231"/>
        <v/>
      </c>
      <c r="Q1662" s="9">
        <f t="shared" si="232"/>
        <v>0</v>
      </c>
      <c r="R1662" s="9">
        <f t="shared" si="233"/>
        <v>0</v>
      </c>
      <c r="S1662" s="9">
        <f t="array" ref="S1662">+SUM(IFERROR(VALUE(Q1662:R1662),0))</f>
        <v>0</v>
      </c>
    </row>
    <row r="1663" spans="1:19">
      <c r="A1663" s="26"/>
      <c r="B1663" s="27"/>
      <c r="C1663" s="27"/>
      <c r="D1663" s="28"/>
      <c r="F1663" s="9" t="str">
        <f t="shared" si="225"/>
        <v/>
      </c>
      <c r="G1663" s="9">
        <f t="shared" si="226"/>
        <v>0</v>
      </c>
      <c r="H1663" s="9">
        <f t="shared" si="227"/>
        <v>0</v>
      </c>
      <c r="I1663" s="9">
        <f t="array" ref="I1663">+SUM(IFERROR(VALUE(G1663:H1663),0))</f>
        <v>0</v>
      </c>
      <c r="K1663" s="9" t="str">
        <f t="shared" si="228"/>
        <v/>
      </c>
      <c r="L1663" s="9">
        <f t="shared" si="229"/>
        <v>0</v>
      </c>
      <c r="M1663" s="9">
        <f t="shared" si="230"/>
        <v>0</v>
      </c>
      <c r="N1663" s="9">
        <f t="array" ref="N1663">+SUM(IFERROR(VALUE(L1663:M1663),0))</f>
        <v>0</v>
      </c>
      <c r="P1663" s="9" t="str">
        <f t="shared" si="231"/>
        <v/>
      </c>
      <c r="Q1663" s="9">
        <f t="shared" si="232"/>
        <v>0</v>
      </c>
      <c r="R1663" s="9">
        <f t="shared" si="233"/>
        <v>0</v>
      </c>
      <c r="S1663" s="9">
        <f t="array" ref="S1663">+SUM(IFERROR(VALUE(Q1663:R1663),0))</f>
        <v>0</v>
      </c>
    </row>
    <row r="1664" spans="1:19">
      <c r="A1664" s="26"/>
      <c r="B1664" s="27"/>
      <c r="C1664" s="27"/>
      <c r="D1664" s="28"/>
      <c r="F1664" s="9" t="str">
        <f t="shared" si="225"/>
        <v/>
      </c>
      <c r="G1664" s="9">
        <f t="shared" si="226"/>
        <v>0</v>
      </c>
      <c r="H1664" s="9">
        <f t="shared" si="227"/>
        <v>0</v>
      </c>
      <c r="I1664" s="9">
        <f t="array" ref="I1664">+SUM(IFERROR(VALUE(G1664:H1664),0))</f>
        <v>0</v>
      </c>
      <c r="K1664" s="9" t="str">
        <f t="shared" si="228"/>
        <v/>
      </c>
      <c r="L1664" s="9">
        <f t="shared" si="229"/>
        <v>0</v>
      </c>
      <c r="M1664" s="9">
        <f t="shared" si="230"/>
        <v>0</v>
      </c>
      <c r="N1664" s="9">
        <f t="array" ref="N1664">+SUM(IFERROR(VALUE(L1664:M1664),0))</f>
        <v>0</v>
      </c>
      <c r="P1664" s="9" t="str">
        <f t="shared" si="231"/>
        <v/>
      </c>
      <c r="Q1664" s="9">
        <f t="shared" si="232"/>
        <v>0</v>
      </c>
      <c r="R1664" s="9">
        <f t="shared" si="233"/>
        <v>0</v>
      </c>
      <c r="S1664" s="9">
        <f t="array" ref="S1664">+SUM(IFERROR(VALUE(Q1664:R1664),0))</f>
        <v>0</v>
      </c>
    </row>
    <row r="1665" spans="1:19">
      <c r="A1665" s="26"/>
      <c r="B1665" s="27"/>
      <c r="C1665" s="27"/>
      <c r="D1665" s="28"/>
      <c r="F1665" s="9" t="str">
        <f t="shared" si="225"/>
        <v/>
      </c>
      <c r="G1665" s="9">
        <f t="shared" si="226"/>
        <v>0</v>
      </c>
      <c r="H1665" s="9">
        <f t="shared" si="227"/>
        <v>0</v>
      </c>
      <c r="I1665" s="9">
        <f t="array" ref="I1665">+SUM(IFERROR(VALUE(G1665:H1665),0))</f>
        <v>0</v>
      </c>
      <c r="K1665" s="9" t="str">
        <f t="shared" si="228"/>
        <v/>
      </c>
      <c r="L1665" s="9">
        <f t="shared" si="229"/>
        <v>0</v>
      </c>
      <c r="M1665" s="9">
        <f t="shared" si="230"/>
        <v>0</v>
      </c>
      <c r="N1665" s="9">
        <f t="array" ref="N1665">+SUM(IFERROR(VALUE(L1665:M1665),0))</f>
        <v>0</v>
      </c>
      <c r="P1665" s="9" t="str">
        <f t="shared" si="231"/>
        <v/>
      </c>
      <c r="Q1665" s="9">
        <f t="shared" si="232"/>
        <v>0</v>
      </c>
      <c r="R1665" s="9">
        <f t="shared" si="233"/>
        <v>0</v>
      </c>
      <c r="S1665" s="9">
        <f t="array" ref="S1665">+SUM(IFERROR(VALUE(Q1665:R1665),0))</f>
        <v>0</v>
      </c>
    </row>
    <row r="1666" spans="1:19">
      <c r="A1666" s="26"/>
      <c r="B1666" s="27"/>
      <c r="C1666" s="27"/>
      <c r="D1666" s="28"/>
      <c r="F1666" s="9" t="str">
        <f t="shared" si="225"/>
        <v/>
      </c>
      <c r="G1666" s="9">
        <f t="shared" si="226"/>
        <v>0</v>
      </c>
      <c r="H1666" s="9">
        <f t="shared" si="227"/>
        <v>0</v>
      </c>
      <c r="I1666" s="9">
        <f t="array" ref="I1666">+SUM(IFERROR(VALUE(G1666:H1666),0))</f>
        <v>0</v>
      </c>
      <c r="K1666" s="9" t="str">
        <f t="shared" si="228"/>
        <v/>
      </c>
      <c r="L1666" s="9">
        <f t="shared" si="229"/>
        <v>0</v>
      </c>
      <c r="M1666" s="9">
        <f t="shared" si="230"/>
        <v>0</v>
      </c>
      <c r="N1666" s="9">
        <f t="array" ref="N1666">+SUM(IFERROR(VALUE(L1666:M1666),0))</f>
        <v>0</v>
      </c>
      <c r="P1666" s="9" t="str">
        <f t="shared" si="231"/>
        <v/>
      </c>
      <c r="Q1666" s="9">
        <f t="shared" si="232"/>
        <v>0</v>
      </c>
      <c r="R1666" s="9">
        <f t="shared" si="233"/>
        <v>0</v>
      </c>
      <c r="S1666" s="9">
        <f t="array" ref="S1666">+SUM(IFERROR(VALUE(Q1666:R1666),0))</f>
        <v>0</v>
      </c>
    </row>
    <row r="1667" spans="1:19">
      <c r="A1667" s="26"/>
      <c r="B1667" s="27"/>
      <c r="C1667" s="27"/>
      <c r="D1667" s="28"/>
      <c r="F1667" s="9" t="str">
        <f t="shared" si="225"/>
        <v/>
      </c>
      <c r="G1667" s="9">
        <f t="shared" si="226"/>
        <v>0</v>
      </c>
      <c r="H1667" s="9">
        <f t="shared" si="227"/>
        <v>0</v>
      </c>
      <c r="I1667" s="9">
        <f t="array" ref="I1667">+SUM(IFERROR(VALUE(G1667:H1667),0))</f>
        <v>0</v>
      </c>
      <c r="K1667" s="9" t="str">
        <f t="shared" si="228"/>
        <v/>
      </c>
      <c r="L1667" s="9">
        <f t="shared" si="229"/>
        <v>0</v>
      </c>
      <c r="M1667" s="9">
        <f t="shared" si="230"/>
        <v>0</v>
      </c>
      <c r="N1667" s="9">
        <f t="array" ref="N1667">+SUM(IFERROR(VALUE(L1667:M1667),0))</f>
        <v>0</v>
      </c>
      <c r="P1667" s="9" t="str">
        <f t="shared" si="231"/>
        <v/>
      </c>
      <c r="Q1667" s="9">
        <f t="shared" si="232"/>
        <v>0</v>
      </c>
      <c r="R1667" s="9">
        <f t="shared" si="233"/>
        <v>0</v>
      </c>
      <c r="S1667" s="9">
        <f t="array" ref="S1667">+SUM(IFERROR(VALUE(Q1667:R1667),0))</f>
        <v>0</v>
      </c>
    </row>
    <row r="1668" spans="1:19">
      <c r="A1668" s="26"/>
      <c r="B1668" s="27"/>
      <c r="C1668" s="27"/>
      <c r="D1668" s="28"/>
      <c r="F1668" s="9" t="str">
        <f t="shared" si="225"/>
        <v/>
      </c>
      <c r="G1668" s="9">
        <f t="shared" si="226"/>
        <v>0</v>
      </c>
      <c r="H1668" s="9">
        <f t="shared" si="227"/>
        <v>0</v>
      </c>
      <c r="I1668" s="9">
        <f t="array" ref="I1668">+SUM(IFERROR(VALUE(G1668:H1668),0))</f>
        <v>0</v>
      </c>
      <c r="K1668" s="9" t="str">
        <f t="shared" si="228"/>
        <v/>
      </c>
      <c r="L1668" s="9">
        <f t="shared" si="229"/>
        <v>0</v>
      </c>
      <c r="M1668" s="9">
        <f t="shared" si="230"/>
        <v>0</v>
      </c>
      <c r="N1668" s="9">
        <f t="array" ref="N1668">+SUM(IFERROR(VALUE(L1668:M1668),0))</f>
        <v>0</v>
      </c>
      <c r="P1668" s="9" t="str">
        <f t="shared" si="231"/>
        <v/>
      </c>
      <c r="Q1668" s="9">
        <f t="shared" si="232"/>
        <v>0</v>
      </c>
      <c r="R1668" s="9">
        <f t="shared" si="233"/>
        <v>0</v>
      </c>
      <c r="S1668" s="9">
        <f t="array" ref="S1668">+SUM(IFERROR(VALUE(Q1668:R1668),0))</f>
        <v>0</v>
      </c>
    </row>
    <row r="1669" spans="1:19">
      <c r="A1669" s="26"/>
      <c r="B1669" s="27"/>
      <c r="C1669" s="27"/>
      <c r="D1669" s="28"/>
      <c r="F1669" s="9" t="str">
        <f t="shared" si="225"/>
        <v/>
      </c>
      <c r="G1669" s="9">
        <f t="shared" si="226"/>
        <v>0</v>
      </c>
      <c r="H1669" s="9">
        <f t="shared" si="227"/>
        <v>0</v>
      </c>
      <c r="I1669" s="9">
        <f t="array" ref="I1669">+SUM(IFERROR(VALUE(G1669:H1669),0))</f>
        <v>0</v>
      </c>
      <c r="K1669" s="9" t="str">
        <f t="shared" si="228"/>
        <v/>
      </c>
      <c r="L1669" s="9">
        <f t="shared" si="229"/>
        <v>0</v>
      </c>
      <c r="M1669" s="9">
        <f t="shared" si="230"/>
        <v>0</v>
      </c>
      <c r="N1669" s="9">
        <f t="array" ref="N1669">+SUM(IFERROR(VALUE(L1669:M1669),0))</f>
        <v>0</v>
      </c>
      <c r="P1669" s="9" t="str">
        <f t="shared" si="231"/>
        <v/>
      </c>
      <c r="Q1669" s="9">
        <f t="shared" si="232"/>
        <v>0</v>
      </c>
      <c r="R1669" s="9">
        <f t="shared" si="233"/>
        <v>0</v>
      </c>
      <c r="S1669" s="9">
        <f t="array" ref="S1669">+SUM(IFERROR(VALUE(Q1669:R1669),0))</f>
        <v>0</v>
      </c>
    </row>
    <row r="1670" spans="1:19">
      <c r="A1670" s="26"/>
      <c r="B1670" s="27"/>
      <c r="C1670" s="27"/>
      <c r="D1670" s="28"/>
      <c r="F1670" s="9" t="str">
        <f t="shared" ref="F1670:F1678" si="234">+LEFT(A1670,4)</f>
        <v/>
      </c>
      <c r="G1670" s="9">
        <f t="shared" ref="G1670:G1678" si="235">+C1670</f>
        <v>0</v>
      </c>
      <c r="H1670" s="9">
        <f t="shared" ref="H1670:H1678" si="236">-D1670</f>
        <v>0</v>
      </c>
      <c r="I1670" s="9">
        <f t="array" ref="I1670">+SUM(IFERROR(VALUE(G1670:H1670),0))</f>
        <v>0</v>
      </c>
      <c r="K1670" s="9" t="str">
        <f t="shared" ref="K1670:K1678" si="237">+LEFT(A1670,3)</f>
        <v/>
      </c>
      <c r="L1670" s="9">
        <f t="shared" ref="L1670:L1678" si="238">+C1670</f>
        <v>0</v>
      </c>
      <c r="M1670" s="9">
        <f t="shared" ref="M1670:M1678" si="239">-D1670</f>
        <v>0</v>
      </c>
      <c r="N1670" s="9">
        <f t="array" ref="N1670">+SUM(IFERROR(VALUE(L1670:M1670),0))</f>
        <v>0</v>
      </c>
      <c r="P1670" s="9" t="str">
        <f t="shared" ref="P1670:P1678" si="240">+LEFT(A1670,2)</f>
        <v/>
      </c>
      <c r="Q1670" s="9">
        <f t="shared" ref="Q1670:Q1678" si="241">+C1670</f>
        <v>0</v>
      </c>
      <c r="R1670" s="9">
        <f t="shared" ref="R1670:R1678" si="242">-D1670</f>
        <v>0</v>
      </c>
      <c r="S1670" s="9">
        <f t="array" ref="S1670">+SUM(IFERROR(VALUE(Q1670:R1670),0))</f>
        <v>0</v>
      </c>
    </row>
    <row r="1671" spans="1:19">
      <c r="A1671" s="26"/>
      <c r="B1671" s="27"/>
      <c r="C1671" s="27"/>
      <c r="D1671" s="28"/>
      <c r="F1671" s="9" t="str">
        <f t="shared" si="234"/>
        <v/>
      </c>
      <c r="G1671" s="9">
        <f t="shared" si="235"/>
        <v>0</v>
      </c>
      <c r="H1671" s="9">
        <f t="shared" si="236"/>
        <v>0</v>
      </c>
      <c r="I1671" s="9">
        <f t="array" ref="I1671">+SUM(IFERROR(VALUE(G1671:H1671),0))</f>
        <v>0</v>
      </c>
      <c r="K1671" s="9" t="str">
        <f t="shared" si="237"/>
        <v/>
      </c>
      <c r="L1671" s="9">
        <f t="shared" si="238"/>
        <v>0</v>
      </c>
      <c r="M1671" s="9">
        <f t="shared" si="239"/>
        <v>0</v>
      </c>
      <c r="N1671" s="9">
        <f t="array" ref="N1671">+SUM(IFERROR(VALUE(L1671:M1671),0))</f>
        <v>0</v>
      </c>
      <c r="P1671" s="9" t="str">
        <f t="shared" si="240"/>
        <v/>
      </c>
      <c r="Q1671" s="9">
        <f t="shared" si="241"/>
        <v>0</v>
      </c>
      <c r="R1671" s="9">
        <f t="shared" si="242"/>
        <v>0</v>
      </c>
      <c r="S1671" s="9">
        <f t="array" ref="S1671">+SUM(IFERROR(VALUE(Q1671:R1671),0))</f>
        <v>0</v>
      </c>
    </row>
    <row r="1672" spans="1:19">
      <c r="A1672" s="26"/>
      <c r="B1672" s="27"/>
      <c r="C1672" s="27"/>
      <c r="D1672" s="28"/>
      <c r="F1672" s="9" t="str">
        <f t="shared" si="234"/>
        <v/>
      </c>
      <c r="G1672" s="9">
        <f t="shared" si="235"/>
        <v>0</v>
      </c>
      <c r="H1672" s="9">
        <f t="shared" si="236"/>
        <v>0</v>
      </c>
      <c r="I1672" s="9">
        <f t="array" ref="I1672">+SUM(IFERROR(VALUE(G1672:H1672),0))</f>
        <v>0</v>
      </c>
      <c r="K1672" s="9" t="str">
        <f t="shared" si="237"/>
        <v/>
      </c>
      <c r="L1672" s="9">
        <f t="shared" si="238"/>
        <v>0</v>
      </c>
      <c r="M1672" s="9">
        <f t="shared" si="239"/>
        <v>0</v>
      </c>
      <c r="N1672" s="9">
        <f t="array" ref="N1672">+SUM(IFERROR(VALUE(L1672:M1672),0))</f>
        <v>0</v>
      </c>
      <c r="P1672" s="9" t="str">
        <f t="shared" si="240"/>
        <v/>
      </c>
      <c r="Q1672" s="9">
        <f t="shared" si="241"/>
        <v>0</v>
      </c>
      <c r="R1672" s="9">
        <f t="shared" si="242"/>
        <v>0</v>
      </c>
      <c r="S1672" s="9">
        <f t="array" ref="S1672">+SUM(IFERROR(VALUE(Q1672:R1672),0))</f>
        <v>0</v>
      </c>
    </row>
    <row r="1673" spans="1:19">
      <c r="A1673" s="26"/>
      <c r="B1673" s="27"/>
      <c r="C1673" s="27"/>
      <c r="D1673" s="28"/>
      <c r="F1673" s="9" t="str">
        <f t="shared" si="234"/>
        <v/>
      </c>
      <c r="G1673" s="9">
        <f t="shared" si="235"/>
        <v>0</v>
      </c>
      <c r="H1673" s="9">
        <f t="shared" si="236"/>
        <v>0</v>
      </c>
      <c r="I1673" s="9">
        <f t="array" ref="I1673">+SUM(IFERROR(VALUE(G1673:H1673),0))</f>
        <v>0</v>
      </c>
      <c r="K1673" s="9" t="str">
        <f t="shared" si="237"/>
        <v/>
      </c>
      <c r="L1673" s="9">
        <f t="shared" si="238"/>
        <v>0</v>
      </c>
      <c r="M1673" s="9">
        <f t="shared" si="239"/>
        <v>0</v>
      </c>
      <c r="N1673" s="9">
        <f t="array" ref="N1673">+SUM(IFERROR(VALUE(L1673:M1673),0))</f>
        <v>0</v>
      </c>
      <c r="P1673" s="9" t="str">
        <f t="shared" si="240"/>
        <v/>
      </c>
      <c r="Q1673" s="9">
        <f t="shared" si="241"/>
        <v>0</v>
      </c>
      <c r="R1673" s="9">
        <f t="shared" si="242"/>
        <v>0</v>
      </c>
      <c r="S1673" s="9">
        <f t="array" ref="S1673">+SUM(IFERROR(VALUE(Q1673:R1673),0))</f>
        <v>0</v>
      </c>
    </row>
    <row r="1674" spans="1:19">
      <c r="A1674" s="26"/>
      <c r="B1674" s="27"/>
      <c r="C1674" s="27"/>
      <c r="D1674" s="28"/>
      <c r="F1674" s="9" t="str">
        <f t="shared" si="234"/>
        <v/>
      </c>
      <c r="G1674" s="9">
        <f t="shared" si="235"/>
        <v>0</v>
      </c>
      <c r="H1674" s="9">
        <f t="shared" si="236"/>
        <v>0</v>
      </c>
      <c r="I1674" s="9">
        <f t="array" ref="I1674">+SUM(IFERROR(VALUE(G1674:H1674),0))</f>
        <v>0</v>
      </c>
      <c r="K1674" s="9" t="str">
        <f t="shared" si="237"/>
        <v/>
      </c>
      <c r="L1674" s="9">
        <f t="shared" si="238"/>
        <v>0</v>
      </c>
      <c r="M1674" s="9">
        <f t="shared" si="239"/>
        <v>0</v>
      </c>
      <c r="N1674" s="9">
        <f t="array" ref="N1674">+SUM(IFERROR(VALUE(L1674:M1674),0))</f>
        <v>0</v>
      </c>
      <c r="P1674" s="9" t="str">
        <f t="shared" si="240"/>
        <v/>
      </c>
      <c r="Q1674" s="9">
        <f t="shared" si="241"/>
        <v>0</v>
      </c>
      <c r="R1674" s="9">
        <f t="shared" si="242"/>
        <v>0</v>
      </c>
      <c r="S1674" s="9">
        <f t="array" ref="S1674">+SUM(IFERROR(VALUE(Q1674:R1674),0))</f>
        <v>0</v>
      </c>
    </row>
    <row r="1675" spans="1:19">
      <c r="A1675" s="26"/>
      <c r="B1675" s="27"/>
      <c r="C1675" s="27"/>
      <c r="D1675" s="28"/>
      <c r="F1675" s="9" t="str">
        <f t="shared" si="234"/>
        <v/>
      </c>
      <c r="G1675" s="9">
        <f t="shared" si="235"/>
        <v>0</v>
      </c>
      <c r="H1675" s="9">
        <f t="shared" si="236"/>
        <v>0</v>
      </c>
      <c r="I1675" s="9">
        <f t="array" ref="I1675">+SUM(IFERROR(VALUE(G1675:H1675),0))</f>
        <v>0</v>
      </c>
      <c r="K1675" s="9" t="str">
        <f t="shared" si="237"/>
        <v/>
      </c>
      <c r="L1675" s="9">
        <f t="shared" si="238"/>
        <v>0</v>
      </c>
      <c r="M1675" s="9">
        <f t="shared" si="239"/>
        <v>0</v>
      </c>
      <c r="N1675" s="9">
        <f t="array" ref="N1675">+SUM(IFERROR(VALUE(L1675:M1675),0))</f>
        <v>0</v>
      </c>
      <c r="P1675" s="9" t="str">
        <f t="shared" si="240"/>
        <v/>
      </c>
      <c r="Q1675" s="9">
        <f t="shared" si="241"/>
        <v>0</v>
      </c>
      <c r="R1675" s="9">
        <f t="shared" si="242"/>
        <v>0</v>
      </c>
      <c r="S1675" s="9">
        <f t="array" ref="S1675">+SUM(IFERROR(VALUE(Q1675:R1675),0))</f>
        <v>0</v>
      </c>
    </row>
    <row r="1676" spans="1:19">
      <c r="A1676" s="26"/>
      <c r="B1676" s="27"/>
      <c r="C1676" s="27"/>
      <c r="D1676" s="28"/>
      <c r="F1676" s="9" t="str">
        <f t="shared" si="234"/>
        <v/>
      </c>
      <c r="G1676" s="9">
        <f t="shared" si="235"/>
        <v>0</v>
      </c>
      <c r="H1676" s="9">
        <f t="shared" si="236"/>
        <v>0</v>
      </c>
      <c r="I1676" s="9">
        <f t="array" ref="I1676">+SUM(IFERROR(VALUE(G1676:H1676),0))</f>
        <v>0</v>
      </c>
      <c r="K1676" s="9" t="str">
        <f t="shared" si="237"/>
        <v/>
      </c>
      <c r="L1676" s="9">
        <f t="shared" si="238"/>
        <v>0</v>
      </c>
      <c r="M1676" s="9">
        <f t="shared" si="239"/>
        <v>0</v>
      </c>
      <c r="N1676" s="9">
        <f t="array" ref="N1676">+SUM(IFERROR(VALUE(L1676:M1676),0))</f>
        <v>0</v>
      </c>
      <c r="P1676" s="9" t="str">
        <f t="shared" si="240"/>
        <v/>
      </c>
      <c r="Q1676" s="9">
        <f t="shared" si="241"/>
        <v>0</v>
      </c>
      <c r="R1676" s="9">
        <f t="shared" si="242"/>
        <v>0</v>
      </c>
      <c r="S1676" s="9">
        <f t="array" ref="S1676">+SUM(IFERROR(VALUE(Q1676:R1676),0))</f>
        <v>0</v>
      </c>
    </row>
    <row r="1677" spans="1:19">
      <c r="A1677" s="26"/>
      <c r="B1677" s="27"/>
      <c r="C1677" s="27"/>
      <c r="D1677" s="28"/>
      <c r="F1677" s="9" t="str">
        <f t="shared" si="234"/>
        <v/>
      </c>
      <c r="G1677" s="9">
        <f t="shared" si="235"/>
        <v>0</v>
      </c>
      <c r="H1677" s="9">
        <f t="shared" si="236"/>
        <v>0</v>
      </c>
      <c r="I1677" s="9">
        <f t="array" ref="I1677">+SUM(IFERROR(VALUE(G1677:H1677),0))</f>
        <v>0</v>
      </c>
      <c r="K1677" s="9" t="str">
        <f t="shared" si="237"/>
        <v/>
      </c>
      <c r="L1677" s="9">
        <f t="shared" si="238"/>
        <v>0</v>
      </c>
      <c r="M1677" s="9">
        <f t="shared" si="239"/>
        <v>0</v>
      </c>
      <c r="N1677" s="9">
        <f t="array" ref="N1677">+SUM(IFERROR(VALUE(L1677:M1677),0))</f>
        <v>0</v>
      </c>
      <c r="P1677" s="9" t="str">
        <f t="shared" si="240"/>
        <v/>
      </c>
      <c r="Q1677" s="9">
        <f t="shared" si="241"/>
        <v>0</v>
      </c>
      <c r="R1677" s="9">
        <f t="shared" si="242"/>
        <v>0</v>
      </c>
      <c r="S1677" s="9">
        <f t="array" ref="S1677">+SUM(IFERROR(VALUE(Q1677:R1677),0))</f>
        <v>0</v>
      </c>
    </row>
    <row r="1678" spans="1:19">
      <c r="A1678" s="29"/>
      <c r="B1678" s="30"/>
      <c r="C1678" s="30"/>
      <c r="D1678" s="31"/>
      <c r="F1678" s="9" t="str">
        <f t="shared" si="234"/>
        <v/>
      </c>
      <c r="G1678" s="9">
        <f t="shared" si="235"/>
        <v>0</v>
      </c>
      <c r="H1678" s="9">
        <f t="shared" si="236"/>
        <v>0</v>
      </c>
      <c r="I1678" s="9">
        <f t="array" ref="I1678">+SUM(IFERROR(VALUE(G1678:H1678),0))</f>
        <v>0</v>
      </c>
      <c r="K1678" s="9" t="str">
        <f t="shared" si="237"/>
        <v/>
      </c>
      <c r="L1678" s="9">
        <f t="shared" si="238"/>
        <v>0</v>
      </c>
      <c r="M1678" s="9">
        <f t="shared" si="239"/>
        <v>0</v>
      </c>
      <c r="N1678" s="9">
        <f t="array" ref="N1678">+SUM(IFERROR(VALUE(L1678:M1678),0))</f>
        <v>0</v>
      </c>
      <c r="P1678" s="9" t="str">
        <f t="shared" si="240"/>
        <v/>
      </c>
      <c r="Q1678" s="9">
        <f t="shared" si="241"/>
        <v>0</v>
      </c>
      <c r="R1678" s="9">
        <f t="shared" si="242"/>
        <v>0</v>
      </c>
      <c r="S1678" s="9">
        <f t="array" ref="S1678">+SUM(IFERROR(VALUE(Q1678:R1678),0))</f>
        <v>0</v>
      </c>
    </row>
    <row r="1679" spans="1:19">
      <c r="A1679" s="20">
        <v>0</v>
      </c>
    </row>
    <row r="1680" spans="1:19">
      <c r="A1680" s="20">
        <v>0</v>
      </c>
    </row>
    <row r="1681" spans="1:1">
      <c r="A1681" s="20">
        <v>0</v>
      </c>
    </row>
    <row r="1682" spans="1:1">
      <c r="A1682" s="20">
        <v>0</v>
      </c>
    </row>
    <row r="1683" spans="1:1">
      <c r="A1683" s="20">
        <v>0</v>
      </c>
    </row>
    <row r="1684" spans="1:1">
      <c r="A1684" s="20">
        <v>0</v>
      </c>
    </row>
    <row r="1685" spans="1:1">
      <c r="A1685" s="20">
        <v>0</v>
      </c>
    </row>
    <row r="1686" spans="1:1">
      <c r="A1686" s="20">
        <v>0</v>
      </c>
    </row>
    <row r="1687" spans="1:1">
      <c r="A1687" s="20">
        <v>0</v>
      </c>
    </row>
    <row r="1688" spans="1:1">
      <c r="A1688" s="20">
        <v>0</v>
      </c>
    </row>
    <row r="1689" spans="1:1">
      <c r="A1689" s="20">
        <v>0</v>
      </c>
    </row>
    <row r="1690" spans="1:1">
      <c r="A1690" s="20">
        <v>0</v>
      </c>
    </row>
    <row r="1691" spans="1:1">
      <c r="A1691" s="20">
        <v>0</v>
      </c>
    </row>
    <row r="1692" spans="1:1">
      <c r="A1692" s="20">
        <v>0</v>
      </c>
    </row>
    <row r="1693" spans="1:1">
      <c r="A1693" s="20">
        <v>0</v>
      </c>
    </row>
    <row r="1694" spans="1:1">
      <c r="A1694" s="20">
        <v>0</v>
      </c>
    </row>
    <row r="1695" spans="1:1">
      <c r="A1695" s="20">
        <v>0</v>
      </c>
    </row>
    <row r="1696" spans="1:1">
      <c r="A1696" s="20">
        <v>0</v>
      </c>
    </row>
    <row r="1697" spans="1:1">
      <c r="A1697" s="20">
        <v>0</v>
      </c>
    </row>
    <row r="1698" spans="1:1">
      <c r="A1698" s="20">
        <v>0</v>
      </c>
    </row>
    <row r="1699" spans="1:1">
      <c r="A1699" s="20">
        <v>0</v>
      </c>
    </row>
    <row r="1700" spans="1:1">
      <c r="A1700" s="20">
        <v>0</v>
      </c>
    </row>
    <row r="1701" spans="1:1">
      <c r="A1701" s="20">
        <v>0</v>
      </c>
    </row>
    <row r="1702" spans="1:1">
      <c r="A1702" s="20">
        <v>0</v>
      </c>
    </row>
    <row r="1703" spans="1:1">
      <c r="A1703" s="20">
        <v>0</v>
      </c>
    </row>
    <row r="1704" spans="1:1">
      <c r="A1704" s="20">
        <v>0</v>
      </c>
    </row>
    <row r="1705" spans="1:1">
      <c r="A1705" s="20">
        <v>0</v>
      </c>
    </row>
    <row r="1706" spans="1:1">
      <c r="A1706" s="20">
        <v>0</v>
      </c>
    </row>
    <row r="1707" spans="1:1">
      <c r="A1707" s="20">
        <v>0</v>
      </c>
    </row>
    <row r="1708" spans="1:1">
      <c r="A1708" s="20">
        <v>0</v>
      </c>
    </row>
    <row r="1709" spans="1:1">
      <c r="A1709" s="20">
        <v>0</v>
      </c>
    </row>
  </sheetData>
  <sheetProtection autoFilter="0"/>
  <autoFilter ref="A4:D1680" xr:uid="{00000000-0009-0000-0000-000005000000}"/>
  <conditionalFormatting sqref="A360:D1678 B5:D359">
    <cfRule type="expression" dxfId="579" priority="1">
      <formula>A5=""</formula>
    </cfRule>
  </conditionalFormatting>
  <dataValidations disablePrompts="1" count="2">
    <dataValidation allowBlank="1" showInputMessage="1" showErrorMessage="1" promptTitle="Cuenta" prompt="Pegamos (solamente valores no formatos) al máximo detalle el sumas y saldos que nos haya facilitado el cliente. No traemos ni totales ni subtotales para evitar duplicidades_x000a_" sqref="A4" xr:uid="{00000000-0002-0000-0500-000000000000}"/>
    <dataValidation allowBlank="1" showInputMessage="1" showErrorMessage="1" promptTitle="Título" prompt="Pegamos (formatos) el nombre de la cuenta o subcuenta, es opcional_x000a_" sqref="B4" xr:uid="{00000000-0002-0000-0500-000001000000}"/>
  </dataValidations>
  <pageMargins left="0.19685039370078741" right="0.19685039370078741" top="0" bottom="0" header="0" footer="0"/>
  <pageSetup paperSize="9" scale="8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orrar">
                <anchor moveWithCells="1" sizeWithCells="1">
                  <from>
                    <xdr:col>1</xdr:col>
                    <xdr:colOff>1828800</xdr:colOff>
                    <xdr:row>0</xdr:row>
                    <xdr:rowOff>190500</xdr:rowOff>
                  </from>
                  <to>
                    <xdr:col>1</xdr:col>
                    <xdr:colOff>3086100</xdr:colOff>
                    <xdr:row>2</xdr:row>
                    <xdr:rowOff>7620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O1710"/>
  <sheetViews>
    <sheetView showGridLines="0" showZeros="0" zoomScaleNormal="100" zoomScaleSheetLayoutView="100" workbookViewId="0">
      <pane xSplit="2" ySplit="4" topLeftCell="C338" activePane="bottomRight" state="frozen"/>
      <selection activeCell="G9" sqref="G9"/>
      <selection pane="topRight" activeCell="G9" sqref="G9"/>
      <selection pane="bottomLeft" activeCell="G9" sqref="G9"/>
      <selection pane="bottomRight" activeCell="D359" sqref="D359"/>
    </sheetView>
  </sheetViews>
  <sheetFormatPr baseColWidth="10" defaultColWidth="0" defaultRowHeight="13.8"/>
  <cols>
    <col min="1" max="1" width="6.5546875" style="20" bestFit="1" customWidth="1"/>
    <col min="2" max="2" width="50" style="9" bestFit="1" customWidth="1"/>
    <col min="3" max="4" width="17.44140625" style="9" bestFit="1" customWidth="1"/>
    <col min="5" max="6" width="18.33203125" style="9" bestFit="1" customWidth="1"/>
    <col min="7" max="9" width="16" style="9" customWidth="1"/>
    <col min="10" max="10" width="18.33203125" style="9" bestFit="1" customWidth="1"/>
    <col min="11" max="11" width="10.5546875" style="9" customWidth="1"/>
    <col min="12" max="12" width="16" style="9" hidden="1" customWidth="1"/>
    <col min="13" max="13" width="9" style="9" hidden="1" customWidth="1"/>
    <col min="14" max="14" width="16" style="9" hidden="1" customWidth="1"/>
    <col min="15" max="15" width="32.44140625" style="9" hidden="1" customWidth="1"/>
    <col min="16" max="16384" width="32.44140625" style="9" hidden="1"/>
  </cols>
  <sheetData>
    <row r="1" spans="1:15" s="6" customFormat="1" ht="21">
      <c r="A1" s="21"/>
      <c r="C1" s="22"/>
      <c r="D1" s="22"/>
      <c r="E1" s="152"/>
      <c r="F1" s="152"/>
      <c r="G1" s="22"/>
      <c r="H1" s="22"/>
      <c r="I1" s="22"/>
      <c r="J1" s="22"/>
    </row>
    <row r="2" spans="1:15" s="5" customFormat="1" ht="18">
      <c r="A2" s="21"/>
      <c r="B2" s="133"/>
      <c r="C2" s="23">
        <f>ROUND(SUM(C5:C2505)-SUM(D5:D2505),1)</f>
        <v>0</v>
      </c>
      <c r="E2" s="23">
        <f ca="1">ROUND(SUM(E5:E2505)-SUM(F5:F2505),1)</f>
        <v>0</v>
      </c>
      <c r="G2" s="23">
        <f>ROUND(SUM(G5:G2505)-SUM(H5:H2505),1)</f>
        <v>0</v>
      </c>
      <c r="I2" s="23">
        <f ca="1">ROUND(SUM(I5:I2505)-SUM(J5:J2505),1)</f>
        <v>0</v>
      </c>
      <c r="N2" s="23">
        <f ca="1">ROUND(SUM(N5:N2505),1)</f>
        <v>0</v>
      </c>
    </row>
    <row r="3" spans="1:15" s="7" customFormat="1" ht="15" customHeight="1">
      <c r="A3" s="18"/>
      <c r="B3" s="5"/>
      <c r="C3" s="134" t="s">
        <v>623</v>
      </c>
      <c r="D3" s="135">
        <f>+BALANCE!H11</f>
        <v>45291</v>
      </c>
      <c r="E3" s="134" t="s">
        <v>624</v>
      </c>
      <c r="F3" s="135">
        <f>+BALANCE!E11</f>
        <v>45657</v>
      </c>
      <c r="G3" s="2247" t="s">
        <v>625</v>
      </c>
      <c r="H3" s="2247"/>
      <c r="I3" s="2248" t="s">
        <v>630</v>
      </c>
      <c r="J3" s="2248"/>
      <c r="L3" s="2245" t="s">
        <v>629</v>
      </c>
      <c r="M3" s="2245" t="s">
        <v>631</v>
      </c>
      <c r="N3" s="2245" t="s">
        <v>632</v>
      </c>
    </row>
    <row r="4" spans="1:15" s="7" customFormat="1">
      <c r="A4" s="19" t="s">
        <v>170</v>
      </c>
      <c r="B4" s="10" t="s">
        <v>171</v>
      </c>
      <c r="C4" s="134" t="s">
        <v>626</v>
      </c>
      <c r="D4" s="134" t="s">
        <v>627</v>
      </c>
      <c r="E4" s="134" t="s">
        <v>626</v>
      </c>
      <c r="F4" s="134" t="s">
        <v>627</v>
      </c>
      <c r="G4" s="134" t="s">
        <v>626</v>
      </c>
      <c r="H4" s="134" t="s">
        <v>627</v>
      </c>
      <c r="I4" s="134" t="s">
        <v>626</v>
      </c>
      <c r="J4" s="134" t="s">
        <v>627</v>
      </c>
      <c r="L4" s="2246"/>
      <c r="M4" s="2246"/>
      <c r="N4" s="2246"/>
    </row>
    <row r="5" spans="1:15" s="1296" customFormat="1">
      <c r="A5" s="1287">
        <v>100</v>
      </c>
      <c r="B5" s="1288" t="s">
        <v>283</v>
      </c>
      <c r="C5" s="1289">
        <v>0</v>
      </c>
      <c r="D5" s="1290">
        <v>140000005.09999999</v>
      </c>
      <c r="E5" s="1291">
        <f>IF(+SUMIF(SYS_cliente!$F$5:$F$2500,A5,SYS_cliente!$I$5:$I$2500)+SUMIF(SYS_cliente!$K$5:$K$2500,A5,SYS_cliente!$N$5:$N$2500)+SUMIF(SYS_cliente!$P$5:$P$2500,A5,SYS_cliente!$S$5:$S$2500)&lt;0,0,+SUMIF(SYS_cliente!$F$5:$F$2500,A5,SYS_cliente!$I$5:$I$2500)+SUMIF(SYS_cliente!$K$5:$K$2500,A5,SYS_cliente!$N$5:$N$2500)+SUMIF(SYS_cliente!$P$5:$P$2500,A5,SYS_cliente!$S$5:$S$2500))</f>
        <v>0</v>
      </c>
      <c r="F5" s="1292">
        <f ca="1">IF(+SUMIF(SYS_cliente!$F$5:$F$2500,A5,SYS_cliente!$I$5:$I$1678)+SUMIF(SYS_cliente!$K$5:$K$2500,A5,SYS_cliente!$N$5:$N$1678)+SUMIF(SYS_cliente!$P$5:$P$2500,A5,SYS_cliente!$S$5:$S$1678)&gt;=0,0,-(SUMIF(SYS_cliente!$F$5:$F$2500,A5,SYS_cliente!$I$5:$I$1678)+SUMIF(SYS_cliente!$K$5:$K$2500,A5,SYS_cliente!$N$5:$N$1678)+SUMIF(SYS_cliente!$P$5:$P$2500,A5,SYS_cliente!$S$5:$S$1678)))</f>
        <v>140000005.09999999</v>
      </c>
      <c r="G5" s="1293">
        <f>+SUMIF(asientos!$C$13:$C$1276,SYS_4_3_Digitos!A5,asientos!$B$13:$B$1276)</f>
        <v>0</v>
      </c>
      <c r="H5" s="1294">
        <f>+SUMIF(asientos!$I$13:$I$1276,SYS_4_3_Digitos!A5,asientos!$J$13:$J$1276)</f>
        <v>0</v>
      </c>
      <c r="I5" s="1295">
        <f ca="1">IF((E5+G5-F5-H5)&gt;0,E5+G5-F5-H5,0)</f>
        <v>0</v>
      </c>
      <c r="J5" s="1292">
        <f ca="1">IF((F5+H5-E5-G5)&gt;0,F5+H5-E5-G5,0)</f>
        <v>140000005.09999999</v>
      </c>
      <c r="L5" s="1297">
        <f>+A5*1000000</f>
        <v>100000000</v>
      </c>
      <c r="M5" s="1298" t="str">
        <f>+LEFT(L5,4)</f>
        <v>1000</v>
      </c>
      <c r="N5" s="1299">
        <f ca="1">+I5-J5</f>
        <v>-140000005.09999999</v>
      </c>
      <c r="O5" s="1296" t="str">
        <f>+LEFT(M5,2)</f>
        <v>10</v>
      </c>
    </row>
    <row r="6" spans="1:15" s="1296" customFormat="1">
      <c r="A6" s="1300">
        <v>103</v>
      </c>
      <c r="B6" s="1301" t="s">
        <v>284</v>
      </c>
      <c r="C6" s="1302">
        <v>0</v>
      </c>
      <c r="D6" s="1303">
        <v>0</v>
      </c>
      <c r="E6" s="1304">
        <f>IF(+SUMIF(SYS_cliente!$F$5:$F$2500,A6,SYS_cliente!$I$5:$I$2500)+SUMIF(SYS_cliente!$K$5:$K$2500,A6,SYS_cliente!$N$5:$N$2500)+SUMIF(SYS_cliente!$P$5:$P$2500,A6,SYS_cliente!$S$5:$S$2500)&lt;0,0,+SUMIF(SYS_cliente!$F$5:$F$2500,A6,SYS_cliente!$I$5:$I$2500)+SUMIF(SYS_cliente!$K$5:$K$2500,A6,SYS_cliente!$N$5:$N$2500)+SUMIF(SYS_cliente!$P$5:$P$2500,A6,SYS_cliente!$S$5:$S$2500))</f>
        <v>0</v>
      </c>
      <c r="F6" s="1305">
        <f ca="1">IF(+SUMIF(SYS_cliente!$F$5:$F$2500,A6,SYS_cliente!$I$5:$I$1678)+SUMIF(SYS_cliente!$K$5:$K$2500,A6,SYS_cliente!$N$5:$N$1678)+SUMIF(SYS_cliente!$P$5:$P$2500,A6,SYS_cliente!$S$5:$S$1678)&gt;=0,0,-(SUMIF(SYS_cliente!$F$5:$F$2500,A6,SYS_cliente!$I$5:$I$1678)+SUMIF(SYS_cliente!$K$5:$K$2500,A6,SYS_cliente!$N$5:$N$1678)+SUMIF(SYS_cliente!$P$5:$P$2500,A6,SYS_cliente!$S$5:$S$1678)))</f>
        <v>0</v>
      </c>
      <c r="G6" s="1306">
        <f>+SUMIF(asientos!$C$13:$C$1276,SYS_4_3_Digitos!A6,asientos!$B$13:$B$1276)</f>
        <v>0</v>
      </c>
      <c r="H6" s="1307">
        <f>+SUMIF(asientos!$I$13:$I$1276,SYS_4_3_Digitos!A6,asientos!$J$13:$J$1276)</f>
        <v>0</v>
      </c>
      <c r="I6" s="1304">
        <f t="shared" ref="I6:I73" ca="1" si="0">IF((E6+G6-F6-H6)&gt;0,E6+G6-F6-H6,0)</f>
        <v>0</v>
      </c>
      <c r="J6" s="1305">
        <f t="shared" ref="J6:J73" ca="1" si="1">IF((F6+H6-E6-G6)&gt;0,F6+H6-E6-G6,0)</f>
        <v>0</v>
      </c>
      <c r="L6" s="1308">
        <f t="shared" ref="L6:L73" si="2">+A6*1000000</f>
        <v>103000000</v>
      </c>
      <c r="M6" s="1296" t="str">
        <f t="shared" ref="M6:M73" si="3">+LEFT(L6,4)</f>
        <v>1030</v>
      </c>
      <c r="N6" s="1309">
        <f t="shared" ref="N6:N73" ca="1" si="4">+I6-J6</f>
        <v>0</v>
      </c>
      <c r="O6" s="1296" t="str">
        <f t="shared" ref="O6:O73" si="5">+LEFT(M6,2)</f>
        <v>10</v>
      </c>
    </row>
    <row r="7" spans="1:15" s="1296" customFormat="1">
      <c r="A7" s="1310">
        <v>104</v>
      </c>
      <c r="B7" s="1311" t="s">
        <v>285</v>
      </c>
      <c r="C7" s="1312">
        <v>0</v>
      </c>
      <c r="D7" s="1313">
        <v>0</v>
      </c>
      <c r="E7" s="1314">
        <f>IF(+SUMIF(SYS_cliente!$F$5:$F$2500,A7,SYS_cliente!$I$5:$I$2500)+SUMIF(SYS_cliente!$K$5:$K$2500,A7,SYS_cliente!$N$5:$N$2500)+SUMIF(SYS_cliente!$P$5:$P$2500,A7,SYS_cliente!$S$5:$S$2500)&lt;0,0,+SUMIF(SYS_cliente!$F$5:$F$2500,A7,SYS_cliente!$I$5:$I$2500)+SUMIF(SYS_cliente!$K$5:$K$2500,A7,SYS_cliente!$N$5:$N$2500)+SUMIF(SYS_cliente!$P$5:$P$2500,A7,SYS_cliente!$S$5:$S$2500))</f>
        <v>0</v>
      </c>
      <c r="F7" s="1315">
        <f ca="1">IF(+SUMIF(SYS_cliente!$F$5:$F$2500,A7,SYS_cliente!$I$5:$I$1678)+SUMIF(SYS_cliente!$K$5:$K$2500,A7,SYS_cliente!$N$5:$N$1678)+SUMIF(SYS_cliente!$P$5:$P$2500,A7,SYS_cliente!$S$5:$S$1678)&gt;=0,0,-(SUMIF(SYS_cliente!$F$5:$F$2500,A7,SYS_cliente!$I$5:$I$1678)+SUMIF(SYS_cliente!$K$5:$K$2500,A7,SYS_cliente!$N$5:$N$1678)+SUMIF(SYS_cliente!$P$5:$P$2500,A7,SYS_cliente!$S$5:$S$1678)))</f>
        <v>0</v>
      </c>
      <c r="G7" s="1316">
        <f>+SUMIF(asientos!$C$13:$C$1276,SYS_4_3_Digitos!A7,asientos!$B$13:$B$1276)</f>
        <v>0</v>
      </c>
      <c r="H7" s="1317">
        <f>+SUMIF(asientos!$I$13:$I$1276,SYS_4_3_Digitos!A7,asientos!$J$13:$J$1276)</f>
        <v>0</v>
      </c>
      <c r="I7" s="1314">
        <f t="shared" ca="1" si="0"/>
        <v>0</v>
      </c>
      <c r="J7" s="1315">
        <f t="shared" ca="1" si="1"/>
        <v>0</v>
      </c>
      <c r="L7" s="1308">
        <f t="shared" si="2"/>
        <v>104000000</v>
      </c>
      <c r="M7" s="1296" t="str">
        <f t="shared" si="3"/>
        <v>1040</v>
      </c>
      <c r="N7" s="1309">
        <f t="shared" ca="1" si="4"/>
        <v>0</v>
      </c>
      <c r="O7" s="1296" t="str">
        <f t="shared" si="5"/>
        <v>10</v>
      </c>
    </row>
    <row r="8" spans="1:15" s="1296" customFormat="1">
      <c r="A8" s="1310">
        <v>108</v>
      </c>
      <c r="B8" s="1311" t="s">
        <v>286</v>
      </c>
      <c r="C8" s="1312">
        <v>0</v>
      </c>
      <c r="D8" s="1313">
        <v>0</v>
      </c>
      <c r="E8" s="1314">
        <f>IF(+SUMIF(SYS_cliente!$F$5:$F$2500,A8,SYS_cliente!$I$5:$I$2500)+SUMIF(SYS_cliente!$K$5:$K$2500,A8,SYS_cliente!$N$5:$N$2500)+SUMIF(SYS_cliente!$P$5:$P$2500,A8,SYS_cliente!$S$5:$S$2500)&lt;0,0,+SUMIF(SYS_cliente!$F$5:$F$2500,A8,SYS_cliente!$I$5:$I$2500)+SUMIF(SYS_cliente!$K$5:$K$2500,A8,SYS_cliente!$N$5:$N$2500)+SUMIF(SYS_cliente!$P$5:$P$2500,A8,SYS_cliente!$S$5:$S$2500))</f>
        <v>0</v>
      </c>
      <c r="F8" s="1315">
        <f ca="1">IF(+SUMIF(SYS_cliente!$F$5:$F$2500,A8,SYS_cliente!$I$5:$I$1678)+SUMIF(SYS_cliente!$K$5:$K$2500,A8,SYS_cliente!$N$5:$N$1678)+SUMIF(SYS_cliente!$P$5:$P$2500,A8,SYS_cliente!$S$5:$S$1678)&gt;=0,0,-(SUMIF(SYS_cliente!$F$5:$F$2500,A8,SYS_cliente!$I$5:$I$1678)+SUMIF(SYS_cliente!$K$5:$K$2500,A8,SYS_cliente!$N$5:$N$1678)+SUMIF(SYS_cliente!$P$5:$P$2500,A8,SYS_cliente!$S$5:$S$1678)))</f>
        <v>0</v>
      </c>
      <c r="G8" s="1316">
        <f>+SUMIF(asientos!$C$13:$C$1276,SYS_4_3_Digitos!A8,asientos!$B$13:$B$1276)</f>
        <v>0</v>
      </c>
      <c r="H8" s="1317">
        <f>+SUMIF(asientos!$I$13:$I$1276,SYS_4_3_Digitos!A8,asientos!$J$13:$J$1276)</f>
        <v>0</v>
      </c>
      <c r="I8" s="1314">
        <f t="shared" ca="1" si="0"/>
        <v>0</v>
      </c>
      <c r="J8" s="1315">
        <f t="shared" ca="1" si="1"/>
        <v>0</v>
      </c>
      <c r="L8" s="1308">
        <f t="shared" si="2"/>
        <v>108000000</v>
      </c>
      <c r="M8" s="1296" t="str">
        <f t="shared" si="3"/>
        <v>1080</v>
      </c>
      <c r="N8" s="1309">
        <f t="shared" ca="1" si="4"/>
        <v>0</v>
      </c>
      <c r="O8" s="1296" t="str">
        <f t="shared" si="5"/>
        <v>10</v>
      </c>
    </row>
    <row r="9" spans="1:15" s="1296" customFormat="1">
      <c r="A9" s="1310">
        <v>109</v>
      </c>
      <c r="B9" s="1311" t="s">
        <v>287</v>
      </c>
      <c r="C9" s="1312">
        <v>0</v>
      </c>
      <c r="D9" s="1313">
        <v>0</v>
      </c>
      <c r="E9" s="1314">
        <f>IF(+SUMIF(SYS_cliente!$F$5:$F$2500,A9,SYS_cliente!$I$5:$I$2500)+SUMIF(SYS_cliente!$K$5:$K$2500,A9,SYS_cliente!$N$5:$N$2500)+SUMIF(SYS_cliente!$P$5:$P$2500,A9,SYS_cliente!$S$5:$S$2500)&lt;0,0,+SUMIF(SYS_cliente!$F$5:$F$2500,A9,SYS_cliente!$I$5:$I$2500)+SUMIF(SYS_cliente!$K$5:$K$2500,A9,SYS_cliente!$N$5:$N$2500)+SUMIF(SYS_cliente!$P$5:$P$2500,A9,SYS_cliente!$S$5:$S$2500))</f>
        <v>0</v>
      </c>
      <c r="F9" s="1315">
        <f ca="1">IF(+SUMIF(SYS_cliente!$F$5:$F$2500,A9,SYS_cliente!$I$5:$I$1678)+SUMIF(SYS_cliente!$K$5:$K$2500,A9,SYS_cliente!$N$5:$N$1678)+SUMIF(SYS_cliente!$P$5:$P$2500,A9,SYS_cliente!$S$5:$S$1678)&gt;=0,0,-(SUMIF(SYS_cliente!$F$5:$F$2500,A9,SYS_cliente!$I$5:$I$1678)+SUMIF(SYS_cliente!$K$5:$K$2500,A9,SYS_cliente!$N$5:$N$1678)+SUMIF(SYS_cliente!$P$5:$P$2500,A9,SYS_cliente!$S$5:$S$1678)))</f>
        <v>0</v>
      </c>
      <c r="G9" s="1316">
        <f>+SUMIF(asientos!$C$13:$C$1276,SYS_4_3_Digitos!A9,asientos!$B$13:$B$1276)</f>
        <v>0</v>
      </c>
      <c r="H9" s="1317">
        <f>+SUMIF(asientos!$I$13:$I$1276,SYS_4_3_Digitos!A9,asientos!$J$13:$J$1276)</f>
        <v>0</v>
      </c>
      <c r="I9" s="1314">
        <f t="shared" ca="1" si="0"/>
        <v>0</v>
      </c>
      <c r="J9" s="1315">
        <f t="shared" ca="1" si="1"/>
        <v>0</v>
      </c>
      <c r="L9" s="1308">
        <f t="shared" si="2"/>
        <v>109000000</v>
      </c>
      <c r="M9" s="1296" t="str">
        <f t="shared" si="3"/>
        <v>1090</v>
      </c>
      <c r="N9" s="1309">
        <f t="shared" ca="1" si="4"/>
        <v>0</v>
      </c>
      <c r="O9" s="1296" t="str">
        <f t="shared" si="5"/>
        <v>10</v>
      </c>
    </row>
    <row r="10" spans="1:15" s="1296" customFormat="1">
      <c r="A10" s="1310">
        <v>110</v>
      </c>
      <c r="B10" s="1311" t="s">
        <v>288</v>
      </c>
      <c r="C10" s="1312">
        <v>0</v>
      </c>
      <c r="D10" s="1313">
        <v>0</v>
      </c>
      <c r="E10" s="1314">
        <f>IF(+SUMIF(SYS_cliente!$F$5:$F$2500,A10,SYS_cliente!$I$5:$I$2500)+SUMIF(SYS_cliente!$K$5:$K$2500,A10,SYS_cliente!$N$5:$N$2500)+SUMIF(SYS_cliente!$P$5:$P$2500,A10,SYS_cliente!$S$5:$S$2500)&lt;0,0,+SUMIF(SYS_cliente!$F$5:$F$2500,A10,SYS_cliente!$I$5:$I$2500)+SUMIF(SYS_cliente!$K$5:$K$2500,A10,SYS_cliente!$N$5:$N$2500)+SUMIF(SYS_cliente!$P$5:$P$2500,A10,SYS_cliente!$S$5:$S$2500))</f>
        <v>0</v>
      </c>
      <c r="F10" s="1315">
        <f ca="1">IF(+SUMIF(SYS_cliente!$F$5:$F$2500,A10,SYS_cliente!$I$5:$I$1678)+SUMIF(SYS_cliente!$K$5:$K$2500,A10,SYS_cliente!$N$5:$N$1678)+SUMIF(SYS_cliente!$P$5:$P$2500,A10,SYS_cliente!$S$5:$S$1678)&gt;=0,0,-(SUMIF(SYS_cliente!$F$5:$F$2500,A10,SYS_cliente!$I$5:$I$1678)+SUMIF(SYS_cliente!$K$5:$K$2500,A10,SYS_cliente!$N$5:$N$1678)+SUMIF(SYS_cliente!$P$5:$P$2500,A10,SYS_cliente!$S$5:$S$1678)))</f>
        <v>0</v>
      </c>
      <c r="G10" s="1316">
        <f>+SUMIF(asientos!$C$13:$C$1276,SYS_4_3_Digitos!A10,asientos!$B$13:$B$1276)</f>
        <v>0</v>
      </c>
      <c r="H10" s="1317">
        <f>+SUMIF(asientos!$I$13:$I$1276,SYS_4_3_Digitos!A10,asientos!$J$13:$J$1276)</f>
        <v>0</v>
      </c>
      <c r="I10" s="1314">
        <f t="shared" ca="1" si="0"/>
        <v>0</v>
      </c>
      <c r="J10" s="1315">
        <f t="shared" ca="1" si="1"/>
        <v>0</v>
      </c>
      <c r="L10" s="1308">
        <f t="shared" si="2"/>
        <v>110000000</v>
      </c>
      <c r="M10" s="1296" t="str">
        <f t="shared" si="3"/>
        <v>1100</v>
      </c>
      <c r="N10" s="1309">
        <f t="shared" ca="1" si="4"/>
        <v>0</v>
      </c>
      <c r="O10" s="1296" t="str">
        <f t="shared" si="5"/>
        <v>11</v>
      </c>
    </row>
    <row r="11" spans="1:15" s="1296" customFormat="1">
      <c r="A11" s="1310">
        <v>111</v>
      </c>
      <c r="B11" s="1311" t="s">
        <v>289</v>
      </c>
      <c r="C11" s="1312">
        <v>0</v>
      </c>
      <c r="D11" s="1313">
        <v>0</v>
      </c>
      <c r="E11" s="1314">
        <f>IF(+SUMIF(SYS_cliente!$F$5:$F$2500,A11,SYS_cliente!$I$5:$I$2500)+SUMIF(SYS_cliente!$K$5:$K$2500,A11,SYS_cliente!$N$5:$N$2500)+SUMIF(SYS_cliente!$P$5:$P$2500,A11,SYS_cliente!$S$5:$S$2500)&lt;0,0,+SUMIF(SYS_cliente!$F$5:$F$2500,A11,SYS_cliente!$I$5:$I$2500)+SUMIF(SYS_cliente!$K$5:$K$2500,A11,SYS_cliente!$N$5:$N$2500)+SUMIF(SYS_cliente!$P$5:$P$2500,A11,SYS_cliente!$S$5:$S$2500))</f>
        <v>0</v>
      </c>
      <c r="F11" s="1315">
        <f ca="1">IF(+SUMIF(SYS_cliente!$F$5:$F$2500,A11,SYS_cliente!$I$5:$I$1678)+SUMIF(SYS_cliente!$K$5:$K$2500,A11,SYS_cliente!$N$5:$N$1678)+SUMIF(SYS_cliente!$P$5:$P$2500,A11,SYS_cliente!$S$5:$S$1678)&gt;=0,0,-(SUMIF(SYS_cliente!$F$5:$F$2500,A11,SYS_cliente!$I$5:$I$1678)+SUMIF(SYS_cliente!$K$5:$K$2500,A11,SYS_cliente!$N$5:$N$1678)+SUMIF(SYS_cliente!$P$5:$P$2500,A11,SYS_cliente!$S$5:$S$1678)))</f>
        <v>0</v>
      </c>
      <c r="G11" s="1316">
        <f>+SUMIF(asientos!$C$13:$C$1276,SYS_4_3_Digitos!A11,asientos!$B$13:$B$1276)</f>
        <v>0</v>
      </c>
      <c r="H11" s="1317">
        <f>+SUMIF(asientos!$I$13:$I$1276,SYS_4_3_Digitos!A11,asientos!$J$13:$J$1276)</f>
        <v>0</v>
      </c>
      <c r="I11" s="1314">
        <f t="shared" ca="1" si="0"/>
        <v>0</v>
      </c>
      <c r="J11" s="1315">
        <f t="shared" ca="1" si="1"/>
        <v>0</v>
      </c>
      <c r="L11" s="1308">
        <f t="shared" si="2"/>
        <v>111000000</v>
      </c>
      <c r="M11" s="1296" t="str">
        <f t="shared" si="3"/>
        <v>1110</v>
      </c>
      <c r="N11" s="1309">
        <f t="shared" ca="1" si="4"/>
        <v>0</v>
      </c>
      <c r="O11" s="1296" t="str">
        <f t="shared" si="5"/>
        <v>11</v>
      </c>
    </row>
    <row r="12" spans="1:15" s="1296" customFormat="1">
      <c r="A12" s="1310">
        <v>112</v>
      </c>
      <c r="B12" s="1311" t="s">
        <v>290</v>
      </c>
      <c r="C12" s="1312">
        <v>0</v>
      </c>
      <c r="D12" s="1313">
        <v>15620049.640000001</v>
      </c>
      <c r="E12" s="1314">
        <f>IF(+SUMIF(SYS_cliente!$F$5:$F$2500,A12,SYS_cliente!$I$5:$I$2500)+SUMIF(SYS_cliente!$K$5:$K$2500,A12,SYS_cliente!$N$5:$N$2500)+SUMIF(SYS_cliente!$P$5:$P$2500,A12,SYS_cliente!$S$5:$S$2500)&lt;0,0,+SUMIF(SYS_cliente!$F$5:$F$2500,A12,SYS_cliente!$I$5:$I$2500)+SUMIF(SYS_cliente!$K$5:$K$2500,A12,SYS_cliente!$N$5:$N$2500)+SUMIF(SYS_cliente!$P$5:$P$2500,A12,SYS_cliente!$S$5:$S$2500))</f>
        <v>0</v>
      </c>
      <c r="F12" s="1315">
        <f ca="1">IF(+SUMIF(SYS_cliente!$F$5:$F$2500,A12,SYS_cliente!$I$5:$I$1678)+SUMIF(SYS_cliente!$K$5:$K$2500,A12,SYS_cliente!$N$5:$N$1678)+SUMIF(SYS_cliente!$P$5:$P$2500,A12,SYS_cliente!$S$5:$S$1678)&gt;=0,0,-(SUMIF(SYS_cliente!$F$5:$F$2500,A12,SYS_cliente!$I$5:$I$1678)+SUMIF(SYS_cliente!$K$5:$K$2500,A12,SYS_cliente!$N$5:$N$1678)+SUMIF(SYS_cliente!$P$5:$P$2500,A12,SYS_cliente!$S$5:$S$1678)))</f>
        <v>16700583.99</v>
      </c>
      <c r="G12" s="1316">
        <f>+SUMIF(asientos!$C$13:$C$1276,SYS_4_3_Digitos!A12,asientos!$B$13:$B$1276)</f>
        <v>0</v>
      </c>
      <c r="H12" s="1317">
        <f>+SUMIF(asientos!$I$13:$I$1276,SYS_4_3_Digitos!A12,asientos!$J$13:$J$1276)</f>
        <v>0</v>
      </c>
      <c r="I12" s="1314">
        <f t="shared" ca="1" si="0"/>
        <v>0</v>
      </c>
      <c r="J12" s="1315">
        <f t="shared" ca="1" si="1"/>
        <v>16700583.99</v>
      </c>
      <c r="L12" s="1308">
        <f t="shared" si="2"/>
        <v>112000000</v>
      </c>
      <c r="M12" s="1296" t="str">
        <f t="shared" si="3"/>
        <v>1120</v>
      </c>
      <c r="N12" s="1309">
        <f t="shared" ca="1" si="4"/>
        <v>-16700583.99</v>
      </c>
      <c r="O12" s="1296" t="str">
        <f t="shared" si="5"/>
        <v>11</v>
      </c>
    </row>
    <row r="13" spans="1:15" s="1296" customFormat="1">
      <c r="A13" s="1310">
        <v>113</v>
      </c>
      <c r="B13" s="1311" t="s">
        <v>291</v>
      </c>
      <c r="C13" s="1312">
        <v>0</v>
      </c>
      <c r="D13" s="1313">
        <v>129999012.16</v>
      </c>
      <c r="E13" s="1314">
        <f>IF(+SUMIF(SYS_cliente!$F$5:$F$2500,A13,SYS_cliente!$I$5:$I$2500)+SUMIF(SYS_cliente!$K$5:$K$2500,A13,SYS_cliente!$N$5:$N$2500)+SUMIF(SYS_cliente!$P$5:$P$2500,A13,SYS_cliente!$S$5:$S$2500)&lt;0,0,+SUMIF(SYS_cliente!$F$5:$F$2500,A13,SYS_cliente!$I$5:$I$2500)+SUMIF(SYS_cliente!$K$5:$K$2500,A13,SYS_cliente!$N$5:$N$2500)+SUMIF(SYS_cliente!$P$5:$P$2500,A13,SYS_cliente!$S$5:$S$2500))</f>
        <v>0</v>
      </c>
      <c r="F13" s="1315">
        <f ca="1">IF(+SUMIF(SYS_cliente!$F$5:$F$2500,A13,SYS_cliente!$I$5:$I$1678)+SUMIF(SYS_cliente!$K$5:$K$2500,A13,SYS_cliente!$N$5:$N$1678)+SUMIF(SYS_cliente!$P$5:$P$2500,A13,SYS_cliente!$S$5:$S$1678)&gt;=0,0,-(SUMIF(SYS_cliente!$F$5:$F$2500,A13,SYS_cliente!$I$5:$I$1678)+SUMIF(SYS_cliente!$K$5:$K$2500,A13,SYS_cliente!$N$5:$N$1678)+SUMIF(SYS_cliente!$P$5:$P$2500,A13,SYS_cliente!$S$5:$S$1678)))</f>
        <v>138943662.72</v>
      </c>
      <c r="G13" s="1316">
        <f>+SUMIF(asientos!$C$13:$C$1276,SYS_4_3_Digitos!A13,asientos!$B$13:$B$1276)</f>
        <v>0</v>
      </c>
      <c r="H13" s="1317">
        <f>+SUMIF(asientos!$I$13:$I$1276,SYS_4_3_Digitos!A13,asientos!$J$13:$J$1276)</f>
        <v>0</v>
      </c>
      <c r="I13" s="1314">
        <f t="shared" ca="1" si="0"/>
        <v>0</v>
      </c>
      <c r="J13" s="1315">
        <f t="shared" ca="1" si="1"/>
        <v>138943662.72</v>
      </c>
      <c r="L13" s="1308">
        <f t="shared" si="2"/>
        <v>113000000</v>
      </c>
      <c r="M13" s="1296" t="str">
        <f t="shared" si="3"/>
        <v>1130</v>
      </c>
      <c r="N13" s="1309">
        <f t="shared" ca="1" si="4"/>
        <v>-138943662.72</v>
      </c>
      <c r="O13" s="1296" t="str">
        <f t="shared" si="5"/>
        <v>11</v>
      </c>
    </row>
    <row r="14" spans="1:15" s="1296" customFormat="1">
      <c r="A14" s="1310">
        <v>1140</v>
      </c>
      <c r="B14" s="1311" t="s">
        <v>292</v>
      </c>
      <c r="C14" s="1312">
        <v>0</v>
      </c>
      <c r="D14" s="1313">
        <v>0</v>
      </c>
      <c r="E14" s="1314">
        <f>IF(+SUMIF(SYS_cliente!$F$5:$F$2500,A14,SYS_cliente!$I$5:$I$2500)+SUMIF(SYS_cliente!$K$5:$K$2500,A14,SYS_cliente!$N$5:$N$2500)+SUMIF(SYS_cliente!$P$5:$P$2500,A14,SYS_cliente!$S$5:$S$2500)&lt;0,0,+SUMIF(SYS_cliente!$F$5:$F$2500,A14,SYS_cliente!$I$5:$I$2500)+SUMIF(SYS_cliente!$K$5:$K$2500,A14,SYS_cliente!$N$5:$N$2500)+SUMIF(SYS_cliente!$P$5:$P$2500,A14,SYS_cliente!$S$5:$S$2500))</f>
        <v>0</v>
      </c>
      <c r="F14" s="1315">
        <f ca="1">IF(+SUMIF(SYS_cliente!$F$5:$F$2500,A14,SYS_cliente!$I$5:$I$1678)+SUMIF(SYS_cliente!$K$5:$K$2500,A14,SYS_cliente!$N$5:$N$1678)+SUMIF(SYS_cliente!$P$5:$P$2500,A14,SYS_cliente!$S$5:$S$1678)&gt;=0,0,-(SUMIF(SYS_cliente!$F$5:$F$2500,A14,SYS_cliente!$I$5:$I$1678)+SUMIF(SYS_cliente!$K$5:$K$2500,A14,SYS_cliente!$N$5:$N$1678)+SUMIF(SYS_cliente!$P$5:$P$2500,A14,SYS_cliente!$S$5:$S$1678)))</f>
        <v>0</v>
      </c>
      <c r="G14" s="1316">
        <f>+SUMIF(asientos!$C$13:$C$1276,SYS_4_3_Digitos!A14,asientos!$B$13:$B$1276)</f>
        <v>0</v>
      </c>
      <c r="H14" s="1317">
        <f>+SUMIF(asientos!$I$13:$I$1276,SYS_4_3_Digitos!A14,asientos!$J$13:$J$1276)</f>
        <v>0</v>
      </c>
      <c r="I14" s="1314">
        <f t="shared" ca="1" si="0"/>
        <v>0</v>
      </c>
      <c r="J14" s="1315">
        <f t="shared" ca="1" si="1"/>
        <v>0</v>
      </c>
      <c r="L14" s="1308">
        <f t="shared" si="2"/>
        <v>1140000000</v>
      </c>
      <c r="M14" s="1296" t="str">
        <f t="shared" si="3"/>
        <v>1140</v>
      </c>
      <c r="N14" s="1309">
        <f t="shared" ca="1" si="4"/>
        <v>0</v>
      </c>
      <c r="O14" s="1296" t="str">
        <f t="shared" si="5"/>
        <v>11</v>
      </c>
    </row>
    <row r="15" spans="1:15" s="1296" customFormat="1">
      <c r="A15" s="1310">
        <v>1147</v>
      </c>
      <c r="B15" s="1311" t="s">
        <v>1747</v>
      </c>
      <c r="C15" s="1312">
        <v>0</v>
      </c>
      <c r="D15" s="1313">
        <v>5996543.5099999998</v>
      </c>
      <c r="E15" s="1314">
        <f>IF(+SUMIF(SYS_cliente!$F$5:$F$2500,A15,SYS_cliente!$I$5:$I$2500)+SUMIF(SYS_cliente!$K$5:$K$2500,A15,SYS_cliente!$N$5:$N$2500)+SUMIF(SYS_cliente!$P$5:$P$2500,A15,SYS_cliente!$S$5:$S$2500)&lt;0,0,+SUMIF(SYS_cliente!$F$5:$F$2500,A15,SYS_cliente!$I$5:$I$2500)+SUMIF(SYS_cliente!$K$5:$K$2500,A15,SYS_cliente!$N$5:$N$2500)+SUMIF(SYS_cliente!$P$5:$P$2500,A15,SYS_cliente!$S$5:$S$2500))</f>
        <v>0</v>
      </c>
      <c r="F15" s="1315">
        <f ca="1">IF(+SUMIF(SYS_cliente!$F$5:$F$2500,A15,SYS_cliente!$I$5:$I$1678)+SUMIF(SYS_cliente!$K$5:$K$2500,A15,SYS_cliente!$N$5:$N$1678)+SUMIF(SYS_cliente!$P$5:$P$2500,A15,SYS_cliente!$S$5:$S$1678)&gt;=0,0,-(SUMIF(SYS_cliente!$F$5:$F$2500,A15,SYS_cliente!$I$5:$I$1678)+SUMIF(SYS_cliente!$K$5:$K$2500,A15,SYS_cliente!$N$5:$N$1678)+SUMIF(SYS_cliente!$P$5:$P$2500,A15,SYS_cliente!$S$5:$S$1678)))</f>
        <v>6776702.0999999996</v>
      </c>
      <c r="G15" s="1316">
        <f>+SUMIF(asientos!$C$13:$C$1276,SYS_4_3_Digitos!A15,asientos!$B$13:$B$1276)</f>
        <v>0</v>
      </c>
      <c r="H15" s="1317">
        <f>+SUMIF(asientos!$I$13:$I$1276,SYS_4_3_Digitos!A15,asientos!$J$13:$J$1276)</f>
        <v>0</v>
      </c>
      <c r="I15" s="1314">
        <f t="shared" ref="I15:I16" ca="1" si="6">IF((E15+G15-F15-H15)&gt;0,E15+G15-F15-H15,0)</f>
        <v>0</v>
      </c>
      <c r="J15" s="1315">
        <f t="shared" ref="J15:J16" ca="1" si="7">IF((F15+H15-E15-G15)&gt;0,F15+H15-E15-G15,0)</f>
        <v>6776702.0999999996</v>
      </c>
      <c r="L15" s="1308">
        <f t="shared" ref="L15:L16" si="8">+A15*1000000</f>
        <v>1147000000</v>
      </c>
      <c r="M15" s="1296" t="str">
        <f t="shared" ref="M15:M16" si="9">+LEFT(L15,4)</f>
        <v>1147</v>
      </c>
      <c r="N15" s="1309">
        <f t="shared" ref="N15:N16" ca="1" si="10">+I15-J15</f>
        <v>-6776702.0999999996</v>
      </c>
      <c r="O15" s="1296" t="str">
        <f t="shared" ref="O15:O16" si="11">+LEFT(M15,2)</f>
        <v>11</v>
      </c>
    </row>
    <row r="16" spans="1:15" s="1296" customFormat="1">
      <c r="A16" s="1310">
        <v>1148</v>
      </c>
      <c r="B16" s="1311" t="s">
        <v>1748</v>
      </c>
      <c r="C16" s="1312">
        <v>0</v>
      </c>
      <c r="D16" s="1313">
        <v>0</v>
      </c>
      <c r="E16" s="1314">
        <f>IF(+SUMIF(SYS_cliente!$F$5:$F$2500,A16,SYS_cliente!$I$5:$I$2500)+SUMIF(SYS_cliente!$K$5:$K$2500,A16,SYS_cliente!$N$5:$N$2500)+SUMIF(SYS_cliente!$P$5:$P$2500,A16,SYS_cliente!$S$5:$S$2500)&lt;0,0,+SUMIF(SYS_cliente!$F$5:$F$2500,A16,SYS_cliente!$I$5:$I$2500)+SUMIF(SYS_cliente!$K$5:$K$2500,A16,SYS_cliente!$N$5:$N$2500)+SUMIF(SYS_cliente!$P$5:$P$2500,A16,SYS_cliente!$S$5:$S$2500))</f>
        <v>0</v>
      </c>
      <c r="F16" s="1315">
        <f ca="1">IF(+SUMIF(SYS_cliente!$F$5:$F$2500,A16,SYS_cliente!$I$5:$I$1678)+SUMIF(SYS_cliente!$K$5:$K$2500,A16,SYS_cliente!$N$5:$N$1678)+SUMIF(SYS_cliente!$P$5:$P$2500,A16,SYS_cliente!$S$5:$S$1678)&gt;=0,0,-(SUMIF(SYS_cliente!$F$5:$F$2500,A16,SYS_cliente!$I$5:$I$1678)+SUMIF(SYS_cliente!$K$5:$K$2500,A16,SYS_cliente!$N$5:$N$1678)+SUMIF(SYS_cliente!$P$5:$P$2500,A16,SYS_cliente!$S$5:$S$1678)))</f>
        <v>0</v>
      </c>
      <c r="G16" s="1316">
        <f>+SUMIF(asientos!$C$13:$C$1276,SYS_4_3_Digitos!A16,asientos!$B$13:$B$1276)</f>
        <v>0</v>
      </c>
      <c r="H16" s="1317">
        <f>+SUMIF(asientos!$I$13:$I$1276,SYS_4_3_Digitos!A16,asientos!$J$13:$J$1276)</f>
        <v>0</v>
      </c>
      <c r="I16" s="1314">
        <f t="shared" ca="1" si="6"/>
        <v>0</v>
      </c>
      <c r="J16" s="1315">
        <f t="shared" ca="1" si="7"/>
        <v>0</v>
      </c>
      <c r="L16" s="1308">
        <f t="shared" si="8"/>
        <v>1148000000</v>
      </c>
      <c r="M16" s="1296" t="str">
        <f t="shared" si="9"/>
        <v>1148</v>
      </c>
      <c r="N16" s="1309">
        <f t="shared" ca="1" si="10"/>
        <v>0</v>
      </c>
      <c r="O16" s="1296" t="str">
        <f t="shared" si="11"/>
        <v>11</v>
      </c>
    </row>
    <row r="17" spans="1:15" s="1296" customFormat="1">
      <c r="A17" s="1310">
        <v>115</v>
      </c>
      <c r="B17" s="1311" t="s">
        <v>293</v>
      </c>
      <c r="C17" s="1312">
        <v>0</v>
      </c>
      <c r="D17" s="1313">
        <v>0</v>
      </c>
      <c r="E17" s="1314">
        <f>IF(+SUMIF(SYS_cliente!$F$5:$F$2500,A17,SYS_cliente!$I$5:$I$2500)+SUMIF(SYS_cliente!$K$5:$K$2500,A17,SYS_cliente!$N$5:$N$2500)+SUMIF(SYS_cliente!$P$5:$P$2500,A17,SYS_cliente!$S$5:$S$2500)&lt;0,0,+SUMIF(SYS_cliente!$F$5:$F$2500,A17,SYS_cliente!$I$5:$I$2500)+SUMIF(SYS_cliente!$K$5:$K$2500,A17,SYS_cliente!$N$5:$N$2500)+SUMIF(SYS_cliente!$P$5:$P$2500,A17,SYS_cliente!$S$5:$S$2500))</f>
        <v>0</v>
      </c>
      <c r="F17" s="1315">
        <f ca="1">IF(+SUMIF(SYS_cliente!$F$5:$F$2500,A17,SYS_cliente!$I$5:$I$1678)+SUMIF(SYS_cliente!$K$5:$K$2500,A17,SYS_cliente!$N$5:$N$1678)+SUMIF(SYS_cliente!$P$5:$P$2500,A17,SYS_cliente!$S$5:$S$1678)&gt;=0,0,-(SUMIF(SYS_cliente!$F$5:$F$2500,A17,SYS_cliente!$I$5:$I$1678)+SUMIF(SYS_cliente!$K$5:$K$2500,A17,SYS_cliente!$N$5:$N$1678)+SUMIF(SYS_cliente!$P$5:$P$2500,A17,SYS_cliente!$S$5:$S$1678)))</f>
        <v>0</v>
      </c>
      <c r="G17" s="1316">
        <f>+SUMIF(asientos!$C$13:$C$1276,SYS_4_3_Digitos!A17,asientos!$B$13:$B$1276)</f>
        <v>0</v>
      </c>
      <c r="H17" s="1317">
        <f>+SUMIF(asientos!$I$13:$I$1276,SYS_4_3_Digitos!A17,asientos!$J$13:$J$1276)</f>
        <v>0</v>
      </c>
      <c r="I17" s="1314">
        <f t="shared" ca="1" si="0"/>
        <v>0</v>
      </c>
      <c r="J17" s="1315">
        <f t="shared" ca="1" si="1"/>
        <v>0</v>
      </c>
      <c r="L17" s="1308">
        <f t="shared" si="2"/>
        <v>115000000</v>
      </c>
      <c r="M17" s="1296" t="str">
        <f t="shared" si="3"/>
        <v>1150</v>
      </c>
      <c r="N17" s="1309">
        <f t="shared" ca="1" si="4"/>
        <v>0</v>
      </c>
      <c r="O17" s="1296" t="str">
        <f t="shared" si="5"/>
        <v>11</v>
      </c>
    </row>
    <row r="18" spans="1:15" s="1296" customFormat="1">
      <c r="A18" s="1310">
        <v>118</v>
      </c>
      <c r="B18" s="1311" t="s">
        <v>294</v>
      </c>
      <c r="C18" s="1312">
        <v>0</v>
      </c>
      <c r="D18" s="1313">
        <v>0</v>
      </c>
      <c r="E18" s="1314">
        <f>IF(+SUMIF(SYS_cliente!$F$5:$F$2500,A18,SYS_cliente!$I$5:$I$2500)+SUMIF(SYS_cliente!$K$5:$K$2500,A18,SYS_cliente!$N$5:$N$2500)+SUMIF(SYS_cliente!$P$5:$P$2500,A18,SYS_cliente!$S$5:$S$2500)&lt;0,0,+SUMIF(SYS_cliente!$F$5:$F$2500,A18,SYS_cliente!$I$5:$I$2500)+SUMIF(SYS_cliente!$K$5:$K$2500,A18,SYS_cliente!$N$5:$N$2500)+SUMIF(SYS_cliente!$P$5:$P$2500,A18,SYS_cliente!$S$5:$S$2500))</f>
        <v>0</v>
      </c>
      <c r="F18" s="1315">
        <f ca="1">IF(+SUMIF(SYS_cliente!$F$5:$F$2500,A18,SYS_cliente!$I$5:$I$1678)+SUMIF(SYS_cliente!$K$5:$K$2500,A18,SYS_cliente!$N$5:$N$1678)+SUMIF(SYS_cliente!$P$5:$P$2500,A18,SYS_cliente!$S$5:$S$1678)&gt;=0,0,-(SUMIF(SYS_cliente!$F$5:$F$2500,A18,SYS_cliente!$I$5:$I$1678)+SUMIF(SYS_cliente!$K$5:$K$2500,A18,SYS_cliente!$N$5:$N$1678)+SUMIF(SYS_cliente!$P$5:$P$2500,A18,SYS_cliente!$S$5:$S$1678)))</f>
        <v>0</v>
      </c>
      <c r="G18" s="1316">
        <f>+SUMIF(asientos!$C$13:$C$1276,SYS_4_3_Digitos!A18,asientos!$B$13:$B$1276)</f>
        <v>0</v>
      </c>
      <c r="H18" s="1317">
        <f>+SUMIF(asientos!$I$13:$I$1276,SYS_4_3_Digitos!A18,asientos!$J$13:$J$1276)</f>
        <v>0</v>
      </c>
      <c r="I18" s="1314">
        <f t="shared" ca="1" si="0"/>
        <v>0</v>
      </c>
      <c r="J18" s="1315">
        <f t="shared" ca="1" si="1"/>
        <v>0</v>
      </c>
      <c r="L18" s="1308">
        <f t="shared" si="2"/>
        <v>118000000</v>
      </c>
      <c r="M18" s="1296" t="str">
        <f t="shared" si="3"/>
        <v>1180</v>
      </c>
      <c r="N18" s="1309">
        <f t="shared" ca="1" si="4"/>
        <v>0</v>
      </c>
      <c r="O18" s="1296" t="str">
        <f t="shared" si="5"/>
        <v>11</v>
      </c>
    </row>
    <row r="19" spans="1:15" s="1296" customFormat="1">
      <c r="A19" s="1310">
        <v>119</v>
      </c>
      <c r="B19" s="1311" t="s">
        <v>295</v>
      </c>
      <c r="C19" s="1312">
        <v>0</v>
      </c>
      <c r="D19" s="1313">
        <v>13.56</v>
      </c>
      <c r="E19" s="1314">
        <f>IF(+SUMIF(SYS_cliente!$F$5:$F$2500,A19,SYS_cliente!$I$5:$I$2500)+SUMIF(SYS_cliente!$K$5:$K$2500,A19,SYS_cliente!$N$5:$N$2500)+SUMIF(SYS_cliente!$P$5:$P$2500,A19,SYS_cliente!$S$5:$S$2500)&lt;0,0,+SUMIF(SYS_cliente!$F$5:$F$2500,A19,SYS_cliente!$I$5:$I$2500)+SUMIF(SYS_cliente!$K$5:$K$2500,A19,SYS_cliente!$N$5:$N$2500)+SUMIF(SYS_cliente!$P$5:$P$2500,A19,SYS_cliente!$S$5:$S$2500))</f>
        <v>0</v>
      </c>
      <c r="F19" s="1315">
        <f ca="1">IF(+SUMIF(SYS_cliente!$F$5:$F$2500,A19,SYS_cliente!$I$5:$I$1678)+SUMIF(SYS_cliente!$K$5:$K$2500,A19,SYS_cliente!$N$5:$N$1678)+SUMIF(SYS_cliente!$P$5:$P$2500,A19,SYS_cliente!$S$5:$S$1678)&gt;=0,0,-(SUMIF(SYS_cliente!$F$5:$F$2500,A19,SYS_cliente!$I$5:$I$1678)+SUMIF(SYS_cliente!$K$5:$K$2500,A19,SYS_cliente!$N$5:$N$1678)+SUMIF(SYS_cliente!$P$5:$P$2500,A19,SYS_cliente!$S$5:$S$1678)))</f>
        <v>13.56</v>
      </c>
      <c r="G19" s="1316">
        <f>+SUMIF(asientos!$C$13:$C$1276,SYS_4_3_Digitos!A19,asientos!$B$13:$B$1276)</f>
        <v>0</v>
      </c>
      <c r="H19" s="1317">
        <f>+SUMIF(asientos!$I$13:$I$1276,SYS_4_3_Digitos!A19,asientos!$J$13:$J$1276)</f>
        <v>0</v>
      </c>
      <c r="I19" s="1314">
        <f t="shared" ca="1" si="0"/>
        <v>0</v>
      </c>
      <c r="J19" s="1315">
        <f t="shared" ca="1" si="1"/>
        <v>13.56</v>
      </c>
      <c r="L19" s="1308">
        <f t="shared" si="2"/>
        <v>119000000</v>
      </c>
      <c r="M19" s="1296" t="str">
        <f t="shared" si="3"/>
        <v>1190</v>
      </c>
      <c r="N19" s="1309">
        <f t="shared" ca="1" si="4"/>
        <v>-13.56</v>
      </c>
      <c r="O19" s="1296" t="str">
        <f t="shared" si="5"/>
        <v>11</v>
      </c>
    </row>
    <row r="20" spans="1:15" s="1296" customFormat="1">
      <c r="A20" s="1310">
        <v>120</v>
      </c>
      <c r="B20" s="1311" t="s">
        <v>296</v>
      </c>
      <c r="C20" s="1312">
        <v>0</v>
      </c>
      <c r="D20" s="1313">
        <v>0</v>
      </c>
      <c r="E20" s="1314">
        <f>IF(+SUMIF(SYS_cliente!$F$5:$F$2500,A20,SYS_cliente!$I$5:$I$2500)+SUMIF(SYS_cliente!$K$5:$K$2500,A20,SYS_cliente!$N$5:$N$2500)+SUMIF(SYS_cliente!$P$5:$P$2500,A20,SYS_cliente!$S$5:$S$2500)&lt;0,0,+SUMIF(SYS_cliente!$F$5:$F$2500,A20,SYS_cliente!$I$5:$I$2500)+SUMIF(SYS_cliente!$K$5:$K$2500,A20,SYS_cliente!$N$5:$N$2500)+SUMIF(SYS_cliente!$P$5:$P$2500,A20,SYS_cliente!$S$5:$S$2500))</f>
        <v>0</v>
      </c>
      <c r="F20" s="1315">
        <f ca="1">IF(+SUMIF(SYS_cliente!$F$5:$F$2500,A20,SYS_cliente!$I$5:$I$1678)+SUMIF(SYS_cliente!$K$5:$K$2500,A20,SYS_cliente!$N$5:$N$1678)+SUMIF(SYS_cliente!$P$5:$P$2500,A20,SYS_cliente!$S$5:$S$1678)&gt;=0,0,-(SUMIF(SYS_cliente!$F$5:$F$2500,A20,SYS_cliente!$I$5:$I$1678)+SUMIF(SYS_cliente!$K$5:$K$2500,A20,SYS_cliente!$N$5:$N$1678)+SUMIF(SYS_cliente!$P$5:$P$2500,A20,SYS_cliente!$S$5:$S$1678)))</f>
        <v>0</v>
      </c>
      <c r="G20" s="1316">
        <f>+SUMIF(asientos!$C$13:$C$1276,SYS_4_3_Digitos!A20,asientos!$B$13:$B$1276)</f>
        <v>0</v>
      </c>
      <c r="H20" s="1317">
        <f>+SUMIF(asientos!$I$13:$I$1276,SYS_4_3_Digitos!A20,asientos!$J$13:$J$1276)</f>
        <v>0</v>
      </c>
      <c r="I20" s="1314">
        <f t="shared" ca="1" si="0"/>
        <v>0</v>
      </c>
      <c r="J20" s="1315">
        <f t="shared" ca="1" si="1"/>
        <v>0</v>
      </c>
      <c r="L20" s="1308">
        <f t="shared" si="2"/>
        <v>120000000</v>
      </c>
      <c r="M20" s="1296" t="str">
        <f t="shared" si="3"/>
        <v>1200</v>
      </c>
      <c r="N20" s="1309">
        <f t="shared" ca="1" si="4"/>
        <v>0</v>
      </c>
      <c r="O20" s="1296" t="str">
        <f t="shared" si="5"/>
        <v>12</v>
      </c>
    </row>
    <row r="21" spans="1:15" s="1296" customFormat="1">
      <c r="A21" s="1310">
        <v>121</v>
      </c>
      <c r="B21" s="1311" t="s">
        <v>297</v>
      </c>
      <c r="C21" s="1312">
        <v>0</v>
      </c>
      <c r="D21" s="1313">
        <v>0</v>
      </c>
      <c r="E21" s="1314">
        <f>IF(+SUMIF(SYS_cliente!$F$5:$F$2500,A21,SYS_cliente!$I$5:$I$2500)+SUMIF(SYS_cliente!$K$5:$K$2500,A21,SYS_cliente!$N$5:$N$2500)+SUMIF(SYS_cliente!$P$5:$P$2500,A21,SYS_cliente!$S$5:$S$2500)&lt;0,0,+SUMIF(SYS_cliente!$F$5:$F$2500,A21,SYS_cliente!$I$5:$I$2500)+SUMIF(SYS_cliente!$K$5:$K$2500,A21,SYS_cliente!$N$5:$N$2500)+SUMIF(SYS_cliente!$P$5:$P$2500,A21,SYS_cliente!$S$5:$S$2500))</f>
        <v>0</v>
      </c>
      <c r="F21" s="1315">
        <f ca="1">IF(+SUMIF(SYS_cliente!$F$5:$F$2500,A21,SYS_cliente!$I$5:$I$1678)+SUMIF(SYS_cliente!$K$5:$K$2500,A21,SYS_cliente!$N$5:$N$1678)+SUMIF(SYS_cliente!$P$5:$P$2500,A21,SYS_cliente!$S$5:$S$1678)&gt;=0,0,-(SUMIF(SYS_cliente!$F$5:$F$2500,A21,SYS_cliente!$I$5:$I$1678)+SUMIF(SYS_cliente!$K$5:$K$2500,A21,SYS_cliente!$N$5:$N$1678)+SUMIF(SYS_cliente!$P$5:$P$2500,A21,SYS_cliente!$S$5:$S$1678)))</f>
        <v>0</v>
      </c>
      <c r="G21" s="1316">
        <f>+SUMIF(asientos!$C$13:$C$1276,SYS_4_3_Digitos!A21,asientos!$B$13:$B$1276)</f>
        <v>0</v>
      </c>
      <c r="H21" s="1317">
        <f>+SUMIF(asientos!$I$13:$I$1276,SYS_4_3_Digitos!A21,asientos!$J$13:$J$1276)</f>
        <v>0</v>
      </c>
      <c r="I21" s="1314">
        <f t="shared" ca="1" si="0"/>
        <v>0</v>
      </c>
      <c r="J21" s="1315">
        <f t="shared" ca="1" si="1"/>
        <v>0</v>
      </c>
      <c r="L21" s="1308">
        <f t="shared" si="2"/>
        <v>121000000</v>
      </c>
      <c r="M21" s="1296" t="str">
        <f t="shared" si="3"/>
        <v>1210</v>
      </c>
      <c r="N21" s="1309">
        <f t="shared" ca="1" si="4"/>
        <v>0</v>
      </c>
      <c r="O21" s="1296" t="str">
        <f t="shared" si="5"/>
        <v>12</v>
      </c>
    </row>
    <row r="22" spans="1:15" s="1296" customFormat="1">
      <c r="A22" s="1310">
        <v>129</v>
      </c>
      <c r="B22" s="1311" t="s">
        <v>298</v>
      </c>
      <c r="C22" s="1312">
        <v>0</v>
      </c>
      <c r="D22" s="1313">
        <v>0</v>
      </c>
      <c r="E22" s="1314">
        <f>IF(+SUMIF(SYS_cliente!$F$5:$F$2500,A22,SYS_cliente!$I$5:$I$2500)+SUMIF(SYS_cliente!$K$5:$K$2500,A22,SYS_cliente!$N$5:$N$2500)+SUMIF(SYS_cliente!$P$5:$P$2500,A22,SYS_cliente!$S$5:$S$2500)&lt;0,0,+SUMIF(SYS_cliente!$F$5:$F$2500,A22,SYS_cliente!$I$5:$I$2500)+SUMIF(SYS_cliente!$K$5:$K$2500,A22,SYS_cliente!$N$5:$N$2500)+SUMIF(SYS_cliente!$P$5:$P$2500,A22,SYS_cliente!$S$5:$S$2500))</f>
        <v>0</v>
      </c>
      <c r="F22" s="1315">
        <f ca="1">IF(+SUMIF(SYS_cliente!$F$5:$F$2500,A22,SYS_cliente!$I$5:$I$1678)+SUMIF(SYS_cliente!$K$5:$K$2500,A22,SYS_cliente!$N$5:$N$1678)+SUMIF(SYS_cliente!$P$5:$P$2500,A22,SYS_cliente!$S$5:$S$1678)&gt;=0,0,-(SUMIF(SYS_cliente!$F$5:$F$2500,A22,SYS_cliente!$I$5:$I$1678)+SUMIF(SYS_cliente!$K$5:$K$2500,A22,SYS_cliente!$N$5:$N$1678)+SUMIF(SYS_cliente!$P$5:$P$2500,A22,SYS_cliente!$S$5:$S$1678)))</f>
        <v>0</v>
      </c>
      <c r="G22" s="1316">
        <f>+SUMIF(asientos!$C$13:$C$1276,SYS_4_3_Digitos!A22,asientos!$B$13:$B$1276)</f>
        <v>0</v>
      </c>
      <c r="H22" s="1317">
        <f>+SUMIF(asientos!$I$13:$I$1276,SYS_4_3_Digitos!A22,asientos!$J$13:$J$1276)</f>
        <v>0</v>
      </c>
      <c r="I22" s="1314">
        <f t="shared" ca="1" si="0"/>
        <v>0</v>
      </c>
      <c r="J22" s="1315">
        <f t="shared" ca="1" si="1"/>
        <v>0</v>
      </c>
      <c r="L22" s="1308">
        <f t="shared" si="2"/>
        <v>129000000</v>
      </c>
      <c r="M22" s="1296" t="str">
        <f t="shared" si="3"/>
        <v>1290</v>
      </c>
      <c r="N22" s="1309">
        <f t="shared" ca="1" si="4"/>
        <v>0</v>
      </c>
      <c r="O22" s="1296" t="str">
        <f t="shared" si="5"/>
        <v>12</v>
      </c>
    </row>
    <row r="23" spans="1:15" s="1296" customFormat="1">
      <c r="A23" s="1310">
        <v>130</v>
      </c>
      <c r="B23" s="1311" t="s">
        <v>299</v>
      </c>
      <c r="C23" s="1312">
        <v>0</v>
      </c>
      <c r="D23" s="1313">
        <v>16574.64</v>
      </c>
      <c r="E23" s="1314">
        <f>IF(+SUMIF(SYS_cliente!$F$5:$F$2500,A23,SYS_cliente!$I$5:$I$2500)+SUMIF(SYS_cliente!$K$5:$K$2500,A23,SYS_cliente!$N$5:$N$2500)+SUMIF(SYS_cliente!$P$5:$P$2500,A23,SYS_cliente!$S$5:$S$2500)&lt;0,0,+SUMIF(SYS_cliente!$F$5:$F$2500,A23,SYS_cliente!$I$5:$I$2500)+SUMIF(SYS_cliente!$K$5:$K$2500,A23,SYS_cliente!$N$5:$N$2500)+SUMIF(SYS_cliente!$P$5:$P$2500,A23,SYS_cliente!$S$5:$S$2500))</f>
        <v>0</v>
      </c>
      <c r="F23" s="1315">
        <f ca="1">IF(+SUMIF(SYS_cliente!$F$5:$F$2500,A23,SYS_cliente!$I$5:$I$1678)+SUMIF(SYS_cliente!$K$5:$K$2500,A23,SYS_cliente!$N$5:$N$1678)+SUMIF(SYS_cliente!$P$5:$P$2500,A23,SYS_cliente!$S$5:$S$1678)&gt;=0,0,-(SUMIF(SYS_cliente!$F$5:$F$2500,A23,SYS_cliente!$I$5:$I$1678)+SUMIF(SYS_cliente!$K$5:$K$2500,A23,SYS_cliente!$N$5:$N$1678)+SUMIF(SYS_cliente!$P$5:$P$2500,A23,SYS_cliente!$S$5:$S$1678)))</f>
        <v>49556.49</v>
      </c>
      <c r="G23" s="1316">
        <f>+SUMIF(asientos!$C$13:$C$1276,SYS_4_3_Digitos!A23,asientos!$B$13:$B$1276)</f>
        <v>16695.3</v>
      </c>
      <c r="H23" s="1317">
        <f>+SUMIF(asientos!$I$13:$I$1276,SYS_4_3_Digitos!A23,asientos!$J$13:$J$1276)</f>
        <v>2112.46</v>
      </c>
      <c r="I23" s="1314">
        <f t="shared" ca="1" si="0"/>
        <v>0</v>
      </c>
      <c r="J23" s="1315">
        <f t="shared" ca="1" si="1"/>
        <v>34973.649999999994</v>
      </c>
      <c r="L23" s="1308">
        <f t="shared" si="2"/>
        <v>130000000</v>
      </c>
      <c r="M23" s="1296" t="str">
        <f t="shared" si="3"/>
        <v>1300</v>
      </c>
      <c r="N23" s="1309">
        <f t="shared" ca="1" si="4"/>
        <v>-34973.649999999994</v>
      </c>
      <c r="O23" s="1296" t="str">
        <f t="shared" si="5"/>
        <v>13</v>
      </c>
    </row>
    <row r="24" spans="1:15" s="1296" customFormat="1">
      <c r="A24" s="1310">
        <v>131</v>
      </c>
      <c r="B24" s="1311" t="s">
        <v>300</v>
      </c>
      <c r="C24" s="1312">
        <v>0</v>
      </c>
      <c r="D24" s="1313">
        <v>0</v>
      </c>
      <c r="E24" s="1314">
        <f>IF(+SUMIF(SYS_cliente!$F$5:$F$2500,A24,SYS_cliente!$I$5:$I$2500)+SUMIF(SYS_cliente!$K$5:$K$2500,A24,SYS_cliente!$N$5:$N$2500)+SUMIF(SYS_cliente!$P$5:$P$2500,A24,SYS_cliente!$S$5:$S$2500)&lt;0,0,+SUMIF(SYS_cliente!$F$5:$F$2500,A24,SYS_cliente!$I$5:$I$2500)+SUMIF(SYS_cliente!$K$5:$K$2500,A24,SYS_cliente!$N$5:$N$2500)+SUMIF(SYS_cliente!$P$5:$P$2500,A24,SYS_cliente!$S$5:$S$2500))</f>
        <v>0</v>
      </c>
      <c r="F24" s="1315">
        <f ca="1">IF(+SUMIF(SYS_cliente!$F$5:$F$2500,A24,SYS_cliente!$I$5:$I$1678)+SUMIF(SYS_cliente!$K$5:$K$2500,A24,SYS_cliente!$N$5:$N$1678)+SUMIF(SYS_cliente!$P$5:$P$2500,A24,SYS_cliente!$S$5:$S$1678)&gt;=0,0,-(SUMIF(SYS_cliente!$F$5:$F$2500,A24,SYS_cliente!$I$5:$I$1678)+SUMIF(SYS_cliente!$K$5:$K$2500,A24,SYS_cliente!$N$5:$N$1678)+SUMIF(SYS_cliente!$P$5:$P$2500,A24,SYS_cliente!$S$5:$S$1678)))</f>
        <v>0</v>
      </c>
      <c r="G24" s="1316">
        <f>+SUMIF(asientos!$C$13:$C$1276,SYS_4_3_Digitos!A24,asientos!$B$13:$B$1276)</f>
        <v>0</v>
      </c>
      <c r="H24" s="1317">
        <f>+SUMIF(asientos!$I$13:$I$1276,SYS_4_3_Digitos!A24,asientos!$J$13:$J$1276)</f>
        <v>0</v>
      </c>
      <c r="I24" s="1314">
        <f t="shared" ca="1" si="0"/>
        <v>0</v>
      </c>
      <c r="J24" s="1315">
        <f t="shared" ca="1" si="1"/>
        <v>0</v>
      </c>
      <c r="L24" s="1308">
        <f t="shared" si="2"/>
        <v>131000000</v>
      </c>
      <c r="M24" s="1296" t="str">
        <f t="shared" si="3"/>
        <v>1310</v>
      </c>
      <c r="N24" s="1309">
        <f t="shared" ca="1" si="4"/>
        <v>0</v>
      </c>
      <c r="O24" s="1296" t="str">
        <f t="shared" si="5"/>
        <v>13</v>
      </c>
    </row>
    <row r="25" spans="1:15" s="1296" customFormat="1">
      <c r="A25" s="1310">
        <v>132</v>
      </c>
      <c r="B25" s="1311" t="s">
        <v>301</v>
      </c>
      <c r="C25" s="1312">
        <v>0</v>
      </c>
      <c r="D25" s="1313">
        <v>0</v>
      </c>
      <c r="E25" s="1314">
        <f>IF(+SUMIF(SYS_cliente!$F$5:$F$2500,A25,SYS_cliente!$I$5:$I$2500)+SUMIF(SYS_cliente!$K$5:$K$2500,A25,SYS_cliente!$N$5:$N$2500)+SUMIF(SYS_cliente!$P$5:$P$2500,A25,SYS_cliente!$S$5:$S$2500)&lt;0,0,+SUMIF(SYS_cliente!$F$5:$F$2500,A25,SYS_cliente!$I$5:$I$2500)+SUMIF(SYS_cliente!$K$5:$K$2500,A25,SYS_cliente!$N$5:$N$2500)+SUMIF(SYS_cliente!$P$5:$P$2500,A25,SYS_cliente!$S$5:$S$2500))</f>
        <v>0</v>
      </c>
      <c r="F25" s="1315">
        <f ca="1">IF(+SUMIF(SYS_cliente!$F$5:$F$2500,A25,SYS_cliente!$I$5:$I$1678)+SUMIF(SYS_cliente!$K$5:$K$2500,A25,SYS_cliente!$N$5:$N$1678)+SUMIF(SYS_cliente!$P$5:$P$2500,A25,SYS_cliente!$S$5:$S$1678)&gt;=0,0,-(SUMIF(SYS_cliente!$F$5:$F$2500,A25,SYS_cliente!$I$5:$I$1678)+SUMIF(SYS_cliente!$K$5:$K$2500,A25,SYS_cliente!$N$5:$N$1678)+SUMIF(SYS_cliente!$P$5:$P$2500,A25,SYS_cliente!$S$5:$S$1678)))</f>
        <v>0</v>
      </c>
      <c r="G25" s="1316">
        <f>+SUMIF(asientos!$C$13:$C$1276,SYS_4_3_Digitos!A25,asientos!$B$13:$B$1276)</f>
        <v>0</v>
      </c>
      <c r="H25" s="1317">
        <f>+SUMIF(asientos!$I$13:$I$1276,SYS_4_3_Digitos!A25,asientos!$J$13:$J$1276)</f>
        <v>0</v>
      </c>
      <c r="I25" s="1314">
        <f t="shared" ca="1" si="0"/>
        <v>0</v>
      </c>
      <c r="J25" s="1315">
        <f t="shared" ca="1" si="1"/>
        <v>0</v>
      </c>
      <c r="L25" s="1308">
        <f t="shared" si="2"/>
        <v>132000000</v>
      </c>
      <c r="M25" s="1296" t="str">
        <f t="shared" si="3"/>
        <v>1320</v>
      </c>
      <c r="N25" s="1309">
        <f t="shared" ca="1" si="4"/>
        <v>0</v>
      </c>
      <c r="O25" s="1296" t="str">
        <f t="shared" si="5"/>
        <v>13</v>
      </c>
    </row>
    <row r="26" spans="1:15" s="1296" customFormat="1">
      <c r="A26" s="1310">
        <v>133</v>
      </c>
      <c r="B26" s="1311" t="s">
        <v>302</v>
      </c>
      <c r="C26" s="1312">
        <v>0</v>
      </c>
      <c r="D26" s="1313">
        <v>11088325.029999999</v>
      </c>
      <c r="E26" s="1314">
        <f>IF(+SUMIF(SYS_cliente!$F$5:$F$2500,A26,SYS_cliente!$I$5:$I$2500)+SUMIF(SYS_cliente!$K$5:$K$2500,A26,SYS_cliente!$N$5:$N$2500)+SUMIF(SYS_cliente!$P$5:$P$2500,A26,SYS_cliente!$S$5:$S$2500)&lt;0,0,+SUMIF(SYS_cliente!$F$5:$F$2500,A26,SYS_cliente!$I$5:$I$2500)+SUMIF(SYS_cliente!$K$5:$K$2500,A26,SYS_cliente!$N$5:$N$2500)+SUMIF(SYS_cliente!$P$5:$P$2500,A26,SYS_cliente!$S$5:$S$2500))</f>
        <v>0</v>
      </c>
      <c r="F26" s="1315">
        <f ca="1">IF(+SUMIF(SYS_cliente!$F$5:$F$2500,A26,SYS_cliente!$I$5:$I$1678)+SUMIF(SYS_cliente!$K$5:$K$2500,A26,SYS_cliente!$N$5:$N$1678)+SUMIF(SYS_cliente!$P$5:$P$2500,A26,SYS_cliente!$S$5:$S$1678)&gt;=0,0,-(SUMIF(SYS_cliente!$F$5:$F$2500,A26,SYS_cliente!$I$5:$I$1678)+SUMIF(SYS_cliente!$K$5:$K$2500,A26,SYS_cliente!$N$5:$N$1678)+SUMIF(SYS_cliente!$P$5:$P$2500,A26,SYS_cliente!$S$5:$S$1678)))</f>
        <v>23713691.499999996</v>
      </c>
      <c r="G26" s="1316">
        <f>+SUMIF(asientos!$C$13:$C$1276,SYS_4_3_Digitos!A26,asientos!$B$13:$B$1276)</f>
        <v>0</v>
      </c>
      <c r="H26" s="1317">
        <f>+SUMIF(asientos!$I$13:$I$1276,SYS_4_3_Digitos!A26,asientos!$J$13:$J$1276)</f>
        <v>0</v>
      </c>
      <c r="I26" s="1314">
        <f t="shared" ca="1" si="0"/>
        <v>0</v>
      </c>
      <c r="J26" s="1315">
        <f t="shared" ca="1" si="1"/>
        <v>23713691.499999996</v>
      </c>
      <c r="L26" s="1308">
        <f t="shared" si="2"/>
        <v>133000000</v>
      </c>
      <c r="M26" s="1296" t="str">
        <f t="shared" si="3"/>
        <v>1330</v>
      </c>
      <c r="N26" s="1309">
        <f t="shared" ca="1" si="4"/>
        <v>-23713691.499999996</v>
      </c>
      <c r="O26" s="1296" t="str">
        <f t="shared" si="5"/>
        <v>13</v>
      </c>
    </row>
    <row r="27" spans="1:15" s="1296" customFormat="1">
      <c r="A27" s="1310">
        <v>134</v>
      </c>
      <c r="B27" s="1311" t="s">
        <v>303</v>
      </c>
      <c r="C27" s="1312">
        <v>0</v>
      </c>
      <c r="D27" s="1313">
        <v>0</v>
      </c>
      <c r="E27" s="1314">
        <f>IF(+SUMIF(SYS_cliente!$F$5:$F$2500,A27,SYS_cliente!$I$5:$I$2500)+SUMIF(SYS_cliente!$K$5:$K$2500,A27,SYS_cliente!$N$5:$N$2500)+SUMIF(SYS_cliente!$P$5:$P$2500,A27,SYS_cliente!$S$5:$S$2500)&lt;0,0,+SUMIF(SYS_cliente!$F$5:$F$2500,A27,SYS_cliente!$I$5:$I$2500)+SUMIF(SYS_cliente!$K$5:$K$2500,A27,SYS_cliente!$N$5:$N$2500)+SUMIF(SYS_cliente!$P$5:$P$2500,A27,SYS_cliente!$S$5:$S$2500))</f>
        <v>0</v>
      </c>
      <c r="F27" s="1315">
        <f ca="1">IF(+SUMIF(SYS_cliente!$F$5:$F$2500,A27,SYS_cliente!$I$5:$I$1678)+SUMIF(SYS_cliente!$K$5:$K$2500,A27,SYS_cliente!$N$5:$N$1678)+SUMIF(SYS_cliente!$P$5:$P$2500,A27,SYS_cliente!$S$5:$S$1678)&gt;=0,0,-(SUMIF(SYS_cliente!$F$5:$F$2500,A27,SYS_cliente!$I$5:$I$1678)+SUMIF(SYS_cliente!$K$5:$K$2500,A27,SYS_cliente!$N$5:$N$1678)+SUMIF(SYS_cliente!$P$5:$P$2500,A27,SYS_cliente!$S$5:$S$1678)))</f>
        <v>0</v>
      </c>
      <c r="G27" s="1316">
        <f>+SUMIF(asientos!$C$13:$C$1276,SYS_4_3_Digitos!A27,asientos!$B$13:$B$1276)</f>
        <v>0</v>
      </c>
      <c r="H27" s="1317">
        <f>+SUMIF(asientos!$I$13:$I$1276,SYS_4_3_Digitos!A27,asientos!$J$13:$J$1276)</f>
        <v>0</v>
      </c>
      <c r="I27" s="1314">
        <f t="shared" ca="1" si="0"/>
        <v>0</v>
      </c>
      <c r="J27" s="1315">
        <f t="shared" ca="1" si="1"/>
        <v>0</v>
      </c>
      <c r="L27" s="1308">
        <f t="shared" si="2"/>
        <v>134000000</v>
      </c>
      <c r="M27" s="1296" t="str">
        <f t="shared" si="3"/>
        <v>1340</v>
      </c>
      <c r="N27" s="1309">
        <f t="shared" ca="1" si="4"/>
        <v>0</v>
      </c>
      <c r="O27" s="1296" t="str">
        <f t="shared" si="5"/>
        <v>13</v>
      </c>
    </row>
    <row r="28" spans="1:15" s="1296" customFormat="1">
      <c r="A28" s="1310">
        <v>135</v>
      </c>
      <c r="B28" s="1311" t="s">
        <v>304</v>
      </c>
      <c r="C28" s="1312">
        <v>0</v>
      </c>
      <c r="D28" s="1313">
        <v>0</v>
      </c>
      <c r="E28" s="1314">
        <f>IF(+SUMIF(SYS_cliente!$F$5:$F$2500,A28,SYS_cliente!$I$5:$I$2500)+SUMIF(SYS_cliente!$K$5:$K$2500,A28,SYS_cliente!$N$5:$N$2500)+SUMIF(SYS_cliente!$P$5:$P$2500,A28,SYS_cliente!$S$5:$S$2500)&lt;0,0,+SUMIF(SYS_cliente!$F$5:$F$2500,A28,SYS_cliente!$I$5:$I$2500)+SUMIF(SYS_cliente!$K$5:$K$2500,A28,SYS_cliente!$N$5:$N$2500)+SUMIF(SYS_cliente!$P$5:$P$2500,A28,SYS_cliente!$S$5:$S$2500))</f>
        <v>0</v>
      </c>
      <c r="F28" s="1315">
        <f ca="1">IF(+SUMIF(SYS_cliente!$F$5:$F$2500,A28,SYS_cliente!$I$5:$I$1678)+SUMIF(SYS_cliente!$K$5:$K$2500,A28,SYS_cliente!$N$5:$N$1678)+SUMIF(SYS_cliente!$P$5:$P$2500,A28,SYS_cliente!$S$5:$S$1678)&gt;=0,0,-(SUMIF(SYS_cliente!$F$5:$F$2500,A28,SYS_cliente!$I$5:$I$1678)+SUMIF(SYS_cliente!$K$5:$K$2500,A28,SYS_cliente!$N$5:$N$1678)+SUMIF(SYS_cliente!$P$5:$P$2500,A28,SYS_cliente!$S$5:$S$1678)))</f>
        <v>0</v>
      </c>
      <c r="G28" s="1316">
        <f>+SUMIF(asientos!$C$13:$C$1276,SYS_4_3_Digitos!A28,asientos!$B$13:$B$1276)</f>
        <v>0</v>
      </c>
      <c r="H28" s="1317">
        <f>+SUMIF(asientos!$I$13:$I$1276,SYS_4_3_Digitos!A28,asientos!$J$13:$J$1276)</f>
        <v>0</v>
      </c>
      <c r="I28" s="1314">
        <f t="shared" ca="1" si="0"/>
        <v>0</v>
      </c>
      <c r="J28" s="1315">
        <f t="shared" ca="1" si="1"/>
        <v>0</v>
      </c>
      <c r="L28" s="1308">
        <f t="shared" si="2"/>
        <v>135000000</v>
      </c>
      <c r="M28" s="1296" t="str">
        <f t="shared" si="3"/>
        <v>1350</v>
      </c>
      <c r="N28" s="1309">
        <f t="shared" ca="1" si="4"/>
        <v>0</v>
      </c>
      <c r="O28" s="1296" t="str">
        <f t="shared" si="5"/>
        <v>13</v>
      </c>
    </row>
    <row r="29" spans="1:15" s="1296" customFormat="1">
      <c r="A29" s="1310">
        <v>136</v>
      </c>
      <c r="B29" s="1311" t="s">
        <v>305</v>
      </c>
      <c r="C29" s="1312">
        <v>0</v>
      </c>
      <c r="D29" s="1313">
        <v>0</v>
      </c>
      <c r="E29" s="1314">
        <f>IF(+SUMIF(SYS_cliente!$F$5:$F$2500,A29,SYS_cliente!$I$5:$I$2500)+SUMIF(SYS_cliente!$K$5:$K$2500,A29,SYS_cliente!$N$5:$N$2500)+SUMIF(SYS_cliente!$P$5:$P$2500,A29,SYS_cliente!$S$5:$S$2500)&lt;0,0,+SUMIF(SYS_cliente!$F$5:$F$2500,A29,SYS_cliente!$I$5:$I$2500)+SUMIF(SYS_cliente!$K$5:$K$2500,A29,SYS_cliente!$N$5:$N$2500)+SUMIF(SYS_cliente!$P$5:$P$2500,A29,SYS_cliente!$S$5:$S$2500))</f>
        <v>0</v>
      </c>
      <c r="F29" s="1315">
        <f ca="1">IF(+SUMIF(SYS_cliente!$F$5:$F$2500,A29,SYS_cliente!$I$5:$I$1678)+SUMIF(SYS_cliente!$K$5:$K$2500,A29,SYS_cliente!$N$5:$N$1678)+SUMIF(SYS_cliente!$P$5:$P$2500,A29,SYS_cliente!$S$5:$S$1678)&gt;=0,0,-(SUMIF(SYS_cliente!$F$5:$F$2500,A29,SYS_cliente!$I$5:$I$1678)+SUMIF(SYS_cliente!$K$5:$K$2500,A29,SYS_cliente!$N$5:$N$1678)+SUMIF(SYS_cliente!$P$5:$P$2500,A29,SYS_cliente!$S$5:$S$1678)))</f>
        <v>0</v>
      </c>
      <c r="G29" s="1316">
        <f>+SUMIF(asientos!$C$13:$C$1276,SYS_4_3_Digitos!A29,asientos!$B$13:$B$1276)</f>
        <v>0</v>
      </c>
      <c r="H29" s="1317">
        <f>+SUMIF(asientos!$I$13:$I$1276,SYS_4_3_Digitos!A29,asientos!$J$13:$J$1276)</f>
        <v>0</v>
      </c>
      <c r="I29" s="1314">
        <f t="shared" ca="1" si="0"/>
        <v>0</v>
      </c>
      <c r="J29" s="1315">
        <f t="shared" ca="1" si="1"/>
        <v>0</v>
      </c>
      <c r="L29" s="1308">
        <f t="shared" si="2"/>
        <v>136000000</v>
      </c>
      <c r="M29" s="1296" t="str">
        <f t="shared" si="3"/>
        <v>1360</v>
      </c>
      <c r="N29" s="1309">
        <f t="shared" ca="1" si="4"/>
        <v>0</v>
      </c>
      <c r="O29" s="1296" t="str">
        <f t="shared" si="5"/>
        <v>13</v>
      </c>
    </row>
    <row r="30" spans="1:15" s="1296" customFormat="1">
      <c r="A30" s="1310">
        <v>137</v>
      </c>
      <c r="B30" s="1311" t="s">
        <v>306</v>
      </c>
      <c r="C30" s="1312">
        <v>0</v>
      </c>
      <c r="D30" s="1313">
        <v>0</v>
      </c>
      <c r="E30" s="1314">
        <f>IF(+SUMIF(SYS_cliente!$F$5:$F$2500,A30,SYS_cliente!$I$5:$I$2500)+SUMIF(SYS_cliente!$K$5:$K$2500,A30,SYS_cliente!$N$5:$N$2500)+SUMIF(SYS_cliente!$P$5:$P$2500,A30,SYS_cliente!$S$5:$S$2500)&lt;0,0,+SUMIF(SYS_cliente!$F$5:$F$2500,A30,SYS_cliente!$I$5:$I$2500)+SUMIF(SYS_cliente!$K$5:$K$2500,A30,SYS_cliente!$N$5:$N$2500)+SUMIF(SYS_cliente!$P$5:$P$2500,A30,SYS_cliente!$S$5:$S$2500))</f>
        <v>0</v>
      </c>
      <c r="F30" s="1315">
        <f ca="1">IF(+SUMIF(SYS_cliente!$F$5:$F$2500,A30,SYS_cliente!$I$5:$I$1678)+SUMIF(SYS_cliente!$K$5:$K$2500,A30,SYS_cliente!$N$5:$N$1678)+SUMIF(SYS_cliente!$P$5:$P$2500,A30,SYS_cliente!$S$5:$S$1678)&gt;=0,0,-(SUMIF(SYS_cliente!$F$5:$F$2500,A30,SYS_cliente!$I$5:$I$1678)+SUMIF(SYS_cliente!$K$5:$K$2500,A30,SYS_cliente!$N$5:$N$1678)+SUMIF(SYS_cliente!$P$5:$P$2500,A30,SYS_cliente!$S$5:$S$1678)))</f>
        <v>0</v>
      </c>
      <c r="G30" s="1316">
        <f>+SUMIF(asientos!$C$13:$C$1276,SYS_4_3_Digitos!A30,asientos!$B$13:$B$1276)</f>
        <v>0</v>
      </c>
      <c r="H30" s="1317">
        <f>+SUMIF(asientos!$I$13:$I$1276,SYS_4_3_Digitos!A30,asientos!$J$13:$J$1276)</f>
        <v>0</v>
      </c>
      <c r="I30" s="1314">
        <f t="shared" ca="1" si="0"/>
        <v>0</v>
      </c>
      <c r="J30" s="1315">
        <f t="shared" ca="1" si="1"/>
        <v>0</v>
      </c>
      <c r="L30" s="1308">
        <f t="shared" si="2"/>
        <v>137000000</v>
      </c>
      <c r="M30" s="1296" t="str">
        <f t="shared" si="3"/>
        <v>1370</v>
      </c>
      <c r="N30" s="1309">
        <f t="shared" ca="1" si="4"/>
        <v>0</v>
      </c>
      <c r="O30" s="1296" t="str">
        <f t="shared" si="5"/>
        <v>13</v>
      </c>
    </row>
    <row r="31" spans="1:15" s="1296" customFormat="1">
      <c r="A31" s="1310">
        <v>140</v>
      </c>
      <c r="B31" s="1311" t="s">
        <v>307</v>
      </c>
      <c r="C31" s="1312">
        <v>0</v>
      </c>
      <c r="D31" s="1313">
        <v>0</v>
      </c>
      <c r="E31" s="1314">
        <f>IF(+SUMIF(SYS_cliente!$F$5:$F$2500,A31,SYS_cliente!$I$5:$I$2500)+SUMIF(SYS_cliente!$K$5:$K$2500,A31,SYS_cliente!$N$5:$N$2500)+SUMIF(SYS_cliente!$P$5:$P$2500,A31,SYS_cliente!$S$5:$S$2500)&lt;0,0,+SUMIF(SYS_cliente!$F$5:$F$2500,A31,SYS_cliente!$I$5:$I$2500)+SUMIF(SYS_cliente!$K$5:$K$2500,A31,SYS_cliente!$N$5:$N$2500)+SUMIF(SYS_cliente!$P$5:$P$2500,A31,SYS_cliente!$S$5:$S$2500))</f>
        <v>0</v>
      </c>
      <c r="F31" s="1315">
        <f ca="1">IF(+SUMIF(SYS_cliente!$F$5:$F$2500,A31,SYS_cliente!$I$5:$I$1678)+SUMIF(SYS_cliente!$K$5:$K$2500,A31,SYS_cliente!$N$5:$N$1678)+SUMIF(SYS_cliente!$P$5:$P$2500,A31,SYS_cliente!$S$5:$S$1678)&gt;=0,0,-(SUMIF(SYS_cliente!$F$5:$F$2500,A31,SYS_cliente!$I$5:$I$1678)+SUMIF(SYS_cliente!$K$5:$K$2500,A31,SYS_cliente!$N$5:$N$1678)+SUMIF(SYS_cliente!$P$5:$P$2500,A31,SYS_cliente!$S$5:$S$1678)))</f>
        <v>0</v>
      </c>
      <c r="G31" s="1316">
        <f>+SUMIF(asientos!$C$13:$C$1276,SYS_4_3_Digitos!A31,asientos!$B$13:$B$1276)</f>
        <v>0</v>
      </c>
      <c r="H31" s="1317">
        <f>+SUMIF(asientos!$I$13:$I$1276,SYS_4_3_Digitos!A31,asientos!$J$13:$J$1276)</f>
        <v>0</v>
      </c>
      <c r="I31" s="1314">
        <f t="shared" ca="1" si="0"/>
        <v>0</v>
      </c>
      <c r="J31" s="1315">
        <f t="shared" ca="1" si="1"/>
        <v>0</v>
      </c>
      <c r="L31" s="1308">
        <f t="shared" si="2"/>
        <v>140000000</v>
      </c>
      <c r="M31" s="1296" t="str">
        <f t="shared" si="3"/>
        <v>1400</v>
      </c>
      <c r="N31" s="1309">
        <f t="shared" ca="1" si="4"/>
        <v>0</v>
      </c>
      <c r="O31" s="1296" t="str">
        <f t="shared" si="5"/>
        <v>14</v>
      </c>
    </row>
    <row r="32" spans="1:15" s="1296" customFormat="1">
      <c r="A32" s="1310">
        <v>141</v>
      </c>
      <c r="B32" s="1311" t="s">
        <v>308</v>
      </c>
      <c r="C32" s="1312">
        <v>0</v>
      </c>
      <c r="D32" s="1313">
        <v>0</v>
      </c>
      <c r="E32" s="1314">
        <f>IF(+SUMIF(SYS_cliente!$F$5:$F$2500,A32,SYS_cliente!$I$5:$I$2500)+SUMIF(SYS_cliente!$K$5:$K$2500,A32,SYS_cliente!$N$5:$N$2500)+SUMIF(SYS_cliente!$P$5:$P$2500,A32,SYS_cliente!$S$5:$S$2500)&lt;0,0,+SUMIF(SYS_cliente!$F$5:$F$2500,A32,SYS_cliente!$I$5:$I$2500)+SUMIF(SYS_cliente!$K$5:$K$2500,A32,SYS_cliente!$N$5:$N$2500)+SUMIF(SYS_cliente!$P$5:$P$2500,A32,SYS_cliente!$S$5:$S$2500))</f>
        <v>0</v>
      </c>
      <c r="F32" s="1315">
        <f ca="1">IF(+SUMIF(SYS_cliente!$F$5:$F$2500,A32,SYS_cliente!$I$5:$I$1678)+SUMIF(SYS_cliente!$K$5:$K$2500,A32,SYS_cliente!$N$5:$N$1678)+SUMIF(SYS_cliente!$P$5:$P$2500,A32,SYS_cliente!$S$5:$S$1678)&gt;=0,0,-(SUMIF(SYS_cliente!$F$5:$F$2500,A32,SYS_cliente!$I$5:$I$1678)+SUMIF(SYS_cliente!$K$5:$K$2500,A32,SYS_cliente!$N$5:$N$1678)+SUMIF(SYS_cliente!$P$5:$P$2500,A32,SYS_cliente!$S$5:$S$1678)))</f>
        <v>0</v>
      </c>
      <c r="G32" s="1316">
        <f>+SUMIF(asientos!$C$13:$C$1276,SYS_4_3_Digitos!A32,asientos!$B$13:$B$1276)</f>
        <v>0</v>
      </c>
      <c r="H32" s="1317">
        <f>+SUMIF(asientos!$I$13:$I$1276,SYS_4_3_Digitos!A32,asientos!$J$13:$J$1276)</f>
        <v>0</v>
      </c>
      <c r="I32" s="1314">
        <f t="shared" ca="1" si="0"/>
        <v>0</v>
      </c>
      <c r="J32" s="1315">
        <f t="shared" ca="1" si="1"/>
        <v>0</v>
      </c>
      <c r="L32" s="1308">
        <f t="shared" si="2"/>
        <v>141000000</v>
      </c>
      <c r="M32" s="1296" t="str">
        <f t="shared" si="3"/>
        <v>1410</v>
      </c>
      <c r="N32" s="1309">
        <f t="shared" ca="1" si="4"/>
        <v>0</v>
      </c>
      <c r="O32" s="1296" t="str">
        <f t="shared" si="5"/>
        <v>14</v>
      </c>
    </row>
    <row r="33" spans="1:15" s="1296" customFormat="1">
      <c r="A33" s="1310">
        <v>142</v>
      </c>
      <c r="B33" s="1311" t="s">
        <v>309</v>
      </c>
      <c r="C33" s="1312">
        <v>0</v>
      </c>
      <c r="D33" s="1313">
        <v>0</v>
      </c>
      <c r="E33" s="1314">
        <f>IF(+SUMIF(SYS_cliente!$F$5:$F$2500,A33,SYS_cliente!$I$5:$I$2500)+SUMIF(SYS_cliente!$K$5:$K$2500,A33,SYS_cliente!$N$5:$N$2500)+SUMIF(SYS_cliente!$P$5:$P$2500,A33,SYS_cliente!$S$5:$S$2500)&lt;0,0,+SUMIF(SYS_cliente!$F$5:$F$2500,A33,SYS_cliente!$I$5:$I$2500)+SUMIF(SYS_cliente!$K$5:$K$2500,A33,SYS_cliente!$N$5:$N$2500)+SUMIF(SYS_cliente!$P$5:$P$2500,A33,SYS_cliente!$S$5:$S$2500))</f>
        <v>0</v>
      </c>
      <c r="F33" s="1315">
        <f ca="1">IF(+SUMIF(SYS_cliente!$F$5:$F$2500,A33,SYS_cliente!$I$5:$I$1678)+SUMIF(SYS_cliente!$K$5:$K$2500,A33,SYS_cliente!$N$5:$N$1678)+SUMIF(SYS_cliente!$P$5:$P$2500,A33,SYS_cliente!$S$5:$S$1678)&gt;=0,0,-(SUMIF(SYS_cliente!$F$5:$F$2500,A33,SYS_cliente!$I$5:$I$1678)+SUMIF(SYS_cliente!$K$5:$K$2500,A33,SYS_cliente!$N$5:$N$1678)+SUMIF(SYS_cliente!$P$5:$P$2500,A33,SYS_cliente!$S$5:$S$1678)))</f>
        <v>0</v>
      </c>
      <c r="G33" s="1316">
        <f>+SUMIF(asientos!$C$13:$C$1276,SYS_4_3_Digitos!A33,asientos!$B$13:$B$1276)</f>
        <v>0</v>
      </c>
      <c r="H33" s="1317">
        <f>+SUMIF(asientos!$I$13:$I$1276,SYS_4_3_Digitos!A33,asientos!$J$13:$J$1276)</f>
        <v>0</v>
      </c>
      <c r="I33" s="1314">
        <f t="shared" ca="1" si="0"/>
        <v>0</v>
      </c>
      <c r="J33" s="1315">
        <f t="shared" ca="1" si="1"/>
        <v>0</v>
      </c>
      <c r="L33" s="1308">
        <f t="shared" si="2"/>
        <v>142000000</v>
      </c>
      <c r="M33" s="1296" t="str">
        <f t="shared" si="3"/>
        <v>1420</v>
      </c>
      <c r="N33" s="1309">
        <f t="shared" ca="1" si="4"/>
        <v>0</v>
      </c>
      <c r="O33" s="1296" t="str">
        <f t="shared" si="5"/>
        <v>14</v>
      </c>
    </row>
    <row r="34" spans="1:15" s="1296" customFormat="1">
      <c r="A34" s="1310">
        <v>143</v>
      </c>
      <c r="B34" s="1311" t="s">
        <v>310</v>
      </c>
      <c r="C34" s="1312">
        <v>0</v>
      </c>
      <c r="D34" s="1313">
        <v>0</v>
      </c>
      <c r="E34" s="1314">
        <f>IF(+SUMIF(SYS_cliente!$F$5:$F$2500,A34,SYS_cliente!$I$5:$I$2500)+SUMIF(SYS_cliente!$K$5:$K$2500,A34,SYS_cliente!$N$5:$N$2500)+SUMIF(SYS_cliente!$P$5:$P$2500,A34,SYS_cliente!$S$5:$S$2500)&lt;0,0,+SUMIF(SYS_cliente!$F$5:$F$2500,A34,SYS_cliente!$I$5:$I$2500)+SUMIF(SYS_cliente!$K$5:$K$2500,A34,SYS_cliente!$N$5:$N$2500)+SUMIF(SYS_cliente!$P$5:$P$2500,A34,SYS_cliente!$S$5:$S$2500))</f>
        <v>0</v>
      </c>
      <c r="F34" s="1315">
        <f ca="1">IF(+SUMIF(SYS_cliente!$F$5:$F$2500,A34,SYS_cliente!$I$5:$I$1678)+SUMIF(SYS_cliente!$K$5:$K$2500,A34,SYS_cliente!$N$5:$N$1678)+SUMIF(SYS_cliente!$P$5:$P$2500,A34,SYS_cliente!$S$5:$S$1678)&gt;=0,0,-(SUMIF(SYS_cliente!$F$5:$F$2500,A34,SYS_cliente!$I$5:$I$1678)+SUMIF(SYS_cliente!$K$5:$K$2500,A34,SYS_cliente!$N$5:$N$1678)+SUMIF(SYS_cliente!$P$5:$P$2500,A34,SYS_cliente!$S$5:$S$1678)))</f>
        <v>0</v>
      </c>
      <c r="G34" s="1316">
        <f>+SUMIF(asientos!$C$13:$C$1276,SYS_4_3_Digitos!A34,asientos!$B$13:$B$1276)</f>
        <v>0</v>
      </c>
      <c r="H34" s="1317">
        <f>+SUMIF(asientos!$I$13:$I$1276,SYS_4_3_Digitos!A34,asientos!$J$13:$J$1276)</f>
        <v>0</v>
      </c>
      <c r="I34" s="1314">
        <f t="shared" ca="1" si="0"/>
        <v>0</v>
      </c>
      <c r="J34" s="1315">
        <f t="shared" ca="1" si="1"/>
        <v>0</v>
      </c>
      <c r="L34" s="1308">
        <f t="shared" si="2"/>
        <v>143000000</v>
      </c>
      <c r="M34" s="1296" t="str">
        <f t="shared" si="3"/>
        <v>1430</v>
      </c>
      <c r="N34" s="1309">
        <f t="shared" ca="1" si="4"/>
        <v>0</v>
      </c>
      <c r="O34" s="1296" t="str">
        <f t="shared" si="5"/>
        <v>14</v>
      </c>
    </row>
    <row r="35" spans="1:15" s="1296" customFormat="1">
      <c r="A35" s="1310">
        <v>145</v>
      </c>
      <c r="B35" s="1311" t="s">
        <v>311</v>
      </c>
      <c r="C35" s="1312">
        <v>0</v>
      </c>
      <c r="D35" s="1313">
        <v>0</v>
      </c>
      <c r="E35" s="1314">
        <f>IF(+SUMIF(SYS_cliente!$F$5:$F$2500,A35,SYS_cliente!$I$5:$I$2500)+SUMIF(SYS_cliente!$K$5:$K$2500,A35,SYS_cliente!$N$5:$N$2500)+SUMIF(SYS_cliente!$P$5:$P$2500,A35,SYS_cliente!$S$5:$S$2500)&lt;0,0,+SUMIF(SYS_cliente!$F$5:$F$2500,A35,SYS_cliente!$I$5:$I$2500)+SUMIF(SYS_cliente!$K$5:$K$2500,A35,SYS_cliente!$N$5:$N$2500)+SUMIF(SYS_cliente!$P$5:$P$2500,A35,SYS_cliente!$S$5:$S$2500))</f>
        <v>0</v>
      </c>
      <c r="F35" s="1315">
        <f ca="1">IF(+SUMIF(SYS_cliente!$F$5:$F$2500,A35,SYS_cliente!$I$5:$I$1678)+SUMIF(SYS_cliente!$K$5:$K$2500,A35,SYS_cliente!$N$5:$N$1678)+SUMIF(SYS_cliente!$P$5:$P$2500,A35,SYS_cliente!$S$5:$S$1678)&gt;=0,0,-(SUMIF(SYS_cliente!$F$5:$F$2500,A35,SYS_cliente!$I$5:$I$1678)+SUMIF(SYS_cliente!$K$5:$K$2500,A35,SYS_cliente!$N$5:$N$1678)+SUMIF(SYS_cliente!$P$5:$P$2500,A35,SYS_cliente!$S$5:$S$1678)))</f>
        <v>0</v>
      </c>
      <c r="G35" s="1316">
        <f>+SUMIF(asientos!$C$13:$C$1276,SYS_4_3_Digitos!A35,asientos!$B$13:$B$1276)</f>
        <v>0</v>
      </c>
      <c r="H35" s="1317">
        <f>+SUMIF(asientos!$I$13:$I$1276,SYS_4_3_Digitos!A35,asientos!$J$13:$J$1276)</f>
        <v>0</v>
      </c>
      <c r="I35" s="1314">
        <f t="shared" ca="1" si="0"/>
        <v>0</v>
      </c>
      <c r="J35" s="1315">
        <f t="shared" ca="1" si="1"/>
        <v>0</v>
      </c>
      <c r="L35" s="1308">
        <f t="shared" si="2"/>
        <v>145000000</v>
      </c>
      <c r="M35" s="1296" t="str">
        <f t="shared" si="3"/>
        <v>1450</v>
      </c>
      <c r="N35" s="1309">
        <f t="shared" ca="1" si="4"/>
        <v>0</v>
      </c>
      <c r="O35" s="1296" t="str">
        <f t="shared" si="5"/>
        <v>14</v>
      </c>
    </row>
    <row r="36" spans="1:15" s="1296" customFormat="1">
      <c r="A36" s="1310">
        <v>146</v>
      </c>
      <c r="B36" s="1311" t="s">
        <v>312</v>
      </c>
      <c r="C36" s="1312">
        <v>0</v>
      </c>
      <c r="D36" s="1313">
        <v>0</v>
      </c>
      <c r="E36" s="1314">
        <f>IF(+SUMIF(SYS_cliente!$F$5:$F$2500,A36,SYS_cliente!$I$5:$I$2500)+SUMIF(SYS_cliente!$K$5:$K$2500,A36,SYS_cliente!$N$5:$N$2500)+SUMIF(SYS_cliente!$P$5:$P$2500,A36,SYS_cliente!$S$5:$S$2500)&lt;0,0,+SUMIF(SYS_cliente!$F$5:$F$2500,A36,SYS_cliente!$I$5:$I$2500)+SUMIF(SYS_cliente!$K$5:$K$2500,A36,SYS_cliente!$N$5:$N$2500)+SUMIF(SYS_cliente!$P$5:$P$2500,A36,SYS_cliente!$S$5:$S$2500))</f>
        <v>0</v>
      </c>
      <c r="F36" s="1315">
        <f ca="1">IF(+SUMIF(SYS_cliente!$F$5:$F$2500,A36,SYS_cliente!$I$5:$I$1678)+SUMIF(SYS_cliente!$K$5:$K$2500,A36,SYS_cliente!$N$5:$N$1678)+SUMIF(SYS_cliente!$P$5:$P$2500,A36,SYS_cliente!$S$5:$S$1678)&gt;=0,0,-(SUMIF(SYS_cliente!$F$5:$F$2500,A36,SYS_cliente!$I$5:$I$1678)+SUMIF(SYS_cliente!$K$5:$K$2500,A36,SYS_cliente!$N$5:$N$1678)+SUMIF(SYS_cliente!$P$5:$P$2500,A36,SYS_cliente!$S$5:$S$1678)))</f>
        <v>0</v>
      </c>
      <c r="G36" s="1316">
        <f>+SUMIF(asientos!$C$13:$C$1276,SYS_4_3_Digitos!A36,asientos!$B$13:$B$1276)</f>
        <v>0</v>
      </c>
      <c r="H36" s="1317">
        <f>+SUMIF(asientos!$I$13:$I$1276,SYS_4_3_Digitos!A36,asientos!$J$13:$J$1276)</f>
        <v>0</v>
      </c>
      <c r="I36" s="1314">
        <f t="shared" ca="1" si="0"/>
        <v>0</v>
      </c>
      <c r="J36" s="1315">
        <f t="shared" ca="1" si="1"/>
        <v>0</v>
      </c>
      <c r="L36" s="1308">
        <f t="shared" si="2"/>
        <v>146000000</v>
      </c>
      <c r="M36" s="1296" t="str">
        <f t="shared" si="3"/>
        <v>1460</v>
      </c>
      <c r="N36" s="1309">
        <f t="shared" ca="1" si="4"/>
        <v>0</v>
      </c>
      <c r="O36" s="1296" t="str">
        <f t="shared" si="5"/>
        <v>14</v>
      </c>
    </row>
    <row r="37" spans="1:15" s="1296" customFormat="1">
      <c r="A37" s="1310">
        <v>147</v>
      </c>
      <c r="B37" s="1311" t="s">
        <v>313</v>
      </c>
      <c r="C37" s="1312">
        <v>0</v>
      </c>
      <c r="D37" s="1313">
        <v>0</v>
      </c>
      <c r="E37" s="1314">
        <f>IF(+SUMIF(SYS_cliente!$F$5:$F$2500,A37,SYS_cliente!$I$5:$I$2500)+SUMIF(SYS_cliente!$K$5:$K$2500,A37,SYS_cliente!$N$5:$N$2500)+SUMIF(SYS_cliente!$P$5:$P$2500,A37,SYS_cliente!$S$5:$S$2500)&lt;0,0,+SUMIF(SYS_cliente!$F$5:$F$2500,A37,SYS_cliente!$I$5:$I$2500)+SUMIF(SYS_cliente!$K$5:$K$2500,A37,SYS_cliente!$N$5:$N$2500)+SUMIF(SYS_cliente!$P$5:$P$2500,A37,SYS_cliente!$S$5:$S$2500))</f>
        <v>0</v>
      </c>
      <c r="F37" s="1315">
        <f ca="1">IF(+SUMIF(SYS_cliente!$F$5:$F$2500,A37,SYS_cliente!$I$5:$I$1678)+SUMIF(SYS_cliente!$K$5:$K$2500,A37,SYS_cliente!$N$5:$N$1678)+SUMIF(SYS_cliente!$P$5:$P$2500,A37,SYS_cliente!$S$5:$S$1678)&gt;=0,0,-(SUMIF(SYS_cliente!$F$5:$F$2500,A37,SYS_cliente!$I$5:$I$1678)+SUMIF(SYS_cliente!$K$5:$K$2500,A37,SYS_cliente!$N$5:$N$1678)+SUMIF(SYS_cliente!$P$5:$P$2500,A37,SYS_cliente!$S$5:$S$1678)))</f>
        <v>0</v>
      </c>
      <c r="G37" s="1316">
        <f>+SUMIF(asientos!$C$13:$C$1276,SYS_4_3_Digitos!A37,asientos!$B$13:$B$1276)</f>
        <v>0</v>
      </c>
      <c r="H37" s="1317">
        <f>+SUMIF(asientos!$I$13:$I$1276,SYS_4_3_Digitos!A37,asientos!$J$13:$J$1276)</f>
        <v>0</v>
      </c>
      <c r="I37" s="1314">
        <f t="shared" ca="1" si="0"/>
        <v>0</v>
      </c>
      <c r="J37" s="1315">
        <f t="shared" ca="1" si="1"/>
        <v>0</v>
      </c>
      <c r="L37" s="1308">
        <f t="shared" si="2"/>
        <v>147000000</v>
      </c>
      <c r="M37" s="1296" t="str">
        <f t="shared" si="3"/>
        <v>1470</v>
      </c>
      <c r="N37" s="1309">
        <f t="shared" ca="1" si="4"/>
        <v>0</v>
      </c>
      <c r="O37" s="1296" t="str">
        <f t="shared" si="5"/>
        <v>14</v>
      </c>
    </row>
    <row r="38" spans="1:15" s="1296" customFormat="1">
      <c r="A38" s="1310">
        <v>150</v>
      </c>
      <c r="B38" s="1311" t="s">
        <v>314</v>
      </c>
      <c r="C38" s="1312">
        <v>0</v>
      </c>
      <c r="D38" s="1313">
        <v>0</v>
      </c>
      <c r="E38" s="1314">
        <f>IF(+SUMIF(SYS_cliente!$F$5:$F$2500,A38,SYS_cliente!$I$5:$I$2500)+SUMIF(SYS_cliente!$K$5:$K$2500,A38,SYS_cliente!$N$5:$N$2500)+SUMIF(SYS_cliente!$P$5:$P$2500,A38,SYS_cliente!$S$5:$S$2500)&lt;0,0,+SUMIF(SYS_cliente!$F$5:$F$2500,A38,SYS_cliente!$I$5:$I$2500)+SUMIF(SYS_cliente!$K$5:$K$2500,A38,SYS_cliente!$N$5:$N$2500)+SUMIF(SYS_cliente!$P$5:$P$2500,A38,SYS_cliente!$S$5:$S$2500))</f>
        <v>0</v>
      </c>
      <c r="F38" s="1315">
        <f ca="1">IF(+SUMIF(SYS_cliente!$F$5:$F$2500,A38,SYS_cliente!$I$5:$I$1678)+SUMIF(SYS_cliente!$K$5:$K$2500,A38,SYS_cliente!$N$5:$N$1678)+SUMIF(SYS_cliente!$P$5:$P$2500,A38,SYS_cliente!$S$5:$S$1678)&gt;=0,0,-(SUMIF(SYS_cliente!$F$5:$F$2500,A38,SYS_cliente!$I$5:$I$1678)+SUMIF(SYS_cliente!$K$5:$K$2500,A38,SYS_cliente!$N$5:$N$1678)+SUMIF(SYS_cliente!$P$5:$P$2500,A38,SYS_cliente!$S$5:$S$1678)))</f>
        <v>0</v>
      </c>
      <c r="G38" s="1316">
        <f>+SUMIF(asientos!$C$13:$C$1276,SYS_4_3_Digitos!A38,asientos!$B$13:$B$1276)</f>
        <v>0</v>
      </c>
      <c r="H38" s="1317">
        <f>+SUMIF(asientos!$I$13:$I$1276,SYS_4_3_Digitos!A38,asientos!$J$13:$J$1276)</f>
        <v>0</v>
      </c>
      <c r="I38" s="1314">
        <f t="shared" ca="1" si="0"/>
        <v>0</v>
      </c>
      <c r="J38" s="1315">
        <f t="shared" ca="1" si="1"/>
        <v>0</v>
      </c>
      <c r="L38" s="1308">
        <f t="shared" si="2"/>
        <v>150000000</v>
      </c>
      <c r="M38" s="1296" t="str">
        <f t="shared" si="3"/>
        <v>1500</v>
      </c>
      <c r="N38" s="1309">
        <f t="shared" ca="1" si="4"/>
        <v>0</v>
      </c>
      <c r="O38" s="1296" t="str">
        <f t="shared" si="5"/>
        <v>15</v>
      </c>
    </row>
    <row r="39" spans="1:15" s="1296" customFormat="1">
      <c r="A39" s="1310">
        <v>153</v>
      </c>
      <c r="B39" s="1311" t="s">
        <v>315</v>
      </c>
      <c r="C39" s="1312">
        <v>0</v>
      </c>
      <c r="D39" s="1313">
        <v>0</v>
      </c>
      <c r="E39" s="1314">
        <f>IF(+SUMIF(SYS_cliente!$F$5:$F$2500,A39,SYS_cliente!$I$5:$I$2500)+SUMIF(SYS_cliente!$K$5:$K$2500,A39,SYS_cliente!$N$5:$N$2500)+SUMIF(SYS_cliente!$P$5:$P$2500,A39,SYS_cliente!$S$5:$S$2500)&lt;0,0,+SUMIF(SYS_cliente!$F$5:$F$2500,A39,SYS_cliente!$I$5:$I$2500)+SUMIF(SYS_cliente!$K$5:$K$2500,A39,SYS_cliente!$N$5:$N$2500)+SUMIF(SYS_cliente!$P$5:$P$2500,A39,SYS_cliente!$S$5:$S$2500))</f>
        <v>0</v>
      </c>
      <c r="F39" s="1315">
        <f ca="1">IF(+SUMIF(SYS_cliente!$F$5:$F$2500,A39,SYS_cliente!$I$5:$I$1678)+SUMIF(SYS_cliente!$K$5:$K$2500,A39,SYS_cliente!$N$5:$N$1678)+SUMIF(SYS_cliente!$P$5:$P$2500,A39,SYS_cliente!$S$5:$S$1678)&gt;=0,0,-(SUMIF(SYS_cliente!$F$5:$F$2500,A39,SYS_cliente!$I$5:$I$1678)+SUMIF(SYS_cliente!$K$5:$K$2500,A39,SYS_cliente!$N$5:$N$1678)+SUMIF(SYS_cliente!$P$5:$P$2500,A39,SYS_cliente!$S$5:$S$1678)))</f>
        <v>0</v>
      </c>
      <c r="G39" s="1316">
        <f>+SUMIF(asientos!$C$13:$C$1276,SYS_4_3_Digitos!A39,asientos!$B$13:$B$1276)</f>
        <v>0</v>
      </c>
      <c r="H39" s="1317">
        <f>+SUMIF(asientos!$I$13:$I$1276,SYS_4_3_Digitos!A39,asientos!$J$13:$J$1276)</f>
        <v>0</v>
      </c>
      <c r="I39" s="1314">
        <f t="shared" ca="1" si="0"/>
        <v>0</v>
      </c>
      <c r="J39" s="1315">
        <f t="shared" ca="1" si="1"/>
        <v>0</v>
      </c>
      <c r="L39" s="1308">
        <f t="shared" si="2"/>
        <v>153000000</v>
      </c>
      <c r="M39" s="1296" t="str">
        <f t="shared" si="3"/>
        <v>1530</v>
      </c>
      <c r="N39" s="1309">
        <f t="shared" ca="1" si="4"/>
        <v>0</v>
      </c>
      <c r="O39" s="1296" t="str">
        <f t="shared" si="5"/>
        <v>15</v>
      </c>
    </row>
    <row r="40" spans="1:15" s="1296" customFormat="1">
      <c r="A40" s="1310">
        <v>154</v>
      </c>
      <c r="B40" s="1311" t="s">
        <v>316</v>
      </c>
      <c r="C40" s="1312">
        <v>0</v>
      </c>
      <c r="D40" s="1313">
        <v>0</v>
      </c>
      <c r="E40" s="1314">
        <f>IF(+SUMIF(SYS_cliente!$F$5:$F$2500,A40,SYS_cliente!$I$5:$I$2500)+SUMIF(SYS_cliente!$K$5:$K$2500,A40,SYS_cliente!$N$5:$N$2500)+SUMIF(SYS_cliente!$P$5:$P$2500,A40,SYS_cliente!$S$5:$S$2500)&lt;0,0,+SUMIF(SYS_cliente!$F$5:$F$2500,A40,SYS_cliente!$I$5:$I$2500)+SUMIF(SYS_cliente!$K$5:$K$2500,A40,SYS_cliente!$N$5:$N$2500)+SUMIF(SYS_cliente!$P$5:$P$2500,A40,SYS_cliente!$S$5:$S$2500))</f>
        <v>0</v>
      </c>
      <c r="F40" s="1315">
        <f ca="1">IF(+SUMIF(SYS_cliente!$F$5:$F$2500,A40,SYS_cliente!$I$5:$I$1678)+SUMIF(SYS_cliente!$K$5:$K$2500,A40,SYS_cliente!$N$5:$N$1678)+SUMIF(SYS_cliente!$P$5:$P$2500,A40,SYS_cliente!$S$5:$S$1678)&gt;=0,0,-(SUMIF(SYS_cliente!$F$5:$F$2500,A40,SYS_cliente!$I$5:$I$1678)+SUMIF(SYS_cliente!$K$5:$K$2500,A40,SYS_cliente!$N$5:$N$1678)+SUMIF(SYS_cliente!$P$5:$P$2500,A40,SYS_cliente!$S$5:$S$1678)))</f>
        <v>0</v>
      </c>
      <c r="G40" s="1316">
        <f>+SUMIF(asientos!$C$13:$C$1276,SYS_4_3_Digitos!A40,asientos!$B$13:$B$1276)</f>
        <v>0</v>
      </c>
      <c r="H40" s="1317">
        <f>+SUMIF(asientos!$I$13:$I$1276,SYS_4_3_Digitos!A40,asientos!$J$13:$J$1276)</f>
        <v>0</v>
      </c>
      <c r="I40" s="1314">
        <f t="shared" ca="1" si="0"/>
        <v>0</v>
      </c>
      <c r="J40" s="1315">
        <f t="shared" ca="1" si="1"/>
        <v>0</v>
      </c>
      <c r="L40" s="1308">
        <f t="shared" si="2"/>
        <v>154000000</v>
      </c>
      <c r="M40" s="1296" t="str">
        <f t="shared" si="3"/>
        <v>1540</v>
      </c>
      <c r="N40" s="1309">
        <f t="shared" ca="1" si="4"/>
        <v>0</v>
      </c>
      <c r="O40" s="1296" t="str">
        <f t="shared" si="5"/>
        <v>15</v>
      </c>
    </row>
    <row r="41" spans="1:15" s="1296" customFormat="1">
      <c r="A41" s="1310">
        <v>160</v>
      </c>
      <c r="B41" s="1311" t="s">
        <v>317</v>
      </c>
      <c r="C41" s="1312">
        <v>0</v>
      </c>
      <c r="D41" s="1313">
        <v>0</v>
      </c>
      <c r="E41" s="1314">
        <f>IF(+SUMIF(SYS_cliente!$F$5:$F$2500,A41,SYS_cliente!$I$5:$I$2500)+SUMIF(SYS_cliente!$K$5:$K$2500,A41,SYS_cliente!$N$5:$N$2500)+SUMIF(SYS_cliente!$P$5:$P$2500,A41,SYS_cliente!$S$5:$S$2500)&lt;0,0,+SUMIF(SYS_cliente!$F$5:$F$2500,A41,SYS_cliente!$I$5:$I$2500)+SUMIF(SYS_cliente!$K$5:$K$2500,A41,SYS_cliente!$N$5:$N$2500)+SUMIF(SYS_cliente!$P$5:$P$2500,A41,SYS_cliente!$S$5:$S$2500))</f>
        <v>0</v>
      </c>
      <c r="F41" s="1315">
        <f ca="1">IF(+SUMIF(SYS_cliente!$F$5:$F$2500,A41,SYS_cliente!$I$5:$I$1678)+SUMIF(SYS_cliente!$K$5:$K$2500,A41,SYS_cliente!$N$5:$N$1678)+SUMIF(SYS_cliente!$P$5:$P$2500,A41,SYS_cliente!$S$5:$S$1678)&gt;=0,0,-(SUMIF(SYS_cliente!$F$5:$F$2500,A41,SYS_cliente!$I$5:$I$1678)+SUMIF(SYS_cliente!$K$5:$K$2500,A41,SYS_cliente!$N$5:$N$1678)+SUMIF(SYS_cliente!$P$5:$P$2500,A41,SYS_cliente!$S$5:$S$1678)))</f>
        <v>0</v>
      </c>
      <c r="G41" s="1316">
        <f>+SUMIF(asientos!$C$13:$C$1276,SYS_4_3_Digitos!A41,asientos!$B$13:$B$1276)</f>
        <v>0</v>
      </c>
      <c r="H41" s="1317">
        <f>+SUMIF(asientos!$I$13:$I$1276,SYS_4_3_Digitos!A41,asientos!$J$13:$J$1276)</f>
        <v>0</v>
      </c>
      <c r="I41" s="1314">
        <f t="shared" ca="1" si="0"/>
        <v>0</v>
      </c>
      <c r="J41" s="1315">
        <f t="shared" ca="1" si="1"/>
        <v>0</v>
      </c>
      <c r="L41" s="1308">
        <f t="shared" si="2"/>
        <v>160000000</v>
      </c>
      <c r="M41" s="1296" t="str">
        <f t="shared" si="3"/>
        <v>1600</v>
      </c>
      <c r="N41" s="1309">
        <f t="shared" ca="1" si="4"/>
        <v>0</v>
      </c>
      <c r="O41" s="1296" t="str">
        <f t="shared" si="5"/>
        <v>16</v>
      </c>
    </row>
    <row r="42" spans="1:15" s="1296" customFormat="1">
      <c r="A42" s="1310">
        <v>161</v>
      </c>
      <c r="B42" s="1311" t="s">
        <v>318</v>
      </c>
      <c r="C42" s="1312">
        <v>0</v>
      </c>
      <c r="D42" s="1313">
        <v>0</v>
      </c>
      <c r="E42" s="1314">
        <f>IF(+SUMIF(SYS_cliente!$F$5:$F$2500,A42,SYS_cliente!$I$5:$I$2500)+SUMIF(SYS_cliente!$K$5:$K$2500,A42,SYS_cliente!$N$5:$N$2500)+SUMIF(SYS_cliente!$P$5:$P$2500,A42,SYS_cliente!$S$5:$S$2500)&lt;0,0,+SUMIF(SYS_cliente!$F$5:$F$2500,A42,SYS_cliente!$I$5:$I$2500)+SUMIF(SYS_cliente!$K$5:$K$2500,A42,SYS_cliente!$N$5:$N$2500)+SUMIF(SYS_cliente!$P$5:$P$2500,A42,SYS_cliente!$S$5:$S$2500))</f>
        <v>0</v>
      </c>
      <c r="F42" s="1315">
        <f ca="1">IF(+SUMIF(SYS_cliente!$F$5:$F$2500,A42,SYS_cliente!$I$5:$I$1678)+SUMIF(SYS_cliente!$K$5:$K$2500,A42,SYS_cliente!$N$5:$N$1678)+SUMIF(SYS_cliente!$P$5:$P$2500,A42,SYS_cliente!$S$5:$S$1678)&gt;=0,0,-(SUMIF(SYS_cliente!$F$5:$F$2500,A42,SYS_cliente!$I$5:$I$1678)+SUMIF(SYS_cliente!$K$5:$K$2500,A42,SYS_cliente!$N$5:$N$1678)+SUMIF(SYS_cliente!$P$5:$P$2500,A42,SYS_cliente!$S$5:$S$1678)))</f>
        <v>0</v>
      </c>
      <c r="G42" s="1316">
        <f>+SUMIF(asientos!$C$13:$C$1276,SYS_4_3_Digitos!A42,asientos!$B$13:$B$1276)</f>
        <v>0</v>
      </c>
      <c r="H42" s="1317">
        <f>+SUMIF(asientos!$I$13:$I$1276,SYS_4_3_Digitos!A42,asientos!$J$13:$J$1276)</f>
        <v>0</v>
      </c>
      <c r="I42" s="1314">
        <f t="shared" ca="1" si="0"/>
        <v>0</v>
      </c>
      <c r="J42" s="1315">
        <f t="shared" ca="1" si="1"/>
        <v>0</v>
      </c>
      <c r="L42" s="1308">
        <f t="shared" si="2"/>
        <v>161000000</v>
      </c>
      <c r="M42" s="1296" t="str">
        <f t="shared" si="3"/>
        <v>1610</v>
      </c>
      <c r="N42" s="1309">
        <f t="shared" ca="1" si="4"/>
        <v>0</v>
      </c>
      <c r="O42" s="1296" t="str">
        <f t="shared" si="5"/>
        <v>16</v>
      </c>
    </row>
    <row r="43" spans="1:15" s="1296" customFormat="1">
      <c r="A43" s="1310">
        <v>162</v>
      </c>
      <c r="B43" s="1311" t="s">
        <v>319</v>
      </c>
      <c r="C43" s="1312">
        <v>0</v>
      </c>
      <c r="D43" s="1313">
        <v>0</v>
      </c>
      <c r="E43" s="1314">
        <f>IF(+SUMIF(SYS_cliente!$F$5:$F$2500,A43,SYS_cliente!$I$5:$I$2500)+SUMIF(SYS_cliente!$K$5:$K$2500,A43,SYS_cliente!$N$5:$N$2500)+SUMIF(SYS_cliente!$P$5:$P$2500,A43,SYS_cliente!$S$5:$S$2500)&lt;0,0,+SUMIF(SYS_cliente!$F$5:$F$2500,A43,SYS_cliente!$I$5:$I$2500)+SUMIF(SYS_cliente!$K$5:$K$2500,A43,SYS_cliente!$N$5:$N$2500)+SUMIF(SYS_cliente!$P$5:$P$2500,A43,SYS_cliente!$S$5:$S$2500))</f>
        <v>0</v>
      </c>
      <c r="F43" s="1315">
        <f ca="1">IF(+SUMIF(SYS_cliente!$F$5:$F$2500,A43,SYS_cliente!$I$5:$I$1678)+SUMIF(SYS_cliente!$K$5:$K$2500,A43,SYS_cliente!$N$5:$N$1678)+SUMIF(SYS_cliente!$P$5:$P$2500,A43,SYS_cliente!$S$5:$S$1678)&gt;=0,0,-(SUMIF(SYS_cliente!$F$5:$F$2500,A43,SYS_cliente!$I$5:$I$1678)+SUMIF(SYS_cliente!$K$5:$K$2500,A43,SYS_cliente!$N$5:$N$1678)+SUMIF(SYS_cliente!$P$5:$P$2500,A43,SYS_cliente!$S$5:$S$1678)))</f>
        <v>0</v>
      </c>
      <c r="G43" s="1316">
        <f>+SUMIF(asientos!$C$13:$C$1276,SYS_4_3_Digitos!A43,asientos!$B$13:$B$1276)</f>
        <v>0</v>
      </c>
      <c r="H43" s="1317">
        <f>+SUMIF(asientos!$I$13:$I$1276,SYS_4_3_Digitos!A43,asientos!$J$13:$J$1276)</f>
        <v>0</v>
      </c>
      <c r="I43" s="1314">
        <f t="shared" ca="1" si="0"/>
        <v>0</v>
      </c>
      <c r="J43" s="1315">
        <f t="shared" ca="1" si="1"/>
        <v>0</v>
      </c>
      <c r="L43" s="1308">
        <f t="shared" si="2"/>
        <v>162000000</v>
      </c>
      <c r="M43" s="1296" t="str">
        <f t="shared" si="3"/>
        <v>1620</v>
      </c>
      <c r="N43" s="1309">
        <f t="shared" ca="1" si="4"/>
        <v>0</v>
      </c>
      <c r="O43" s="1296" t="str">
        <f t="shared" si="5"/>
        <v>16</v>
      </c>
    </row>
    <row r="44" spans="1:15" s="1296" customFormat="1">
      <c r="A44" s="1310">
        <v>1633</v>
      </c>
      <c r="B44" s="1311" t="s">
        <v>1674</v>
      </c>
      <c r="C44" s="1312">
        <v>0</v>
      </c>
      <c r="D44" s="1313">
        <v>0</v>
      </c>
      <c r="E44" s="1314">
        <f>IF(+SUMIF(SYS_cliente!$F$5:$F$2500,A44,SYS_cliente!$I$5:$I$2500)+SUMIF(SYS_cliente!$K$5:$K$2500,A44,SYS_cliente!$N$5:$N$2500)+SUMIF(SYS_cliente!$P$5:$P$2500,A44,SYS_cliente!$S$5:$S$2500)&lt;0,0,+SUMIF(SYS_cliente!$F$5:$F$2500,A44,SYS_cliente!$I$5:$I$2500)+SUMIF(SYS_cliente!$K$5:$K$2500,A44,SYS_cliente!$N$5:$N$2500)+SUMIF(SYS_cliente!$P$5:$P$2500,A44,SYS_cliente!$S$5:$S$2500))</f>
        <v>0</v>
      </c>
      <c r="F44" s="1315">
        <f ca="1">IF(+SUMIF(SYS_cliente!$F$5:$F$2500,A44,SYS_cliente!$I$5:$I$1678)+SUMIF(SYS_cliente!$K$5:$K$2500,A44,SYS_cliente!$N$5:$N$1678)+SUMIF(SYS_cliente!$P$5:$P$2500,A44,SYS_cliente!$S$5:$S$1678)&gt;=0,0,-(SUMIF(SYS_cliente!$F$5:$F$2500,A44,SYS_cliente!$I$5:$I$1678)+SUMIF(SYS_cliente!$K$5:$K$2500,A44,SYS_cliente!$N$5:$N$1678)+SUMIF(SYS_cliente!$P$5:$P$2500,A44,SYS_cliente!$S$5:$S$1678)))</f>
        <v>0</v>
      </c>
      <c r="G44" s="1316">
        <f>+SUMIF(asientos!$C$13:$C$1276,SYS_4_3_Digitos!A44,asientos!$B$13:$B$1276)</f>
        <v>0</v>
      </c>
      <c r="H44" s="1317">
        <f>+SUMIF(asientos!$I$13:$I$1276,SYS_4_3_Digitos!A44,asientos!$J$13:$J$1276)</f>
        <v>0</v>
      </c>
      <c r="I44" s="1314">
        <f t="shared" ca="1" si="0"/>
        <v>0</v>
      </c>
      <c r="J44" s="1315">
        <f t="shared" ca="1" si="1"/>
        <v>0</v>
      </c>
      <c r="L44" s="1308">
        <f t="shared" si="2"/>
        <v>1633000000</v>
      </c>
      <c r="M44" s="1296" t="str">
        <f t="shared" si="3"/>
        <v>1633</v>
      </c>
      <c r="N44" s="1309">
        <f t="shared" ca="1" si="4"/>
        <v>0</v>
      </c>
      <c r="O44" s="1296" t="str">
        <f t="shared" si="5"/>
        <v>16</v>
      </c>
    </row>
    <row r="45" spans="1:15" s="1296" customFormat="1">
      <c r="A45" s="1318">
        <v>1634</v>
      </c>
      <c r="B45" s="1319" t="s">
        <v>1675</v>
      </c>
      <c r="C45" s="1320">
        <v>0</v>
      </c>
      <c r="D45" s="1321">
        <v>0</v>
      </c>
      <c r="E45" s="1322">
        <f>IF(+SUMIF(SYS_cliente!$F$5:$F$2500,A45,SYS_cliente!$I$5:$I$2500)+SUMIF(SYS_cliente!$K$5:$K$2500,A45,SYS_cliente!$N$5:$N$2500)+SUMIF(SYS_cliente!$P$5:$P$2500,A45,SYS_cliente!$S$5:$S$2500)&lt;0,0,+SUMIF(SYS_cliente!$F$5:$F$2500,A45,SYS_cliente!$I$5:$I$2500)+SUMIF(SYS_cliente!$K$5:$K$2500,A45,SYS_cliente!$N$5:$N$2500)+SUMIF(SYS_cliente!$P$5:$P$2500,A45,SYS_cliente!$S$5:$S$2500))</f>
        <v>0</v>
      </c>
      <c r="F45" s="1323">
        <f ca="1">IF(+SUMIF(SYS_cliente!$F$5:$F$2500,A45,SYS_cliente!$I$5:$I$1678)+SUMIF(SYS_cliente!$K$5:$K$2500,A45,SYS_cliente!$N$5:$N$1678)+SUMIF(SYS_cliente!$P$5:$P$2500,A45,SYS_cliente!$S$5:$S$1678)&gt;=0,0,-(SUMIF(SYS_cliente!$F$5:$F$2500,A45,SYS_cliente!$I$5:$I$1678)+SUMIF(SYS_cliente!$K$5:$K$2500,A45,SYS_cliente!$N$5:$N$1678)+SUMIF(SYS_cliente!$P$5:$P$2500,A45,SYS_cliente!$S$5:$S$1678)))</f>
        <v>0</v>
      </c>
      <c r="G45" s="1322">
        <f>+SUMIF(asientos!$C$13:$C$1276,SYS_4_3_Digitos!A45,asientos!$B$13:$B$1276)</f>
        <v>0</v>
      </c>
      <c r="H45" s="1323">
        <f>+SUMIF(asientos!$I$13:$I$1276,SYS_4_3_Digitos!A45,asientos!$J$13:$J$1276)</f>
        <v>0</v>
      </c>
      <c r="I45" s="1322">
        <f t="shared" ca="1" si="0"/>
        <v>0</v>
      </c>
      <c r="J45" s="1323">
        <f t="shared" ca="1" si="1"/>
        <v>0</v>
      </c>
      <c r="K45" s="1324"/>
      <c r="L45" s="1325">
        <f t="shared" si="2"/>
        <v>1634000000</v>
      </c>
      <c r="M45" s="1324" t="str">
        <f t="shared" si="3"/>
        <v>1634</v>
      </c>
      <c r="N45" s="1326">
        <f t="shared" ca="1" si="4"/>
        <v>0</v>
      </c>
      <c r="O45" s="1296" t="str">
        <f t="shared" si="5"/>
        <v>16</v>
      </c>
    </row>
    <row r="46" spans="1:15" s="1296" customFormat="1">
      <c r="A46" s="1318">
        <v>1635</v>
      </c>
      <c r="B46" s="1319" t="s">
        <v>1676</v>
      </c>
      <c r="C46" s="1320">
        <v>0</v>
      </c>
      <c r="D46" s="1321">
        <v>0</v>
      </c>
      <c r="E46" s="1322">
        <f>IF(+SUMIF(SYS_cliente!$F$5:$F$2500,A46,SYS_cliente!$I$5:$I$2500)+SUMIF(SYS_cliente!$K$5:$K$2500,A46,SYS_cliente!$N$5:$N$2500)+SUMIF(SYS_cliente!$P$5:$P$2500,A46,SYS_cliente!$S$5:$S$2500)&lt;0,0,+SUMIF(SYS_cliente!$F$5:$F$2500,A46,SYS_cliente!$I$5:$I$2500)+SUMIF(SYS_cliente!$K$5:$K$2500,A46,SYS_cliente!$N$5:$N$2500)+SUMIF(SYS_cliente!$P$5:$P$2500,A46,SYS_cliente!$S$5:$S$2500))</f>
        <v>0</v>
      </c>
      <c r="F46" s="1323">
        <f ca="1">IF(+SUMIF(SYS_cliente!$F$5:$F$2500,A46,SYS_cliente!$I$5:$I$1678)+SUMIF(SYS_cliente!$K$5:$K$2500,A46,SYS_cliente!$N$5:$N$1678)+SUMIF(SYS_cliente!$P$5:$P$2500,A46,SYS_cliente!$S$5:$S$1678)&gt;=0,0,-(SUMIF(SYS_cliente!$F$5:$F$2500,A46,SYS_cliente!$I$5:$I$1678)+SUMIF(SYS_cliente!$K$5:$K$2500,A46,SYS_cliente!$N$5:$N$1678)+SUMIF(SYS_cliente!$P$5:$P$2500,A46,SYS_cliente!$S$5:$S$1678)))</f>
        <v>0</v>
      </c>
      <c r="G46" s="1322">
        <f>+SUMIF(asientos!$C$13:$C$1276,SYS_4_3_Digitos!A46,asientos!$B$13:$B$1276)</f>
        <v>0</v>
      </c>
      <c r="H46" s="1323">
        <f>+SUMIF(asientos!$I$13:$I$1276,SYS_4_3_Digitos!A46,asientos!$J$13:$J$1276)</f>
        <v>0</v>
      </c>
      <c r="I46" s="1322">
        <f t="shared" ca="1" si="0"/>
        <v>0</v>
      </c>
      <c r="J46" s="1323">
        <f t="shared" ca="1" si="1"/>
        <v>0</v>
      </c>
      <c r="K46" s="1324"/>
      <c r="L46" s="1325">
        <f t="shared" si="2"/>
        <v>1635000000</v>
      </c>
      <c r="M46" s="1324" t="str">
        <f t="shared" si="3"/>
        <v>1635</v>
      </c>
      <c r="N46" s="1326">
        <f t="shared" ca="1" si="4"/>
        <v>0</v>
      </c>
      <c r="O46" s="1296" t="str">
        <f t="shared" si="5"/>
        <v>16</v>
      </c>
    </row>
    <row r="47" spans="1:15" s="1296" customFormat="1">
      <c r="A47" s="1310">
        <v>170</v>
      </c>
      <c r="B47" s="1311" t="s">
        <v>320</v>
      </c>
      <c r="C47" s="1312">
        <v>0</v>
      </c>
      <c r="D47" s="1313">
        <v>0</v>
      </c>
      <c r="E47" s="1314">
        <f>IF(+SUMIF(SYS_cliente!$F$5:$F$2500,A47,SYS_cliente!$I$5:$I$2500)+SUMIF(SYS_cliente!$K$5:$K$2500,A47,SYS_cliente!$N$5:$N$2500)+SUMIF(SYS_cliente!$P$5:$P$2500,A47,SYS_cliente!$S$5:$S$2500)&lt;0,0,+SUMIF(SYS_cliente!$F$5:$F$2500,A47,SYS_cliente!$I$5:$I$2500)+SUMIF(SYS_cliente!$K$5:$K$2500,A47,SYS_cliente!$N$5:$N$2500)+SUMIF(SYS_cliente!$P$5:$P$2500,A47,SYS_cliente!$S$5:$S$2500))</f>
        <v>0</v>
      </c>
      <c r="F47" s="1315">
        <f ca="1">IF(+SUMIF(SYS_cliente!$F$5:$F$2500,A47,SYS_cliente!$I$5:$I$1678)+SUMIF(SYS_cliente!$K$5:$K$2500,A47,SYS_cliente!$N$5:$N$1678)+SUMIF(SYS_cliente!$P$5:$P$2500,A47,SYS_cliente!$S$5:$S$1678)&gt;=0,0,-(SUMIF(SYS_cliente!$F$5:$F$2500,A47,SYS_cliente!$I$5:$I$1678)+SUMIF(SYS_cliente!$K$5:$K$2500,A47,SYS_cliente!$N$5:$N$1678)+SUMIF(SYS_cliente!$P$5:$P$2500,A47,SYS_cliente!$S$5:$S$1678)))</f>
        <v>0</v>
      </c>
      <c r="G47" s="1316">
        <f>+SUMIF(asientos!$C$13:$C$1276,SYS_4_3_Digitos!A47,asientos!$B$13:$B$1276)</f>
        <v>0</v>
      </c>
      <c r="H47" s="1317">
        <f>+SUMIF(asientos!$I$13:$I$1276,SYS_4_3_Digitos!A47,asientos!$J$13:$J$1276)</f>
        <v>0</v>
      </c>
      <c r="I47" s="1314">
        <f t="shared" ca="1" si="0"/>
        <v>0</v>
      </c>
      <c r="J47" s="1315">
        <f t="shared" ca="1" si="1"/>
        <v>0</v>
      </c>
      <c r="L47" s="1308">
        <f t="shared" si="2"/>
        <v>170000000</v>
      </c>
      <c r="M47" s="1296" t="str">
        <f t="shared" si="3"/>
        <v>1700</v>
      </c>
      <c r="N47" s="1309">
        <f t="shared" ca="1" si="4"/>
        <v>0</v>
      </c>
      <c r="O47" s="1296" t="str">
        <f t="shared" si="5"/>
        <v>17</v>
      </c>
    </row>
    <row r="48" spans="1:15" s="1296" customFormat="1">
      <c r="A48" s="1310">
        <v>171</v>
      </c>
      <c r="B48" s="1311" t="s">
        <v>321</v>
      </c>
      <c r="C48" s="1312">
        <v>0</v>
      </c>
      <c r="D48" s="1313">
        <v>0</v>
      </c>
      <c r="E48" s="1314">
        <f>IF(+SUMIF(SYS_cliente!$F$5:$F$2500,A48,SYS_cliente!$I$5:$I$2500)+SUMIF(SYS_cliente!$K$5:$K$2500,A48,SYS_cliente!$N$5:$N$2500)+SUMIF(SYS_cliente!$P$5:$P$2500,A48,SYS_cliente!$S$5:$S$2500)&lt;0,0,+SUMIF(SYS_cliente!$F$5:$F$2500,A48,SYS_cliente!$I$5:$I$2500)+SUMIF(SYS_cliente!$K$5:$K$2500,A48,SYS_cliente!$N$5:$N$2500)+SUMIF(SYS_cliente!$P$5:$P$2500,A48,SYS_cliente!$S$5:$S$2500))</f>
        <v>0</v>
      </c>
      <c r="F48" s="1315">
        <f ca="1">IF(+SUMIF(SYS_cliente!$F$5:$F$2500,A48,SYS_cliente!$I$5:$I$1678)+SUMIF(SYS_cliente!$K$5:$K$2500,A48,SYS_cliente!$N$5:$N$1678)+SUMIF(SYS_cliente!$P$5:$P$2500,A48,SYS_cliente!$S$5:$S$1678)&gt;=0,0,-(SUMIF(SYS_cliente!$F$5:$F$2500,A48,SYS_cliente!$I$5:$I$1678)+SUMIF(SYS_cliente!$K$5:$K$2500,A48,SYS_cliente!$N$5:$N$1678)+SUMIF(SYS_cliente!$P$5:$P$2500,A48,SYS_cliente!$S$5:$S$1678)))</f>
        <v>0</v>
      </c>
      <c r="G48" s="1316">
        <f>+SUMIF(asientos!$C$13:$C$1276,SYS_4_3_Digitos!A48,asientos!$B$13:$B$1276)</f>
        <v>0</v>
      </c>
      <c r="H48" s="1317">
        <f>+SUMIF(asientos!$I$13:$I$1276,SYS_4_3_Digitos!A48,asientos!$J$13:$J$1276)</f>
        <v>0</v>
      </c>
      <c r="I48" s="1314">
        <f t="shared" ca="1" si="0"/>
        <v>0</v>
      </c>
      <c r="J48" s="1315">
        <f t="shared" ca="1" si="1"/>
        <v>0</v>
      </c>
      <c r="L48" s="1308">
        <f t="shared" si="2"/>
        <v>171000000</v>
      </c>
      <c r="M48" s="1296" t="str">
        <f t="shared" si="3"/>
        <v>1710</v>
      </c>
      <c r="N48" s="1309">
        <f t="shared" ca="1" si="4"/>
        <v>0</v>
      </c>
      <c r="O48" s="1296" t="str">
        <f t="shared" si="5"/>
        <v>17</v>
      </c>
    </row>
    <row r="49" spans="1:15" s="1296" customFormat="1">
      <c r="A49" s="1310">
        <v>172</v>
      </c>
      <c r="B49" s="1311" t="s">
        <v>322</v>
      </c>
      <c r="C49" s="1312">
        <v>0</v>
      </c>
      <c r="D49" s="1313">
        <v>0</v>
      </c>
      <c r="E49" s="1314">
        <f>IF(+SUMIF(SYS_cliente!$F$5:$F$2500,A49,SYS_cliente!$I$5:$I$2500)+SUMIF(SYS_cliente!$K$5:$K$2500,A49,SYS_cliente!$N$5:$N$2500)+SUMIF(SYS_cliente!$P$5:$P$2500,A49,SYS_cliente!$S$5:$S$2500)&lt;0,0,+SUMIF(SYS_cliente!$F$5:$F$2500,A49,SYS_cliente!$I$5:$I$2500)+SUMIF(SYS_cliente!$K$5:$K$2500,A49,SYS_cliente!$N$5:$N$2500)+SUMIF(SYS_cliente!$P$5:$P$2500,A49,SYS_cliente!$S$5:$S$2500))</f>
        <v>0</v>
      </c>
      <c r="F49" s="1315">
        <f ca="1">IF(+SUMIF(SYS_cliente!$F$5:$F$2500,A49,SYS_cliente!$I$5:$I$1678)+SUMIF(SYS_cliente!$K$5:$K$2500,A49,SYS_cliente!$N$5:$N$1678)+SUMIF(SYS_cliente!$P$5:$P$2500,A49,SYS_cliente!$S$5:$S$1678)&gt;=0,0,-(SUMIF(SYS_cliente!$F$5:$F$2500,A49,SYS_cliente!$I$5:$I$1678)+SUMIF(SYS_cliente!$K$5:$K$2500,A49,SYS_cliente!$N$5:$N$1678)+SUMIF(SYS_cliente!$P$5:$P$2500,A49,SYS_cliente!$S$5:$S$1678)))</f>
        <v>0</v>
      </c>
      <c r="G49" s="1316">
        <f>+SUMIF(asientos!$C$13:$C$1276,SYS_4_3_Digitos!A49,asientos!$B$13:$B$1276)</f>
        <v>0</v>
      </c>
      <c r="H49" s="1317">
        <f>+SUMIF(asientos!$I$13:$I$1276,SYS_4_3_Digitos!A49,asientos!$J$13:$J$1276)</f>
        <v>0</v>
      </c>
      <c r="I49" s="1314">
        <f t="shared" ca="1" si="0"/>
        <v>0</v>
      </c>
      <c r="J49" s="1315">
        <f t="shared" ca="1" si="1"/>
        <v>0</v>
      </c>
      <c r="L49" s="1308">
        <f t="shared" si="2"/>
        <v>172000000</v>
      </c>
      <c r="M49" s="1296" t="str">
        <f t="shared" si="3"/>
        <v>1720</v>
      </c>
      <c r="N49" s="1309">
        <f t="shared" ca="1" si="4"/>
        <v>0</v>
      </c>
      <c r="O49" s="1296" t="str">
        <f t="shared" si="5"/>
        <v>17</v>
      </c>
    </row>
    <row r="50" spans="1:15" s="1296" customFormat="1">
      <c r="A50" s="1310">
        <v>173</v>
      </c>
      <c r="B50" s="1311" t="s">
        <v>323</v>
      </c>
      <c r="C50" s="1312">
        <v>0</v>
      </c>
      <c r="D50" s="1313">
        <v>0</v>
      </c>
      <c r="E50" s="1314">
        <f>IF(+SUMIF(SYS_cliente!$F$5:$F$2500,A50,SYS_cliente!$I$5:$I$2500)+SUMIF(SYS_cliente!$K$5:$K$2500,A50,SYS_cliente!$N$5:$N$2500)+SUMIF(SYS_cliente!$P$5:$P$2500,A50,SYS_cliente!$S$5:$S$2500)&lt;0,0,+SUMIF(SYS_cliente!$F$5:$F$2500,A50,SYS_cliente!$I$5:$I$2500)+SUMIF(SYS_cliente!$K$5:$K$2500,A50,SYS_cliente!$N$5:$N$2500)+SUMIF(SYS_cliente!$P$5:$P$2500,A50,SYS_cliente!$S$5:$S$2500))</f>
        <v>0</v>
      </c>
      <c r="F50" s="1315">
        <f ca="1">IF(+SUMIF(SYS_cliente!$F$5:$F$2500,A50,SYS_cliente!$I$5:$I$1678)+SUMIF(SYS_cliente!$K$5:$K$2500,A50,SYS_cliente!$N$5:$N$1678)+SUMIF(SYS_cliente!$P$5:$P$2500,A50,SYS_cliente!$S$5:$S$1678)&gt;=0,0,-(SUMIF(SYS_cliente!$F$5:$F$2500,A50,SYS_cliente!$I$5:$I$1678)+SUMIF(SYS_cliente!$K$5:$K$2500,A50,SYS_cliente!$N$5:$N$1678)+SUMIF(SYS_cliente!$P$5:$P$2500,A50,SYS_cliente!$S$5:$S$1678)))</f>
        <v>0</v>
      </c>
      <c r="G50" s="1316">
        <f>+SUMIF(asientos!$C$13:$C$1276,SYS_4_3_Digitos!A50,asientos!$B$13:$B$1276)</f>
        <v>0</v>
      </c>
      <c r="H50" s="1317">
        <f>+SUMIF(asientos!$I$13:$I$1276,SYS_4_3_Digitos!A50,asientos!$J$13:$J$1276)</f>
        <v>0</v>
      </c>
      <c r="I50" s="1314">
        <f t="shared" ca="1" si="0"/>
        <v>0</v>
      </c>
      <c r="J50" s="1315">
        <f t="shared" ca="1" si="1"/>
        <v>0</v>
      </c>
      <c r="L50" s="1308">
        <f t="shared" si="2"/>
        <v>173000000</v>
      </c>
      <c r="M50" s="1296" t="str">
        <f t="shared" si="3"/>
        <v>1730</v>
      </c>
      <c r="N50" s="1309">
        <f t="shared" ca="1" si="4"/>
        <v>0</v>
      </c>
      <c r="O50" s="1296" t="str">
        <f t="shared" si="5"/>
        <v>17</v>
      </c>
    </row>
    <row r="51" spans="1:15" s="1296" customFormat="1">
      <c r="A51" s="1310">
        <v>174</v>
      </c>
      <c r="B51" s="1311" t="s">
        <v>324</v>
      </c>
      <c r="C51" s="1312">
        <v>0</v>
      </c>
      <c r="D51" s="1313">
        <v>0</v>
      </c>
      <c r="E51" s="1314">
        <f>IF(+SUMIF(SYS_cliente!$F$5:$F$2500,A51,SYS_cliente!$I$5:$I$2500)+SUMIF(SYS_cliente!$K$5:$K$2500,A51,SYS_cliente!$N$5:$N$2500)+SUMIF(SYS_cliente!$P$5:$P$2500,A51,SYS_cliente!$S$5:$S$2500)&lt;0,0,+SUMIF(SYS_cliente!$F$5:$F$2500,A51,SYS_cliente!$I$5:$I$2500)+SUMIF(SYS_cliente!$K$5:$K$2500,A51,SYS_cliente!$N$5:$N$2500)+SUMIF(SYS_cliente!$P$5:$P$2500,A51,SYS_cliente!$S$5:$S$2500))</f>
        <v>0</v>
      </c>
      <c r="F51" s="1315">
        <f ca="1">IF(+SUMIF(SYS_cliente!$F$5:$F$2500,A51,SYS_cliente!$I$5:$I$1678)+SUMIF(SYS_cliente!$K$5:$K$2500,A51,SYS_cliente!$N$5:$N$1678)+SUMIF(SYS_cliente!$P$5:$P$2500,A51,SYS_cliente!$S$5:$S$1678)&gt;=0,0,-(SUMIF(SYS_cliente!$F$5:$F$2500,A51,SYS_cliente!$I$5:$I$1678)+SUMIF(SYS_cliente!$K$5:$K$2500,A51,SYS_cliente!$N$5:$N$1678)+SUMIF(SYS_cliente!$P$5:$P$2500,A51,SYS_cliente!$S$5:$S$1678)))</f>
        <v>0</v>
      </c>
      <c r="G51" s="1316">
        <f>+SUMIF(asientos!$C$13:$C$1276,SYS_4_3_Digitos!A51,asientos!$B$13:$B$1276)</f>
        <v>0</v>
      </c>
      <c r="H51" s="1317">
        <f>+SUMIF(asientos!$I$13:$I$1276,SYS_4_3_Digitos!A51,asientos!$J$13:$J$1276)</f>
        <v>0</v>
      </c>
      <c r="I51" s="1314">
        <f t="shared" ca="1" si="0"/>
        <v>0</v>
      </c>
      <c r="J51" s="1315">
        <f t="shared" ca="1" si="1"/>
        <v>0</v>
      </c>
      <c r="L51" s="1308">
        <f t="shared" si="2"/>
        <v>174000000</v>
      </c>
      <c r="M51" s="1296" t="str">
        <f t="shared" si="3"/>
        <v>1740</v>
      </c>
      <c r="N51" s="1309">
        <f t="shared" ca="1" si="4"/>
        <v>0</v>
      </c>
      <c r="O51" s="1296" t="str">
        <f t="shared" si="5"/>
        <v>17</v>
      </c>
    </row>
    <row r="52" spans="1:15" s="1296" customFormat="1">
      <c r="A52" s="1310">
        <v>175</v>
      </c>
      <c r="B52" s="1311" t="s">
        <v>325</v>
      </c>
      <c r="C52" s="1312">
        <v>0</v>
      </c>
      <c r="D52" s="1313">
        <v>0</v>
      </c>
      <c r="E52" s="1314">
        <f>IF(+SUMIF(SYS_cliente!$F$5:$F$2500,A52,SYS_cliente!$I$5:$I$2500)+SUMIF(SYS_cliente!$K$5:$K$2500,A52,SYS_cliente!$N$5:$N$2500)+SUMIF(SYS_cliente!$P$5:$P$2500,A52,SYS_cliente!$S$5:$S$2500)&lt;0,0,+SUMIF(SYS_cliente!$F$5:$F$2500,A52,SYS_cliente!$I$5:$I$2500)+SUMIF(SYS_cliente!$K$5:$K$2500,A52,SYS_cliente!$N$5:$N$2500)+SUMIF(SYS_cliente!$P$5:$P$2500,A52,SYS_cliente!$S$5:$S$2500))</f>
        <v>0</v>
      </c>
      <c r="F52" s="1315">
        <f ca="1">IF(+SUMIF(SYS_cliente!$F$5:$F$2500,A52,SYS_cliente!$I$5:$I$1678)+SUMIF(SYS_cliente!$K$5:$K$2500,A52,SYS_cliente!$N$5:$N$1678)+SUMIF(SYS_cliente!$P$5:$P$2500,A52,SYS_cliente!$S$5:$S$1678)&gt;=0,0,-(SUMIF(SYS_cliente!$F$5:$F$2500,A52,SYS_cliente!$I$5:$I$1678)+SUMIF(SYS_cliente!$K$5:$K$2500,A52,SYS_cliente!$N$5:$N$1678)+SUMIF(SYS_cliente!$P$5:$P$2500,A52,SYS_cliente!$S$5:$S$1678)))</f>
        <v>0</v>
      </c>
      <c r="G52" s="1316">
        <f>+SUMIF(asientos!$C$13:$C$1276,SYS_4_3_Digitos!A52,asientos!$B$13:$B$1276)</f>
        <v>0</v>
      </c>
      <c r="H52" s="1317">
        <f>+SUMIF(asientos!$I$13:$I$1276,SYS_4_3_Digitos!A52,asientos!$J$13:$J$1276)</f>
        <v>0</v>
      </c>
      <c r="I52" s="1314">
        <f t="shared" ca="1" si="0"/>
        <v>0</v>
      </c>
      <c r="J52" s="1315">
        <f t="shared" ca="1" si="1"/>
        <v>0</v>
      </c>
      <c r="L52" s="1308">
        <f t="shared" si="2"/>
        <v>175000000</v>
      </c>
      <c r="M52" s="1296" t="str">
        <f t="shared" si="3"/>
        <v>1750</v>
      </c>
      <c r="N52" s="1309">
        <f t="shared" ca="1" si="4"/>
        <v>0</v>
      </c>
      <c r="O52" s="1296" t="str">
        <f t="shared" si="5"/>
        <v>17</v>
      </c>
    </row>
    <row r="53" spans="1:15" s="1296" customFormat="1">
      <c r="A53" s="1310">
        <v>176</v>
      </c>
      <c r="B53" s="1311" t="s">
        <v>326</v>
      </c>
      <c r="C53" s="1312">
        <v>0</v>
      </c>
      <c r="D53" s="1313">
        <v>0</v>
      </c>
      <c r="E53" s="1314">
        <f>IF(+SUMIF(SYS_cliente!$F$5:$F$2500,A53,SYS_cliente!$I$5:$I$2500)+SUMIF(SYS_cliente!$K$5:$K$2500,A53,SYS_cliente!$N$5:$N$2500)+SUMIF(SYS_cliente!$P$5:$P$2500,A53,SYS_cliente!$S$5:$S$2500)&lt;0,0,+SUMIF(SYS_cliente!$F$5:$F$2500,A53,SYS_cliente!$I$5:$I$2500)+SUMIF(SYS_cliente!$K$5:$K$2500,A53,SYS_cliente!$N$5:$N$2500)+SUMIF(SYS_cliente!$P$5:$P$2500,A53,SYS_cliente!$S$5:$S$2500))</f>
        <v>0</v>
      </c>
      <c r="F53" s="1315">
        <f ca="1">IF(+SUMIF(SYS_cliente!$F$5:$F$2500,A53,SYS_cliente!$I$5:$I$1678)+SUMIF(SYS_cliente!$K$5:$K$2500,A53,SYS_cliente!$N$5:$N$1678)+SUMIF(SYS_cliente!$P$5:$P$2500,A53,SYS_cliente!$S$5:$S$1678)&gt;=0,0,-(SUMIF(SYS_cliente!$F$5:$F$2500,A53,SYS_cliente!$I$5:$I$1678)+SUMIF(SYS_cliente!$K$5:$K$2500,A53,SYS_cliente!$N$5:$N$1678)+SUMIF(SYS_cliente!$P$5:$P$2500,A53,SYS_cliente!$S$5:$S$1678)))</f>
        <v>0</v>
      </c>
      <c r="G53" s="1316">
        <f>+SUMIF(asientos!$C$13:$C$1276,SYS_4_3_Digitos!A53,asientos!$B$13:$B$1276)</f>
        <v>0</v>
      </c>
      <c r="H53" s="1317">
        <f>+SUMIF(asientos!$I$13:$I$1276,SYS_4_3_Digitos!A53,asientos!$J$13:$J$1276)</f>
        <v>0</v>
      </c>
      <c r="I53" s="1314">
        <f t="shared" ca="1" si="0"/>
        <v>0</v>
      </c>
      <c r="J53" s="1315">
        <f t="shared" ca="1" si="1"/>
        <v>0</v>
      </c>
      <c r="L53" s="1308">
        <f t="shared" si="2"/>
        <v>176000000</v>
      </c>
      <c r="M53" s="1296" t="str">
        <f t="shared" si="3"/>
        <v>1760</v>
      </c>
      <c r="N53" s="1309">
        <f t="shared" ca="1" si="4"/>
        <v>0</v>
      </c>
      <c r="O53" s="1296" t="str">
        <f t="shared" si="5"/>
        <v>17</v>
      </c>
    </row>
    <row r="54" spans="1:15" s="1296" customFormat="1">
      <c r="A54" s="1310">
        <v>177</v>
      </c>
      <c r="B54" s="1311" t="s">
        <v>327</v>
      </c>
      <c r="C54" s="1312">
        <v>0</v>
      </c>
      <c r="D54" s="1313">
        <v>0</v>
      </c>
      <c r="E54" s="1314">
        <f>IF(+SUMIF(SYS_cliente!$F$5:$F$2500,A54,SYS_cliente!$I$5:$I$2500)+SUMIF(SYS_cliente!$K$5:$K$2500,A54,SYS_cliente!$N$5:$N$2500)+SUMIF(SYS_cliente!$P$5:$P$2500,A54,SYS_cliente!$S$5:$S$2500)&lt;0,0,+SUMIF(SYS_cliente!$F$5:$F$2500,A54,SYS_cliente!$I$5:$I$2500)+SUMIF(SYS_cliente!$K$5:$K$2500,A54,SYS_cliente!$N$5:$N$2500)+SUMIF(SYS_cliente!$P$5:$P$2500,A54,SYS_cliente!$S$5:$S$2500))</f>
        <v>0</v>
      </c>
      <c r="F54" s="1315">
        <f ca="1">IF(+SUMIF(SYS_cliente!$F$5:$F$2500,A54,SYS_cliente!$I$5:$I$1678)+SUMIF(SYS_cliente!$K$5:$K$2500,A54,SYS_cliente!$N$5:$N$1678)+SUMIF(SYS_cliente!$P$5:$P$2500,A54,SYS_cliente!$S$5:$S$1678)&gt;=0,0,-(SUMIF(SYS_cliente!$F$5:$F$2500,A54,SYS_cliente!$I$5:$I$1678)+SUMIF(SYS_cliente!$K$5:$K$2500,A54,SYS_cliente!$N$5:$N$1678)+SUMIF(SYS_cliente!$P$5:$P$2500,A54,SYS_cliente!$S$5:$S$1678)))</f>
        <v>0</v>
      </c>
      <c r="G54" s="1316">
        <f>+SUMIF(asientos!$C$13:$C$1276,SYS_4_3_Digitos!A54,asientos!$B$13:$B$1276)</f>
        <v>0</v>
      </c>
      <c r="H54" s="1317">
        <f>+SUMIF(asientos!$I$13:$I$1276,SYS_4_3_Digitos!A54,asientos!$J$13:$J$1276)</f>
        <v>0</v>
      </c>
      <c r="I54" s="1314">
        <f t="shared" ca="1" si="0"/>
        <v>0</v>
      </c>
      <c r="J54" s="1315">
        <f t="shared" ca="1" si="1"/>
        <v>0</v>
      </c>
      <c r="L54" s="1308">
        <f t="shared" si="2"/>
        <v>177000000</v>
      </c>
      <c r="M54" s="1296" t="str">
        <f t="shared" si="3"/>
        <v>1770</v>
      </c>
      <c r="N54" s="1309">
        <f t="shared" ca="1" si="4"/>
        <v>0</v>
      </c>
      <c r="O54" s="1296" t="str">
        <f t="shared" si="5"/>
        <v>17</v>
      </c>
    </row>
    <row r="55" spans="1:15" s="1296" customFormat="1">
      <c r="A55" s="1310">
        <v>178</v>
      </c>
      <c r="B55" s="1311" t="s">
        <v>328</v>
      </c>
      <c r="C55" s="1312">
        <v>0</v>
      </c>
      <c r="D55" s="1313">
        <v>0</v>
      </c>
      <c r="E55" s="1314">
        <f>IF(+SUMIF(SYS_cliente!$F$5:$F$2500,A55,SYS_cliente!$I$5:$I$2500)+SUMIF(SYS_cliente!$K$5:$K$2500,A55,SYS_cliente!$N$5:$N$2500)+SUMIF(SYS_cliente!$P$5:$P$2500,A55,SYS_cliente!$S$5:$S$2500)&lt;0,0,+SUMIF(SYS_cliente!$F$5:$F$2500,A55,SYS_cliente!$I$5:$I$2500)+SUMIF(SYS_cliente!$K$5:$K$2500,A55,SYS_cliente!$N$5:$N$2500)+SUMIF(SYS_cliente!$P$5:$P$2500,A55,SYS_cliente!$S$5:$S$2500))</f>
        <v>0</v>
      </c>
      <c r="F55" s="1315">
        <f ca="1">IF(+SUMIF(SYS_cliente!$F$5:$F$2500,A55,SYS_cliente!$I$5:$I$1678)+SUMIF(SYS_cliente!$K$5:$K$2500,A55,SYS_cliente!$N$5:$N$1678)+SUMIF(SYS_cliente!$P$5:$P$2500,A55,SYS_cliente!$S$5:$S$1678)&gt;=0,0,-(SUMIF(SYS_cliente!$F$5:$F$2500,A55,SYS_cliente!$I$5:$I$1678)+SUMIF(SYS_cliente!$K$5:$K$2500,A55,SYS_cliente!$N$5:$N$1678)+SUMIF(SYS_cliente!$P$5:$P$2500,A55,SYS_cliente!$S$5:$S$1678)))</f>
        <v>0</v>
      </c>
      <c r="G55" s="1316">
        <f>+SUMIF(asientos!$C$13:$C$1276,SYS_4_3_Digitos!A55,asientos!$B$13:$B$1276)</f>
        <v>0</v>
      </c>
      <c r="H55" s="1317">
        <f>+SUMIF(asientos!$I$13:$I$1276,SYS_4_3_Digitos!A55,asientos!$J$13:$J$1276)</f>
        <v>0</v>
      </c>
      <c r="I55" s="1314">
        <f t="shared" ca="1" si="0"/>
        <v>0</v>
      </c>
      <c r="J55" s="1315">
        <f t="shared" ca="1" si="1"/>
        <v>0</v>
      </c>
      <c r="L55" s="1308">
        <f t="shared" si="2"/>
        <v>178000000</v>
      </c>
      <c r="M55" s="1296" t="str">
        <f t="shared" si="3"/>
        <v>1780</v>
      </c>
      <c r="N55" s="1309">
        <f t="shared" ca="1" si="4"/>
        <v>0</v>
      </c>
      <c r="O55" s="1296" t="str">
        <f t="shared" si="5"/>
        <v>17</v>
      </c>
    </row>
    <row r="56" spans="1:15" s="1296" customFormat="1">
      <c r="A56" s="1310">
        <v>179</v>
      </c>
      <c r="B56" s="1311" t="s">
        <v>329</v>
      </c>
      <c r="C56" s="1312">
        <v>0</v>
      </c>
      <c r="D56" s="1313">
        <v>0</v>
      </c>
      <c r="E56" s="1314">
        <f>IF(+SUMIF(SYS_cliente!$F$5:$F$2500,A56,SYS_cliente!$I$5:$I$2500)+SUMIF(SYS_cliente!$K$5:$K$2500,A56,SYS_cliente!$N$5:$N$2500)+SUMIF(SYS_cliente!$P$5:$P$2500,A56,SYS_cliente!$S$5:$S$2500)&lt;0,0,+SUMIF(SYS_cliente!$F$5:$F$2500,A56,SYS_cliente!$I$5:$I$2500)+SUMIF(SYS_cliente!$K$5:$K$2500,A56,SYS_cliente!$N$5:$N$2500)+SUMIF(SYS_cliente!$P$5:$P$2500,A56,SYS_cliente!$S$5:$S$2500))</f>
        <v>0</v>
      </c>
      <c r="F56" s="1315">
        <f ca="1">IF(+SUMIF(SYS_cliente!$F$5:$F$2500,A56,SYS_cliente!$I$5:$I$1678)+SUMIF(SYS_cliente!$K$5:$K$2500,A56,SYS_cliente!$N$5:$N$1678)+SUMIF(SYS_cliente!$P$5:$P$2500,A56,SYS_cliente!$S$5:$S$1678)&gt;=0,0,-(SUMIF(SYS_cliente!$F$5:$F$2500,A56,SYS_cliente!$I$5:$I$1678)+SUMIF(SYS_cliente!$K$5:$K$2500,A56,SYS_cliente!$N$5:$N$1678)+SUMIF(SYS_cliente!$P$5:$P$2500,A56,SYS_cliente!$S$5:$S$1678)))</f>
        <v>0</v>
      </c>
      <c r="G56" s="1316">
        <f>+SUMIF(asientos!$C$13:$C$1276,SYS_4_3_Digitos!A56,asientos!$B$13:$B$1276)</f>
        <v>0</v>
      </c>
      <c r="H56" s="1317">
        <f>+SUMIF(asientos!$I$13:$I$1276,SYS_4_3_Digitos!A56,asientos!$J$13:$J$1276)</f>
        <v>0</v>
      </c>
      <c r="I56" s="1314">
        <f t="shared" ca="1" si="0"/>
        <v>0</v>
      </c>
      <c r="J56" s="1315">
        <f t="shared" ca="1" si="1"/>
        <v>0</v>
      </c>
      <c r="L56" s="1308">
        <f t="shared" si="2"/>
        <v>179000000</v>
      </c>
      <c r="M56" s="1296" t="str">
        <f t="shared" si="3"/>
        <v>1790</v>
      </c>
      <c r="N56" s="1309">
        <f t="shared" ca="1" si="4"/>
        <v>0</v>
      </c>
      <c r="O56" s="1296" t="str">
        <f t="shared" si="5"/>
        <v>17</v>
      </c>
    </row>
    <row r="57" spans="1:15" s="1296" customFormat="1">
      <c r="A57" s="1310">
        <v>180</v>
      </c>
      <c r="B57" s="1311" t="s">
        <v>330</v>
      </c>
      <c r="C57" s="1312">
        <v>0</v>
      </c>
      <c r="D57" s="1313">
        <v>197434</v>
      </c>
      <c r="E57" s="1314">
        <f>IF(+SUMIF(SYS_cliente!$F$5:$F$2500,A57,SYS_cliente!$I$5:$I$2500)+SUMIF(SYS_cliente!$K$5:$K$2500,A57,SYS_cliente!$N$5:$N$2500)+SUMIF(SYS_cliente!$P$5:$P$2500,A57,SYS_cliente!$S$5:$S$2500)&lt;0,0,+SUMIF(SYS_cliente!$F$5:$F$2500,A57,SYS_cliente!$I$5:$I$2500)+SUMIF(SYS_cliente!$K$5:$K$2500,A57,SYS_cliente!$N$5:$N$2500)+SUMIF(SYS_cliente!$P$5:$P$2500,A57,SYS_cliente!$S$5:$S$2500))</f>
        <v>0</v>
      </c>
      <c r="F57" s="1315">
        <f ca="1">IF(+SUMIF(SYS_cliente!$F$5:$F$2500,A57,SYS_cliente!$I$5:$I$1678)+SUMIF(SYS_cliente!$K$5:$K$2500,A57,SYS_cliente!$N$5:$N$1678)+SUMIF(SYS_cliente!$P$5:$P$2500,A57,SYS_cliente!$S$5:$S$1678)&gt;=0,0,-(SUMIF(SYS_cliente!$F$5:$F$2500,A57,SYS_cliente!$I$5:$I$1678)+SUMIF(SYS_cliente!$K$5:$K$2500,A57,SYS_cliente!$N$5:$N$1678)+SUMIF(SYS_cliente!$P$5:$P$2500,A57,SYS_cliente!$S$5:$S$1678)))</f>
        <v>205434</v>
      </c>
      <c r="G57" s="1316">
        <f>+SUMIF(asientos!$C$13:$C$1276,SYS_4_3_Digitos!A57,asientos!$B$13:$B$1276)</f>
        <v>0</v>
      </c>
      <c r="H57" s="1317">
        <f>+SUMIF(asientos!$I$13:$I$1276,SYS_4_3_Digitos!A57,asientos!$J$13:$J$1276)</f>
        <v>0</v>
      </c>
      <c r="I57" s="1314">
        <f t="shared" ca="1" si="0"/>
        <v>0</v>
      </c>
      <c r="J57" s="1315">
        <f t="shared" ca="1" si="1"/>
        <v>205434</v>
      </c>
      <c r="L57" s="1308">
        <f t="shared" si="2"/>
        <v>180000000</v>
      </c>
      <c r="M57" s="1296" t="str">
        <f t="shared" si="3"/>
        <v>1800</v>
      </c>
      <c r="N57" s="1309">
        <f t="shared" ca="1" si="4"/>
        <v>-205434</v>
      </c>
      <c r="O57" s="1296" t="str">
        <f t="shared" si="5"/>
        <v>18</v>
      </c>
    </row>
    <row r="58" spans="1:15" s="1296" customFormat="1">
      <c r="A58" s="1310">
        <v>181</v>
      </c>
      <c r="B58" s="1311" t="s">
        <v>331</v>
      </c>
      <c r="C58" s="1312">
        <v>0</v>
      </c>
      <c r="D58" s="1313">
        <v>0</v>
      </c>
      <c r="E58" s="1314">
        <f>IF(+SUMIF(SYS_cliente!$F$5:$F$2500,A58,SYS_cliente!$I$5:$I$2500)+SUMIF(SYS_cliente!$K$5:$K$2500,A58,SYS_cliente!$N$5:$N$2500)+SUMIF(SYS_cliente!$P$5:$P$2500,A58,SYS_cliente!$S$5:$S$2500)&lt;0,0,+SUMIF(SYS_cliente!$F$5:$F$2500,A58,SYS_cliente!$I$5:$I$2500)+SUMIF(SYS_cliente!$K$5:$K$2500,A58,SYS_cliente!$N$5:$N$2500)+SUMIF(SYS_cliente!$P$5:$P$2500,A58,SYS_cliente!$S$5:$S$2500))</f>
        <v>0</v>
      </c>
      <c r="F58" s="1315">
        <f ca="1">IF(+SUMIF(SYS_cliente!$F$5:$F$2500,A58,SYS_cliente!$I$5:$I$1678)+SUMIF(SYS_cliente!$K$5:$K$2500,A58,SYS_cliente!$N$5:$N$1678)+SUMIF(SYS_cliente!$P$5:$P$2500,A58,SYS_cliente!$S$5:$S$1678)&gt;=0,0,-(SUMIF(SYS_cliente!$F$5:$F$2500,A58,SYS_cliente!$I$5:$I$1678)+SUMIF(SYS_cliente!$K$5:$K$2500,A58,SYS_cliente!$N$5:$N$1678)+SUMIF(SYS_cliente!$P$5:$P$2500,A58,SYS_cliente!$S$5:$S$1678)))</f>
        <v>0</v>
      </c>
      <c r="G58" s="1316">
        <f>+SUMIF(asientos!$C$13:$C$1276,SYS_4_3_Digitos!A58,asientos!$B$13:$B$1276)</f>
        <v>0</v>
      </c>
      <c r="H58" s="1317">
        <f>+SUMIF(asientos!$I$13:$I$1276,SYS_4_3_Digitos!A58,asientos!$J$13:$J$1276)</f>
        <v>0</v>
      </c>
      <c r="I58" s="1314">
        <f t="shared" ca="1" si="0"/>
        <v>0</v>
      </c>
      <c r="J58" s="1315">
        <f t="shared" ca="1" si="1"/>
        <v>0</v>
      </c>
      <c r="L58" s="1308">
        <f t="shared" si="2"/>
        <v>181000000</v>
      </c>
      <c r="M58" s="1296" t="str">
        <f t="shared" si="3"/>
        <v>1810</v>
      </c>
      <c r="N58" s="1309">
        <f t="shared" ca="1" si="4"/>
        <v>0</v>
      </c>
      <c r="O58" s="1296" t="str">
        <f t="shared" si="5"/>
        <v>18</v>
      </c>
    </row>
    <row r="59" spans="1:15" s="1296" customFormat="1">
      <c r="A59" s="1310">
        <v>185</v>
      </c>
      <c r="B59" s="1311" t="s">
        <v>332</v>
      </c>
      <c r="C59" s="1312">
        <v>0</v>
      </c>
      <c r="D59" s="1313">
        <v>0</v>
      </c>
      <c r="E59" s="1314">
        <f>IF(+SUMIF(SYS_cliente!$F$5:$F$2500,A59,SYS_cliente!$I$5:$I$2500)+SUMIF(SYS_cliente!$K$5:$K$2500,A59,SYS_cliente!$N$5:$N$2500)+SUMIF(SYS_cliente!$P$5:$P$2500,A59,SYS_cliente!$S$5:$S$2500)&lt;0,0,+SUMIF(SYS_cliente!$F$5:$F$2500,A59,SYS_cliente!$I$5:$I$2500)+SUMIF(SYS_cliente!$K$5:$K$2500,A59,SYS_cliente!$N$5:$N$2500)+SUMIF(SYS_cliente!$P$5:$P$2500,A59,SYS_cliente!$S$5:$S$2500))</f>
        <v>0</v>
      </c>
      <c r="F59" s="1315">
        <f ca="1">IF(+SUMIF(SYS_cliente!$F$5:$F$2500,A59,SYS_cliente!$I$5:$I$1678)+SUMIF(SYS_cliente!$K$5:$K$2500,A59,SYS_cliente!$N$5:$N$1678)+SUMIF(SYS_cliente!$P$5:$P$2500,A59,SYS_cliente!$S$5:$S$1678)&gt;=0,0,-(SUMIF(SYS_cliente!$F$5:$F$2500,A59,SYS_cliente!$I$5:$I$1678)+SUMIF(SYS_cliente!$K$5:$K$2500,A59,SYS_cliente!$N$5:$N$1678)+SUMIF(SYS_cliente!$P$5:$P$2500,A59,SYS_cliente!$S$5:$S$1678)))</f>
        <v>0</v>
      </c>
      <c r="G59" s="1316">
        <f>+SUMIF(asientos!$C$13:$C$1276,SYS_4_3_Digitos!A59,asientos!$B$13:$B$1276)</f>
        <v>0</v>
      </c>
      <c r="H59" s="1317">
        <f>+SUMIF(asientos!$I$13:$I$1276,SYS_4_3_Digitos!A59,asientos!$J$13:$J$1276)</f>
        <v>0</v>
      </c>
      <c r="I59" s="1314">
        <f t="shared" ca="1" si="0"/>
        <v>0</v>
      </c>
      <c r="J59" s="1315">
        <f t="shared" ca="1" si="1"/>
        <v>0</v>
      </c>
      <c r="L59" s="1308">
        <f t="shared" si="2"/>
        <v>185000000</v>
      </c>
      <c r="M59" s="1296" t="str">
        <f t="shared" si="3"/>
        <v>1850</v>
      </c>
      <c r="N59" s="1309">
        <f t="shared" ca="1" si="4"/>
        <v>0</v>
      </c>
      <c r="O59" s="1296" t="str">
        <f t="shared" si="5"/>
        <v>18</v>
      </c>
    </row>
    <row r="60" spans="1:15" s="1296" customFormat="1">
      <c r="A60" s="1310">
        <v>189</v>
      </c>
      <c r="B60" s="1311" t="s">
        <v>333</v>
      </c>
      <c r="C60" s="1312">
        <v>0</v>
      </c>
      <c r="D60" s="1313">
        <v>0</v>
      </c>
      <c r="E60" s="1314">
        <f>IF(+SUMIF(SYS_cliente!$F$5:$F$2500,A60,SYS_cliente!$I$5:$I$2500)+SUMIF(SYS_cliente!$K$5:$K$2500,A60,SYS_cliente!$N$5:$N$2500)+SUMIF(SYS_cliente!$P$5:$P$2500,A60,SYS_cliente!$S$5:$S$2500)&lt;0,0,+SUMIF(SYS_cliente!$F$5:$F$2500,A60,SYS_cliente!$I$5:$I$2500)+SUMIF(SYS_cliente!$K$5:$K$2500,A60,SYS_cliente!$N$5:$N$2500)+SUMIF(SYS_cliente!$P$5:$P$2500,A60,SYS_cliente!$S$5:$S$2500))</f>
        <v>0</v>
      </c>
      <c r="F60" s="1315">
        <f ca="1">IF(+SUMIF(SYS_cliente!$F$5:$F$2500,A60,SYS_cliente!$I$5:$I$1678)+SUMIF(SYS_cliente!$K$5:$K$2500,A60,SYS_cliente!$N$5:$N$1678)+SUMIF(SYS_cliente!$P$5:$P$2500,A60,SYS_cliente!$S$5:$S$1678)&gt;=0,0,-(SUMIF(SYS_cliente!$F$5:$F$2500,A60,SYS_cliente!$I$5:$I$1678)+SUMIF(SYS_cliente!$K$5:$K$2500,A60,SYS_cliente!$N$5:$N$1678)+SUMIF(SYS_cliente!$P$5:$P$2500,A60,SYS_cliente!$S$5:$S$1678)))</f>
        <v>0</v>
      </c>
      <c r="G60" s="1316">
        <f>+SUMIF(asientos!$C$13:$C$1276,SYS_4_3_Digitos!A60,asientos!$B$13:$B$1276)</f>
        <v>0</v>
      </c>
      <c r="H60" s="1317">
        <f>+SUMIF(asientos!$I$13:$I$1276,SYS_4_3_Digitos!A60,asientos!$J$13:$J$1276)</f>
        <v>0</v>
      </c>
      <c r="I60" s="1314">
        <f t="shared" ca="1" si="0"/>
        <v>0</v>
      </c>
      <c r="J60" s="1315">
        <f t="shared" ca="1" si="1"/>
        <v>0</v>
      </c>
      <c r="L60" s="1308">
        <f t="shared" si="2"/>
        <v>189000000</v>
      </c>
      <c r="M60" s="1296" t="str">
        <f t="shared" si="3"/>
        <v>1890</v>
      </c>
      <c r="N60" s="1309">
        <f t="shared" ca="1" si="4"/>
        <v>0</v>
      </c>
      <c r="O60" s="1296" t="str">
        <f t="shared" si="5"/>
        <v>18</v>
      </c>
    </row>
    <row r="61" spans="1:15" s="1296" customFormat="1">
      <c r="A61" s="1310">
        <v>190</v>
      </c>
      <c r="B61" s="1311" t="s">
        <v>334</v>
      </c>
      <c r="C61" s="1312">
        <v>0</v>
      </c>
      <c r="D61" s="1313">
        <v>0</v>
      </c>
      <c r="E61" s="1314">
        <f>IF(+SUMIF(SYS_cliente!$F$5:$F$2500,A61,SYS_cliente!$I$5:$I$2500)+SUMIF(SYS_cliente!$K$5:$K$2500,A61,SYS_cliente!$N$5:$N$2500)+SUMIF(SYS_cliente!$P$5:$P$2500,A61,SYS_cliente!$S$5:$S$2500)&lt;0,0,+SUMIF(SYS_cliente!$F$5:$F$2500,A61,SYS_cliente!$I$5:$I$2500)+SUMIF(SYS_cliente!$K$5:$K$2500,A61,SYS_cliente!$N$5:$N$2500)+SUMIF(SYS_cliente!$P$5:$P$2500,A61,SYS_cliente!$S$5:$S$2500))</f>
        <v>0</v>
      </c>
      <c r="F61" s="1315">
        <f ca="1">IF(+SUMIF(SYS_cliente!$F$5:$F$2500,A61,SYS_cliente!$I$5:$I$1678)+SUMIF(SYS_cliente!$K$5:$K$2500,A61,SYS_cliente!$N$5:$N$1678)+SUMIF(SYS_cliente!$P$5:$P$2500,A61,SYS_cliente!$S$5:$S$1678)&gt;=0,0,-(SUMIF(SYS_cliente!$F$5:$F$2500,A61,SYS_cliente!$I$5:$I$1678)+SUMIF(SYS_cliente!$K$5:$K$2500,A61,SYS_cliente!$N$5:$N$1678)+SUMIF(SYS_cliente!$P$5:$P$2500,A61,SYS_cliente!$S$5:$S$1678)))</f>
        <v>0</v>
      </c>
      <c r="G61" s="1316">
        <f>+SUMIF(asientos!$C$13:$C$1276,SYS_4_3_Digitos!A61,asientos!$B$13:$B$1276)</f>
        <v>0</v>
      </c>
      <c r="H61" s="1317">
        <f>+SUMIF(asientos!$I$13:$I$1276,SYS_4_3_Digitos!A61,asientos!$J$13:$J$1276)</f>
        <v>0</v>
      </c>
      <c r="I61" s="1314">
        <f t="shared" ca="1" si="0"/>
        <v>0</v>
      </c>
      <c r="J61" s="1315">
        <f t="shared" ca="1" si="1"/>
        <v>0</v>
      </c>
      <c r="L61" s="1308">
        <f t="shared" si="2"/>
        <v>190000000</v>
      </c>
      <c r="M61" s="1296" t="str">
        <f t="shared" si="3"/>
        <v>1900</v>
      </c>
      <c r="N61" s="1309">
        <f t="shared" ca="1" si="4"/>
        <v>0</v>
      </c>
      <c r="O61" s="1296" t="str">
        <f t="shared" si="5"/>
        <v>19</v>
      </c>
    </row>
    <row r="62" spans="1:15" s="1296" customFormat="1">
      <c r="A62" s="1310">
        <v>192</v>
      </c>
      <c r="B62" s="1311" t="s">
        <v>335</v>
      </c>
      <c r="C62" s="1312">
        <v>0</v>
      </c>
      <c r="D62" s="1313">
        <v>0</v>
      </c>
      <c r="E62" s="1314">
        <f>IF(+SUMIF(SYS_cliente!$F$5:$F$2500,A62,SYS_cliente!$I$5:$I$2500)+SUMIF(SYS_cliente!$K$5:$K$2500,A62,SYS_cliente!$N$5:$N$2500)+SUMIF(SYS_cliente!$P$5:$P$2500,A62,SYS_cliente!$S$5:$S$2500)&lt;0,0,+SUMIF(SYS_cliente!$F$5:$F$2500,A62,SYS_cliente!$I$5:$I$2500)+SUMIF(SYS_cliente!$K$5:$K$2500,A62,SYS_cliente!$N$5:$N$2500)+SUMIF(SYS_cliente!$P$5:$P$2500,A62,SYS_cliente!$S$5:$S$2500))</f>
        <v>0</v>
      </c>
      <c r="F62" s="1315">
        <f ca="1">IF(+SUMIF(SYS_cliente!$F$5:$F$2500,A62,SYS_cliente!$I$5:$I$1678)+SUMIF(SYS_cliente!$K$5:$K$2500,A62,SYS_cliente!$N$5:$N$1678)+SUMIF(SYS_cliente!$P$5:$P$2500,A62,SYS_cliente!$S$5:$S$1678)&gt;=0,0,-(SUMIF(SYS_cliente!$F$5:$F$2500,A62,SYS_cliente!$I$5:$I$1678)+SUMIF(SYS_cliente!$K$5:$K$2500,A62,SYS_cliente!$N$5:$N$1678)+SUMIF(SYS_cliente!$P$5:$P$2500,A62,SYS_cliente!$S$5:$S$1678)))</f>
        <v>0</v>
      </c>
      <c r="G62" s="1316">
        <f>+SUMIF(asientos!$C$13:$C$1276,SYS_4_3_Digitos!A62,asientos!$B$13:$B$1276)</f>
        <v>0</v>
      </c>
      <c r="H62" s="1317">
        <f>+SUMIF(asientos!$I$13:$I$1276,SYS_4_3_Digitos!A62,asientos!$J$13:$J$1276)</f>
        <v>0</v>
      </c>
      <c r="I62" s="1314">
        <f t="shared" ca="1" si="0"/>
        <v>0</v>
      </c>
      <c r="J62" s="1315">
        <f t="shared" ca="1" si="1"/>
        <v>0</v>
      </c>
      <c r="L62" s="1308">
        <f t="shared" si="2"/>
        <v>192000000</v>
      </c>
      <c r="M62" s="1296" t="str">
        <f t="shared" si="3"/>
        <v>1920</v>
      </c>
      <c r="N62" s="1309">
        <f t="shared" ca="1" si="4"/>
        <v>0</v>
      </c>
      <c r="O62" s="1296" t="str">
        <f t="shared" si="5"/>
        <v>19</v>
      </c>
    </row>
    <row r="63" spans="1:15" s="1296" customFormat="1">
      <c r="A63" s="1310">
        <v>194</v>
      </c>
      <c r="B63" s="1311" t="s">
        <v>336</v>
      </c>
      <c r="C63" s="1312">
        <v>0</v>
      </c>
      <c r="D63" s="1313">
        <v>0</v>
      </c>
      <c r="E63" s="1314">
        <f>IF(+SUMIF(SYS_cliente!$F$5:$F$2500,A63,SYS_cliente!$I$5:$I$2500)+SUMIF(SYS_cliente!$K$5:$K$2500,A63,SYS_cliente!$N$5:$N$2500)+SUMIF(SYS_cliente!$P$5:$P$2500,A63,SYS_cliente!$S$5:$S$2500)&lt;0,0,+SUMIF(SYS_cliente!$F$5:$F$2500,A63,SYS_cliente!$I$5:$I$2500)+SUMIF(SYS_cliente!$K$5:$K$2500,A63,SYS_cliente!$N$5:$N$2500)+SUMIF(SYS_cliente!$P$5:$P$2500,A63,SYS_cliente!$S$5:$S$2500))</f>
        <v>0</v>
      </c>
      <c r="F63" s="1315">
        <f ca="1">IF(+SUMIF(SYS_cliente!$F$5:$F$2500,A63,SYS_cliente!$I$5:$I$1678)+SUMIF(SYS_cliente!$K$5:$K$2500,A63,SYS_cliente!$N$5:$N$1678)+SUMIF(SYS_cliente!$P$5:$P$2500,A63,SYS_cliente!$S$5:$S$1678)&gt;=0,0,-(SUMIF(SYS_cliente!$F$5:$F$2500,A63,SYS_cliente!$I$5:$I$1678)+SUMIF(SYS_cliente!$K$5:$K$2500,A63,SYS_cliente!$N$5:$N$1678)+SUMIF(SYS_cliente!$P$5:$P$2500,A63,SYS_cliente!$S$5:$S$1678)))</f>
        <v>0</v>
      </c>
      <c r="G63" s="1316">
        <f>+SUMIF(asientos!$C$13:$C$1276,SYS_4_3_Digitos!A63,asientos!$B$13:$B$1276)</f>
        <v>0</v>
      </c>
      <c r="H63" s="1317">
        <f>+SUMIF(asientos!$I$13:$I$1276,SYS_4_3_Digitos!A63,asientos!$J$13:$J$1276)</f>
        <v>0</v>
      </c>
      <c r="I63" s="1314">
        <f t="shared" ca="1" si="0"/>
        <v>0</v>
      </c>
      <c r="J63" s="1315">
        <f t="shared" ca="1" si="1"/>
        <v>0</v>
      </c>
      <c r="L63" s="1308">
        <f t="shared" si="2"/>
        <v>194000000</v>
      </c>
      <c r="M63" s="1296" t="str">
        <f t="shared" si="3"/>
        <v>1940</v>
      </c>
      <c r="N63" s="1309">
        <f t="shared" ca="1" si="4"/>
        <v>0</v>
      </c>
      <c r="O63" s="1296" t="str">
        <f t="shared" si="5"/>
        <v>19</v>
      </c>
    </row>
    <row r="64" spans="1:15" s="1296" customFormat="1">
      <c r="A64" s="1310">
        <v>195</v>
      </c>
      <c r="B64" s="1311" t="s">
        <v>337</v>
      </c>
      <c r="C64" s="1312">
        <v>0</v>
      </c>
      <c r="D64" s="1313">
        <v>0</v>
      </c>
      <c r="E64" s="1314">
        <f>IF(+SUMIF(SYS_cliente!$F$5:$F$2500,A64,SYS_cliente!$I$5:$I$2500)+SUMIF(SYS_cliente!$K$5:$K$2500,A64,SYS_cliente!$N$5:$N$2500)+SUMIF(SYS_cliente!$P$5:$P$2500,A64,SYS_cliente!$S$5:$S$2500)&lt;0,0,+SUMIF(SYS_cliente!$F$5:$F$2500,A64,SYS_cliente!$I$5:$I$2500)+SUMIF(SYS_cliente!$K$5:$K$2500,A64,SYS_cliente!$N$5:$N$2500)+SUMIF(SYS_cliente!$P$5:$P$2500,A64,SYS_cliente!$S$5:$S$2500))</f>
        <v>0</v>
      </c>
      <c r="F64" s="1315">
        <f ca="1">IF(+SUMIF(SYS_cliente!$F$5:$F$2500,A64,SYS_cliente!$I$5:$I$1678)+SUMIF(SYS_cliente!$K$5:$K$2500,A64,SYS_cliente!$N$5:$N$1678)+SUMIF(SYS_cliente!$P$5:$P$2500,A64,SYS_cliente!$S$5:$S$1678)&gt;=0,0,-(SUMIF(SYS_cliente!$F$5:$F$2500,A64,SYS_cliente!$I$5:$I$1678)+SUMIF(SYS_cliente!$K$5:$K$2500,A64,SYS_cliente!$N$5:$N$1678)+SUMIF(SYS_cliente!$P$5:$P$2500,A64,SYS_cliente!$S$5:$S$1678)))</f>
        <v>0</v>
      </c>
      <c r="G64" s="1316">
        <f>+SUMIF(asientos!$C$13:$C$1276,SYS_4_3_Digitos!A64,asientos!$B$13:$B$1276)</f>
        <v>0</v>
      </c>
      <c r="H64" s="1317">
        <f>+SUMIF(asientos!$I$13:$I$1276,SYS_4_3_Digitos!A64,asientos!$J$13:$J$1276)</f>
        <v>0</v>
      </c>
      <c r="I64" s="1314">
        <f t="shared" ca="1" si="0"/>
        <v>0</v>
      </c>
      <c r="J64" s="1315">
        <f t="shared" ca="1" si="1"/>
        <v>0</v>
      </c>
      <c r="L64" s="1308">
        <f t="shared" si="2"/>
        <v>195000000</v>
      </c>
      <c r="M64" s="1296" t="str">
        <f t="shared" si="3"/>
        <v>1950</v>
      </c>
      <c r="N64" s="1309">
        <f t="shared" ca="1" si="4"/>
        <v>0</v>
      </c>
      <c r="O64" s="1296" t="str">
        <f t="shared" si="5"/>
        <v>19</v>
      </c>
    </row>
    <row r="65" spans="1:15" s="1296" customFormat="1">
      <c r="A65" s="1310">
        <v>197</v>
      </c>
      <c r="B65" s="1311" t="s">
        <v>338</v>
      </c>
      <c r="C65" s="1312">
        <v>0</v>
      </c>
      <c r="D65" s="1313">
        <v>0</v>
      </c>
      <c r="E65" s="1314">
        <f>IF(+SUMIF(SYS_cliente!$F$5:$F$2500,A65,SYS_cliente!$I$5:$I$2500)+SUMIF(SYS_cliente!$K$5:$K$2500,A65,SYS_cliente!$N$5:$N$2500)+SUMIF(SYS_cliente!$P$5:$P$2500,A65,SYS_cliente!$S$5:$S$2500)&lt;0,0,+SUMIF(SYS_cliente!$F$5:$F$2500,A65,SYS_cliente!$I$5:$I$2500)+SUMIF(SYS_cliente!$K$5:$K$2500,A65,SYS_cliente!$N$5:$N$2500)+SUMIF(SYS_cliente!$P$5:$P$2500,A65,SYS_cliente!$S$5:$S$2500))</f>
        <v>0</v>
      </c>
      <c r="F65" s="1315">
        <f ca="1">IF(+SUMIF(SYS_cliente!$F$5:$F$2500,A65,SYS_cliente!$I$5:$I$1678)+SUMIF(SYS_cliente!$K$5:$K$2500,A65,SYS_cliente!$N$5:$N$1678)+SUMIF(SYS_cliente!$P$5:$P$2500,A65,SYS_cliente!$S$5:$S$1678)&gt;=0,0,-(SUMIF(SYS_cliente!$F$5:$F$2500,A65,SYS_cliente!$I$5:$I$1678)+SUMIF(SYS_cliente!$K$5:$K$2500,A65,SYS_cliente!$N$5:$N$1678)+SUMIF(SYS_cliente!$P$5:$P$2500,A65,SYS_cliente!$S$5:$S$1678)))</f>
        <v>0</v>
      </c>
      <c r="G65" s="1316">
        <f>+SUMIF(asientos!$C$13:$C$1276,SYS_4_3_Digitos!A65,asientos!$B$13:$B$1276)</f>
        <v>0</v>
      </c>
      <c r="H65" s="1317">
        <f>+SUMIF(asientos!$I$13:$I$1276,SYS_4_3_Digitos!A65,asientos!$J$13:$J$1276)</f>
        <v>0</v>
      </c>
      <c r="I65" s="1314">
        <f t="shared" ca="1" si="0"/>
        <v>0</v>
      </c>
      <c r="J65" s="1315">
        <f t="shared" ca="1" si="1"/>
        <v>0</v>
      </c>
      <c r="L65" s="1308">
        <f t="shared" si="2"/>
        <v>197000000</v>
      </c>
      <c r="M65" s="1296" t="str">
        <f t="shared" si="3"/>
        <v>1970</v>
      </c>
      <c r="N65" s="1309">
        <f t="shared" ca="1" si="4"/>
        <v>0</v>
      </c>
      <c r="O65" s="1296" t="str">
        <f t="shared" si="5"/>
        <v>19</v>
      </c>
    </row>
    <row r="66" spans="1:15" s="1296" customFormat="1">
      <c r="A66" s="1310">
        <v>199</v>
      </c>
      <c r="B66" s="1311" t="s">
        <v>339</v>
      </c>
      <c r="C66" s="1312">
        <v>0</v>
      </c>
      <c r="D66" s="1313">
        <v>0</v>
      </c>
      <c r="E66" s="1314">
        <f>IF(+SUMIF(SYS_cliente!$F$5:$F$2500,A66,SYS_cliente!$I$5:$I$2500)+SUMIF(SYS_cliente!$K$5:$K$2500,A66,SYS_cliente!$N$5:$N$2500)+SUMIF(SYS_cliente!$P$5:$P$2500,A66,SYS_cliente!$S$5:$S$2500)&lt;0,0,+SUMIF(SYS_cliente!$F$5:$F$2500,A66,SYS_cliente!$I$5:$I$2500)+SUMIF(SYS_cliente!$K$5:$K$2500,A66,SYS_cliente!$N$5:$N$2500)+SUMIF(SYS_cliente!$P$5:$P$2500,A66,SYS_cliente!$S$5:$S$2500))</f>
        <v>0</v>
      </c>
      <c r="F66" s="1315">
        <f ca="1">IF(+SUMIF(SYS_cliente!$F$5:$F$2500,A66,SYS_cliente!$I$5:$I$1678)+SUMIF(SYS_cliente!$K$5:$K$2500,A66,SYS_cliente!$N$5:$N$1678)+SUMIF(SYS_cliente!$P$5:$P$2500,A66,SYS_cliente!$S$5:$S$1678)&gt;=0,0,-(SUMIF(SYS_cliente!$F$5:$F$2500,A66,SYS_cliente!$I$5:$I$1678)+SUMIF(SYS_cliente!$K$5:$K$2500,A66,SYS_cliente!$N$5:$N$1678)+SUMIF(SYS_cliente!$P$5:$P$2500,A66,SYS_cliente!$S$5:$S$1678)))</f>
        <v>0</v>
      </c>
      <c r="G66" s="1316">
        <f>+SUMIF(asientos!$C$13:$C$1276,SYS_4_3_Digitos!A66,asientos!$B$13:$B$1276)</f>
        <v>0</v>
      </c>
      <c r="H66" s="1317">
        <f>+SUMIF(asientos!$I$13:$I$1276,SYS_4_3_Digitos!A66,asientos!$J$13:$J$1276)</f>
        <v>0</v>
      </c>
      <c r="I66" s="1314">
        <f t="shared" ca="1" si="0"/>
        <v>0</v>
      </c>
      <c r="J66" s="1315">
        <f t="shared" ca="1" si="1"/>
        <v>0</v>
      </c>
      <c r="L66" s="1308">
        <f t="shared" si="2"/>
        <v>199000000</v>
      </c>
      <c r="M66" s="1296" t="str">
        <f t="shared" si="3"/>
        <v>1990</v>
      </c>
      <c r="N66" s="1309">
        <f t="shared" ca="1" si="4"/>
        <v>0</v>
      </c>
      <c r="O66" s="1296" t="str">
        <f t="shared" si="5"/>
        <v>19</v>
      </c>
    </row>
    <row r="67" spans="1:15" s="1296" customFormat="1">
      <c r="A67" s="1310">
        <v>200</v>
      </c>
      <c r="B67" s="1311" t="s">
        <v>340</v>
      </c>
      <c r="C67" s="1312">
        <v>0</v>
      </c>
      <c r="D67" s="1313">
        <v>0</v>
      </c>
      <c r="E67" s="1314">
        <f>IF(+SUMIF(SYS_cliente!$F$5:$F$2500,A67,SYS_cliente!$I$5:$I$2500)+SUMIF(SYS_cliente!$K$5:$K$2500,A67,SYS_cliente!$N$5:$N$2500)+SUMIF(SYS_cliente!$P$5:$P$2500,A67,SYS_cliente!$S$5:$S$2500)&lt;0,0,+SUMIF(SYS_cliente!$F$5:$F$2500,A67,SYS_cliente!$I$5:$I$2500)+SUMIF(SYS_cliente!$K$5:$K$2500,A67,SYS_cliente!$N$5:$N$2500)+SUMIF(SYS_cliente!$P$5:$P$2500,A67,SYS_cliente!$S$5:$S$2500))</f>
        <v>0</v>
      </c>
      <c r="F67" s="1315">
        <f ca="1">IF(+SUMIF(SYS_cliente!$F$5:$F$2500,A67,SYS_cliente!$I$5:$I$1678)+SUMIF(SYS_cliente!$K$5:$K$2500,A67,SYS_cliente!$N$5:$N$1678)+SUMIF(SYS_cliente!$P$5:$P$2500,A67,SYS_cliente!$S$5:$S$1678)&gt;=0,0,-(SUMIF(SYS_cliente!$F$5:$F$2500,A67,SYS_cliente!$I$5:$I$1678)+SUMIF(SYS_cliente!$K$5:$K$2500,A67,SYS_cliente!$N$5:$N$1678)+SUMIF(SYS_cliente!$P$5:$P$2500,A67,SYS_cliente!$S$5:$S$1678)))</f>
        <v>0</v>
      </c>
      <c r="G67" s="1316">
        <f>+SUMIF(asientos!$C$13:$C$1276,SYS_4_3_Digitos!A67,asientos!$B$13:$B$1276)</f>
        <v>0</v>
      </c>
      <c r="H67" s="1317">
        <f>+SUMIF(asientos!$I$13:$I$1276,SYS_4_3_Digitos!A67,asientos!$J$13:$J$1276)</f>
        <v>0</v>
      </c>
      <c r="I67" s="1314">
        <f t="shared" ca="1" si="0"/>
        <v>0</v>
      </c>
      <c r="J67" s="1315">
        <f t="shared" ca="1" si="1"/>
        <v>0</v>
      </c>
      <c r="L67" s="1308">
        <f t="shared" si="2"/>
        <v>200000000</v>
      </c>
      <c r="M67" s="1296" t="str">
        <f t="shared" si="3"/>
        <v>2000</v>
      </c>
      <c r="N67" s="1309">
        <f t="shared" ca="1" si="4"/>
        <v>0</v>
      </c>
      <c r="O67" s="1296" t="str">
        <f t="shared" si="5"/>
        <v>20</v>
      </c>
    </row>
    <row r="68" spans="1:15" s="1296" customFormat="1">
      <c r="A68" s="1310">
        <v>201</v>
      </c>
      <c r="B68" s="1311" t="s">
        <v>341</v>
      </c>
      <c r="C68" s="1312">
        <v>0</v>
      </c>
      <c r="D68" s="1313">
        <v>0</v>
      </c>
      <c r="E68" s="1314">
        <f>IF(+SUMIF(SYS_cliente!$F$5:$F$2500,A68,SYS_cliente!$I$5:$I$2500)+SUMIF(SYS_cliente!$K$5:$K$2500,A68,SYS_cliente!$N$5:$N$2500)+SUMIF(SYS_cliente!$P$5:$P$2500,A68,SYS_cliente!$S$5:$S$2500)&lt;0,0,+SUMIF(SYS_cliente!$F$5:$F$2500,A68,SYS_cliente!$I$5:$I$2500)+SUMIF(SYS_cliente!$K$5:$K$2500,A68,SYS_cliente!$N$5:$N$2500)+SUMIF(SYS_cliente!$P$5:$P$2500,A68,SYS_cliente!$S$5:$S$2500))</f>
        <v>0</v>
      </c>
      <c r="F68" s="1315">
        <f ca="1">IF(+SUMIF(SYS_cliente!$F$5:$F$2500,A68,SYS_cliente!$I$5:$I$1678)+SUMIF(SYS_cliente!$K$5:$K$2500,A68,SYS_cliente!$N$5:$N$1678)+SUMIF(SYS_cliente!$P$5:$P$2500,A68,SYS_cliente!$S$5:$S$1678)&gt;=0,0,-(SUMIF(SYS_cliente!$F$5:$F$2500,A68,SYS_cliente!$I$5:$I$1678)+SUMIF(SYS_cliente!$K$5:$K$2500,A68,SYS_cliente!$N$5:$N$1678)+SUMIF(SYS_cliente!$P$5:$P$2500,A68,SYS_cliente!$S$5:$S$1678)))</f>
        <v>0</v>
      </c>
      <c r="G68" s="1316">
        <f>+SUMIF(asientos!$C$13:$C$1276,SYS_4_3_Digitos!A68,asientos!$B$13:$B$1276)</f>
        <v>0</v>
      </c>
      <c r="H68" s="1317">
        <f>+SUMIF(asientos!$I$13:$I$1276,SYS_4_3_Digitos!A68,asientos!$J$13:$J$1276)</f>
        <v>0</v>
      </c>
      <c r="I68" s="1314">
        <f t="shared" ca="1" si="0"/>
        <v>0</v>
      </c>
      <c r="J68" s="1315">
        <f t="shared" ca="1" si="1"/>
        <v>0</v>
      </c>
      <c r="L68" s="1308">
        <f t="shared" si="2"/>
        <v>201000000</v>
      </c>
      <c r="M68" s="1296" t="str">
        <f t="shared" si="3"/>
        <v>2010</v>
      </c>
      <c r="N68" s="1309">
        <f t="shared" ca="1" si="4"/>
        <v>0</v>
      </c>
      <c r="O68" s="1296" t="str">
        <f t="shared" si="5"/>
        <v>20</v>
      </c>
    </row>
    <row r="69" spans="1:15" s="1296" customFormat="1">
      <c r="A69" s="1310">
        <v>202</v>
      </c>
      <c r="B69" s="1311" t="s">
        <v>342</v>
      </c>
      <c r="C69" s="1312">
        <v>20800</v>
      </c>
      <c r="D69" s="1313">
        <v>0</v>
      </c>
      <c r="E69" s="1314">
        <f>IF(+SUMIF(SYS_cliente!$F$5:$F$2500,A69,SYS_cliente!$I$5:$I$2500)+SUMIF(SYS_cliente!$K$5:$K$2500,A69,SYS_cliente!$N$5:$N$2500)+SUMIF(SYS_cliente!$P$5:$P$2500,A69,SYS_cliente!$S$5:$S$2500)&lt;0,0,+SUMIF(SYS_cliente!$F$5:$F$2500,A69,SYS_cliente!$I$5:$I$2500)+SUMIF(SYS_cliente!$K$5:$K$2500,A69,SYS_cliente!$N$5:$N$2500)+SUMIF(SYS_cliente!$P$5:$P$2500,A69,SYS_cliente!$S$5:$S$2500))</f>
        <v>20800</v>
      </c>
      <c r="F69" s="1315">
        <f ca="1">IF(+SUMIF(SYS_cliente!$F$5:$F$2500,A69,SYS_cliente!$I$5:$I$1678)+SUMIF(SYS_cliente!$K$5:$K$2500,A69,SYS_cliente!$N$5:$N$1678)+SUMIF(SYS_cliente!$P$5:$P$2500,A69,SYS_cliente!$S$5:$S$1678)&gt;=0,0,-(SUMIF(SYS_cliente!$F$5:$F$2500,A69,SYS_cliente!$I$5:$I$1678)+SUMIF(SYS_cliente!$K$5:$K$2500,A69,SYS_cliente!$N$5:$N$1678)+SUMIF(SYS_cliente!$P$5:$P$2500,A69,SYS_cliente!$S$5:$S$1678)))</f>
        <v>0</v>
      </c>
      <c r="G69" s="1316">
        <f>+SUMIF(asientos!$C$13:$C$1276,SYS_4_3_Digitos!A69,asientos!$B$13:$B$1276)</f>
        <v>0</v>
      </c>
      <c r="H69" s="1317">
        <f>+SUMIF(asientos!$I$13:$I$1276,SYS_4_3_Digitos!A69,asientos!$J$13:$J$1276)</f>
        <v>0</v>
      </c>
      <c r="I69" s="1314">
        <f t="shared" ca="1" si="0"/>
        <v>20800</v>
      </c>
      <c r="J69" s="1315">
        <f t="shared" ca="1" si="1"/>
        <v>0</v>
      </c>
      <c r="L69" s="1308">
        <f t="shared" si="2"/>
        <v>202000000</v>
      </c>
      <c r="M69" s="1296" t="str">
        <f t="shared" si="3"/>
        <v>2020</v>
      </c>
      <c r="N69" s="1309">
        <f t="shared" ca="1" si="4"/>
        <v>20800</v>
      </c>
      <c r="O69" s="1296" t="str">
        <f t="shared" si="5"/>
        <v>20</v>
      </c>
    </row>
    <row r="70" spans="1:15" s="1296" customFormat="1">
      <c r="A70" s="1310">
        <v>203</v>
      </c>
      <c r="B70" s="1311" t="s">
        <v>343</v>
      </c>
      <c r="C70" s="1312">
        <v>0</v>
      </c>
      <c r="D70" s="1313">
        <v>0</v>
      </c>
      <c r="E70" s="1314">
        <f>IF(+SUMIF(SYS_cliente!$F$5:$F$2500,A70,SYS_cliente!$I$5:$I$2500)+SUMIF(SYS_cliente!$K$5:$K$2500,A70,SYS_cliente!$N$5:$N$2500)+SUMIF(SYS_cliente!$P$5:$P$2500,A70,SYS_cliente!$S$5:$S$2500)&lt;0,0,+SUMIF(SYS_cliente!$F$5:$F$2500,A70,SYS_cliente!$I$5:$I$2500)+SUMIF(SYS_cliente!$K$5:$K$2500,A70,SYS_cliente!$N$5:$N$2500)+SUMIF(SYS_cliente!$P$5:$P$2500,A70,SYS_cliente!$S$5:$S$2500))</f>
        <v>0</v>
      </c>
      <c r="F70" s="1315">
        <f ca="1">IF(+SUMIF(SYS_cliente!$F$5:$F$2500,A70,SYS_cliente!$I$5:$I$1678)+SUMIF(SYS_cliente!$K$5:$K$2500,A70,SYS_cliente!$N$5:$N$1678)+SUMIF(SYS_cliente!$P$5:$P$2500,A70,SYS_cliente!$S$5:$S$1678)&gt;=0,0,-(SUMIF(SYS_cliente!$F$5:$F$2500,A70,SYS_cliente!$I$5:$I$1678)+SUMIF(SYS_cliente!$K$5:$K$2500,A70,SYS_cliente!$N$5:$N$1678)+SUMIF(SYS_cliente!$P$5:$P$2500,A70,SYS_cliente!$S$5:$S$1678)))</f>
        <v>0</v>
      </c>
      <c r="G70" s="1316">
        <f>+SUMIF(asientos!$C$13:$C$1276,SYS_4_3_Digitos!A70,asientos!$B$13:$B$1276)</f>
        <v>0</v>
      </c>
      <c r="H70" s="1317">
        <f>+SUMIF(asientos!$I$13:$I$1276,SYS_4_3_Digitos!A70,asientos!$J$13:$J$1276)</f>
        <v>0</v>
      </c>
      <c r="I70" s="1314">
        <f t="shared" ca="1" si="0"/>
        <v>0</v>
      </c>
      <c r="J70" s="1315">
        <f t="shared" ca="1" si="1"/>
        <v>0</v>
      </c>
      <c r="L70" s="1308">
        <f t="shared" si="2"/>
        <v>203000000</v>
      </c>
      <c r="M70" s="1296" t="str">
        <f t="shared" si="3"/>
        <v>2030</v>
      </c>
      <c r="N70" s="1309">
        <f t="shared" ca="1" si="4"/>
        <v>0</v>
      </c>
      <c r="O70" s="1296" t="str">
        <f t="shared" si="5"/>
        <v>20</v>
      </c>
    </row>
    <row r="71" spans="1:15" s="1296" customFormat="1">
      <c r="A71" s="1310">
        <v>204</v>
      </c>
      <c r="B71" s="1311" t="s">
        <v>344</v>
      </c>
      <c r="C71" s="1312">
        <v>0</v>
      </c>
      <c r="D71" s="1313">
        <v>0</v>
      </c>
      <c r="E71" s="1314">
        <f>IF(+SUMIF(SYS_cliente!$F$5:$F$2500,A71,SYS_cliente!$I$5:$I$2500)+SUMIF(SYS_cliente!$K$5:$K$2500,A71,SYS_cliente!$N$5:$N$2500)+SUMIF(SYS_cliente!$P$5:$P$2500,A71,SYS_cliente!$S$5:$S$2500)&lt;0,0,+SUMIF(SYS_cliente!$F$5:$F$2500,A71,SYS_cliente!$I$5:$I$2500)+SUMIF(SYS_cliente!$K$5:$K$2500,A71,SYS_cliente!$N$5:$N$2500)+SUMIF(SYS_cliente!$P$5:$P$2500,A71,SYS_cliente!$S$5:$S$2500))</f>
        <v>0</v>
      </c>
      <c r="F71" s="1315">
        <f ca="1">IF(+SUMIF(SYS_cliente!$F$5:$F$2500,A71,SYS_cliente!$I$5:$I$1678)+SUMIF(SYS_cliente!$K$5:$K$2500,A71,SYS_cliente!$N$5:$N$1678)+SUMIF(SYS_cliente!$P$5:$P$2500,A71,SYS_cliente!$S$5:$S$1678)&gt;=0,0,-(SUMIF(SYS_cliente!$F$5:$F$2500,A71,SYS_cliente!$I$5:$I$1678)+SUMIF(SYS_cliente!$K$5:$K$2500,A71,SYS_cliente!$N$5:$N$1678)+SUMIF(SYS_cliente!$P$5:$P$2500,A71,SYS_cliente!$S$5:$S$1678)))</f>
        <v>0</v>
      </c>
      <c r="G71" s="1316">
        <f>+SUMIF(asientos!$C$13:$C$1276,SYS_4_3_Digitos!A71,asientos!$B$13:$B$1276)</f>
        <v>0</v>
      </c>
      <c r="H71" s="1317">
        <f>+SUMIF(asientos!$I$13:$I$1276,SYS_4_3_Digitos!A71,asientos!$J$13:$J$1276)</f>
        <v>0</v>
      </c>
      <c r="I71" s="1314">
        <f t="shared" ca="1" si="0"/>
        <v>0</v>
      </c>
      <c r="J71" s="1315">
        <f t="shared" ca="1" si="1"/>
        <v>0</v>
      </c>
      <c r="L71" s="1308">
        <f t="shared" si="2"/>
        <v>204000000</v>
      </c>
      <c r="M71" s="1296" t="str">
        <f t="shared" si="3"/>
        <v>2040</v>
      </c>
      <c r="N71" s="1309">
        <f t="shared" ca="1" si="4"/>
        <v>0</v>
      </c>
      <c r="O71" s="1296" t="str">
        <f t="shared" si="5"/>
        <v>20</v>
      </c>
    </row>
    <row r="72" spans="1:15" s="1296" customFormat="1">
      <c r="A72" s="1310">
        <v>205</v>
      </c>
      <c r="B72" s="1311" t="s">
        <v>345</v>
      </c>
      <c r="C72" s="1312">
        <v>0</v>
      </c>
      <c r="D72" s="1313">
        <v>0</v>
      </c>
      <c r="E72" s="1314">
        <f>IF(+SUMIF(SYS_cliente!$F$5:$F$2500,A72,SYS_cliente!$I$5:$I$2500)+SUMIF(SYS_cliente!$K$5:$K$2500,A72,SYS_cliente!$N$5:$N$2500)+SUMIF(SYS_cliente!$P$5:$P$2500,A72,SYS_cliente!$S$5:$S$2500)&lt;0,0,+SUMIF(SYS_cliente!$F$5:$F$2500,A72,SYS_cliente!$I$5:$I$2500)+SUMIF(SYS_cliente!$K$5:$K$2500,A72,SYS_cliente!$N$5:$N$2500)+SUMIF(SYS_cliente!$P$5:$P$2500,A72,SYS_cliente!$S$5:$S$2500))</f>
        <v>0</v>
      </c>
      <c r="F72" s="1315">
        <f ca="1">IF(+SUMIF(SYS_cliente!$F$5:$F$2500,A72,SYS_cliente!$I$5:$I$1678)+SUMIF(SYS_cliente!$K$5:$K$2500,A72,SYS_cliente!$N$5:$N$1678)+SUMIF(SYS_cliente!$P$5:$P$2500,A72,SYS_cliente!$S$5:$S$1678)&gt;=0,0,-(SUMIF(SYS_cliente!$F$5:$F$2500,A72,SYS_cliente!$I$5:$I$1678)+SUMIF(SYS_cliente!$K$5:$K$2500,A72,SYS_cliente!$N$5:$N$1678)+SUMIF(SYS_cliente!$P$5:$P$2500,A72,SYS_cliente!$S$5:$S$1678)))</f>
        <v>0</v>
      </c>
      <c r="G72" s="1316">
        <f>+SUMIF(asientos!$C$13:$C$1276,SYS_4_3_Digitos!A72,asientos!$B$13:$B$1276)</f>
        <v>0</v>
      </c>
      <c r="H72" s="1317">
        <f>+SUMIF(asientos!$I$13:$I$1276,SYS_4_3_Digitos!A72,asientos!$J$13:$J$1276)</f>
        <v>0</v>
      </c>
      <c r="I72" s="1314">
        <f t="shared" ca="1" si="0"/>
        <v>0</v>
      </c>
      <c r="J72" s="1315">
        <f t="shared" ca="1" si="1"/>
        <v>0</v>
      </c>
      <c r="L72" s="1308">
        <f t="shared" si="2"/>
        <v>205000000</v>
      </c>
      <c r="M72" s="1296" t="str">
        <f t="shared" si="3"/>
        <v>2050</v>
      </c>
      <c r="N72" s="1309">
        <f t="shared" ca="1" si="4"/>
        <v>0</v>
      </c>
      <c r="O72" s="1296" t="str">
        <f t="shared" si="5"/>
        <v>20</v>
      </c>
    </row>
    <row r="73" spans="1:15" s="1296" customFormat="1">
      <c r="A73" s="1310">
        <v>206</v>
      </c>
      <c r="B73" s="1311" t="s">
        <v>346</v>
      </c>
      <c r="C73" s="1312">
        <v>120967.7</v>
      </c>
      <c r="D73" s="1313">
        <v>0</v>
      </c>
      <c r="E73" s="1314">
        <f>IF(+SUMIF(SYS_cliente!$F$5:$F$2500,A73,SYS_cliente!$I$5:$I$2500)+SUMIF(SYS_cliente!$K$5:$K$2500,A73,SYS_cliente!$N$5:$N$2500)+SUMIF(SYS_cliente!$P$5:$P$2500,A73,SYS_cliente!$S$5:$S$2500)&lt;0,0,+SUMIF(SYS_cliente!$F$5:$F$2500,A73,SYS_cliente!$I$5:$I$2500)+SUMIF(SYS_cliente!$K$5:$K$2500,A73,SYS_cliente!$N$5:$N$2500)+SUMIF(SYS_cliente!$P$5:$P$2500,A73,SYS_cliente!$S$5:$S$2500))</f>
        <v>120967.7</v>
      </c>
      <c r="F73" s="1315">
        <f ca="1">IF(+SUMIF(SYS_cliente!$F$5:$F$2500,A73,SYS_cliente!$I$5:$I$1678)+SUMIF(SYS_cliente!$K$5:$K$2500,A73,SYS_cliente!$N$5:$N$1678)+SUMIF(SYS_cliente!$P$5:$P$2500,A73,SYS_cliente!$S$5:$S$1678)&gt;=0,0,-(SUMIF(SYS_cliente!$F$5:$F$2500,A73,SYS_cliente!$I$5:$I$1678)+SUMIF(SYS_cliente!$K$5:$K$2500,A73,SYS_cliente!$N$5:$N$1678)+SUMIF(SYS_cliente!$P$5:$P$2500,A73,SYS_cliente!$S$5:$S$1678)))</f>
        <v>0</v>
      </c>
      <c r="G73" s="1316">
        <f>+SUMIF(asientos!$C$13:$C$1276,SYS_4_3_Digitos!A73,asientos!$B$13:$B$1276)</f>
        <v>0</v>
      </c>
      <c r="H73" s="1317">
        <f>+SUMIF(asientos!$I$13:$I$1276,SYS_4_3_Digitos!A73,asientos!$J$13:$J$1276)</f>
        <v>0</v>
      </c>
      <c r="I73" s="1314">
        <f t="shared" ca="1" si="0"/>
        <v>120967.7</v>
      </c>
      <c r="J73" s="1315">
        <f t="shared" ca="1" si="1"/>
        <v>0</v>
      </c>
      <c r="L73" s="1308">
        <f t="shared" si="2"/>
        <v>206000000</v>
      </c>
      <c r="M73" s="1296" t="str">
        <f t="shared" si="3"/>
        <v>2060</v>
      </c>
      <c r="N73" s="1309">
        <f t="shared" ca="1" si="4"/>
        <v>120967.7</v>
      </c>
      <c r="O73" s="1296" t="str">
        <f t="shared" si="5"/>
        <v>20</v>
      </c>
    </row>
    <row r="74" spans="1:15" s="1296" customFormat="1">
      <c r="A74" s="1310">
        <v>209</v>
      </c>
      <c r="B74" s="1311" t="s">
        <v>347</v>
      </c>
      <c r="C74" s="1312">
        <v>0</v>
      </c>
      <c r="D74" s="1313">
        <v>0</v>
      </c>
      <c r="E74" s="1314">
        <f>IF(+SUMIF(SYS_cliente!$F$5:$F$2500,A74,SYS_cliente!$I$5:$I$2500)+SUMIF(SYS_cliente!$K$5:$K$2500,A74,SYS_cliente!$N$5:$N$2500)+SUMIF(SYS_cliente!$P$5:$P$2500,A74,SYS_cliente!$S$5:$S$2500)&lt;0,0,+SUMIF(SYS_cliente!$F$5:$F$2500,A74,SYS_cliente!$I$5:$I$2500)+SUMIF(SYS_cliente!$K$5:$K$2500,A74,SYS_cliente!$N$5:$N$2500)+SUMIF(SYS_cliente!$P$5:$P$2500,A74,SYS_cliente!$S$5:$S$2500))</f>
        <v>0</v>
      </c>
      <c r="F74" s="1315">
        <f ca="1">IF(+SUMIF(SYS_cliente!$F$5:$F$2500,A74,SYS_cliente!$I$5:$I$1678)+SUMIF(SYS_cliente!$K$5:$K$2500,A74,SYS_cliente!$N$5:$N$1678)+SUMIF(SYS_cliente!$P$5:$P$2500,A74,SYS_cliente!$S$5:$S$1678)&gt;=0,0,-(SUMIF(SYS_cliente!$F$5:$F$2500,A74,SYS_cliente!$I$5:$I$1678)+SUMIF(SYS_cliente!$K$5:$K$2500,A74,SYS_cliente!$N$5:$N$1678)+SUMIF(SYS_cliente!$P$5:$P$2500,A74,SYS_cliente!$S$5:$S$1678)))</f>
        <v>0</v>
      </c>
      <c r="G74" s="1316">
        <f>+SUMIF(asientos!$C$13:$C$1276,SYS_4_3_Digitos!A74,asientos!$B$13:$B$1276)</f>
        <v>0</v>
      </c>
      <c r="H74" s="1317">
        <f>+SUMIF(asientos!$I$13:$I$1276,SYS_4_3_Digitos!A74,asientos!$J$13:$J$1276)</f>
        <v>0</v>
      </c>
      <c r="I74" s="1314">
        <f t="shared" ref="I74:I146" ca="1" si="12">IF((E74+G74-F74-H74)&gt;0,E74+G74-F74-H74,0)</f>
        <v>0</v>
      </c>
      <c r="J74" s="1315">
        <f t="shared" ref="J74:J146" ca="1" si="13">IF((F74+H74-E74-G74)&gt;0,F74+H74-E74-G74,0)</f>
        <v>0</v>
      </c>
      <c r="L74" s="1308">
        <f t="shared" ref="L74:L146" si="14">+A74*1000000</f>
        <v>209000000</v>
      </c>
      <c r="M74" s="1296" t="str">
        <f t="shared" ref="M74:M146" si="15">+LEFT(L74,4)</f>
        <v>2090</v>
      </c>
      <c r="N74" s="1309">
        <f t="shared" ref="N74:N146" ca="1" si="16">+I74-J74</f>
        <v>0</v>
      </c>
      <c r="O74" s="1296" t="str">
        <f t="shared" ref="O74:O146" si="17">+LEFT(M74,2)</f>
        <v>20</v>
      </c>
    </row>
    <row r="75" spans="1:15" s="1296" customFormat="1">
      <c r="A75" s="1310">
        <v>210</v>
      </c>
      <c r="B75" s="1311" t="s">
        <v>348</v>
      </c>
      <c r="C75" s="1312">
        <v>1215419.22</v>
      </c>
      <c r="D75" s="1313">
        <v>0</v>
      </c>
      <c r="E75" s="1314">
        <f>IF(+SUMIF(SYS_cliente!$F$5:$F$2500,A75,SYS_cliente!$I$5:$I$2500)+SUMIF(SYS_cliente!$K$5:$K$2500,A75,SYS_cliente!$N$5:$N$2500)+SUMIF(SYS_cliente!$P$5:$P$2500,A75,SYS_cliente!$S$5:$S$2500)&lt;0,0,+SUMIF(SYS_cliente!$F$5:$F$2500,A75,SYS_cliente!$I$5:$I$2500)+SUMIF(SYS_cliente!$K$5:$K$2500,A75,SYS_cliente!$N$5:$N$2500)+SUMIF(SYS_cliente!$P$5:$P$2500,A75,SYS_cliente!$S$5:$S$2500))</f>
        <v>1217233.03</v>
      </c>
      <c r="F75" s="1315">
        <f ca="1">IF(+SUMIF(SYS_cliente!$F$5:$F$2500,A75,SYS_cliente!$I$5:$I$1678)+SUMIF(SYS_cliente!$K$5:$K$2500,A75,SYS_cliente!$N$5:$N$1678)+SUMIF(SYS_cliente!$P$5:$P$2500,A75,SYS_cliente!$S$5:$S$1678)&gt;=0,0,-(SUMIF(SYS_cliente!$F$5:$F$2500,A75,SYS_cliente!$I$5:$I$1678)+SUMIF(SYS_cliente!$K$5:$K$2500,A75,SYS_cliente!$N$5:$N$1678)+SUMIF(SYS_cliente!$P$5:$P$2500,A75,SYS_cliente!$S$5:$S$1678)))</f>
        <v>0</v>
      </c>
      <c r="G75" s="1316">
        <f>+SUMIF(asientos!$C$13:$C$1276,SYS_4_3_Digitos!A75,asientos!$B$13:$B$1276)</f>
        <v>0</v>
      </c>
      <c r="H75" s="1317">
        <f>+SUMIF(asientos!$I$13:$I$1276,SYS_4_3_Digitos!A75,asientos!$J$13:$J$1276)</f>
        <v>0</v>
      </c>
      <c r="I75" s="1314">
        <f t="shared" ca="1" si="12"/>
        <v>1217233.03</v>
      </c>
      <c r="J75" s="1315">
        <f t="shared" ca="1" si="13"/>
        <v>0</v>
      </c>
      <c r="L75" s="1308">
        <f t="shared" si="14"/>
        <v>210000000</v>
      </c>
      <c r="M75" s="1296" t="str">
        <f t="shared" si="15"/>
        <v>2100</v>
      </c>
      <c r="N75" s="1309">
        <f t="shared" ca="1" si="16"/>
        <v>1217233.03</v>
      </c>
      <c r="O75" s="1296" t="str">
        <f t="shared" si="17"/>
        <v>21</v>
      </c>
    </row>
    <row r="76" spans="1:15" s="1296" customFormat="1">
      <c r="A76" s="1310">
        <v>211</v>
      </c>
      <c r="B76" s="1311" t="s">
        <v>349</v>
      </c>
      <c r="C76" s="1312">
        <v>4890742.3</v>
      </c>
      <c r="D76" s="1313">
        <v>0</v>
      </c>
      <c r="E76" s="1314">
        <f>IF(+SUMIF(SYS_cliente!$F$5:$F$2500,A76,SYS_cliente!$I$5:$I$2500)+SUMIF(SYS_cliente!$K$5:$K$2500,A76,SYS_cliente!$N$5:$N$2500)+SUMIF(SYS_cliente!$P$5:$P$2500,A76,SYS_cliente!$S$5:$S$2500)&lt;0,0,+SUMIF(SYS_cliente!$F$5:$F$2500,A76,SYS_cliente!$I$5:$I$2500)+SUMIF(SYS_cliente!$K$5:$K$2500,A76,SYS_cliente!$N$5:$N$2500)+SUMIF(SYS_cliente!$P$5:$P$2500,A76,SYS_cliente!$S$5:$S$2500))</f>
        <v>4905408.5199999996</v>
      </c>
      <c r="F76" s="1315">
        <f ca="1">IF(+SUMIF(SYS_cliente!$F$5:$F$2500,A76,SYS_cliente!$I$5:$I$1678)+SUMIF(SYS_cliente!$K$5:$K$2500,A76,SYS_cliente!$N$5:$N$1678)+SUMIF(SYS_cliente!$P$5:$P$2500,A76,SYS_cliente!$S$5:$S$1678)&gt;=0,0,-(SUMIF(SYS_cliente!$F$5:$F$2500,A76,SYS_cliente!$I$5:$I$1678)+SUMIF(SYS_cliente!$K$5:$K$2500,A76,SYS_cliente!$N$5:$N$1678)+SUMIF(SYS_cliente!$P$5:$P$2500,A76,SYS_cliente!$S$5:$S$1678)))</f>
        <v>0</v>
      </c>
      <c r="G76" s="1316">
        <f>+SUMIF(asientos!$C$13:$C$1276,SYS_4_3_Digitos!A76,asientos!$B$13:$B$1276)</f>
        <v>0</v>
      </c>
      <c r="H76" s="1317">
        <f>+SUMIF(asientos!$I$13:$I$1276,SYS_4_3_Digitos!A76,asientos!$J$13:$J$1276)</f>
        <v>0</v>
      </c>
      <c r="I76" s="1314">
        <f t="shared" ca="1" si="12"/>
        <v>4905408.5199999996</v>
      </c>
      <c r="J76" s="1315">
        <f t="shared" ca="1" si="13"/>
        <v>0</v>
      </c>
      <c r="L76" s="1308">
        <f t="shared" si="14"/>
        <v>211000000</v>
      </c>
      <c r="M76" s="1296" t="str">
        <f t="shared" si="15"/>
        <v>2110</v>
      </c>
      <c r="N76" s="1309">
        <f t="shared" ca="1" si="16"/>
        <v>4905408.5199999996</v>
      </c>
      <c r="O76" s="1296" t="str">
        <f t="shared" si="17"/>
        <v>21</v>
      </c>
    </row>
    <row r="77" spans="1:15" s="1296" customFormat="1">
      <c r="A77" s="1310">
        <v>212</v>
      </c>
      <c r="B77" s="1311" t="s">
        <v>350</v>
      </c>
      <c r="C77" s="1312">
        <v>19400570.43</v>
      </c>
      <c r="D77" s="1313">
        <v>0</v>
      </c>
      <c r="E77" s="1314">
        <f>IF(+SUMIF(SYS_cliente!$F$5:$F$2500,A77,SYS_cliente!$I$5:$I$2500)+SUMIF(SYS_cliente!$K$5:$K$2500,A77,SYS_cliente!$N$5:$N$2500)+SUMIF(SYS_cliente!$P$5:$P$2500,A77,SYS_cliente!$S$5:$S$2500)&lt;0,0,+SUMIF(SYS_cliente!$F$5:$F$2500,A77,SYS_cliente!$I$5:$I$2500)+SUMIF(SYS_cliente!$K$5:$K$2500,A77,SYS_cliente!$N$5:$N$2500)+SUMIF(SYS_cliente!$P$5:$P$2500,A77,SYS_cliente!$S$5:$S$2500))</f>
        <v>19677094.84</v>
      </c>
      <c r="F77" s="1315">
        <f ca="1">IF(+SUMIF(SYS_cliente!$F$5:$F$2500,A77,SYS_cliente!$I$5:$I$1678)+SUMIF(SYS_cliente!$K$5:$K$2500,A77,SYS_cliente!$N$5:$N$1678)+SUMIF(SYS_cliente!$P$5:$P$2500,A77,SYS_cliente!$S$5:$S$1678)&gt;=0,0,-(SUMIF(SYS_cliente!$F$5:$F$2500,A77,SYS_cliente!$I$5:$I$1678)+SUMIF(SYS_cliente!$K$5:$K$2500,A77,SYS_cliente!$N$5:$N$1678)+SUMIF(SYS_cliente!$P$5:$P$2500,A77,SYS_cliente!$S$5:$S$1678)))</f>
        <v>0</v>
      </c>
      <c r="G77" s="1316">
        <f>+SUMIF(asientos!$C$13:$C$1276,SYS_4_3_Digitos!A77,asientos!$B$13:$B$1276)</f>
        <v>0</v>
      </c>
      <c r="H77" s="1317">
        <f>+SUMIF(asientos!$I$13:$I$1276,SYS_4_3_Digitos!A77,asientos!$J$13:$J$1276)</f>
        <v>0</v>
      </c>
      <c r="I77" s="1314">
        <f t="shared" ca="1" si="12"/>
        <v>19677094.84</v>
      </c>
      <c r="J77" s="1315">
        <f t="shared" ca="1" si="13"/>
        <v>0</v>
      </c>
      <c r="L77" s="1308">
        <f t="shared" si="14"/>
        <v>212000000</v>
      </c>
      <c r="M77" s="1296" t="str">
        <f t="shared" si="15"/>
        <v>2120</v>
      </c>
      <c r="N77" s="1309">
        <f t="shared" ca="1" si="16"/>
        <v>19677094.84</v>
      </c>
      <c r="O77" s="1296" t="str">
        <f t="shared" si="17"/>
        <v>21</v>
      </c>
    </row>
    <row r="78" spans="1:15" s="1296" customFormat="1">
      <c r="A78" s="1310">
        <v>213</v>
      </c>
      <c r="B78" s="1311" t="s">
        <v>351</v>
      </c>
      <c r="C78" s="1312">
        <v>1035576.91</v>
      </c>
      <c r="D78" s="1313">
        <v>0</v>
      </c>
      <c r="E78" s="1314">
        <f>IF(+SUMIF(SYS_cliente!$F$5:$F$2500,A78,SYS_cliente!$I$5:$I$2500)+SUMIF(SYS_cliente!$K$5:$K$2500,A78,SYS_cliente!$N$5:$N$2500)+SUMIF(SYS_cliente!$P$5:$P$2500,A78,SYS_cliente!$S$5:$S$2500)&lt;0,0,+SUMIF(SYS_cliente!$F$5:$F$2500,A78,SYS_cliente!$I$5:$I$2500)+SUMIF(SYS_cliente!$K$5:$K$2500,A78,SYS_cliente!$N$5:$N$2500)+SUMIF(SYS_cliente!$P$5:$P$2500,A78,SYS_cliente!$S$5:$S$2500))</f>
        <v>1060116.9099999999</v>
      </c>
      <c r="F78" s="1315">
        <f ca="1">IF(+SUMIF(SYS_cliente!$F$5:$F$2500,A78,SYS_cliente!$I$5:$I$1678)+SUMIF(SYS_cliente!$K$5:$K$2500,A78,SYS_cliente!$N$5:$N$1678)+SUMIF(SYS_cliente!$P$5:$P$2500,A78,SYS_cliente!$S$5:$S$1678)&gt;=0,0,-(SUMIF(SYS_cliente!$F$5:$F$2500,A78,SYS_cliente!$I$5:$I$1678)+SUMIF(SYS_cliente!$K$5:$K$2500,A78,SYS_cliente!$N$5:$N$1678)+SUMIF(SYS_cliente!$P$5:$P$2500,A78,SYS_cliente!$S$5:$S$1678)))</f>
        <v>0</v>
      </c>
      <c r="G78" s="1316">
        <f>+SUMIF(asientos!$C$13:$C$1276,SYS_4_3_Digitos!A78,asientos!$B$13:$B$1276)</f>
        <v>0</v>
      </c>
      <c r="H78" s="1317">
        <f>+SUMIF(asientos!$I$13:$I$1276,SYS_4_3_Digitos!A78,asientos!$J$13:$J$1276)</f>
        <v>0</v>
      </c>
      <c r="I78" s="1314">
        <f t="shared" ca="1" si="12"/>
        <v>1060116.9099999999</v>
      </c>
      <c r="J78" s="1315">
        <f t="shared" ca="1" si="13"/>
        <v>0</v>
      </c>
      <c r="L78" s="1308">
        <f t="shared" si="14"/>
        <v>213000000</v>
      </c>
      <c r="M78" s="1296" t="str">
        <f t="shared" si="15"/>
        <v>2130</v>
      </c>
      <c r="N78" s="1309">
        <f t="shared" ca="1" si="16"/>
        <v>1060116.9099999999</v>
      </c>
      <c r="O78" s="1296" t="str">
        <f t="shared" si="17"/>
        <v>21</v>
      </c>
    </row>
    <row r="79" spans="1:15" s="1296" customFormat="1">
      <c r="A79" s="1310">
        <v>214</v>
      </c>
      <c r="B79" s="1311" t="s">
        <v>352</v>
      </c>
      <c r="C79" s="1312">
        <v>10306.1</v>
      </c>
      <c r="D79" s="1313">
        <v>0</v>
      </c>
      <c r="E79" s="1314">
        <f>IF(+SUMIF(SYS_cliente!$F$5:$F$2500,A79,SYS_cliente!$I$5:$I$2500)+SUMIF(SYS_cliente!$K$5:$K$2500,A79,SYS_cliente!$N$5:$N$2500)+SUMIF(SYS_cliente!$P$5:$P$2500,A79,SYS_cliente!$S$5:$S$2500)&lt;0,0,+SUMIF(SYS_cliente!$F$5:$F$2500,A79,SYS_cliente!$I$5:$I$2500)+SUMIF(SYS_cliente!$K$5:$K$2500,A79,SYS_cliente!$N$5:$N$2500)+SUMIF(SYS_cliente!$P$5:$P$2500,A79,SYS_cliente!$S$5:$S$2500))</f>
        <v>10306.1</v>
      </c>
      <c r="F79" s="1315">
        <f ca="1">IF(+SUMIF(SYS_cliente!$F$5:$F$2500,A79,SYS_cliente!$I$5:$I$1678)+SUMIF(SYS_cliente!$K$5:$K$2500,A79,SYS_cliente!$N$5:$N$1678)+SUMIF(SYS_cliente!$P$5:$P$2500,A79,SYS_cliente!$S$5:$S$1678)&gt;=0,0,-(SUMIF(SYS_cliente!$F$5:$F$2500,A79,SYS_cliente!$I$5:$I$1678)+SUMIF(SYS_cliente!$K$5:$K$2500,A79,SYS_cliente!$N$5:$N$1678)+SUMIF(SYS_cliente!$P$5:$P$2500,A79,SYS_cliente!$S$5:$S$1678)))</f>
        <v>0</v>
      </c>
      <c r="G79" s="1316">
        <f>+SUMIF(asientos!$C$13:$C$1276,SYS_4_3_Digitos!A79,asientos!$B$13:$B$1276)</f>
        <v>0</v>
      </c>
      <c r="H79" s="1317">
        <f>+SUMIF(asientos!$I$13:$I$1276,SYS_4_3_Digitos!A79,asientos!$J$13:$J$1276)</f>
        <v>0</v>
      </c>
      <c r="I79" s="1314">
        <f t="shared" ca="1" si="12"/>
        <v>10306.1</v>
      </c>
      <c r="J79" s="1315">
        <f t="shared" ca="1" si="13"/>
        <v>0</v>
      </c>
      <c r="L79" s="1308">
        <f t="shared" si="14"/>
        <v>214000000</v>
      </c>
      <c r="M79" s="1296" t="str">
        <f t="shared" si="15"/>
        <v>2140</v>
      </c>
      <c r="N79" s="1309">
        <f t="shared" ca="1" si="16"/>
        <v>10306.1</v>
      </c>
      <c r="O79" s="1296" t="str">
        <f t="shared" si="17"/>
        <v>21</v>
      </c>
    </row>
    <row r="80" spans="1:15" s="1296" customFormat="1">
      <c r="A80" s="1310">
        <v>215</v>
      </c>
      <c r="B80" s="1311" t="s">
        <v>353</v>
      </c>
      <c r="C80" s="1312">
        <v>1099223.83</v>
      </c>
      <c r="D80" s="1313">
        <v>0</v>
      </c>
      <c r="E80" s="1314">
        <f>IF(+SUMIF(SYS_cliente!$F$5:$F$2500,A80,SYS_cliente!$I$5:$I$2500)+SUMIF(SYS_cliente!$K$5:$K$2500,A80,SYS_cliente!$N$5:$N$2500)+SUMIF(SYS_cliente!$P$5:$P$2500,A80,SYS_cliente!$S$5:$S$2500)&lt;0,0,+SUMIF(SYS_cliente!$F$5:$F$2500,A80,SYS_cliente!$I$5:$I$2500)+SUMIF(SYS_cliente!$K$5:$K$2500,A80,SYS_cliente!$N$5:$N$2500)+SUMIF(SYS_cliente!$P$5:$P$2500,A80,SYS_cliente!$S$5:$S$2500))</f>
        <v>1162570.3500000001</v>
      </c>
      <c r="F80" s="1315">
        <f ca="1">IF(+SUMIF(SYS_cliente!$F$5:$F$2500,A80,SYS_cliente!$I$5:$I$1678)+SUMIF(SYS_cliente!$K$5:$K$2500,A80,SYS_cliente!$N$5:$N$1678)+SUMIF(SYS_cliente!$P$5:$P$2500,A80,SYS_cliente!$S$5:$S$1678)&gt;=0,0,-(SUMIF(SYS_cliente!$F$5:$F$2500,A80,SYS_cliente!$I$5:$I$1678)+SUMIF(SYS_cliente!$K$5:$K$2500,A80,SYS_cliente!$N$5:$N$1678)+SUMIF(SYS_cliente!$P$5:$P$2500,A80,SYS_cliente!$S$5:$S$1678)))</f>
        <v>0</v>
      </c>
      <c r="G80" s="1316">
        <f>+SUMIF(asientos!$C$13:$C$1276,SYS_4_3_Digitos!A80,asientos!$B$13:$B$1276)</f>
        <v>0</v>
      </c>
      <c r="H80" s="1317">
        <f>+SUMIF(asientos!$I$13:$I$1276,SYS_4_3_Digitos!A80,asientos!$J$13:$J$1276)</f>
        <v>0</v>
      </c>
      <c r="I80" s="1314">
        <f t="shared" ca="1" si="12"/>
        <v>1162570.3500000001</v>
      </c>
      <c r="J80" s="1315">
        <f t="shared" ca="1" si="13"/>
        <v>0</v>
      </c>
      <c r="L80" s="1308">
        <f t="shared" si="14"/>
        <v>215000000</v>
      </c>
      <c r="M80" s="1296" t="str">
        <f t="shared" si="15"/>
        <v>2150</v>
      </c>
      <c r="N80" s="1309">
        <f t="shared" ca="1" si="16"/>
        <v>1162570.3500000001</v>
      </c>
      <c r="O80" s="1296" t="str">
        <f t="shared" si="17"/>
        <v>21</v>
      </c>
    </row>
    <row r="81" spans="1:15" s="1296" customFormat="1">
      <c r="A81" s="1310">
        <v>216</v>
      </c>
      <c r="B81" s="1311" t="s">
        <v>354</v>
      </c>
      <c r="C81" s="1312">
        <v>431758.79</v>
      </c>
      <c r="D81" s="1313">
        <v>0</v>
      </c>
      <c r="E81" s="1314">
        <f>IF(+SUMIF(SYS_cliente!$F$5:$F$2500,A81,SYS_cliente!$I$5:$I$2500)+SUMIF(SYS_cliente!$K$5:$K$2500,A81,SYS_cliente!$N$5:$N$2500)+SUMIF(SYS_cliente!$P$5:$P$2500,A81,SYS_cliente!$S$5:$S$2500)&lt;0,0,+SUMIF(SYS_cliente!$F$5:$F$2500,A81,SYS_cliente!$I$5:$I$2500)+SUMIF(SYS_cliente!$K$5:$K$2500,A81,SYS_cliente!$N$5:$N$2500)+SUMIF(SYS_cliente!$P$5:$P$2500,A81,SYS_cliente!$S$5:$S$2500))</f>
        <v>454455.79</v>
      </c>
      <c r="F81" s="1315">
        <f ca="1">IF(+SUMIF(SYS_cliente!$F$5:$F$2500,A81,SYS_cliente!$I$5:$I$1678)+SUMIF(SYS_cliente!$K$5:$K$2500,A81,SYS_cliente!$N$5:$N$1678)+SUMIF(SYS_cliente!$P$5:$P$2500,A81,SYS_cliente!$S$5:$S$1678)&gt;=0,0,-(SUMIF(SYS_cliente!$F$5:$F$2500,A81,SYS_cliente!$I$5:$I$1678)+SUMIF(SYS_cliente!$K$5:$K$2500,A81,SYS_cliente!$N$5:$N$1678)+SUMIF(SYS_cliente!$P$5:$P$2500,A81,SYS_cliente!$S$5:$S$1678)))</f>
        <v>0</v>
      </c>
      <c r="G81" s="1316">
        <f>+SUMIF(asientos!$C$13:$C$1276,SYS_4_3_Digitos!A81,asientos!$B$13:$B$1276)</f>
        <v>0</v>
      </c>
      <c r="H81" s="1317">
        <f>+SUMIF(asientos!$I$13:$I$1276,SYS_4_3_Digitos!A81,asientos!$J$13:$J$1276)</f>
        <v>0</v>
      </c>
      <c r="I81" s="1314">
        <f t="shared" ca="1" si="12"/>
        <v>454455.79</v>
      </c>
      <c r="J81" s="1315">
        <f t="shared" ca="1" si="13"/>
        <v>0</v>
      </c>
      <c r="L81" s="1308">
        <f t="shared" si="14"/>
        <v>216000000</v>
      </c>
      <c r="M81" s="1296" t="str">
        <f t="shared" si="15"/>
        <v>2160</v>
      </c>
      <c r="N81" s="1309">
        <f t="shared" ca="1" si="16"/>
        <v>454455.79</v>
      </c>
      <c r="O81" s="1296" t="str">
        <f t="shared" si="17"/>
        <v>21</v>
      </c>
    </row>
    <row r="82" spans="1:15" s="1296" customFormat="1">
      <c r="A82" s="1310">
        <v>217</v>
      </c>
      <c r="B82" s="1311" t="s">
        <v>355</v>
      </c>
      <c r="C82" s="1312">
        <v>53303.6</v>
      </c>
      <c r="D82" s="1313">
        <v>0</v>
      </c>
      <c r="E82" s="1314">
        <f>IF(+SUMIF(SYS_cliente!$F$5:$F$2500,A82,SYS_cliente!$I$5:$I$2500)+SUMIF(SYS_cliente!$K$5:$K$2500,A82,SYS_cliente!$N$5:$N$2500)+SUMIF(SYS_cliente!$P$5:$P$2500,A82,SYS_cliente!$S$5:$S$2500)&lt;0,0,+SUMIF(SYS_cliente!$F$5:$F$2500,A82,SYS_cliente!$I$5:$I$2500)+SUMIF(SYS_cliente!$K$5:$K$2500,A82,SYS_cliente!$N$5:$N$2500)+SUMIF(SYS_cliente!$P$5:$P$2500,A82,SYS_cliente!$S$5:$S$2500))</f>
        <v>53303.6</v>
      </c>
      <c r="F82" s="1315">
        <f ca="1">IF(+SUMIF(SYS_cliente!$F$5:$F$2500,A82,SYS_cliente!$I$5:$I$1678)+SUMIF(SYS_cliente!$K$5:$K$2500,A82,SYS_cliente!$N$5:$N$1678)+SUMIF(SYS_cliente!$P$5:$P$2500,A82,SYS_cliente!$S$5:$S$1678)&gt;=0,0,-(SUMIF(SYS_cliente!$F$5:$F$2500,A82,SYS_cliente!$I$5:$I$1678)+SUMIF(SYS_cliente!$K$5:$K$2500,A82,SYS_cliente!$N$5:$N$1678)+SUMIF(SYS_cliente!$P$5:$P$2500,A82,SYS_cliente!$S$5:$S$1678)))</f>
        <v>0</v>
      </c>
      <c r="G82" s="1316">
        <f>+SUMIF(asientos!$C$13:$C$1276,SYS_4_3_Digitos!A82,asientos!$B$13:$B$1276)</f>
        <v>0</v>
      </c>
      <c r="H82" s="1317">
        <f>+SUMIF(asientos!$I$13:$I$1276,SYS_4_3_Digitos!A82,asientos!$J$13:$J$1276)</f>
        <v>0</v>
      </c>
      <c r="I82" s="1314">
        <f t="shared" ca="1" si="12"/>
        <v>53303.6</v>
      </c>
      <c r="J82" s="1315">
        <f t="shared" ca="1" si="13"/>
        <v>0</v>
      </c>
      <c r="L82" s="1308">
        <f t="shared" si="14"/>
        <v>217000000</v>
      </c>
      <c r="M82" s="1296" t="str">
        <f t="shared" si="15"/>
        <v>2170</v>
      </c>
      <c r="N82" s="1309">
        <f t="shared" ca="1" si="16"/>
        <v>53303.6</v>
      </c>
      <c r="O82" s="1296" t="str">
        <f t="shared" si="17"/>
        <v>21</v>
      </c>
    </row>
    <row r="83" spans="1:15" s="1296" customFormat="1">
      <c r="A83" s="1310">
        <v>218</v>
      </c>
      <c r="B83" s="1311" t="s">
        <v>356</v>
      </c>
      <c r="C83" s="1312">
        <v>85249.7</v>
      </c>
      <c r="D83" s="1313">
        <v>0</v>
      </c>
      <c r="E83" s="1314">
        <f>IF(+SUMIF(SYS_cliente!$F$5:$F$2500,A83,SYS_cliente!$I$5:$I$2500)+SUMIF(SYS_cliente!$K$5:$K$2500,A83,SYS_cliente!$N$5:$N$2500)+SUMIF(SYS_cliente!$P$5:$P$2500,A83,SYS_cliente!$S$5:$S$2500)&lt;0,0,+SUMIF(SYS_cliente!$F$5:$F$2500,A83,SYS_cliente!$I$5:$I$2500)+SUMIF(SYS_cliente!$K$5:$K$2500,A83,SYS_cliente!$N$5:$N$2500)+SUMIF(SYS_cliente!$P$5:$P$2500,A83,SYS_cliente!$S$5:$S$2500))</f>
        <v>85249.7</v>
      </c>
      <c r="F83" s="1315">
        <f ca="1">IF(+SUMIF(SYS_cliente!$F$5:$F$2500,A83,SYS_cliente!$I$5:$I$1678)+SUMIF(SYS_cliente!$K$5:$K$2500,A83,SYS_cliente!$N$5:$N$1678)+SUMIF(SYS_cliente!$P$5:$P$2500,A83,SYS_cliente!$S$5:$S$1678)&gt;=0,0,-(SUMIF(SYS_cliente!$F$5:$F$2500,A83,SYS_cliente!$I$5:$I$1678)+SUMIF(SYS_cliente!$K$5:$K$2500,A83,SYS_cliente!$N$5:$N$1678)+SUMIF(SYS_cliente!$P$5:$P$2500,A83,SYS_cliente!$S$5:$S$1678)))</f>
        <v>0</v>
      </c>
      <c r="G83" s="1316">
        <f>+SUMIF(asientos!$C$13:$C$1276,SYS_4_3_Digitos!A83,asientos!$B$13:$B$1276)</f>
        <v>0</v>
      </c>
      <c r="H83" s="1317">
        <f>+SUMIF(asientos!$I$13:$I$1276,SYS_4_3_Digitos!A83,asientos!$J$13:$J$1276)</f>
        <v>0</v>
      </c>
      <c r="I83" s="1314">
        <f t="shared" ca="1" si="12"/>
        <v>85249.7</v>
      </c>
      <c r="J83" s="1315">
        <f t="shared" ca="1" si="13"/>
        <v>0</v>
      </c>
      <c r="L83" s="1308">
        <f t="shared" si="14"/>
        <v>218000000</v>
      </c>
      <c r="M83" s="1296" t="str">
        <f t="shared" si="15"/>
        <v>2180</v>
      </c>
      <c r="N83" s="1309">
        <f t="shared" ca="1" si="16"/>
        <v>85249.7</v>
      </c>
      <c r="O83" s="1296" t="str">
        <f t="shared" si="17"/>
        <v>21</v>
      </c>
    </row>
    <row r="84" spans="1:15" s="1296" customFormat="1">
      <c r="A84" s="1310">
        <v>219</v>
      </c>
      <c r="B84" s="1311" t="s">
        <v>357</v>
      </c>
      <c r="C84" s="1312">
        <v>651219.30999999994</v>
      </c>
      <c r="D84" s="1313">
        <v>0</v>
      </c>
      <c r="E84" s="1314">
        <f>IF(+SUMIF(SYS_cliente!$F$5:$F$2500,A84,SYS_cliente!$I$5:$I$2500)+SUMIF(SYS_cliente!$K$5:$K$2500,A84,SYS_cliente!$N$5:$N$2500)+SUMIF(SYS_cliente!$P$5:$P$2500,A84,SYS_cliente!$S$5:$S$2500)&lt;0,0,+SUMIF(SYS_cliente!$F$5:$F$2500,A84,SYS_cliente!$I$5:$I$2500)+SUMIF(SYS_cliente!$K$5:$K$2500,A84,SYS_cliente!$N$5:$N$2500)+SUMIF(SYS_cliente!$P$5:$P$2500,A84,SYS_cliente!$S$5:$S$2500))</f>
        <v>651219.30999999994</v>
      </c>
      <c r="F84" s="1315">
        <f ca="1">IF(+SUMIF(SYS_cliente!$F$5:$F$2500,A84,SYS_cliente!$I$5:$I$1678)+SUMIF(SYS_cliente!$K$5:$K$2500,A84,SYS_cliente!$N$5:$N$1678)+SUMIF(SYS_cliente!$P$5:$P$2500,A84,SYS_cliente!$S$5:$S$1678)&gt;=0,0,-(SUMIF(SYS_cliente!$F$5:$F$2500,A84,SYS_cliente!$I$5:$I$1678)+SUMIF(SYS_cliente!$K$5:$K$2500,A84,SYS_cliente!$N$5:$N$1678)+SUMIF(SYS_cliente!$P$5:$P$2500,A84,SYS_cliente!$S$5:$S$1678)))</f>
        <v>0</v>
      </c>
      <c r="G84" s="1316">
        <f>+SUMIF(asientos!$C$13:$C$1276,SYS_4_3_Digitos!A84,asientos!$B$13:$B$1276)</f>
        <v>0</v>
      </c>
      <c r="H84" s="1317">
        <f>+SUMIF(asientos!$I$13:$I$1276,SYS_4_3_Digitos!A84,asientos!$J$13:$J$1276)</f>
        <v>0</v>
      </c>
      <c r="I84" s="1314">
        <f t="shared" ca="1" si="12"/>
        <v>651219.30999999994</v>
      </c>
      <c r="J84" s="1315">
        <f t="shared" ca="1" si="13"/>
        <v>0</v>
      </c>
      <c r="L84" s="1308">
        <f t="shared" si="14"/>
        <v>219000000</v>
      </c>
      <c r="M84" s="1296" t="str">
        <f t="shared" si="15"/>
        <v>2190</v>
      </c>
      <c r="N84" s="1309">
        <f t="shared" ca="1" si="16"/>
        <v>651219.30999999994</v>
      </c>
      <c r="O84" s="1296" t="str">
        <f t="shared" si="17"/>
        <v>21</v>
      </c>
    </row>
    <row r="85" spans="1:15" s="1296" customFormat="1">
      <c r="A85" s="1310">
        <v>220</v>
      </c>
      <c r="B85" s="1311" t="s">
        <v>358</v>
      </c>
      <c r="C85" s="1312">
        <v>3981136.05</v>
      </c>
      <c r="D85" s="1313">
        <v>0</v>
      </c>
      <c r="E85" s="1314">
        <f>IF(+SUMIF(SYS_cliente!$F$5:$F$2500,A85,SYS_cliente!$I$5:$I$2500)+SUMIF(SYS_cliente!$K$5:$K$2500,A85,SYS_cliente!$N$5:$N$2500)+SUMIF(SYS_cliente!$P$5:$P$2500,A85,SYS_cliente!$S$5:$S$2500)&lt;0,0,+SUMIF(SYS_cliente!$F$5:$F$2500,A85,SYS_cliente!$I$5:$I$2500)+SUMIF(SYS_cliente!$K$5:$K$2500,A85,SYS_cliente!$N$5:$N$2500)+SUMIF(SYS_cliente!$P$5:$P$2500,A85,SYS_cliente!$S$5:$S$2500))</f>
        <v>4595214.4400000004</v>
      </c>
      <c r="F85" s="1315">
        <f ca="1">IF(+SUMIF(SYS_cliente!$F$5:$F$2500,A85,SYS_cliente!$I$5:$I$1678)+SUMIF(SYS_cliente!$K$5:$K$2500,A85,SYS_cliente!$N$5:$N$1678)+SUMIF(SYS_cliente!$P$5:$P$2500,A85,SYS_cliente!$S$5:$S$1678)&gt;=0,0,-(SUMIF(SYS_cliente!$F$5:$F$2500,A85,SYS_cliente!$I$5:$I$1678)+SUMIF(SYS_cliente!$K$5:$K$2500,A85,SYS_cliente!$N$5:$N$1678)+SUMIF(SYS_cliente!$P$5:$P$2500,A85,SYS_cliente!$S$5:$S$1678)))</f>
        <v>0</v>
      </c>
      <c r="G85" s="1316">
        <f>+SUMIF(asientos!$C$13:$C$1276,SYS_4_3_Digitos!A85,asientos!$B$13:$B$1276)</f>
        <v>0</v>
      </c>
      <c r="H85" s="1317">
        <f>+SUMIF(asientos!$I$13:$I$1276,SYS_4_3_Digitos!A85,asientos!$J$13:$J$1276)</f>
        <v>0</v>
      </c>
      <c r="I85" s="1314">
        <f t="shared" ca="1" si="12"/>
        <v>4595214.4400000004</v>
      </c>
      <c r="J85" s="1315">
        <f t="shared" ca="1" si="13"/>
        <v>0</v>
      </c>
      <c r="L85" s="1308">
        <f t="shared" si="14"/>
        <v>220000000</v>
      </c>
      <c r="M85" s="1296" t="str">
        <f t="shared" si="15"/>
        <v>2200</v>
      </c>
      <c r="N85" s="1309">
        <f t="shared" ca="1" si="16"/>
        <v>4595214.4400000004</v>
      </c>
      <c r="O85" s="1296" t="str">
        <f t="shared" si="17"/>
        <v>22</v>
      </c>
    </row>
    <row r="86" spans="1:15" s="1296" customFormat="1">
      <c r="A86" s="1310">
        <v>221</v>
      </c>
      <c r="B86" s="1311" t="s">
        <v>359</v>
      </c>
      <c r="C86" s="1312">
        <v>15084095.629999999</v>
      </c>
      <c r="D86" s="1313">
        <v>0</v>
      </c>
      <c r="E86" s="1314">
        <f>IF(+SUMIF(SYS_cliente!$F$5:$F$2500,A86,SYS_cliente!$I$5:$I$2500)+SUMIF(SYS_cliente!$K$5:$K$2500,A86,SYS_cliente!$N$5:$N$2500)+SUMIF(SYS_cliente!$P$5:$P$2500,A86,SYS_cliente!$S$5:$S$2500)&lt;0,0,+SUMIF(SYS_cliente!$F$5:$F$2500,A86,SYS_cliente!$I$5:$I$2500)+SUMIF(SYS_cliente!$K$5:$K$2500,A86,SYS_cliente!$N$5:$N$2500)+SUMIF(SYS_cliente!$P$5:$P$2500,A86,SYS_cliente!$S$5:$S$2500))</f>
        <v>18589908.699999999</v>
      </c>
      <c r="F86" s="1315">
        <f ca="1">IF(+SUMIF(SYS_cliente!$F$5:$F$2500,A86,SYS_cliente!$I$5:$I$1678)+SUMIF(SYS_cliente!$K$5:$K$2500,A86,SYS_cliente!$N$5:$N$1678)+SUMIF(SYS_cliente!$P$5:$P$2500,A86,SYS_cliente!$S$5:$S$1678)&gt;=0,0,-(SUMIF(SYS_cliente!$F$5:$F$2500,A86,SYS_cliente!$I$5:$I$1678)+SUMIF(SYS_cliente!$K$5:$K$2500,A86,SYS_cliente!$N$5:$N$1678)+SUMIF(SYS_cliente!$P$5:$P$2500,A86,SYS_cliente!$S$5:$S$1678)))</f>
        <v>0</v>
      </c>
      <c r="G86" s="1316">
        <f>+SUMIF(asientos!$C$13:$C$1276,SYS_4_3_Digitos!A86,asientos!$B$13:$B$1276)</f>
        <v>0</v>
      </c>
      <c r="H86" s="1317">
        <f>+SUMIF(asientos!$I$13:$I$1276,SYS_4_3_Digitos!A86,asientos!$J$13:$J$1276)</f>
        <v>0</v>
      </c>
      <c r="I86" s="1314">
        <f t="shared" ca="1" si="12"/>
        <v>18589908.699999999</v>
      </c>
      <c r="J86" s="1315">
        <f t="shared" ca="1" si="13"/>
        <v>0</v>
      </c>
      <c r="L86" s="1308">
        <f t="shared" si="14"/>
        <v>221000000</v>
      </c>
      <c r="M86" s="1296" t="str">
        <f t="shared" si="15"/>
        <v>2210</v>
      </c>
      <c r="N86" s="1309">
        <f t="shared" ca="1" si="16"/>
        <v>18589908.699999999</v>
      </c>
      <c r="O86" s="1296" t="str">
        <f t="shared" si="17"/>
        <v>22</v>
      </c>
    </row>
    <row r="87" spans="1:15" s="1296" customFormat="1">
      <c r="A87" s="1310">
        <v>230</v>
      </c>
      <c r="B87" s="1311" t="s">
        <v>360</v>
      </c>
      <c r="C87" s="1312">
        <v>0</v>
      </c>
      <c r="D87" s="1313">
        <v>0</v>
      </c>
      <c r="E87" s="1314">
        <f>IF(+SUMIF(SYS_cliente!$F$5:$F$2500,A87,SYS_cliente!$I$5:$I$2500)+SUMIF(SYS_cliente!$K$5:$K$2500,A87,SYS_cliente!$N$5:$N$2500)+SUMIF(SYS_cliente!$P$5:$P$2500,A87,SYS_cliente!$S$5:$S$2500)&lt;0,0,+SUMIF(SYS_cliente!$F$5:$F$2500,A87,SYS_cliente!$I$5:$I$2500)+SUMIF(SYS_cliente!$K$5:$K$2500,A87,SYS_cliente!$N$5:$N$2500)+SUMIF(SYS_cliente!$P$5:$P$2500,A87,SYS_cliente!$S$5:$S$2500))</f>
        <v>0</v>
      </c>
      <c r="F87" s="1315">
        <f ca="1">IF(+SUMIF(SYS_cliente!$F$5:$F$2500,A87,SYS_cliente!$I$5:$I$1678)+SUMIF(SYS_cliente!$K$5:$K$2500,A87,SYS_cliente!$N$5:$N$1678)+SUMIF(SYS_cliente!$P$5:$P$2500,A87,SYS_cliente!$S$5:$S$1678)&gt;=0,0,-(SUMIF(SYS_cliente!$F$5:$F$2500,A87,SYS_cliente!$I$5:$I$1678)+SUMIF(SYS_cliente!$K$5:$K$2500,A87,SYS_cliente!$N$5:$N$1678)+SUMIF(SYS_cliente!$P$5:$P$2500,A87,SYS_cliente!$S$5:$S$1678)))</f>
        <v>0</v>
      </c>
      <c r="G87" s="1316">
        <f>+SUMIF(asientos!$C$13:$C$1276,SYS_4_3_Digitos!A87,asientos!$B$13:$B$1276)</f>
        <v>0</v>
      </c>
      <c r="H87" s="1317">
        <f>+SUMIF(asientos!$I$13:$I$1276,SYS_4_3_Digitos!A87,asientos!$J$13:$J$1276)</f>
        <v>0</v>
      </c>
      <c r="I87" s="1314">
        <f t="shared" ca="1" si="12"/>
        <v>0</v>
      </c>
      <c r="J87" s="1315">
        <f t="shared" ca="1" si="13"/>
        <v>0</v>
      </c>
      <c r="L87" s="1308">
        <f t="shared" si="14"/>
        <v>230000000</v>
      </c>
      <c r="M87" s="1296" t="str">
        <f t="shared" si="15"/>
        <v>2300</v>
      </c>
      <c r="N87" s="1309">
        <f t="shared" ca="1" si="16"/>
        <v>0</v>
      </c>
      <c r="O87" s="1296" t="str">
        <f t="shared" si="17"/>
        <v>23</v>
      </c>
    </row>
    <row r="88" spans="1:15" s="1296" customFormat="1">
      <c r="A88" s="1310">
        <v>231</v>
      </c>
      <c r="B88" s="1311" t="s">
        <v>361</v>
      </c>
      <c r="C88" s="1312">
        <v>0</v>
      </c>
      <c r="D88" s="1313">
        <v>0</v>
      </c>
      <c r="E88" s="1314">
        <f>IF(+SUMIF(SYS_cliente!$F$5:$F$2500,A88,SYS_cliente!$I$5:$I$2500)+SUMIF(SYS_cliente!$K$5:$K$2500,A88,SYS_cliente!$N$5:$N$2500)+SUMIF(SYS_cliente!$P$5:$P$2500,A88,SYS_cliente!$S$5:$S$2500)&lt;0,0,+SUMIF(SYS_cliente!$F$5:$F$2500,A88,SYS_cliente!$I$5:$I$2500)+SUMIF(SYS_cliente!$K$5:$K$2500,A88,SYS_cliente!$N$5:$N$2500)+SUMIF(SYS_cliente!$P$5:$P$2500,A88,SYS_cliente!$S$5:$S$2500))</f>
        <v>0</v>
      </c>
      <c r="F88" s="1315">
        <f ca="1">IF(+SUMIF(SYS_cliente!$F$5:$F$2500,A88,SYS_cliente!$I$5:$I$1678)+SUMIF(SYS_cliente!$K$5:$K$2500,A88,SYS_cliente!$N$5:$N$1678)+SUMIF(SYS_cliente!$P$5:$P$2500,A88,SYS_cliente!$S$5:$S$1678)&gt;=0,0,-(SUMIF(SYS_cliente!$F$5:$F$2500,A88,SYS_cliente!$I$5:$I$1678)+SUMIF(SYS_cliente!$K$5:$K$2500,A88,SYS_cliente!$N$5:$N$1678)+SUMIF(SYS_cliente!$P$5:$P$2500,A88,SYS_cliente!$S$5:$S$1678)))</f>
        <v>0</v>
      </c>
      <c r="G88" s="1316">
        <f>+SUMIF(asientos!$C$13:$C$1276,SYS_4_3_Digitos!A88,asientos!$B$13:$B$1276)</f>
        <v>0</v>
      </c>
      <c r="H88" s="1317">
        <f>+SUMIF(asientos!$I$13:$I$1276,SYS_4_3_Digitos!A88,asientos!$J$13:$J$1276)</f>
        <v>0</v>
      </c>
      <c r="I88" s="1314">
        <f t="shared" ca="1" si="12"/>
        <v>0</v>
      </c>
      <c r="J88" s="1315">
        <f t="shared" ca="1" si="13"/>
        <v>0</v>
      </c>
      <c r="L88" s="1308">
        <f t="shared" si="14"/>
        <v>231000000</v>
      </c>
      <c r="M88" s="1296" t="str">
        <f t="shared" si="15"/>
        <v>2310</v>
      </c>
      <c r="N88" s="1309">
        <f t="shared" ca="1" si="16"/>
        <v>0</v>
      </c>
      <c r="O88" s="1296" t="str">
        <f t="shared" si="17"/>
        <v>23</v>
      </c>
    </row>
    <row r="89" spans="1:15" s="1296" customFormat="1">
      <c r="A89" s="1310">
        <v>232</v>
      </c>
      <c r="B89" s="1311" t="s">
        <v>362</v>
      </c>
      <c r="C89" s="1312">
        <v>49014.15</v>
      </c>
      <c r="D89" s="1313">
        <v>0</v>
      </c>
      <c r="E89" s="1314">
        <f>IF(+SUMIF(SYS_cliente!$F$5:$F$2500,A89,SYS_cliente!$I$5:$I$2500)+SUMIF(SYS_cliente!$K$5:$K$2500,A89,SYS_cliente!$N$5:$N$2500)+SUMIF(SYS_cliente!$P$5:$P$2500,A89,SYS_cliente!$S$5:$S$2500)&lt;0,0,+SUMIF(SYS_cliente!$F$5:$F$2500,A89,SYS_cliente!$I$5:$I$2500)+SUMIF(SYS_cliente!$K$5:$K$2500,A89,SYS_cliente!$N$5:$N$2500)+SUMIF(SYS_cliente!$P$5:$P$2500,A89,SYS_cliente!$S$5:$S$2500))</f>
        <v>0</v>
      </c>
      <c r="F89" s="1315">
        <f ca="1">IF(+SUMIF(SYS_cliente!$F$5:$F$2500,A89,SYS_cliente!$I$5:$I$1678)+SUMIF(SYS_cliente!$K$5:$K$2500,A89,SYS_cliente!$N$5:$N$1678)+SUMIF(SYS_cliente!$P$5:$P$2500,A89,SYS_cliente!$S$5:$S$1678)&gt;=0,0,-(SUMIF(SYS_cliente!$F$5:$F$2500,A89,SYS_cliente!$I$5:$I$1678)+SUMIF(SYS_cliente!$K$5:$K$2500,A89,SYS_cliente!$N$5:$N$1678)+SUMIF(SYS_cliente!$P$5:$P$2500,A89,SYS_cliente!$S$5:$S$1678)))</f>
        <v>0</v>
      </c>
      <c r="G89" s="1316">
        <f>+SUMIF(asientos!$C$13:$C$1276,SYS_4_3_Digitos!A89,asientos!$B$13:$B$1276)</f>
        <v>0</v>
      </c>
      <c r="H89" s="1317">
        <f>+SUMIF(asientos!$I$13:$I$1276,SYS_4_3_Digitos!A89,asientos!$J$13:$J$1276)</f>
        <v>0</v>
      </c>
      <c r="I89" s="1314">
        <f t="shared" ca="1" si="12"/>
        <v>0</v>
      </c>
      <c r="J89" s="1315">
        <f t="shared" ca="1" si="13"/>
        <v>0</v>
      </c>
      <c r="L89" s="1308">
        <f t="shared" si="14"/>
        <v>232000000</v>
      </c>
      <c r="M89" s="1296" t="str">
        <f t="shared" si="15"/>
        <v>2320</v>
      </c>
      <c r="N89" s="1309">
        <f t="shared" ca="1" si="16"/>
        <v>0</v>
      </c>
      <c r="O89" s="1296" t="str">
        <f t="shared" si="17"/>
        <v>23</v>
      </c>
    </row>
    <row r="90" spans="1:15" s="1296" customFormat="1">
      <c r="A90" s="1310">
        <v>233</v>
      </c>
      <c r="B90" s="1311" t="s">
        <v>363</v>
      </c>
      <c r="C90" s="1312">
        <v>0</v>
      </c>
      <c r="D90" s="1313">
        <v>0</v>
      </c>
      <c r="E90" s="1314">
        <f>IF(+SUMIF(SYS_cliente!$F$5:$F$2500,A90,SYS_cliente!$I$5:$I$2500)+SUMIF(SYS_cliente!$K$5:$K$2500,A90,SYS_cliente!$N$5:$N$2500)+SUMIF(SYS_cliente!$P$5:$P$2500,A90,SYS_cliente!$S$5:$S$2500)&lt;0,0,+SUMIF(SYS_cliente!$F$5:$F$2500,A90,SYS_cliente!$I$5:$I$2500)+SUMIF(SYS_cliente!$K$5:$K$2500,A90,SYS_cliente!$N$5:$N$2500)+SUMIF(SYS_cliente!$P$5:$P$2500,A90,SYS_cliente!$S$5:$S$2500))</f>
        <v>0</v>
      </c>
      <c r="F90" s="1315">
        <f ca="1">IF(+SUMIF(SYS_cliente!$F$5:$F$2500,A90,SYS_cliente!$I$5:$I$1678)+SUMIF(SYS_cliente!$K$5:$K$2500,A90,SYS_cliente!$N$5:$N$1678)+SUMIF(SYS_cliente!$P$5:$P$2500,A90,SYS_cliente!$S$5:$S$1678)&gt;=0,0,-(SUMIF(SYS_cliente!$F$5:$F$2500,A90,SYS_cliente!$I$5:$I$1678)+SUMIF(SYS_cliente!$K$5:$K$2500,A90,SYS_cliente!$N$5:$N$1678)+SUMIF(SYS_cliente!$P$5:$P$2500,A90,SYS_cliente!$S$5:$S$1678)))</f>
        <v>0</v>
      </c>
      <c r="G90" s="1316">
        <f>+SUMIF(asientos!$C$13:$C$1276,SYS_4_3_Digitos!A90,asientos!$B$13:$B$1276)</f>
        <v>0</v>
      </c>
      <c r="H90" s="1317">
        <f>+SUMIF(asientos!$I$13:$I$1276,SYS_4_3_Digitos!A90,asientos!$J$13:$J$1276)</f>
        <v>0</v>
      </c>
      <c r="I90" s="1314">
        <f t="shared" ca="1" si="12"/>
        <v>0</v>
      </c>
      <c r="J90" s="1315">
        <f t="shared" ca="1" si="13"/>
        <v>0</v>
      </c>
      <c r="L90" s="1308">
        <f t="shared" si="14"/>
        <v>233000000</v>
      </c>
      <c r="M90" s="1296" t="str">
        <f t="shared" si="15"/>
        <v>2330</v>
      </c>
      <c r="N90" s="1309">
        <f t="shared" ca="1" si="16"/>
        <v>0</v>
      </c>
      <c r="O90" s="1296" t="str">
        <f t="shared" si="17"/>
        <v>23</v>
      </c>
    </row>
    <row r="91" spans="1:15" s="1296" customFormat="1">
      <c r="A91" s="1310">
        <v>237</v>
      </c>
      <c r="B91" s="1311" t="s">
        <v>364</v>
      </c>
      <c r="C91" s="1312">
        <v>0</v>
      </c>
      <c r="D91" s="1313">
        <v>0</v>
      </c>
      <c r="E91" s="1314">
        <f>IF(+SUMIF(SYS_cliente!$F$5:$F$2500,A91,SYS_cliente!$I$5:$I$2500)+SUMIF(SYS_cliente!$K$5:$K$2500,A91,SYS_cliente!$N$5:$N$2500)+SUMIF(SYS_cliente!$P$5:$P$2500,A91,SYS_cliente!$S$5:$S$2500)&lt;0,0,+SUMIF(SYS_cliente!$F$5:$F$2500,A91,SYS_cliente!$I$5:$I$2500)+SUMIF(SYS_cliente!$K$5:$K$2500,A91,SYS_cliente!$N$5:$N$2500)+SUMIF(SYS_cliente!$P$5:$P$2500,A91,SYS_cliente!$S$5:$S$2500))</f>
        <v>0</v>
      </c>
      <c r="F91" s="1315">
        <f ca="1">IF(+SUMIF(SYS_cliente!$F$5:$F$2500,A91,SYS_cliente!$I$5:$I$1678)+SUMIF(SYS_cliente!$K$5:$K$2500,A91,SYS_cliente!$N$5:$N$1678)+SUMIF(SYS_cliente!$P$5:$P$2500,A91,SYS_cliente!$S$5:$S$1678)&gt;=0,0,-(SUMIF(SYS_cliente!$F$5:$F$2500,A91,SYS_cliente!$I$5:$I$1678)+SUMIF(SYS_cliente!$K$5:$K$2500,A91,SYS_cliente!$N$5:$N$1678)+SUMIF(SYS_cliente!$P$5:$P$2500,A91,SYS_cliente!$S$5:$S$1678)))</f>
        <v>0</v>
      </c>
      <c r="G91" s="1316">
        <f>+SUMIF(asientos!$C$13:$C$1276,SYS_4_3_Digitos!A91,asientos!$B$13:$B$1276)</f>
        <v>0</v>
      </c>
      <c r="H91" s="1317">
        <f>+SUMIF(asientos!$I$13:$I$1276,SYS_4_3_Digitos!A91,asientos!$J$13:$J$1276)</f>
        <v>0</v>
      </c>
      <c r="I91" s="1314">
        <f t="shared" ca="1" si="12"/>
        <v>0</v>
      </c>
      <c r="J91" s="1315">
        <f t="shared" ca="1" si="13"/>
        <v>0</v>
      </c>
      <c r="L91" s="1308">
        <f t="shared" si="14"/>
        <v>237000000</v>
      </c>
      <c r="M91" s="1296" t="str">
        <f t="shared" si="15"/>
        <v>2370</v>
      </c>
      <c r="N91" s="1309">
        <f t="shared" ca="1" si="16"/>
        <v>0</v>
      </c>
      <c r="O91" s="1296" t="str">
        <f t="shared" si="17"/>
        <v>23</v>
      </c>
    </row>
    <row r="92" spans="1:15" s="1296" customFormat="1">
      <c r="A92" s="1310">
        <v>239</v>
      </c>
      <c r="B92" s="1311" t="s">
        <v>365</v>
      </c>
      <c r="C92" s="1312">
        <v>0</v>
      </c>
      <c r="D92" s="1313">
        <v>0</v>
      </c>
      <c r="E92" s="1314">
        <f>IF(+SUMIF(SYS_cliente!$F$5:$F$2500,A92,SYS_cliente!$I$5:$I$2500)+SUMIF(SYS_cliente!$K$5:$K$2500,A92,SYS_cliente!$N$5:$N$2500)+SUMIF(SYS_cliente!$P$5:$P$2500,A92,SYS_cliente!$S$5:$S$2500)&lt;0,0,+SUMIF(SYS_cliente!$F$5:$F$2500,A92,SYS_cliente!$I$5:$I$2500)+SUMIF(SYS_cliente!$K$5:$K$2500,A92,SYS_cliente!$N$5:$N$2500)+SUMIF(SYS_cliente!$P$5:$P$2500,A92,SYS_cliente!$S$5:$S$2500))</f>
        <v>0</v>
      </c>
      <c r="F92" s="1315">
        <f ca="1">IF(+SUMIF(SYS_cliente!$F$5:$F$2500,A92,SYS_cliente!$I$5:$I$1678)+SUMIF(SYS_cliente!$K$5:$K$2500,A92,SYS_cliente!$N$5:$N$1678)+SUMIF(SYS_cliente!$P$5:$P$2500,A92,SYS_cliente!$S$5:$S$1678)&gt;=0,0,-(SUMIF(SYS_cliente!$F$5:$F$2500,A92,SYS_cliente!$I$5:$I$1678)+SUMIF(SYS_cliente!$K$5:$K$2500,A92,SYS_cliente!$N$5:$N$1678)+SUMIF(SYS_cliente!$P$5:$P$2500,A92,SYS_cliente!$S$5:$S$1678)))</f>
        <v>0</v>
      </c>
      <c r="G92" s="1316">
        <f>+SUMIF(asientos!$C$13:$C$1276,SYS_4_3_Digitos!A92,asientos!$B$13:$B$1276)</f>
        <v>0</v>
      </c>
      <c r="H92" s="1317">
        <f>+SUMIF(asientos!$I$13:$I$1276,SYS_4_3_Digitos!A92,asientos!$J$13:$J$1276)</f>
        <v>0</v>
      </c>
      <c r="I92" s="1314">
        <f t="shared" ca="1" si="12"/>
        <v>0</v>
      </c>
      <c r="J92" s="1315">
        <f t="shared" ca="1" si="13"/>
        <v>0</v>
      </c>
      <c r="L92" s="1308">
        <f t="shared" si="14"/>
        <v>239000000</v>
      </c>
      <c r="M92" s="1296" t="str">
        <f t="shared" si="15"/>
        <v>2390</v>
      </c>
      <c r="N92" s="1309">
        <f t="shared" ca="1" si="16"/>
        <v>0</v>
      </c>
      <c r="O92" s="1296" t="str">
        <f t="shared" si="17"/>
        <v>23</v>
      </c>
    </row>
    <row r="93" spans="1:15" s="1296" customFormat="1">
      <c r="A93" s="1318">
        <v>2403</v>
      </c>
      <c r="B93" s="1319" t="s">
        <v>1677</v>
      </c>
      <c r="C93" s="1320">
        <v>0</v>
      </c>
      <c r="D93" s="1321">
        <v>0</v>
      </c>
      <c r="E93" s="1322">
        <f>IF(+SUMIF(SYS_cliente!$F$5:$F$2500,A93,SYS_cliente!$I$5:$I$2500)+SUMIF(SYS_cliente!$K$5:$K$2500,A93,SYS_cliente!$N$5:$N$2500)+SUMIF(SYS_cliente!$P$5:$P$2500,A93,SYS_cliente!$S$5:$S$2500)&lt;0,0,+SUMIF(SYS_cliente!$F$5:$F$2500,A93,SYS_cliente!$I$5:$I$2500)+SUMIF(SYS_cliente!$K$5:$K$2500,A93,SYS_cliente!$N$5:$N$2500)+SUMIF(SYS_cliente!$P$5:$P$2500,A93,SYS_cliente!$S$5:$S$2500))</f>
        <v>0</v>
      </c>
      <c r="F93" s="1323">
        <f ca="1">IF(+SUMIF(SYS_cliente!$F$5:$F$2500,A93,SYS_cliente!$I$5:$I$1678)+SUMIF(SYS_cliente!$K$5:$K$2500,A93,SYS_cliente!$N$5:$N$1678)+SUMIF(SYS_cliente!$P$5:$P$2500,A93,SYS_cliente!$S$5:$S$1678)&gt;=0,0,-(SUMIF(SYS_cliente!$F$5:$F$2500,A93,SYS_cliente!$I$5:$I$1678)+SUMIF(SYS_cliente!$K$5:$K$2500,A93,SYS_cliente!$N$5:$N$1678)+SUMIF(SYS_cliente!$P$5:$P$2500,A93,SYS_cliente!$S$5:$S$1678)))</f>
        <v>0</v>
      </c>
      <c r="G93" s="1322">
        <f>+SUMIF(asientos!$C$13:$C$1276,SYS_4_3_Digitos!A93,asientos!$B$13:$B$1276)</f>
        <v>0</v>
      </c>
      <c r="H93" s="1323">
        <f>+SUMIF(asientos!$I$13:$I$1276,SYS_4_3_Digitos!A93,asientos!$J$13:$J$1276)</f>
        <v>0</v>
      </c>
      <c r="I93" s="1322">
        <f t="shared" ca="1" si="12"/>
        <v>0</v>
      </c>
      <c r="J93" s="1323">
        <f t="shared" ca="1" si="13"/>
        <v>0</v>
      </c>
      <c r="L93" s="1308">
        <f t="shared" si="14"/>
        <v>2403000000</v>
      </c>
      <c r="M93" s="1296" t="str">
        <f t="shared" si="15"/>
        <v>2403</v>
      </c>
      <c r="N93" s="1309">
        <f t="shared" ca="1" si="16"/>
        <v>0</v>
      </c>
      <c r="O93" s="1296" t="str">
        <f t="shared" si="17"/>
        <v>24</v>
      </c>
    </row>
    <row r="94" spans="1:15" s="1296" customFormat="1">
      <c r="A94" s="1318">
        <v>2404</v>
      </c>
      <c r="B94" s="1319" t="s">
        <v>1678</v>
      </c>
      <c r="C94" s="1320">
        <v>0</v>
      </c>
      <c r="D94" s="1321">
        <v>0</v>
      </c>
      <c r="E94" s="1322">
        <f>IF(+SUMIF(SYS_cliente!$F$5:$F$2500,A94,SYS_cliente!$I$5:$I$2500)+SUMIF(SYS_cliente!$K$5:$K$2500,A94,SYS_cliente!$N$5:$N$2500)+SUMIF(SYS_cliente!$P$5:$P$2500,A94,SYS_cliente!$S$5:$S$2500)&lt;0,0,+SUMIF(SYS_cliente!$F$5:$F$2500,A94,SYS_cliente!$I$5:$I$2500)+SUMIF(SYS_cliente!$K$5:$K$2500,A94,SYS_cliente!$N$5:$N$2500)+SUMIF(SYS_cliente!$P$5:$P$2500,A94,SYS_cliente!$S$5:$S$2500))</f>
        <v>0</v>
      </c>
      <c r="F94" s="1323">
        <f ca="1">IF(+SUMIF(SYS_cliente!$F$5:$F$2500,A94,SYS_cliente!$I$5:$I$1678)+SUMIF(SYS_cliente!$K$5:$K$2500,A94,SYS_cliente!$N$5:$N$1678)+SUMIF(SYS_cliente!$P$5:$P$2500,A94,SYS_cliente!$S$5:$S$1678)&gt;=0,0,-(SUMIF(SYS_cliente!$F$5:$F$2500,A94,SYS_cliente!$I$5:$I$1678)+SUMIF(SYS_cliente!$K$5:$K$2500,A94,SYS_cliente!$N$5:$N$1678)+SUMIF(SYS_cliente!$P$5:$P$2500,A94,SYS_cliente!$S$5:$S$1678)))</f>
        <v>0</v>
      </c>
      <c r="G94" s="1322">
        <f>+SUMIF(asientos!$C$13:$C$1276,SYS_4_3_Digitos!A94,asientos!$B$13:$B$1276)</f>
        <v>0</v>
      </c>
      <c r="H94" s="1323">
        <f>+SUMIF(asientos!$I$13:$I$1276,SYS_4_3_Digitos!A94,asientos!$J$13:$J$1276)</f>
        <v>0</v>
      </c>
      <c r="I94" s="1322">
        <f t="shared" ca="1" si="12"/>
        <v>0</v>
      </c>
      <c r="J94" s="1323">
        <f t="shared" ca="1" si="13"/>
        <v>0</v>
      </c>
      <c r="L94" s="1308">
        <f t="shared" si="14"/>
        <v>2404000000</v>
      </c>
      <c r="M94" s="1296" t="str">
        <f t="shared" si="15"/>
        <v>2404</v>
      </c>
      <c r="N94" s="1309">
        <f t="shared" ca="1" si="16"/>
        <v>0</v>
      </c>
      <c r="O94" s="1296" t="str">
        <f t="shared" si="17"/>
        <v>24</v>
      </c>
    </row>
    <row r="95" spans="1:15" s="1296" customFormat="1">
      <c r="A95" s="1318">
        <v>2405</v>
      </c>
      <c r="B95" s="1319" t="s">
        <v>1679</v>
      </c>
      <c r="C95" s="1320">
        <v>0</v>
      </c>
      <c r="D95" s="1321">
        <v>0</v>
      </c>
      <c r="E95" s="1322">
        <f>IF(+SUMIF(SYS_cliente!$F$5:$F$2500,A95,SYS_cliente!$I$5:$I$2500)+SUMIF(SYS_cliente!$K$5:$K$2500,A95,SYS_cliente!$N$5:$N$2500)+SUMIF(SYS_cliente!$P$5:$P$2500,A95,SYS_cliente!$S$5:$S$2500)&lt;0,0,+SUMIF(SYS_cliente!$F$5:$F$2500,A95,SYS_cliente!$I$5:$I$2500)+SUMIF(SYS_cliente!$K$5:$K$2500,A95,SYS_cliente!$N$5:$N$2500)+SUMIF(SYS_cliente!$P$5:$P$2500,A95,SYS_cliente!$S$5:$S$2500))</f>
        <v>0</v>
      </c>
      <c r="F95" s="1323">
        <f ca="1">IF(+SUMIF(SYS_cliente!$F$5:$F$2500,A95,SYS_cliente!$I$5:$I$1678)+SUMIF(SYS_cliente!$K$5:$K$2500,A95,SYS_cliente!$N$5:$N$1678)+SUMIF(SYS_cliente!$P$5:$P$2500,A95,SYS_cliente!$S$5:$S$1678)&gt;=0,0,-(SUMIF(SYS_cliente!$F$5:$F$2500,A95,SYS_cliente!$I$5:$I$1678)+SUMIF(SYS_cliente!$K$5:$K$2500,A95,SYS_cliente!$N$5:$N$1678)+SUMIF(SYS_cliente!$P$5:$P$2500,A95,SYS_cliente!$S$5:$S$1678)))</f>
        <v>0</v>
      </c>
      <c r="G95" s="1322">
        <f>+SUMIF(asientos!$C$13:$C$1276,SYS_4_3_Digitos!A95,asientos!$B$13:$B$1276)</f>
        <v>0</v>
      </c>
      <c r="H95" s="1323">
        <f>+SUMIF(asientos!$I$13:$I$1276,SYS_4_3_Digitos!A95,asientos!$J$13:$J$1276)</f>
        <v>0</v>
      </c>
      <c r="I95" s="1322">
        <f t="shared" ca="1" si="12"/>
        <v>0</v>
      </c>
      <c r="J95" s="1323">
        <f t="shared" ca="1" si="13"/>
        <v>0</v>
      </c>
      <c r="L95" s="1308">
        <f t="shared" si="14"/>
        <v>2405000000</v>
      </c>
      <c r="M95" s="1296" t="str">
        <f t="shared" si="15"/>
        <v>2405</v>
      </c>
      <c r="N95" s="1309">
        <f t="shared" ca="1" si="16"/>
        <v>0</v>
      </c>
      <c r="O95" s="1296" t="str">
        <f t="shared" si="17"/>
        <v>24</v>
      </c>
    </row>
    <row r="96" spans="1:15" s="1296" customFormat="1">
      <c r="A96" s="1310">
        <v>241</v>
      </c>
      <c r="B96" s="1311" t="s">
        <v>366</v>
      </c>
      <c r="C96" s="1312">
        <v>0</v>
      </c>
      <c r="D96" s="1313">
        <v>0</v>
      </c>
      <c r="E96" s="1314">
        <f>IF(+SUMIF(SYS_cliente!$F$5:$F$2500,A96,SYS_cliente!$I$5:$I$2500)+SUMIF(SYS_cliente!$K$5:$K$2500,A96,SYS_cliente!$N$5:$N$2500)+SUMIF(SYS_cliente!$P$5:$P$2500,A96,SYS_cliente!$S$5:$S$2500)&lt;0,0,+SUMIF(SYS_cliente!$F$5:$F$2500,A96,SYS_cliente!$I$5:$I$2500)+SUMIF(SYS_cliente!$K$5:$K$2500,A96,SYS_cliente!$N$5:$N$2500)+SUMIF(SYS_cliente!$P$5:$P$2500,A96,SYS_cliente!$S$5:$S$2500))</f>
        <v>0</v>
      </c>
      <c r="F96" s="1315">
        <f ca="1">IF(+SUMIF(SYS_cliente!$F$5:$F$2500,A96,SYS_cliente!$I$5:$I$1678)+SUMIF(SYS_cliente!$K$5:$K$2500,A96,SYS_cliente!$N$5:$N$1678)+SUMIF(SYS_cliente!$P$5:$P$2500,A96,SYS_cliente!$S$5:$S$1678)&gt;=0,0,-(SUMIF(SYS_cliente!$F$5:$F$2500,A96,SYS_cliente!$I$5:$I$1678)+SUMIF(SYS_cliente!$K$5:$K$2500,A96,SYS_cliente!$N$5:$N$1678)+SUMIF(SYS_cliente!$P$5:$P$2500,A96,SYS_cliente!$S$5:$S$1678)))</f>
        <v>0</v>
      </c>
      <c r="G96" s="1316">
        <f>+SUMIF(asientos!$C$13:$C$1276,SYS_4_3_Digitos!A96,asientos!$B$13:$B$1276)</f>
        <v>0</v>
      </c>
      <c r="H96" s="1317">
        <f>+SUMIF(asientos!$I$13:$I$1276,SYS_4_3_Digitos!A96,asientos!$J$13:$J$1276)</f>
        <v>0</v>
      </c>
      <c r="I96" s="1314">
        <f t="shared" ca="1" si="12"/>
        <v>0</v>
      </c>
      <c r="J96" s="1315">
        <f t="shared" ca="1" si="13"/>
        <v>0</v>
      </c>
      <c r="L96" s="1308">
        <f t="shared" si="14"/>
        <v>241000000</v>
      </c>
      <c r="M96" s="1296" t="str">
        <f t="shared" si="15"/>
        <v>2410</v>
      </c>
      <c r="N96" s="1309">
        <f t="shared" ca="1" si="16"/>
        <v>0</v>
      </c>
      <c r="O96" s="1296" t="str">
        <f t="shared" si="17"/>
        <v>24</v>
      </c>
    </row>
    <row r="97" spans="1:15" s="1296" customFormat="1">
      <c r="A97" s="1318">
        <v>2423</v>
      </c>
      <c r="B97" s="1319" t="s">
        <v>1680</v>
      </c>
      <c r="C97" s="1320">
        <v>0</v>
      </c>
      <c r="D97" s="1321">
        <v>0</v>
      </c>
      <c r="E97" s="1322">
        <f>IF(+SUMIF(SYS_cliente!$F$5:$F$2500,A97,SYS_cliente!$I$5:$I$2500)+SUMIF(SYS_cliente!$K$5:$K$2500,A97,SYS_cliente!$N$5:$N$2500)+SUMIF(SYS_cliente!$P$5:$P$2500,A97,SYS_cliente!$S$5:$S$2500)&lt;0,0,+SUMIF(SYS_cliente!$F$5:$F$2500,A97,SYS_cliente!$I$5:$I$2500)+SUMIF(SYS_cliente!$K$5:$K$2500,A97,SYS_cliente!$N$5:$N$2500)+SUMIF(SYS_cliente!$P$5:$P$2500,A97,SYS_cliente!$S$5:$S$2500))</f>
        <v>0</v>
      </c>
      <c r="F97" s="1323">
        <f ca="1">IF(+SUMIF(SYS_cliente!$F$5:$F$2500,A97,SYS_cliente!$I$5:$I$1678)+SUMIF(SYS_cliente!$K$5:$K$2500,A97,SYS_cliente!$N$5:$N$1678)+SUMIF(SYS_cliente!$P$5:$P$2500,A97,SYS_cliente!$S$5:$S$1678)&gt;=0,0,-(SUMIF(SYS_cliente!$F$5:$F$2500,A97,SYS_cliente!$I$5:$I$1678)+SUMIF(SYS_cliente!$K$5:$K$2500,A97,SYS_cliente!$N$5:$N$1678)+SUMIF(SYS_cliente!$P$5:$P$2500,A97,SYS_cliente!$S$5:$S$1678)))</f>
        <v>0</v>
      </c>
      <c r="G97" s="1322">
        <f>+SUMIF(asientos!$C$13:$C$1276,SYS_4_3_Digitos!A97,asientos!$B$13:$B$1276)</f>
        <v>0</v>
      </c>
      <c r="H97" s="1323">
        <f>+SUMIF(asientos!$I$13:$I$1276,SYS_4_3_Digitos!A97,asientos!$J$13:$J$1276)</f>
        <v>0</v>
      </c>
      <c r="I97" s="1322">
        <f t="shared" ca="1" si="12"/>
        <v>0</v>
      </c>
      <c r="J97" s="1323">
        <f t="shared" ca="1" si="13"/>
        <v>0</v>
      </c>
      <c r="L97" s="1308">
        <f t="shared" si="14"/>
        <v>2423000000</v>
      </c>
      <c r="M97" s="1296" t="str">
        <f t="shared" si="15"/>
        <v>2423</v>
      </c>
      <c r="N97" s="1309">
        <f t="shared" ca="1" si="16"/>
        <v>0</v>
      </c>
      <c r="O97" s="1296" t="str">
        <f t="shared" si="17"/>
        <v>24</v>
      </c>
    </row>
    <row r="98" spans="1:15" s="1296" customFormat="1">
      <c r="A98" s="1318">
        <v>2424</v>
      </c>
      <c r="B98" s="1319" t="s">
        <v>1681</v>
      </c>
      <c r="C98" s="1320">
        <v>0</v>
      </c>
      <c r="D98" s="1321">
        <v>0</v>
      </c>
      <c r="E98" s="1322">
        <f>IF(+SUMIF(SYS_cliente!$F$5:$F$2500,A98,SYS_cliente!$I$5:$I$2500)+SUMIF(SYS_cliente!$K$5:$K$2500,A98,SYS_cliente!$N$5:$N$2500)+SUMIF(SYS_cliente!$P$5:$P$2500,A98,SYS_cliente!$S$5:$S$2500)&lt;0,0,+SUMIF(SYS_cliente!$F$5:$F$2500,A98,SYS_cliente!$I$5:$I$2500)+SUMIF(SYS_cliente!$K$5:$K$2500,A98,SYS_cliente!$N$5:$N$2500)+SUMIF(SYS_cliente!$P$5:$P$2500,A98,SYS_cliente!$S$5:$S$2500))</f>
        <v>0</v>
      </c>
      <c r="F98" s="1323">
        <f ca="1">IF(+SUMIF(SYS_cliente!$F$5:$F$2500,A98,SYS_cliente!$I$5:$I$1678)+SUMIF(SYS_cliente!$K$5:$K$2500,A98,SYS_cliente!$N$5:$N$1678)+SUMIF(SYS_cliente!$P$5:$P$2500,A98,SYS_cliente!$S$5:$S$1678)&gt;=0,0,-(SUMIF(SYS_cliente!$F$5:$F$2500,A98,SYS_cliente!$I$5:$I$1678)+SUMIF(SYS_cliente!$K$5:$K$2500,A98,SYS_cliente!$N$5:$N$1678)+SUMIF(SYS_cliente!$P$5:$P$2500,A98,SYS_cliente!$S$5:$S$1678)))</f>
        <v>0</v>
      </c>
      <c r="G98" s="1322">
        <f>+SUMIF(asientos!$C$13:$C$1276,SYS_4_3_Digitos!A98,asientos!$B$13:$B$1276)</f>
        <v>0</v>
      </c>
      <c r="H98" s="1323">
        <f>+SUMIF(asientos!$I$13:$I$1276,SYS_4_3_Digitos!A98,asientos!$J$13:$J$1276)</f>
        <v>0</v>
      </c>
      <c r="I98" s="1322">
        <f t="shared" ca="1" si="12"/>
        <v>0</v>
      </c>
      <c r="J98" s="1323">
        <f t="shared" ca="1" si="13"/>
        <v>0</v>
      </c>
      <c r="L98" s="1308">
        <f t="shared" si="14"/>
        <v>2424000000</v>
      </c>
      <c r="M98" s="1296" t="str">
        <f t="shared" si="15"/>
        <v>2424</v>
      </c>
      <c r="N98" s="1309">
        <f t="shared" ca="1" si="16"/>
        <v>0</v>
      </c>
      <c r="O98" s="1296" t="str">
        <f t="shared" si="17"/>
        <v>24</v>
      </c>
    </row>
    <row r="99" spans="1:15" s="1296" customFormat="1">
      <c r="A99" s="1318">
        <v>2425</v>
      </c>
      <c r="B99" s="1319" t="s">
        <v>1682</v>
      </c>
      <c r="C99" s="1320">
        <v>0</v>
      </c>
      <c r="D99" s="1321">
        <v>0</v>
      </c>
      <c r="E99" s="1322">
        <f>IF(+SUMIF(SYS_cliente!$F$5:$F$2500,A99,SYS_cliente!$I$5:$I$2500)+SUMIF(SYS_cliente!$K$5:$K$2500,A99,SYS_cliente!$N$5:$N$2500)+SUMIF(SYS_cliente!$P$5:$P$2500,A99,SYS_cliente!$S$5:$S$2500)&lt;0,0,+SUMIF(SYS_cliente!$F$5:$F$2500,A99,SYS_cliente!$I$5:$I$2500)+SUMIF(SYS_cliente!$K$5:$K$2500,A99,SYS_cliente!$N$5:$N$2500)+SUMIF(SYS_cliente!$P$5:$P$2500,A99,SYS_cliente!$S$5:$S$2500))</f>
        <v>0</v>
      </c>
      <c r="F99" s="1323">
        <f ca="1">IF(+SUMIF(SYS_cliente!$F$5:$F$2500,A99,SYS_cliente!$I$5:$I$1678)+SUMIF(SYS_cliente!$K$5:$K$2500,A99,SYS_cliente!$N$5:$N$1678)+SUMIF(SYS_cliente!$P$5:$P$2500,A99,SYS_cliente!$S$5:$S$1678)&gt;=0,0,-(SUMIF(SYS_cliente!$F$5:$F$2500,A99,SYS_cliente!$I$5:$I$1678)+SUMIF(SYS_cliente!$K$5:$K$2500,A99,SYS_cliente!$N$5:$N$1678)+SUMIF(SYS_cliente!$P$5:$P$2500,A99,SYS_cliente!$S$5:$S$1678)))</f>
        <v>0</v>
      </c>
      <c r="G99" s="1322">
        <f>+SUMIF(asientos!$C$13:$C$1276,SYS_4_3_Digitos!A99,asientos!$B$13:$B$1276)</f>
        <v>0</v>
      </c>
      <c r="H99" s="1323">
        <f>+SUMIF(asientos!$I$13:$I$1276,SYS_4_3_Digitos!A99,asientos!$J$13:$J$1276)</f>
        <v>0</v>
      </c>
      <c r="I99" s="1322">
        <f t="shared" ca="1" si="12"/>
        <v>0</v>
      </c>
      <c r="J99" s="1323">
        <f t="shared" ca="1" si="13"/>
        <v>0</v>
      </c>
      <c r="L99" s="1308">
        <f t="shared" si="14"/>
        <v>2425000000</v>
      </c>
      <c r="M99" s="1296" t="str">
        <f t="shared" si="15"/>
        <v>2425</v>
      </c>
      <c r="N99" s="1309">
        <f t="shared" ca="1" si="16"/>
        <v>0</v>
      </c>
      <c r="O99" s="1296" t="str">
        <f t="shared" si="17"/>
        <v>24</v>
      </c>
    </row>
    <row r="100" spans="1:15" s="1296" customFormat="1">
      <c r="A100" s="1310">
        <v>2493</v>
      </c>
      <c r="B100" s="1311" t="s">
        <v>367</v>
      </c>
      <c r="C100" s="1312">
        <v>0</v>
      </c>
      <c r="D100" s="1313">
        <v>0</v>
      </c>
      <c r="E100" s="1314">
        <f>IF(+SUMIF(SYS_cliente!$F$5:$F$2500,A100,SYS_cliente!$I$5:$I$2500)+SUMIF(SYS_cliente!$K$5:$K$2500,A100,SYS_cliente!$N$5:$N$2500)+SUMIF(SYS_cliente!$P$5:$P$2500,A100,SYS_cliente!$S$5:$S$2500)&lt;0,0,+SUMIF(SYS_cliente!$F$5:$F$2500,A100,SYS_cliente!$I$5:$I$2500)+SUMIF(SYS_cliente!$K$5:$K$2500,A100,SYS_cliente!$N$5:$N$2500)+SUMIF(SYS_cliente!$P$5:$P$2500,A100,SYS_cliente!$S$5:$S$2500))</f>
        <v>0</v>
      </c>
      <c r="F100" s="1315">
        <f ca="1">IF(+SUMIF(SYS_cliente!$F$5:$F$2500,A100,SYS_cliente!$I$5:$I$1678)+SUMIF(SYS_cliente!$K$5:$K$2500,A100,SYS_cliente!$N$5:$N$1678)+SUMIF(SYS_cliente!$P$5:$P$2500,A100,SYS_cliente!$S$5:$S$1678)&gt;=0,0,-(SUMIF(SYS_cliente!$F$5:$F$2500,A100,SYS_cliente!$I$5:$I$1678)+SUMIF(SYS_cliente!$K$5:$K$2500,A100,SYS_cliente!$N$5:$N$1678)+SUMIF(SYS_cliente!$P$5:$P$2500,A100,SYS_cliente!$S$5:$S$1678)))</f>
        <v>0</v>
      </c>
      <c r="G100" s="1316">
        <f>+SUMIF(asientos!$C$13:$C$1276,SYS_4_3_Digitos!A100,asientos!$B$13:$B$1276)</f>
        <v>0</v>
      </c>
      <c r="H100" s="1317">
        <f>+SUMIF(asientos!$I$13:$I$1276,SYS_4_3_Digitos!A100,asientos!$J$13:$J$1276)</f>
        <v>0</v>
      </c>
      <c r="I100" s="1314">
        <f t="shared" ca="1" si="12"/>
        <v>0</v>
      </c>
      <c r="J100" s="1315">
        <f t="shared" ca="1" si="13"/>
        <v>0</v>
      </c>
      <c r="L100" s="1308">
        <f t="shared" si="14"/>
        <v>2493000000</v>
      </c>
      <c r="M100" s="1296" t="str">
        <f t="shared" si="15"/>
        <v>2493</v>
      </c>
      <c r="N100" s="1309">
        <f t="shared" ca="1" si="16"/>
        <v>0</v>
      </c>
      <c r="O100" s="1296" t="str">
        <f t="shared" si="17"/>
        <v>24</v>
      </c>
    </row>
    <row r="101" spans="1:15" s="1296" customFormat="1">
      <c r="A101" s="1310">
        <v>250</v>
      </c>
      <c r="B101" s="1311" t="s">
        <v>368</v>
      </c>
      <c r="C101" s="1312">
        <v>154951676.94999999</v>
      </c>
      <c r="D101" s="1313">
        <v>0</v>
      </c>
      <c r="E101" s="1314">
        <f>IF(+SUMIF(SYS_cliente!$F$5:$F$2500,A101,SYS_cliente!$I$5:$I$2500)+SUMIF(SYS_cliente!$K$5:$K$2500,A101,SYS_cliente!$N$5:$N$2500)+SUMIF(SYS_cliente!$P$5:$P$2500,A101,SYS_cliente!$S$5:$S$2500)&lt;0,0,+SUMIF(SYS_cliente!$F$5:$F$2500,A101,SYS_cliente!$I$5:$I$2500)+SUMIF(SYS_cliente!$K$5:$K$2500,A101,SYS_cliente!$N$5:$N$2500)+SUMIF(SYS_cliente!$P$5:$P$2500,A101,SYS_cliente!$S$5:$S$2500))</f>
        <v>163066826.97999999</v>
      </c>
      <c r="F101" s="1315">
        <f ca="1">IF(+SUMIF(SYS_cliente!$F$5:$F$2500,A101,SYS_cliente!$I$5:$I$1678)+SUMIF(SYS_cliente!$K$5:$K$2500,A101,SYS_cliente!$N$5:$N$1678)+SUMIF(SYS_cliente!$P$5:$P$2500,A101,SYS_cliente!$S$5:$S$1678)&gt;=0,0,-(SUMIF(SYS_cliente!$F$5:$F$2500,A101,SYS_cliente!$I$5:$I$1678)+SUMIF(SYS_cliente!$K$5:$K$2500,A101,SYS_cliente!$N$5:$N$1678)+SUMIF(SYS_cliente!$P$5:$P$2500,A101,SYS_cliente!$S$5:$S$1678)))</f>
        <v>0</v>
      </c>
      <c r="G101" s="1316">
        <f>+SUMIF(asientos!$C$13:$C$1276,SYS_4_3_Digitos!A101,asientos!$B$13:$B$1276)</f>
        <v>0</v>
      </c>
      <c r="H101" s="1317">
        <f>+SUMIF(asientos!$I$13:$I$1276,SYS_4_3_Digitos!A101,asientos!$J$13:$J$1276)</f>
        <v>0</v>
      </c>
      <c r="I101" s="1314">
        <f t="shared" ca="1" si="12"/>
        <v>163066826.97999999</v>
      </c>
      <c r="J101" s="1315">
        <f t="shared" ca="1" si="13"/>
        <v>0</v>
      </c>
      <c r="L101" s="1308">
        <f t="shared" si="14"/>
        <v>250000000</v>
      </c>
      <c r="M101" s="1296" t="str">
        <f t="shared" si="15"/>
        <v>2500</v>
      </c>
      <c r="N101" s="1309">
        <f t="shared" ca="1" si="16"/>
        <v>163066826.97999999</v>
      </c>
      <c r="O101" s="1296" t="str">
        <f t="shared" si="17"/>
        <v>25</v>
      </c>
    </row>
    <row r="102" spans="1:15" s="1296" customFormat="1">
      <c r="A102" s="1310">
        <v>251</v>
      </c>
      <c r="B102" s="1311" t="s">
        <v>369</v>
      </c>
      <c r="C102" s="1312">
        <v>0</v>
      </c>
      <c r="D102" s="1313">
        <v>0</v>
      </c>
      <c r="E102" s="1314">
        <f>IF(+SUMIF(SYS_cliente!$F$5:$F$2500,A102,SYS_cliente!$I$5:$I$2500)+SUMIF(SYS_cliente!$K$5:$K$2500,A102,SYS_cliente!$N$5:$N$2500)+SUMIF(SYS_cliente!$P$5:$P$2500,A102,SYS_cliente!$S$5:$S$2500)&lt;0,0,+SUMIF(SYS_cliente!$F$5:$F$2500,A102,SYS_cliente!$I$5:$I$2500)+SUMIF(SYS_cliente!$K$5:$K$2500,A102,SYS_cliente!$N$5:$N$2500)+SUMIF(SYS_cliente!$P$5:$P$2500,A102,SYS_cliente!$S$5:$S$2500))</f>
        <v>0</v>
      </c>
      <c r="F102" s="1315">
        <f ca="1">IF(+SUMIF(SYS_cliente!$F$5:$F$2500,A102,SYS_cliente!$I$5:$I$1678)+SUMIF(SYS_cliente!$K$5:$K$2500,A102,SYS_cliente!$N$5:$N$1678)+SUMIF(SYS_cliente!$P$5:$P$2500,A102,SYS_cliente!$S$5:$S$1678)&gt;=0,0,-(SUMIF(SYS_cliente!$F$5:$F$2500,A102,SYS_cliente!$I$5:$I$1678)+SUMIF(SYS_cliente!$K$5:$K$2500,A102,SYS_cliente!$N$5:$N$1678)+SUMIF(SYS_cliente!$P$5:$P$2500,A102,SYS_cliente!$S$5:$S$1678)))</f>
        <v>0</v>
      </c>
      <c r="G102" s="1316">
        <f>+SUMIF(asientos!$C$13:$C$1276,SYS_4_3_Digitos!A102,asientos!$B$13:$B$1276)</f>
        <v>0</v>
      </c>
      <c r="H102" s="1317">
        <f>+SUMIF(asientos!$I$13:$I$1276,SYS_4_3_Digitos!A102,asientos!$J$13:$J$1276)</f>
        <v>0</v>
      </c>
      <c r="I102" s="1314">
        <f t="shared" ca="1" si="12"/>
        <v>0</v>
      </c>
      <c r="J102" s="1315">
        <f t="shared" ca="1" si="13"/>
        <v>0</v>
      </c>
      <c r="L102" s="1308">
        <f t="shared" si="14"/>
        <v>251000000</v>
      </c>
      <c r="M102" s="1296" t="str">
        <f t="shared" si="15"/>
        <v>2510</v>
      </c>
      <c r="N102" s="1309">
        <f t="shared" ca="1" si="16"/>
        <v>0</v>
      </c>
      <c r="O102" s="1296" t="str">
        <f t="shared" si="17"/>
        <v>25</v>
      </c>
    </row>
    <row r="103" spans="1:15" s="1296" customFormat="1">
      <c r="A103" s="1310">
        <v>252</v>
      </c>
      <c r="B103" s="1311" t="s">
        <v>370</v>
      </c>
      <c r="C103" s="1312">
        <v>0</v>
      </c>
      <c r="D103" s="1313">
        <v>0</v>
      </c>
      <c r="E103" s="1314">
        <f>IF(+SUMIF(SYS_cliente!$F$5:$F$2500,A103,SYS_cliente!$I$5:$I$2500)+SUMIF(SYS_cliente!$K$5:$K$2500,A103,SYS_cliente!$N$5:$N$2500)+SUMIF(SYS_cliente!$P$5:$P$2500,A103,SYS_cliente!$S$5:$S$2500)&lt;0,0,+SUMIF(SYS_cliente!$F$5:$F$2500,A103,SYS_cliente!$I$5:$I$2500)+SUMIF(SYS_cliente!$K$5:$K$2500,A103,SYS_cliente!$N$5:$N$2500)+SUMIF(SYS_cliente!$P$5:$P$2500,A103,SYS_cliente!$S$5:$S$2500))</f>
        <v>0</v>
      </c>
      <c r="F103" s="1315">
        <f ca="1">IF(+SUMIF(SYS_cliente!$F$5:$F$2500,A103,SYS_cliente!$I$5:$I$1678)+SUMIF(SYS_cliente!$K$5:$K$2500,A103,SYS_cliente!$N$5:$N$1678)+SUMIF(SYS_cliente!$P$5:$P$2500,A103,SYS_cliente!$S$5:$S$1678)&gt;=0,0,-(SUMIF(SYS_cliente!$F$5:$F$2500,A103,SYS_cliente!$I$5:$I$1678)+SUMIF(SYS_cliente!$K$5:$K$2500,A103,SYS_cliente!$N$5:$N$1678)+SUMIF(SYS_cliente!$P$5:$P$2500,A103,SYS_cliente!$S$5:$S$1678)))</f>
        <v>0</v>
      </c>
      <c r="G103" s="1316">
        <f>+SUMIF(asientos!$C$13:$C$1276,SYS_4_3_Digitos!A103,asientos!$B$13:$B$1276)</f>
        <v>0</v>
      </c>
      <c r="H103" s="1317">
        <f>+SUMIF(asientos!$I$13:$I$1276,SYS_4_3_Digitos!A103,asientos!$J$13:$J$1276)</f>
        <v>0</v>
      </c>
      <c r="I103" s="1314">
        <f t="shared" ca="1" si="12"/>
        <v>0</v>
      </c>
      <c r="J103" s="1315">
        <f t="shared" ca="1" si="13"/>
        <v>0</v>
      </c>
      <c r="L103" s="1308">
        <f t="shared" si="14"/>
        <v>252000000</v>
      </c>
      <c r="M103" s="1296" t="str">
        <f t="shared" si="15"/>
        <v>2520</v>
      </c>
      <c r="N103" s="1309">
        <f t="shared" ca="1" si="16"/>
        <v>0</v>
      </c>
      <c r="O103" s="1296" t="str">
        <f t="shared" si="17"/>
        <v>25</v>
      </c>
    </row>
    <row r="104" spans="1:15" s="1296" customFormat="1">
      <c r="A104" s="1310">
        <v>253</v>
      </c>
      <c r="B104" s="1311" t="s">
        <v>371</v>
      </c>
      <c r="C104" s="1312">
        <v>0</v>
      </c>
      <c r="D104" s="1313">
        <v>0</v>
      </c>
      <c r="E104" s="1314">
        <f>IF(+SUMIF(SYS_cliente!$F$5:$F$2500,A104,SYS_cliente!$I$5:$I$2500)+SUMIF(SYS_cliente!$K$5:$K$2500,A104,SYS_cliente!$N$5:$N$2500)+SUMIF(SYS_cliente!$P$5:$P$2500,A104,SYS_cliente!$S$5:$S$2500)&lt;0,0,+SUMIF(SYS_cliente!$F$5:$F$2500,A104,SYS_cliente!$I$5:$I$2500)+SUMIF(SYS_cliente!$K$5:$K$2500,A104,SYS_cliente!$N$5:$N$2500)+SUMIF(SYS_cliente!$P$5:$P$2500,A104,SYS_cliente!$S$5:$S$2500))</f>
        <v>0</v>
      </c>
      <c r="F104" s="1315">
        <f ca="1">IF(+SUMIF(SYS_cliente!$F$5:$F$2500,A104,SYS_cliente!$I$5:$I$1678)+SUMIF(SYS_cliente!$K$5:$K$2500,A104,SYS_cliente!$N$5:$N$1678)+SUMIF(SYS_cliente!$P$5:$P$2500,A104,SYS_cliente!$S$5:$S$1678)&gt;=0,0,-(SUMIF(SYS_cliente!$F$5:$F$2500,A104,SYS_cliente!$I$5:$I$1678)+SUMIF(SYS_cliente!$K$5:$K$2500,A104,SYS_cliente!$N$5:$N$1678)+SUMIF(SYS_cliente!$P$5:$P$2500,A104,SYS_cliente!$S$5:$S$1678)))</f>
        <v>0</v>
      </c>
      <c r="G104" s="1316">
        <f>+SUMIF(asientos!$C$13:$C$1276,SYS_4_3_Digitos!A104,asientos!$B$13:$B$1276)</f>
        <v>0</v>
      </c>
      <c r="H104" s="1317">
        <f>+SUMIF(asientos!$I$13:$I$1276,SYS_4_3_Digitos!A104,asientos!$J$13:$J$1276)</f>
        <v>0</v>
      </c>
      <c r="I104" s="1314">
        <f t="shared" ca="1" si="12"/>
        <v>0</v>
      </c>
      <c r="J104" s="1315">
        <f t="shared" ca="1" si="13"/>
        <v>0</v>
      </c>
      <c r="L104" s="1308">
        <f t="shared" si="14"/>
        <v>253000000</v>
      </c>
      <c r="M104" s="1296" t="str">
        <f t="shared" si="15"/>
        <v>2530</v>
      </c>
      <c r="N104" s="1309">
        <f t="shared" ca="1" si="16"/>
        <v>0</v>
      </c>
      <c r="O104" s="1296" t="str">
        <f t="shared" si="17"/>
        <v>25</v>
      </c>
    </row>
    <row r="105" spans="1:15" s="1296" customFormat="1">
      <c r="A105" s="1310">
        <v>254</v>
      </c>
      <c r="B105" s="1311" t="s">
        <v>372</v>
      </c>
      <c r="C105" s="1312">
        <v>0</v>
      </c>
      <c r="D105" s="1313">
        <v>0</v>
      </c>
      <c r="E105" s="1314">
        <f>IF(+SUMIF(SYS_cliente!$F$5:$F$2500,A105,SYS_cliente!$I$5:$I$2500)+SUMIF(SYS_cliente!$K$5:$K$2500,A105,SYS_cliente!$N$5:$N$2500)+SUMIF(SYS_cliente!$P$5:$P$2500,A105,SYS_cliente!$S$5:$S$2500)&lt;0,0,+SUMIF(SYS_cliente!$F$5:$F$2500,A105,SYS_cliente!$I$5:$I$2500)+SUMIF(SYS_cliente!$K$5:$K$2500,A105,SYS_cliente!$N$5:$N$2500)+SUMIF(SYS_cliente!$P$5:$P$2500,A105,SYS_cliente!$S$5:$S$2500))</f>
        <v>6095.42</v>
      </c>
      <c r="F105" s="1315">
        <f ca="1">IF(+SUMIF(SYS_cliente!$F$5:$F$2500,A105,SYS_cliente!$I$5:$I$1678)+SUMIF(SYS_cliente!$K$5:$K$2500,A105,SYS_cliente!$N$5:$N$1678)+SUMIF(SYS_cliente!$P$5:$P$2500,A105,SYS_cliente!$S$5:$S$1678)&gt;=0,0,-(SUMIF(SYS_cliente!$F$5:$F$2500,A105,SYS_cliente!$I$5:$I$1678)+SUMIF(SYS_cliente!$K$5:$K$2500,A105,SYS_cliente!$N$5:$N$1678)+SUMIF(SYS_cliente!$P$5:$P$2500,A105,SYS_cliente!$S$5:$S$1678)))</f>
        <v>0</v>
      </c>
      <c r="G105" s="1316">
        <f>+SUMIF(asientos!$C$13:$C$1276,SYS_4_3_Digitos!A105,asientos!$B$13:$B$1276)</f>
        <v>0</v>
      </c>
      <c r="H105" s="1317">
        <f>+SUMIF(asientos!$I$13:$I$1276,SYS_4_3_Digitos!A105,asientos!$J$13:$J$1276)</f>
        <v>0</v>
      </c>
      <c r="I105" s="1314">
        <f t="shared" ca="1" si="12"/>
        <v>6095.42</v>
      </c>
      <c r="J105" s="1315">
        <f t="shared" ca="1" si="13"/>
        <v>0</v>
      </c>
      <c r="L105" s="1308">
        <f t="shared" si="14"/>
        <v>254000000</v>
      </c>
      <c r="M105" s="1296" t="str">
        <f t="shared" si="15"/>
        <v>2540</v>
      </c>
      <c r="N105" s="1309">
        <f t="shared" ca="1" si="16"/>
        <v>6095.42</v>
      </c>
      <c r="O105" s="1296" t="str">
        <f t="shared" si="17"/>
        <v>25</v>
      </c>
    </row>
    <row r="106" spans="1:15" s="1296" customFormat="1">
      <c r="A106" s="1310">
        <v>255</v>
      </c>
      <c r="B106" s="1311" t="s">
        <v>373</v>
      </c>
      <c r="C106" s="1312">
        <v>0</v>
      </c>
      <c r="D106" s="1313">
        <v>0</v>
      </c>
      <c r="E106" s="1314">
        <f>IF(+SUMIF(SYS_cliente!$F$5:$F$2500,A106,SYS_cliente!$I$5:$I$2500)+SUMIF(SYS_cliente!$K$5:$K$2500,A106,SYS_cliente!$N$5:$N$2500)+SUMIF(SYS_cliente!$P$5:$P$2500,A106,SYS_cliente!$S$5:$S$2500)&lt;0,0,+SUMIF(SYS_cliente!$F$5:$F$2500,A106,SYS_cliente!$I$5:$I$2500)+SUMIF(SYS_cliente!$K$5:$K$2500,A106,SYS_cliente!$N$5:$N$2500)+SUMIF(SYS_cliente!$P$5:$P$2500,A106,SYS_cliente!$S$5:$S$2500))</f>
        <v>0</v>
      </c>
      <c r="F106" s="1315">
        <f ca="1">IF(+SUMIF(SYS_cliente!$F$5:$F$2500,A106,SYS_cliente!$I$5:$I$1678)+SUMIF(SYS_cliente!$K$5:$K$2500,A106,SYS_cliente!$N$5:$N$1678)+SUMIF(SYS_cliente!$P$5:$P$2500,A106,SYS_cliente!$S$5:$S$1678)&gt;=0,0,-(SUMIF(SYS_cliente!$F$5:$F$2500,A106,SYS_cliente!$I$5:$I$1678)+SUMIF(SYS_cliente!$K$5:$K$2500,A106,SYS_cliente!$N$5:$N$1678)+SUMIF(SYS_cliente!$P$5:$P$2500,A106,SYS_cliente!$S$5:$S$1678)))</f>
        <v>0</v>
      </c>
      <c r="G106" s="1316">
        <f>+SUMIF(asientos!$C$13:$C$1276,SYS_4_3_Digitos!A106,asientos!$B$13:$B$1276)</f>
        <v>0</v>
      </c>
      <c r="H106" s="1317">
        <f>+SUMIF(asientos!$I$13:$I$1276,SYS_4_3_Digitos!A106,asientos!$J$13:$J$1276)</f>
        <v>0</v>
      </c>
      <c r="I106" s="1314">
        <f t="shared" ca="1" si="12"/>
        <v>0</v>
      </c>
      <c r="J106" s="1315">
        <f t="shared" ca="1" si="13"/>
        <v>0</v>
      </c>
      <c r="L106" s="1308">
        <f t="shared" si="14"/>
        <v>255000000</v>
      </c>
      <c r="M106" s="1296" t="str">
        <f t="shared" si="15"/>
        <v>2550</v>
      </c>
      <c r="N106" s="1309">
        <f t="shared" ca="1" si="16"/>
        <v>0</v>
      </c>
      <c r="O106" s="1296" t="str">
        <f t="shared" si="17"/>
        <v>25</v>
      </c>
    </row>
    <row r="107" spans="1:15" s="1296" customFormat="1">
      <c r="A107" s="1310">
        <v>257</v>
      </c>
      <c r="B107" s="1311" t="s">
        <v>374</v>
      </c>
      <c r="C107" s="1312">
        <v>0</v>
      </c>
      <c r="D107" s="1313">
        <v>0</v>
      </c>
      <c r="E107" s="1314">
        <f>IF(+SUMIF(SYS_cliente!$F$5:$F$2500,A107,SYS_cliente!$I$5:$I$2500)+SUMIF(SYS_cliente!$K$5:$K$2500,A107,SYS_cliente!$N$5:$N$2500)+SUMIF(SYS_cliente!$P$5:$P$2500,A107,SYS_cliente!$S$5:$S$2500)&lt;0,0,+SUMIF(SYS_cliente!$F$5:$F$2500,A107,SYS_cliente!$I$5:$I$2500)+SUMIF(SYS_cliente!$K$5:$K$2500,A107,SYS_cliente!$N$5:$N$2500)+SUMIF(SYS_cliente!$P$5:$P$2500,A107,SYS_cliente!$S$5:$S$2500))</f>
        <v>0</v>
      </c>
      <c r="F107" s="1315">
        <f ca="1">IF(+SUMIF(SYS_cliente!$F$5:$F$2500,A107,SYS_cliente!$I$5:$I$1678)+SUMIF(SYS_cliente!$K$5:$K$2500,A107,SYS_cliente!$N$5:$N$1678)+SUMIF(SYS_cliente!$P$5:$P$2500,A107,SYS_cliente!$S$5:$S$1678)&gt;=0,0,-(SUMIF(SYS_cliente!$F$5:$F$2500,A107,SYS_cliente!$I$5:$I$1678)+SUMIF(SYS_cliente!$K$5:$K$2500,A107,SYS_cliente!$N$5:$N$1678)+SUMIF(SYS_cliente!$P$5:$P$2500,A107,SYS_cliente!$S$5:$S$1678)))</f>
        <v>0</v>
      </c>
      <c r="G107" s="1316">
        <f>+SUMIF(asientos!$C$13:$C$1276,SYS_4_3_Digitos!A107,asientos!$B$13:$B$1276)</f>
        <v>0</v>
      </c>
      <c r="H107" s="1317">
        <f>+SUMIF(asientos!$I$13:$I$1276,SYS_4_3_Digitos!A107,asientos!$J$13:$J$1276)</f>
        <v>0</v>
      </c>
      <c r="I107" s="1314">
        <f t="shared" ca="1" si="12"/>
        <v>0</v>
      </c>
      <c r="J107" s="1315">
        <f t="shared" ca="1" si="13"/>
        <v>0</v>
      </c>
      <c r="L107" s="1308">
        <f t="shared" si="14"/>
        <v>257000000</v>
      </c>
      <c r="M107" s="1296" t="str">
        <f t="shared" si="15"/>
        <v>2570</v>
      </c>
      <c r="N107" s="1309">
        <f t="shared" ca="1" si="16"/>
        <v>0</v>
      </c>
      <c r="O107" s="1296" t="str">
        <f t="shared" si="17"/>
        <v>25</v>
      </c>
    </row>
    <row r="108" spans="1:15" s="1296" customFormat="1">
      <c r="A108" s="1310">
        <v>258</v>
      </c>
      <c r="B108" s="1311" t="s">
        <v>375</v>
      </c>
      <c r="C108" s="1312">
        <v>0</v>
      </c>
      <c r="D108" s="1313">
        <v>0</v>
      </c>
      <c r="E108" s="1314">
        <f>IF(+SUMIF(SYS_cliente!$F$5:$F$2500,A108,SYS_cliente!$I$5:$I$2500)+SUMIF(SYS_cliente!$K$5:$K$2500,A108,SYS_cliente!$N$5:$N$2500)+SUMIF(SYS_cliente!$P$5:$P$2500,A108,SYS_cliente!$S$5:$S$2500)&lt;0,0,+SUMIF(SYS_cliente!$F$5:$F$2500,A108,SYS_cliente!$I$5:$I$2500)+SUMIF(SYS_cliente!$K$5:$K$2500,A108,SYS_cliente!$N$5:$N$2500)+SUMIF(SYS_cliente!$P$5:$P$2500,A108,SYS_cliente!$S$5:$S$2500))</f>
        <v>0</v>
      </c>
      <c r="F108" s="1315">
        <f ca="1">IF(+SUMIF(SYS_cliente!$F$5:$F$2500,A108,SYS_cliente!$I$5:$I$1678)+SUMIF(SYS_cliente!$K$5:$K$2500,A108,SYS_cliente!$N$5:$N$1678)+SUMIF(SYS_cliente!$P$5:$P$2500,A108,SYS_cliente!$S$5:$S$1678)&gt;=0,0,-(SUMIF(SYS_cliente!$F$5:$F$2500,A108,SYS_cliente!$I$5:$I$1678)+SUMIF(SYS_cliente!$K$5:$K$2500,A108,SYS_cliente!$N$5:$N$1678)+SUMIF(SYS_cliente!$P$5:$P$2500,A108,SYS_cliente!$S$5:$S$1678)))</f>
        <v>0</v>
      </c>
      <c r="G108" s="1316">
        <f>+SUMIF(asientos!$C$13:$C$1276,SYS_4_3_Digitos!A108,asientos!$B$13:$B$1276)</f>
        <v>0</v>
      </c>
      <c r="H108" s="1317">
        <f>+SUMIF(asientos!$I$13:$I$1276,SYS_4_3_Digitos!A108,asientos!$J$13:$J$1276)</f>
        <v>0</v>
      </c>
      <c r="I108" s="1314">
        <f t="shared" ca="1" si="12"/>
        <v>0</v>
      </c>
      <c r="J108" s="1315">
        <f t="shared" ca="1" si="13"/>
        <v>0</v>
      </c>
      <c r="L108" s="1308">
        <f t="shared" si="14"/>
        <v>258000000</v>
      </c>
      <c r="M108" s="1296" t="str">
        <f t="shared" si="15"/>
        <v>2580</v>
      </c>
      <c r="N108" s="1309">
        <f t="shared" ca="1" si="16"/>
        <v>0</v>
      </c>
      <c r="O108" s="1296" t="str">
        <f t="shared" si="17"/>
        <v>25</v>
      </c>
    </row>
    <row r="109" spans="1:15" s="1296" customFormat="1">
      <c r="A109" s="1310">
        <v>259</v>
      </c>
      <c r="B109" s="1311" t="s">
        <v>376</v>
      </c>
      <c r="C109" s="1312">
        <v>0</v>
      </c>
      <c r="D109" s="1313">
        <v>0</v>
      </c>
      <c r="E109" s="1314">
        <f>IF(+SUMIF(SYS_cliente!$F$5:$F$2500,A109,SYS_cliente!$I$5:$I$2500)+SUMIF(SYS_cliente!$K$5:$K$2500,A109,SYS_cliente!$N$5:$N$2500)+SUMIF(SYS_cliente!$P$5:$P$2500,A109,SYS_cliente!$S$5:$S$2500)&lt;0,0,+SUMIF(SYS_cliente!$F$5:$F$2500,A109,SYS_cliente!$I$5:$I$2500)+SUMIF(SYS_cliente!$K$5:$K$2500,A109,SYS_cliente!$N$5:$N$2500)+SUMIF(SYS_cliente!$P$5:$P$2500,A109,SYS_cliente!$S$5:$S$2500))</f>
        <v>0</v>
      </c>
      <c r="F109" s="1315">
        <f ca="1">IF(+SUMIF(SYS_cliente!$F$5:$F$2500,A109,SYS_cliente!$I$5:$I$1678)+SUMIF(SYS_cliente!$K$5:$K$2500,A109,SYS_cliente!$N$5:$N$1678)+SUMIF(SYS_cliente!$P$5:$P$2500,A109,SYS_cliente!$S$5:$S$1678)&gt;=0,0,-(SUMIF(SYS_cliente!$F$5:$F$2500,A109,SYS_cliente!$I$5:$I$1678)+SUMIF(SYS_cliente!$K$5:$K$2500,A109,SYS_cliente!$N$5:$N$1678)+SUMIF(SYS_cliente!$P$5:$P$2500,A109,SYS_cliente!$S$5:$S$1678)))</f>
        <v>0</v>
      </c>
      <c r="G109" s="1316">
        <f>+SUMIF(asientos!$C$13:$C$1276,SYS_4_3_Digitos!A109,asientos!$B$13:$B$1276)</f>
        <v>0</v>
      </c>
      <c r="H109" s="1317">
        <f>+SUMIF(asientos!$I$13:$I$1276,SYS_4_3_Digitos!A109,asientos!$J$13:$J$1276)</f>
        <v>0</v>
      </c>
      <c r="I109" s="1314">
        <f t="shared" ca="1" si="12"/>
        <v>0</v>
      </c>
      <c r="J109" s="1315">
        <f t="shared" ca="1" si="13"/>
        <v>0</v>
      </c>
      <c r="L109" s="1308">
        <f t="shared" si="14"/>
        <v>259000000</v>
      </c>
      <c r="M109" s="1296" t="str">
        <f t="shared" si="15"/>
        <v>2590</v>
      </c>
      <c r="N109" s="1309">
        <f t="shared" ca="1" si="16"/>
        <v>0</v>
      </c>
      <c r="O109" s="1296" t="str">
        <f t="shared" si="17"/>
        <v>25</v>
      </c>
    </row>
    <row r="110" spans="1:15" s="1296" customFormat="1">
      <c r="A110" s="1310">
        <v>260</v>
      </c>
      <c r="B110" s="1311" t="s">
        <v>377</v>
      </c>
      <c r="C110" s="1312">
        <v>195246.81</v>
      </c>
      <c r="D110" s="1313">
        <v>0</v>
      </c>
      <c r="E110" s="1314">
        <f>IF(+SUMIF(SYS_cliente!$F$5:$F$2500,A110,SYS_cliente!$I$5:$I$2500)+SUMIF(SYS_cliente!$K$5:$K$2500,A110,SYS_cliente!$N$5:$N$2500)+SUMIF(SYS_cliente!$P$5:$P$2500,A110,SYS_cliente!$S$5:$S$2500)&lt;0,0,+SUMIF(SYS_cliente!$F$5:$F$2500,A110,SYS_cliente!$I$5:$I$2500)+SUMIF(SYS_cliente!$K$5:$K$2500,A110,SYS_cliente!$N$5:$N$2500)+SUMIF(SYS_cliente!$P$5:$P$2500,A110,SYS_cliente!$S$5:$S$2500))</f>
        <v>202851.78</v>
      </c>
      <c r="F110" s="1315">
        <f ca="1">IF(+SUMIF(SYS_cliente!$F$5:$F$2500,A110,SYS_cliente!$I$5:$I$1678)+SUMIF(SYS_cliente!$K$5:$K$2500,A110,SYS_cliente!$N$5:$N$1678)+SUMIF(SYS_cliente!$P$5:$P$2500,A110,SYS_cliente!$S$5:$S$1678)&gt;=0,0,-(SUMIF(SYS_cliente!$F$5:$F$2500,A110,SYS_cliente!$I$5:$I$1678)+SUMIF(SYS_cliente!$K$5:$K$2500,A110,SYS_cliente!$N$5:$N$1678)+SUMIF(SYS_cliente!$P$5:$P$2500,A110,SYS_cliente!$S$5:$S$1678)))</f>
        <v>0</v>
      </c>
      <c r="G110" s="1316">
        <f>+SUMIF(asientos!$C$13:$C$1276,SYS_4_3_Digitos!A110,asientos!$B$13:$B$1276)</f>
        <v>0</v>
      </c>
      <c r="H110" s="1317">
        <f>+SUMIF(asientos!$I$13:$I$1276,SYS_4_3_Digitos!A110,asientos!$J$13:$J$1276)</f>
        <v>0</v>
      </c>
      <c r="I110" s="1314">
        <f t="shared" ca="1" si="12"/>
        <v>202851.78</v>
      </c>
      <c r="J110" s="1315">
        <f t="shared" ca="1" si="13"/>
        <v>0</v>
      </c>
      <c r="L110" s="1308">
        <f t="shared" si="14"/>
        <v>260000000</v>
      </c>
      <c r="M110" s="1296" t="str">
        <f t="shared" si="15"/>
        <v>2600</v>
      </c>
      <c r="N110" s="1309">
        <f t="shared" ca="1" si="16"/>
        <v>202851.78</v>
      </c>
      <c r="O110" s="1296" t="str">
        <f t="shared" si="17"/>
        <v>26</v>
      </c>
    </row>
    <row r="111" spans="1:15" s="1296" customFormat="1">
      <c r="A111" s="1310">
        <v>265</v>
      </c>
      <c r="B111" s="1311" t="s">
        <v>378</v>
      </c>
      <c r="C111" s="1312">
        <v>0</v>
      </c>
      <c r="D111" s="1313">
        <v>10485.760000000002</v>
      </c>
      <c r="E111" s="1314">
        <f>IF(+SUMIF(SYS_cliente!$F$5:$F$2500,A111,SYS_cliente!$I$5:$I$2500)+SUMIF(SYS_cliente!$K$5:$K$2500,A111,SYS_cliente!$N$5:$N$2500)+SUMIF(SYS_cliente!$P$5:$P$2500,A111,SYS_cliente!$S$5:$S$2500)&lt;0,0,+SUMIF(SYS_cliente!$F$5:$F$2500,A111,SYS_cliente!$I$5:$I$2500)+SUMIF(SYS_cliente!$K$5:$K$2500,A111,SYS_cliente!$N$5:$N$2500)+SUMIF(SYS_cliente!$P$5:$P$2500,A111,SYS_cliente!$S$5:$S$2500))</f>
        <v>0</v>
      </c>
      <c r="F111" s="1315">
        <f ca="1">IF(+SUMIF(SYS_cliente!$F$5:$F$2500,A111,SYS_cliente!$I$5:$I$1678)+SUMIF(SYS_cliente!$K$5:$K$2500,A111,SYS_cliente!$N$5:$N$1678)+SUMIF(SYS_cliente!$P$5:$P$2500,A111,SYS_cliente!$S$5:$S$1678)&gt;=0,0,-(SUMIF(SYS_cliente!$F$5:$F$2500,A111,SYS_cliente!$I$5:$I$1678)+SUMIF(SYS_cliente!$K$5:$K$2500,A111,SYS_cliente!$N$5:$N$1678)+SUMIF(SYS_cliente!$P$5:$P$2500,A111,SYS_cliente!$S$5:$S$1678)))</f>
        <v>18235.760000000002</v>
      </c>
      <c r="G111" s="1316">
        <f>+SUMIF(asientos!$C$13:$C$1276,SYS_4_3_Digitos!A111,asientos!$B$13:$B$1276)</f>
        <v>0</v>
      </c>
      <c r="H111" s="1317">
        <f>+SUMIF(asientos!$I$13:$I$1276,SYS_4_3_Digitos!A111,asientos!$J$13:$J$1276)</f>
        <v>0</v>
      </c>
      <c r="I111" s="1314">
        <f t="shared" ca="1" si="12"/>
        <v>0</v>
      </c>
      <c r="J111" s="1315">
        <f t="shared" ca="1" si="13"/>
        <v>18235.760000000002</v>
      </c>
      <c r="L111" s="1308">
        <f t="shared" si="14"/>
        <v>265000000</v>
      </c>
      <c r="M111" s="1296" t="str">
        <f t="shared" si="15"/>
        <v>2650</v>
      </c>
      <c r="N111" s="1309">
        <f t="shared" ca="1" si="16"/>
        <v>-18235.760000000002</v>
      </c>
      <c r="O111" s="1296" t="str">
        <f t="shared" si="17"/>
        <v>26</v>
      </c>
    </row>
    <row r="112" spans="1:15" s="1296" customFormat="1">
      <c r="A112" s="1310">
        <v>2800</v>
      </c>
      <c r="B112" s="1311" t="s">
        <v>379</v>
      </c>
      <c r="C112" s="1312">
        <v>0</v>
      </c>
      <c r="D112" s="1313">
        <v>0</v>
      </c>
      <c r="E112" s="1314">
        <f>IF(+SUMIF(SYS_cliente!$F$5:$F$2500,A112,SYS_cliente!$I$5:$I$2500)+SUMIF(SYS_cliente!$K$5:$K$2500,A112,SYS_cliente!$N$5:$N$2500)+SUMIF(SYS_cliente!$P$5:$P$2500,A112,SYS_cliente!$S$5:$S$2500)&lt;0,0,+SUMIF(SYS_cliente!$F$5:$F$2500,A112,SYS_cliente!$I$5:$I$2500)+SUMIF(SYS_cliente!$K$5:$K$2500,A112,SYS_cliente!$N$5:$N$2500)+SUMIF(SYS_cliente!$P$5:$P$2500,A112,SYS_cliente!$S$5:$S$2500))</f>
        <v>0</v>
      </c>
      <c r="F112" s="1315">
        <f ca="1">IF(+SUMIF(SYS_cliente!$F$5:$F$2500,A112,SYS_cliente!$I$5:$I$1678)+SUMIF(SYS_cliente!$K$5:$K$2500,A112,SYS_cliente!$N$5:$N$1678)+SUMIF(SYS_cliente!$P$5:$P$2500,A112,SYS_cliente!$S$5:$S$1678)&gt;=0,0,-(SUMIF(SYS_cliente!$F$5:$F$2500,A112,SYS_cliente!$I$5:$I$1678)+SUMIF(SYS_cliente!$K$5:$K$2500,A112,SYS_cliente!$N$5:$N$1678)+SUMIF(SYS_cliente!$P$5:$P$2500,A112,SYS_cliente!$S$5:$S$1678)))</f>
        <v>0</v>
      </c>
      <c r="G112" s="1316">
        <f>+SUMIF(asientos!$C$13:$C$1276,SYS_4_3_Digitos!A112,asientos!$B$13:$B$1276)</f>
        <v>0</v>
      </c>
      <c r="H112" s="1317">
        <f>+SUMIF(asientos!$I$13:$I$1276,SYS_4_3_Digitos!A112,asientos!$J$13:$J$1276)</f>
        <v>0</v>
      </c>
      <c r="I112" s="1314">
        <f t="shared" ca="1" si="12"/>
        <v>0</v>
      </c>
      <c r="J112" s="1315">
        <f t="shared" ca="1" si="13"/>
        <v>0</v>
      </c>
      <c r="L112" s="1308">
        <f t="shared" si="14"/>
        <v>2800000000</v>
      </c>
      <c r="M112" s="1296" t="str">
        <f t="shared" si="15"/>
        <v>2800</v>
      </c>
      <c r="N112" s="1309">
        <f t="shared" ca="1" si="16"/>
        <v>0</v>
      </c>
      <c r="O112" s="1296" t="str">
        <f t="shared" si="17"/>
        <v>28</v>
      </c>
    </row>
    <row r="113" spans="1:15" s="1296" customFormat="1">
      <c r="A113" s="1310">
        <v>2801</v>
      </c>
      <c r="B113" s="1311" t="s">
        <v>380</v>
      </c>
      <c r="C113" s="1312">
        <v>0</v>
      </c>
      <c r="D113" s="1313">
        <v>0</v>
      </c>
      <c r="E113" s="1314">
        <f>IF(+SUMIF(SYS_cliente!$F$5:$F$2500,A113,SYS_cliente!$I$5:$I$2500)+SUMIF(SYS_cliente!$K$5:$K$2500,A113,SYS_cliente!$N$5:$N$2500)+SUMIF(SYS_cliente!$P$5:$P$2500,A113,SYS_cliente!$S$5:$S$2500)&lt;0,0,+SUMIF(SYS_cliente!$F$5:$F$2500,A113,SYS_cliente!$I$5:$I$2500)+SUMIF(SYS_cliente!$K$5:$K$2500,A113,SYS_cliente!$N$5:$N$2500)+SUMIF(SYS_cliente!$P$5:$P$2500,A113,SYS_cliente!$S$5:$S$2500))</f>
        <v>0</v>
      </c>
      <c r="F113" s="1315">
        <f ca="1">IF(+SUMIF(SYS_cliente!$F$5:$F$2500,A113,SYS_cliente!$I$5:$I$1678)+SUMIF(SYS_cliente!$K$5:$K$2500,A113,SYS_cliente!$N$5:$N$1678)+SUMIF(SYS_cliente!$P$5:$P$2500,A113,SYS_cliente!$S$5:$S$1678)&gt;=0,0,-(SUMIF(SYS_cliente!$F$5:$F$2500,A113,SYS_cliente!$I$5:$I$1678)+SUMIF(SYS_cliente!$K$5:$K$2500,A113,SYS_cliente!$N$5:$N$1678)+SUMIF(SYS_cliente!$P$5:$P$2500,A113,SYS_cliente!$S$5:$S$1678)))</f>
        <v>0</v>
      </c>
      <c r="G113" s="1316">
        <f>+SUMIF(asientos!$C$13:$C$1276,SYS_4_3_Digitos!A113,asientos!$B$13:$B$1276)</f>
        <v>0</v>
      </c>
      <c r="H113" s="1317">
        <f>+SUMIF(asientos!$I$13:$I$1276,SYS_4_3_Digitos!A113,asientos!$J$13:$J$1276)</f>
        <v>0</v>
      </c>
      <c r="I113" s="1314">
        <f t="shared" ca="1" si="12"/>
        <v>0</v>
      </c>
      <c r="J113" s="1315">
        <f t="shared" ca="1" si="13"/>
        <v>0</v>
      </c>
      <c r="L113" s="1308">
        <f t="shared" si="14"/>
        <v>2801000000</v>
      </c>
      <c r="M113" s="1296" t="str">
        <f t="shared" si="15"/>
        <v>2801</v>
      </c>
      <c r="N113" s="1309">
        <f t="shared" ca="1" si="16"/>
        <v>0</v>
      </c>
      <c r="O113" s="1296" t="str">
        <f t="shared" si="17"/>
        <v>28</v>
      </c>
    </row>
    <row r="114" spans="1:15" s="1296" customFormat="1">
      <c r="A114" s="1310">
        <v>2802</v>
      </c>
      <c r="B114" s="1311" t="s">
        <v>381</v>
      </c>
      <c r="C114" s="1312">
        <v>0</v>
      </c>
      <c r="D114" s="1313">
        <v>9185.7000000000007</v>
      </c>
      <c r="E114" s="1314">
        <f>IF(+SUMIF(SYS_cliente!$F$5:$F$2500,A114,SYS_cliente!$I$5:$I$2500)+SUMIF(SYS_cliente!$K$5:$K$2500,A114,SYS_cliente!$N$5:$N$2500)+SUMIF(SYS_cliente!$P$5:$P$2500,A114,SYS_cliente!$S$5:$S$2500)&lt;0,0,+SUMIF(SYS_cliente!$F$5:$F$2500,A114,SYS_cliente!$I$5:$I$2500)+SUMIF(SYS_cliente!$K$5:$K$2500,A114,SYS_cliente!$N$5:$N$2500)+SUMIF(SYS_cliente!$P$5:$P$2500,A114,SYS_cliente!$S$5:$S$2500))</f>
        <v>0</v>
      </c>
      <c r="F114" s="1315">
        <f ca="1">IF(+SUMIF(SYS_cliente!$F$5:$F$2500,A114,SYS_cliente!$I$5:$I$1678)+SUMIF(SYS_cliente!$K$5:$K$2500,A114,SYS_cliente!$N$5:$N$1678)+SUMIF(SYS_cliente!$P$5:$P$2500,A114,SYS_cliente!$S$5:$S$1678)&gt;=0,0,-(SUMIF(SYS_cliente!$F$5:$F$2500,A114,SYS_cliente!$I$5:$I$1678)+SUMIF(SYS_cliente!$K$5:$K$2500,A114,SYS_cliente!$N$5:$N$1678)+SUMIF(SYS_cliente!$P$5:$P$2500,A114,SYS_cliente!$S$5:$S$1678)))</f>
        <v>9628.74</v>
      </c>
      <c r="G114" s="1316">
        <f>+SUMIF(asientos!$C$13:$C$1276,SYS_4_3_Digitos!A114,asientos!$B$13:$B$1276)</f>
        <v>0</v>
      </c>
      <c r="H114" s="1317">
        <f>+SUMIF(asientos!$I$13:$I$1276,SYS_4_3_Digitos!A114,asientos!$J$13:$J$1276)</f>
        <v>0</v>
      </c>
      <c r="I114" s="1314">
        <f t="shared" ca="1" si="12"/>
        <v>0</v>
      </c>
      <c r="J114" s="1315">
        <f t="shared" ca="1" si="13"/>
        <v>9628.74</v>
      </c>
      <c r="L114" s="1308">
        <f t="shared" si="14"/>
        <v>2802000000</v>
      </c>
      <c r="M114" s="1296" t="str">
        <f t="shared" si="15"/>
        <v>2802</v>
      </c>
      <c r="N114" s="1309">
        <f t="shared" ca="1" si="16"/>
        <v>-9628.74</v>
      </c>
      <c r="O114" s="1296" t="str">
        <f t="shared" si="17"/>
        <v>28</v>
      </c>
    </row>
    <row r="115" spans="1:15" s="1296" customFormat="1">
      <c r="A115" s="1310">
        <v>2803</v>
      </c>
      <c r="B115" s="1311" t="s">
        <v>382</v>
      </c>
      <c r="C115" s="1312">
        <v>0</v>
      </c>
      <c r="D115" s="1313">
        <v>0</v>
      </c>
      <c r="E115" s="1314">
        <f>IF(+SUMIF(SYS_cliente!$F$5:$F$2500,A115,SYS_cliente!$I$5:$I$2500)+SUMIF(SYS_cliente!$K$5:$K$2500,A115,SYS_cliente!$N$5:$N$2500)+SUMIF(SYS_cliente!$P$5:$P$2500,A115,SYS_cliente!$S$5:$S$2500)&lt;0,0,+SUMIF(SYS_cliente!$F$5:$F$2500,A115,SYS_cliente!$I$5:$I$2500)+SUMIF(SYS_cliente!$K$5:$K$2500,A115,SYS_cliente!$N$5:$N$2500)+SUMIF(SYS_cliente!$P$5:$P$2500,A115,SYS_cliente!$S$5:$S$2500))</f>
        <v>0</v>
      </c>
      <c r="F115" s="1315">
        <f ca="1">IF(+SUMIF(SYS_cliente!$F$5:$F$2500,A115,SYS_cliente!$I$5:$I$1678)+SUMIF(SYS_cliente!$K$5:$K$2500,A115,SYS_cliente!$N$5:$N$1678)+SUMIF(SYS_cliente!$P$5:$P$2500,A115,SYS_cliente!$S$5:$S$1678)&gt;=0,0,-(SUMIF(SYS_cliente!$F$5:$F$2500,A115,SYS_cliente!$I$5:$I$1678)+SUMIF(SYS_cliente!$K$5:$K$2500,A115,SYS_cliente!$N$5:$N$1678)+SUMIF(SYS_cliente!$P$5:$P$2500,A115,SYS_cliente!$S$5:$S$1678)))</f>
        <v>0</v>
      </c>
      <c r="G115" s="1316">
        <f>+SUMIF(asientos!$C$13:$C$1276,SYS_4_3_Digitos!A115,asientos!$B$13:$B$1276)</f>
        <v>0</v>
      </c>
      <c r="H115" s="1317">
        <f>+SUMIF(asientos!$I$13:$I$1276,SYS_4_3_Digitos!A115,asientos!$J$13:$J$1276)</f>
        <v>0</v>
      </c>
      <c r="I115" s="1314">
        <f t="shared" ca="1" si="12"/>
        <v>0</v>
      </c>
      <c r="J115" s="1315">
        <f t="shared" ca="1" si="13"/>
        <v>0</v>
      </c>
      <c r="L115" s="1308">
        <f t="shared" si="14"/>
        <v>2803000000</v>
      </c>
      <c r="M115" s="1296" t="str">
        <f t="shared" si="15"/>
        <v>2803</v>
      </c>
      <c r="N115" s="1309">
        <f t="shared" ca="1" si="16"/>
        <v>0</v>
      </c>
      <c r="O115" s="1296" t="str">
        <f t="shared" si="17"/>
        <v>28</v>
      </c>
    </row>
    <row r="116" spans="1:15" s="1296" customFormat="1">
      <c r="A116" s="1310">
        <v>2804</v>
      </c>
      <c r="B116" s="1311" t="s">
        <v>1981</v>
      </c>
      <c r="C116" s="1312">
        <v>0</v>
      </c>
      <c r="D116" s="1313">
        <v>0</v>
      </c>
      <c r="E116" s="1314">
        <f>IF(+SUMIF(SYS_cliente!$F$5:$F$2500,A116,SYS_cliente!$I$5:$I$2500)+SUMIF(SYS_cliente!$K$5:$K$2500,A116,SYS_cliente!$N$5:$N$2500)+SUMIF(SYS_cliente!$P$5:$P$2500,A116,SYS_cliente!$S$5:$S$2500)&lt;0,0,+SUMIF(SYS_cliente!$F$5:$F$2500,A116,SYS_cliente!$I$5:$I$2500)+SUMIF(SYS_cliente!$K$5:$K$2500,A116,SYS_cliente!$N$5:$N$2500)+SUMIF(SYS_cliente!$P$5:$P$2500,A116,SYS_cliente!$S$5:$S$2500))</f>
        <v>0</v>
      </c>
      <c r="F116" s="1315">
        <f ca="1">IF(+SUMIF(SYS_cliente!$F$5:$F$2500,A116,SYS_cliente!$I$5:$I$1678)+SUMIF(SYS_cliente!$K$5:$K$2500,A116,SYS_cliente!$N$5:$N$1678)+SUMIF(SYS_cliente!$P$5:$P$2500,A116,SYS_cliente!$S$5:$S$1678)&gt;=0,0,-(SUMIF(SYS_cliente!$F$5:$F$2500,A116,SYS_cliente!$I$5:$I$1678)+SUMIF(SYS_cliente!$K$5:$K$2500,A116,SYS_cliente!$N$5:$N$1678)+SUMIF(SYS_cliente!$P$5:$P$2500,A116,SYS_cliente!$S$5:$S$1678)))</f>
        <v>0</v>
      </c>
      <c r="G116" s="1316">
        <f>+SUMIF(asientos!$C$13:$C$1276,SYS_4_3_Digitos!A116,asientos!$B$13:$B$1276)</f>
        <v>0</v>
      </c>
      <c r="H116" s="1317">
        <f>+SUMIF(asientos!$I$13:$I$1276,SYS_4_3_Digitos!A116,asientos!$J$13:$J$1276)</f>
        <v>0</v>
      </c>
      <c r="I116" s="1314">
        <f t="shared" ref="I116" ca="1" si="18">IF((E116+G116-F116-H116)&gt;0,E116+G116-F116-H116,0)</f>
        <v>0</v>
      </c>
      <c r="J116" s="1315">
        <f t="shared" ref="J116" ca="1" si="19">IF((F116+H116-E116-G116)&gt;0,F116+H116-E116-G116,0)</f>
        <v>0</v>
      </c>
      <c r="L116" s="1308">
        <f t="shared" si="14"/>
        <v>2804000000</v>
      </c>
      <c r="M116" s="1296" t="str">
        <f t="shared" si="15"/>
        <v>2804</v>
      </c>
      <c r="N116" s="1309">
        <f t="shared" ca="1" si="16"/>
        <v>0</v>
      </c>
      <c r="O116" s="1296" t="str">
        <f t="shared" si="17"/>
        <v>28</v>
      </c>
    </row>
    <row r="117" spans="1:15" s="1296" customFormat="1">
      <c r="A117" s="1310">
        <v>2805</v>
      </c>
      <c r="B117" s="1311" t="s">
        <v>383</v>
      </c>
      <c r="C117" s="1312">
        <v>0</v>
      </c>
      <c r="D117" s="1313">
        <v>0</v>
      </c>
      <c r="E117" s="1314">
        <f>IF(+SUMIF(SYS_cliente!$F$5:$F$2500,A117,SYS_cliente!$I$5:$I$2500)+SUMIF(SYS_cliente!$K$5:$K$2500,A117,SYS_cliente!$N$5:$N$2500)+SUMIF(SYS_cliente!$P$5:$P$2500,A117,SYS_cliente!$S$5:$S$2500)&lt;0,0,+SUMIF(SYS_cliente!$F$5:$F$2500,A117,SYS_cliente!$I$5:$I$2500)+SUMIF(SYS_cliente!$K$5:$K$2500,A117,SYS_cliente!$N$5:$N$2500)+SUMIF(SYS_cliente!$P$5:$P$2500,A117,SYS_cliente!$S$5:$S$2500))</f>
        <v>0</v>
      </c>
      <c r="F117" s="1315">
        <f ca="1">IF(+SUMIF(SYS_cliente!$F$5:$F$2500,A117,SYS_cliente!$I$5:$I$1678)+SUMIF(SYS_cliente!$K$5:$K$2500,A117,SYS_cliente!$N$5:$N$1678)+SUMIF(SYS_cliente!$P$5:$P$2500,A117,SYS_cliente!$S$5:$S$1678)&gt;=0,0,-(SUMIF(SYS_cliente!$F$5:$F$2500,A117,SYS_cliente!$I$5:$I$1678)+SUMIF(SYS_cliente!$K$5:$K$2500,A117,SYS_cliente!$N$5:$N$1678)+SUMIF(SYS_cliente!$P$5:$P$2500,A117,SYS_cliente!$S$5:$S$1678)))</f>
        <v>0</v>
      </c>
      <c r="G117" s="1316">
        <f>+SUMIF(asientos!$C$13:$C$1276,SYS_4_3_Digitos!A117,asientos!$B$13:$B$1276)</f>
        <v>0</v>
      </c>
      <c r="H117" s="1317">
        <f>+SUMIF(asientos!$I$13:$I$1276,SYS_4_3_Digitos!A117,asientos!$J$13:$J$1276)</f>
        <v>0</v>
      </c>
      <c r="I117" s="1314">
        <f t="shared" ca="1" si="12"/>
        <v>0</v>
      </c>
      <c r="J117" s="1315">
        <f t="shared" ca="1" si="13"/>
        <v>0</v>
      </c>
      <c r="L117" s="1308">
        <f t="shared" si="14"/>
        <v>2805000000</v>
      </c>
      <c r="M117" s="1296" t="str">
        <f t="shared" si="15"/>
        <v>2805</v>
      </c>
      <c r="N117" s="1309">
        <f t="shared" ca="1" si="16"/>
        <v>0</v>
      </c>
      <c r="O117" s="1296" t="str">
        <f t="shared" si="17"/>
        <v>28</v>
      </c>
    </row>
    <row r="118" spans="1:15" s="1296" customFormat="1">
      <c r="A118" s="1310">
        <v>2806</v>
      </c>
      <c r="B118" s="1311" t="s">
        <v>384</v>
      </c>
      <c r="C118" s="1312">
        <v>0</v>
      </c>
      <c r="D118" s="1313">
        <v>64667.71</v>
      </c>
      <c r="E118" s="1314">
        <f>IF(+SUMIF(SYS_cliente!$F$5:$F$2500,A118,SYS_cliente!$I$5:$I$2500)+SUMIF(SYS_cliente!$K$5:$K$2500,A118,SYS_cliente!$N$5:$N$2500)+SUMIF(SYS_cliente!$P$5:$P$2500,A118,SYS_cliente!$S$5:$S$2500)&lt;0,0,+SUMIF(SYS_cliente!$F$5:$F$2500,A118,SYS_cliente!$I$5:$I$2500)+SUMIF(SYS_cliente!$K$5:$K$2500,A118,SYS_cliente!$N$5:$N$2500)+SUMIF(SYS_cliente!$P$5:$P$2500,A118,SYS_cliente!$S$5:$S$2500))</f>
        <v>0</v>
      </c>
      <c r="F118" s="1315">
        <f ca="1">IF(+SUMIF(SYS_cliente!$F$5:$F$2500,A118,SYS_cliente!$I$5:$I$1678)+SUMIF(SYS_cliente!$K$5:$K$2500,A118,SYS_cliente!$N$5:$N$1678)+SUMIF(SYS_cliente!$P$5:$P$2500,A118,SYS_cliente!$S$5:$S$1678)&gt;=0,0,-(SUMIF(SYS_cliente!$F$5:$F$2500,A118,SYS_cliente!$I$5:$I$1678)+SUMIF(SYS_cliente!$K$5:$K$2500,A118,SYS_cliente!$N$5:$N$1678)+SUMIF(SYS_cliente!$P$5:$P$2500,A118,SYS_cliente!$S$5:$S$1678)))</f>
        <v>88931.13</v>
      </c>
      <c r="G118" s="1316">
        <f>+SUMIF(asientos!$C$13:$C$1276,SYS_4_3_Digitos!A118,asientos!$B$13:$B$1276)</f>
        <v>0</v>
      </c>
      <c r="H118" s="1317">
        <f>+SUMIF(asientos!$I$13:$I$1276,SYS_4_3_Digitos!A118,asientos!$J$13:$J$1276)</f>
        <v>0</v>
      </c>
      <c r="I118" s="1314">
        <f t="shared" ca="1" si="12"/>
        <v>0</v>
      </c>
      <c r="J118" s="1315">
        <f t="shared" ca="1" si="13"/>
        <v>88931.13</v>
      </c>
      <c r="L118" s="1308">
        <f t="shared" si="14"/>
        <v>2806000000</v>
      </c>
      <c r="M118" s="1296" t="str">
        <f t="shared" si="15"/>
        <v>2806</v>
      </c>
      <c r="N118" s="1309">
        <f t="shared" ca="1" si="16"/>
        <v>-88931.13</v>
      </c>
      <c r="O118" s="1296" t="str">
        <f t="shared" si="17"/>
        <v>28</v>
      </c>
    </row>
    <row r="119" spans="1:15" s="1296" customFormat="1">
      <c r="A119" s="1310">
        <v>2811</v>
      </c>
      <c r="B119" s="1311" t="s">
        <v>385</v>
      </c>
      <c r="C119" s="1312">
        <v>0</v>
      </c>
      <c r="D119" s="1313">
        <v>2993059.28</v>
      </c>
      <c r="E119" s="1314">
        <f>IF(+SUMIF(SYS_cliente!$F$5:$F$2500,A119,SYS_cliente!$I$5:$I$2500)+SUMIF(SYS_cliente!$K$5:$K$2500,A119,SYS_cliente!$N$5:$N$2500)+SUMIF(SYS_cliente!$P$5:$P$2500,A119,SYS_cliente!$S$5:$S$2500)&lt;0,0,+SUMIF(SYS_cliente!$F$5:$F$2500,A119,SYS_cliente!$I$5:$I$2500)+SUMIF(SYS_cliente!$K$5:$K$2500,A119,SYS_cliente!$N$5:$N$2500)+SUMIF(SYS_cliente!$P$5:$P$2500,A119,SYS_cliente!$S$5:$S$2500))</f>
        <v>0</v>
      </c>
      <c r="F119" s="1315">
        <f ca="1">IF(+SUMIF(SYS_cliente!$F$5:$F$2500,A119,SYS_cliente!$I$5:$I$1678)+SUMIF(SYS_cliente!$K$5:$K$2500,A119,SYS_cliente!$N$5:$N$1678)+SUMIF(SYS_cliente!$P$5:$P$2500,A119,SYS_cliente!$S$5:$S$1678)&gt;=0,0,-(SUMIF(SYS_cliente!$F$5:$F$2500,A119,SYS_cliente!$I$5:$I$1678)+SUMIF(SYS_cliente!$K$5:$K$2500,A119,SYS_cliente!$N$5:$N$1678)+SUMIF(SYS_cliente!$P$5:$P$2500,A119,SYS_cliente!$S$5:$S$1678)))</f>
        <v>3128562.16</v>
      </c>
      <c r="G119" s="1316">
        <f>+SUMIF(asientos!$C$13:$C$1276,SYS_4_3_Digitos!A119,asientos!$B$13:$B$1276)</f>
        <v>0</v>
      </c>
      <c r="H119" s="1317">
        <f>+SUMIF(asientos!$I$13:$I$1276,SYS_4_3_Digitos!A119,asientos!$J$13:$J$1276)</f>
        <v>0</v>
      </c>
      <c r="I119" s="1314">
        <f t="shared" ca="1" si="12"/>
        <v>0</v>
      </c>
      <c r="J119" s="1315">
        <f t="shared" ca="1" si="13"/>
        <v>3128562.16</v>
      </c>
      <c r="L119" s="1308">
        <f t="shared" si="14"/>
        <v>2811000000</v>
      </c>
      <c r="M119" s="1296" t="str">
        <f t="shared" si="15"/>
        <v>2811</v>
      </c>
      <c r="N119" s="1309">
        <f t="shared" ca="1" si="16"/>
        <v>-3128562.16</v>
      </c>
      <c r="O119" s="1296" t="str">
        <f t="shared" si="17"/>
        <v>28</v>
      </c>
    </row>
    <row r="120" spans="1:15" s="1296" customFormat="1">
      <c r="A120" s="1310">
        <v>2812</v>
      </c>
      <c r="B120" s="1311" t="s">
        <v>386</v>
      </c>
      <c r="C120" s="1312">
        <v>0</v>
      </c>
      <c r="D120" s="1313">
        <v>17595547.829999998</v>
      </c>
      <c r="E120" s="1314">
        <f>IF(+SUMIF(SYS_cliente!$F$5:$F$2500,A120,SYS_cliente!$I$5:$I$2500)+SUMIF(SYS_cliente!$K$5:$K$2500,A120,SYS_cliente!$N$5:$N$2500)+SUMIF(SYS_cliente!$P$5:$P$2500,A120,SYS_cliente!$S$5:$S$2500)&lt;0,0,+SUMIF(SYS_cliente!$F$5:$F$2500,A120,SYS_cliente!$I$5:$I$2500)+SUMIF(SYS_cliente!$K$5:$K$2500,A120,SYS_cliente!$N$5:$N$2500)+SUMIF(SYS_cliente!$P$5:$P$2500,A120,SYS_cliente!$S$5:$S$2500))</f>
        <v>0</v>
      </c>
      <c r="F120" s="1315">
        <f ca="1">IF(+SUMIF(SYS_cliente!$F$5:$F$2500,A120,SYS_cliente!$I$5:$I$1678)+SUMIF(SYS_cliente!$K$5:$K$2500,A120,SYS_cliente!$N$5:$N$1678)+SUMIF(SYS_cliente!$P$5:$P$2500,A120,SYS_cliente!$S$5:$S$1678)&gt;=0,0,-(SUMIF(SYS_cliente!$F$5:$F$2500,A120,SYS_cliente!$I$5:$I$1678)+SUMIF(SYS_cliente!$K$5:$K$2500,A120,SYS_cliente!$N$5:$N$1678)+SUMIF(SYS_cliente!$P$5:$P$2500,A120,SYS_cliente!$S$5:$S$1678)))</f>
        <v>17859712.620000001</v>
      </c>
      <c r="G120" s="1316">
        <f>+SUMIF(asientos!$C$13:$C$1276,SYS_4_3_Digitos!A120,asientos!$B$13:$B$1276)</f>
        <v>0</v>
      </c>
      <c r="H120" s="1317">
        <f>+SUMIF(asientos!$I$13:$I$1276,SYS_4_3_Digitos!A120,asientos!$J$13:$J$1276)</f>
        <v>0</v>
      </c>
      <c r="I120" s="1314">
        <f t="shared" ca="1" si="12"/>
        <v>0</v>
      </c>
      <c r="J120" s="1315">
        <f t="shared" ca="1" si="13"/>
        <v>17859712.620000001</v>
      </c>
      <c r="L120" s="1308">
        <f t="shared" si="14"/>
        <v>2812000000</v>
      </c>
      <c r="M120" s="1296" t="str">
        <f t="shared" si="15"/>
        <v>2812</v>
      </c>
      <c r="N120" s="1309">
        <f t="shared" ca="1" si="16"/>
        <v>-17859712.620000001</v>
      </c>
      <c r="O120" s="1296" t="str">
        <f t="shared" si="17"/>
        <v>28</v>
      </c>
    </row>
    <row r="121" spans="1:15" s="1296" customFormat="1">
      <c r="A121" s="1310">
        <v>2813</v>
      </c>
      <c r="B121" s="1311" t="s">
        <v>387</v>
      </c>
      <c r="C121" s="1312">
        <v>0</v>
      </c>
      <c r="D121" s="1313">
        <v>961579.2</v>
      </c>
      <c r="E121" s="1314">
        <f>IF(+SUMIF(SYS_cliente!$F$5:$F$2500,A121,SYS_cliente!$I$5:$I$2500)+SUMIF(SYS_cliente!$K$5:$K$2500,A121,SYS_cliente!$N$5:$N$2500)+SUMIF(SYS_cliente!$P$5:$P$2500,A121,SYS_cliente!$S$5:$S$2500)&lt;0,0,+SUMIF(SYS_cliente!$F$5:$F$2500,A121,SYS_cliente!$I$5:$I$2500)+SUMIF(SYS_cliente!$K$5:$K$2500,A121,SYS_cliente!$N$5:$N$2500)+SUMIF(SYS_cliente!$P$5:$P$2500,A121,SYS_cliente!$S$5:$S$2500))</f>
        <v>0</v>
      </c>
      <c r="F121" s="1315">
        <f ca="1">IF(+SUMIF(SYS_cliente!$F$5:$F$2500,A121,SYS_cliente!$I$5:$I$1678)+SUMIF(SYS_cliente!$K$5:$K$2500,A121,SYS_cliente!$N$5:$N$1678)+SUMIF(SYS_cliente!$P$5:$P$2500,A121,SYS_cliente!$S$5:$S$1678)&gt;=0,0,-(SUMIF(SYS_cliente!$F$5:$F$2500,A121,SYS_cliente!$I$5:$I$1678)+SUMIF(SYS_cliente!$K$5:$K$2500,A121,SYS_cliente!$N$5:$N$1678)+SUMIF(SYS_cliente!$P$5:$P$2500,A121,SYS_cliente!$S$5:$S$1678)))</f>
        <v>946983.86</v>
      </c>
      <c r="G121" s="1316">
        <f>+SUMIF(asientos!$C$13:$C$1276,SYS_4_3_Digitos!A121,asientos!$B$13:$B$1276)</f>
        <v>0</v>
      </c>
      <c r="H121" s="1317">
        <f>+SUMIF(asientos!$I$13:$I$1276,SYS_4_3_Digitos!A121,asientos!$J$13:$J$1276)</f>
        <v>0</v>
      </c>
      <c r="I121" s="1314">
        <f t="shared" ca="1" si="12"/>
        <v>0</v>
      </c>
      <c r="J121" s="1315">
        <f t="shared" ca="1" si="13"/>
        <v>946983.86</v>
      </c>
      <c r="L121" s="1308">
        <f t="shared" si="14"/>
        <v>2813000000</v>
      </c>
      <c r="M121" s="1296" t="str">
        <f t="shared" si="15"/>
        <v>2813</v>
      </c>
      <c r="N121" s="1309">
        <f t="shared" ca="1" si="16"/>
        <v>-946983.86</v>
      </c>
      <c r="O121" s="1296" t="str">
        <f t="shared" si="17"/>
        <v>28</v>
      </c>
    </row>
    <row r="122" spans="1:15" s="1296" customFormat="1">
      <c r="A122" s="1310">
        <v>2814</v>
      </c>
      <c r="B122" s="1311" t="s">
        <v>388</v>
      </c>
      <c r="C122" s="1312">
        <v>0</v>
      </c>
      <c r="D122" s="1313">
        <v>10306.1</v>
      </c>
      <c r="E122" s="1314">
        <f>IF(+SUMIF(SYS_cliente!$F$5:$F$2500,A122,SYS_cliente!$I$5:$I$2500)+SUMIF(SYS_cliente!$K$5:$K$2500,A122,SYS_cliente!$N$5:$N$2500)+SUMIF(SYS_cliente!$P$5:$P$2500,A122,SYS_cliente!$S$5:$S$2500)&lt;0,0,+SUMIF(SYS_cliente!$F$5:$F$2500,A122,SYS_cliente!$I$5:$I$2500)+SUMIF(SYS_cliente!$K$5:$K$2500,A122,SYS_cliente!$N$5:$N$2500)+SUMIF(SYS_cliente!$P$5:$P$2500,A122,SYS_cliente!$S$5:$S$2500))</f>
        <v>0</v>
      </c>
      <c r="F122" s="1315">
        <f ca="1">IF(+SUMIF(SYS_cliente!$F$5:$F$2500,A122,SYS_cliente!$I$5:$I$1678)+SUMIF(SYS_cliente!$K$5:$K$2500,A122,SYS_cliente!$N$5:$N$1678)+SUMIF(SYS_cliente!$P$5:$P$2500,A122,SYS_cliente!$S$5:$S$1678)&gt;=0,0,-(SUMIF(SYS_cliente!$F$5:$F$2500,A122,SYS_cliente!$I$5:$I$1678)+SUMIF(SYS_cliente!$K$5:$K$2500,A122,SYS_cliente!$N$5:$N$1678)+SUMIF(SYS_cliente!$P$5:$P$2500,A122,SYS_cliente!$S$5:$S$1678)))</f>
        <v>10306.1</v>
      </c>
      <c r="G122" s="1316">
        <f>+SUMIF(asientos!$C$13:$C$1276,SYS_4_3_Digitos!A122,asientos!$B$13:$B$1276)</f>
        <v>0</v>
      </c>
      <c r="H122" s="1317">
        <f>+SUMIF(asientos!$I$13:$I$1276,SYS_4_3_Digitos!A122,asientos!$J$13:$J$1276)</f>
        <v>0</v>
      </c>
      <c r="I122" s="1314">
        <f t="shared" ca="1" si="12"/>
        <v>0</v>
      </c>
      <c r="J122" s="1315">
        <f t="shared" ca="1" si="13"/>
        <v>10306.1</v>
      </c>
      <c r="L122" s="1308">
        <f t="shared" si="14"/>
        <v>2814000000</v>
      </c>
      <c r="M122" s="1296" t="str">
        <f t="shared" si="15"/>
        <v>2814</v>
      </c>
      <c r="N122" s="1309">
        <f t="shared" ca="1" si="16"/>
        <v>-10306.1</v>
      </c>
      <c r="O122" s="1296" t="str">
        <f t="shared" si="17"/>
        <v>28</v>
      </c>
    </row>
    <row r="123" spans="1:15" s="1296" customFormat="1">
      <c r="A123" s="1310">
        <v>2815</v>
      </c>
      <c r="B123" s="1311" t="s">
        <v>389</v>
      </c>
      <c r="C123" s="1312">
        <v>0</v>
      </c>
      <c r="D123" s="1313">
        <v>1066538.94</v>
      </c>
      <c r="E123" s="1314">
        <f>IF(+SUMIF(SYS_cliente!$F$5:$F$2500,A123,SYS_cliente!$I$5:$I$2500)+SUMIF(SYS_cliente!$K$5:$K$2500,A123,SYS_cliente!$N$5:$N$2500)+SUMIF(SYS_cliente!$P$5:$P$2500,A123,SYS_cliente!$S$5:$S$2500)&lt;0,0,+SUMIF(SYS_cliente!$F$5:$F$2500,A123,SYS_cliente!$I$5:$I$2500)+SUMIF(SYS_cliente!$K$5:$K$2500,A123,SYS_cliente!$N$5:$N$2500)+SUMIF(SYS_cliente!$P$5:$P$2500,A123,SYS_cliente!$S$5:$S$2500))</f>
        <v>0</v>
      </c>
      <c r="F123" s="1315">
        <f ca="1">IF(+SUMIF(SYS_cliente!$F$5:$F$2500,A123,SYS_cliente!$I$5:$I$1678)+SUMIF(SYS_cliente!$K$5:$K$2500,A123,SYS_cliente!$N$5:$N$1678)+SUMIF(SYS_cliente!$P$5:$P$2500,A123,SYS_cliente!$S$5:$S$1678)&gt;=0,0,-(SUMIF(SYS_cliente!$F$5:$F$2500,A123,SYS_cliente!$I$5:$I$1678)+SUMIF(SYS_cliente!$K$5:$K$2500,A123,SYS_cliente!$N$5:$N$1678)+SUMIF(SYS_cliente!$P$5:$P$2500,A123,SYS_cliente!$S$5:$S$1678)))</f>
        <v>1078807.1499999999</v>
      </c>
      <c r="G123" s="1316">
        <f>+SUMIF(asientos!$C$13:$C$1276,SYS_4_3_Digitos!A123,asientos!$B$13:$B$1276)</f>
        <v>0</v>
      </c>
      <c r="H123" s="1317">
        <f>+SUMIF(asientos!$I$13:$I$1276,SYS_4_3_Digitos!A123,asientos!$J$13:$J$1276)</f>
        <v>0</v>
      </c>
      <c r="I123" s="1314">
        <f t="shared" ca="1" si="12"/>
        <v>0</v>
      </c>
      <c r="J123" s="1315">
        <f t="shared" ca="1" si="13"/>
        <v>1078807.1499999999</v>
      </c>
      <c r="L123" s="1308">
        <f t="shared" si="14"/>
        <v>2815000000</v>
      </c>
      <c r="M123" s="1296" t="str">
        <f t="shared" si="15"/>
        <v>2815</v>
      </c>
      <c r="N123" s="1309">
        <f t="shared" ca="1" si="16"/>
        <v>-1078807.1499999999</v>
      </c>
      <c r="O123" s="1296" t="str">
        <f t="shared" si="17"/>
        <v>28</v>
      </c>
    </row>
    <row r="124" spans="1:15" s="1296" customFormat="1">
      <c r="A124" s="1310">
        <v>2816</v>
      </c>
      <c r="B124" s="1311" t="s">
        <v>390</v>
      </c>
      <c r="C124" s="1312">
        <v>0</v>
      </c>
      <c r="D124" s="1313">
        <v>46043.520000000004</v>
      </c>
      <c r="E124" s="1314">
        <f>IF(+SUMIF(SYS_cliente!$F$5:$F$2500,A124,SYS_cliente!$I$5:$I$2500)+SUMIF(SYS_cliente!$K$5:$K$2500,A124,SYS_cliente!$N$5:$N$2500)+SUMIF(SYS_cliente!$P$5:$P$2500,A124,SYS_cliente!$S$5:$S$2500)&lt;0,0,+SUMIF(SYS_cliente!$F$5:$F$2500,A124,SYS_cliente!$I$5:$I$2500)+SUMIF(SYS_cliente!$K$5:$K$2500,A124,SYS_cliente!$N$5:$N$2500)+SUMIF(SYS_cliente!$P$5:$P$2500,A124,SYS_cliente!$S$5:$S$2500))</f>
        <v>0</v>
      </c>
      <c r="F124" s="1315">
        <f ca="1">IF(+SUMIF(SYS_cliente!$F$5:$F$2500,A124,SYS_cliente!$I$5:$I$1678)+SUMIF(SYS_cliente!$K$5:$K$2500,A124,SYS_cliente!$N$5:$N$1678)+SUMIF(SYS_cliente!$P$5:$P$2500,A124,SYS_cliente!$S$5:$S$1678)&gt;=0,0,-(SUMIF(SYS_cliente!$F$5:$F$2500,A124,SYS_cliente!$I$5:$I$1678)+SUMIF(SYS_cliente!$K$5:$K$2500,A124,SYS_cliente!$N$5:$N$1678)+SUMIF(SYS_cliente!$P$5:$P$2500,A124,SYS_cliente!$S$5:$S$1678)))</f>
        <v>87249.42</v>
      </c>
      <c r="G124" s="1316">
        <f>+SUMIF(asientos!$C$13:$C$1276,SYS_4_3_Digitos!A124,asientos!$B$13:$B$1276)</f>
        <v>0</v>
      </c>
      <c r="H124" s="1317">
        <f>+SUMIF(asientos!$I$13:$I$1276,SYS_4_3_Digitos!A124,asientos!$J$13:$J$1276)</f>
        <v>0</v>
      </c>
      <c r="I124" s="1314">
        <f t="shared" ca="1" si="12"/>
        <v>0</v>
      </c>
      <c r="J124" s="1315">
        <f t="shared" ca="1" si="13"/>
        <v>87249.42</v>
      </c>
      <c r="L124" s="1308">
        <f t="shared" si="14"/>
        <v>2816000000</v>
      </c>
      <c r="M124" s="1296" t="str">
        <f t="shared" si="15"/>
        <v>2816</v>
      </c>
      <c r="N124" s="1309">
        <f t="shared" ca="1" si="16"/>
        <v>-87249.42</v>
      </c>
      <c r="O124" s="1296" t="str">
        <f t="shared" si="17"/>
        <v>28</v>
      </c>
    </row>
    <row r="125" spans="1:15" s="1296" customFormat="1">
      <c r="A125" s="1310">
        <v>2817</v>
      </c>
      <c r="B125" s="1311" t="s">
        <v>391</v>
      </c>
      <c r="C125" s="1312">
        <v>0</v>
      </c>
      <c r="D125" s="1313">
        <v>42033.19</v>
      </c>
      <c r="E125" s="1314">
        <f>IF(+SUMIF(SYS_cliente!$F$5:$F$2500,A125,SYS_cliente!$I$5:$I$2500)+SUMIF(SYS_cliente!$K$5:$K$2500,A125,SYS_cliente!$N$5:$N$2500)+SUMIF(SYS_cliente!$P$5:$P$2500,A125,SYS_cliente!$S$5:$S$2500)&lt;0,0,+SUMIF(SYS_cliente!$F$5:$F$2500,A125,SYS_cliente!$I$5:$I$2500)+SUMIF(SYS_cliente!$K$5:$K$2500,A125,SYS_cliente!$N$5:$N$2500)+SUMIF(SYS_cliente!$P$5:$P$2500,A125,SYS_cliente!$S$5:$S$2500))</f>
        <v>0</v>
      </c>
      <c r="F125" s="1315">
        <f ca="1">IF(+SUMIF(SYS_cliente!$F$5:$F$2500,A125,SYS_cliente!$I$5:$I$1678)+SUMIF(SYS_cliente!$K$5:$K$2500,A125,SYS_cliente!$N$5:$N$1678)+SUMIF(SYS_cliente!$P$5:$P$2500,A125,SYS_cliente!$S$5:$S$1678)&gt;=0,0,-(SUMIF(SYS_cliente!$F$5:$F$2500,A125,SYS_cliente!$I$5:$I$1678)+SUMIF(SYS_cliente!$K$5:$K$2500,A125,SYS_cliente!$N$5:$N$1678)+SUMIF(SYS_cliente!$P$5:$P$2500,A125,SYS_cliente!$S$5:$S$1678)))</f>
        <v>46638.74</v>
      </c>
      <c r="G125" s="1316">
        <f>+SUMIF(asientos!$C$13:$C$1276,SYS_4_3_Digitos!A125,asientos!$B$13:$B$1276)</f>
        <v>0</v>
      </c>
      <c r="H125" s="1317">
        <f>+SUMIF(asientos!$I$13:$I$1276,SYS_4_3_Digitos!A125,asientos!$J$13:$J$1276)</f>
        <v>0</v>
      </c>
      <c r="I125" s="1314">
        <f t="shared" ca="1" si="12"/>
        <v>0</v>
      </c>
      <c r="J125" s="1315">
        <f t="shared" ca="1" si="13"/>
        <v>46638.74</v>
      </c>
      <c r="L125" s="1308">
        <f t="shared" si="14"/>
        <v>2817000000</v>
      </c>
      <c r="M125" s="1296" t="str">
        <f t="shared" si="15"/>
        <v>2817</v>
      </c>
      <c r="N125" s="1309">
        <f t="shared" ca="1" si="16"/>
        <v>-46638.74</v>
      </c>
      <c r="O125" s="1296" t="str">
        <f t="shared" si="17"/>
        <v>28</v>
      </c>
    </row>
    <row r="126" spans="1:15" s="1296" customFormat="1">
      <c r="A126" s="1310">
        <v>2818</v>
      </c>
      <c r="B126" s="1311" t="s">
        <v>392</v>
      </c>
      <c r="C126" s="1312">
        <v>0</v>
      </c>
      <c r="D126" s="1313">
        <v>85249.7</v>
      </c>
      <c r="E126" s="1314">
        <f>IF(+SUMIF(SYS_cliente!$F$5:$F$2500,A126,SYS_cliente!$I$5:$I$2500)+SUMIF(SYS_cliente!$K$5:$K$2500,A126,SYS_cliente!$N$5:$N$2500)+SUMIF(SYS_cliente!$P$5:$P$2500,A126,SYS_cliente!$S$5:$S$2500)&lt;0,0,+SUMIF(SYS_cliente!$F$5:$F$2500,A126,SYS_cliente!$I$5:$I$2500)+SUMIF(SYS_cliente!$K$5:$K$2500,A126,SYS_cliente!$N$5:$N$2500)+SUMIF(SYS_cliente!$P$5:$P$2500,A126,SYS_cliente!$S$5:$S$2500))</f>
        <v>0</v>
      </c>
      <c r="F126" s="1315">
        <f ca="1">IF(+SUMIF(SYS_cliente!$F$5:$F$2500,A126,SYS_cliente!$I$5:$I$1678)+SUMIF(SYS_cliente!$K$5:$K$2500,A126,SYS_cliente!$N$5:$N$1678)+SUMIF(SYS_cliente!$P$5:$P$2500,A126,SYS_cliente!$S$5:$S$1678)&gt;=0,0,-(SUMIF(SYS_cliente!$F$5:$F$2500,A126,SYS_cliente!$I$5:$I$1678)+SUMIF(SYS_cliente!$K$5:$K$2500,A126,SYS_cliente!$N$5:$N$1678)+SUMIF(SYS_cliente!$P$5:$P$2500,A126,SYS_cliente!$S$5:$S$1678)))</f>
        <v>85249.7</v>
      </c>
      <c r="G126" s="1316">
        <f>+SUMIF(asientos!$C$13:$C$1276,SYS_4_3_Digitos!A126,asientos!$B$13:$B$1276)</f>
        <v>0</v>
      </c>
      <c r="H126" s="1317">
        <f>+SUMIF(asientos!$I$13:$I$1276,SYS_4_3_Digitos!A126,asientos!$J$13:$J$1276)</f>
        <v>0</v>
      </c>
      <c r="I126" s="1314">
        <f t="shared" ca="1" si="12"/>
        <v>0</v>
      </c>
      <c r="J126" s="1315">
        <f t="shared" ca="1" si="13"/>
        <v>85249.7</v>
      </c>
      <c r="L126" s="1308">
        <f t="shared" si="14"/>
        <v>2818000000</v>
      </c>
      <c r="M126" s="1296" t="str">
        <f t="shared" si="15"/>
        <v>2818</v>
      </c>
      <c r="N126" s="1309">
        <f t="shared" ca="1" si="16"/>
        <v>-85249.7</v>
      </c>
      <c r="O126" s="1296" t="str">
        <f t="shared" si="17"/>
        <v>28</v>
      </c>
    </row>
    <row r="127" spans="1:15" s="1296" customFormat="1">
      <c r="A127" s="1310">
        <v>2819</v>
      </c>
      <c r="B127" s="1311" t="s">
        <v>393</v>
      </c>
      <c r="C127" s="1312">
        <v>0</v>
      </c>
      <c r="D127" s="1313">
        <v>471026.01</v>
      </c>
      <c r="E127" s="1314">
        <f>IF(+SUMIF(SYS_cliente!$F$5:$F$2500,A127,SYS_cliente!$I$5:$I$2500)+SUMIF(SYS_cliente!$K$5:$K$2500,A127,SYS_cliente!$N$5:$N$2500)+SUMIF(SYS_cliente!$P$5:$P$2500,A127,SYS_cliente!$S$5:$S$2500)&lt;0,0,+SUMIF(SYS_cliente!$F$5:$F$2500,A127,SYS_cliente!$I$5:$I$2500)+SUMIF(SYS_cliente!$K$5:$K$2500,A127,SYS_cliente!$N$5:$N$2500)+SUMIF(SYS_cliente!$P$5:$P$2500,A127,SYS_cliente!$S$5:$S$2500))</f>
        <v>0</v>
      </c>
      <c r="F127" s="1315">
        <f ca="1">IF(+SUMIF(SYS_cliente!$F$5:$F$2500,A127,SYS_cliente!$I$5:$I$1678)+SUMIF(SYS_cliente!$K$5:$K$2500,A127,SYS_cliente!$N$5:$N$1678)+SUMIF(SYS_cliente!$P$5:$P$2500,A127,SYS_cliente!$S$5:$S$1678)&gt;=0,0,-(SUMIF(SYS_cliente!$F$5:$F$2500,A127,SYS_cliente!$I$5:$I$1678)+SUMIF(SYS_cliente!$K$5:$K$2500,A127,SYS_cliente!$N$5:$N$1678)+SUMIF(SYS_cliente!$P$5:$P$2500,A127,SYS_cliente!$S$5:$S$1678)))</f>
        <v>510483.56999999995</v>
      </c>
      <c r="G127" s="1316">
        <f>+SUMIF(asientos!$C$13:$C$1276,SYS_4_3_Digitos!A127,asientos!$B$13:$B$1276)</f>
        <v>0</v>
      </c>
      <c r="H127" s="1317">
        <f>+SUMIF(asientos!$I$13:$I$1276,SYS_4_3_Digitos!A127,asientos!$J$13:$J$1276)</f>
        <v>0</v>
      </c>
      <c r="I127" s="1314">
        <f t="shared" ca="1" si="12"/>
        <v>0</v>
      </c>
      <c r="J127" s="1315">
        <f t="shared" ca="1" si="13"/>
        <v>510483.56999999995</v>
      </c>
      <c r="L127" s="1308">
        <f t="shared" si="14"/>
        <v>2819000000</v>
      </c>
      <c r="M127" s="1296" t="str">
        <f t="shared" si="15"/>
        <v>2819</v>
      </c>
      <c r="N127" s="1309">
        <f t="shared" ca="1" si="16"/>
        <v>-510483.56999999995</v>
      </c>
      <c r="O127" s="1296" t="str">
        <f t="shared" si="17"/>
        <v>28</v>
      </c>
    </row>
    <row r="128" spans="1:15" s="1296" customFormat="1">
      <c r="A128" s="1310">
        <v>282</v>
      </c>
      <c r="B128" s="1311" t="s">
        <v>394</v>
      </c>
      <c r="C128" s="1312">
        <v>0</v>
      </c>
      <c r="D128" s="1313">
        <v>540947.39</v>
      </c>
      <c r="E128" s="1314">
        <f>IF(+SUMIF(SYS_cliente!$F$5:$F$2500,A128,SYS_cliente!$I$5:$I$2500)+SUMIF(SYS_cliente!$K$5:$K$2500,A128,SYS_cliente!$N$5:$N$2500)+SUMIF(SYS_cliente!$P$5:$P$2500,A128,SYS_cliente!$S$5:$S$2500)&lt;0,0,+SUMIF(SYS_cliente!$F$5:$F$2500,A128,SYS_cliente!$I$5:$I$2500)+SUMIF(SYS_cliente!$K$5:$K$2500,A128,SYS_cliente!$N$5:$N$2500)+SUMIF(SYS_cliente!$P$5:$P$2500,A128,SYS_cliente!$S$5:$S$2500))</f>
        <v>0</v>
      </c>
      <c r="F128" s="1315">
        <f ca="1">IF(+SUMIF(SYS_cliente!$F$5:$F$2500,A128,SYS_cliente!$I$5:$I$1678)+SUMIF(SYS_cliente!$K$5:$K$2500,A128,SYS_cliente!$N$5:$N$1678)+SUMIF(SYS_cliente!$P$5:$P$2500,A128,SYS_cliente!$S$5:$S$1678)&gt;=0,0,-(SUMIF(SYS_cliente!$F$5:$F$2500,A128,SYS_cliente!$I$5:$I$1678)+SUMIF(SYS_cliente!$K$5:$K$2500,A128,SYS_cliente!$N$5:$N$1678)+SUMIF(SYS_cliente!$P$5:$P$2500,A128,SYS_cliente!$S$5:$S$1678)))</f>
        <v>899558.49</v>
      </c>
      <c r="G128" s="1316">
        <f>+SUMIF(asientos!$C$13:$C$1276,SYS_4_3_Digitos!A128,asientos!$B$13:$B$1276)</f>
        <v>0</v>
      </c>
      <c r="H128" s="1317">
        <f>+SUMIF(asientos!$I$13:$I$1276,SYS_4_3_Digitos!A128,asientos!$J$13:$J$1276)</f>
        <v>0</v>
      </c>
      <c r="I128" s="1314">
        <f t="shared" ca="1" si="12"/>
        <v>0</v>
      </c>
      <c r="J128" s="1315">
        <f t="shared" ca="1" si="13"/>
        <v>899558.49</v>
      </c>
      <c r="L128" s="1308">
        <f t="shared" si="14"/>
        <v>282000000</v>
      </c>
      <c r="M128" s="1296" t="str">
        <f t="shared" si="15"/>
        <v>2820</v>
      </c>
      <c r="N128" s="1309">
        <f t="shared" ca="1" si="16"/>
        <v>-899558.49</v>
      </c>
      <c r="O128" s="1296" t="str">
        <f t="shared" si="17"/>
        <v>28</v>
      </c>
    </row>
    <row r="129" spans="1:15" s="1296" customFormat="1">
      <c r="A129" s="1310">
        <v>290</v>
      </c>
      <c r="B129" s="1311" t="s">
        <v>395</v>
      </c>
      <c r="C129" s="1312">
        <v>0</v>
      </c>
      <c r="D129" s="1313">
        <v>0</v>
      </c>
      <c r="E129" s="1314">
        <f>IF(+SUMIF(SYS_cliente!$F$5:$F$2500,A129,SYS_cliente!$I$5:$I$2500)+SUMIF(SYS_cliente!$K$5:$K$2500,A129,SYS_cliente!$N$5:$N$2500)+SUMIF(SYS_cliente!$P$5:$P$2500,A129,SYS_cliente!$S$5:$S$2500)&lt;0,0,+SUMIF(SYS_cliente!$F$5:$F$2500,A129,SYS_cliente!$I$5:$I$2500)+SUMIF(SYS_cliente!$K$5:$K$2500,A129,SYS_cliente!$N$5:$N$2500)+SUMIF(SYS_cliente!$P$5:$P$2500,A129,SYS_cliente!$S$5:$S$2500))</f>
        <v>0</v>
      </c>
      <c r="F129" s="1315">
        <f ca="1">IF(+SUMIF(SYS_cliente!$F$5:$F$2500,A129,SYS_cliente!$I$5:$I$1678)+SUMIF(SYS_cliente!$K$5:$K$2500,A129,SYS_cliente!$N$5:$N$1678)+SUMIF(SYS_cliente!$P$5:$P$2500,A129,SYS_cliente!$S$5:$S$1678)&gt;=0,0,-(SUMIF(SYS_cliente!$F$5:$F$2500,A129,SYS_cliente!$I$5:$I$1678)+SUMIF(SYS_cliente!$K$5:$K$2500,A129,SYS_cliente!$N$5:$N$1678)+SUMIF(SYS_cliente!$P$5:$P$2500,A129,SYS_cliente!$S$5:$S$1678)))</f>
        <v>0</v>
      </c>
      <c r="G129" s="1316">
        <f>+SUMIF(asientos!$C$13:$C$1276,SYS_4_3_Digitos!A129,asientos!$B$13:$B$1276)</f>
        <v>0</v>
      </c>
      <c r="H129" s="1317">
        <f>+SUMIF(asientos!$I$13:$I$1276,SYS_4_3_Digitos!A129,asientos!$J$13:$J$1276)</f>
        <v>0</v>
      </c>
      <c r="I129" s="1314">
        <f t="shared" ca="1" si="12"/>
        <v>0</v>
      </c>
      <c r="J129" s="1315">
        <f t="shared" ca="1" si="13"/>
        <v>0</v>
      </c>
      <c r="L129" s="1308">
        <f t="shared" si="14"/>
        <v>290000000</v>
      </c>
      <c r="M129" s="1296" t="str">
        <f t="shared" si="15"/>
        <v>2900</v>
      </c>
      <c r="N129" s="1309">
        <f t="shared" ca="1" si="16"/>
        <v>0</v>
      </c>
      <c r="O129" s="1296" t="str">
        <f t="shared" si="17"/>
        <v>29</v>
      </c>
    </row>
    <row r="130" spans="1:15" s="1296" customFormat="1">
      <c r="A130" s="1310">
        <v>291</v>
      </c>
      <c r="B130" s="1311" t="s">
        <v>396</v>
      </c>
      <c r="C130" s="1312">
        <v>0</v>
      </c>
      <c r="D130" s="1313">
        <v>0</v>
      </c>
      <c r="E130" s="1314">
        <f>IF(+SUMIF(SYS_cliente!$F$5:$F$2500,A130,SYS_cliente!$I$5:$I$2500)+SUMIF(SYS_cliente!$K$5:$K$2500,A130,SYS_cliente!$N$5:$N$2500)+SUMIF(SYS_cliente!$P$5:$P$2500,A130,SYS_cliente!$S$5:$S$2500)&lt;0,0,+SUMIF(SYS_cliente!$F$5:$F$2500,A130,SYS_cliente!$I$5:$I$2500)+SUMIF(SYS_cliente!$K$5:$K$2500,A130,SYS_cliente!$N$5:$N$2500)+SUMIF(SYS_cliente!$P$5:$P$2500,A130,SYS_cliente!$S$5:$S$2500))</f>
        <v>0</v>
      </c>
      <c r="F130" s="1315">
        <f ca="1">IF(+SUMIF(SYS_cliente!$F$5:$F$2500,A130,SYS_cliente!$I$5:$I$1678)+SUMIF(SYS_cliente!$K$5:$K$2500,A130,SYS_cliente!$N$5:$N$1678)+SUMIF(SYS_cliente!$P$5:$P$2500,A130,SYS_cliente!$S$5:$S$1678)&gt;=0,0,-(SUMIF(SYS_cliente!$F$5:$F$2500,A130,SYS_cliente!$I$5:$I$1678)+SUMIF(SYS_cliente!$K$5:$K$2500,A130,SYS_cliente!$N$5:$N$1678)+SUMIF(SYS_cliente!$P$5:$P$2500,A130,SYS_cliente!$S$5:$S$1678)))</f>
        <v>0</v>
      </c>
      <c r="G130" s="1316">
        <f>+SUMIF(asientos!$C$13:$C$1276,SYS_4_3_Digitos!A130,asientos!$B$13:$B$1276)</f>
        <v>0</v>
      </c>
      <c r="H130" s="1317">
        <f>+SUMIF(asientos!$I$13:$I$1276,SYS_4_3_Digitos!A130,asientos!$J$13:$J$1276)</f>
        <v>0</v>
      </c>
      <c r="I130" s="1314">
        <f t="shared" ca="1" si="12"/>
        <v>0</v>
      </c>
      <c r="J130" s="1315">
        <f t="shared" ca="1" si="13"/>
        <v>0</v>
      </c>
      <c r="L130" s="1308">
        <f t="shared" si="14"/>
        <v>291000000</v>
      </c>
      <c r="M130" s="1296" t="str">
        <f t="shared" si="15"/>
        <v>2910</v>
      </c>
      <c r="N130" s="1309">
        <f t="shared" ca="1" si="16"/>
        <v>0</v>
      </c>
      <c r="O130" s="1296" t="str">
        <f t="shared" si="17"/>
        <v>29</v>
      </c>
    </row>
    <row r="131" spans="1:15" s="1296" customFormat="1">
      <c r="A131" s="1310">
        <v>292</v>
      </c>
      <c r="B131" s="1311" t="s">
        <v>397</v>
      </c>
      <c r="C131" s="1312">
        <v>0</v>
      </c>
      <c r="D131" s="1313">
        <v>0</v>
      </c>
      <c r="E131" s="1314">
        <f>IF(+SUMIF(SYS_cliente!$F$5:$F$2500,A131,SYS_cliente!$I$5:$I$2500)+SUMIF(SYS_cliente!$K$5:$K$2500,A131,SYS_cliente!$N$5:$N$2500)+SUMIF(SYS_cliente!$P$5:$P$2500,A131,SYS_cliente!$S$5:$S$2500)&lt;0,0,+SUMIF(SYS_cliente!$F$5:$F$2500,A131,SYS_cliente!$I$5:$I$2500)+SUMIF(SYS_cliente!$K$5:$K$2500,A131,SYS_cliente!$N$5:$N$2500)+SUMIF(SYS_cliente!$P$5:$P$2500,A131,SYS_cliente!$S$5:$S$2500))</f>
        <v>0</v>
      </c>
      <c r="F131" s="1315">
        <f ca="1">IF(+SUMIF(SYS_cliente!$F$5:$F$2500,A131,SYS_cliente!$I$5:$I$1678)+SUMIF(SYS_cliente!$K$5:$K$2500,A131,SYS_cliente!$N$5:$N$1678)+SUMIF(SYS_cliente!$P$5:$P$2500,A131,SYS_cliente!$S$5:$S$1678)&gt;=0,0,-(SUMIF(SYS_cliente!$F$5:$F$2500,A131,SYS_cliente!$I$5:$I$1678)+SUMIF(SYS_cliente!$K$5:$K$2500,A131,SYS_cliente!$N$5:$N$1678)+SUMIF(SYS_cliente!$P$5:$P$2500,A131,SYS_cliente!$S$5:$S$1678)))</f>
        <v>0</v>
      </c>
      <c r="G131" s="1316">
        <f>+SUMIF(asientos!$C$13:$C$1276,SYS_4_3_Digitos!A131,asientos!$B$13:$B$1276)</f>
        <v>0</v>
      </c>
      <c r="H131" s="1317">
        <f>+SUMIF(asientos!$I$13:$I$1276,SYS_4_3_Digitos!A131,asientos!$J$13:$J$1276)</f>
        <v>0</v>
      </c>
      <c r="I131" s="1314">
        <f t="shared" ca="1" si="12"/>
        <v>0</v>
      </c>
      <c r="J131" s="1315">
        <f t="shared" ca="1" si="13"/>
        <v>0</v>
      </c>
      <c r="L131" s="1308">
        <f t="shared" si="14"/>
        <v>292000000</v>
      </c>
      <c r="M131" s="1296" t="str">
        <f t="shared" si="15"/>
        <v>2920</v>
      </c>
      <c r="N131" s="1309">
        <f t="shared" ca="1" si="16"/>
        <v>0</v>
      </c>
      <c r="O131" s="1296" t="str">
        <f t="shared" si="17"/>
        <v>29</v>
      </c>
    </row>
    <row r="132" spans="1:15" s="1296" customFormat="1">
      <c r="A132" s="1318">
        <v>2933</v>
      </c>
      <c r="B132" s="1319" t="s">
        <v>1683</v>
      </c>
      <c r="C132" s="1320">
        <v>0</v>
      </c>
      <c r="D132" s="1321">
        <v>0</v>
      </c>
      <c r="E132" s="1322">
        <f>IF(+SUMIF(SYS_cliente!$F$5:$F$2500,A132,SYS_cliente!$I$5:$I$2500)+SUMIF(SYS_cliente!$K$5:$K$2500,A132,SYS_cliente!$N$5:$N$2500)+SUMIF(SYS_cliente!$P$5:$P$2500,A132,SYS_cliente!$S$5:$S$2500)&lt;0,0,+SUMIF(SYS_cliente!$F$5:$F$2500,A132,SYS_cliente!$I$5:$I$2500)+SUMIF(SYS_cliente!$K$5:$K$2500,A132,SYS_cliente!$N$5:$N$2500)+SUMIF(SYS_cliente!$P$5:$P$2500,A132,SYS_cliente!$S$5:$S$2500))</f>
        <v>0</v>
      </c>
      <c r="F132" s="1323">
        <f ca="1">IF(+SUMIF(SYS_cliente!$F$5:$F$2500,A132,SYS_cliente!$I$5:$I$1678)+SUMIF(SYS_cliente!$K$5:$K$2500,A132,SYS_cliente!$N$5:$N$1678)+SUMIF(SYS_cliente!$P$5:$P$2500,A132,SYS_cliente!$S$5:$S$1678)&gt;=0,0,-(SUMIF(SYS_cliente!$F$5:$F$2500,A132,SYS_cliente!$I$5:$I$1678)+SUMIF(SYS_cliente!$K$5:$K$2500,A132,SYS_cliente!$N$5:$N$1678)+SUMIF(SYS_cliente!$P$5:$P$2500,A132,SYS_cliente!$S$5:$S$1678)))</f>
        <v>0</v>
      </c>
      <c r="G132" s="1322">
        <f>+SUMIF(asientos!$C$13:$C$1276,SYS_4_3_Digitos!A132,asientos!$B$13:$B$1276)</f>
        <v>0</v>
      </c>
      <c r="H132" s="1323">
        <f>+SUMIF(asientos!$I$13:$I$1276,SYS_4_3_Digitos!A132,asientos!$J$13:$J$1276)</f>
        <v>0</v>
      </c>
      <c r="I132" s="1322">
        <f t="shared" ca="1" si="12"/>
        <v>0</v>
      </c>
      <c r="J132" s="1323">
        <f t="shared" ca="1" si="13"/>
        <v>0</v>
      </c>
      <c r="L132" s="1308">
        <f t="shared" si="14"/>
        <v>2933000000</v>
      </c>
      <c r="M132" s="1296" t="str">
        <f t="shared" si="15"/>
        <v>2933</v>
      </c>
      <c r="N132" s="1309">
        <f t="shared" ca="1" si="16"/>
        <v>0</v>
      </c>
      <c r="O132" s="1296" t="str">
        <f t="shared" si="17"/>
        <v>29</v>
      </c>
    </row>
    <row r="133" spans="1:15" s="1296" customFormat="1">
      <c r="A133" s="1318">
        <v>2934</v>
      </c>
      <c r="B133" s="1319" t="s">
        <v>1684</v>
      </c>
      <c r="C133" s="1320">
        <v>0</v>
      </c>
      <c r="D133" s="1321">
        <v>0</v>
      </c>
      <c r="E133" s="1322">
        <f>IF(+SUMIF(SYS_cliente!$F$5:$F$2500,A133,SYS_cliente!$I$5:$I$2500)+SUMIF(SYS_cliente!$K$5:$K$2500,A133,SYS_cliente!$N$5:$N$2500)+SUMIF(SYS_cliente!$P$5:$P$2500,A133,SYS_cliente!$S$5:$S$2500)&lt;0,0,+SUMIF(SYS_cliente!$F$5:$F$2500,A133,SYS_cliente!$I$5:$I$2500)+SUMIF(SYS_cliente!$K$5:$K$2500,A133,SYS_cliente!$N$5:$N$2500)+SUMIF(SYS_cliente!$P$5:$P$2500,A133,SYS_cliente!$S$5:$S$2500))</f>
        <v>0</v>
      </c>
      <c r="F133" s="1323">
        <f ca="1">IF(+SUMIF(SYS_cliente!$F$5:$F$2500,A133,SYS_cliente!$I$5:$I$1678)+SUMIF(SYS_cliente!$K$5:$K$2500,A133,SYS_cliente!$N$5:$N$1678)+SUMIF(SYS_cliente!$P$5:$P$2500,A133,SYS_cliente!$S$5:$S$1678)&gt;=0,0,-(SUMIF(SYS_cliente!$F$5:$F$2500,A133,SYS_cliente!$I$5:$I$1678)+SUMIF(SYS_cliente!$K$5:$K$2500,A133,SYS_cliente!$N$5:$N$1678)+SUMIF(SYS_cliente!$P$5:$P$2500,A133,SYS_cliente!$S$5:$S$1678)))</f>
        <v>0</v>
      </c>
      <c r="G133" s="1322">
        <f>+SUMIF(asientos!$C$13:$C$1276,SYS_4_3_Digitos!A133,asientos!$B$13:$B$1276)</f>
        <v>0</v>
      </c>
      <c r="H133" s="1323">
        <f>+SUMIF(asientos!$I$13:$I$1276,SYS_4_3_Digitos!A133,asientos!$J$13:$J$1276)</f>
        <v>0</v>
      </c>
      <c r="I133" s="1322">
        <f t="shared" ca="1" si="12"/>
        <v>0</v>
      </c>
      <c r="J133" s="1323">
        <f t="shared" ca="1" si="13"/>
        <v>0</v>
      </c>
      <c r="L133" s="1308">
        <f t="shared" si="14"/>
        <v>2934000000</v>
      </c>
      <c r="M133" s="1296" t="str">
        <f t="shared" si="15"/>
        <v>2934</v>
      </c>
      <c r="N133" s="1309">
        <f t="shared" ca="1" si="16"/>
        <v>0</v>
      </c>
      <c r="O133" s="1296" t="str">
        <f t="shared" si="17"/>
        <v>29</v>
      </c>
    </row>
    <row r="134" spans="1:15" s="1296" customFormat="1">
      <c r="A134" s="1310">
        <v>294</v>
      </c>
      <c r="B134" s="1311" t="s">
        <v>398</v>
      </c>
      <c r="C134" s="1312">
        <v>0</v>
      </c>
      <c r="D134" s="1313">
        <v>0</v>
      </c>
      <c r="E134" s="1314">
        <f>IF(+SUMIF(SYS_cliente!$F$5:$F$2500,A134,SYS_cliente!$I$5:$I$2500)+SUMIF(SYS_cliente!$K$5:$K$2500,A134,SYS_cliente!$N$5:$N$2500)+SUMIF(SYS_cliente!$P$5:$P$2500,A134,SYS_cliente!$S$5:$S$2500)&lt;0,0,+SUMIF(SYS_cliente!$F$5:$F$2500,A134,SYS_cliente!$I$5:$I$2500)+SUMIF(SYS_cliente!$K$5:$K$2500,A134,SYS_cliente!$N$5:$N$2500)+SUMIF(SYS_cliente!$P$5:$P$2500,A134,SYS_cliente!$S$5:$S$2500))</f>
        <v>0</v>
      </c>
      <c r="F134" s="1315">
        <f ca="1">IF(+SUMIF(SYS_cliente!$F$5:$F$2500,A134,SYS_cliente!$I$5:$I$1678)+SUMIF(SYS_cliente!$K$5:$K$2500,A134,SYS_cliente!$N$5:$N$1678)+SUMIF(SYS_cliente!$P$5:$P$2500,A134,SYS_cliente!$S$5:$S$1678)&gt;=0,0,-(SUMIF(SYS_cliente!$F$5:$F$2500,A134,SYS_cliente!$I$5:$I$1678)+SUMIF(SYS_cliente!$K$5:$K$2500,A134,SYS_cliente!$N$5:$N$1678)+SUMIF(SYS_cliente!$P$5:$P$2500,A134,SYS_cliente!$S$5:$S$1678)))</f>
        <v>0</v>
      </c>
      <c r="G134" s="1316">
        <f>+SUMIF(asientos!$C$13:$C$1276,SYS_4_3_Digitos!A134,asientos!$B$13:$B$1276)</f>
        <v>0</v>
      </c>
      <c r="H134" s="1317">
        <f>+SUMIF(asientos!$I$13:$I$1276,SYS_4_3_Digitos!A134,asientos!$J$13:$J$1276)</f>
        <v>0</v>
      </c>
      <c r="I134" s="1314">
        <f t="shared" ca="1" si="12"/>
        <v>0</v>
      </c>
      <c r="J134" s="1315">
        <f t="shared" ca="1" si="13"/>
        <v>0</v>
      </c>
      <c r="L134" s="1308">
        <f t="shared" si="14"/>
        <v>294000000</v>
      </c>
      <c r="M134" s="1296" t="str">
        <f t="shared" si="15"/>
        <v>2940</v>
      </c>
      <c r="N134" s="1309">
        <f t="shared" ca="1" si="16"/>
        <v>0</v>
      </c>
      <c r="O134" s="1296" t="str">
        <f t="shared" si="17"/>
        <v>29</v>
      </c>
    </row>
    <row r="135" spans="1:15" s="1296" customFormat="1">
      <c r="A135" s="1318">
        <v>2953</v>
      </c>
      <c r="B135" s="1319" t="s">
        <v>1685</v>
      </c>
      <c r="C135" s="1320">
        <v>0</v>
      </c>
      <c r="D135" s="1321">
        <v>0</v>
      </c>
      <c r="E135" s="1322">
        <f>IF(+SUMIF(SYS_cliente!$F$5:$F$2500,A135,SYS_cliente!$I$5:$I$2500)+SUMIF(SYS_cliente!$K$5:$K$2500,A135,SYS_cliente!$N$5:$N$2500)+SUMIF(SYS_cliente!$P$5:$P$2500,A135,SYS_cliente!$S$5:$S$2500)&lt;0,0,+SUMIF(SYS_cliente!$F$5:$F$2500,A135,SYS_cliente!$I$5:$I$2500)+SUMIF(SYS_cliente!$K$5:$K$2500,A135,SYS_cliente!$N$5:$N$2500)+SUMIF(SYS_cliente!$P$5:$P$2500,A135,SYS_cliente!$S$5:$S$2500))</f>
        <v>0</v>
      </c>
      <c r="F135" s="1323">
        <f ca="1">IF(+SUMIF(SYS_cliente!$F$5:$F$2500,A135,SYS_cliente!$I$5:$I$1678)+SUMIF(SYS_cliente!$K$5:$K$2500,A135,SYS_cliente!$N$5:$N$1678)+SUMIF(SYS_cliente!$P$5:$P$2500,A135,SYS_cliente!$S$5:$S$1678)&gt;=0,0,-(SUMIF(SYS_cliente!$F$5:$F$2500,A135,SYS_cliente!$I$5:$I$1678)+SUMIF(SYS_cliente!$K$5:$K$2500,A135,SYS_cliente!$N$5:$N$1678)+SUMIF(SYS_cliente!$P$5:$P$2500,A135,SYS_cliente!$S$5:$S$1678)))</f>
        <v>0</v>
      </c>
      <c r="G135" s="1322">
        <f>+SUMIF(asientos!$C$13:$C$1276,SYS_4_3_Digitos!A135,asientos!$B$13:$B$1276)</f>
        <v>0</v>
      </c>
      <c r="H135" s="1323">
        <f>+SUMIF(asientos!$I$13:$I$1276,SYS_4_3_Digitos!A135,asientos!$J$13:$J$1276)</f>
        <v>0</v>
      </c>
      <c r="I135" s="1322">
        <f t="shared" ca="1" si="12"/>
        <v>0</v>
      </c>
      <c r="J135" s="1323">
        <f t="shared" ca="1" si="13"/>
        <v>0</v>
      </c>
      <c r="L135" s="1308">
        <f t="shared" si="14"/>
        <v>2953000000</v>
      </c>
      <c r="M135" s="1296" t="str">
        <f t="shared" si="15"/>
        <v>2953</v>
      </c>
      <c r="N135" s="1309">
        <f t="shared" ca="1" si="16"/>
        <v>0</v>
      </c>
      <c r="O135" s="1296" t="str">
        <f t="shared" si="17"/>
        <v>29</v>
      </c>
    </row>
    <row r="136" spans="1:15" s="1296" customFormat="1">
      <c r="A136" s="1318">
        <v>2954</v>
      </c>
      <c r="B136" s="1319" t="s">
        <v>1686</v>
      </c>
      <c r="C136" s="1320">
        <v>0</v>
      </c>
      <c r="D136" s="1321">
        <v>0</v>
      </c>
      <c r="E136" s="1322">
        <f>IF(+SUMIF(SYS_cliente!$F$5:$F$2500,A136,SYS_cliente!$I$5:$I$2500)+SUMIF(SYS_cliente!$K$5:$K$2500,A136,SYS_cliente!$N$5:$N$2500)+SUMIF(SYS_cliente!$P$5:$P$2500,A136,SYS_cliente!$S$5:$S$2500)&lt;0,0,+SUMIF(SYS_cliente!$F$5:$F$2500,A136,SYS_cliente!$I$5:$I$2500)+SUMIF(SYS_cliente!$K$5:$K$2500,A136,SYS_cliente!$N$5:$N$2500)+SUMIF(SYS_cliente!$P$5:$P$2500,A136,SYS_cliente!$S$5:$S$2500))</f>
        <v>0</v>
      </c>
      <c r="F136" s="1323">
        <f ca="1">IF(+SUMIF(SYS_cliente!$F$5:$F$2500,A136,SYS_cliente!$I$5:$I$1678)+SUMIF(SYS_cliente!$K$5:$K$2500,A136,SYS_cliente!$N$5:$N$1678)+SUMIF(SYS_cliente!$P$5:$P$2500,A136,SYS_cliente!$S$5:$S$1678)&gt;=0,0,-(SUMIF(SYS_cliente!$F$5:$F$2500,A136,SYS_cliente!$I$5:$I$1678)+SUMIF(SYS_cliente!$K$5:$K$2500,A136,SYS_cliente!$N$5:$N$1678)+SUMIF(SYS_cliente!$P$5:$P$2500,A136,SYS_cliente!$S$5:$S$1678)))</f>
        <v>0</v>
      </c>
      <c r="G136" s="1322">
        <f>+SUMIF(asientos!$C$13:$C$1276,SYS_4_3_Digitos!A136,asientos!$B$13:$B$1276)</f>
        <v>0</v>
      </c>
      <c r="H136" s="1323">
        <f>+SUMIF(asientos!$I$13:$I$1276,SYS_4_3_Digitos!A136,asientos!$J$13:$J$1276)</f>
        <v>0</v>
      </c>
      <c r="I136" s="1322">
        <f t="shared" ca="1" si="12"/>
        <v>0</v>
      </c>
      <c r="J136" s="1323">
        <f t="shared" ca="1" si="13"/>
        <v>0</v>
      </c>
      <c r="L136" s="1308">
        <f t="shared" si="14"/>
        <v>2954000000</v>
      </c>
      <c r="M136" s="1296" t="str">
        <f t="shared" si="15"/>
        <v>2954</v>
      </c>
      <c r="N136" s="1309">
        <f t="shared" ca="1" si="16"/>
        <v>0</v>
      </c>
      <c r="O136" s="1296" t="str">
        <f t="shared" si="17"/>
        <v>29</v>
      </c>
    </row>
    <row r="137" spans="1:15" s="1296" customFormat="1">
      <c r="A137" s="1318">
        <v>2955</v>
      </c>
      <c r="B137" s="1319" t="s">
        <v>399</v>
      </c>
      <c r="C137" s="1320">
        <v>0</v>
      </c>
      <c r="D137" s="1321">
        <v>0</v>
      </c>
      <c r="E137" s="1322">
        <f>IF(+SUMIF(SYS_cliente!$F$5:$F$2500,A137,SYS_cliente!$I$5:$I$2500)+SUMIF(SYS_cliente!$K$5:$K$2500,A137,SYS_cliente!$N$5:$N$2500)+SUMIF(SYS_cliente!$P$5:$P$2500,A137,SYS_cliente!$S$5:$S$2500)&lt;0,0,+SUMIF(SYS_cliente!$F$5:$F$2500,A137,SYS_cliente!$I$5:$I$2500)+SUMIF(SYS_cliente!$K$5:$K$2500,A137,SYS_cliente!$N$5:$N$2500)+SUMIF(SYS_cliente!$P$5:$P$2500,A137,SYS_cliente!$S$5:$S$2500))</f>
        <v>0</v>
      </c>
      <c r="F137" s="1323">
        <f ca="1">IF(+SUMIF(SYS_cliente!$F$5:$F$2500,A137,SYS_cliente!$I$5:$I$1678)+SUMIF(SYS_cliente!$K$5:$K$2500,A137,SYS_cliente!$N$5:$N$1678)+SUMIF(SYS_cliente!$P$5:$P$2500,A137,SYS_cliente!$S$5:$S$1678)&gt;=0,0,-(SUMIF(SYS_cliente!$F$5:$F$2500,A137,SYS_cliente!$I$5:$I$1678)+SUMIF(SYS_cliente!$K$5:$K$2500,A137,SYS_cliente!$N$5:$N$1678)+SUMIF(SYS_cliente!$P$5:$P$2500,A137,SYS_cliente!$S$5:$S$1678)))</f>
        <v>0</v>
      </c>
      <c r="G137" s="1322">
        <f>+SUMIF(asientos!$C$13:$C$1276,SYS_4_3_Digitos!A137,asientos!$B$13:$B$1276)</f>
        <v>0</v>
      </c>
      <c r="H137" s="1323">
        <f>+SUMIF(asientos!$I$13:$I$1276,SYS_4_3_Digitos!A137,asientos!$J$13:$J$1276)</f>
        <v>0</v>
      </c>
      <c r="I137" s="1322">
        <f t="shared" ca="1" si="12"/>
        <v>0</v>
      </c>
      <c r="J137" s="1323">
        <f t="shared" ca="1" si="13"/>
        <v>0</v>
      </c>
      <c r="L137" s="1308">
        <f t="shared" si="14"/>
        <v>2955000000</v>
      </c>
      <c r="M137" s="1296" t="str">
        <f t="shared" si="15"/>
        <v>2955</v>
      </c>
      <c r="N137" s="1309">
        <f t="shared" ca="1" si="16"/>
        <v>0</v>
      </c>
      <c r="O137" s="1296" t="str">
        <f t="shared" si="17"/>
        <v>29</v>
      </c>
    </row>
    <row r="138" spans="1:15" s="1296" customFormat="1">
      <c r="A138" s="1310">
        <v>296</v>
      </c>
      <c r="B138" s="1311" t="s">
        <v>1884</v>
      </c>
      <c r="C138" s="1312">
        <v>0</v>
      </c>
      <c r="D138" s="1313">
        <v>0</v>
      </c>
      <c r="E138" s="1314">
        <f>IF(+SUMIF(SYS_cliente!$F$5:$F$2500,A138,SYS_cliente!$I$5:$I$2500)+SUMIF(SYS_cliente!$K$5:$K$2500,A138,SYS_cliente!$N$5:$N$2500)+SUMIF(SYS_cliente!$P$5:$P$2500,A138,SYS_cliente!$S$5:$S$2500)&lt;0,0,+SUMIF(SYS_cliente!$F$5:$F$2500,A138,SYS_cliente!$I$5:$I$2500)+SUMIF(SYS_cliente!$K$5:$K$2500,A138,SYS_cliente!$N$5:$N$2500)+SUMIF(SYS_cliente!$P$5:$P$2500,A138,SYS_cliente!$S$5:$S$2500))</f>
        <v>0</v>
      </c>
      <c r="F138" s="1315">
        <f ca="1">IF(+SUMIF(SYS_cliente!$F$5:$F$2500,A138,SYS_cliente!$I$5:$I$1678)+SUMIF(SYS_cliente!$K$5:$K$2500,A138,SYS_cliente!$N$5:$N$1678)+SUMIF(SYS_cliente!$P$5:$P$2500,A138,SYS_cliente!$S$5:$S$1678)&gt;=0,0,-(SUMIF(SYS_cliente!$F$5:$F$2500,A138,SYS_cliente!$I$5:$I$1678)+SUMIF(SYS_cliente!$K$5:$K$2500,A138,SYS_cliente!$N$5:$N$1678)+SUMIF(SYS_cliente!$P$5:$P$2500,A138,SYS_cliente!$S$5:$S$1678)))</f>
        <v>0</v>
      </c>
      <c r="G138" s="1316">
        <f>+SUMIF(asientos!$C$13:$C$1276,SYS_4_3_Digitos!A138,asientos!$B$13:$B$1276)</f>
        <v>0</v>
      </c>
      <c r="H138" s="1317">
        <f>+SUMIF(asientos!$I$13:$I$1276,SYS_4_3_Digitos!A138,asientos!$J$13:$J$1276)</f>
        <v>0</v>
      </c>
      <c r="I138" s="1314">
        <f t="shared" ref="I138" ca="1" si="20">IF((E138+G138-F138-H138)&gt;0,E138+G138-F138-H138,0)</f>
        <v>0</v>
      </c>
      <c r="J138" s="1315">
        <f t="shared" ref="J138" ca="1" si="21">IF((F138+H138-E138-G138)&gt;0,F138+H138-E138-G138,0)</f>
        <v>0</v>
      </c>
      <c r="L138" s="1308">
        <f t="shared" si="14"/>
        <v>296000000</v>
      </c>
      <c r="M138" s="1296" t="str">
        <f t="shared" si="15"/>
        <v>2960</v>
      </c>
      <c r="N138" s="1309">
        <f t="shared" ca="1" si="16"/>
        <v>0</v>
      </c>
      <c r="O138" s="1296" t="str">
        <f t="shared" si="17"/>
        <v>29</v>
      </c>
    </row>
    <row r="139" spans="1:15" s="1296" customFormat="1">
      <c r="A139" s="1310">
        <v>297</v>
      </c>
      <c r="B139" s="1311" t="s">
        <v>400</v>
      </c>
      <c r="C139" s="1312">
        <v>0</v>
      </c>
      <c r="D139" s="1313">
        <v>0</v>
      </c>
      <c r="E139" s="1314">
        <f>IF(+SUMIF(SYS_cliente!$F$5:$F$2500,A139,SYS_cliente!$I$5:$I$2500)+SUMIF(SYS_cliente!$K$5:$K$2500,A139,SYS_cliente!$N$5:$N$2500)+SUMIF(SYS_cliente!$P$5:$P$2500,A139,SYS_cliente!$S$5:$S$2500)&lt;0,0,+SUMIF(SYS_cliente!$F$5:$F$2500,A139,SYS_cliente!$I$5:$I$2500)+SUMIF(SYS_cliente!$K$5:$K$2500,A139,SYS_cliente!$N$5:$N$2500)+SUMIF(SYS_cliente!$P$5:$P$2500,A139,SYS_cliente!$S$5:$S$2500))</f>
        <v>0</v>
      </c>
      <c r="F139" s="1315">
        <f ca="1">IF(+SUMIF(SYS_cliente!$F$5:$F$2500,A139,SYS_cliente!$I$5:$I$1678)+SUMIF(SYS_cliente!$K$5:$K$2500,A139,SYS_cliente!$N$5:$N$1678)+SUMIF(SYS_cliente!$P$5:$P$2500,A139,SYS_cliente!$S$5:$S$1678)&gt;=0,0,-(SUMIF(SYS_cliente!$F$5:$F$2500,A139,SYS_cliente!$I$5:$I$1678)+SUMIF(SYS_cliente!$K$5:$K$2500,A139,SYS_cliente!$N$5:$N$1678)+SUMIF(SYS_cliente!$P$5:$P$2500,A139,SYS_cliente!$S$5:$S$1678)))</f>
        <v>0</v>
      </c>
      <c r="G139" s="1316">
        <f>+SUMIF(asientos!$C$13:$C$1276,SYS_4_3_Digitos!A139,asientos!$B$13:$B$1276)</f>
        <v>0</v>
      </c>
      <c r="H139" s="1317">
        <f>+SUMIF(asientos!$I$13:$I$1276,SYS_4_3_Digitos!A139,asientos!$J$13:$J$1276)</f>
        <v>0</v>
      </c>
      <c r="I139" s="1314">
        <f t="shared" ca="1" si="12"/>
        <v>0</v>
      </c>
      <c r="J139" s="1315">
        <f t="shared" ca="1" si="13"/>
        <v>0</v>
      </c>
      <c r="L139" s="1308">
        <f t="shared" si="14"/>
        <v>297000000</v>
      </c>
      <c r="M139" s="1296" t="str">
        <f t="shared" si="15"/>
        <v>2970</v>
      </c>
      <c r="N139" s="1309">
        <f t="shared" ca="1" si="16"/>
        <v>0</v>
      </c>
      <c r="O139" s="1296" t="str">
        <f t="shared" si="17"/>
        <v>29</v>
      </c>
    </row>
    <row r="140" spans="1:15" s="1296" customFormat="1">
      <c r="A140" s="1310">
        <v>298</v>
      </c>
      <c r="B140" s="1311" t="s">
        <v>401</v>
      </c>
      <c r="C140" s="1312">
        <v>0</v>
      </c>
      <c r="D140" s="1313">
        <v>0</v>
      </c>
      <c r="E140" s="1314">
        <f>IF(+SUMIF(SYS_cliente!$F$5:$F$2500,A140,SYS_cliente!$I$5:$I$2500)+SUMIF(SYS_cliente!$K$5:$K$2500,A140,SYS_cliente!$N$5:$N$2500)+SUMIF(SYS_cliente!$P$5:$P$2500,A140,SYS_cliente!$S$5:$S$2500)&lt;0,0,+SUMIF(SYS_cliente!$F$5:$F$2500,A140,SYS_cliente!$I$5:$I$2500)+SUMIF(SYS_cliente!$K$5:$K$2500,A140,SYS_cliente!$N$5:$N$2500)+SUMIF(SYS_cliente!$P$5:$P$2500,A140,SYS_cliente!$S$5:$S$2500))</f>
        <v>0</v>
      </c>
      <c r="F140" s="1315">
        <f ca="1">IF(+SUMIF(SYS_cliente!$F$5:$F$2500,A140,SYS_cliente!$I$5:$I$1678)+SUMIF(SYS_cliente!$K$5:$K$2500,A140,SYS_cliente!$N$5:$N$1678)+SUMIF(SYS_cliente!$P$5:$P$2500,A140,SYS_cliente!$S$5:$S$1678)&gt;=0,0,-(SUMIF(SYS_cliente!$F$5:$F$2500,A140,SYS_cliente!$I$5:$I$1678)+SUMIF(SYS_cliente!$K$5:$K$2500,A140,SYS_cliente!$N$5:$N$1678)+SUMIF(SYS_cliente!$P$5:$P$2500,A140,SYS_cliente!$S$5:$S$1678)))</f>
        <v>0</v>
      </c>
      <c r="G140" s="1316">
        <f>+SUMIF(asientos!$C$13:$C$1276,SYS_4_3_Digitos!A140,asientos!$B$13:$B$1276)</f>
        <v>0</v>
      </c>
      <c r="H140" s="1317">
        <f>+SUMIF(asientos!$I$13:$I$1276,SYS_4_3_Digitos!A140,asientos!$J$13:$J$1276)</f>
        <v>0</v>
      </c>
      <c r="I140" s="1314">
        <f t="shared" ca="1" si="12"/>
        <v>0</v>
      </c>
      <c r="J140" s="1315">
        <f t="shared" ca="1" si="13"/>
        <v>0</v>
      </c>
      <c r="L140" s="1308">
        <f t="shared" si="14"/>
        <v>298000000</v>
      </c>
      <c r="M140" s="1296" t="str">
        <f t="shared" si="15"/>
        <v>2980</v>
      </c>
      <c r="N140" s="1309">
        <f t="shared" ca="1" si="16"/>
        <v>0</v>
      </c>
      <c r="O140" s="1296" t="str">
        <f t="shared" si="17"/>
        <v>29</v>
      </c>
    </row>
    <row r="141" spans="1:15" s="1296" customFormat="1">
      <c r="A141" s="1310">
        <v>30</v>
      </c>
      <c r="B141" s="1311" t="s">
        <v>402</v>
      </c>
      <c r="C141" s="1312">
        <v>6339183.1399999997</v>
      </c>
      <c r="D141" s="1313">
        <v>0</v>
      </c>
      <c r="E141" s="1314">
        <f>IF(+SUMIF(SYS_cliente!$F$5:$F$2500,A141,SYS_cliente!$I$5:$I$2500)+SUMIF(SYS_cliente!$K$5:$K$2500,A141,SYS_cliente!$N$5:$N$2500)+SUMIF(SYS_cliente!$P$5:$P$2500,A141,SYS_cliente!$S$5:$S$2500)&lt;0,0,+SUMIF(SYS_cliente!$F$5:$F$2500,A141,SYS_cliente!$I$5:$I$2500)+SUMIF(SYS_cliente!$K$5:$K$2500,A141,SYS_cliente!$N$5:$N$2500)+SUMIF(SYS_cliente!$P$5:$P$2500,A141,SYS_cliente!$S$5:$S$2500))</f>
        <v>7571396.0500000007</v>
      </c>
      <c r="F141" s="1315">
        <f ca="1">IF(+SUMIF(SYS_cliente!$F$5:$F$2500,A141,SYS_cliente!$I$5:$I$1678)+SUMIF(SYS_cliente!$K$5:$K$2500,A141,SYS_cliente!$N$5:$N$1678)+SUMIF(SYS_cliente!$P$5:$P$2500,A141,SYS_cliente!$S$5:$S$1678)&gt;=0,0,-(SUMIF(SYS_cliente!$F$5:$F$2500,A141,SYS_cliente!$I$5:$I$1678)+SUMIF(SYS_cliente!$K$5:$K$2500,A141,SYS_cliente!$N$5:$N$1678)+SUMIF(SYS_cliente!$P$5:$P$2500,A141,SYS_cliente!$S$5:$S$1678)))</f>
        <v>0</v>
      </c>
      <c r="G141" s="1316">
        <f>+SUMIF(asientos!$C$13:$C$1276,SYS_4_3_Digitos!A141,asientos!$B$13:$B$1276)</f>
        <v>0</v>
      </c>
      <c r="H141" s="1317">
        <f>+SUMIF(asientos!$I$13:$I$1276,SYS_4_3_Digitos!A141,asientos!$J$13:$J$1276)</f>
        <v>0</v>
      </c>
      <c r="I141" s="1314">
        <f t="shared" ca="1" si="12"/>
        <v>7571396.0500000007</v>
      </c>
      <c r="J141" s="1315">
        <f t="shared" ca="1" si="13"/>
        <v>0</v>
      </c>
      <c r="L141" s="1308">
        <f t="shared" si="14"/>
        <v>30000000</v>
      </c>
      <c r="M141" s="1296" t="str">
        <f t="shared" si="15"/>
        <v>3000</v>
      </c>
      <c r="N141" s="1309">
        <f t="shared" ca="1" si="16"/>
        <v>7571396.0500000007</v>
      </c>
      <c r="O141" s="1296" t="str">
        <f t="shared" si="17"/>
        <v>30</v>
      </c>
    </row>
    <row r="142" spans="1:15" s="1296" customFormat="1">
      <c r="A142" s="1310">
        <v>31</v>
      </c>
      <c r="B142" s="1311" t="s">
        <v>403</v>
      </c>
      <c r="C142" s="1312">
        <v>27972376.07</v>
      </c>
      <c r="D142" s="1313">
        <v>0</v>
      </c>
      <c r="E142" s="1314">
        <f>IF(+SUMIF(SYS_cliente!$F$5:$F$2500,A142,SYS_cliente!$I$5:$I$2500)+SUMIF(SYS_cliente!$K$5:$K$2500,A142,SYS_cliente!$N$5:$N$2500)+SUMIF(SYS_cliente!$P$5:$P$2500,A142,SYS_cliente!$S$5:$S$2500)&lt;0,0,+SUMIF(SYS_cliente!$F$5:$F$2500,A142,SYS_cliente!$I$5:$I$2500)+SUMIF(SYS_cliente!$K$5:$K$2500,A142,SYS_cliente!$N$5:$N$2500)+SUMIF(SYS_cliente!$P$5:$P$2500,A142,SYS_cliente!$S$5:$S$2500))</f>
        <v>33428757.619999997</v>
      </c>
      <c r="F142" s="1315">
        <f ca="1">IF(+SUMIF(SYS_cliente!$F$5:$F$2500,A142,SYS_cliente!$I$5:$I$1678)+SUMIF(SYS_cliente!$K$5:$K$2500,A142,SYS_cliente!$N$5:$N$1678)+SUMIF(SYS_cliente!$P$5:$P$2500,A142,SYS_cliente!$S$5:$S$1678)&gt;=0,0,-(SUMIF(SYS_cliente!$F$5:$F$2500,A142,SYS_cliente!$I$5:$I$1678)+SUMIF(SYS_cliente!$K$5:$K$2500,A142,SYS_cliente!$N$5:$N$1678)+SUMIF(SYS_cliente!$P$5:$P$2500,A142,SYS_cliente!$S$5:$S$1678)))</f>
        <v>0</v>
      </c>
      <c r="G142" s="1316">
        <f>+SUMIF(asientos!$C$13:$C$1276,SYS_4_3_Digitos!A142,asientos!$B$13:$B$1276)</f>
        <v>0</v>
      </c>
      <c r="H142" s="1317">
        <f>+SUMIF(asientos!$I$13:$I$1276,SYS_4_3_Digitos!A142,asientos!$J$13:$J$1276)</f>
        <v>0</v>
      </c>
      <c r="I142" s="1314">
        <f t="shared" ca="1" si="12"/>
        <v>33428757.619999997</v>
      </c>
      <c r="J142" s="1315">
        <f t="shared" ca="1" si="13"/>
        <v>0</v>
      </c>
      <c r="L142" s="1308">
        <f t="shared" si="14"/>
        <v>31000000</v>
      </c>
      <c r="M142" s="1296" t="str">
        <f t="shared" si="15"/>
        <v>3100</v>
      </c>
      <c r="N142" s="1309">
        <f t="shared" ca="1" si="16"/>
        <v>33428757.619999997</v>
      </c>
      <c r="O142" s="1296" t="str">
        <f t="shared" si="17"/>
        <v>31</v>
      </c>
    </row>
    <row r="143" spans="1:15" s="1296" customFormat="1">
      <c r="A143" s="1310">
        <v>32</v>
      </c>
      <c r="B143" s="1311" t="s">
        <v>404</v>
      </c>
      <c r="C143" s="1312">
        <v>280457.15000000002</v>
      </c>
      <c r="D143" s="1313">
        <v>0</v>
      </c>
      <c r="E143" s="1314">
        <f>IF(+SUMIF(SYS_cliente!$F$5:$F$2500,A143,SYS_cliente!$I$5:$I$2500)+SUMIF(SYS_cliente!$K$5:$K$2500,A143,SYS_cliente!$N$5:$N$2500)+SUMIF(SYS_cliente!$P$5:$P$2500,A143,SYS_cliente!$S$5:$S$2500)&lt;0,0,+SUMIF(SYS_cliente!$F$5:$F$2500,A143,SYS_cliente!$I$5:$I$2500)+SUMIF(SYS_cliente!$K$5:$K$2500,A143,SYS_cliente!$N$5:$N$2500)+SUMIF(SYS_cliente!$P$5:$P$2500,A143,SYS_cliente!$S$5:$S$2500))</f>
        <v>254479.54</v>
      </c>
      <c r="F143" s="1315">
        <f ca="1">IF(+SUMIF(SYS_cliente!$F$5:$F$2500,A143,SYS_cliente!$I$5:$I$1678)+SUMIF(SYS_cliente!$K$5:$K$2500,A143,SYS_cliente!$N$5:$N$1678)+SUMIF(SYS_cliente!$P$5:$P$2500,A143,SYS_cliente!$S$5:$S$1678)&gt;=0,0,-(SUMIF(SYS_cliente!$F$5:$F$2500,A143,SYS_cliente!$I$5:$I$1678)+SUMIF(SYS_cliente!$K$5:$K$2500,A143,SYS_cliente!$N$5:$N$1678)+SUMIF(SYS_cliente!$P$5:$P$2500,A143,SYS_cliente!$S$5:$S$1678)))</f>
        <v>0</v>
      </c>
      <c r="G143" s="1316">
        <f>+SUMIF(asientos!$C$13:$C$1276,SYS_4_3_Digitos!A143,asientos!$B$13:$B$1276)</f>
        <v>0</v>
      </c>
      <c r="H143" s="1317">
        <f>+SUMIF(asientos!$I$13:$I$1276,SYS_4_3_Digitos!A143,asientos!$J$13:$J$1276)</f>
        <v>0</v>
      </c>
      <c r="I143" s="1314">
        <f t="shared" ca="1" si="12"/>
        <v>254479.54</v>
      </c>
      <c r="J143" s="1315">
        <f t="shared" ca="1" si="13"/>
        <v>0</v>
      </c>
      <c r="L143" s="1308">
        <f t="shared" si="14"/>
        <v>32000000</v>
      </c>
      <c r="M143" s="1296" t="str">
        <f t="shared" si="15"/>
        <v>3200</v>
      </c>
      <c r="N143" s="1309">
        <f t="shared" ca="1" si="16"/>
        <v>254479.54</v>
      </c>
      <c r="O143" s="1296" t="str">
        <f t="shared" si="17"/>
        <v>32</v>
      </c>
    </row>
    <row r="144" spans="1:15" s="1296" customFormat="1">
      <c r="A144" s="1310">
        <v>33</v>
      </c>
      <c r="B144" s="1311" t="s">
        <v>405</v>
      </c>
      <c r="C144" s="1312">
        <v>0</v>
      </c>
      <c r="D144" s="1313">
        <v>0</v>
      </c>
      <c r="E144" s="1314">
        <f>IF(+SUMIF(SYS_cliente!$F$5:$F$2500,A144,SYS_cliente!$I$5:$I$2500)+SUMIF(SYS_cliente!$K$5:$K$2500,A144,SYS_cliente!$N$5:$N$2500)+SUMIF(SYS_cliente!$P$5:$P$2500,A144,SYS_cliente!$S$5:$S$2500)&lt;0,0,+SUMIF(SYS_cliente!$F$5:$F$2500,A144,SYS_cliente!$I$5:$I$2500)+SUMIF(SYS_cliente!$K$5:$K$2500,A144,SYS_cliente!$N$5:$N$2500)+SUMIF(SYS_cliente!$P$5:$P$2500,A144,SYS_cliente!$S$5:$S$2500))</f>
        <v>0</v>
      </c>
      <c r="F144" s="1315">
        <f ca="1">IF(+SUMIF(SYS_cliente!$F$5:$F$2500,A144,SYS_cliente!$I$5:$I$1678)+SUMIF(SYS_cliente!$K$5:$K$2500,A144,SYS_cliente!$N$5:$N$1678)+SUMIF(SYS_cliente!$P$5:$P$2500,A144,SYS_cliente!$S$5:$S$1678)&gt;=0,0,-(SUMIF(SYS_cliente!$F$5:$F$2500,A144,SYS_cliente!$I$5:$I$1678)+SUMIF(SYS_cliente!$K$5:$K$2500,A144,SYS_cliente!$N$5:$N$1678)+SUMIF(SYS_cliente!$P$5:$P$2500,A144,SYS_cliente!$S$5:$S$1678)))</f>
        <v>0</v>
      </c>
      <c r="G144" s="1316">
        <f>+SUMIF(asientos!$C$13:$C$1276,SYS_4_3_Digitos!A144,asientos!$B$13:$B$1276)</f>
        <v>0</v>
      </c>
      <c r="H144" s="1317">
        <f>+SUMIF(asientos!$I$13:$I$1276,SYS_4_3_Digitos!A144,asientos!$J$13:$J$1276)</f>
        <v>0</v>
      </c>
      <c r="I144" s="1314">
        <f t="shared" ca="1" si="12"/>
        <v>0</v>
      </c>
      <c r="J144" s="1315">
        <f t="shared" ca="1" si="13"/>
        <v>0</v>
      </c>
      <c r="L144" s="1308">
        <f t="shared" si="14"/>
        <v>33000000</v>
      </c>
      <c r="M144" s="1296" t="str">
        <f t="shared" si="15"/>
        <v>3300</v>
      </c>
      <c r="N144" s="1309">
        <f t="shared" ca="1" si="16"/>
        <v>0</v>
      </c>
      <c r="O144" s="1296" t="str">
        <f t="shared" si="17"/>
        <v>33</v>
      </c>
    </row>
    <row r="145" spans="1:15" s="1296" customFormat="1">
      <c r="A145" s="1310">
        <v>34</v>
      </c>
      <c r="B145" s="1311" t="s">
        <v>406</v>
      </c>
      <c r="C145" s="1312">
        <v>0</v>
      </c>
      <c r="D145" s="1313">
        <v>0</v>
      </c>
      <c r="E145" s="1314">
        <f>IF(+SUMIF(SYS_cliente!$F$5:$F$2500,A145,SYS_cliente!$I$5:$I$2500)+SUMIF(SYS_cliente!$K$5:$K$2500,A145,SYS_cliente!$N$5:$N$2500)+SUMIF(SYS_cliente!$P$5:$P$2500,A145,SYS_cliente!$S$5:$S$2500)&lt;0,0,+SUMIF(SYS_cliente!$F$5:$F$2500,A145,SYS_cliente!$I$5:$I$2500)+SUMIF(SYS_cliente!$K$5:$K$2500,A145,SYS_cliente!$N$5:$N$2500)+SUMIF(SYS_cliente!$P$5:$P$2500,A145,SYS_cliente!$S$5:$S$2500))</f>
        <v>0</v>
      </c>
      <c r="F145" s="1315">
        <f ca="1">IF(+SUMIF(SYS_cliente!$F$5:$F$2500,A145,SYS_cliente!$I$5:$I$1678)+SUMIF(SYS_cliente!$K$5:$K$2500,A145,SYS_cliente!$N$5:$N$1678)+SUMIF(SYS_cliente!$P$5:$P$2500,A145,SYS_cliente!$S$5:$S$1678)&gt;=0,0,-(SUMIF(SYS_cliente!$F$5:$F$2500,A145,SYS_cliente!$I$5:$I$1678)+SUMIF(SYS_cliente!$K$5:$K$2500,A145,SYS_cliente!$N$5:$N$1678)+SUMIF(SYS_cliente!$P$5:$P$2500,A145,SYS_cliente!$S$5:$S$1678)))</f>
        <v>0</v>
      </c>
      <c r="G145" s="1316">
        <f>+SUMIF(asientos!$C$13:$C$1276,SYS_4_3_Digitos!A145,asientos!$B$13:$B$1276)</f>
        <v>0</v>
      </c>
      <c r="H145" s="1317">
        <f>+SUMIF(asientos!$I$13:$I$1276,SYS_4_3_Digitos!A145,asientos!$J$13:$J$1276)</f>
        <v>0</v>
      </c>
      <c r="I145" s="1314">
        <f t="shared" ca="1" si="12"/>
        <v>0</v>
      </c>
      <c r="J145" s="1315">
        <f t="shared" ca="1" si="13"/>
        <v>0</v>
      </c>
      <c r="L145" s="1308">
        <f t="shared" si="14"/>
        <v>34000000</v>
      </c>
      <c r="M145" s="1296" t="str">
        <f t="shared" si="15"/>
        <v>3400</v>
      </c>
      <c r="N145" s="1309">
        <f t="shared" ca="1" si="16"/>
        <v>0</v>
      </c>
      <c r="O145" s="1296" t="str">
        <f t="shared" si="17"/>
        <v>34</v>
      </c>
    </row>
    <row r="146" spans="1:15" s="1296" customFormat="1">
      <c r="A146" s="1310">
        <v>35</v>
      </c>
      <c r="B146" s="1311" t="s">
        <v>407</v>
      </c>
      <c r="C146" s="1312">
        <v>7081197.79</v>
      </c>
      <c r="D146" s="1313">
        <v>0</v>
      </c>
      <c r="E146" s="1314">
        <f>IF(+SUMIF(SYS_cliente!$F$5:$F$2500,A146,SYS_cliente!$I$5:$I$2500)+SUMIF(SYS_cliente!$K$5:$K$2500,A146,SYS_cliente!$N$5:$N$2500)+SUMIF(SYS_cliente!$P$5:$P$2500,A146,SYS_cliente!$S$5:$S$2500)&lt;0,0,+SUMIF(SYS_cliente!$F$5:$F$2500,A146,SYS_cliente!$I$5:$I$2500)+SUMIF(SYS_cliente!$K$5:$K$2500,A146,SYS_cliente!$N$5:$N$2500)+SUMIF(SYS_cliente!$P$5:$P$2500,A146,SYS_cliente!$S$5:$S$2500))</f>
        <v>4499319.3600000003</v>
      </c>
      <c r="F146" s="1315">
        <f ca="1">IF(+SUMIF(SYS_cliente!$F$5:$F$2500,A146,SYS_cliente!$I$5:$I$1678)+SUMIF(SYS_cliente!$K$5:$K$2500,A146,SYS_cliente!$N$5:$N$1678)+SUMIF(SYS_cliente!$P$5:$P$2500,A146,SYS_cliente!$S$5:$S$1678)&gt;=0,0,-(SUMIF(SYS_cliente!$F$5:$F$2500,A146,SYS_cliente!$I$5:$I$1678)+SUMIF(SYS_cliente!$K$5:$K$2500,A146,SYS_cliente!$N$5:$N$1678)+SUMIF(SYS_cliente!$P$5:$P$2500,A146,SYS_cliente!$S$5:$S$1678)))</f>
        <v>0</v>
      </c>
      <c r="G146" s="1316">
        <f>+SUMIF(asientos!$C$13:$C$1276,SYS_4_3_Digitos!A146,asientos!$B$13:$B$1276)</f>
        <v>0</v>
      </c>
      <c r="H146" s="1317">
        <f>+SUMIF(asientos!$I$13:$I$1276,SYS_4_3_Digitos!A146,asientos!$J$13:$J$1276)</f>
        <v>0</v>
      </c>
      <c r="I146" s="1314">
        <f t="shared" ca="1" si="12"/>
        <v>4499319.3600000003</v>
      </c>
      <c r="J146" s="1315">
        <f t="shared" ca="1" si="13"/>
        <v>0</v>
      </c>
      <c r="L146" s="1308">
        <f t="shared" si="14"/>
        <v>35000000</v>
      </c>
      <c r="M146" s="1296" t="str">
        <f t="shared" si="15"/>
        <v>3500</v>
      </c>
      <c r="N146" s="1309">
        <f t="shared" ca="1" si="16"/>
        <v>4499319.3600000003</v>
      </c>
      <c r="O146" s="1296" t="str">
        <f t="shared" si="17"/>
        <v>35</v>
      </c>
    </row>
    <row r="147" spans="1:15" s="1296" customFormat="1">
      <c r="A147" s="1310">
        <v>36</v>
      </c>
      <c r="B147" s="1311" t="s">
        <v>408</v>
      </c>
      <c r="C147" s="1312">
        <v>0</v>
      </c>
      <c r="D147" s="1313">
        <v>0</v>
      </c>
      <c r="E147" s="1314">
        <f>IF(+SUMIF(SYS_cliente!$F$5:$F$2500,A147,SYS_cliente!$I$5:$I$2500)+SUMIF(SYS_cliente!$K$5:$K$2500,A147,SYS_cliente!$N$5:$N$2500)+SUMIF(SYS_cliente!$P$5:$P$2500,A147,SYS_cliente!$S$5:$S$2500)&lt;0,0,+SUMIF(SYS_cliente!$F$5:$F$2500,A147,SYS_cliente!$I$5:$I$2500)+SUMIF(SYS_cliente!$K$5:$K$2500,A147,SYS_cliente!$N$5:$N$2500)+SUMIF(SYS_cliente!$P$5:$P$2500,A147,SYS_cliente!$S$5:$S$2500))</f>
        <v>0</v>
      </c>
      <c r="F147" s="1315">
        <f ca="1">IF(+SUMIF(SYS_cliente!$F$5:$F$2500,A147,SYS_cliente!$I$5:$I$1678)+SUMIF(SYS_cliente!$K$5:$K$2500,A147,SYS_cliente!$N$5:$N$1678)+SUMIF(SYS_cliente!$P$5:$P$2500,A147,SYS_cliente!$S$5:$S$1678)&gt;=0,0,-(SUMIF(SYS_cliente!$F$5:$F$2500,A147,SYS_cliente!$I$5:$I$1678)+SUMIF(SYS_cliente!$K$5:$K$2500,A147,SYS_cliente!$N$5:$N$1678)+SUMIF(SYS_cliente!$P$5:$P$2500,A147,SYS_cliente!$S$5:$S$1678)))</f>
        <v>0</v>
      </c>
      <c r="G147" s="1316">
        <f>+SUMIF(asientos!$C$13:$C$1276,SYS_4_3_Digitos!A147,asientos!$B$13:$B$1276)</f>
        <v>0</v>
      </c>
      <c r="H147" s="1317">
        <f>+SUMIF(asientos!$I$13:$I$1276,SYS_4_3_Digitos!A147,asientos!$J$13:$J$1276)</f>
        <v>0</v>
      </c>
      <c r="I147" s="1314">
        <f t="shared" ref="I147:I219" ca="1" si="22">IF((E147+G147-F147-H147)&gt;0,E147+G147-F147-H147,0)</f>
        <v>0</v>
      </c>
      <c r="J147" s="1315">
        <f t="shared" ref="J147:J219" ca="1" si="23">IF((F147+H147-E147-G147)&gt;0,F147+H147-E147-G147,0)</f>
        <v>0</v>
      </c>
      <c r="L147" s="1308">
        <f t="shared" ref="L147:L219" si="24">+A147*1000000</f>
        <v>36000000</v>
      </c>
      <c r="M147" s="1296" t="str">
        <f t="shared" ref="M147:M219" si="25">+LEFT(L147,4)</f>
        <v>3600</v>
      </c>
      <c r="N147" s="1309">
        <f t="shared" ref="N147:N219" ca="1" si="26">+I147-J147</f>
        <v>0</v>
      </c>
      <c r="O147" s="1296" t="str">
        <f t="shared" ref="O147:O219" si="27">+LEFT(M147,2)</f>
        <v>36</v>
      </c>
    </row>
    <row r="148" spans="1:15" s="1296" customFormat="1">
      <c r="A148" s="1310">
        <v>39</v>
      </c>
      <c r="B148" s="1311" t="s">
        <v>409</v>
      </c>
      <c r="C148" s="1312">
        <v>0</v>
      </c>
      <c r="D148" s="1313">
        <v>0</v>
      </c>
      <c r="E148" s="1314">
        <f>IF(+SUMIF(SYS_cliente!$F$5:$F$2500,A148,SYS_cliente!$I$5:$I$2500)+SUMIF(SYS_cliente!$K$5:$K$2500,A148,SYS_cliente!$N$5:$N$2500)+SUMIF(SYS_cliente!$P$5:$P$2500,A148,SYS_cliente!$S$5:$S$2500)&lt;0,0,+SUMIF(SYS_cliente!$F$5:$F$2500,A148,SYS_cliente!$I$5:$I$2500)+SUMIF(SYS_cliente!$K$5:$K$2500,A148,SYS_cliente!$N$5:$N$2500)+SUMIF(SYS_cliente!$P$5:$P$2500,A148,SYS_cliente!$S$5:$S$2500))</f>
        <v>0</v>
      </c>
      <c r="F148" s="1315">
        <f ca="1">IF(+SUMIF(SYS_cliente!$F$5:$F$2500,A148,SYS_cliente!$I$5:$I$1678)+SUMIF(SYS_cliente!$K$5:$K$2500,A148,SYS_cliente!$N$5:$N$1678)+SUMIF(SYS_cliente!$P$5:$P$2500,A148,SYS_cliente!$S$5:$S$1678)&gt;=0,0,-(SUMIF(SYS_cliente!$F$5:$F$2500,A148,SYS_cliente!$I$5:$I$1678)+SUMIF(SYS_cliente!$K$5:$K$2500,A148,SYS_cliente!$N$5:$N$1678)+SUMIF(SYS_cliente!$P$5:$P$2500,A148,SYS_cliente!$S$5:$S$1678)))</f>
        <v>0</v>
      </c>
      <c r="G148" s="1316">
        <f>+SUMIF(asientos!$C$13:$C$1276,SYS_4_3_Digitos!A148,asientos!$B$13:$B$1276)</f>
        <v>0</v>
      </c>
      <c r="H148" s="1317">
        <f>+SUMIF(asientos!$I$13:$I$1276,SYS_4_3_Digitos!A148,asientos!$J$13:$J$1276)</f>
        <v>0</v>
      </c>
      <c r="I148" s="1314">
        <f t="shared" ca="1" si="22"/>
        <v>0</v>
      </c>
      <c r="J148" s="1315">
        <f t="shared" ca="1" si="23"/>
        <v>0</v>
      </c>
      <c r="L148" s="1308">
        <f t="shared" si="24"/>
        <v>39000000</v>
      </c>
      <c r="M148" s="1296" t="str">
        <f t="shared" si="25"/>
        <v>3900</v>
      </c>
      <c r="N148" s="1309">
        <f t="shared" ca="1" si="26"/>
        <v>0</v>
      </c>
      <c r="O148" s="1296" t="str">
        <f t="shared" si="27"/>
        <v>39</v>
      </c>
    </row>
    <row r="149" spans="1:15" s="1296" customFormat="1">
      <c r="A149" s="1310">
        <v>400</v>
      </c>
      <c r="B149" s="1311" t="s">
        <v>410</v>
      </c>
      <c r="C149" s="1312">
        <v>6303892.5099999998</v>
      </c>
      <c r="D149" s="1313">
        <v>0</v>
      </c>
      <c r="E149" s="1314">
        <f>IF(+SUMIF(SYS_cliente!$F$5:$F$2500,A149,SYS_cliente!$I$5:$I$2500)+SUMIF(SYS_cliente!$K$5:$K$2500,A149,SYS_cliente!$N$5:$N$2500)+SUMIF(SYS_cliente!$P$5:$P$2500,A149,SYS_cliente!$S$5:$S$2500)&lt;0,0,+SUMIF(SYS_cliente!$F$5:$F$2500,A149,SYS_cliente!$I$5:$I$2500)+SUMIF(SYS_cliente!$K$5:$K$2500,A149,SYS_cliente!$N$5:$N$2500)+SUMIF(SYS_cliente!$P$5:$P$2500,A149,SYS_cliente!$S$5:$S$2500))</f>
        <v>1168480.1300000001</v>
      </c>
      <c r="F149" s="1315">
        <f ca="1">IF(+SUMIF(SYS_cliente!$F$5:$F$2500,A149,SYS_cliente!$I$5:$I$1678)+SUMIF(SYS_cliente!$K$5:$K$2500,A149,SYS_cliente!$N$5:$N$1678)+SUMIF(SYS_cliente!$P$5:$P$2500,A149,SYS_cliente!$S$5:$S$1678)&gt;=0,0,-(SUMIF(SYS_cliente!$F$5:$F$2500,A149,SYS_cliente!$I$5:$I$1678)+SUMIF(SYS_cliente!$K$5:$K$2500,A149,SYS_cliente!$N$5:$N$1678)+SUMIF(SYS_cliente!$P$5:$P$2500,A149,SYS_cliente!$S$5:$S$1678)))</f>
        <v>0</v>
      </c>
      <c r="G149" s="1316">
        <f>+SUMIF(asientos!$C$13:$C$1276,SYS_4_3_Digitos!A149,asientos!$B$13:$B$1276)</f>
        <v>0</v>
      </c>
      <c r="H149" s="1317">
        <f>+SUMIF(asientos!$I$13:$I$1276,SYS_4_3_Digitos!A149,asientos!$J$13:$J$1276)</f>
        <v>0</v>
      </c>
      <c r="I149" s="1314">
        <f t="shared" ca="1" si="22"/>
        <v>1168480.1300000001</v>
      </c>
      <c r="J149" s="1315">
        <f t="shared" ca="1" si="23"/>
        <v>0</v>
      </c>
      <c r="L149" s="1308">
        <f t="shared" si="24"/>
        <v>400000000</v>
      </c>
      <c r="M149" s="1296" t="str">
        <f t="shared" si="25"/>
        <v>4000</v>
      </c>
      <c r="N149" s="1309">
        <f t="shared" ca="1" si="26"/>
        <v>1168480.1300000001</v>
      </c>
      <c r="O149" s="1296" t="str">
        <f t="shared" si="27"/>
        <v>40</v>
      </c>
    </row>
    <row r="150" spans="1:15" s="1296" customFormat="1">
      <c r="A150" s="1310">
        <v>401</v>
      </c>
      <c r="B150" s="1311" t="s">
        <v>411</v>
      </c>
      <c r="C150" s="1312">
        <v>0</v>
      </c>
      <c r="D150" s="1313">
        <v>6383201.5600000005</v>
      </c>
      <c r="E150" s="1314">
        <f>IF(+SUMIF(SYS_cliente!$F$5:$F$2500,A150,SYS_cliente!$I$5:$I$2500)+SUMIF(SYS_cliente!$K$5:$K$2500,A150,SYS_cliente!$N$5:$N$2500)+SUMIF(SYS_cliente!$P$5:$P$2500,A150,SYS_cliente!$S$5:$S$2500)&lt;0,0,+SUMIF(SYS_cliente!$F$5:$F$2500,A150,SYS_cliente!$I$5:$I$2500)+SUMIF(SYS_cliente!$K$5:$K$2500,A150,SYS_cliente!$N$5:$N$2500)+SUMIF(SYS_cliente!$P$5:$P$2500,A150,SYS_cliente!$S$5:$S$2500))</f>
        <v>0</v>
      </c>
      <c r="F150" s="1315">
        <f ca="1">IF(+SUMIF(SYS_cliente!$F$5:$F$2500,A150,SYS_cliente!$I$5:$I$1678)+SUMIF(SYS_cliente!$K$5:$K$2500,A150,SYS_cliente!$N$5:$N$1678)+SUMIF(SYS_cliente!$P$5:$P$2500,A150,SYS_cliente!$S$5:$S$1678)&gt;=0,0,-(SUMIF(SYS_cliente!$F$5:$F$2500,A150,SYS_cliente!$I$5:$I$1678)+SUMIF(SYS_cliente!$K$5:$K$2500,A150,SYS_cliente!$N$5:$N$1678)+SUMIF(SYS_cliente!$P$5:$P$2500,A150,SYS_cliente!$S$5:$S$1678)))</f>
        <v>1327511.8400000001</v>
      </c>
      <c r="G150" s="1316">
        <f>+SUMIF(asientos!$C$13:$C$1276,SYS_4_3_Digitos!A150,asientos!$B$13:$B$1276)</f>
        <v>0</v>
      </c>
      <c r="H150" s="1317">
        <f>+SUMIF(asientos!$I$13:$I$1276,SYS_4_3_Digitos!A150,asientos!$J$13:$J$1276)</f>
        <v>0</v>
      </c>
      <c r="I150" s="1314">
        <f t="shared" ca="1" si="22"/>
        <v>0</v>
      </c>
      <c r="J150" s="1315">
        <f t="shared" ca="1" si="23"/>
        <v>1327511.8400000001</v>
      </c>
      <c r="L150" s="1308">
        <f t="shared" si="24"/>
        <v>401000000</v>
      </c>
      <c r="M150" s="1296" t="str">
        <f t="shared" si="25"/>
        <v>4010</v>
      </c>
      <c r="N150" s="1309">
        <f t="shared" ca="1" si="26"/>
        <v>-1327511.8400000001</v>
      </c>
      <c r="O150" s="1296" t="str">
        <f t="shared" si="27"/>
        <v>40</v>
      </c>
    </row>
    <row r="151" spans="1:15" s="1296" customFormat="1">
      <c r="A151" s="1310">
        <v>403</v>
      </c>
      <c r="B151" s="1311" t="s">
        <v>412</v>
      </c>
      <c r="C151" s="1312">
        <v>0</v>
      </c>
      <c r="D151" s="1313">
        <v>0</v>
      </c>
      <c r="E151" s="1314">
        <f>IF(+SUMIF(SYS_cliente!$F$5:$F$2500,A151,SYS_cliente!$I$5:$I$2500)+SUMIF(SYS_cliente!$K$5:$K$2500,A151,SYS_cliente!$N$5:$N$2500)+SUMIF(SYS_cliente!$P$5:$P$2500,A151,SYS_cliente!$S$5:$S$2500)&lt;0,0,+SUMIF(SYS_cliente!$F$5:$F$2500,A151,SYS_cliente!$I$5:$I$2500)+SUMIF(SYS_cliente!$K$5:$K$2500,A151,SYS_cliente!$N$5:$N$2500)+SUMIF(SYS_cliente!$P$5:$P$2500,A151,SYS_cliente!$S$5:$S$2500))</f>
        <v>0</v>
      </c>
      <c r="F151" s="1315">
        <f ca="1">IF(+SUMIF(SYS_cliente!$F$5:$F$2500,A151,SYS_cliente!$I$5:$I$1678)+SUMIF(SYS_cliente!$K$5:$K$2500,A151,SYS_cliente!$N$5:$N$1678)+SUMIF(SYS_cliente!$P$5:$P$2500,A151,SYS_cliente!$S$5:$S$1678)&gt;=0,0,-(SUMIF(SYS_cliente!$F$5:$F$2500,A151,SYS_cliente!$I$5:$I$1678)+SUMIF(SYS_cliente!$K$5:$K$2500,A151,SYS_cliente!$N$5:$N$1678)+SUMIF(SYS_cliente!$P$5:$P$2500,A151,SYS_cliente!$S$5:$S$1678)))</f>
        <v>0</v>
      </c>
      <c r="G151" s="1316">
        <f>+SUMIF(asientos!$C$13:$C$1276,SYS_4_3_Digitos!A151,asientos!$B$13:$B$1276)</f>
        <v>0</v>
      </c>
      <c r="H151" s="1317">
        <f>+SUMIF(asientos!$I$13:$I$1276,SYS_4_3_Digitos!A151,asientos!$J$13:$J$1276)</f>
        <v>0</v>
      </c>
      <c r="I151" s="1314">
        <f t="shared" ca="1" si="22"/>
        <v>0</v>
      </c>
      <c r="J151" s="1315">
        <f t="shared" ca="1" si="23"/>
        <v>0</v>
      </c>
      <c r="L151" s="1308">
        <f t="shared" si="24"/>
        <v>403000000</v>
      </c>
      <c r="M151" s="1296" t="str">
        <f t="shared" si="25"/>
        <v>4030</v>
      </c>
      <c r="N151" s="1309">
        <f t="shared" ca="1" si="26"/>
        <v>0</v>
      </c>
      <c r="O151" s="1296" t="str">
        <f t="shared" si="27"/>
        <v>40</v>
      </c>
    </row>
    <row r="152" spans="1:15" s="1296" customFormat="1">
      <c r="A152" s="1310">
        <v>404</v>
      </c>
      <c r="B152" s="1311" t="s">
        <v>413</v>
      </c>
      <c r="C152" s="1312">
        <v>0</v>
      </c>
      <c r="D152" s="1313">
        <v>0</v>
      </c>
      <c r="E152" s="1314">
        <f>IF(+SUMIF(SYS_cliente!$F$5:$F$2500,A152,SYS_cliente!$I$5:$I$2500)+SUMIF(SYS_cliente!$K$5:$K$2500,A152,SYS_cliente!$N$5:$N$2500)+SUMIF(SYS_cliente!$P$5:$P$2500,A152,SYS_cliente!$S$5:$S$2500)&lt;0,0,+SUMIF(SYS_cliente!$F$5:$F$2500,A152,SYS_cliente!$I$5:$I$2500)+SUMIF(SYS_cliente!$K$5:$K$2500,A152,SYS_cliente!$N$5:$N$2500)+SUMIF(SYS_cliente!$P$5:$P$2500,A152,SYS_cliente!$S$5:$S$2500))</f>
        <v>0</v>
      </c>
      <c r="F152" s="1315">
        <f ca="1">IF(+SUMIF(SYS_cliente!$F$5:$F$2500,A152,SYS_cliente!$I$5:$I$1678)+SUMIF(SYS_cliente!$K$5:$K$2500,A152,SYS_cliente!$N$5:$N$1678)+SUMIF(SYS_cliente!$P$5:$P$2500,A152,SYS_cliente!$S$5:$S$1678)&gt;=0,0,-(SUMIF(SYS_cliente!$F$5:$F$2500,A152,SYS_cliente!$I$5:$I$1678)+SUMIF(SYS_cliente!$K$5:$K$2500,A152,SYS_cliente!$N$5:$N$1678)+SUMIF(SYS_cliente!$P$5:$P$2500,A152,SYS_cliente!$S$5:$S$1678)))</f>
        <v>0</v>
      </c>
      <c r="G152" s="1316">
        <f>+SUMIF(asientos!$C$13:$C$1276,SYS_4_3_Digitos!A152,asientos!$B$13:$B$1276)</f>
        <v>0</v>
      </c>
      <c r="H152" s="1317">
        <f>+SUMIF(asientos!$I$13:$I$1276,SYS_4_3_Digitos!A152,asientos!$J$13:$J$1276)</f>
        <v>0</v>
      </c>
      <c r="I152" s="1314">
        <f t="shared" ca="1" si="22"/>
        <v>0</v>
      </c>
      <c r="J152" s="1315">
        <f t="shared" ca="1" si="23"/>
        <v>0</v>
      </c>
      <c r="L152" s="1308">
        <f t="shared" si="24"/>
        <v>404000000</v>
      </c>
      <c r="M152" s="1296" t="str">
        <f t="shared" si="25"/>
        <v>4040</v>
      </c>
      <c r="N152" s="1309">
        <f t="shared" ca="1" si="26"/>
        <v>0</v>
      </c>
      <c r="O152" s="1296" t="str">
        <f t="shared" si="27"/>
        <v>40</v>
      </c>
    </row>
    <row r="153" spans="1:15" s="1296" customFormat="1">
      <c r="A153" s="1310">
        <v>405</v>
      </c>
      <c r="B153" s="1311" t="s">
        <v>414</v>
      </c>
      <c r="C153" s="1312">
        <v>0</v>
      </c>
      <c r="D153" s="1313">
        <v>0</v>
      </c>
      <c r="E153" s="1314">
        <f>IF(+SUMIF(SYS_cliente!$F$5:$F$2500,A153,SYS_cliente!$I$5:$I$2500)+SUMIF(SYS_cliente!$K$5:$K$2500,A153,SYS_cliente!$N$5:$N$2500)+SUMIF(SYS_cliente!$P$5:$P$2500,A153,SYS_cliente!$S$5:$S$2500)&lt;0,0,+SUMIF(SYS_cliente!$F$5:$F$2500,A153,SYS_cliente!$I$5:$I$2500)+SUMIF(SYS_cliente!$K$5:$K$2500,A153,SYS_cliente!$N$5:$N$2500)+SUMIF(SYS_cliente!$P$5:$P$2500,A153,SYS_cliente!$S$5:$S$2500))</f>
        <v>0</v>
      </c>
      <c r="F153" s="1315">
        <f ca="1">IF(+SUMIF(SYS_cliente!$F$5:$F$2500,A153,SYS_cliente!$I$5:$I$1678)+SUMIF(SYS_cliente!$K$5:$K$2500,A153,SYS_cliente!$N$5:$N$1678)+SUMIF(SYS_cliente!$P$5:$P$2500,A153,SYS_cliente!$S$5:$S$1678)&gt;=0,0,-(SUMIF(SYS_cliente!$F$5:$F$2500,A153,SYS_cliente!$I$5:$I$1678)+SUMIF(SYS_cliente!$K$5:$K$2500,A153,SYS_cliente!$N$5:$N$1678)+SUMIF(SYS_cliente!$P$5:$P$2500,A153,SYS_cliente!$S$5:$S$1678)))</f>
        <v>0</v>
      </c>
      <c r="G153" s="1316">
        <f>+SUMIF(asientos!$C$13:$C$1276,SYS_4_3_Digitos!A153,asientos!$B$13:$B$1276)</f>
        <v>0</v>
      </c>
      <c r="H153" s="1317">
        <f>+SUMIF(asientos!$I$13:$I$1276,SYS_4_3_Digitos!A153,asientos!$J$13:$J$1276)</f>
        <v>0</v>
      </c>
      <c r="I153" s="1314">
        <f t="shared" ca="1" si="22"/>
        <v>0</v>
      </c>
      <c r="J153" s="1315">
        <f t="shared" ca="1" si="23"/>
        <v>0</v>
      </c>
      <c r="L153" s="1308">
        <f t="shared" si="24"/>
        <v>405000000</v>
      </c>
      <c r="M153" s="1296" t="str">
        <f t="shared" si="25"/>
        <v>4050</v>
      </c>
      <c r="N153" s="1309">
        <f t="shared" ca="1" si="26"/>
        <v>0</v>
      </c>
      <c r="O153" s="1296" t="str">
        <f t="shared" si="27"/>
        <v>40</v>
      </c>
    </row>
    <row r="154" spans="1:15" s="1296" customFormat="1">
      <c r="A154" s="1310">
        <v>406</v>
      </c>
      <c r="B154" s="1311" t="s">
        <v>415</v>
      </c>
      <c r="C154" s="1312">
        <v>0</v>
      </c>
      <c r="D154" s="1313">
        <v>0</v>
      </c>
      <c r="E154" s="1314">
        <f>IF(+SUMIF(SYS_cliente!$F$5:$F$2500,A154,SYS_cliente!$I$5:$I$2500)+SUMIF(SYS_cliente!$K$5:$K$2500,A154,SYS_cliente!$N$5:$N$2500)+SUMIF(SYS_cliente!$P$5:$P$2500,A154,SYS_cliente!$S$5:$S$2500)&lt;0,0,+SUMIF(SYS_cliente!$F$5:$F$2500,A154,SYS_cliente!$I$5:$I$2500)+SUMIF(SYS_cliente!$K$5:$K$2500,A154,SYS_cliente!$N$5:$N$2500)+SUMIF(SYS_cliente!$P$5:$P$2500,A154,SYS_cliente!$S$5:$S$2500))</f>
        <v>0</v>
      </c>
      <c r="F154" s="1315">
        <f ca="1">IF(+SUMIF(SYS_cliente!$F$5:$F$2500,A154,SYS_cliente!$I$5:$I$1678)+SUMIF(SYS_cliente!$K$5:$K$2500,A154,SYS_cliente!$N$5:$N$1678)+SUMIF(SYS_cliente!$P$5:$P$2500,A154,SYS_cliente!$S$5:$S$1678)&gt;=0,0,-(SUMIF(SYS_cliente!$F$5:$F$2500,A154,SYS_cliente!$I$5:$I$1678)+SUMIF(SYS_cliente!$K$5:$K$2500,A154,SYS_cliente!$N$5:$N$1678)+SUMIF(SYS_cliente!$P$5:$P$2500,A154,SYS_cliente!$S$5:$S$1678)))</f>
        <v>0</v>
      </c>
      <c r="G154" s="1316">
        <f>+SUMIF(asientos!$C$13:$C$1276,SYS_4_3_Digitos!A154,asientos!$B$13:$B$1276)</f>
        <v>0</v>
      </c>
      <c r="H154" s="1317">
        <f>+SUMIF(asientos!$I$13:$I$1276,SYS_4_3_Digitos!A154,asientos!$J$13:$J$1276)</f>
        <v>0</v>
      </c>
      <c r="I154" s="1314">
        <f t="shared" ca="1" si="22"/>
        <v>0</v>
      </c>
      <c r="J154" s="1315">
        <f t="shared" ca="1" si="23"/>
        <v>0</v>
      </c>
      <c r="L154" s="1308">
        <f t="shared" si="24"/>
        <v>406000000</v>
      </c>
      <c r="M154" s="1296" t="str">
        <f t="shared" si="25"/>
        <v>4060</v>
      </c>
      <c r="N154" s="1309">
        <f t="shared" ca="1" si="26"/>
        <v>0</v>
      </c>
      <c r="O154" s="1296" t="str">
        <f t="shared" si="27"/>
        <v>40</v>
      </c>
    </row>
    <row r="155" spans="1:15" s="1296" customFormat="1">
      <c r="A155" s="1310">
        <v>407</v>
      </c>
      <c r="B155" s="1311" t="s">
        <v>416</v>
      </c>
      <c r="C155" s="1312">
        <v>0</v>
      </c>
      <c r="D155" s="1313">
        <v>0</v>
      </c>
      <c r="E155" s="1314">
        <f>IF(+SUMIF(SYS_cliente!$F$5:$F$2500,A155,SYS_cliente!$I$5:$I$2500)+SUMIF(SYS_cliente!$K$5:$K$2500,A155,SYS_cliente!$N$5:$N$2500)+SUMIF(SYS_cliente!$P$5:$P$2500,A155,SYS_cliente!$S$5:$S$2500)&lt;0,0,+SUMIF(SYS_cliente!$F$5:$F$2500,A155,SYS_cliente!$I$5:$I$2500)+SUMIF(SYS_cliente!$K$5:$K$2500,A155,SYS_cliente!$N$5:$N$2500)+SUMIF(SYS_cliente!$P$5:$P$2500,A155,SYS_cliente!$S$5:$S$2500))</f>
        <v>0</v>
      </c>
      <c r="F155" s="1315">
        <f ca="1">IF(+SUMIF(SYS_cliente!$F$5:$F$2500,A155,SYS_cliente!$I$5:$I$1678)+SUMIF(SYS_cliente!$K$5:$K$2500,A155,SYS_cliente!$N$5:$N$1678)+SUMIF(SYS_cliente!$P$5:$P$2500,A155,SYS_cliente!$S$5:$S$1678)&gt;=0,0,-(SUMIF(SYS_cliente!$F$5:$F$2500,A155,SYS_cliente!$I$5:$I$1678)+SUMIF(SYS_cliente!$K$5:$K$2500,A155,SYS_cliente!$N$5:$N$1678)+SUMIF(SYS_cliente!$P$5:$P$2500,A155,SYS_cliente!$S$5:$S$1678)))</f>
        <v>0</v>
      </c>
      <c r="G155" s="1316">
        <f>+SUMIF(asientos!$C$13:$C$1276,SYS_4_3_Digitos!A155,asientos!$B$13:$B$1276)</f>
        <v>0</v>
      </c>
      <c r="H155" s="1317">
        <f>+SUMIF(asientos!$I$13:$I$1276,SYS_4_3_Digitos!A155,asientos!$J$13:$J$1276)</f>
        <v>0</v>
      </c>
      <c r="I155" s="1314">
        <f t="shared" ca="1" si="22"/>
        <v>0</v>
      </c>
      <c r="J155" s="1315">
        <f t="shared" ca="1" si="23"/>
        <v>0</v>
      </c>
      <c r="L155" s="1308">
        <f t="shared" si="24"/>
        <v>407000000</v>
      </c>
      <c r="M155" s="1296" t="str">
        <f t="shared" si="25"/>
        <v>4070</v>
      </c>
      <c r="N155" s="1309">
        <f t="shared" ca="1" si="26"/>
        <v>0</v>
      </c>
      <c r="O155" s="1296" t="str">
        <f t="shared" si="27"/>
        <v>40</v>
      </c>
    </row>
    <row r="156" spans="1:15" s="1296" customFormat="1">
      <c r="A156" s="1310">
        <v>410</v>
      </c>
      <c r="B156" s="1311" t="s">
        <v>417</v>
      </c>
      <c r="C156" s="1312">
        <v>0</v>
      </c>
      <c r="D156" s="1313">
        <v>46536.1</v>
      </c>
      <c r="E156" s="1314">
        <f>IF(+SUMIF(SYS_cliente!$F$5:$F$2500,A156,SYS_cliente!$I$5:$I$2500)+SUMIF(SYS_cliente!$K$5:$K$2500,A156,SYS_cliente!$N$5:$N$2500)+SUMIF(SYS_cliente!$P$5:$P$2500,A156,SYS_cliente!$S$5:$S$2500)&lt;0,0,+SUMIF(SYS_cliente!$F$5:$F$2500,A156,SYS_cliente!$I$5:$I$2500)+SUMIF(SYS_cliente!$K$5:$K$2500,A156,SYS_cliente!$N$5:$N$2500)+SUMIF(SYS_cliente!$P$5:$P$2500,A156,SYS_cliente!$S$5:$S$2500))</f>
        <v>0</v>
      </c>
      <c r="F156" s="1315">
        <f ca="1">IF(+SUMIF(SYS_cliente!$F$5:$F$2500,A156,SYS_cliente!$I$5:$I$1678)+SUMIF(SYS_cliente!$K$5:$K$2500,A156,SYS_cliente!$N$5:$N$1678)+SUMIF(SYS_cliente!$P$5:$P$2500,A156,SYS_cliente!$S$5:$S$1678)&gt;=0,0,-(SUMIF(SYS_cliente!$F$5:$F$2500,A156,SYS_cliente!$I$5:$I$1678)+SUMIF(SYS_cliente!$K$5:$K$2500,A156,SYS_cliente!$N$5:$N$1678)+SUMIF(SYS_cliente!$P$5:$P$2500,A156,SYS_cliente!$S$5:$S$1678)))</f>
        <v>47222.14</v>
      </c>
      <c r="G156" s="1316">
        <f>+SUMIF(asientos!$C$13:$C$1276,SYS_4_3_Digitos!A156,asientos!$B$13:$B$1276)</f>
        <v>0</v>
      </c>
      <c r="H156" s="1317">
        <f>+SUMIF(asientos!$I$13:$I$1276,SYS_4_3_Digitos!A156,asientos!$J$13:$J$1276)</f>
        <v>0</v>
      </c>
      <c r="I156" s="1314">
        <f t="shared" ca="1" si="22"/>
        <v>0</v>
      </c>
      <c r="J156" s="1315">
        <f t="shared" ca="1" si="23"/>
        <v>47222.14</v>
      </c>
      <c r="L156" s="1308">
        <f t="shared" si="24"/>
        <v>410000000</v>
      </c>
      <c r="M156" s="1296" t="str">
        <f t="shared" si="25"/>
        <v>4100</v>
      </c>
      <c r="N156" s="1309">
        <f t="shared" ca="1" si="26"/>
        <v>-47222.14</v>
      </c>
      <c r="O156" s="1296" t="str">
        <f t="shared" si="27"/>
        <v>41</v>
      </c>
    </row>
    <row r="157" spans="1:15" s="1296" customFormat="1">
      <c r="A157" s="1310">
        <v>411</v>
      </c>
      <c r="B157" s="1311" t="s">
        <v>418</v>
      </c>
      <c r="C157" s="1312">
        <v>0</v>
      </c>
      <c r="D157" s="1313">
        <v>264472.21000000002</v>
      </c>
      <c r="E157" s="1314">
        <f>IF(+SUMIF(SYS_cliente!$F$5:$F$2500,A157,SYS_cliente!$I$5:$I$2500)+SUMIF(SYS_cliente!$K$5:$K$2500,A157,SYS_cliente!$N$5:$N$2500)+SUMIF(SYS_cliente!$P$5:$P$2500,A157,SYS_cliente!$S$5:$S$2500)&lt;0,0,+SUMIF(SYS_cliente!$F$5:$F$2500,A157,SYS_cliente!$I$5:$I$2500)+SUMIF(SYS_cliente!$K$5:$K$2500,A157,SYS_cliente!$N$5:$N$2500)+SUMIF(SYS_cliente!$P$5:$P$2500,A157,SYS_cliente!$S$5:$S$2500))</f>
        <v>0</v>
      </c>
      <c r="F157" s="1315">
        <f ca="1">IF(+SUMIF(SYS_cliente!$F$5:$F$2500,A157,SYS_cliente!$I$5:$I$1678)+SUMIF(SYS_cliente!$K$5:$K$2500,A157,SYS_cliente!$N$5:$N$1678)+SUMIF(SYS_cliente!$P$5:$P$2500,A157,SYS_cliente!$S$5:$S$1678)&gt;=0,0,-(SUMIF(SYS_cliente!$F$5:$F$2500,A157,SYS_cliente!$I$5:$I$1678)+SUMIF(SYS_cliente!$K$5:$K$2500,A157,SYS_cliente!$N$5:$N$1678)+SUMIF(SYS_cliente!$P$5:$P$2500,A157,SYS_cliente!$S$5:$S$1678)))</f>
        <v>230293.61000000002</v>
      </c>
      <c r="G157" s="1316">
        <f>+SUMIF(asientos!$C$13:$C$1276,SYS_4_3_Digitos!A157,asientos!$B$13:$B$1276)</f>
        <v>0</v>
      </c>
      <c r="H157" s="1317">
        <f>+SUMIF(asientos!$I$13:$I$1276,SYS_4_3_Digitos!A157,asientos!$J$13:$J$1276)</f>
        <v>0</v>
      </c>
      <c r="I157" s="1314">
        <f t="shared" ca="1" si="22"/>
        <v>0</v>
      </c>
      <c r="J157" s="1315">
        <f t="shared" ca="1" si="23"/>
        <v>230293.61000000002</v>
      </c>
      <c r="L157" s="1308">
        <f t="shared" si="24"/>
        <v>411000000</v>
      </c>
      <c r="M157" s="1296" t="str">
        <f t="shared" si="25"/>
        <v>4110</v>
      </c>
      <c r="N157" s="1309">
        <f t="shared" ca="1" si="26"/>
        <v>-230293.61000000002</v>
      </c>
      <c r="O157" s="1296" t="str">
        <f t="shared" si="27"/>
        <v>41</v>
      </c>
    </row>
    <row r="158" spans="1:15" s="1296" customFormat="1">
      <c r="A158" s="1310">
        <v>419</v>
      </c>
      <c r="B158" s="1311" t="s">
        <v>419</v>
      </c>
      <c r="C158" s="1312">
        <v>0</v>
      </c>
      <c r="D158" s="1313">
        <v>0</v>
      </c>
      <c r="E158" s="1314">
        <f>IF(+SUMIF(SYS_cliente!$F$5:$F$2500,A158,SYS_cliente!$I$5:$I$2500)+SUMIF(SYS_cliente!$K$5:$K$2500,A158,SYS_cliente!$N$5:$N$2500)+SUMIF(SYS_cliente!$P$5:$P$2500,A158,SYS_cliente!$S$5:$S$2500)&lt;0,0,+SUMIF(SYS_cliente!$F$5:$F$2500,A158,SYS_cliente!$I$5:$I$2500)+SUMIF(SYS_cliente!$K$5:$K$2500,A158,SYS_cliente!$N$5:$N$2500)+SUMIF(SYS_cliente!$P$5:$P$2500,A158,SYS_cliente!$S$5:$S$2500))</f>
        <v>0</v>
      </c>
      <c r="F158" s="1315">
        <f ca="1">IF(+SUMIF(SYS_cliente!$F$5:$F$2500,A158,SYS_cliente!$I$5:$I$1678)+SUMIF(SYS_cliente!$K$5:$K$2500,A158,SYS_cliente!$N$5:$N$1678)+SUMIF(SYS_cliente!$P$5:$P$2500,A158,SYS_cliente!$S$5:$S$1678)&gt;=0,0,-(SUMIF(SYS_cliente!$F$5:$F$2500,A158,SYS_cliente!$I$5:$I$1678)+SUMIF(SYS_cliente!$K$5:$K$2500,A158,SYS_cliente!$N$5:$N$1678)+SUMIF(SYS_cliente!$P$5:$P$2500,A158,SYS_cliente!$S$5:$S$1678)))</f>
        <v>0</v>
      </c>
      <c r="G158" s="1316">
        <f>+SUMIF(asientos!$C$13:$C$1276,SYS_4_3_Digitos!A158,asientos!$B$13:$B$1276)</f>
        <v>0</v>
      </c>
      <c r="H158" s="1317">
        <f>+SUMIF(asientos!$I$13:$I$1276,SYS_4_3_Digitos!A158,asientos!$J$13:$J$1276)</f>
        <v>0</v>
      </c>
      <c r="I158" s="1314">
        <f t="shared" ca="1" si="22"/>
        <v>0</v>
      </c>
      <c r="J158" s="1315">
        <f t="shared" ca="1" si="23"/>
        <v>0</v>
      </c>
      <c r="L158" s="1308">
        <f t="shared" si="24"/>
        <v>419000000</v>
      </c>
      <c r="M158" s="1296" t="str">
        <f t="shared" si="25"/>
        <v>4190</v>
      </c>
      <c r="N158" s="1309">
        <f t="shared" ca="1" si="26"/>
        <v>0</v>
      </c>
      <c r="O158" s="1296" t="str">
        <f t="shared" si="27"/>
        <v>41</v>
      </c>
    </row>
    <row r="159" spans="1:15" s="1296" customFormat="1">
      <c r="A159" s="1310">
        <v>430</v>
      </c>
      <c r="B159" s="1311" t="s">
        <v>420</v>
      </c>
      <c r="C159" s="1312">
        <v>0</v>
      </c>
      <c r="D159" s="1313">
        <v>1376889.8699999999</v>
      </c>
      <c r="E159" s="1314">
        <f>IF(+SUMIF(SYS_cliente!$F$5:$F$2500,A159,SYS_cliente!$I$5:$I$2500)+SUMIF(SYS_cliente!$K$5:$K$2500,A159,SYS_cliente!$N$5:$N$2500)+SUMIF(SYS_cliente!$P$5:$P$2500,A159,SYS_cliente!$S$5:$S$2500)&lt;0,0,+SUMIF(SYS_cliente!$F$5:$F$2500,A159,SYS_cliente!$I$5:$I$2500)+SUMIF(SYS_cliente!$K$5:$K$2500,A159,SYS_cliente!$N$5:$N$2500)+SUMIF(SYS_cliente!$P$5:$P$2500,A159,SYS_cliente!$S$5:$S$2500))</f>
        <v>0</v>
      </c>
      <c r="F159" s="1315">
        <f ca="1">IF(+SUMIF(SYS_cliente!$F$5:$F$2500,A159,SYS_cliente!$I$5:$I$1678)+SUMIF(SYS_cliente!$K$5:$K$2500,A159,SYS_cliente!$N$5:$N$1678)+SUMIF(SYS_cliente!$P$5:$P$2500,A159,SYS_cliente!$S$5:$S$1678)&gt;=0,0,-(SUMIF(SYS_cliente!$F$5:$F$2500,A159,SYS_cliente!$I$5:$I$1678)+SUMIF(SYS_cliente!$K$5:$K$2500,A159,SYS_cliente!$N$5:$N$1678)+SUMIF(SYS_cliente!$P$5:$P$2500,A159,SYS_cliente!$S$5:$S$1678)))</f>
        <v>1431356.3099999998</v>
      </c>
      <c r="G159" s="1316">
        <f>+SUMIF(asientos!$C$13:$C$1276,SYS_4_3_Digitos!A159,asientos!$B$13:$B$1276)</f>
        <v>0</v>
      </c>
      <c r="H159" s="1317">
        <f>+SUMIF(asientos!$I$13:$I$1276,SYS_4_3_Digitos!A159,asientos!$J$13:$J$1276)</f>
        <v>0</v>
      </c>
      <c r="I159" s="1314">
        <f t="shared" ca="1" si="22"/>
        <v>0</v>
      </c>
      <c r="J159" s="1315">
        <f t="shared" ca="1" si="23"/>
        <v>1431356.3099999998</v>
      </c>
      <c r="L159" s="1308">
        <f t="shared" si="24"/>
        <v>430000000</v>
      </c>
      <c r="M159" s="1296" t="str">
        <f t="shared" si="25"/>
        <v>4300</v>
      </c>
      <c r="N159" s="1309">
        <f t="shared" ca="1" si="26"/>
        <v>-1431356.3099999998</v>
      </c>
      <c r="O159" s="1296" t="str">
        <f t="shared" si="27"/>
        <v>43</v>
      </c>
    </row>
    <row r="160" spans="1:15" s="1296" customFormat="1">
      <c r="A160" s="1310">
        <v>431</v>
      </c>
      <c r="B160" s="1311" t="s">
        <v>421</v>
      </c>
      <c r="C160" s="1312">
        <v>21805045.370000001</v>
      </c>
      <c r="D160" s="1313">
        <v>0</v>
      </c>
      <c r="E160" s="1314">
        <f>IF(+SUMIF(SYS_cliente!$F$5:$F$2500,A160,SYS_cliente!$I$5:$I$2500)+SUMIF(SYS_cliente!$K$5:$K$2500,A160,SYS_cliente!$N$5:$N$2500)+SUMIF(SYS_cliente!$P$5:$P$2500,A160,SYS_cliente!$S$5:$S$2500)&lt;0,0,+SUMIF(SYS_cliente!$F$5:$F$2500,A160,SYS_cliente!$I$5:$I$2500)+SUMIF(SYS_cliente!$K$5:$K$2500,A160,SYS_cliente!$N$5:$N$2500)+SUMIF(SYS_cliente!$P$5:$P$2500,A160,SYS_cliente!$S$5:$S$2500))</f>
        <v>25768944.690000001</v>
      </c>
      <c r="F160" s="1315">
        <f ca="1">IF(+SUMIF(SYS_cliente!$F$5:$F$2500,A160,SYS_cliente!$I$5:$I$1678)+SUMIF(SYS_cliente!$K$5:$K$2500,A160,SYS_cliente!$N$5:$N$1678)+SUMIF(SYS_cliente!$P$5:$P$2500,A160,SYS_cliente!$S$5:$S$1678)&gt;=0,0,-(SUMIF(SYS_cliente!$F$5:$F$2500,A160,SYS_cliente!$I$5:$I$1678)+SUMIF(SYS_cliente!$K$5:$K$2500,A160,SYS_cliente!$N$5:$N$1678)+SUMIF(SYS_cliente!$P$5:$P$2500,A160,SYS_cliente!$S$5:$S$1678)))</f>
        <v>0</v>
      </c>
      <c r="G160" s="1316">
        <f>+SUMIF(asientos!$C$13:$C$1276,SYS_4_3_Digitos!A160,asientos!$B$13:$B$1276)</f>
        <v>0</v>
      </c>
      <c r="H160" s="1317">
        <f>+SUMIF(asientos!$I$13:$I$1276,SYS_4_3_Digitos!A160,asientos!$J$13:$J$1276)</f>
        <v>0</v>
      </c>
      <c r="I160" s="1314">
        <f t="shared" ca="1" si="22"/>
        <v>25768944.690000001</v>
      </c>
      <c r="J160" s="1315">
        <f t="shared" ca="1" si="23"/>
        <v>0</v>
      </c>
      <c r="L160" s="1308">
        <f t="shared" si="24"/>
        <v>431000000</v>
      </c>
      <c r="M160" s="1296" t="str">
        <f t="shared" si="25"/>
        <v>4310</v>
      </c>
      <c r="N160" s="1309">
        <f t="shared" ca="1" si="26"/>
        <v>25768944.690000001</v>
      </c>
      <c r="O160" s="1296" t="str">
        <f t="shared" si="27"/>
        <v>43</v>
      </c>
    </row>
    <row r="161" spans="1:15" s="1296" customFormat="1">
      <c r="A161" s="1310">
        <v>432</v>
      </c>
      <c r="B161" s="1311" t="s">
        <v>422</v>
      </c>
      <c r="C161" s="1312">
        <v>0</v>
      </c>
      <c r="D161" s="1313">
        <v>0</v>
      </c>
      <c r="E161" s="1314">
        <f>IF(+SUMIF(SYS_cliente!$F$5:$F$2500,A161,SYS_cliente!$I$5:$I$2500)+SUMIF(SYS_cliente!$K$5:$K$2500,A161,SYS_cliente!$N$5:$N$2500)+SUMIF(SYS_cliente!$P$5:$P$2500,A161,SYS_cliente!$S$5:$S$2500)&lt;0,0,+SUMIF(SYS_cliente!$F$5:$F$2500,A161,SYS_cliente!$I$5:$I$2500)+SUMIF(SYS_cliente!$K$5:$K$2500,A161,SYS_cliente!$N$5:$N$2500)+SUMIF(SYS_cliente!$P$5:$P$2500,A161,SYS_cliente!$S$5:$S$2500))</f>
        <v>0</v>
      </c>
      <c r="F161" s="1315">
        <f ca="1">IF(+SUMIF(SYS_cliente!$F$5:$F$2500,A161,SYS_cliente!$I$5:$I$1678)+SUMIF(SYS_cliente!$K$5:$K$2500,A161,SYS_cliente!$N$5:$N$1678)+SUMIF(SYS_cliente!$P$5:$P$2500,A161,SYS_cliente!$S$5:$S$1678)&gt;=0,0,-(SUMIF(SYS_cliente!$F$5:$F$2500,A161,SYS_cliente!$I$5:$I$1678)+SUMIF(SYS_cliente!$K$5:$K$2500,A161,SYS_cliente!$N$5:$N$1678)+SUMIF(SYS_cliente!$P$5:$P$2500,A161,SYS_cliente!$S$5:$S$1678)))</f>
        <v>0</v>
      </c>
      <c r="G161" s="1316">
        <f>+SUMIF(asientos!$C$13:$C$1276,SYS_4_3_Digitos!A161,asientos!$B$13:$B$1276)</f>
        <v>0</v>
      </c>
      <c r="H161" s="1317">
        <f>+SUMIF(asientos!$I$13:$I$1276,SYS_4_3_Digitos!A161,asientos!$J$13:$J$1276)</f>
        <v>0</v>
      </c>
      <c r="I161" s="1314">
        <f t="shared" ca="1" si="22"/>
        <v>0</v>
      </c>
      <c r="J161" s="1315">
        <f t="shared" ca="1" si="23"/>
        <v>0</v>
      </c>
      <c r="L161" s="1308">
        <f t="shared" si="24"/>
        <v>432000000</v>
      </c>
      <c r="M161" s="1296" t="str">
        <f t="shared" si="25"/>
        <v>4320</v>
      </c>
      <c r="N161" s="1309">
        <f t="shared" ca="1" si="26"/>
        <v>0</v>
      </c>
      <c r="O161" s="1296" t="str">
        <f t="shared" si="27"/>
        <v>43</v>
      </c>
    </row>
    <row r="162" spans="1:15" s="1296" customFormat="1">
      <c r="A162" s="1310">
        <v>433</v>
      </c>
      <c r="B162" s="1311" t="s">
        <v>423</v>
      </c>
      <c r="C162" s="1312">
        <v>0</v>
      </c>
      <c r="D162" s="1313">
        <v>0</v>
      </c>
      <c r="E162" s="1314">
        <f>IF(+SUMIF(SYS_cliente!$F$5:$F$2500,A162,SYS_cliente!$I$5:$I$2500)+SUMIF(SYS_cliente!$K$5:$K$2500,A162,SYS_cliente!$N$5:$N$2500)+SUMIF(SYS_cliente!$P$5:$P$2500,A162,SYS_cliente!$S$5:$S$2500)&lt;0,0,+SUMIF(SYS_cliente!$F$5:$F$2500,A162,SYS_cliente!$I$5:$I$2500)+SUMIF(SYS_cliente!$K$5:$K$2500,A162,SYS_cliente!$N$5:$N$2500)+SUMIF(SYS_cliente!$P$5:$P$2500,A162,SYS_cliente!$S$5:$S$2500))</f>
        <v>0</v>
      </c>
      <c r="F162" s="1315">
        <f ca="1">IF(+SUMIF(SYS_cliente!$F$5:$F$2500,A162,SYS_cliente!$I$5:$I$1678)+SUMIF(SYS_cliente!$K$5:$K$2500,A162,SYS_cliente!$N$5:$N$1678)+SUMIF(SYS_cliente!$P$5:$P$2500,A162,SYS_cliente!$S$5:$S$1678)&gt;=0,0,-(SUMIF(SYS_cliente!$F$5:$F$2500,A162,SYS_cliente!$I$5:$I$1678)+SUMIF(SYS_cliente!$K$5:$K$2500,A162,SYS_cliente!$N$5:$N$1678)+SUMIF(SYS_cliente!$P$5:$P$2500,A162,SYS_cliente!$S$5:$S$1678)))</f>
        <v>0</v>
      </c>
      <c r="G162" s="1316">
        <f>+SUMIF(asientos!$C$13:$C$1276,SYS_4_3_Digitos!A162,asientos!$B$13:$B$1276)</f>
        <v>0</v>
      </c>
      <c r="H162" s="1317">
        <f>+SUMIF(asientos!$I$13:$I$1276,SYS_4_3_Digitos!A162,asientos!$J$13:$J$1276)</f>
        <v>0</v>
      </c>
      <c r="I162" s="1314">
        <f t="shared" ca="1" si="22"/>
        <v>0</v>
      </c>
      <c r="J162" s="1315">
        <f t="shared" ca="1" si="23"/>
        <v>0</v>
      </c>
      <c r="L162" s="1308">
        <f t="shared" si="24"/>
        <v>433000000</v>
      </c>
      <c r="M162" s="1296" t="str">
        <f t="shared" si="25"/>
        <v>4330</v>
      </c>
      <c r="N162" s="1309">
        <f t="shared" ca="1" si="26"/>
        <v>0</v>
      </c>
      <c r="O162" s="1296" t="str">
        <f t="shared" si="27"/>
        <v>43</v>
      </c>
    </row>
    <row r="163" spans="1:15" s="1296" customFormat="1">
      <c r="A163" s="1310">
        <v>434</v>
      </c>
      <c r="B163" s="1311" t="s">
        <v>424</v>
      </c>
      <c r="C163" s="1312">
        <v>0</v>
      </c>
      <c r="D163" s="1313">
        <v>0</v>
      </c>
      <c r="E163" s="1314">
        <f>IF(+SUMIF(SYS_cliente!$F$5:$F$2500,A163,SYS_cliente!$I$5:$I$2500)+SUMIF(SYS_cliente!$K$5:$K$2500,A163,SYS_cliente!$N$5:$N$2500)+SUMIF(SYS_cliente!$P$5:$P$2500,A163,SYS_cliente!$S$5:$S$2500)&lt;0,0,+SUMIF(SYS_cliente!$F$5:$F$2500,A163,SYS_cliente!$I$5:$I$2500)+SUMIF(SYS_cliente!$K$5:$K$2500,A163,SYS_cliente!$N$5:$N$2500)+SUMIF(SYS_cliente!$P$5:$P$2500,A163,SYS_cliente!$S$5:$S$2500))</f>
        <v>0</v>
      </c>
      <c r="F163" s="1315">
        <f ca="1">IF(+SUMIF(SYS_cliente!$F$5:$F$2500,A163,SYS_cliente!$I$5:$I$1678)+SUMIF(SYS_cliente!$K$5:$K$2500,A163,SYS_cliente!$N$5:$N$1678)+SUMIF(SYS_cliente!$P$5:$P$2500,A163,SYS_cliente!$S$5:$S$1678)&gt;=0,0,-(SUMIF(SYS_cliente!$F$5:$F$2500,A163,SYS_cliente!$I$5:$I$1678)+SUMIF(SYS_cliente!$K$5:$K$2500,A163,SYS_cliente!$N$5:$N$1678)+SUMIF(SYS_cliente!$P$5:$P$2500,A163,SYS_cliente!$S$5:$S$1678)))</f>
        <v>0</v>
      </c>
      <c r="G163" s="1316">
        <f>+SUMIF(asientos!$C$13:$C$1276,SYS_4_3_Digitos!A163,asientos!$B$13:$B$1276)</f>
        <v>0</v>
      </c>
      <c r="H163" s="1317">
        <f>+SUMIF(asientos!$I$13:$I$1276,SYS_4_3_Digitos!A163,asientos!$J$13:$J$1276)</f>
        <v>0</v>
      </c>
      <c r="I163" s="1314">
        <f t="shared" ca="1" si="22"/>
        <v>0</v>
      </c>
      <c r="J163" s="1315">
        <f t="shared" ca="1" si="23"/>
        <v>0</v>
      </c>
      <c r="L163" s="1308">
        <f t="shared" si="24"/>
        <v>434000000</v>
      </c>
      <c r="M163" s="1296" t="str">
        <f t="shared" si="25"/>
        <v>4340</v>
      </c>
      <c r="N163" s="1309">
        <f t="shared" ca="1" si="26"/>
        <v>0</v>
      </c>
      <c r="O163" s="1296" t="str">
        <f t="shared" si="27"/>
        <v>43</v>
      </c>
    </row>
    <row r="164" spans="1:15" s="1296" customFormat="1">
      <c r="A164" s="1310">
        <v>435</v>
      </c>
      <c r="B164" s="1311" t="s">
        <v>425</v>
      </c>
      <c r="C164" s="1312">
        <v>0</v>
      </c>
      <c r="D164" s="1313">
        <v>0</v>
      </c>
      <c r="E164" s="1314">
        <f>IF(+SUMIF(SYS_cliente!$F$5:$F$2500,A164,SYS_cliente!$I$5:$I$2500)+SUMIF(SYS_cliente!$K$5:$K$2500,A164,SYS_cliente!$N$5:$N$2500)+SUMIF(SYS_cliente!$P$5:$P$2500,A164,SYS_cliente!$S$5:$S$2500)&lt;0,0,+SUMIF(SYS_cliente!$F$5:$F$2500,A164,SYS_cliente!$I$5:$I$2500)+SUMIF(SYS_cliente!$K$5:$K$2500,A164,SYS_cliente!$N$5:$N$2500)+SUMIF(SYS_cliente!$P$5:$P$2500,A164,SYS_cliente!$S$5:$S$2500))</f>
        <v>0</v>
      </c>
      <c r="F164" s="1315">
        <f ca="1">IF(+SUMIF(SYS_cliente!$F$5:$F$2500,A164,SYS_cliente!$I$5:$I$1678)+SUMIF(SYS_cliente!$K$5:$K$2500,A164,SYS_cliente!$N$5:$N$1678)+SUMIF(SYS_cliente!$P$5:$P$2500,A164,SYS_cliente!$S$5:$S$1678)&gt;=0,0,-(SUMIF(SYS_cliente!$F$5:$F$2500,A164,SYS_cliente!$I$5:$I$1678)+SUMIF(SYS_cliente!$K$5:$K$2500,A164,SYS_cliente!$N$5:$N$1678)+SUMIF(SYS_cliente!$P$5:$P$2500,A164,SYS_cliente!$S$5:$S$1678)))</f>
        <v>0</v>
      </c>
      <c r="G164" s="1316">
        <f>+SUMIF(asientos!$C$13:$C$1276,SYS_4_3_Digitos!A164,asientos!$B$13:$B$1276)</f>
        <v>0</v>
      </c>
      <c r="H164" s="1317">
        <f>+SUMIF(asientos!$I$13:$I$1276,SYS_4_3_Digitos!A164,asientos!$J$13:$J$1276)</f>
        <v>0</v>
      </c>
      <c r="I164" s="1314">
        <f t="shared" ca="1" si="22"/>
        <v>0</v>
      </c>
      <c r="J164" s="1315">
        <f t="shared" ca="1" si="23"/>
        <v>0</v>
      </c>
      <c r="L164" s="1308">
        <f t="shared" si="24"/>
        <v>435000000</v>
      </c>
      <c r="M164" s="1296" t="str">
        <f t="shared" si="25"/>
        <v>4350</v>
      </c>
      <c r="N164" s="1309">
        <f t="shared" ca="1" si="26"/>
        <v>0</v>
      </c>
      <c r="O164" s="1296" t="str">
        <f t="shared" si="27"/>
        <v>43</v>
      </c>
    </row>
    <row r="165" spans="1:15" s="1296" customFormat="1">
      <c r="A165" s="1310">
        <v>436</v>
      </c>
      <c r="B165" s="1311" t="s">
        <v>426</v>
      </c>
      <c r="C165" s="1312">
        <v>0</v>
      </c>
      <c r="D165" s="1313">
        <v>0</v>
      </c>
      <c r="E165" s="1314">
        <f>IF(+SUMIF(SYS_cliente!$F$5:$F$2500,A165,SYS_cliente!$I$5:$I$2500)+SUMIF(SYS_cliente!$K$5:$K$2500,A165,SYS_cliente!$N$5:$N$2500)+SUMIF(SYS_cliente!$P$5:$P$2500,A165,SYS_cliente!$S$5:$S$2500)&lt;0,0,+SUMIF(SYS_cliente!$F$5:$F$2500,A165,SYS_cliente!$I$5:$I$2500)+SUMIF(SYS_cliente!$K$5:$K$2500,A165,SYS_cliente!$N$5:$N$2500)+SUMIF(SYS_cliente!$P$5:$P$2500,A165,SYS_cliente!$S$5:$S$2500))</f>
        <v>110160</v>
      </c>
      <c r="F165" s="1315">
        <f ca="1">IF(+SUMIF(SYS_cliente!$F$5:$F$2500,A165,SYS_cliente!$I$5:$I$1678)+SUMIF(SYS_cliente!$K$5:$K$2500,A165,SYS_cliente!$N$5:$N$1678)+SUMIF(SYS_cliente!$P$5:$P$2500,A165,SYS_cliente!$S$5:$S$1678)&gt;=0,0,-(SUMIF(SYS_cliente!$F$5:$F$2500,A165,SYS_cliente!$I$5:$I$1678)+SUMIF(SYS_cliente!$K$5:$K$2500,A165,SYS_cliente!$N$5:$N$1678)+SUMIF(SYS_cliente!$P$5:$P$2500,A165,SYS_cliente!$S$5:$S$1678)))</f>
        <v>0</v>
      </c>
      <c r="G165" s="1316">
        <f>+SUMIF(asientos!$C$13:$C$1276,SYS_4_3_Digitos!A165,asientos!$B$13:$B$1276)</f>
        <v>0</v>
      </c>
      <c r="H165" s="1317">
        <f>+SUMIF(asientos!$I$13:$I$1276,SYS_4_3_Digitos!A165,asientos!$J$13:$J$1276)</f>
        <v>0</v>
      </c>
      <c r="I165" s="1314">
        <f t="shared" ca="1" si="22"/>
        <v>110160</v>
      </c>
      <c r="J165" s="1315">
        <f t="shared" ca="1" si="23"/>
        <v>0</v>
      </c>
      <c r="L165" s="1308">
        <f t="shared" si="24"/>
        <v>436000000</v>
      </c>
      <c r="M165" s="1296" t="str">
        <f t="shared" si="25"/>
        <v>4360</v>
      </c>
      <c r="N165" s="1309">
        <f t="shared" ca="1" si="26"/>
        <v>110160</v>
      </c>
      <c r="O165" s="1296" t="str">
        <f t="shared" si="27"/>
        <v>43</v>
      </c>
    </row>
    <row r="166" spans="1:15" s="1296" customFormat="1">
      <c r="A166" s="1310">
        <v>437</v>
      </c>
      <c r="B166" s="1311" t="s">
        <v>427</v>
      </c>
      <c r="C166" s="1312">
        <v>0</v>
      </c>
      <c r="D166" s="1313">
        <v>0</v>
      </c>
      <c r="E166" s="1314">
        <f>IF(+SUMIF(SYS_cliente!$F$5:$F$2500,A166,SYS_cliente!$I$5:$I$2500)+SUMIF(SYS_cliente!$K$5:$K$2500,A166,SYS_cliente!$N$5:$N$2500)+SUMIF(SYS_cliente!$P$5:$P$2500,A166,SYS_cliente!$S$5:$S$2500)&lt;0,0,+SUMIF(SYS_cliente!$F$5:$F$2500,A166,SYS_cliente!$I$5:$I$2500)+SUMIF(SYS_cliente!$K$5:$K$2500,A166,SYS_cliente!$N$5:$N$2500)+SUMIF(SYS_cliente!$P$5:$P$2500,A166,SYS_cliente!$S$5:$S$2500))</f>
        <v>0</v>
      </c>
      <c r="F166" s="1315">
        <f ca="1">IF(+SUMIF(SYS_cliente!$F$5:$F$2500,A166,SYS_cliente!$I$5:$I$1678)+SUMIF(SYS_cliente!$K$5:$K$2500,A166,SYS_cliente!$N$5:$N$1678)+SUMIF(SYS_cliente!$P$5:$P$2500,A166,SYS_cliente!$S$5:$S$1678)&gt;=0,0,-(SUMIF(SYS_cliente!$F$5:$F$2500,A166,SYS_cliente!$I$5:$I$1678)+SUMIF(SYS_cliente!$K$5:$K$2500,A166,SYS_cliente!$N$5:$N$1678)+SUMIF(SYS_cliente!$P$5:$P$2500,A166,SYS_cliente!$S$5:$S$1678)))</f>
        <v>0</v>
      </c>
      <c r="G166" s="1316">
        <f>+SUMIF(asientos!$C$13:$C$1276,SYS_4_3_Digitos!A166,asientos!$B$13:$B$1276)</f>
        <v>0</v>
      </c>
      <c r="H166" s="1317">
        <f>+SUMIF(asientos!$I$13:$I$1276,SYS_4_3_Digitos!A166,asientos!$J$13:$J$1276)</f>
        <v>0</v>
      </c>
      <c r="I166" s="1314">
        <f t="shared" ca="1" si="22"/>
        <v>0</v>
      </c>
      <c r="J166" s="1315">
        <f t="shared" ca="1" si="23"/>
        <v>0</v>
      </c>
      <c r="L166" s="1308">
        <f t="shared" si="24"/>
        <v>437000000</v>
      </c>
      <c r="M166" s="1296" t="str">
        <f t="shared" si="25"/>
        <v>4370</v>
      </c>
      <c r="N166" s="1309">
        <f t="shared" ca="1" si="26"/>
        <v>0</v>
      </c>
      <c r="O166" s="1296" t="str">
        <f t="shared" si="27"/>
        <v>43</v>
      </c>
    </row>
    <row r="167" spans="1:15" s="1296" customFormat="1">
      <c r="A167" s="1310">
        <v>438</v>
      </c>
      <c r="B167" s="1311" t="s">
        <v>428</v>
      </c>
      <c r="C167" s="1312">
        <v>0</v>
      </c>
      <c r="D167" s="1313">
        <v>53130.54</v>
      </c>
      <c r="E167" s="1314">
        <f>IF(+SUMIF(SYS_cliente!$F$5:$F$2500,A167,SYS_cliente!$I$5:$I$2500)+SUMIF(SYS_cliente!$K$5:$K$2500,A167,SYS_cliente!$N$5:$N$2500)+SUMIF(SYS_cliente!$P$5:$P$2500,A167,SYS_cliente!$S$5:$S$2500)&lt;0,0,+SUMIF(SYS_cliente!$F$5:$F$2500,A167,SYS_cliente!$I$5:$I$2500)+SUMIF(SYS_cliente!$K$5:$K$2500,A167,SYS_cliente!$N$5:$N$2500)+SUMIF(SYS_cliente!$P$5:$P$2500,A167,SYS_cliente!$S$5:$S$2500))</f>
        <v>0</v>
      </c>
      <c r="F167" s="1315">
        <f ca="1">IF(+SUMIF(SYS_cliente!$F$5:$F$2500,A167,SYS_cliente!$I$5:$I$1678)+SUMIF(SYS_cliente!$K$5:$K$2500,A167,SYS_cliente!$N$5:$N$1678)+SUMIF(SYS_cliente!$P$5:$P$2500,A167,SYS_cliente!$S$5:$S$1678)&gt;=0,0,-(SUMIF(SYS_cliente!$F$5:$F$2500,A167,SYS_cliente!$I$5:$I$1678)+SUMIF(SYS_cliente!$K$5:$K$2500,A167,SYS_cliente!$N$5:$N$1678)+SUMIF(SYS_cliente!$P$5:$P$2500,A167,SYS_cliente!$S$5:$S$1678)))</f>
        <v>0</v>
      </c>
      <c r="G167" s="1316">
        <f>+SUMIF(asientos!$C$13:$C$1276,SYS_4_3_Digitos!A167,asientos!$B$13:$B$1276)</f>
        <v>0</v>
      </c>
      <c r="H167" s="1317">
        <f>+SUMIF(asientos!$I$13:$I$1276,SYS_4_3_Digitos!A167,asientos!$J$13:$J$1276)</f>
        <v>0</v>
      </c>
      <c r="I167" s="1314">
        <f t="shared" ca="1" si="22"/>
        <v>0</v>
      </c>
      <c r="J167" s="1315">
        <f t="shared" ca="1" si="23"/>
        <v>0</v>
      </c>
      <c r="L167" s="1308">
        <f t="shared" si="24"/>
        <v>438000000</v>
      </c>
      <c r="M167" s="1296" t="str">
        <f t="shared" si="25"/>
        <v>4380</v>
      </c>
      <c r="N167" s="1309">
        <f t="shared" ca="1" si="26"/>
        <v>0</v>
      </c>
      <c r="O167" s="1296" t="str">
        <f t="shared" si="27"/>
        <v>43</v>
      </c>
    </row>
    <row r="168" spans="1:15" s="1296" customFormat="1">
      <c r="A168" s="1310">
        <v>440</v>
      </c>
      <c r="B168" s="1311" t="s">
        <v>429</v>
      </c>
      <c r="C168" s="1312">
        <v>0</v>
      </c>
      <c r="D168" s="1313">
        <v>0</v>
      </c>
      <c r="E168" s="1314">
        <f>IF(+SUMIF(SYS_cliente!$F$5:$F$2500,A168,SYS_cliente!$I$5:$I$2500)+SUMIF(SYS_cliente!$K$5:$K$2500,A168,SYS_cliente!$N$5:$N$2500)+SUMIF(SYS_cliente!$P$5:$P$2500,A168,SYS_cliente!$S$5:$S$2500)&lt;0,0,+SUMIF(SYS_cliente!$F$5:$F$2500,A168,SYS_cliente!$I$5:$I$2500)+SUMIF(SYS_cliente!$K$5:$K$2500,A168,SYS_cliente!$N$5:$N$2500)+SUMIF(SYS_cliente!$P$5:$P$2500,A168,SYS_cliente!$S$5:$S$2500))</f>
        <v>652.07000000000005</v>
      </c>
      <c r="F168" s="1315">
        <f ca="1">IF(+SUMIF(SYS_cliente!$F$5:$F$2500,A168,SYS_cliente!$I$5:$I$1678)+SUMIF(SYS_cliente!$K$5:$K$2500,A168,SYS_cliente!$N$5:$N$1678)+SUMIF(SYS_cliente!$P$5:$P$2500,A168,SYS_cliente!$S$5:$S$1678)&gt;=0,0,-(SUMIF(SYS_cliente!$F$5:$F$2500,A168,SYS_cliente!$I$5:$I$1678)+SUMIF(SYS_cliente!$K$5:$K$2500,A168,SYS_cliente!$N$5:$N$1678)+SUMIF(SYS_cliente!$P$5:$P$2500,A168,SYS_cliente!$S$5:$S$1678)))</f>
        <v>0</v>
      </c>
      <c r="G168" s="1316">
        <f>+SUMIF(asientos!$C$13:$C$1276,SYS_4_3_Digitos!A168,asientos!$B$13:$B$1276)</f>
        <v>0</v>
      </c>
      <c r="H168" s="1317">
        <f>+SUMIF(asientos!$I$13:$I$1276,SYS_4_3_Digitos!A168,asientos!$J$13:$J$1276)</f>
        <v>0</v>
      </c>
      <c r="I168" s="1314">
        <f t="shared" ca="1" si="22"/>
        <v>652.07000000000005</v>
      </c>
      <c r="J168" s="1315">
        <f t="shared" ca="1" si="23"/>
        <v>0</v>
      </c>
      <c r="L168" s="1308">
        <f t="shared" si="24"/>
        <v>440000000</v>
      </c>
      <c r="M168" s="1296" t="str">
        <f t="shared" si="25"/>
        <v>4400</v>
      </c>
      <c r="N168" s="1309">
        <f t="shared" ca="1" si="26"/>
        <v>652.07000000000005</v>
      </c>
      <c r="O168" s="1296" t="str">
        <f t="shared" si="27"/>
        <v>44</v>
      </c>
    </row>
    <row r="169" spans="1:15" s="1296" customFormat="1">
      <c r="A169" s="1310">
        <v>441</v>
      </c>
      <c r="B169" s="1311" t="s">
        <v>430</v>
      </c>
      <c r="C169" s="1312">
        <v>364.09</v>
      </c>
      <c r="D169" s="1313">
        <v>0</v>
      </c>
      <c r="E169" s="1314">
        <f>IF(+SUMIF(SYS_cliente!$F$5:$F$2500,A169,SYS_cliente!$I$5:$I$2500)+SUMIF(SYS_cliente!$K$5:$K$2500,A169,SYS_cliente!$N$5:$N$2500)+SUMIF(SYS_cliente!$P$5:$P$2500,A169,SYS_cliente!$S$5:$S$2500)&lt;0,0,+SUMIF(SYS_cliente!$F$5:$F$2500,A169,SYS_cliente!$I$5:$I$2500)+SUMIF(SYS_cliente!$K$5:$K$2500,A169,SYS_cliente!$N$5:$N$2500)+SUMIF(SYS_cliente!$P$5:$P$2500,A169,SYS_cliente!$S$5:$S$2500))</f>
        <v>156.09</v>
      </c>
      <c r="F169" s="1315">
        <f ca="1">IF(+SUMIF(SYS_cliente!$F$5:$F$2500,A169,SYS_cliente!$I$5:$I$1678)+SUMIF(SYS_cliente!$K$5:$K$2500,A169,SYS_cliente!$N$5:$N$1678)+SUMIF(SYS_cliente!$P$5:$P$2500,A169,SYS_cliente!$S$5:$S$1678)&gt;=0,0,-(SUMIF(SYS_cliente!$F$5:$F$2500,A169,SYS_cliente!$I$5:$I$1678)+SUMIF(SYS_cliente!$K$5:$K$2500,A169,SYS_cliente!$N$5:$N$1678)+SUMIF(SYS_cliente!$P$5:$P$2500,A169,SYS_cliente!$S$5:$S$1678)))</f>
        <v>0</v>
      </c>
      <c r="G169" s="1316">
        <f>+SUMIF(asientos!$C$13:$C$1276,SYS_4_3_Digitos!A169,asientos!$B$13:$B$1276)</f>
        <v>0</v>
      </c>
      <c r="H169" s="1317">
        <f>+SUMIF(asientos!$I$13:$I$1276,SYS_4_3_Digitos!A169,asientos!$J$13:$J$1276)</f>
        <v>0</v>
      </c>
      <c r="I169" s="1314">
        <f t="shared" ca="1" si="22"/>
        <v>156.09</v>
      </c>
      <c r="J169" s="1315">
        <f t="shared" ca="1" si="23"/>
        <v>0</v>
      </c>
      <c r="L169" s="1308">
        <f t="shared" si="24"/>
        <v>441000000</v>
      </c>
      <c r="M169" s="1296" t="str">
        <f t="shared" si="25"/>
        <v>4410</v>
      </c>
      <c r="N169" s="1309">
        <f t="shared" ca="1" si="26"/>
        <v>156.09</v>
      </c>
      <c r="O169" s="1296" t="str">
        <f t="shared" si="27"/>
        <v>44</v>
      </c>
    </row>
    <row r="170" spans="1:15" s="1327" customFormat="1">
      <c r="A170" s="1310">
        <v>446</v>
      </c>
      <c r="B170" s="1311" t="s">
        <v>431</v>
      </c>
      <c r="C170" s="1312">
        <v>0</v>
      </c>
      <c r="D170" s="1313">
        <v>0</v>
      </c>
      <c r="E170" s="1314">
        <f>IF(+SUMIF(SYS_cliente!$F$5:$F$2500,A170,SYS_cliente!$I$5:$I$2500)+SUMIF(SYS_cliente!$K$5:$K$2500,A170,SYS_cliente!$N$5:$N$2500)+SUMIF(SYS_cliente!$P$5:$P$2500,A170,SYS_cliente!$S$5:$S$2500)&lt;0,0,+SUMIF(SYS_cliente!$F$5:$F$2500,A170,SYS_cliente!$I$5:$I$2500)+SUMIF(SYS_cliente!$K$5:$K$2500,A170,SYS_cliente!$N$5:$N$2500)+SUMIF(SYS_cliente!$P$5:$P$2500,A170,SYS_cliente!$S$5:$S$2500))</f>
        <v>0</v>
      </c>
      <c r="F170" s="1315">
        <f ca="1">IF(+SUMIF(SYS_cliente!$F$5:$F$2500,A170,SYS_cliente!$I$5:$I$1678)+SUMIF(SYS_cliente!$K$5:$K$2500,A170,SYS_cliente!$N$5:$N$1678)+SUMIF(SYS_cliente!$P$5:$P$2500,A170,SYS_cliente!$S$5:$S$1678)&gt;=0,0,-(SUMIF(SYS_cliente!$F$5:$F$2500,A170,SYS_cliente!$I$5:$I$1678)+SUMIF(SYS_cliente!$K$5:$K$2500,A170,SYS_cliente!$N$5:$N$1678)+SUMIF(SYS_cliente!$P$5:$P$2500,A170,SYS_cliente!$S$5:$S$1678)))</f>
        <v>0</v>
      </c>
      <c r="G170" s="1316">
        <f>+SUMIF(asientos!$C$13:$C$1276,SYS_4_3_Digitos!A170,asientos!$B$13:$B$1276)</f>
        <v>0</v>
      </c>
      <c r="H170" s="1317">
        <f>+SUMIF(asientos!$I$13:$I$1276,SYS_4_3_Digitos!A170,asientos!$J$13:$J$1276)</f>
        <v>0</v>
      </c>
      <c r="I170" s="1314">
        <f t="shared" ca="1" si="22"/>
        <v>0</v>
      </c>
      <c r="J170" s="1315">
        <f t="shared" ca="1" si="23"/>
        <v>0</v>
      </c>
      <c r="L170" s="1308">
        <f t="shared" si="24"/>
        <v>446000000</v>
      </c>
      <c r="M170" s="1296" t="str">
        <f t="shared" si="25"/>
        <v>4460</v>
      </c>
      <c r="N170" s="1309">
        <f t="shared" ca="1" si="26"/>
        <v>0</v>
      </c>
      <c r="O170" s="1296" t="str">
        <f t="shared" si="27"/>
        <v>44</v>
      </c>
    </row>
    <row r="171" spans="1:15" s="1296" customFormat="1">
      <c r="A171" s="1310">
        <v>449</v>
      </c>
      <c r="B171" s="1311" t="s">
        <v>432</v>
      </c>
      <c r="C171" s="1312">
        <v>0</v>
      </c>
      <c r="D171" s="1313">
        <v>0</v>
      </c>
      <c r="E171" s="1314">
        <f>IF(+SUMIF(SYS_cliente!$F$5:$F$2500,A171,SYS_cliente!$I$5:$I$2500)+SUMIF(SYS_cliente!$K$5:$K$2500,A171,SYS_cliente!$N$5:$N$2500)+SUMIF(SYS_cliente!$P$5:$P$2500,A171,SYS_cliente!$S$5:$S$2500)&lt;0,0,+SUMIF(SYS_cliente!$F$5:$F$2500,A171,SYS_cliente!$I$5:$I$2500)+SUMIF(SYS_cliente!$K$5:$K$2500,A171,SYS_cliente!$N$5:$N$2500)+SUMIF(SYS_cliente!$P$5:$P$2500,A171,SYS_cliente!$S$5:$S$2500))</f>
        <v>0</v>
      </c>
      <c r="F171" s="1315">
        <f ca="1">IF(+SUMIF(SYS_cliente!$F$5:$F$2500,A171,SYS_cliente!$I$5:$I$1678)+SUMIF(SYS_cliente!$K$5:$K$2500,A171,SYS_cliente!$N$5:$N$1678)+SUMIF(SYS_cliente!$P$5:$P$2500,A171,SYS_cliente!$S$5:$S$1678)&gt;=0,0,-(SUMIF(SYS_cliente!$F$5:$F$2500,A171,SYS_cliente!$I$5:$I$1678)+SUMIF(SYS_cliente!$K$5:$K$2500,A171,SYS_cliente!$N$5:$N$1678)+SUMIF(SYS_cliente!$P$5:$P$2500,A171,SYS_cliente!$S$5:$S$1678)))</f>
        <v>0</v>
      </c>
      <c r="G171" s="1316">
        <f>+SUMIF(asientos!$C$13:$C$1276,SYS_4_3_Digitos!A171,asientos!$B$13:$B$1276)</f>
        <v>0</v>
      </c>
      <c r="H171" s="1317">
        <f>+SUMIF(asientos!$I$13:$I$1276,SYS_4_3_Digitos!A171,asientos!$J$13:$J$1276)</f>
        <v>0</v>
      </c>
      <c r="I171" s="1314">
        <f t="shared" ca="1" si="22"/>
        <v>0</v>
      </c>
      <c r="J171" s="1315">
        <f t="shared" ca="1" si="23"/>
        <v>0</v>
      </c>
      <c r="L171" s="1308">
        <f t="shared" si="24"/>
        <v>449000000</v>
      </c>
      <c r="M171" s="1296" t="str">
        <f t="shared" si="25"/>
        <v>4490</v>
      </c>
      <c r="N171" s="1309">
        <f t="shared" ca="1" si="26"/>
        <v>0</v>
      </c>
      <c r="O171" s="1296" t="str">
        <f t="shared" si="27"/>
        <v>44</v>
      </c>
    </row>
    <row r="172" spans="1:15" s="1296" customFormat="1">
      <c r="A172" s="1310">
        <v>460</v>
      </c>
      <c r="B172" s="1311" t="s">
        <v>433</v>
      </c>
      <c r="C172" s="1312">
        <v>3750</v>
      </c>
      <c r="D172" s="1313">
        <v>0</v>
      </c>
      <c r="E172" s="1314">
        <f>IF(+SUMIF(SYS_cliente!$F$5:$F$2500,A172,SYS_cliente!$I$5:$I$2500)+SUMIF(SYS_cliente!$K$5:$K$2500,A172,SYS_cliente!$N$5:$N$2500)+SUMIF(SYS_cliente!$P$5:$P$2500,A172,SYS_cliente!$S$5:$S$2500)&lt;0,0,+SUMIF(SYS_cliente!$F$5:$F$2500,A172,SYS_cliente!$I$5:$I$2500)+SUMIF(SYS_cliente!$K$5:$K$2500,A172,SYS_cliente!$N$5:$N$2500)+SUMIF(SYS_cliente!$P$5:$P$2500,A172,SYS_cliente!$S$5:$S$2500))</f>
        <v>525</v>
      </c>
      <c r="F172" s="1315">
        <f ca="1">IF(+SUMIF(SYS_cliente!$F$5:$F$2500,A172,SYS_cliente!$I$5:$I$1678)+SUMIF(SYS_cliente!$K$5:$K$2500,A172,SYS_cliente!$N$5:$N$1678)+SUMIF(SYS_cliente!$P$5:$P$2500,A172,SYS_cliente!$S$5:$S$1678)&gt;=0,0,-(SUMIF(SYS_cliente!$F$5:$F$2500,A172,SYS_cliente!$I$5:$I$1678)+SUMIF(SYS_cliente!$K$5:$K$2500,A172,SYS_cliente!$N$5:$N$1678)+SUMIF(SYS_cliente!$P$5:$P$2500,A172,SYS_cliente!$S$5:$S$1678)))</f>
        <v>0</v>
      </c>
      <c r="G172" s="1316">
        <f>+SUMIF(asientos!$C$13:$C$1276,SYS_4_3_Digitos!A172,asientos!$B$13:$B$1276)</f>
        <v>0</v>
      </c>
      <c r="H172" s="1317">
        <f>+SUMIF(asientos!$I$13:$I$1276,SYS_4_3_Digitos!A172,asientos!$J$13:$J$1276)</f>
        <v>0</v>
      </c>
      <c r="I172" s="1314">
        <f t="shared" ca="1" si="22"/>
        <v>525</v>
      </c>
      <c r="J172" s="1315">
        <f t="shared" ca="1" si="23"/>
        <v>0</v>
      </c>
      <c r="L172" s="1308">
        <f t="shared" si="24"/>
        <v>460000000</v>
      </c>
      <c r="M172" s="1296" t="str">
        <f t="shared" si="25"/>
        <v>4600</v>
      </c>
      <c r="N172" s="1309">
        <f t="shared" ca="1" si="26"/>
        <v>525</v>
      </c>
      <c r="O172" s="1296" t="str">
        <f t="shared" si="27"/>
        <v>46</v>
      </c>
    </row>
    <row r="173" spans="1:15" s="1296" customFormat="1">
      <c r="A173" s="1310">
        <v>465</v>
      </c>
      <c r="B173" s="1311" t="s">
        <v>434</v>
      </c>
      <c r="C173" s="1312">
        <v>0</v>
      </c>
      <c r="D173" s="1313">
        <v>1820.91</v>
      </c>
      <c r="E173" s="1314">
        <f>IF(+SUMIF(SYS_cliente!$F$5:$F$2500,A173,SYS_cliente!$I$5:$I$2500)+SUMIF(SYS_cliente!$K$5:$K$2500,A173,SYS_cliente!$N$5:$N$2500)+SUMIF(SYS_cliente!$P$5:$P$2500,A173,SYS_cliente!$S$5:$S$2500)&lt;0,0,+SUMIF(SYS_cliente!$F$5:$F$2500,A173,SYS_cliente!$I$5:$I$2500)+SUMIF(SYS_cliente!$K$5:$K$2500,A173,SYS_cliente!$N$5:$N$2500)+SUMIF(SYS_cliente!$P$5:$P$2500,A173,SYS_cliente!$S$5:$S$2500))</f>
        <v>155.01</v>
      </c>
      <c r="F173" s="1315">
        <f ca="1">IF(+SUMIF(SYS_cliente!$F$5:$F$2500,A173,SYS_cliente!$I$5:$I$1678)+SUMIF(SYS_cliente!$K$5:$K$2500,A173,SYS_cliente!$N$5:$N$1678)+SUMIF(SYS_cliente!$P$5:$P$2500,A173,SYS_cliente!$S$5:$S$1678)&gt;=0,0,-(SUMIF(SYS_cliente!$F$5:$F$2500,A173,SYS_cliente!$I$5:$I$1678)+SUMIF(SYS_cliente!$K$5:$K$2500,A173,SYS_cliente!$N$5:$N$1678)+SUMIF(SYS_cliente!$P$5:$P$2500,A173,SYS_cliente!$S$5:$S$1678)))</f>
        <v>0</v>
      </c>
      <c r="G173" s="1316">
        <f>+SUMIF(asientos!$C$13:$C$1276,SYS_4_3_Digitos!A173,asientos!$B$13:$B$1276)</f>
        <v>0</v>
      </c>
      <c r="H173" s="1317">
        <f>+SUMIF(asientos!$I$13:$I$1276,SYS_4_3_Digitos!A173,asientos!$J$13:$J$1276)</f>
        <v>0</v>
      </c>
      <c r="I173" s="1314">
        <f t="shared" ca="1" si="22"/>
        <v>155.01</v>
      </c>
      <c r="J173" s="1315">
        <f t="shared" ca="1" si="23"/>
        <v>0</v>
      </c>
      <c r="L173" s="1308">
        <f t="shared" si="24"/>
        <v>465000000</v>
      </c>
      <c r="M173" s="1296" t="str">
        <f t="shared" si="25"/>
        <v>4650</v>
      </c>
      <c r="N173" s="1309">
        <f t="shared" ca="1" si="26"/>
        <v>155.01</v>
      </c>
      <c r="O173" s="1296" t="str">
        <f t="shared" si="27"/>
        <v>46</v>
      </c>
    </row>
    <row r="174" spans="1:15" s="1327" customFormat="1">
      <c r="A174" s="1310">
        <v>466</v>
      </c>
      <c r="B174" s="1311" t="s">
        <v>435</v>
      </c>
      <c r="C174" s="1312">
        <v>0</v>
      </c>
      <c r="D174" s="1313">
        <v>0</v>
      </c>
      <c r="E174" s="1314">
        <f>IF(+SUMIF(SYS_cliente!$F$5:$F$2500,A174,SYS_cliente!$I$5:$I$2500)+SUMIF(SYS_cliente!$K$5:$K$2500,A174,SYS_cliente!$N$5:$N$2500)+SUMIF(SYS_cliente!$P$5:$P$2500,A174,SYS_cliente!$S$5:$S$2500)&lt;0,0,+SUMIF(SYS_cliente!$F$5:$F$2500,A174,SYS_cliente!$I$5:$I$2500)+SUMIF(SYS_cliente!$K$5:$K$2500,A174,SYS_cliente!$N$5:$N$2500)+SUMIF(SYS_cliente!$P$5:$P$2500,A174,SYS_cliente!$S$5:$S$2500))</f>
        <v>0</v>
      </c>
      <c r="F174" s="1315">
        <f ca="1">IF(+SUMIF(SYS_cliente!$F$5:$F$2500,A174,SYS_cliente!$I$5:$I$1678)+SUMIF(SYS_cliente!$K$5:$K$2500,A174,SYS_cliente!$N$5:$N$1678)+SUMIF(SYS_cliente!$P$5:$P$2500,A174,SYS_cliente!$S$5:$S$1678)&gt;=0,0,-(SUMIF(SYS_cliente!$F$5:$F$2500,A174,SYS_cliente!$I$5:$I$1678)+SUMIF(SYS_cliente!$K$5:$K$2500,A174,SYS_cliente!$N$5:$N$1678)+SUMIF(SYS_cliente!$P$5:$P$2500,A174,SYS_cliente!$S$5:$S$1678)))</f>
        <v>0</v>
      </c>
      <c r="G174" s="1316">
        <f>+SUMIF(asientos!$C$13:$C$1276,SYS_4_3_Digitos!A174,asientos!$B$13:$B$1276)</f>
        <v>0</v>
      </c>
      <c r="H174" s="1317">
        <f>+SUMIF(asientos!$I$13:$I$1276,SYS_4_3_Digitos!A174,asientos!$J$13:$J$1276)</f>
        <v>0</v>
      </c>
      <c r="I174" s="1314">
        <f t="shared" ca="1" si="22"/>
        <v>0</v>
      </c>
      <c r="J174" s="1315">
        <f t="shared" ca="1" si="23"/>
        <v>0</v>
      </c>
      <c r="L174" s="1308">
        <f t="shared" si="24"/>
        <v>466000000</v>
      </c>
      <c r="M174" s="1296" t="str">
        <f t="shared" si="25"/>
        <v>4660</v>
      </c>
      <c r="N174" s="1309">
        <f t="shared" ca="1" si="26"/>
        <v>0</v>
      </c>
      <c r="O174" s="1296" t="str">
        <f t="shared" si="27"/>
        <v>46</v>
      </c>
    </row>
    <row r="175" spans="1:15" s="1296" customFormat="1">
      <c r="A175" s="1310">
        <v>4700</v>
      </c>
      <c r="B175" s="1311" t="s">
        <v>436</v>
      </c>
      <c r="C175" s="1312">
        <v>0</v>
      </c>
      <c r="D175" s="1313">
        <v>0</v>
      </c>
      <c r="E175" s="1314">
        <f>IF(+SUMIF(SYS_cliente!$F$5:$F$2500,A175,SYS_cliente!$I$5:$I$2500)+SUMIF(SYS_cliente!$K$5:$K$2500,A175,SYS_cliente!$N$5:$N$2500)+SUMIF(SYS_cliente!$P$5:$P$2500,A175,SYS_cliente!$S$5:$S$2500)&lt;0,0,+SUMIF(SYS_cliente!$F$5:$F$2500,A175,SYS_cliente!$I$5:$I$2500)+SUMIF(SYS_cliente!$K$5:$K$2500,A175,SYS_cliente!$N$5:$N$2500)+SUMIF(SYS_cliente!$P$5:$P$2500,A175,SYS_cliente!$S$5:$S$2500))</f>
        <v>0</v>
      </c>
      <c r="F175" s="1315">
        <f ca="1">IF(+SUMIF(SYS_cliente!$F$5:$F$2500,A175,SYS_cliente!$I$5:$I$1678)+SUMIF(SYS_cliente!$K$5:$K$2500,A175,SYS_cliente!$N$5:$N$1678)+SUMIF(SYS_cliente!$P$5:$P$2500,A175,SYS_cliente!$S$5:$S$1678)&gt;=0,0,-(SUMIF(SYS_cliente!$F$5:$F$2500,A175,SYS_cliente!$I$5:$I$1678)+SUMIF(SYS_cliente!$K$5:$K$2500,A175,SYS_cliente!$N$5:$N$1678)+SUMIF(SYS_cliente!$P$5:$P$2500,A175,SYS_cliente!$S$5:$S$1678)))</f>
        <v>0</v>
      </c>
      <c r="G175" s="1316">
        <f>+SUMIF(asientos!$C$13:$C$1276,SYS_4_3_Digitos!A175,asientos!$B$13:$B$1276)</f>
        <v>0</v>
      </c>
      <c r="H175" s="1317">
        <f>+SUMIF(asientos!$I$13:$I$1276,SYS_4_3_Digitos!A175,asientos!$J$13:$J$1276)</f>
        <v>0</v>
      </c>
      <c r="I175" s="1314">
        <f t="shared" ca="1" si="22"/>
        <v>0</v>
      </c>
      <c r="J175" s="1315">
        <f t="shared" ca="1" si="23"/>
        <v>0</v>
      </c>
      <c r="L175" s="1308">
        <f t="shared" si="24"/>
        <v>4700000000</v>
      </c>
      <c r="M175" s="1296" t="str">
        <f t="shared" si="25"/>
        <v>4700</v>
      </c>
      <c r="N175" s="1309">
        <f t="shared" ca="1" si="26"/>
        <v>0</v>
      </c>
      <c r="O175" s="1296" t="str">
        <f t="shared" si="27"/>
        <v>47</v>
      </c>
    </row>
    <row r="176" spans="1:15" s="1296" customFormat="1">
      <c r="A176" s="1310">
        <v>4708</v>
      </c>
      <c r="B176" s="1311" t="s">
        <v>437</v>
      </c>
      <c r="C176" s="1312">
        <v>103920.37</v>
      </c>
      <c r="D176" s="1313">
        <v>0</v>
      </c>
      <c r="E176" s="1314">
        <f>IF(+SUMIF(SYS_cliente!$F$5:$F$2500,A176,SYS_cliente!$I$5:$I$2500)+SUMIF(SYS_cliente!$K$5:$K$2500,A176,SYS_cliente!$N$5:$N$2500)+SUMIF(SYS_cliente!$P$5:$P$2500,A176,SYS_cliente!$S$5:$S$2500)&lt;0,0,+SUMIF(SYS_cliente!$F$5:$F$2500,A176,SYS_cliente!$I$5:$I$2500)+SUMIF(SYS_cliente!$K$5:$K$2500,A176,SYS_cliente!$N$5:$N$2500)+SUMIF(SYS_cliente!$P$5:$P$2500,A176,SYS_cliente!$S$5:$S$2500))</f>
        <v>0</v>
      </c>
      <c r="F176" s="1315">
        <f ca="1">IF(+SUMIF(SYS_cliente!$F$5:$F$2500,A176,SYS_cliente!$I$5:$I$1678)+SUMIF(SYS_cliente!$K$5:$K$2500,A176,SYS_cliente!$N$5:$N$1678)+SUMIF(SYS_cliente!$P$5:$P$2500,A176,SYS_cliente!$S$5:$S$1678)&gt;=0,0,-(SUMIF(SYS_cliente!$F$5:$F$2500,A176,SYS_cliente!$I$5:$I$1678)+SUMIF(SYS_cliente!$K$5:$K$2500,A176,SYS_cliente!$N$5:$N$1678)+SUMIF(SYS_cliente!$P$5:$P$2500,A176,SYS_cliente!$S$5:$S$1678)))</f>
        <v>0</v>
      </c>
      <c r="G176" s="1316">
        <f>+SUMIF(asientos!$C$13:$C$1276,SYS_4_3_Digitos!A176,asientos!$B$13:$B$1276)</f>
        <v>0</v>
      </c>
      <c r="H176" s="1317">
        <f>+SUMIF(asientos!$I$13:$I$1276,SYS_4_3_Digitos!A176,asientos!$J$13:$J$1276)</f>
        <v>0</v>
      </c>
      <c r="I176" s="1314">
        <f t="shared" ca="1" si="22"/>
        <v>0</v>
      </c>
      <c r="J176" s="1315">
        <f t="shared" ca="1" si="23"/>
        <v>0</v>
      </c>
      <c r="L176" s="1308">
        <f t="shared" si="24"/>
        <v>4708000000</v>
      </c>
      <c r="M176" s="1296" t="str">
        <f t="shared" si="25"/>
        <v>4708</v>
      </c>
      <c r="N176" s="1309">
        <f t="shared" ca="1" si="26"/>
        <v>0</v>
      </c>
      <c r="O176" s="1296" t="str">
        <f t="shared" si="27"/>
        <v>47</v>
      </c>
    </row>
    <row r="177" spans="1:15" s="1296" customFormat="1">
      <c r="A177" s="1310">
        <v>4709</v>
      </c>
      <c r="B177" s="1311" t="s">
        <v>438</v>
      </c>
      <c r="C177" s="1312">
        <v>1637490.19</v>
      </c>
      <c r="D177" s="1313">
        <v>0</v>
      </c>
      <c r="E177" s="1314">
        <f>IF(+SUMIF(SYS_cliente!$F$5:$F$2500,A177,SYS_cliente!$I$5:$I$2500)+SUMIF(SYS_cliente!$K$5:$K$2500,A177,SYS_cliente!$N$5:$N$2500)+SUMIF(SYS_cliente!$P$5:$P$2500,A177,SYS_cliente!$S$5:$S$2500)&lt;0,0,+SUMIF(SYS_cliente!$F$5:$F$2500,A177,SYS_cliente!$I$5:$I$2500)+SUMIF(SYS_cliente!$K$5:$K$2500,A177,SYS_cliente!$N$5:$N$2500)+SUMIF(SYS_cliente!$P$5:$P$2500,A177,SYS_cliente!$S$5:$S$2500))</f>
        <v>1119251.58</v>
      </c>
      <c r="F177" s="1315">
        <f ca="1">IF(+SUMIF(SYS_cliente!$F$5:$F$2500,A177,SYS_cliente!$I$5:$I$1678)+SUMIF(SYS_cliente!$K$5:$K$2500,A177,SYS_cliente!$N$5:$N$1678)+SUMIF(SYS_cliente!$P$5:$P$2500,A177,SYS_cliente!$S$5:$S$1678)&gt;=0,0,-(SUMIF(SYS_cliente!$F$5:$F$2500,A177,SYS_cliente!$I$5:$I$1678)+SUMIF(SYS_cliente!$K$5:$K$2500,A177,SYS_cliente!$N$5:$N$1678)+SUMIF(SYS_cliente!$P$5:$P$2500,A177,SYS_cliente!$S$5:$S$1678)))</f>
        <v>0</v>
      </c>
      <c r="G177" s="1316">
        <f>+SUMIF(asientos!$C$13:$C$1276,SYS_4_3_Digitos!A177,asientos!$B$13:$B$1276)</f>
        <v>2032224.38</v>
      </c>
      <c r="H177" s="1317">
        <f>+SUMIF(asientos!$I$13:$I$1276,SYS_4_3_Digitos!A177,asientos!$J$13:$J$1276)</f>
        <v>0</v>
      </c>
      <c r="I177" s="1314">
        <f t="shared" ca="1" si="22"/>
        <v>3151475.96</v>
      </c>
      <c r="J177" s="1315">
        <f t="shared" ca="1" si="23"/>
        <v>0</v>
      </c>
      <c r="L177" s="1308">
        <f t="shared" si="24"/>
        <v>4709000000</v>
      </c>
      <c r="M177" s="1296" t="str">
        <f t="shared" si="25"/>
        <v>4709</v>
      </c>
      <c r="N177" s="1309">
        <f t="shared" ca="1" si="26"/>
        <v>3151475.96</v>
      </c>
      <c r="O177" s="1296" t="str">
        <f t="shared" si="27"/>
        <v>47</v>
      </c>
    </row>
    <row r="178" spans="1:15" s="1296" customFormat="1">
      <c r="A178" s="1310">
        <v>471</v>
      </c>
      <c r="B178" s="1311" t="s">
        <v>439</v>
      </c>
      <c r="C178" s="1312">
        <v>0</v>
      </c>
      <c r="D178" s="1313">
        <v>0</v>
      </c>
      <c r="E178" s="1314">
        <f>IF(+SUMIF(SYS_cliente!$F$5:$F$2500,A178,SYS_cliente!$I$5:$I$2500)+SUMIF(SYS_cliente!$K$5:$K$2500,A178,SYS_cliente!$N$5:$N$2500)+SUMIF(SYS_cliente!$P$5:$P$2500,A178,SYS_cliente!$S$5:$S$2500)&lt;0,0,+SUMIF(SYS_cliente!$F$5:$F$2500,A178,SYS_cliente!$I$5:$I$2500)+SUMIF(SYS_cliente!$K$5:$K$2500,A178,SYS_cliente!$N$5:$N$2500)+SUMIF(SYS_cliente!$P$5:$P$2500,A178,SYS_cliente!$S$5:$S$2500))</f>
        <v>0</v>
      </c>
      <c r="F178" s="1315">
        <f ca="1">IF(+SUMIF(SYS_cliente!$F$5:$F$2500,A178,SYS_cliente!$I$5:$I$1678)+SUMIF(SYS_cliente!$K$5:$K$2500,A178,SYS_cliente!$N$5:$N$1678)+SUMIF(SYS_cliente!$P$5:$P$2500,A178,SYS_cliente!$S$5:$S$1678)&gt;=0,0,-(SUMIF(SYS_cliente!$F$5:$F$2500,A178,SYS_cliente!$I$5:$I$1678)+SUMIF(SYS_cliente!$K$5:$K$2500,A178,SYS_cliente!$N$5:$N$1678)+SUMIF(SYS_cliente!$P$5:$P$2500,A178,SYS_cliente!$S$5:$S$1678)))</f>
        <v>0</v>
      </c>
      <c r="G178" s="1316">
        <f>+SUMIF(asientos!$C$13:$C$1276,SYS_4_3_Digitos!A178,asientos!$B$13:$B$1276)</f>
        <v>0</v>
      </c>
      <c r="H178" s="1317">
        <f>+SUMIF(asientos!$I$13:$I$1276,SYS_4_3_Digitos!A178,asientos!$J$13:$J$1276)</f>
        <v>0</v>
      </c>
      <c r="I178" s="1314">
        <f t="shared" ca="1" si="22"/>
        <v>0</v>
      </c>
      <c r="J178" s="1315">
        <f t="shared" ca="1" si="23"/>
        <v>0</v>
      </c>
      <c r="L178" s="1308">
        <f t="shared" si="24"/>
        <v>471000000</v>
      </c>
      <c r="M178" s="1296" t="str">
        <f t="shared" si="25"/>
        <v>4710</v>
      </c>
      <c r="N178" s="1309">
        <f t="shared" ca="1" si="26"/>
        <v>0</v>
      </c>
      <c r="O178" s="1296" t="str">
        <f t="shared" si="27"/>
        <v>47</v>
      </c>
    </row>
    <row r="179" spans="1:15" s="1296" customFormat="1">
      <c r="A179" s="1310">
        <v>472</v>
      </c>
      <c r="B179" s="1311" t="s">
        <v>440</v>
      </c>
      <c r="C179" s="1312">
        <v>0</v>
      </c>
      <c r="D179" s="1313">
        <v>0</v>
      </c>
      <c r="E179" s="1314">
        <f>IF(+SUMIF(SYS_cliente!$F$5:$F$2500,A179,SYS_cliente!$I$5:$I$2500)+SUMIF(SYS_cliente!$K$5:$K$2500,A179,SYS_cliente!$N$5:$N$2500)+SUMIF(SYS_cliente!$P$5:$P$2500,A179,SYS_cliente!$S$5:$S$2500)&lt;0,0,+SUMIF(SYS_cliente!$F$5:$F$2500,A179,SYS_cliente!$I$5:$I$2500)+SUMIF(SYS_cliente!$K$5:$K$2500,A179,SYS_cliente!$N$5:$N$2500)+SUMIF(SYS_cliente!$P$5:$P$2500,A179,SYS_cliente!$S$5:$S$2500))</f>
        <v>0</v>
      </c>
      <c r="F179" s="1315">
        <f ca="1">IF(+SUMIF(SYS_cliente!$F$5:$F$2500,A179,SYS_cliente!$I$5:$I$1678)+SUMIF(SYS_cliente!$K$5:$K$2500,A179,SYS_cliente!$N$5:$N$1678)+SUMIF(SYS_cliente!$P$5:$P$2500,A179,SYS_cliente!$S$5:$S$1678)&gt;=0,0,-(SUMIF(SYS_cliente!$F$5:$F$2500,A179,SYS_cliente!$I$5:$I$1678)+SUMIF(SYS_cliente!$K$5:$K$2500,A179,SYS_cliente!$N$5:$N$1678)+SUMIF(SYS_cliente!$P$5:$P$2500,A179,SYS_cliente!$S$5:$S$1678)))</f>
        <v>0</v>
      </c>
      <c r="G179" s="1316">
        <f>+SUMIF(asientos!$C$13:$C$1276,SYS_4_3_Digitos!A179,asientos!$B$13:$B$1276)</f>
        <v>0</v>
      </c>
      <c r="H179" s="1317">
        <f>+SUMIF(asientos!$I$13:$I$1276,SYS_4_3_Digitos!A179,asientos!$J$13:$J$1276)</f>
        <v>0</v>
      </c>
      <c r="I179" s="1314">
        <f t="shared" ca="1" si="22"/>
        <v>0</v>
      </c>
      <c r="J179" s="1315">
        <f t="shared" ca="1" si="23"/>
        <v>0</v>
      </c>
      <c r="L179" s="1308">
        <f t="shared" si="24"/>
        <v>472000000</v>
      </c>
      <c r="M179" s="1296" t="str">
        <f t="shared" si="25"/>
        <v>4720</v>
      </c>
      <c r="N179" s="1309">
        <f t="shared" ca="1" si="26"/>
        <v>0</v>
      </c>
      <c r="O179" s="1296" t="str">
        <f t="shared" si="27"/>
        <v>47</v>
      </c>
    </row>
    <row r="180" spans="1:15" s="1327" customFormat="1">
      <c r="A180" s="1310">
        <v>473</v>
      </c>
      <c r="B180" s="1311" t="s">
        <v>441</v>
      </c>
      <c r="C180" s="1312">
        <v>0</v>
      </c>
      <c r="D180" s="1313">
        <v>0</v>
      </c>
      <c r="E180" s="1314">
        <f>IF(+SUMIF(SYS_cliente!$F$5:$F$2500,A180,SYS_cliente!$I$5:$I$2500)+SUMIF(SYS_cliente!$K$5:$K$2500,A180,SYS_cliente!$N$5:$N$2500)+SUMIF(SYS_cliente!$P$5:$P$2500,A180,SYS_cliente!$S$5:$S$2500)&lt;0,0,+SUMIF(SYS_cliente!$F$5:$F$2500,A180,SYS_cliente!$I$5:$I$2500)+SUMIF(SYS_cliente!$K$5:$K$2500,A180,SYS_cliente!$N$5:$N$2500)+SUMIF(SYS_cliente!$P$5:$P$2500,A180,SYS_cliente!$S$5:$S$2500))</f>
        <v>4509891.3</v>
      </c>
      <c r="F180" s="1315">
        <f ca="1">IF(+SUMIF(SYS_cliente!$F$5:$F$2500,A180,SYS_cliente!$I$5:$I$1678)+SUMIF(SYS_cliente!$K$5:$K$2500,A180,SYS_cliente!$N$5:$N$1678)+SUMIF(SYS_cliente!$P$5:$P$2500,A180,SYS_cliente!$S$5:$S$1678)&gt;=0,0,-(SUMIF(SYS_cliente!$F$5:$F$2500,A180,SYS_cliente!$I$5:$I$1678)+SUMIF(SYS_cliente!$K$5:$K$2500,A180,SYS_cliente!$N$5:$N$1678)+SUMIF(SYS_cliente!$P$5:$P$2500,A180,SYS_cliente!$S$5:$S$1678)))</f>
        <v>0</v>
      </c>
      <c r="G180" s="1316">
        <f>+SUMIF(asientos!$C$13:$C$1276,SYS_4_3_Digitos!A180,asientos!$B$13:$B$1276)</f>
        <v>0</v>
      </c>
      <c r="H180" s="1317">
        <f>+SUMIF(asientos!$I$13:$I$1276,SYS_4_3_Digitos!A180,asientos!$J$13:$J$1276)</f>
        <v>4509891.3</v>
      </c>
      <c r="I180" s="1314">
        <f t="shared" ca="1" si="22"/>
        <v>0</v>
      </c>
      <c r="J180" s="1315">
        <f t="shared" ca="1" si="23"/>
        <v>0</v>
      </c>
      <c r="L180" s="1308">
        <f t="shared" si="24"/>
        <v>473000000</v>
      </c>
      <c r="M180" s="1296" t="str">
        <f t="shared" si="25"/>
        <v>4730</v>
      </c>
      <c r="N180" s="1309">
        <f t="shared" ca="1" si="26"/>
        <v>0</v>
      </c>
      <c r="O180" s="1296" t="str">
        <f t="shared" si="27"/>
        <v>47</v>
      </c>
    </row>
    <row r="181" spans="1:15" s="1296" customFormat="1">
      <c r="A181" s="1310">
        <v>4740</v>
      </c>
      <c r="B181" s="1311" t="s">
        <v>442</v>
      </c>
      <c r="C181" s="1312">
        <v>2417215.6</v>
      </c>
      <c r="D181" s="1313">
        <v>0</v>
      </c>
      <c r="E181" s="1314">
        <f>IF(+SUMIF(SYS_cliente!$F$5:$F$2500,A181,SYS_cliente!$I$5:$I$2500)+SUMIF(SYS_cliente!$K$5:$K$2500,A181,SYS_cliente!$N$5:$N$2500)+SUMIF(SYS_cliente!$P$5:$P$2500,A181,SYS_cliente!$S$5:$S$2500)&lt;0,0,+SUMIF(SYS_cliente!$F$5:$F$2500,A181,SYS_cliente!$I$5:$I$2500)+SUMIF(SYS_cliente!$K$5:$K$2500,A181,SYS_cliente!$N$5:$N$2500)+SUMIF(SYS_cliente!$P$5:$P$2500,A181,SYS_cliente!$S$5:$S$2500))</f>
        <v>2083460.54</v>
      </c>
      <c r="F181" s="1315">
        <f ca="1">IF(+SUMIF(SYS_cliente!$F$5:$F$2500,A181,SYS_cliente!$I$5:$I$1678)+SUMIF(SYS_cliente!$K$5:$K$2500,A181,SYS_cliente!$N$5:$N$1678)+SUMIF(SYS_cliente!$P$5:$P$2500,A181,SYS_cliente!$S$5:$S$1678)&gt;=0,0,-(SUMIF(SYS_cliente!$F$5:$F$2500,A181,SYS_cliente!$I$5:$I$1678)+SUMIF(SYS_cliente!$K$5:$K$2500,A181,SYS_cliente!$N$5:$N$1678)+SUMIF(SYS_cliente!$P$5:$P$2500,A181,SYS_cliente!$S$5:$S$1678)))</f>
        <v>0</v>
      </c>
      <c r="G181" s="1316">
        <f>+SUMIF(asientos!$C$13:$C$1276,SYS_4_3_Digitos!A181,asientos!$B$13:$B$1276)</f>
        <v>0</v>
      </c>
      <c r="H181" s="1317">
        <f>+SUMIF(asientos!$I$13:$I$1276,SYS_4_3_Digitos!A181,asientos!$J$13:$J$1276)</f>
        <v>1170.8</v>
      </c>
      <c r="I181" s="1314">
        <f t="shared" ca="1" si="22"/>
        <v>2082289.74</v>
      </c>
      <c r="J181" s="1315">
        <f t="shared" ca="1" si="23"/>
        <v>0</v>
      </c>
      <c r="L181" s="1308">
        <f t="shared" si="24"/>
        <v>4740000000</v>
      </c>
      <c r="M181" s="1296" t="str">
        <f t="shared" si="25"/>
        <v>4740</v>
      </c>
      <c r="N181" s="1309">
        <f t="shared" ca="1" si="26"/>
        <v>2082289.74</v>
      </c>
      <c r="O181" s="1296" t="str">
        <f t="shared" si="27"/>
        <v>47</v>
      </c>
    </row>
    <row r="182" spans="1:15" s="1296" customFormat="1">
      <c r="A182" s="1310">
        <v>4742</v>
      </c>
      <c r="B182" s="1311" t="s">
        <v>443</v>
      </c>
      <c r="C182" s="1312">
        <v>276063.77</v>
      </c>
      <c r="D182" s="1313">
        <v>0</v>
      </c>
      <c r="E182" s="1314">
        <f>IF(+SUMIF(SYS_cliente!$F$5:$F$2500,A182,SYS_cliente!$I$5:$I$2500)+SUMIF(SYS_cliente!$K$5:$K$2500,A182,SYS_cliente!$N$5:$N$2500)+SUMIF(SYS_cliente!$P$5:$P$2500,A182,SYS_cliente!$S$5:$S$2500)&lt;0,0,+SUMIF(SYS_cliente!$F$5:$F$2500,A182,SYS_cliente!$I$5:$I$2500)+SUMIF(SYS_cliente!$K$5:$K$2500,A182,SYS_cliente!$N$5:$N$2500)+SUMIF(SYS_cliente!$P$5:$P$2500,A182,SYS_cliente!$S$5:$S$2500))</f>
        <v>276063.77</v>
      </c>
      <c r="F182" s="1315">
        <f ca="1">IF(+SUMIF(SYS_cliente!$F$5:$F$2500,A182,SYS_cliente!$I$5:$I$1678)+SUMIF(SYS_cliente!$K$5:$K$2500,A182,SYS_cliente!$N$5:$N$1678)+SUMIF(SYS_cliente!$P$5:$P$2500,A182,SYS_cliente!$S$5:$S$1678)&gt;=0,0,-(SUMIF(SYS_cliente!$F$5:$F$2500,A182,SYS_cliente!$I$5:$I$1678)+SUMIF(SYS_cliente!$K$5:$K$2500,A182,SYS_cliente!$N$5:$N$1678)+SUMIF(SYS_cliente!$P$5:$P$2500,A182,SYS_cliente!$S$5:$S$1678)))</f>
        <v>0</v>
      </c>
      <c r="G182" s="1316">
        <f>+SUMIF(asientos!$C$13:$C$1276,SYS_4_3_Digitos!A182,asientos!$B$13:$B$1276)</f>
        <v>364680.34</v>
      </c>
      <c r="H182" s="1317">
        <f>+SUMIF(asientos!$I$13:$I$1276,SYS_4_3_Digitos!A182,asientos!$J$13:$J$1276)</f>
        <v>429415.59</v>
      </c>
      <c r="I182" s="1314">
        <f t="shared" ca="1" si="22"/>
        <v>211328.52000000008</v>
      </c>
      <c r="J182" s="1315">
        <f t="shared" ca="1" si="23"/>
        <v>0</v>
      </c>
      <c r="L182" s="1308">
        <f t="shared" si="24"/>
        <v>4742000000</v>
      </c>
      <c r="M182" s="1296" t="str">
        <f t="shared" si="25"/>
        <v>4742</v>
      </c>
      <c r="N182" s="1309">
        <f t="shared" ca="1" si="26"/>
        <v>211328.52000000008</v>
      </c>
      <c r="O182" s="1296" t="str">
        <f t="shared" si="27"/>
        <v>47</v>
      </c>
    </row>
    <row r="183" spans="1:15" s="1296" customFormat="1">
      <c r="A183" s="1310">
        <v>4745</v>
      </c>
      <c r="B183" s="1311" t="s">
        <v>444</v>
      </c>
      <c r="C183" s="1312">
        <v>0</v>
      </c>
      <c r="D183" s="1313">
        <v>0</v>
      </c>
      <c r="E183" s="1314">
        <f>IF(+SUMIF(SYS_cliente!$F$5:$F$2500,A183,SYS_cliente!$I$5:$I$2500)+SUMIF(SYS_cliente!$K$5:$K$2500,A183,SYS_cliente!$N$5:$N$2500)+SUMIF(SYS_cliente!$P$5:$P$2500,A183,SYS_cliente!$S$5:$S$2500)&lt;0,0,+SUMIF(SYS_cliente!$F$5:$F$2500,A183,SYS_cliente!$I$5:$I$2500)+SUMIF(SYS_cliente!$K$5:$K$2500,A183,SYS_cliente!$N$5:$N$2500)+SUMIF(SYS_cliente!$P$5:$P$2500,A183,SYS_cliente!$S$5:$S$2500))</f>
        <v>0</v>
      </c>
      <c r="F183" s="1315">
        <f ca="1">IF(+SUMIF(SYS_cliente!$F$5:$F$2500,A183,SYS_cliente!$I$5:$I$1678)+SUMIF(SYS_cliente!$K$5:$K$2500,A183,SYS_cliente!$N$5:$N$1678)+SUMIF(SYS_cliente!$P$5:$P$2500,A183,SYS_cliente!$S$5:$S$1678)&gt;=0,0,-(SUMIF(SYS_cliente!$F$5:$F$2500,A183,SYS_cliente!$I$5:$I$1678)+SUMIF(SYS_cliente!$K$5:$K$2500,A183,SYS_cliente!$N$5:$N$1678)+SUMIF(SYS_cliente!$P$5:$P$2500,A183,SYS_cliente!$S$5:$S$1678)))</f>
        <v>0</v>
      </c>
      <c r="G183" s="1316">
        <f>+SUMIF(asientos!$C$13:$C$1276,SYS_4_3_Digitos!A183,asientos!$B$13:$B$1276)</f>
        <v>0</v>
      </c>
      <c r="H183" s="1317">
        <f>+SUMIF(asientos!$I$13:$I$1276,SYS_4_3_Digitos!A183,asientos!$J$13:$J$1276)</f>
        <v>0</v>
      </c>
      <c r="I183" s="1314">
        <f t="shared" ca="1" si="22"/>
        <v>0</v>
      </c>
      <c r="J183" s="1315">
        <f t="shared" ca="1" si="23"/>
        <v>0</v>
      </c>
      <c r="L183" s="1308">
        <f t="shared" si="24"/>
        <v>4745000000</v>
      </c>
      <c r="M183" s="1296" t="str">
        <f t="shared" si="25"/>
        <v>4745</v>
      </c>
      <c r="N183" s="1309">
        <f t="shared" ca="1" si="26"/>
        <v>0</v>
      </c>
      <c r="O183" s="1296" t="str">
        <f t="shared" si="27"/>
        <v>47</v>
      </c>
    </row>
    <row r="184" spans="1:15" s="1296" customFormat="1">
      <c r="A184" s="1310">
        <v>4750</v>
      </c>
      <c r="B184" s="1311" t="s">
        <v>445</v>
      </c>
      <c r="C184" s="1312">
        <v>0</v>
      </c>
      <c r="D184" s="1313">
        <v>375173.72</v>
      </c>
      <c r="E184" s="1314">
        <f>IF(+SUMIF(SYS_cliente!$F$5:$F$2500,A184,SYS_cliente!$I$5:$I$2500)+SUMIF(SYS_cliente!$K$5:$K$2500,A184,SYS_cliente!$N$5:$N$2500)+SUMIF(SYS_cliente!$P$5:$P$2500,A184,SYS_cliente!$S$5:$S$2500)&lt;0,0,+SUMIF(SYS_cliente!$F$5:$F$2500,A184,SYS_cliente!$I$5:$I$2500)+SUMIF(SYS_cliente!$K$5:$K$2500,A184,SYS_cliente!$N$5:$N$2500)+SUMIF(SYS_cliente!$P$5:$P$2500,A184,SYS_cliente!$S$5:$S$2500))</f>
        <v>0</v>
      </c>
      <c r="F184" s="1315">
        <f ca="1">IF(+SUMIF(SYS_cliente!$F$5:$F$2500,A184,SYS_cliente!$I$5:$I$1678)+SUMIF(SYS_cliente!$K$5:$K$2500,A184,SYS_cliente!$N$5:$N$1678)+SUMIF(SYS_cliente!$P$5:$P$2500,A184,SYS_cliente!$S$5:$S$1678)&gt;=0,0,-(SUMIF(SYS_cliente!$F$5:$F$2500,A184,SYS_cliente!$I$5:$I$1678)+SUMIF(SYS_cliente!$K$5:$K$2500,A184,SYS_cliente!$N$5:$N$1678)+SUMIF(SYS_cliente!$P$5:$P$2500,A184,SYS_cliente!$S$5:$S$1678)))</f>
        <v>674546.61</v>
      </c>
      <c r="G184" s="1316">
        <f>+SUMIF(asientos!$C$13:$C$1276,SYS_4_3_Digitos!A184,asientos!$B$13:$B$1276)</f>
        <v>0</v>
      </c>
      <c r="H184" s="1317">
        <f>+SUMIF(asientos!$I$13:$I$1276,SYS_4_3_Digitos!A184,asientos!$J$13:$J$1276)</f>
        <v>0</v>
      </c>
      <c r="I184" s="1314">
        <f t="shared" ca="1" si="22"/>
        <v>0</v>
      </c>
      <c r="J184" s="1315">
        <f t="shared" ca="1" si="23"/>
        <v>674546.61</v>
      </c>
      <c r="L184" s="1308">
        <f t="shared" si="24"/>
        <v>4750000000</v>
      </c>
      <c r="M184" s="1296" t="str">
        <f t="shared" si="25"/>
        <v>4750</v>
      </c>
      <c r="N184" s="1309">
        <f t="shared" ca="1" si="26"/>
        <v>-674546.61</v>
      </c>
      <c r="O184" s="1296" t="str">
        <f t="shared" si="27"/>
        <v>47</v>
      </c>
    </row>
    <row r="185" spans="1:15" s="1327" customFormat="1">
      <c r="A185" s="1310">
        <v>4751</v>
      </c>
      <c r="B185" s="1311" t="s">
        <v>446</v>
      </c>
      <c r="C185" s="1312">
        <v>0</v>
      </c>
      <c r="D185" s="1313">
        <v>158665.71000000002</v>
      </c>
      <c r="E185" s="1314">
        <f>IF(+SUMIF(SYS_cliente!$F$5:$F$2500,A185,SYS_cliente!$I$5:$I$2500)+SUMIF(SYS_cliente!$K$5:$K$2500,A185,SYS_cliente!$N$5:$N$2500)+SUMIF(SYS_cliente!$P$5:$P$2500,A185,SYS_cliente!$S$5:$S$2500)&lt;0,0,+SUMIF(SYS_cliente!$F$5:$F$2500,A185,SYS_cliente!$I$5:$I$2500)+SUMIF(SYS_cliente!$K$5:$K$2500,A185,SYS_cliente!$N$5:$N$2500)+SUMIF(SYS_cliente!$P$5:$P$2500,A185,SYS_cliente!$S$5:$S$2500))</f>
        <v>0</v>
      </c>
      <c r="F185" s="1315">
        <f ca="1">IF(+SUMIF(SYS_cliente!$F$5:$F$2500,A185,SYS_cliente!$I$5:$I$1678)+SUMIF(SYS_cliente!$K$5:$K$2500,A185,SYS_cliente!$N$5:$N$1678)+SUMIF(SYS_cliente!$P$5:$P$2500,A185,SYS_cliente!$S$5:$S$1678)&gt;=0,0,-(SUMIF(SYS_cliente!$F$5:$F$2500,A185,SYS_cliente!$I$5:$I$1678)+SUMIF(SYS_cliente!$K$5:$K$2500,A185,SYS_cliente!$N$5:$N$1678)+SUMIF(SYS_cliente!$P$5:$P$2500,A185,SYS_cliente!$S$5:$S$1678)))</f>
        <v>170101.03999999998</v>
      </c>
      <c r="G185" s="1316">
        <f>+SUMIF(asientos!$C$13:$C$1276,SYS_4_3_Digitos!A185,asientos!$B$13:$B$1276)</f>
        <v>0</v>
      </c>
      <c r="H185" s="1317">
        <f>+SUMIF(asientos!$I$13:$I$1276,SYS_4_3_Digitos!A185,asientos!$J$13:$J$1276)</f>
        <v>0</v>
      </c>
      <c r="I185" s="1314">
        <f t="shared" ca="1" si="22"/>
        <v>0</v>
      </c>
      <c r="J185" s="1315">
        <f t="shared" ca="1" si="23"/>
        <v>170101.03999999998</v>
      </c>
      <c r="L185" s="1308">
        <f t="shared" si="24"/>
        <v>4751000000</v>
      </c>
      <c r="M185" s="1296" t="str">
        <f t="shared" si="25"/>
        <v>4751</v>
      </c>
      <c r="N185" s="1309">
        <f t="shared" ca="1" si="26"/>
        <v>-170101.03999999998</v>
      </c>
      <c r="O185" s="1296" t="str">
        <f t="shared" si="27"/>
        <v>47</v>
      </c>
    </row>
    <row r="186" spans="1:15" s="1296" customFormat="1">
      <c r="A186" s="1310">
        <v>4752</v>
      </c>
      <c r="B186" s="1311" t="s">
        <v>447</v>
      </c>
      <c r="C186" s="1312">
        <v>0</v>
      </c>
      <c r="D186" s="1313">
        <v>0</v>
      </c>
      <c r="E186" s="1314">
        <f>IF(+SUMIF(SYS_cliente!$F$5:$F$2500,A186,SYS_cliente!$I$5:$I$2500)+SUMIF(SYS_cliente!$K$5:$K$2500,A186,SYS_cliente!$N$5:$N$2500)+SUMIF(SYS_cliente!$P$5:$P$2500,A186,SYS_cliente!$S$5:$S$2500)&lt;0,0,+SUMIF(SYS_cliente!$F$5:$F$2500,A186,SYS_cliente!$I$5:$I$2500)+SUMIF(SYS_cliente!$K$5:$K$2500,A186,SYS_cliente!$N$5:$N$2500)+SUMIF(SYS_cliente!$P$5:$P$2500,A186,SYS_cliente!$S$5:$S$2500))</f>
        <v>0</v>
      </c>
      <c r="F186" s="1315">
        <f ca="1">IF(+SUMIF(SYS_cliente!$F$5:$F$2500,A186,SYS_cliente!$I$5:$I$1678)+SUMIF(SYS_cliente!$K$5:$K$2500,A186,SYS_cliente!$N$5:$N$1678)+SUMIF(SYS_cliente!$P$5:$P$2500,A186,SYS_cliente!$S$5:$S$1678)&gt;=0,0,-(SUMIF(SYS_cliente!$F$5:$F$2500,A186,SYS_cliente!$I$5:$I$1678)+SUMIF(SYS_cliente!$K$5:$K$2500,A186,SYS_cliente!$N$5:$N$1678)+SUMIF(SYS_cliente!$P$5:$P$2500,A186,SYS_cliente!$S$5:$S$1678)))</f>
        <v>0</v>
      </c>
      <c r="G186" s="1316">
        <f>+SUMIF(asientos!$C$13:$C$1276,SYS_4_3_Digitos!A186,asientos!$B$13:$B$1276)</f>
        <v>0</v>
      </c>
      <c r="H186" s="1317">
        <f>+SUMIF(asientos!$I$13:$I$1276,SYS_4_3_Digitos!A186,asientos!$J$13:$J$1276)</f>
        <v>0</v>
      </c>
      <c r="I186" s="1314">
        <f t="shared" ca="1" si="22"/>
        <v>0</v>
      </c>
      <c r="J186" s="1315">
        <f t="shared" ca="1" si="23"/>
        <v>0</v>
      </c>
      <c r="L186" s="1308">
        <f t="shared" si="24"/>
        <v>4752000000</v>
      </c>
      <c r="M186" s="1296" t="str">
        <f t="shared" si="25"/>
        <v>4752</v>
      </c>
      <c r="N186" s="1309">
        <f t="shared" ca="1" si="26"/>
        <v>0</v>
      </c>
      <c r="O186" s="1296" t="str">
        <f t="shared" si="27"/>
        <v>47</v>
      </c>
    </row>
    <row r="187" spans="1:15" s="1296" customFormat="1">
      <c r="A187" s="1310">
        <v>4758</v>
      </c>
      <c r="B187" s="1311" t="s">
        <v>448</v>
      </c>
      <c r="C187" s="1312">
        <v>0</v>
      </c>
      <c r="D187" s="1313">
        <v>0</v>
      </c>
      <c r="E187" s="1314">
        <f>IF(+SUMIF(SYS_cliente!$F$5:$F$2500,A187,SYS_cliente!$I$5:$I$2500)+SUMIF(SYS_cliente!$K$5:$K$2500,A187,SYS_cliente!$N$5:$N$2500)+SUMIF(SYS_cliente!$P$5:$P$2500,A187,SYS_cliente!$S$5:$S$2500)&lt;0,0,+SUMIF(SYS_cliente!$F$5:$F$2500,A187,SYS_cliente!$I$5:$I$2500)+SUMIF(SYS_cliente!$K$5:$K$2500,A187,SYS_cliente!$N$5:$N$2500)+SUMIF(SYS_cliente!$P$5:$P$2500,A187,SYS_cliente!$S$5:$S$2500))</f>
        <v>0</v>
      </c>
      <c r="F187" s="1315">
        <f ca="1">IF(+SUMIF(SYS_cliente!$F$5:$F$2500,A187,SYS_cliente!$I$5:$I$1678)+SUMIF(SYS_cliente!$K$5:$K$2500,A187,SYS_cliente!$N$5:$N$1678)+SUMIF(SYS_cliente!$P$5:$P$2500,A187,SYS_cliente!$S$5:$S$1678)&gt;=0,0,-(SUMIF(SYS_cliente!$F$5:$F$2500,A187,SYS_cliente!$I$5:$I$1678)+SUMIF(SYS_cliente!$K$5:$K$2500,A187,SYS_cliente!$N$5:$N$1678)+SUMIF(SYS_cliente!$P$5:$P$2500,A187,SYS_cliente!$S$5:$S$1678)))</f>
        <v>0</v>
      </c>
      <c r="G187" s="1316">
        <f>+SUMIF(asientos!$C$13:$C$1276,SYS_4_3_Digitos!A187,asientos!$B$13:$B$1276)</f>
        <v>0</v>
      </c>
      <c r="H187" s="1317">
        <f>+SUMIF(asientos!$I$13:$I$1276,SYS_4_3_Digitos!A187,asientos!$J$13:$J$1276)</f>
        <v>0</v>
      </c>
      <c r="I187" s="1314">
        <f t="shared" ca="1" si="22"/>
        <v>0</v>
      </c>
      <c r="J187" s="1315">
        <f t="shared" ca="1" si="23"/>
        <v>0</v>
      </c>
      <c r="L187" s="1308">
        <f t="shared" si="24"/>
        <v>4758000000</v>
      </c>
      <c r="M187" s="1296" t="str">
        <f t="shared" si="25"/>
        <v>4758</v>
      </c>
      <c r="N187" s="1309">
        <f t="shared" ca="1" si="26"/>
        <v>0</v>
      </c>
      <c r="O187" s="1296" t="str">
        <f t="shared" si="27"/>
        <v>47</v>
      </c>
    </row>
    <row r="188" spans="1:15" s="1296" customFormat="1">
      <c r="A188" s="1310">
        <v>476</v>
      </c>
      <c r="B188" s="1311" t="s">
        <v>449</v>
      </c>
      <c r="C188" s="1312">
        <v>0</v>
      </c>
      <c r="D188" s="1313">
        <v>56313.1</v>
      </c>
      <c r="E188" s="1314">
        <f>IF(+SUMIF(SYS_cliente!$F$5:$F$2500,A188,SYS_cliente!$I$5:$I$2500)+SUMIF(SYS_cliente!$K$5:$K$2500,A188,SYS_cliente!$N$5:$N$2500)+SUMIF(SYS_cliente!$P$5:$P$2500,A188,SYS_cliente!$S$5:$S$2500)&lt;0,0,+SUMIF(SYS_cliente!$F$5:$F$2500,A188,SYS_cliente!$I$5:$I$2500)+SUMIF(SYS_cliente!$K$5:$K$2500,A188,SYS_cliente!$N$5:$N$2500)+SUMIF(SYS_cliente!$P$5:$P$2500,A188,SYS_cliente!$S$5:$S$2500))</f>
        <v>0</v>
      </c>
      <c r="F188" s="1315">
        <f ca="1">IF(+SUMIF(SYS_cliente!$F$5:$F$2500,A188,SYS_cliente!$I$5:$I$1678)+SUMIF(SYS_cliente!$K$5:$K$2500,A188,SYS_cliente!$N$5:$N$1678)+SUMIF(SYS_cliente!$P$5:$P$2500,A188,SYS_cliente!$S$5:$S$1678)&gt;=0,0,-(SUMIF(SYS_cliente!$F$5:$F$2500,A188,SYS_cliente!$I$5:$I$1678)+SUMIF(SYS_cliente!$K$5:$K$2500,A188,SYS_cliente!$N$5:$N$1678)+SUMIF(SYS_cliente!$P$5:$P$2500,A188,SYS_cliente!$S$5:$S$1678)))</f>
        <v>52069.54</v>
      </c>
      <c r="G188" s="1316">
        <f>+SUMIF(asientos!$C$13:$C$1276,SYS_4_3_Digitos!A188,asientos!$B$13:$B$1276)</f>
        <v>0</v>
      </c>
      <c r="H188" s="1317">
        <f>+SUMIF(asientos!$I$13:$I$1276,SYS_4_3_Digitos!A188,asientos!$J$13:$J$1276)</f>
        <v>0</v>
      </c>
      <c r="I188" s="1314">
        <f t="shared" ca="1" si="22"/>
        <v>0</v>
      </c>
      <c r="J188" s="1315">
        <f t="shared" ca="1" si="23"/>
        <v>52069.54</v>
      </c>
      <c r="L188" s="1308">
        <f t="shared" si="24"/>
        <v>476000000</v>
      </c>
      <c r="M188" s="1296" t="str">
        <f t="shared" si="25"/>
        <v>4760</v>
      </c>
      <c r="N188" s="1309">
        <f t="shared" ca="1" si="26"/>
        <v>-52069.54</v>
      </c>
      <c r="O188" s="1296" t="str">
        <f t="shared" si="27"/>
        <v>47</v>
      </c>
    </row>
    <row r="189" spans="1:15" s="1296" customFormat="1">
      <c r="A189" s="1310">
        <v>477</v>
      </c>
      <c r="B189" s="1311" t="s">
        <v>450</v>
      </c>
      <c r="C189" s="1312">
        <v>0</v>
      </c>
      <c r="D189" s="1313">
        <v>0</v>
      </c>
      <c r="E189" s="1314">
        <f>IF(+SUMIF(SYS_cliente!$F$5:$F$2500,A189,SYS_cliente!$I$5:$I$2500)+SUMIF(SYS_cliente!$K$5:$K$2500,A189,SYS_cliente!$N$5:$N$2500)+SUMIF(SYS_cliente!$P$5:$P$2500,A189,SYS_cliente!$S$5:$S$2500)&lt;0,0,+SUMIF(SYS_cliente!$F$5:$F$2500,A189,SYS_cliente!$I$5:$I$2500)+SUMIF(SYS_cliente!$K$5:$K$2500,A189,SYS_cliente!$N$5:$N$2500)+SUMIF(SYS_cliente!$P$5:$P$2500,A189,SYS_cliente!$S$5:$S$2500))</f>
        <v>0</v>
      </c>
      <c r="F189" s="1315">
        <f ca="1">IF(+SUMIF(SYS_cliente!$F$5:$F$2500,A189,SYS_cliente!$I$5:$I$1678)+SUMIF(SYS_cliente!$K$5:$K$2500,A189,SYS_cliente!$N$5:$N$1678)+SUMIF(SYS_cliente!$P$5:$P$2500,A189,SYS_cliente!$S$5:$S$1678)&gt;=0,0,-(SUMIF(SYS_cliente!$F$5:$F$2500,A189,SYS_cliente!$I$5:$I$1678)+SUMIF(SYS_cliente!$K$5:$K$2500,A189,SYS_cliente!$N$5:$N$1678)+SUMIF(SYS_cliente!$P$5:$P$2500,A189,SYS_cliente!$S$5:$S$1678)))</f>
        <v>0</v>
      </c>
      <c r="G189" s="1316">
        <f>+SUMIF(asientos!$C$13:$C$1276,SYS_4_3_Digitos!A189,asientos!$B$13:$B$1276)</f>
        <v>0</v>
      </c>
      <c r="H189" s="1317">
        <f>+SUMIF(asientos!$I$13:$I$1276,SYS_4_3_Digitos!A189,asientos!$J$13:$J$1276)</f>
        <v>0</v>
      </c>
      <c r="I189" s="1314">
        <f t="shared" ca="1" si="22"/>
        <v>0</v>
      </c>
      <c r="J189" s="1315">
        <f t="shared" ca="1" si="23"/>
        <v>0</v>
      </c>
      <c r="L189" s="1308">
        <f t="shared" si="24"/>
        <v>477000000</v>
      </c>
      <c r="M189" s="1296" t="str">
        <f t="shared" si="25"/>
        <v>4770</v>
      </c>
      <c r="N189" s="1309">
        <f t="shared" ca="1" si="26"/>
        <v>0</v>
      </c>
      <c r="O189" s="1296" t="str">
        <f t="shared" si="27"/>
        <v>47</v>
      </c>
    </row>
    <row r="190" spans="1:15" s="1296" customFormat="1">
      <c r="A190" s="1310">
        <v>479</v>
      </c>
      <c r="B190" s="1311" t="s">
        <v>451</v>
      </c>
      <c r="C190" s="1312">
        <v>0</v>
      </c>
      <c r="D190" s="1313">
        <v>6117678.1199999982</v>
      </c>
      <c r="E190" s="1314">
        <f>IF(+SUMIF(SYS_cliente!$F$5:$F$2500,A190,SYS_cliente!$I$5:$I$2500)+SUMIF(SYS_cliente!$K$5:$K$2500,A190,SYS_cliente!$N$5:$N$2500)+SUMIF(SYS_cliente!$P$5:$P$2500,A190,SYS_cliente!$S$5:$S$2500)&lt;0,0,+SUMIF(SYS_cliente!$F$5:$F$2500,A190,SYS_cliente!$I$5:$I$2500)+SUMIF(SYS_cliente!$K$5:$K$2500,A190,SYS_cliente!$N$5:$N$2500)+SUMIF(SYS_cliente!$P$5:$P$2500,A190,SYS_cliente!$S$5:$S$2500))</f>
        <v>0</v>
      </c>
      <c r="F190" s="1315">
        <f ca="1">IF(+SUMIF(SYS_cliente!$F$5:$F$2500,A190,SYS_cliente!$I$5:$I$1678)+SUMIF(SYS_cliente!$K$5:$K$2500,A190,SYS_cliente!$N$5:$N$1678)+SUMIF(SYS_cliente!$P$5:$P$2500,A190,SYS_cliente!$S$5:$S$1678)&gt;=0,0,-(SUMIF(SYS_cliente!$F$5:$F$2500,A190,SYS_cliente!$I$5:$I$1678)+SUMIF(SYS_cliente!$K$5:$K$2500,A190,SYS_cliente!$N$5:$N$1678)+SUMIF(SYS_cliente!$P$5:$P$2500,A190,SYS_cliente!$S$5:$S$1678)))</f>
        <v>9992378.5600000005</v>
      </c>
      <c r="G190" s="1316">
        <f>+SUMIF(asientos!$C$13:$C$1276,SYS_4_3_Digitos!A190,asientos!$B$13:$B$1276)</f>
        <v>2112.46</v>
      </c>
      <c r="H190" s="1317">
        <f>+SUMIF(asientos!$I$13:$I$1276,SYS_4_3_Digitos!A190,asientos!$J$13:$J$1276)</f>
        <v>8245.4599999999991</v>
      </c>
      <c r="I190" s="1314">
        <f t="shared" ca="1" si="22"/>
        <v>0</v>
      </c>
      <c r="J190" s="1315">
        <f t="shared" ca="1" si="23"/>
        <v>9998511.5600000005</v>
      </c>
      <c r="L190" s="1308">
        <f t="shared" si="24"/>
        <v>479000000</v>
      </c>
      <c r="M190" s="1296" t="str">
        <f t="shared" si="25"/>
        <v>4790</v>
      </c>
      <c r="N190" s="1309">
        <f t="shared" ca="1" si="26"/>
        <v>-9998511.5600000005</v>
      </c>
      <c r="O190" s="1296" t="str">
        <f t="shared" si="27"/>
        <v>47</v>
      </c>
    </row>
    <row r="191" spans="1:15" s="1296" customFormat="1">
      <c r="A191" s="1310">
        <v>480</v>
      </c>
      <c r="B191" s="1311" t="s">
        <v>452</v>
      </c>
      <c r="C191" s="1312">
        <v>18058.22</v>
      </c>
      <c r="D191" s="1313">
        <v>0</v>
      </c>
      <c r="E191" s="1314">
        <f>IF(+SUMIF(SYS_cliente!$F$5:$F$2500,A191,SYS_cliente!$I$5:$I$2500)+SUMIF(SYS_cliente!$K$5:$K$2500,A191,SYS_cliente!$N$5:$N$2500)+SUMIF(SYS_cliente!$P$5:$P$2500,A191,SYS_cliente!$S$5:$S$2500)&lt;0,0,+SUMIF(SYS_cliente!$F$5:$F$2500,A191,SYS_cliente!$I$5:$I$2500)+SUMIF(SYS_cliente!$K$5:$K$2500,A191,SYS_cliente!$N$5:$N$2500)+SUMIF(SYS_cliente!$P$5:$P$2500,A191,SYS_cliente!$S$5:$S$2500))</f>
        <v>18505.640000000003</v>
      </c>
      <c r="F191" s="1315">
        <f ca="1">IF(+SUMIF(SYS_cliente!$F$5:$F$2500,A191,SYS_cliente!$I$5:$I$1678)+SUMIF(SYS_cliente!$K$5:$K$2500,A191,SYS_cliente!$N$5:$N$1678)+SUMIF(SYS_cliente!$P$5:$P$2500,A191,SYS_cliente!$S$5:$S$1678)&gt;=0,0,-(SUMIF(SYS_cliente!$F$5:$F$2500,A191,SYS_cliente!$I$5:$I$1678)+SUMIF(SYS_cliente!$K$5:$K$2500,A191,SYS_cliente!$N$5:$N$1678)+SUMIF(SYS_cliente!$P$5:$P$2500,A191,SYS_cliente!$S$5:$S$1678)))</f>
        <v>0</v>
      </c>
      <c r="G191" s="1316">
        <f>+SUMIF(asientos!$C$13:$C$1276,SYS_4_3_Digitos!A191,asientos!$B$13:$B$1276)</f>
        <v>0</v>
      </c>
      <c r="H191" s="1317">
        <f>+SUMIF(asientos!$I$13:$I$1276,SYS_4_3_Digitos!A191,asientos!$J$13:$J$1276)</f>
        <v>0</v>
      </c>
      <c r="I191" s="1314">
        <f t="shared" ca="1" si="22"/>
        <v>18505.640000000003</v>
      </c>
      <c r="J191" s="1315">
        <f t="shared" ca="1" si="23"/>
        <v>0</v>
      </c>
      <c r="L191" s="1308">
        <f t="shared" si="24"/>
        <v>480000000</v>
      </c>
      <c r="M191" s="1296" t="str">
        <f t="shared" si="25"/>
        <v>4800</v>
      </c>
      <c r="N191" s="1309">
        <f t="shared" ca="1" si="26"/>
        <v>18505.640000000003</v>
      </c>
      <c r="O191" s="1296" t="str">
        <f t="shared" si="27"/>
        <v>48</v>
      </c>
    </row>
    <row r="192" spans="1:15" s="1296" customFormat="1">
      <c r="A192" s="1310">
        <v>485</v>
      </c>
      <c r="B192" s="1311" t="s">
        <v>453</v>
      </c>
      <c r="C192" s="1312">
        <v>0</v>
      </c>
      <c r="D192" s="1313">
        <v>0</v>
      </c>
      <c r="E192" s="1314">
        <f>IF(+SUMIF(SYS_cliente!$F$5:$F$2500,A192,SYS_cliente!$I$5:$I$2500)+SUMIF(SYS_cliente!$K$5:$K$2500,A192,SYS_cliente!$N$5:$N$2500)+SUMIF(SYS_cliente!$P$5:$P$2500,A192,SYS_cliente!$S$5:$S$2500)&lt;0,0,+SUMIF(SYS_cliente!$F$5:$F$2500,A192,SYS_cliente!$I$5:$I$2500)+SUMIF(SYS_cliente!$K$5:$K$2500,A192,SYS_cliente!$N$5:$N$2500)+SUMIF(SYS_cliente!$P$5:$P$2500,A192,SYS_cliente!$S$5:$S$2500))</f>
        <v>0</v>
      </c>
      <c r="F192" s="1315">
        <f ca="1">IF(+SUMIF(SYS_cliente!$F$5:$F$2500,A192,SYS_cliente!$I$5:$I$1678)+SUMIF(SYS_cliente!$K$5:$K$2500,A192,SYS_cliente!$N$5:$N$1678)+SUMIF(SYS_cliente!$P$5:$P$2500,A192,SYS_cliente!$S$5:$S$1678)&gt;=0,0,-(SUMIF(SYS_cliente!$F$5:$F$2500,A192,SYS_cliente!$I$5:$I$1678)+SUMIF(SYS_cliente!$K$5:$K$2500,A192,SYS_cliente!$N$5:$N$1678)+SUMIF(SYS_cliente!$P$5:$P$2500,A192,SYS_cliente!$S$5:$S$1678)))</f>
        <v>0</v>
      </c>
      <c r="G192" s="1316">
        <f>+SUMIF(asientos!$C$13:$C$1276,SYS_4_3_Digitos!A192,asientos!$B$13:$B$1276)</f>
        <v>0</v>
      </c>
      <c r="H192" s="1317">
        <f>+SUMIF(asientos!$I$13:$I$1276,SYS_4_3_Digitos!A192,asientos!$J$13:$J$1276)</f>
        <v>0</v>
      </c>
      <c r="I192" s="1314">
        <f t="shared" ca="1" si="22"/>
        <v>0</v>
      </c>
      <c r="J192" s="1315">
        <f t="shared" ca="1" si="23"/>
        <v>0</v>
      </c>
      <c r="L192" s="1308">
        <f t="shared" si="24"/>
        <v>485000000</v>
      </c>
      <c r="M192" s="1296" t="str">
        <f t="shared" si="25"/>
        <v>4850</v>
      </c>
      <c r="N192" s="1309">
        <f t="shared" ca="1" si="26"/>
        <v>0</v>
      </c>
      <c r="O192" s="1296" t="str">
        <f t="shared" si="27"/>
        <v>48</v>
      </c>
    </row>
    <row r="193" spans="1:15" s="1296" customFormat="1">
      <c r="A193" s="1310">
        <v>490</v>
      </c>
      <c r="B193" s="1311" t="s">
        <v>454</v>
      </c>
      <c r="C193" s="1312">
        <v>0</v>
      </c>
      <c r="D193" s="1313">
        <v>0</v>
      </c>
      <c r="E193" s="1314">
        <f>IF(+SUMIF(SYS_cliente!$F$5:$F$2500,A193,SYS_cliente!$I$5:$I$2500)+SUMIF(SYS_cliente!$K$5:$K$2500,A193,SYS_cliente!$N$5:$N$2500)+SUMIF(SYS_cliente!$P$5:$P$2500,A193,SYS_cliente!$S$5:$S$2500)&lt;0,0,+SUMIF(SYS_cliente!$F$5:$F$2500,A193,SYS_cliente!$I$5:$I$2500)+SUMIF(SYS_cliente!$K$5:$K$2500,A193,SYS_cliente!$N$5:$N$2500)+SUMIF(SYS_cliente!$P$5:$P$2500,A193,SYS_cliente!$S$5:$S$2500))</f>
        <v>0</v>
      </c>
      <c r="F193" s="1315">
        <f ca="1">IF(+SUMIF(SYS_cliente!$F$5:$F$2500,A193,SYS_cliente!$I$5:$I$1678)+SUMIF(SYS_cliente!$K$5:$K$2500,A193,SYS_cliente!$N$5:$N$1678)+SUMIF(SYS_cliente!$P$5:$P$2500,A193,SYS_cliente!$S$5:$S$1678)&gt;=0,0,-(SUMIF(SYS_cliente!$F$5:$F$2500,A193,SYS_cliente!$I$5:$I$1678)+SUMIF(SYS_cliente!$K$5:$K$2500,A193,SYS_cliente!$N$5:$N$1678)+SUMIF(SYS_cliente!$P$5:$P$2500,A193,SYS_cliente!$S$5:$S$1678)))</f>
        <v>110160</v>
      </c>
      <c r="G193" s="1316">
        <f>+SUMIF(asientos!$C$13:$C$1276,SYS_4_3_Digitos!A193,asientos!$B$13:$B$1276)</f>
        <v>0</v>
      </c>
      <c r="H193" s="1317">
        <f>+SUMIF(asientos!$I$13:$I$1276,SYS_4_3_Digitos!A193,asientos!$J$13:$J$1276)</f>
        <v>0</v>
      </c>
      <c r="I193" s="1314">
        <f t="shared" ca="1" si="22"/>
        <v>0</v>
      </c>
      <c r="J193" s="1315">
        <f t="shared" ca="1" si="23"/>
        <v>110160</v>
      </c>
      <c r="L193" s="1308">
        <f t="shared" si="24"/>
        <v>490000000</v>
      </c>
      <c r="M193" s="1296" t="str">
        <f t="shared" si="25"/>
        <v>4900</v>
      </c>
      <c r="N193" s="1309">
        <f t="shared" ca="1" si="26"/>
        <v>-110160</v>
      </c>
      <c r="O193" s="1296" t="str">
        <f t="shared" si="27"/>
        <v>49</v>
      </c>
    </row>
    <row r="194" spans="1:15" s="1296" customFormat="1">
      <c r="A194" s="1310">
        <v>50</v>
      </c>
      <c r="B194" s="1311" t="s">
        <v>455</v>
      </c>
      <c r="C194" s="1312">
        <v>0</v>
      </c>
      <c r="D194" s="1313">
        <v>0</v>
      </c>
      <c r="E194" s="1314">
        <f>IF(+SUMIF(SYS_cliente!$F$5:$F$2500,A194,SYS_cliente!$I$5:$I$2500)+SUMIF(SYS_cliente!$K$5:$K$2500,A194,SYS_cliente!$N$5:$N$2500)+SUMIF(SYS_cliente!$P$5:$P$2500,A194,SYS_cliente!$S$5:$S$2500)&lt;0,0,+SUMIF(SYS_cliente!$F$5:$F$2500,A194,SYS_cliente!$I$5:$I$2500)+SUMIF(SYS_cliente!$K$5:$K$2500,A194,SYS_cliente!$N$5:$N$2500)+SUMIF(SYS_cliente!$P$5:$P$2500,A194,SYS_cliente!$S$5:$S$2500))</f>
        <v>0</v>
      </c>
      <c r="F194" s="1315">
        <f ca="1">IF(+SUMIF(SYS_cliente!$F$5:$F$2500,A194,SYS_cliente!$I$5:$I$1678)+SUMIF(SYS_cliente!$K$5:$K$2500,A194,SYS_cliente!$N$5:$N$1678)+SUMIF(SYS_cliente!$P$5:$P$2500,A194,SYS_cliente!$S$5:$S$1678)&gt;=0,0,-(SUMIF(SYS_cliente!$F$5:$F$2500,A194,SYS_cliente!$I$5:$I$1678)+SUMIF(SYS_cliente!$K$5:$K$2500,A194,SYS_cliente!$N$5:$N$1678)+SUMIF(SYS_cliente!$P$5:$P$2500,A194,SYS_cliente!$S$5:$S$1678)))</f>
        <v>0</v>
      </c>
      <c r="G194" s="1316">
        <f>+SUMIF(asientos!$C$13:$C$1276,SYS_4_3_Digitos!A194,asientos!$B$13:$B$1276)</f>
        <v>0</v>
      </c>
      <c r="H194" s="1317">
        <f>+SUMIF(asientos!$I$13:$I$1276,SYS_4_3_Digitos!A194,asientos!$J$13:$J$1276)</f>
        <v>0</v>
      </c>
      <c r="I194" s="1314">
        <f t="shared" ca="1" si="22"/>
        <v>0</v>
      </c>
      <c r="J194" s="1315">
        <f t="shared" ca="1" si="23"/>
        <v>0</v>
      </c>
      <c r="L194" s="1308">
        <f t="shared" si="24"/>
        <v>50000000</v>
      </c>
      <c r="M194" s="1296" t="str">
        <f t="shared" si="25"/>
        <v>5000</v>
      </c>
      <c r="N194" s="1309">
        <f t="shared" ca="1" si="26"/>
        <v>0</v>
      </c>
      <c r="O194" s="1296" t="str">
        <f t="shared" si="27"/>
        <v>50</v>
      </c>
    </row>
    <row r="195" spans="1:15" s="1296" customFormat="1">
      <c r="A195" s="1318">
        <v>5133</v>
      </c>
      <c r="B195" s="1319" t="s">
        <v>1687</v>
      </c>
      <c r="C195" s="1320">
        <v>0</v>
      </c>
      <c r="D195" s="1321">
        <v>0</v>
      </c>
      <c r="E195" s="1322">
        <f>IF(+SUMIF(SYS_cliente!$F$5:$F$2500,A195,SYS_cliente!$I$5:$I$2500)+SUMIF(SYS_cliente!$K$5:$K$2500,A195,SYS_cliente!$N$5:$N$2500)+SUMIF(SYS_cliente!$P$5:$P$2500,A195,SYS_cliente!$S$5:$S$2500)&lt;0,0,+SUMIF(SYS_cliente!$F$5:$F$2500,A195,SYS_cliente!$I$5:$I$2500)+SUMIF(SYS_cliente!$K$5:$K$2500,A195,SYS_cliente!$N$5:$N$2500)+SUMIF(SYS_cliente!$P$5:$P$2500,A195,SYS_cliente!$S$5:$S$2500))</f>
        <v>0</v>
      </c>
      <c r="F195" s="1323">
        <f ca="1">IF(+SUMIF(SYS_cliente!$F$5:$F$2500,A195,SYS_cliente!$I$5:$I$1678)+SUMIF(SYS_cliente!$K$5:$K$2500,A195,SYS_cliente!$N$5:$N$1678)+SUMIF(SYS_cliente!$P$5:$P$2500,A195,SYS_cliente!$S$5:$S$1678)&gt;=0,0,-(SUMIF(SYS_cliente!$F$5:$F$2500,A195,SYS_cliente!$I$5:$I$1678)+SUMIF(SYS_cliente!$K$5:$K$2500,A195,SYS_cliente!$N$5:$N$1678)+SUMIF(SYS_cliente!$P$5:$P$2500,A195,SYS_cliente!$S$5:$S$1678)))</f>
        <v>0</v>
      </c>
      <c r="G195" s="1322">
        <f>+SUMIF(asientos!$C$13:$C$1276,SYS_4_3_Digitos!A195,asientos!$B$13:$B$1276)</f>
        <v>0</v>
      </c>
      <c r="H195" s="1323">
        <f>+SUMIF(asientos!$I$13:$I$1276,SYS_4_3_Digitos!A195,asientos!$J$13:$J$1276)</f>
        <v>0</v>
      </c>
      <c r="I195" s="1322">
        <f t="shared" ca="1" si="22"/>
        <v>0</v>
      </c>
      <c r="J195" s="1323">
        <f t="shared" ca="1" si="23"/>
        <v>0</v>
      </c>
      <c r="K195" s="1324"/>
      <c r="L195" s="1325">
        <f t="shared" si="24"/>
        <v>5133000000</v>
      </c>
      <c r="M195" s="1324" t="str">
        <f t="shared" si="25"/>
        <v>5133</v>
      </c>
      <c r="N195" s="1326">
        <f t="shared" ca="1" si="26"/>
        <v>0</v>
      </c>
      <c r="O195" s="1296" t="str">
        <f t="shared" si="27"/>
        <v>51</v>
      </c>
    </row>
    <row r="196" spans="1:15" s="1296" customFormat="1">
      <c r="A196" s="1318">
        <v>5134</v>
      </c>
      <c r="B196" s="1319" t="s">
        <v>1688</v>
      </c>
      <c r="C196" s="1320">
        <v>0</v>
      </c>
      <c r="D196" s="1321">
        <v>0</v>
      </c>
      <c r="E196" s="1322">
        <f>IF(+SUMIF(SYS_cliente!$F$5:$F$2500,A196,SYS_cliente!$I$5:$I$2500)+SUMIF(SYS_cliente!$K$5:$K$2500,A196,SYS_cliente!$N$5:$N$2500)+SUMIF(SYS_cliente!$P$5:$P$2500,A196,SYS_cliente!$S$5:$S$2500)&lt;0,0,+SUMIF(SYS_cliente!$F$5:$F$2500,A196,SYS_cliente!$I$5:$I$2500)+SUMIF(SYS_cliente!$K$5:$K$2500,A196,SYS_cliente!$N$5:$N$2500)+SUMIF(SYS_cliente!$P$5:$P$2500,A196,SYS_cliente!$S$5:$S$2500))</f>
        <v>0</v>
      </c>
      <c r="F196" s="1323">
        <f ca="1">IF(+SUMIF(SYS_cliente!$F$5:$F$2500,A196,SYS_cliente!$I$5:$I$1678)+SUMIF(SYS_cliente!$K$5:$K$2500,A196,SYS_cliente!$N$5:$N$1678)+SUMIF(SYS_cliente!$P$5:$P$2500,A196,SYS_cliente!$S$5:$S$1678)&gt;=0,0,-(SUMIF(SYS_cliente!$F$5:$F$2500,A196,SYS_cliente!$I$5:$I$1678)+SUMIF(SYS_cliente!$K$5:$K$2500,A196,SYS_cliente!$N$5:$N$1678)+SUMIF(SYS_cliente!$P$5:$P$2500,A196,SYS_cliente!$S$5:$S$1678)))</f>
        <v>0</v>
      </c>
      <c r="G196" s="1322">
        <f>+SUMIF(asientos!$C$13:$C$1276,SYS_4_3_Digitos!A196,asientos!$B$13:$B$1276)</f>
        <v>0</v>
      </c>
      <c r="H196" s="1323">
        <f>+SUMIF(asientos!$I$13:$I$1276,SYS_4_3_Digitos!A196,asientos!$J$13:$J$1276)</f>
        <v>0</v>
      </c>
      <c r="I196" s="1322">
        <f t="shared" ca="1" si="22"/>
        <v>0</v>
      </c>
      <c r="J196" s="1323">
        <f t="shared" ca="1" si="23"/>
        <v>0</v>
      </c>
      <c r="K196" s="1324"/>
      <c r="L196" s="1325">
        <f t="shared" si="24"/>
        <v>5134000000</v>
      </c>
      <c r="M196" s="1324" t="str">
        <f t="shared" si="25"/>
        <v>5134</v>
      </c>
      <c r="N196" s="1326">
        <f t="shared" ca="1" si="26"/>
        <v>0</v>
      </c>
      <c r="O196" s="1296" t="str">
        <f t="shared" si="27"/>
        <v>51</v>
      </c>
    </row>
    <row r="197" spans="1:15" s="1296" customFormat="1">
      <c r="A197" s="1318">
        <v>5135</v>
      </c>
      <c r="B197" s="1319" t="s">
        <v>1689</v>
      </c>
      <c r="C197" s="1320">
        <v>0</v>
      </c>
      <c r="D197" s="1321">
        <v>0</v>
      </c>
      <c r="E197" s="1322">
        <f>IF(+SUMIF(SYS_cliente!$F$5:$F$2500,A197,SYS_cliente!$I$5:$I$2500)+SUMIF(SYS_cliente!$K$5:$K$2500,A197,SYS_cliente!$N$5:$N$2500)+SUMIF(SYS_cliente!$P$5:$P$2500,A197,SYS_cliente!$S$5:$S$2500)&lt;0,0,+SUMIF(SYS_cliente!$F$5:$F$2500,A197,SYS_cliente!$I$5:$I$2500)+SUMIF(SYS_cliente!$K$5:$K$2500,A197,SYS_cliente!$N$5:$N$2500)+SUMIF(SYS_cliente!$P$5:$P$2500,A197,SYS_cliente!$S$5:$S$2500))</f>
        <v>0</v>
      </c>
      <c r="F197" s="1323">
        <f ca="1">IF(+SUMIF(SYS_cliente!$F$5:$F$2500,A197,SYS_cliente!$I$5:$I$1678)+SUMIF(SYS_cliente!$K$5:$K$2500,A197,SYS_cliente!$N$5:$N$1678)+SUMIF(SYS_cliente!$P$5:$P$2500,A197,SYS_cliente!$S$5:$S$1678)&gt;=0,0,-(SUMIF(SYS_cliente!$F$5:$F$2500,A197,SYS_cliente!$I$5:$I$1678)+SUMIF(SYS_cliente!$K$5:$K$2500,A197,SYS_cliente!$N$5:$N$1678)+SUMIF(SYS_cliente!$P$5:$P$2500,A197,SYS_cliente!$S$5:$S$1678)))</f>
        <v>0</v>
      </c>
      <c r="G197" s="1322">
        <f>+SUMIF(asientos!$C$13:$C$1276,SYS_4_3_Digitos!A197,asientos!$B$13:$B$1276)</f>
        <v>0</v>
      </c>
      <c r="H197" s="1323">
        <f>+SUMIF(asientos!$I$13:$I$1276,SYS_4_3_Digitos!A197,asientos!$J$13:$J$1276)</f>
        <v>0</v>
      </c>
      <c r="I197" s="1322">
        <f t="shared" ca="1" si="22"/>
        <v>0</v>
      </c>
      <c r="J197" s="1323">
        <f t="shared" ca="1" si="23"/>
        <v>0</v>
      </c>
      <c r="K197" s="1324"/>
      <c r="L197" s="1325">
        <f t="shared" si="24"/>
        <v>5135000000</v>
      </c>
      <c r="M197" s="1324" t="str">
        <f t="shared" si="25"/>
        <v>5135</v>
      </c>
      <c r="N197" s="1326">
        <f t="shared" ca="1" si="26"/>
        <v>0</v>
      </c>
      <c r="O197" s="1296" t="str">
        <f t="shared" si="27"/>
        <v>51</v>
      </c>
    </row>
    <row r="198" spans="1:15" s="1296" customFormat="1">
      <c r="A198" s="1318">
        <v>5145</v>
      </c>
      <c r="B198" s="1319" t="s">
        <v>1690</v>
      </c>
      <c r="C198" s="1320">
        <v>0</v>
      </c>
      <c r="D198" s="1321">
        <v>0</v>
      </c>
      <c r="E198" s="1322">
        <f>IF(+SUMIF(SYS_cliente!$F$5:$F$2500,A198,SYS_cliente!$I$5:$I$2500)+SUMIF(SYS_cliente!$K$5:$K$2500,A198,SYS_cliente!$N$5:$N$2500)+SUMIF(SYS_cliente!$P$5:$P$2500,A198,SYS_cliente!$S$5:$S$2500)&lt;0,0,+SUMIF(SYS_cliente!$F$5:$F$2500,A198,SYS_cliente!$I$5:$I$2500)+SUMIF(SYS_cliente!$K$5:$K$2500,A198,SYS_cliente!$N$5:$N$2500)+SUMIF(SYS_cliente!$P$5:$P$2500,A198,SYS_cliente!$S$5:$S$2500))</f>
        <v>0</v>
      </c>
      <c r="F198" s="1323">
        <f ca="1">IF(+SUMIF(SYS_cliente!$F$5:$F$2500,A198,SYS_cliente!$I$5:$I$1678)+SUMIF(SYS_cliente!$K$5:$K$2500,A198,SYS_cliente!$N$5:$N$1678)+SUMIF(SYS_cliente!$P$5:$P$2500,A198,SYS_cliente!$S$5:$S$1678)&gt;=0,0,-(SUMIF(SYS_cliente!$F$5:$F$2500,A198,SYS_cliente!$I$5:$I$1678)+SUMIF(SYS_cliente!$K$5:$K$2500,A198,SYS_cliente!$N$5:$N$1678)+SUMIF(SYS_cliente!$P$5:$P$2500,A198,SYS_cliente!$S$5:$S$1678)))</f>
        <v>0</v>
      </c>
      <c r="G198" s="1322">
        <f>+SUMIF(asientos!$C$13:$C$1276,SYS_4_3_Digitos!A198,asientos!$B$13:$B$1276)</f>
        <v>0</v>
      </c>
      <c r="H198" s="1323">
        <f>+SUMIF(asientos!$I$13:$I$1276,SYS_4_3_Digitos!A198,asientos!$J$13:$J$1276)</f>
        <v>0</v>
      </c>
      <c r="I198" s="1322">
        <f t="shared" ca="1" si="22"/>
        <v>0</v>
      </c>
      <c r="J198" s="1323">
        <f t="shared" ca="1" si="23"/>
        <v>0</v>
      </c>
      <c r="K198" s="1324"/>
      <c r="L198" s="1325">
        <f t="shared" si="24"/>
        <v>5145000000</v>
      </c>
      <c r="M198" s="1324" t="str">
        <f t="shared" si="25"/>
        <v>5145</v>
      </c>
      <c r="N198" s="1326">
        <f t="shared" ca="1" si="26"/>
        <v>0</v>
      </c>
      <c r="O198" s="1296" t="str">
        <f t="shared" si="27"/>
        <v>51</v>
      </c>
    </row>
    <row r="199" spans="1:15" s="1296" customFormat="1">
      <c r="A199" s="1310">
        <v>520</v>
      </c>
      <c r="B199" s="1311" t="s">
        <v>456</v>
      </c>
      <c r="C199" s="1312">
        <v>0</v>
      </c>
      <c r="D199" s="1313">
        <v>0</v>
      </c>
      <c r="E199" s="1314">
        <f>IF(+SUMIF(SYS_cliente!$F$5:$F$2500,A199,SYS_cliente!$I$5:$I$2500)+SUMIF(SYS_cliente!$K$5:$K$2500,A199,SYS_cliente!$N$5:$N$2500)+SUMIF(SYS_cliente!$P$5:$P$2500,A199,SYS_cliente!$S$5:$S$2500)&lt;0,0,+SUMIF(SYS_cliente!$F$5:$F$2500,A199,SYS_cliente!$I$5:$I$2500)+SUMIF(SYS_cliente!$K$5:$K$2500,A199,SYS_cliente!$N$5:$N$2500)+SUMIF(SYS_cliente!$P$5:$P$2500,A199,SYS_cliente!$S$5:$S$2500))</f>
        <v>0</v>
      </c>
      <c r="F199" s="1315">
        <f ca="1">IF(+SUMIF(SYS_cliente!$F$5:$F$2500,A199,SYS_cliente!$I$5:$I$1678)+SUMIF(SYS_cliente!$K$5:$K$2500,A199,SYS_cliente!$N$5:$N$1678)+SUMIF(SYS_cliente!$P$5:$P$2500,A199,SYS_cliente!$S$5:$S$1678)&gt;=0,0,-(SUMIF(SYS_cliente!$F$5:$F$2500,A199,SYS_cliente!$I$5:$I$1678)+SUMIF(SYS_cliente!$K$5:$K$2500,A199,SYS_cliente!$N$5:$N$1678)+SUMIF(SYS_cliente!$P$5:$P$2500,A199,SYS_cliente!$S$5:$S$1678)))</f>
        <v>0</v>
      </c>
      <c r="G199" s="1316">
        <f>+SUMIF(asientos!$C$13:$C$1276,SYS_4_3_Digitos!A199,asientos!$B$13:$B$1276)</f>
        <v>0</v>
      </c>
      <c r="H199" s="1317">
        <f>+SUMIF(asientos!$I$13:$I$1276,SYS_4_3_Digitos!A199,asientos!$J$13:$J$1276)</f>
        <v>0</v>
      </c>
      <c r="I199" s="1314">
        <f t="shared" ca="1" si="22"/>
        <v>0</v>
      </c>
      <c r="J199" s="1315">
        <f t="shared" ca="1" si="23"/>
        <v>0</v>
      </c>
      <c r="L199" s="1308">
        <f t="shared" si="24"/>
        <v>520000000</v>
      </c>
      <c r="M199" s="1296" t="str">
        <f t="shared" si="25"/>
        <v>5200</v>
      </c>
      <c r="N199" s="1309">
        <f t="shared" ca="1" si="26"/>
        <v>0</v>
      </c>
      <c r="O199" s="1296" t="str">
        <f t="shared" si="27"/>
        <v>52</v>
      </c>
    </row>
    <row r="200" spans="1:15" s="1296" customFormat="1">
      <c r="A200" s="1310">
        <v>521</v>
      </c>
      <c r="B200" s="1311" t="s">
        <v>457</v>
      </c>
      <c r="C200" s="1312">
        <v>0</v>
      </c>
      <c r="D200" s="1313">
        <v>652.07000000000005</v>
      </c>
      <c r="E200" s="1314">
        <f>IF(+SUMIF(SYS_cliente!$F$5:$F$2500,A200,SYS_cliente!$I$5:$I$2500)+SUMIF(SYS_cliente!$K$5:$K$2500,A200,SYS_cliente!$N$5:$N$2500)+SUMIF(SYS_cliente!$P$5:$P$2500,A200,SYS_cliente!$S$5:$S$2500)&lt;0,0,+SUMIF(SYS_cliente!$F$5:$F$2500,A200,SYS_cliente!$I$5:$I$2500)+SUMIF(SYS_cliente!$K$5:$K$2500,A200,SYS_cliente!$N$5:$N$2500)+SUMIF(SYS_cliente!$P$5:$P$2500,A200,SYS_cliente!$S$5:$S$2500))</f>
        <v>0</v>
      </c>
      <c r="F200" s="1315">
        <f ca="1">IF(+SUMIF(SYS_cliente!$F$5:$F$2500,A200,SYS_cliente!$I$5:$I$1678)+SUMIF(SYS_cliente!$K$5:$K$2500,A200,SYS_cliente!$N$5:$N$1678)+SUMIF(SYS_cliente!$P$5:$P$2500,A200,SYS_cliente!$S$5:$S$1678)&gt;=0,0,-(SUMIF(SYS_cliente!$F$5:$F$2500,A200,SYS_cliente!$I$5:$I$1678)+SUMIF(SYS_cliente!$K$5:$K$2500,A200,SYS_cliente!$N$5:$N$1678)+SUMIF(SYS_cliente!$P$5:$P$2500,A200,SYS_cliente!$S$5:$S$1678)))</f>
        <v>652.07000000000005</v>
      </c>
      <c r="G200" s="1316">
        <f>+SUMIF(asientos!$C$13:$C$1276,SYS_4_3_Digitos!A200,asientos!$B$13:$B$1276)</f>
        <v>0</v>
      </c>
      <c r="H200" s="1317">
        <f>+SUMIF(asientos!$I$13:$I$1276,SYS_4_3_Digitos!A200,asientos!$J$13:$J$1276)</f>
        <v>0</v>
      </c>
      <c r="I200" s="1314">
        <f t="shared" ca="1" si="22"/>
        <v>0</v>
      </c>
      <c r="J200" s="1315">
        <f t="shared" ca="1" si="23"/>
        <v>652.07000000000005</v>
      </c>
      <c r="L200" s="1308">
        <f t="shared" si="24"/>
        <v>521000000</v>
      </c>
      <c r="M200" s="1296" t="str">
        <f t="shared" si="25"/>
        <v>5210</v>
      </c>
      <c r="N200" s="1309">
        <f t="shared" ca="1" si="26"/>
        <v>-652.07000000000005</v>
      </c>
      <c r="O200" s="1296" t="str">
        <f t="shared" si="27"/>
        <v>52</v>
      </c>
    </row>
    <row r="201" spans="1:15" s="1296" customFormat="1">
      <c r="A201" s="1310">
        <v>522</v>
      </c>
      <c r="B201" s="1311" t="s">
        <v>458</v>
      </c>
      <c r="C201" s="1312">
        <v>0</v>
      </c>
      <c r="D201" s="1313">
        <v>0</v>
      </c>
      <c r="E201" s="1314">
        <f>IF(+SUMIF(SYS_cliente!$F$5:$F$2500,A201,SYS_cliente!$I$5:$I$2500)+SUMIF(SYS_cliente!$K$5:$K$2500,A201,SYS_cliente!$N$5:$N$2500)+SUMIF(SYS_cliente!$P$5:$P$2500,A201,SYS_cliente!$S$5:$S$2500)&lt;0,0,+SUMIF(SYS_cliente!$F$5:$F$2500,A201,SYS_cliente!$I$5:$I$2500)+SUMIF(SYS_cliente!$K$5:$K$2500,A201,SYS_cliente!$N$5:$N$2500)+SUMIF(SYS_cliente!$P$5:$P$2500,A201,SYS_cliente!$S$5:$S$2500))</f>
        <v>0</v>
      </c>
      <c r="F201" s="1315">
        <f ca="1">IF(+SUMIF(SYS_cliente!$F$5:$F$2500,A201,SYS_cliente!$I$5:$I$1678)+SUMIF(SYS_cliente!$K$5:$K$2500,A201,SYS_cliente!$N$5:$N$1678)+SUMIF(SYS_cliente!$P$5:$P$2500,A201,SYS_cliente!$S$5:$S$1678)&gt;=0,0,-(SUMIF(SYS_cliente!$F$5:$F$2500,A201,SYS_cliente!$I$5:$I$1678)+SUMIF(SYS_cliente!$K$5:$K$2500,A201,SYS_cliente!$N$5:$N$1678)+SUMIF(SYS_cliente!$P$5:$P$2500,A201,SYS_cliente!$S$5:$S$1678)))</f>
        <v>0</v>
      </c>
      <c r="G201" s="1316">
        <f>+SUMIF(asientos!$C$13:$C$1276,SYS_4_3_Digitos!A201,asientos!$B$13:$B$1276)</f>
        <v>0</v>
      </c>
      <c r="H201" s="1317">
        <f>+SUMIF(asientos!$I$13:$I$1276,SYS_4_3_Digitos!A201,asientos!$J$13:$J$1276)</f>
        <v>0</v>
      </c>
      <c r="I201" s="1314">
        <f t="shared" ca="1" si="22"/>
        <v>0</v>
      </c>
      <c r="J201" s="1315">
        <f t="shared" ca="1" si="23"/>
        <v>0</v>
      </c>
      <c r="L201" s="1308">
        <f t="shared" si="24"/>
        <v>522000000</v>
      </c>
      <c r="M201" s="1296" t="str">
        <f t="shared" si="25"/>
        <v>5220</v>
      </c>
      <c r="N201" s="1309">
        <f t="shared" ca="1" si="26"/>
        <v>0</v>
      </c>
      <c r="O201" s="1296" t="str">
        <f t="shared" si="27"/>
        <v>52</v>
      </c>
    </row>
    <row r="202" spans="1:15" s="1296" customFormat="1">
      <c r="A202" s="1310">
        <v>523</v>
      </c>
      <c r="B202" s="1311" t="s">
        <v>459</v>
      </c>
      <c r="C202" s="1312">
        <v>0</v>
      </c>
      <c r="D202" s="1313">
        <v>0</v>
      </c>
      <c r="E202" s="1314">
        <f>IF(+SUMIF(SYS_cliente!$F$5:$F$2500,A202,SYS_cliente!$I$5:$I$2500)+SUMIF(SYS_cliente!$K$5:$K$2500,A202,SYS_cliente!$N$5:$N$2500)+SUMIF(SYS_cliente!$P$5:$P$2500,A202,SYS_cliente!$S$5:$S$2500)&lt;0,0,+SUMIF(SYS_cliente!$F$5:$F$2500,A202,SYS_cliente!$I$5:$I$2500)+SUMIF(SYS_cliente!$K$5:$K$2500,A202,SYS_cliente!$N$5:$N$2500)+SUMIF(SYS_cliente!$P$5:$P$2500,A202,SYS_cliente!$S$5:$S$2500))</f>
        <v>0</v>
      </c>
      <c r="F202" s="1315">
        <f ca="1">IF(+SUMIF(SYS_cliente!$F$5:$F$2500,A202,SYS_cliente!$I$5:$I$1678)+SUMIF(SYS_cliente!$K$5:$K$2500,A202,SYS_cliente!$N$5:$N$1678)+SUMIF(SYS_cliente!$P$5:$P$2500,A202,SYS_cliente!$S$5:$S$1678)&gt;=0,0,-(SUMIF(SYS_cliente!$F$5:$F$2500,A202,SYS_cliente!$I$5:$I$1678)+SUMIF(SYS_cliente!$K$5:$K$2500,A202,SYS_cliente!$N$5:$N$1678)+SUMIF(SYS_cliente!$P$5:$P$2500,A202,SYS_cliente!$S$5:$S$1678)))</f>
        <v>0</v>
      </c>
      <c r="G202" s="1316">
        <f>+SUMIF(asientos!$C$13:$C$1276,SYS_4_3_Digitos!A202,asientos!$B$13:$B$1276)</f>
        <v>0</v>
      </c>
      <c r="H202" s="1317">
        <f>+SUMIF(asientos!$I$13:$I$1276,SYS_4_3_Digitos!A202,asientos!$J$13:$J$1276)</f>
        <v>0</v>
      </c>
      <c r="I202" s="1314">
        <f t="shared" ca="1" si="22"/>
        <v>0</v>
      </c>
      <c r="J202" s="1315">
        <f t="shared" ca="1" si="23"/>
        <v>0</v>
      </c>
      <c r="L202" s="1308">
        <f t="shared" si="24"/>
        <v>523000000</v>
      </c>
      <c r="M202" s="1296" t="str">
        <f t="shared" si="25"/>
        <v>5230</v>
      </c>
      <c r="N202" s="1309">
        <f t="shared" ca="1" si="26"/>
        <v>0</v>
      </c>
      <c r="O202" s="1296" t="str">
        <f t="shared" si="27"/>
        <v>52</v>
      </c>
    </row>
    <row r="203" spans="1:15" s="1296" customFormat="1">
      <c r="A203" s="1310">
        <v>524</v>
      </c>
      <c r="B203" s="1311" t="s">
        <v>460</v>
      </c>
      <c r="C203" s="1312">
        <v>0</v>
      </c>
      <c r="D203" s="1313">
        <v>0</v>
      </c>
      <c r="E203" s="1314">
        <f>IF(+SUMIF(SYS_cliente!$F$5:$F$2500,A203,SYS_cliente!$I$5:$I$2500)+SUMIF(SYS_cliente!$K$5:$K$2500,A203,SYS_cliente!$N$5:$N$2500)+SUMIF(SYS_cliente!$P$5:$P$2500,A203,SYS_cliente!$S$5:$S$2500)&lt;0,0,+SUMIF(SYS_cliente!$F$5:$F$2500,A203,SYS_cliente!$I$5:$I$2500)+SUMIF(SYS_cliente!$K$5:$K$2500,A203,SYS_cliente!$N$5:$N$2500)+SUMIF(SYS_cliente!$P$5:$P$2500,A203,SYS_cliente!$S$5:$S$2500))</f>
        <v>0</v>
      </c>
      <c r="F203" s="1315">
        <f ca="1">IF(+SUMIF(SYS_cliente!$F$5:$F$2500,A203,SYS_cliente!$I$5:$I$1678)+SUMIF(SYS_cliente!$K$5:$K$2500,A203,SYS_cliente!$N$5:$N$1678)+SUMIF(SYS_cliente!$P$5:$P$2500,A203,SYS_cliente!$S$5:$S$1678)&gt;=0,0,-(SUMIF(SYS_cliente!$F$5:$F$2500,A203,SYS_cliente!$I$5:$I$1678)+SUMIF(SYS_cliente!$K$5:$K$2500,A203,SYS_cliente!$N$5:$N$1678)+SUMIF(SYS_cliente!$P$5:$P$2500,A203,SYS_cliente!$S$5:$S$1678)))</f>
        <v>0</v>
      </c>
      <c r="G203" s="1316">
        <f>+SUMIF(asientos!$C$13:$C$1276,SYS_4_3_Digitos!A203,asientos!$B$13:$B$1276)</f>
        <v>0</v>
      </c>
      <c r="H203" s="1317">
        <f>+SUMIF(asientos!$I$13:$I$1276,SYS_4_3_Digitos!A203,asientos!$J$13:$J$1276)</f>
        <v>0</v>
      </c>
      <c r="I203" s="1314">
        <f t="shared" ca="1" si="22"/>
        <v>0</v>
      </c>
      <c r="J203" s="1315">
        <f t="shared" ca="1" si="23"/>
        <v>0</v>
      </c>
      <c r="L203" s="1308">
        <f t="shared" si="24"/>
        <v>524000000</v>
      </c>
      <c r="M203" s="1296" t="str">
        <f t="shared" si="25"/>
        <v>5240</v>
      </c>
      <c r="N203" s="1309">
        <f t="shared" ca="1" si="26"/>
        <v>0</v>
      </c>
      <c r="O203" s="1296" t="str">
        <f t="shared" si="27"/>
        <v>52</v>
      </c>
    </row>
    <row r="204" spans="1:15" s="1296" customFormat="1">
      <c r="A204" s="1310">
        <v>525</v>
      </c>
      <c r="B204" s="1311" t="s">
        <v>461</v>
      </c>
      <c r="C204" s="1312">
        <v>0</v>
      </c>
      <c r="D204" s="1313">
        <v>0</v>
      </c>
      <c r="E204" s="1314">
        <f>IF(+SUMIF(SYS_cliente!$F$5:$F$2500,A204,SYS_cliente!$I$5:$I$2500)+SUMIF(SYS_cliente!$K$5:$K$2500,A204,SYS_cliente!$N$5:$N$2500)+SUMIF(SYS_cliente!$P$5:$P$2500,A204,SYS_cliente!$S$5:$S$2500)&lt;0,0,+SUMIF(SYS_cliente!$F$5:$F$2500,A204,SYS_cliente!$I$5:$I$2500)+SUMIF(SYS_cliente!$K$5:$K$2500,A204,SYS_cliente!$N$5:$N$2500)+SUMIF(SYS_cliente!$P$5:$P$2500,A204,SYS_cliente!$S$5:$S$2500))</f>
        <v>0</v>
      </c>
      <c r="F204" s="1315">
        <f ca="1">IF(+SUMIF(SYS_cliente!$F$5:$F$2500,A204,SYS_cliente!$I$5:$I$1678)+SUMIF(SYS_cliente!$K$5:$K$2500,A204,SYS_cliente!$N$5:$N$1678)+SUMIF(SYS_cliente!$P$5:$P$2500,A204,SYS_cliente!$S$5:$S$1678)&gt;=0,0,-(SUMIF(SYS_cliente!$F$5:$F$2500,A204,SYS_cliente!$I$5:$I$1678)+SUMIF(SYS_cliente!$K$5:$K$2500,A204,SYS_cliente!$N$5:$N$1678)+SUMIF(SYS_cliente!$P$5:$P$2500,A204,SYS_cliente!$S$5:$S$1678)))</f>
        <v>0</v>
      </c>
      <c r="G204" s="1316">
        <f>+SUMIF(asientos!$C$13:$C$1276,SYS_4_3_Digitos!A204,asientos!$B$13:$B$1276)</f>
        <v>0</v>
      </c>
      <c r="H204" s="1317">
        <f>+SUMIF(asientos!$I$13:$I$1276,SYS_4_3_Digitos!A204,asientos!$J$13:$J$1276)</f>
        <v>0</v>
      </c>
      <c r="I204" s="1314">
        <f t="shared" ca="1" si="22"/>
        <v>0</v>
      </c>
      <c r="J204" s="1315">
        <f t="shared" ca="1" si="23"/>
        <v>0</v>
      </c>
      <c r="L204" s="1308">
        <f t="shared" si="24"/>
        <v>525000000</v>
      </c>
      <c r="M204" s="1296" t="str">
        <f t="shared" si="25"/>
        <v>5250</v>
      </c>
      <c r="N204" s="1309">
        <f t="shared" ca="1" si="26"/>
        <v>0</v>
      </c>
      <c r="O204" s="1296" t="str">
        <f t="shared" si="27"/>
        <v>52</v>
      </c>
    </row>
    <row r="205" spans="1:15" s="1296" customFormat="1">
      <c r="A205" s="1310">
        <v>526</v>
      </c>
      <c r="B205" s="1311" t="s">
        <v>462</v>
      </c>
      <c r="C205" s="1312">
        <v>0</v>
      </c>
      <c r="D205" s="1313">
        <v>0</v>
      </c>
      <c r="E205" s="1314">
        <f>IF(+SUMIF(SYS_cliente!$F$5:$F$2500,A205,SYS_cliente!$I$5:$I$2500)+SUMIF(SYS_cliente!$K$5:$K$2500,A205,SYS_cliente!$N$5:$N$2500)+SUMIF(SYS_cliente!$P$5:$P$2500,A205,SYS_cliente!$S$5:$S$2500)&lt;0,0,+SUMIF(SYS_cliente!$F$5:$F$2500,A205,SYS_cliente!$I$5:$I$2500)+SUMIF(SYS_cliente!$K$5:$K$2500,A205,SYS_cliente!$N$5:$N$2500)+SUMIF(SYS_cliente!$P$5:$P$2500,A205,SYS_cliente!$S$5:$S$2500))</f>
        <v>0</v>
      </c>
      <c r="F205" s="1315">
        <f ca="1">IF(+SUMIF(SYS_cliente!$F$5:$F$2500,A205,SYS_cliente!$I$5:$I$1678)+SUMIF(SYS_cliente!$K$5:$K$2500,A205,SYS_cliente!$N$5:$N$1678)+SUMIF(SYS_cliente!$P$5:$P$2500,A205,SYS_cliente!$S$5:$S$1678)&gt;=0,0,-(SUMIF(SYS_cliente!$F$5:$F$2500,A205,SYS_cliente!$I$5:$I$1678)+SUMIF(SYS_cliente!$K$5:$K$2500,A205,SYS_cliente!$N$5:$N$1678)+SUMIF(SYS_cliente!$P$5:$P$2500,A205,SYS_cliente!$S$5:$S$1678)))</f>
        <v>0</v>
      </c>
      <c r="G205" s="1316">
        <f>+SUMIF(asientos!$C$13:$C$1276,SYS_4_3_Digitos!A205,asientos!$B$13:$B$1276)</f>
        <v>0</v>
      </c>
      <c r="H205" s="1317">
        <f>+SUMIF(asientos!$I$13:$I$1276,SYS_4_3_Digitos!A205,asientos!$J$13:$J$1276)</f>
        <v>0</v>
      </c>
      <c r="I205" s="1314">
        <f t="shared" ca="1" si="22"/>
        <v>0</v>
      </c>
      <c r="J205" s="1315">
        <f t="shared" ca="1" si="23"/>
        <v>0</v>
      </c>
      <c r="L205" s="1308">
        <f t="shared" si="24"/>
        <v>526000000</v>
      </c>
      <c r="M205" s="1296" t="str">
        <f t="shared" si="25"/>
        <v>5260</v>
      </c>
      <c r="N205" s="1309">
        <f t="shared" ca="1" si="26"/>
        <v>0</v>
      </c>
      <c r="O205" s="1296" t="str">
        <f t="shared" si="27"/>
        <v>52</v>
      </c>
    </row>
    <row r="206" spans="1:15" s="1296" customFormat="1">
      <c r="A206" s="1310">
        <v>527</v>
      </c>
      <c r="B206" s="1311" t="s">
        <v>463</v>
      </c>
      <c r="C206" s="1312">
        <v>0</v>
      </c>
      <c r="D206" s="1313">
        <v>0</v>
      </c>
      <c r="E206" s="1314">
        <f>IF(+SUMIF(SYS_cliente!$F$5:$F$2500,A206,SYS_cliente!$I$5:$I$2500)+SUMIF(SYS_cliente!$K$5:$K$2500,A206,SYS_cliente!$N$5:$N$2500)+SUMIF(SYS_cliente!$P$5:$P$2500,A206,SYS_cliente!$S$5:$S$2500)&lt;0,0,+SUMIF(SYS_cliente!$F$5:$F$2500,A206,SYS_cliente!$I$5:$I$2500)+SUMIF(SYS_cliente!$K$5:$K$2500,A206,SYS_cliente!$N$5:$N$2500)+SUMIF(SYS_cliente!$P$5:$P$2500,A206,SYS_cliente!$S$5:$S$2500))</f>
        <v>0</v>
      </c>
      <c r="F206" s="1315">
        <f ca="1">IF(+SUMIF(SYS_cliente!$F$5:$F$2500,A206,SYS_cliente!$I$5:$I$1678)+SUMIF(SYS_cliente!$K$5:$K$2500,A206,SYS_cliente!$N$5:$N$1678)+SUMIF(SYS_cliente!$P$5:$P$2500,A206,SYS_cliente!$S$5:$S$1678)&gt;=0,0,-(SUMIF(SYS_cliente!$F$5:$F$2500,A206,SYS_cliente!$I$5:$I$1678)+SUMIF(SYS_cliente!$K$5:$K$2500,A206,SYS_cliente!$N$5:$N$1678)+SUMIF(SYS_cliente!$P$5:$P$2500,A206,SYS_cliente!$S$5:$S$1678)))</f>
        <v>0</v>
      </c>
      <c r="G206" s="1316">
        <f>+SUMIF(asientos!$C$13:$C$1276,SYS_4_3_Digitos!A206,asientos!$B$13:$B$1276)</f>
        <v>0</v>
      </c>
      <c r="H206" s="1317">
        <f>+SUMIF(asientos!$I$13:$I$1276,SYS_4_3_Digitos!A206,asientos!$J$13:$J$1276)</f>
        <v>0</v>
      </c>
      <c r="I206" s="1314">
        <f t="shared" ca="1" si="22"/>
        <v>0</v>
      </c>
      <c r="J206" s="1315">
        <f t="shared" ca="1" si="23"/>
        <v>0</v>
      </c>
      <c r="L206" s="1308">
        <f t="shared" si="24"/>
        <v>527000000</v>
      </c>
      <c r="M206" s="1296" t="str">
        <f t="shared" si="25"/>
        <v>5270</v>
      </c>
      <c r="N206" s="1309">
        <f t="shared" ca="1" si="26"/>
        <v>0</v>
      </c>
      <c r="O206" s="1296" t="str">
        <f t="shared" si="27"/>
        <v>52</v>
      </c>
    </row>
    <row r="207" spans="1:15" s="1296" customFormat="1">
      <c r="A207" s="1310">
        <v>528</v>
      </c>
      <c r="B207" s="1311" t="s">
        <v>464</v>
      </c>
      <c r="C207" s="1312">
        <v>0</v>
      </c>
      <c r="D207" s="1313">
        <v>0</v>
      </c>
      <c r="E207" s="1314">
        <f>IF(+SUMIF(SYS_cliente!$F$5:$F$2500,A207,SYS_cliente!$I$5:$I$2500)+SUMIF(SYS_cliente!$K$5:$K$2500,A207,SYS_cliente!$N$5:$N$2500)+SUMIF(SYS_cliente!$P$5:$P$2500,A207,SYS_cliente!$S$5:$S$2500)&lt;0,0,+SUMIF(SYS_cliente!$F$5:$F$2500,A207,SYS_cliente!$I$5:$I$2500)+SUMIF(SYS_cliente!$K$5:$K$2500,A207,SYS_cliente!$N$5:$N$2500)+SUMIF(SYS_cliente!$P$5:$P$2500,A207,SYS_cliente!$S$5:$S$2500))</f>
        <v>0</v>
      </c>
      <c r="F207" s="1315">
        <f ca="1">IF(+SUMIF(SYS_cliente!$F$5:$F$2500,A207,SYS_cliente!$I$5:$I$1678)+SUMIF(SYS_cliente!$K$5:$K$2500,A207,SYS_cliente!$N$5:$N$1678)+SUMIF(SYS_cliente!$P$5:$P$2500,A207,SYS_cliente!$S$5:$S$1678)&gt;=0,0,-(SUMIF(SYS_cliente!$F$5:$F$2500,A207,SYS_cliente!$I$5:$I$1678)+SUMIF(SYS_cliente!$K$5:$K$2500,A207,SYS_cliente!$N$5:$N$1678)+SUMIF(SYS_cliente!$P$5:$P$2500,A207,SYS_cliente!$S$5:$S$1678)))</f>
        <v>0</v>
      </c>
      <c r="G207" s="1316">
        <f>+SUMIF(asientos!$C$13:$C$1276,SYS_4_3_Digitos!A207,asientos!$B$13:$B$1276)</f>
        <v>0</v>
      </c>
      <c r="H207" s="1317">
        <f>+SUMIF(asientos!$I$13:$I$1276,SYS_4_3_Digitos!A207,asientos!$J$13:$J$1276)</f>
        <v>0</v>
      </c>
      <c r="I207" s="1314">
        <f t="shared" ca="1" si="22"/>
        <v>0</v>
      </c>
      <c r="J207" s="1315">
        <f t="shared" ca="1" si="23"/>
        <v>0</v>
      </c>
      <c r="L207" s="1308">
        <f t="shared" si="24"/>
        <v>528000000</v>
      </c>
      <c r="M207" s="1296" t="str">
        <f t="shared" si="25"/>
        <v>5280</v>
      </c>
      <c r="N207" s="1309">
        <f t="shared" ca="1" si="26"/>
        <v>0</v>
      </c>
      <c r="O207" s="1296" t="str">
        <f t="shared" si="27"/>
        <v>52</v>
      </c>
    </row>
    <row r="208" spans="1:15" s="1296" customFormat="1">
      <c r="A208" s="1310">
        <v>529</v>
      </c>
      <c r="B208" s="1311" t="s">
        <v>465</v>
      </c>
      <c r="C208" s="1312">
        <v>0</v>
      </c>
      <c r="D208" s="1313">
        <v>0</v>
      </c>
      <c r="E208" s="1314">
        <f>IF(+SUMIF(SYS_cliente!$F$5:$F$2500,A208,SYS_cliente!$I$5:$I$2500)+SUMIF(SYS_cliente!$K$5:$K$2500,A208,SYS_cliente!$N$5:$N$2500)+SUMIF(SYS_cliente!$P$5:$P$2500,A208,SYS_cliente!$S$5:$S$2500)&lt;0,0,+SUMIF(SYS_cliente!$F$5:$F$2500,A208,SYS_cliente!$I$5:$I$2500)+SUMIF(SYS_cliente!$K$5:$K$2500,A208,SYS_cliente!$N$5:$N$2500)+SUMIF(SYS_cliente!$P$5:$P$2500,A208,SYS_cliente!$S$5:$S$2500))</f>
        <v>0</v>
      </c>
      <c r="F208" s="1315">
        <f ca="1">IF(+SUMIF(SYS_cliente!$F$5:$F$2500,A208,SYS_cliente!$I$5:$I$1678)+SUMIF(SYS_cliente!$K$5:$K$2500,A208,SYS_cliente!$N$5:$N$1678)+SUMIF(SYS_cliente!$P$5:$P$2500,A208,SYS_cliente!$S$5:$S$1678)&gt;=0,0,-(SUMIF(SYS_cliente!$F$5:$F$2500,A208,SYS_cliente!$I$5:$I$1678)+SUMIF(SYS_cliente!$K$5:$K$2500,A208,SYS_cliente!$N$5:$N$1678)+SUMIF(SYS_cliente!$P$5:$P$2500,A208,SYS_cliente!$S$5:$S$1678)))</f>
        <v>0</v>
      </c>
      <c r="G208" s="1316">
        <f>+SUMIF(asientos!$C$13:$C$1276,SYS_4_3_Digitos!A208,asientos!$B$13:$B$1276)</f>
        <v>0</v>
      </c>
      <c r="H208" s="1317">
        <f>+SUMIF(asientos!$I$13:$I$1276,SYS_4_3_Digitos!A208,asientos!$J$13:$J$1276)</f>
        <v>0</v>
      </c>
      <c r="I208" s="1314">
        <f t="shared" ca="1" si="22"/>
        <v>0</v>
      </c>
      <c r="J208" s="1315">
        <f t="shared" ca="1" si="23"/>
        <v>0</v>
      </c>
      <c r="L208" s="1308">
        <f t="shared" si="24"/>
        <v>529000000</v>
      </c>
      <c r="M208" s="1296" t="str">
        <f t="shared" si="25"/>
        <v>5290</v>
      </c>
      <c r="N208" s="1309">
        <f t="shared" ca="1" si="26"/>
        <v>0</v>
      </c>
      <c r="O208" s="1296" t="str">
        <f t="shared" si="27"/>
        <v>52</v>
      </c>
    </row>
    <row r="209" spans="1:15" s="1296" customFormat="1">
      <c r="A209" s="1318">
        <v>5303</v>
      </c>
      <c r="B209" s="1319" t="s">
        <v>1691</v>
      </c>
      <c r="C209" s="1320">
        <v>0</v>
      </c>
      <c r="D209" s="1321">
        <v>0</v>
      </c>
      <c r="E209" s="1322">
        <f>IF(+SUMIF(SYS_cliente!$F$5:$F$2500,A209,SYS_cliente!$I$5:$I$2500)+SUMIF(SYS_cliente!$K$5:$K$2500,A209,SYS_cliente!$N$5:$N$2500)+SUMIF(SYS_cliente!$P$5:$P$2500,A209,SYS_cliente!$S$5:$S$2500)&lt;0,0,+SUMIF(SYS_cliente!$F$5:$F$2500,A209,SYS_cliente!$I$5:$I$2500)+SUMIF(SYS_cliente!$K$5:$K$2500,A209,SYS_cliente!$N$5:$N$2500)+SUMIF(SYS_cliente!$P$5:$P$2500,A209,SYS_cliente!$S$5:$S$2500))</f>
        <v>0</v>
      </c>
      <c r="F209" s="1323">
        <f ca="1">IF(+SUMIF(SYS_cliente!$F$5:$F$2500,A209,SYS_cliente!$I$5:$I$1678)+SUMIF(SYS_cliente!$K$5:$K$2500,A209,SYS_cliente!$N$5:$N$1678)+SUMIF(SYS_cliente!$P$5:$P$2500,A209,SYS_cliente!$S$5:$S$1678)&gt;=0,0,-(SUMIF(SYS_cliente!$F$5:$F$2500,A209,SYS_cliente!$I$5:$I$1678)+SUMIF(SYS_cliente!$K$5:$K$2500,A209,SYS_cliente!$N$5:$N$1678)+SUMIF(SYS_cliente!$P$5:$P$2500,A209,SYS_cliente!$S$5:$S$1678)))</f>
        <v>0</v>
      </c>
      <c r="G209" s="1322">
        <f>+SUMIF(asientos!$C$13:$C$1276,SYS_4_3_Digitos!A209,asientos!$B$13:$B$1276)</f>
        <v>0</v>
      </c>
      <c r="H209" s="1323">
        <f>+SUMIF(asientos!$I$13:$I$1276,SYS_4_3_Digitos!A209,asientos!$J$13:$J$1276)</f>
        <v>0</v>
      </c>
      <c r="I209" s="1322">
        <f t="shared" ca="1" si="22"/>
        <v>0</v>
      </c>
      <c r="J209" s="1323">
        <f t="shared" ca="1" si="23"/>
        <v>0</v>
      </c>
      <c r="K209" s="1324"/>
      <c r="L209" s="1325">
        <f t="shared" si="24"/>
        <v>5303000000</v>
      </c>
      <c r="M209" s="1324" t="str">
        <f t="shared" si="25"/>
        <v>5303</v>
      </c>
      <c r="N209" s="1326">
        <f t="shared" ca="1" si="26"/>
        <v>0</v>
      </c>
      <c r="O209" s="1296" t="str">
        <f t="shared" si="27"/>
        <v>53</v>
      </c>
    </row>
    <row r="210" spans="1:15" s="1296" customFormat="1">
      <c r="A210" s="1318">
        <v>5304</v>
      </c>
      <c r="B210" s="1319" t="s">
        <v>1692</v>
      </c>
      <c r="C210" s="1320">
        <v>0</v>
      </c>
      <c r="D210" s="1321">
        <v>0</v>
      </c>
      <c r="E210" s="1322">
        <f>IF(+SUMIF(SYS_cliente!$F$5:$F$2500,A210,SYS_cliente!$I$5:$I$2500)+SUMIF(SYS_cliente!$K$5:$K$2500,A210,SYS_cliente!$N$5:$N$2500)+SUMIF(SYS_cliente!$P$5:$P$2500,A210,SYS_cliente!$S$5:$S$2500)&lt;0,0,+SUMIF(SYS_cliente!$F$5:$F$2500,A210,SYS_cliente!$I$5:$I$2500)+SUMIF(SYS_cliente!$K$5:$K$2500,A210,SYS_cliente!$N$5:$N$2500)+SUMIF(SYS_cliente!$P$5:$P$2500,A210,SYS_cliente!$S$5:$S$2500))</f>
        <v>0</v>
      </c>
      <c r="F210" s="1323">
        <f ca="1">IF(+SUMIF(SYS_cliente!$F$5:$F$2500,A210,SYS_cliente!$I$5:$I$1678)+SUMIF(SYS_cliente!$K$5:$K$2500,A210,SYS_cliente!$N$5:$N$1678)+SUMIF(SYS_cliente!$P$5:$P$2500,A210,SYS_cliente!$S$5:$S$1678)&gt;=0,0,-(SUMIF(SYS_cliente!$F$5:$F$2500,A210,SYS_cliente!$I$5:$I$1678)+SUMIF(SYS_cliente!$K$5:$K$2500,A210,SYS_cliente!$N$5:$N$1678)+SUMIF(SYS_cliente!$P$5:$P$2500,A210,SYS_cliente!$S$5:$S$1678)))</f>
        <v>0</v>
      </c>
      <c r="G210" s="1322">
        <f>+SUMIF(asientos!$C$13:$C$1276,SYS_4_3_Digitos!A210,asientos!$B$13:$B$1276)</f>
        <v>0</v>
      </c>
      <c r="H210" s="1323">
        <f>+SUMIF(asientos!$I$13:$I$1276,SYS_4_3_Digitos!A210,asientos!$J$13:$J$1276)</f>
        <v>0</v>
      </c>
      <c r="I210" s="1322">
        <f t="shared" ca="1" si="22"/>
        <v>0</v>
      </c>
      <c r="J210" s="1323">
        <f t="shared" ca="1" si="23"/>
        <v>0</v>
      </c>
      <c r="K210" s="1324"/>
      <c r="L210" s="1325">
        <f t="shared" si="24"/>
        <v>5304000000</v>
      </c>
      <c r="M210" s="1324" t="str">
        <f t="shared" si="25"/>
        <v>5304</v>
      </c>
      <c r="N210" s="1326">
        <f t="shared" ca="1" si="26"/>
        <v>0</v>
      </c>
      <c r="O210" s="1296" t="str">
        <f t="shared" si="27"/>
        <v>53</v>
      </c>
    </row>
    <row r="211" spans="1:15" s="1296" customFormat="1">
      <c r="A211" s="1318">
        <v>5305</v>
      </c>
      <c r="B211" s="1319" t="s">
        <v>1693</v>
      </c>
      <c r="C211" s="1320">
        <v>0</v>
      </c>
      <c r="D211" s="1321">
        <v>0</v>
      </c>
      <c r="E211" s="1322">
        <f>IF(+SUMIF(SYS_cliente!$F$5:$F$2500,A211,SYS_cliente!$I$5:$I$2500)+SUMIF(SYS_cliente!$K$5:$K$2500,A211,SYS_cliente!$N$5:$N$2500)+SUMIF(SYS_cliente!$P$5:$P$2500,A211,SYS_cliente!$S$5:$S$2500)&lt;0,0,+SUMIF(SYS_cliente!$F$5:$F$2500,A211,SYS_cliente!$I$5:$I$2500)+SUMIF(SYS_cliente!$K$5:$K$2500,A211,SYS_cliente!$N$5:$N$2500)+SUMIF(SYS_cliente!$P$5:$P$2500,A211,SYS_cliente!$S$5:$S$2500))</f>
        <v>0</v>
      </c>
      <c r="F211" s="1323">
        <f ca="1">IF(+SUMIF(SYS_cliente!$F$5:$F$2500,A211,SYS_cliente!$I$5:$I$1678)+SUMIF(SYS_cliente!$K$5:$K$2500,A211,SYS_cliente!$N$5:$N$1678)+SUMIF(SYS_cliente!$P$5:$P$2500,A211,SYS_cliente!$S$5:$S$1678)&gt;=0,0,-(SUMIF(SYS_cliente!$F$5:$F$2500,A211,SYS_cliente!$I$5:$I$1678)+SUMIF(SYS_cliente!$K$5:$K$2500,A211,SYS_cliente!$N$5:$N$1678)+SUMIF(SYS_cliente!$P$5:$P$2500,A211,SYS_cliente!$S$5:$S$1678)))</f>
        <v>0</v>
      </c>
      <c r="G211" s="1322">
        <f>+SUMIF(asientos!$C$13:$C$1276,SYS_4_3_Digitos!A211,asientos!$B$13:$B$1276)</f>
        <v>0</v>
      </c>
      <c r="H211" s="1323">
        <f>+SUMIF(asientos!$I$13:$I$1276,SYS_4_3_Digitos!A211,asientos!$J$13:$J$1276)</f>
        <v>0</v>
      </c>
      <c r="I211" s="1322">
        <f t="shared" ca="1" si="22"/>
        <v>0</v>
      </c>
      <c r="J211" s="1323">
        <f t="shared" ca="1" si="23"/>
        <v>0</v>
      </c>
      <c r="K211" s="1324"/>
      <c r="L211" s="1325">
        <f t="shared" si="24"/>
        <v>5305000000</v>
      </c>
      <c r="M211" s="1324" t="str">
        <f t="shared" si="25"/>
        <v>5305</v>
      </c>
      <c r="N211" s="1326">
        <f t="shared" ca="1" si="26"/>
        <v>0</v>
      </c>
      <c r="O211" s="1296" t="str">
        <f t="shared" si="27"/>
        <v>53</v>
      </c>
    </row>
    <row r="212" spans="1:15" s="1296" customFormat="1">
      <c r="A212" s="1318">
        <v>5323</v>
      </c>
      <c r="B212" s="1319" t="s">
        <v>1694</v>
      </c>
      <c r="C212" s="1320">
        <v>0</v>
      </c>
      <c r="D212" s="1321">
        <v>0</v>
      </c>
      <c r="E212" s="1322">
        <f>IF(+SUMIF(SYS_cliente!$F$5:$F$2500,A212,SYS_cliente!$I$5:$I$2500)+SUMIF(SYS_cliente!$K$5:$K$2500,A212,SYS_cliente!$N$5:$N$2500)+SUMIF(SYS_cliente!$P$5:$P$2500,A212,SYS_cliente!$S$5:$S$2500)&lt;0,0,+SUMIF(SYS_cliente!$F$5:$F$2500,A212,SYS_cliente!$I$5:$I$2500)+SUMIF(SYS_cliente!$K$5:$K$2500,A212,SYS_cliente!$N$5:$N$2500)+SUMIF(SYS_cliente!$P$5:$P$2500,A212,SYS_cliente!$S$5:$S$2500))</f>
        <v>0</v>
      </c>
      <c r="F212" s="1323">
        <f ca="1">IF(+SUMIF(SYS_cliente!$F$5:$F$2500,A212,SYS_cliente!$I$5:$I$1678)+SUMIF(SYS_cliente!$K$5:$K$2500,A212,SYS_cliente!$N$5:$N$1678)+SUMIF(SYS_cliente!$P$5:$P$2500,A212,SYS_cliente!$S$5:$S$1678)&gt;=0,0,-(SUMIF(SYS_cliente!$F$5:$F$2500,A212,SYS_cliente!$I$5:$I$1678)+SUMIF(SYS_cliente!$K$5:$K$2500,A212,SYS_cliente!$N$5:$N$1678)+SUMIF(SYS_cliente!$P$5:$P$2500,A212,SYS_cliente!$S$5:$S$1678)))</f>
        <v>0</v>
      </c>
      <c r="G212" s="1322">
        <f>+SUMIF(asientos!$C$13:$C$1276,SYS_4_3_Digitos!A212,asientos!$B$13:$B$1276)</f>
        <v>0</v>
      </c>
      <c r="H212" s="1323">
        <f>+SUMIF(asientos!$I$13:$I$1276,SYS_4_3_Digitos!A212,asientos!$J$13:$J$1276)</f>
        <v>0</v>
      </c>
      <c r="I212" s="1322">
        <f t="shared" ca="1" si="22"/>
        <v>0</v>
      </c>
      <c r="J212" s="1323">
        <f t="shared" ca="1" si="23"/>
        <v>0</v>
      </c>
      <c r="K212" s="1324"/>
      <c r="L212" s="1325">
        <f t="shared" si="24"/>
        <v>5323000000</v>
      </c>
      <c r="M212" s="1324" t="str">
        <f t="shared" si="25"/>
        <v>5323</v>
      </c>
      <c r="N212" s="1326">
        <f t="shared" ca="1" si="26"/>
        <v>0</v>
      </c>
      <c r="O212" s="1296" t="str">
        <f t="shared" si="27"/>
        <v>53</v>
      </c>
    </row>
    <row r="213" spans="1:15" s="1296" customFormat="1">
      <c r="A213" s="1318">
        <v>5324</v>
      </c>
      <c r="B213" s="1319" t="s">
        <v>1695</v>
      </c>
      <c r="C213" s="1320">
        <v>0</v>
      </c>
      <c r="D213" s="1321">
        <v>0</v>
      </c>
      <c r="E213" s="1322">
        <f>IF(+SUMIF(SYS_cliente!$F$5:$F$2500,A213,SYS_cliente!$I$5:$I$2500)+SUMIF(SYS_cliente!$K$5:$K$2500,A213,SYS_cliente!$N$5:$N$2500)+SUMIF(SYS_cliente!$P$5:$P$2500,A213,SYS_cliente!$S$5:$S$2500)&lt;0,0,+SUMIF(SYS_cliente!$F$5:$F$2500,A213,SYS_cliente!$I$5:$I$2500)+SUMIF(SYS_cliente!$K$5:$K$2500,A213,SYS_cliente!$N$5:$N$2500)+SUMIF(SYS_cliente!$P$5:$P$2500,A213,SYS_cliente!$S$5:$S$2500))</f>
        <v>0</v>
      </c>
      <c r="F213" s="1323">
        <f ca="1">IF(+SUMIF(SYS_cliente!$F$5:$F$2500,A213,SYS_cliente!$I$5:$I$1678)+SUMIF(SYS_cliente!$K$5:$K$2500,A213,SYS_cliente!$N$5:$N$1678)+SUMIF(SYS_cliente!$P$5:$P$2500,A213,SYS_cliente!$S$5:$S$1678)&gt;=0,0,-(SUMIF(SYS_cliente!$F$5:$F$2500,A213,SYS_cliente!$I$5:$I$1678)+SUMIF(SYS_cliente!$K$5:$K$2500,A213,SYS_cliente!$N$5:$N$1678)+SUMIF(SYS_cliente!$P$5:$P$2500,A213,SYS_cliente!$S$5:$S$1678)))</f>
        <v>0</v>
      </c>
      <c r="G213" s="1322">
        <f>+SUMIF(asientos!$C$13:$C$1276,SYS_4_3_Digitos!A213,asientos!$B$13:$B$1276)</f>
        <v>0</v>
      </c>
      <c r="H213" s="1323">
        <f>+SUMIF(asientos!$I$13:$I$1276,SYS_4_3_Digitos!A213,asientos!$J$13:$J$1276)</f>
        <v>0</v>
      </c>
      <c r="I213" s="1322">
        <f t="shared" ca="1" si="22"/>
        <v>0</v>
      </c>
      <c r="J213" s="1323">
        <f t="shared" ca="1" si="23"/>
        <v>0</v>
      </c>
      <c r="K213" s="1324"/>
      <c r="L213" s="1325">
        <f t="shared" si="24"/>
        <v>5324000000</v>
      </c>
      <c r="M213" s="1324" t="str">
        <f t="shared" si="25"/>
        <v>5324</v>
      </c>
      <c r="N213" s="1326">
        <f t="shared" ca="1" si="26"/>
        <v>0</v>
      </c>
      <c r="O213" s="1296" t="str">
        <f t="shared" si="27"/>
        <v>53</v>
      </c>
    </row>
    <row r="214" spans="1:15" s="1296" customFormat="1">
      <c r="A214" s="1318">
        <v>5325</v>
      </c>
      <c r="B214" s="1319" t="s">
        <v>1696</v>
      </c>
      <c r="C214" s="1320">
        <v>0</v>
      </c>
      <c r="D214" s="1321">
        <v>0</v>
      </c>
      <c r="E214" s="1322">
        <f>IF(+SUMIF(SYS_cliente!$F$5:$F$2500,A214,SYS_cliente!$I$5:$I$2500)+SUMIF(SYS_cliente!$K$5:$K$2500,A214,SYS_cliente!$N$5:$N$2500)+SUMIF(SYS_cliente!$P$5:$P$2500,A214,SYS_cliente!$S$5:$S$2500)&lt;0,0,+SUMIF(SYS_cliente!$F$5:$F$2500,A214,SYS_cliente!$I$5:$I$2500)+SUMIF(SYS_cliente!$K$5:$K$2500,A214,SYS_cliente!$N$5:$N$2500)+SUMIF(SYS_cliente!$P$5:$P$2500,A214,SYS_cliente!$S$5:$S$2500))</f>
        <v>0</v>
      </c>
      <c r="F214" s="1323">
        <f ca="1">IF(+SUMIF(SYS_cliente!$F$5:$F$2500,A214,SYS_cliente!$I$5:$I$1678)+SUMIF(SYS_cliente!$K$5:$K$2500,A214,SYS_cliente!$N$5:$N$1678)+SUMIF(SYS_cliente!$P$5:$P$2500,A214,SYS_cliente!$S$5:$S$1678)&gt;=0,0,-(SUMIF(SYS_cliente!$F$5:$F$2500,A214,SYS_cliente!$I$5:$I$1678)+SUMIF(SYS_cliente!$K$5:$K$2500,A214,SYS_cliente!$N$5:$N$1678)+SUMIF(SYS_cliente!$P$5:$P$2500,A214,SYS_cliente!$S$5:$S$1678)))</f>
        <v>0</v>
      </c>
      <c r="G214" s="1322">
        <f>+SUMIF(asientos!$C$13:$C$1276,SYS_4_3_Digitos!A214,asientos!$B$13:$B$1276)</f>
        <v>0</v>
      </c>
      <c r="H214" s="1323">
        <f>+SUMIF(asientos!$I$13:$I$1276,SYS_4_3_Digitos!A214,asientos!$J$13:$J$1276)</f>
        <v>0</v>
      </c>
      <c r="I214" s="1322">
        <f t="shared" ca="1" si="22"/>
        <v>0</v>
      </c>
      <c r="J214" s="1323">
        <f t="shared" ca="1" si="23"/>
        <v>0</v>
      </c>
      <c r="K214" s="1324"/>
      <c r="L214" s="1325">
        <f t="shared" si="24"/>
        <v>5325000000</v>
      </c>
      <c r="M214" s="1324" t="str">
        <f t="shared" si="25"/>
        <v>5325</v>
      </c>
      <c r="N214" s="1326">
        <f t="shared" ca="1" si="26"/>
        <v>0</v>
      </c>
      <c r="O214" s="1296" t="str">
        <f t="shared" si="27"/>
        <v>53</v>
      </c>
    </row>
    <row r="215" spans="1:15" s="1296" customFormat="1">
      <c r="A215" s="1318">
        <v>5345</v>
      </c>
      <c r="B215" s="1319" t="s">
        <v>1697</v>
      </c>
      <c r="C215" s="1320">
        <v>0</v>
      </c>
      <c r="D215" s="1321">
        <v>0</v>
      </c>
      <c r="E215" s="1322">
        <f>IF(+SUMIF(SYS_cliente!$F$5:$F$2500,A215,SYS_cliente!$I$5:$I$2500)+SUMIF(SYS_cliente!$K$5:$K$2500,A215,SYS_cliente!$N$5:$N$2500)+SUMIF(SYS_cliente!$P$5:$P$2500,A215,SYS_cliente!$S$5:$S$2500)&lt;0,0,+SUMIF(SYS_cliente!$F$5:$F$2500,A215,SYS_cliente!$I$5:$I$2500)+SUMIF(SYS_cliente!$K$5:$K$2500,A215,SYS_cliente!$N$5:$N$2500)+SUMIF(SYS_cliente!$P$5:$P$2500,A215,SYS_cliente!$S$5:$S$2500))</f>
        <v>0</v>
      </c>
      <c r="F215" s="1323">
        <f ca="1">IF(+SUMIF(SYS_cliente!$F$5:$F$2500,A215,SYS_cliente!$I$5:$I$1678)+SUMIF(SYS_cliente!$K$5:$K$2500,A215,SYS_cliente!$N$5:$N$1678)+SUMIF(SYS_cliente!$P$5:$P$2500,A215,SYS_cliente!$S$5:$S$1678)&gt;=0,0,-(SUMIF(SYS_cliente!$F$5:$F$2500,A215,SYS_cliente!$I$5:$I$1678)+SUMIF(SYS_cliente!$K$5:$K$2500,A215,SYS_cliente!$N$5:$N$1678)+SUMIF(SYS_cliente!$P$5:$P$2500,A215,SYS_cliente!$S$5:$S$1678)))</f>
        <v>0</v>
      </c>
      <c r="G215" s="1322">
        <f>+SUMIF(asientos!$C$13:$C$1276,SYS_4_3_Digitos!A215,asientos!$B$13:$B$1276)</f>
        <v>0</v>
      </c>
      <c r="H215" s="1323">
        <f>+SUMIF(asientos!$I$13:$I$1276,SYS_4_3_Digitos!A215,asientos!$J$13:$J$1276)</f>
        <v>0</v>
      </c>
      <c r="I215" s="1322">
        <f t="shared" ca="1" si="22"/>
        <v>0</v>
      </c>
      <c r="J215" s="1323">
        <f t="shared" ca="1" si="23"/>
        <v>0</v>
      </c>
      <c r="K215" s="1324"/>
      <c r="L215" s="1325">
        <f t="shared" si="24"/>
        <v>5345000000</v>
      </c>
      <c r="M215" s="1324" t="str">
        <f t="shared" si="25"/>
        <v>5345</v>
      </c>
      <c r="N215" s="1326">
        <f t="shared" ca="1" si="26"/>
        <v>0</v>
      </c>
      <c r="O215" s="1296" t="str">
        <f t="shared" si="27"/>
        <v>53</v>
      </c>
    </row>
    <row r="216" spans="1:15" s="1296" customFormat="1">
      <c r="A216" s="1310">
        <v>540</v>
      </c>
      <c r="B216" s="1311" t="s">
        <v>466</v>
      </c>
      <c r="C216" s="1312">
        <v>0</v>
      </c>
      <c r="D216" s="1313">
        <v>0</v>
      </c>
      <c r="E216" s="1314">
        <f>IF(+SUMIF(SYS_cliente!$F$5:$F$2500,A216,SYS_cliente!$I$5:$I$2500)+SUMIF(SYS_cliente!$K$5:$K$2500,A216,SYS_cliente!$N$5:$N$2500)+SUMIF(SYS_cliente!$P$5:$P$2500,A216,SYS_cliente!$S$5:$S$2500)&lt;0,0,+SUMIF(SYS_cliente!$F$5:$F$2500,A216,SYS_cliente!$I$5:$I$2500)+SUMIF(SYS_cliente!$K$5:$K$2500,A216,SYS_cliente!$N$5:$N$2500)+SUMIF(SYS_cliente!$P$5:$P$2500,A216,SYS_cliente!$S$5:$S$2500))</f>
        <v>0</v>
      </c>
      <c r="F216" s="1315">
        <f ca="1">IF(+SUMIF(SYS_cliente!$F$5:$F$2500,A216,SYS_cliente!$I$5:$I$1678)+SUMIF(SYS_cliente!$K$5:$K$2500,A216,SYS_cliente!$N$5:$N$1678)+SUMIF(SYS_cliente!$P$5:$P$2500,A216,SYS_cliente!$S$5:$S$1678)&gt;=0,0,-(SUMIF(SYS_cliente!$F$5:$F$2500,A216,SYS_cliente!$I$5:$I$1678)+SUMIF(SYS_cliente!$K$5:$K$2500,A216,SYS_cliente!$N$5:$N$1678)+SUMIF(SYS_cliente!$P$5:$P$2500,A216,SYS_cliente!$S$5:$S$1678)))</f>
        <v>0</v>
      </c>
      <c r="G216" s="1316">
        <f>+SUMIF(asientos!$C$13:$C$1276,SYS_4_3_Digitos!A216,asientos!$B$13:$B$1276)</f>
        <v>0</v>
      </c>
      <c r="H216" s="1317">
        <f>+SUMIF(asientos!$I$13:$I$1276,SYS_4_3_Digitos!A216,asientos!$J$13:$J$1276)</f>
        <v>0</v>
      </c>
      <c r="I216" s="1314">
        <f t="shared" ca="1" si="22"/>
        <v>0</v>
      </c>
      <c r="J216" s="1315">
        <f t="shared" ca="1" si="23"/>
        <v>0</v>
      </c>
      <c r="L216" s="1308">
        <f t="shared" si="24"/>
        <v>540000000</v>
      </c>
      <c r="M216" s="1296" t="str">
        <f t="shared" si="25"/>
        <v>5400</v>
      </c>
      <c r="N216" s="1309">
        <f t="shared" ca="1" si="26"/>
        <v>0</v>
      </c>
      <c r="O216" s="1296" t="str">
        <f t="shared" si="27"/>
        <v>54</v>
      </c>
    </row>
    <row r="217" spans="1:15" s="1296" customFormat="1">
      <c r="A217" s="1310">
        <v>541</v>
      </c>
      <c r="B217" s="1311" t="s">
        <v>467</v>
      </c>
      <c r="C217" s="1312">
        <v>0</v>
      </c>
      <c r="D217" s="1313">
        <v>0</v>
      </c>
      <c r="E217" s="1314">
        <f>IF(+SUMIF(SYS_cliente!$F$5:$F$2500,A217,SYS_cliente!$I$5:$I$2500)+SUMIF(SYS_cliente!$K$5:$K$2500,A217,SYS_cliente!$N$5:$N$2500)+SUMIF(SYS_cliente!$P$5:$P$2500,A217,SYS_cliente!$S$5:$S$2500)&lt;0,0,+SUMIF(SYS_cliente!$F$5:$F$2500,A217,SYS_cliente!$I$5:$I$2500)+SUMIF(SYS_cliente!$K$5:$K$2500,A217,SYS_cliente!$N$5:$N$2500)+SUMIF(SYS_cliente!$P$5:$P$2500,A217,SYS_cliente!$S$5:$S$2500))</f>
        <v>0</v>
      </c>
      <c r="F217" s="1315">
        <f ca="1">IF(+SUMIF(SYS_cliente!$F$5:$F$2500,A217,SYS_cliente!$I$5:$I$1678)+SUMIF(SYS_cliente!$K$5:$K$2500,A217,SYS_cliente!$N$5:$N$1678)+SUMIF(SYS_cliente!$P$5:$P$2500,A217,SYS_cliente!$S$5:$S$1678)&gt;=0,0,-(SUMIF(SYS_cliente!$F$5:$F$2500,A217,SYS_cliente!$I$5:$I$1678)+SUMIF(SYS_cliente!$K$5:$K$2500,A217,SYS_cliente!$N$5:$N$1678)+SUMIF(SYS_cliente!$P$5:$P$2500,A217,SYS_cliente!$S$5:$S$1678)))</f>
        <v>0</v>
      </c>
      <c r="G217" s="1316">
        <f>+SUMIF(asientos!$C$13:$C$1276,SYS_4_3_Digitos!A217,asientos!$B$13:$B$1276)</f>
        <v>0</v>
      </c>
      <c r="H217" s="1317">
        <f>+SUMIF(asientos!$I$13:$I$1276,SYS_4_3_Digitos!A217,asientos!$J$13:$J$1276)</f>
        <v>0</v>
      </c>
      <c r="I217" s="1314">
        <f t="shared" ca="1" si="22"/>
        <v>0</v>
      </c>
      <c r="J217" s="1315">
        <f t="shared" ca="1" si="23"/>
        <v>0</v>
      </c>
      <c r="L217" s="1308">
        <f t="shared" si="24"/>
        <v>541000000</v>
      </c>
      <c r="M217" s="1296" t="str">
        <f t="shared" si="25"/>
        <v>5410</v>
      </c>
      <c r="N217" s="1309">
        <f t="shared" ca="1" si="26"/>
        <v>0</v>
      </c>
      <c r="O217" s="1296" t="str">
        <f t="shared" si="27"/>
        <v>54</v>
      </c>
    </row>
    <row r="218" spans="1:15" s="1296" customFormat="1">
      <c r="A218" s="1310">
        <v>542</v>
      </c>
      <c r="B218" s="1311" t="s">
        <v>468</v>
      </c>
      <c r="C218" s="1312">
        <v>0</v>
      </c>
      <c r="D218" s="1313">
        <v>0</v>
      </c>
      <c r="E218" s="1314">
        <f>IF(+SUMIF(SYS_cliente!$F$5:$F$2500,A218,SYS_cliente!$I$5:$I$2500)+SUMIF(SYS_cliente!$K$5:$K$2500,A218,SYS_cliente!$N$5:$N$2500)+SUMIF(SYS_cliente!$P$5:$P$2500,A218,SYS_cliente!$S$5:$S$2500)&lt;0,0,+SUMIF(SYS_cliente!$F$5:$F$2500,A218,SYS_cliente!$I$5:$I$2500)+SUMIF(SYS_cliente!$K$5:$K$2500,A218,SYS_cliente!$N$5:$N$2500)+SUMIF(SYS_cliente!$P$5:$P$2500,A218,SYS_cliente!$S$5:$S$2500))</f>
        <v>0</v>
      </c>
      <c r="F218" s="1315">
        <f ca="1">IF(+SUMIF(SYS_cliente!$F$5:$F$2500,A218,SYS_cliente!$I$5:$I$1678)+SUMIF(SYS_cliente!$K$5:$K$2500,A218,SYS_cliente!$N$5:$N$1678)+SUMIF(SYS_cliente!$P$5:$P$2500,A218,SYS_cliente!$S$5:$S$1678)&gt;=0,0,-(SUMIF(SYS_cliente!$F$5:$F$2500,A218,SYS_cliente!$I$5:$I$1678)+SUMIF(SYS_cliente!$K$5:$K$2500,A218,SYS_cliente!$N$5:$N$1678)+SUMIF(SYS_cliente!$P$5:$P$2500,A218,SYS_cliente!$S$5:$S$1678)))</f>
        <v>0</v>
      </c>
      <c r="G218" s="1316">
        <f>+SUMIF(asientos!$C$13:$C$1276,SYS_4_3_Digitos!A218,asientos!$B$13:$B$1276)</f>
        <v>0</v>
      </c>
      <c r="H218" s="1317">
        <f>+SUMIF(asientos!$I$13:$I$1276,SYS_4_3_Digitos!A218,asientos!$J$13:$J$1276)</f>
        <v>0</v>
      </c>
      <c r="I218" s="1314">
        <f t="shared" ca="1" si="22"/>
        <v>0</v>
      </c>
      <c r="J218" s="1315">
        <f t="shared" ca="1" si="23"/>
        <v>0</v>
      </c>
      <c r="L218" s="1308">
        <f t="shared" si="24"/>
        <v>542000000</v>
      </c>
      <c r="M218" s="1296" t="str">
        <f t="shared" si="25"/>
        <v>5420</v>
      </c>
      <c r="N218" s="1309">
        <f t="shared" ca="1" si="26"/>
        <v>0</v>
      </c>
      <c r="O218" s="1296" t="str">
        <f t="shared" si="27"/>
        <v>54</v>
      </c>
    </row>
    <row r="219" spans="1:15" s="1296" customFormat="1">
      <c r="A219" s="1310">
        <v>543</v>
      </c>
      <c r="B219" s="1311" t="s">
        <v>469</v>
      </c>
      <c r="C219" s="1312">
        <v>0</v>
      </c>
      <c r="D219" s="1313">
        <v>0</v>
      </c>
      <c r="E219" s="1314">
        <f>IF(+SUMIF(SYS_cliente!$F$5:$F$2500,A219,SYS_cliente!$I$5:$I$2500)+SUMIF(SYS_cliente!$K$5:$K$2500,A219,SYS_cliente!$N$5:$N$2500)+SUMIF(SYS_cliente!$P$5:$P$2500,A219,SYS_cliente!$S$5:$S$2500)&lt;0,0,+SUMIF(SYS_cliente!$F$5:$F$2500,A219,SYS_cliente!$I$5:$I$2500)+SUMIF(SYS_cliente!$K$5:$K$2500,A219,SYS_cliente!$N$5:$N$2500)+SUMIF(SYS_cliente!$P$5:$P$2500,A219,SYS_cliente!$S$5:$S$2500))</f>
        <v>0</v>
      </c>
      <c r="F219" s="1315">
        <f ca="1">IF(+SUMIF(SYS_cliente!$F$5:$F$2500,A219,SYS_cliente!$I$5:$I$1678)+SUMIF(SYS_cliente!$K$5:$K$2500,A219,SYS_cliente!$N$5:$N$1678)+SUMIF(SYS_cliente!$P$5:$P$2500,A219,SYS_cliente!$S$5:$S$1678)&gt;=0,0,-(SUMIF(SYS_cliente!$F$5:$F$2500,A219,SYS_cliente!$I$5:$I$1678)+SUMIF(SYS_cliente!$K$5:$K$2500,A219,SYS_cliente!$N$5:$N$1678)+SUMIF(SYS_cliente!$P$5:$P$2500,A219,SYS_cliente!$S$5:$S$1678)))</f>
        <v>0</v>
      </c>
      <c r="G219" s="1316">
        <f>+SUMIF(asientos!$C$13:$C$1276,SYS_4_3_Digitos!A219,asientos!$B$13:$B$1276)</f>
        <v>0</v>
      </c>
      <c r="H219" s="1317">
        <f>+SUMIF(asientos!$I$13:$I$1276,SYS_4_3_Digitos!A219,asientos!$J$13:$J$1276)</f>
        <v>0</v>
      </c>
      <c r="I219" s="1314">
        <f t="shared" ca="1" si="22"/>
        <v>0</v>
      </c>
      <c r="J219" s="1315">
        <f t="shared" ca="1" si="23"/>
        <v>0</v>
      </c>
      <c r="L219" s="1308">
        <f t="shared" si="24"/>
        <v>543000000</v>
      </c>
      <c r="M219" s="1296" t="str">
        <f t="shared" si="25"/>
        <v>5430</v>
      </c>
      <c r="N219" s="1309">
        <f t="shared" ca="1" si="26"/>
        <v>0</v>
      </c>
      <c r="O219" s="1296" t="str">
        <f t="shared" si="27"/>
        <v>54</v>
      </c>
    </row>
    <row r="220" spans="1:15" s="1296" customFormat="1">
      <c r="A220" s="1310">
        <v>544</v>
      </c>
      <c r="B220" s="1311" t="s">
        <v>470</v>
      </c>
      <c r="C220" s="1312">
        <v>0</v>
      </c>
      <c r="D220" s="1313">
        <v>0</v>
      </c>
      <c r="E220" s="1314">
        <f>IF(+SUMIF(SYS_cliente!$F$5:$F$2500,A220,SYS_cliente!$I$5:$I$2500)+SUMIF(SYS_cliente!$K$5:$K$2500,A220,SYS_cliente!$N$5:$N$2500)+SUMIF(SYS_cliente!$P$5:$P$2500,A220,SYS_cliente!$S$5:$S$2500)&lt;0,0,+SUMIF(SYS_cliente!$F$5:$F$2500,A220,SYS_cliente!$I$5:$I$2500)+SUMIF(SYS_cliente!$K$5:$K$2500,A220,SYS_cliente!$N$5:$N$2500)+SUMIF(SYS_cliente!$P$5:$P$2500,A220,SYS_cliente!$S$5:$S$2500))</f>
        <v>2904.58</v>
      </c>
      <c r="F220" s="1315">
        <f ca="1">IF(+SUMIF(SYS_cliente!$F$5:$F$2500,A220,SYS_cliente!$I$5:$I$1678)+SUMIF(SYS_cliente!$K$5:$K$2500,A220,SYS_cliente!$N$5:$N$1678)+SUMIF(SYS_cliente!$P$5:$P$2500,A220,SYS_cliente!$S$5:$S$1678)&gt;=0,0,-(SUMIF(SYS_cliente!$F$5:$F$2500,A220,SYS_cliente!$I$5:$I$1678)+SUMIF(SYS_cliente!$K$5:$K$2500,A220,SYS_cliente!$N$5:$N$1678)+SUMIF(SYS_cliente!$P$5:$P$2500,A220,SYS_cliente!$S$5:$S$1678)))</f>
        <v>0</v>
      </c>
      <c r="G220" s="1316">
        <f>+SUMIF(asientos!$C$13:$C$1276,SYS_4_3_Digitos!A220,asientos!$B$13:$B$1276)</f>
        <v>0</v>
      </c>
      <c r="H220" s="1317">
        <f>+SUMIF(asientos!$I$13:$I$1276,SYS_4_3_Digitos!A220,asientos!$J$13:$J$1276)</f>
        <v>0</v>
      </c>
      <c r="I220" s="1314">
        <f t="shared" ref="I220:I289" ca="1" si="28">IF((E220+G220-F220-H220)&gt;0,E220+G220-F220-H220,0)</f>
        <v>2904.58</v>
      </c>
      <c r="J220" s="1315">
        <f t="shared" ref="J220:J289" ca="1" si="29">IF((F220+H220-E220-G220)&gt;0,F220+H220-E220-G220,0)</f>
        <v>0</v>
      </c>
      <c r="L220" s="1308">
        <f t="shared" ref="L220:L289" si="30">+A220*1000000</f>
        <v>544000000</v>
      </c>
      <c r="M220" s="1296" t="str">
        <f t="shared" ref="M220:M289" si="31">+LEFT(L220,4)</f>
        <v>5440</v>
      </c>
      <c r="N220" s="1309">
        <f t="shared" ref="N220:N289" ca="1" si="32">+I220-J220</f>
        <v>2904.58</v>
      </c>
      <c r="O220" s="1296" t="str">
        <f t="shared" ref="O220:O289" si="33">+LEFT(M220,2)</f>
        <v>54</v>
      </c>
    </row>
    <row r="221" spans="1:15" s="1296" customFormat="1">
      <c r="A221" s="1310">
        <v>545</v>
      </c>
      <c r="B221" s="1311" t="s">
        <v>471</v>
      </c>
      <c r="C221" s="1312">
        <v>0</v>
      </c>
      <c r="D221" s="1313">
        <v>0</v>
      </c>
      <c r="E221" s="1314">
        <f>IF(+SUMIF(SYS_cliente!$F$5:$F$2500,A221,SYS_cliente!$I$5:$I$2500)+SUMIF(SYS_cliente!$K$5:$K$2500,A221,SYS_cliente!$N$5:$N$2500)+SUMIF(SYS_cliente!$P$5:$P$2500,A221,SYS_cliente!$S$5:$S$2500)&lt;0,0,+SUMIF(SYS_cliente!$F$5:$F$2500,A221,SYS_cliente!$I$5:$I$2500)+SUMIF(SYS_cliente!$K$5:$K$2500,A221,SYS_cliente!$N$5:$N$2500)+SUMIF(SYS_cliente!$P$5:$P$2500,A221,SYS_cliente!$S$5:$S$2500))</f>
        <v>0</v>
      </c>
      <c r="F221" s="1315">
        <f ca="1">IF(+SUMIF(SYS_cliente!$F$5:$F$2500,A221,SYS_cliente!$I$5:$I$1678)+SUMIF(SYS_cliente!$K$5:$K$2500,A221,SYS_cliente!$N$5:$N$1678)+SUMIF(SYS_cliente!$P$5:$P$2500,A221,SYS_cliente!$S$5:$S$1678)&gt;=0,0,-(SUMIF(SYS_cliente!$F$5:$F$2500,A221,SYS_cliente!$I$5:$I$1678)+SUMIF(SYS_cliente!$K$5:$K$2500,A221,SYS_cliente!$N$5:$N$1678)+SUMIF(SYS_cliente!$P$5:$P$2500,A221,SYS_cliente!$S$5:$S$1678)))</f>
        <v>0</v>
      </c>
      <c r="G221" s="1316">
        <f>+SUMIF(asientos!$C$13:$C$1276,SYS_4_3_Digitos!A221,asientos!$B$13:$B$1276)</f>
        <v>0</v>
      </c>
      <c r="H221" s="1317">
        <f>+SUMIF(asientos!$I$13:$I$1276,SYS_4_3_Digitos!A221,asientos!$J$13:$J$1276)</f>
        <v>0</v>
      </c>
      <c r="I221" s="1314">
        <f t="shared" ca="1" si="28"/>
        <v>0</v>
      </c>
      <c r="J221" s="1315">
        <f t="shared" ca="1" si="29"/>
        <v>0</v>
      </c>
      <c r="L221" s="1308">
        <f t="shared" si="30"/>
        <v>545000000</v>
      </c>
      <c r="M221" s="1296" t="str">
        <f t="shared" si="31"/>
        <v>5450</v>
      </c>
      <c r="N221" s="1309">
        <f t="shared" ca="1" si="32"/>
        <v>0</v>
      </c>
      <c r="O221" s="1296" t="str">
        <f t="shared" si="33"/>
        <v>54</v>
      </c>
    </row>
    <row r="222" spans="1:15" s="1296" customFormat="1">
      <c r="A222" s="1310">
        <v>546</v>
      </c>
      <c r="B222" s="1311" t="s">
        <v>472</v>
      </c>
      <c r="C222" s="1312">
        <v>0</v>
      </c>
      <c r="D222" s="1313">
        <v>0</v>
      </c>
      <c r="E222" s="1314">
        <f>IF(+SUMIF(SYS_cliente!$F$5:$F$2500,A222,SYS_cliente!$I$5:$I$2500)+SUMIF(SYS_cliente!$K$5:$K$2500,A222,SYS_cliente!$N$5:$N$2500)+SUMIF(SYS_cliente!$P$5:$P$2500,A222,SYS_cliente!$S$5:$S$2500)&lt;0,0,+SUMIF(SYS_cliente!$F$5:$F$2500,A222,SYS_cliente!$I$5:$I$2500)+SUMIF(SYS_cliente!$K$5:$K$2500,A222,SYS_cliente!$N$5:$N$2500)+SUMIF(SYS_cliente!$P$5:$P$2500,A222,SYS_cliente!$S$5:$S$2500))</f>
        <v>0</v>
      </c>
      <c r="F222" s="1315">
        <f ca="1">IF(+SUMIF(SYS_cliente!$F$5:$F$2500,A222,SYS_cliente!$I$5:$I$1678)+SUMIF(SYS_cliente!$K$5:$K$2500,A222,SYS_cliente!$N$5:$N$1678)+SUMIF(SYS_cliente!$P$5:$P$2500,A222,SYS_cliente!$S$5:$S$1678)&gt;=0,0,-(SUMIF(SYS_cliente!$F$5:$F$2500,A222,SYS_cliente!$I$5:$I$1678)+SUMIF(SYS_cliente!$K$5:$K$2500,A222,SYS_cliente!$N$5:$N$1678)+SUMIF(SYS_cliente!$P$5:$P$2500,A222,SYS_cliente!$S$5:$S$1678)))</f>
        <v>0</v>
      </c>
      <c r="G222" s="1316">
        <f>+SUMIF(asientos!$C$13:$C$1276,SYS_4_3_Digitos!A222,asientos!$B$13:$B$1276)</f>
        <v>0</v>
      </c>
      <c r="H222" s="1317">
        <f>+SUMIF(asientos!$I$13:$I$1276,SYS_4_3_Digitos!A222,asientos!$J$13:$J$1276)</f>
        <v>0</v>
      </c>
      <c r="I222" s="1314">
        <f t="shared" ca="1" si="28"/>
        <v>0</v>
      </c>
      <c r="J222" s="1315">
        <f t="shared" ca="1" si="29"/>
        <v>0</v>
      </c>
      <c r="L222" s="1308">
        <f t="shared" si="30"/>
        <v>546000000</v>
      </c>
      <c r="M222" s="1296" t="str">
        <f t="shared" si="31"/>
        <v>5460</v>
      </c>
      <c r="N222" s="1309">
        <f t="shared" ca="1" si="32"/>
        <v>0</v>
      </c>
      <c r="O222" s="1296" t="str">
        <f t="shared" si="33"/>
        <v>54</v>
      </c>
    </row>
    <row r="223" spans="1:15" s="1296" customFormat="1">
      <c r="A223" s="1310">
        <v>547</v>
      </c>
      <c r="B223" s="1311" t="s">
        <v>473</v>
      </c>
      <c r="C223" s="1312">
        <v>0</v>
      </c>
      <c r="D223" s="1313">
        <v>0</v>
      </c>
      <c r="E223" s="1314">
        <f>IF(+SUMIF(SYS_cliente!$F$5:$F$2500,A223,SYS_cliente!$I$5:$I$2500)+SUMIF(SYS_cliente!$K$5:$K$2500,A223,SYS_cliente!$N$5:$N$2500)+SUMIF(SYS_cliente!$P$5:$P$2500,A223,SYS_cliente!$S$5:$S$2500)&lt;0,0,+SUMIF(SYS_cliente!$F$5:$F$2500,A223,SYS_cliente!$I$5:$I$2500)+SUMIF(SYS_cliente!$K$5:$K$2500,A223,SYS_cliente!$N$5:$N$2500)+SUMIF(SYS_cliente!$P$5:$P$2500,A223,SYS_cliente!$S$5:$S$2500))</f>
        <v>0</v>
      </c>
      <c r="F223" s="1315">
        <f ca="1">IF(+SUMIF(SYS_cliente!$F$5:$F$2500,A223,SYS_cliente!$I$5:$I$1678)+SUMIF(SYS_cliente!$K$5:$K$2500,A223,SYS_cliente!$N$5:$N$1678)+SUMIF(SYS_cliente!$P$5:$P$2500,A223,SYS_cliente!$S$5:$S$1678)&gt;=0,0,-(SUMIF(SYS_cliente!$F$5:$F$2500,A223,SYS_cliente!$I$5:$I$1678)+SUMIF(SYS_cliente!$K$5:$K$2500,A223,SYS_cliente!$N$5:$N$1678)+SUMIF(SYS_cliente!$P$5:$P$2500,A223,SYS_cliente!$S$5:$S$1678)))</f>
        <v>0</v>
      </c>
      <c r="G223" s="1316">
        <f>+SUMIF(asientos!$C$13:$C$1276,SYS_4_3_Digitos!A223,asientos!$B$13:$B$1276)</f>
        <v>0</v>
      </c>
      <c r="H223" s="1317">
        <f>+SUMIF(asientos!$I$13:$I$1276,SYS_4_3_Digitos!A223,asientos!$J$13:$J$1276)</f>
        <v>0</v>
      </c>
      <c r="I223" s="1314">
        <f t="shared" ca="1" si="28"/>
        <v>0</v>
      </c>
      <c r="J223" s="1315">
        <f t="shared" ca="1" si="29"/>
        <v>0</v>
      </c>
      <c r="L223" s="1308">
        <f t="shared" si="30"/>
        <v>547000000</v>
      </c>
      <c r="M223" s="1296" t="str">
        <f t="shared" si="31"/>
        <v>5470</v>
      </c>
      <c r="N223" s="1309">
        <f t="shared" ca="1" si="32"/>
        <v>0</v>
      </c>
      <c r="O223" s="1296" t="str">
        <f t="shared" si="33"/>
        <v>54</v>
      </c>
    </row>
    <row r="224" spans="1:15" s="1296" customFormat="1">
      <c r="A224" s="1310">
        <v>548</v>
      </c>
      <c r="B224" s="1311" t="s">
        <v>474</v>
      </c>
      <c r="C224" s="1312">
        <v>0</v>
      </c>
      <c r="D224" s="1313">
        <v>0</v>
      </c>
      <c r="E224" s="1314">
        <f>IF(+SUMIF(SYS_cliente!$F$5:$F$2500,A224,SYS_cliente!$I$5:$I$2500)+SUMIF(SYS_cliente!$K$5:$K$2500,A224,SYS_cliente!$N$5:$N$2500)+SUMIF(SYS_cliente!$P$5:$P$2500,A224,SYS_cliente!$S$5:$S$2500)&lt;0,0,+SUMIF(SYS_cliente!$F$5:$F$2500,A224,SYS_cliente!$I$5:$I$2500)+SUMIF(SYS_cliente!$K$5:$K$2500,A224,SYS_cliente!$N$5:$N$2500)+SUMIF(SYS_cliente!$P$5:$P$2500,A224,SYS_cliente!$S$5:$S$2500))</f>
        <v>0</v>
      </c>
      <c r="F224" s="1315">
        <f ca="1">IF(+SUMIF(SYS_cliente!$F$5:$F$2500,A224,SYS_cliente!$I$5:$I$1678)+SUMIF(SYS_cliente!$K$5:$K$2500,A224,SYS_cliente!$N$5:$N$1678)+SUMIF(SYS_cliente!$P$5:$P$2500,A224,SYS_cliente!$S$5:$S$1678)&gt;=0,0,-(SUMIF(SYS_cliente!$F$5:$F$2500,A224,SYS_cliente!$I$5:$I$1678)+SUMIF(SYS_cliente!$K$5:$K$2500,A224,SYS_cliente!$N$5:$N$1678)+SUMIF(SYS_cliente!$P$5:$P$2500,A224,SYS_cliente!$S$5:$S$1678)))</f>
        <v>0</v>
      </c>
      <c r="G224" s="1316">
        <f>+SUMIF(asientos!$C$13:$C$1276,SYS_4_3_Digitos!A224,asientos!$B$13:$B$1276)</f>
        <v>0</v>
      </c>
      <c r="H224" s="1317">
        <f>+SUMIF(asientos!$I$13:$I$1276,SYS_4_3_Digitos!A224,asientos!$J$13:$J$1276)</f>
        <v>0</v>
      </c>
      <c r="I224" s="1314">
        <f t="shared" ca="1" si="28"/>
        <v>0</v>
      </c>
      <c r="J224" s="1315">
        <f t="shared" ca="1" si="29"/>
        <v>0</v>
      </c>
      <c r="L224" s="1308">
        <f t="shared" si="30"/>
        <v>548000000</v>
      </c>
      <c r="M224" s="1296" t="str">
        <f t="shared" si="31"/>
        <v>5480</v>
      </c>
      <c r="N224" s="1309">
        <f t="shared" ca="1" si="32"/>
        <v>0</v>
      </c>
      <c r="O224" s="1296" t="str">
        <f t="shared" si="33"/>
        <v>54</v>
      </c>
    </row>
    <row r="225" spans="1:15" s="1296" customFormat="1">
      <c r="A225" s="1310">
        <v>549</v>
      </c>
      <c r="B225" s="1311" t="s">
        <v>475</v>
      </c>
      <c r="C225" s="1312">
        <v>0</v>
      </c>
      <c r="D225" s="1313">
        <v>0</v>
      </c>
      <c r="E225" s="1314">
        <f>IF(+SUMIF(SYS_cliente!$F$5:$F$2500,A225,SYS_cliente!$I$5:$I$2500)+SUMIF(SYS_cliente!$K$5:$K$2500,A225,SYS_cliente!$N$5:$N$2500)+SUMIF(SYS_cliente!$P$5:$P$2500,A225,SYS_cliente!$S$5:$S$2500)&lt;0,0,+SUMIF(SYS_cliente!$F$5:$F$2500,A225,SYS_cliente!$I$5:$I$2500)+SUMIF(SYS_cliente!$K$5:$K$2500,A225,SYS_cliente!$N$5:$N$2500)+SUMIF(SYS_cliente!$P$5:$P$2500,A225,SYS_cliente!$S$5:$S$2500))</f>
        <v>0</v>
      </c>
      <c r="F225" s="1315">
        <f ca="1">IF(+SUMIF(SYS_cliente!$F$5:$F$2500,A225,SYS_cliente!$I$5:$I$1678)+SUMIF(SYS_cliente!$K$5:$K$2500,A225,SYS_cliente!$N$5:$N$1678)+SUMIF(SYS_cliente!$P$5:$P$2500,A225,SYS_cliente!$S$5:$S$1678)&gt;=0,0,-(SUMIF(SYS_cliente!$F$5:$F$2500,A225,SYS_cliente!$I$5:$I$1678)+SUMIF(SYS_cliente!$K$5:$K$2500,A225,SYS_cliente!$N$5:$N$1678)+SUMIF(SYS_cliente!$P$5:$P$2500,A225,SYS_cliente!$S$5:$S$1678)))</f>
        <v>0</v>
      </c>
      <c r="G225" s="1316">
        <f>+SUMIF(asientos!$C$13:$C$1276,SYS_4_3_Digitos!A225,asientos!$B$13:$B$1276)</f>
        <v>0</v>
      </c>
      <c r="H225" s="1317">
        <f>+SUMIF(asientos!$I$13:$I$1276,SYS_4_3_Digitos!A225,asientos!$J$13:$J$1276)</f>
        <v>0</v>
      </c>
      <c r="I225" s="1314">
        <f t="shared" ca="1" si="28"/>
        <v>0</v>
      </c>
      <c r="J225" s="1315">
        <f t="shared" ca="1" si="29"/>
        <v>0</v>
      </c>
      <c r="L225" s="1308">
        <f t="shared" si="30"/>
        <v>549000000</v>
      </c>
      <c r="M225" s="1296" t="str">
        <f t="shared" si="31"/>
        <v>5490</v>
      </c>
      <c r="N225" s="1309">
        <f t="shared" ca="1" si="32"/>
        <v>0</v>
      </c>
      <c r="O225" s="1296" t="str">
        <f t="shared" si="33"/>
        <v>54</v>
      </c>
    </row>
    <row r="226" spans="1:15" s="1296" customFormat="1">
      <c r="A226" s="1310">
        <v>550</v>
      </c>
      <c r="B226" s="1311" t="s">
        <v>476</v>
      </c>
      <c r="C226" s="1312">
        <v>0</v>
      </c>
      <c r="D226" s="1313">
        <v>0</v>
      </c>
      <c r="E226" s="1314">
        <f>IF(+SUMIF(SYS_cliente!$F$5:$F$2500,A226,SYS_cliente!$I$5:$I$2500)+SUMIF(SYS_cliente!$K$5:$K$2500,A226,SYS_cliente!$N$5:$N$2500)+SUMIF(SYS_cliente!$P$5:$P$2500,A226,SYS_cliente!$S$5:$S$2500)&lt;0,0,+SUMIF(SYS_cliente!$F$5:$F$2500,A226,SYS_cliente!$I$5:$I$2500)+SUMIF(SYS_cliente!$K$5:$K$2500,A226,SYS_cliente!$N$5:$N$2500)+SUMIF(SYS_cliente!$P$5:$P$2500,A226,SYS_cliente!$S$5:$S$2500))</f>
        <v>0</v>
      </c>
      <c r="F226" s="1315">
        <f ca="1">IF(+SUMIF(SYS_cliente!$F$5:$F$2500,A226,SYS_cliente!$I$5:$I$1678)+SUMIF(SYS_cliente!$K$5:$K$2500,A226,SYS_cliente!$N$5:$N$1678)+SUMIF(SYS_cliente!$P$5:$P$2500,A226,SYS_cliente!$S$5:$S$1678)&gt;=0,0,-(SUMIF(SYS_cliente!$F$5:$F$2500,A226,SYS_cliente!$I$5:$I$1678)+SUMIF(SYS_cliente!$K$5:$K$2500,A226,SYS_cliente!$N$5:$N$1678)+SUMIF(SYS_cliente!$P$5:$P$2500,A226,SYS_cliente!$S$5:$S$1678)))</f>
        <v>0</v>
      </c>
      <c r="G226" s="1316">
        <f>+SUMIF(asientos!$C$13:$C$1276,SYS_4_3_Digitos!A226,asientos!$B$13:$B$1276)</f>
        <v>0</v>
      </c>
      <c r="H226" s="1317">
        <f>+SUMIF(asientos!$I$13:$I$1276,SYS_4_3_Digitos!A226,asientos!$J$13:$J$1276)</f>
        <v>0</v>
      </c>
      <c r="I226" s="1314">
        <f t="shared" ca="1" si="28"/>
        <v>0</v>
      </c>
      <c r="J226" s="1315">
        <f t="shared" ca="1" si="29"/>
        <v>0</v>
      </c>
      <c r="L226" s="1308">
        <f t="shared" si="30"/>
        <v>550000000</v>
      </c>
      <c r="M226" s="1296" t="str">
        <f t="shared" si="31"/>
        <v>5500</v>
      </c>
      <c r="N226" s="1309">
        <f t="shared" ca="1" si="32"/>
        <v>0</v>
      </c>
      <c r="O226" s="1296" t="str">
        <f t="shared" si="33"/>
        <v>55</v>
      </c>
    </row>
    <row r="227" spans="1:15" s="1296" customFormat="1">
      <c r="A227" s="1310">
        <v>551</v>
      </c>
      <c r="B227" s="1311" t="s">
        <v>477</v>
      </c>
      <c r="C227" s="1312">
        <v>0</v>
      </c>
      <c r="D227" s="1313">
        <v>0</v>
      </c>
      <c r="E227" s="1314">
        <f>IF(+SUMIF(SYS_cliente!$F$5:$F$2500,A227,SYS_cliente!$I$5:$I$2500)+SUMIF(SYS_cliente!$K$5:$K$2500,A227,SYS_cliente!$N$5:$N$2500)+SUMIF(SYS_cliente!$P$5:$P$2500,A227,SYS_cliente!$S$5:$S$2500)&lt;0,0,+SUMIF(SYS_cliente!$F$5:$F$2500,A227,SYS_cliente!$I$5:$I$2500)+SUMIF(SYS_cliente!$K$5:$K$2500,A227,SYS_cliente!$N$5:$N$2500)+SUMIF(SYS_cliente!$P$5:$P$2500,A227,SYS_cliente!$S$5:$S$2500))</f>
        <v>0</v>
      </c>
      <c r="F227" s="1315">
        <f ca="1">IF(+SUMIF(SYS_cliente!$F$5:$F$2500,A227,SYS_cliente!$I$5:$I$1678)+SUMIF(SYS_cliente!$K$5:$K$2500,A227,SYS_cliente!$N$5:$N$1678)+SUMIF(SYS_cliente!$P$5:$P$2500,A227,SYS_cliente!$S$5:$S$1678)&gt;=0,0,-(SUMIF(SYS_cliente!$F$5:$F$2500,A227,SYS_cliente!$I$5:$I$1678)+SUMIF(SYS_cliente!$K$5:$K$2500,A227,SYS_cliente!$N$5:$N$1678)+SUMIF(SYS_cliente!$P$5:$P$2500,A227,SYS_cliente!$S$5:$S$1678)))</f>
        <v>0</v>
      </c>
      <c r="G227" s="1316">
        <f>+SUMIF(asientos!$C$13:$C$1276,SYS_4_3_Digitos!A227,asientos!$B$13:$B$1276)</f>
        <v>0</v>
      </c>
      <c r="H227" s="1317">
        <f>+SUMIF(asientos!$I$13:$I$1276,SYS_4_3_Digitos!A227,asientos!$J$13:$J$1276)</f>
        <v>0</v>
      </c>
      <c r="I227" s="1314">
        <f t="shared" ca="1" si="28"/>
        <v>0</v>
      </c>
      <c r="J227" s="1315">
        <f t="shared" ca="1" si="29"/>
        <v>0</v>
      </c>
      <c r="L227" s="1308">
        <f t="shared" si="30"/>
        <v>551000000</v>
      </c>
      <c r="M227" s="1296" t="str">
        <f t="shared" si="31"/>
        <v>5510</v>
      </c>
      <c r="N227" s="1309">
        <f t="shared" ca="1" si="32"/>
        <v>0</v>
      </c>
      <c r="O227" s="1296" t="str">
        <f t="shared" si="33"/>
        <v>55</v>
      </c>
    </row>
    <row r="228" spans="1:15" s="1296" customFormat="1">
      <c r="A228" s="1318">
        <v>5523</v>
      </c>
      <c r="B228" s="1319" t="s">
        <v>1698</v>
      </c>
      <c r="C228" s="1320">
        <v>0</v>
      </c>
      <c r="D228" s="1321">
        <v>0</v>
      </c>
      <c r="E228" s="1322">
        <f>IF(+SUMIF(SYS_cliente!$F$5:$F$2500,A228,SYS_cliente!$I$5:$I$2500)+SUMIF(SYS_cliente!$K$5:$K$2500,A228,SYS_cliente!$N$5:$N$2500)+SUMIF(SYS_cliente!$P$5:$P$2500,A228,SYS_cliente!$S$5:$S$2500)&lt;0,0,+SUMIF(SYS_cliente!$F$5:$F$2500,A228,SYS_cliente!$I$5:$I$2500)+SUMIF(SYS_cliente!$K$5:$K$2500,A228,SYS_cliente!$N$5:$N$2500)+SUMIF(SYS_cliente!$P$5:$P$2500,A228,SYS_cliente!$S$5:$S$2500))</f>
        <v>0</v>
      </c>
      <c r="F228" s="1323">
        <f ca="1">IF(+SUMIF(SYS_cliente!$F$5:$F$2500,A228,SYS_cliente!$I$5:$I$1678)+SUMIF(SYS_cliente!$K$5:$K$2500,A228,SYS_cliente!$N$5:$N$1678)+SUMIF(SYS_cliente!$P$5:$P$2500,A228,SYS_cliente!$S$5:$S$1678)&gt;=0,0,-(SUMIF(SYS_cliente!$F$5:$F$2500,A228,SYS_cliente!$I$5:$I$1678)+SUMIF(SYS_cliente!$K$5:$K$2500,A228,SYS_cliente!$N$5:$N$1678)+SUMIF(SYS_cliente!$P$5:$P$2500,A228,SYS_cliente!$S$5:$S$1678)))</f>
        <v>0</v>
      </c>
      <c r="G228" s="1322">
        <f>+SUMIF(asientos!$C$13:$C$1276,SYS_4_3_Digitos!A228,asientos!$B$13:$B$1276)</f>
        <v>0</v>
      </c>
      <c r="H228" s="1323">
        <f>+SUMIF(asientos!$I$13:$I$1276,SYS_4_3_Digitos!A228,asientos!$J$13:$J$1276)</f>
        <v>0</v>
      </c>
      <c r="I228" s="1322">
        <f t="shared" ca="1" si="28"/>
        <v>0</v>
      </c>
      <c r="J228" s="1323">
        <f t="shared" ca="1" si="29"/>
        <v>0</v>
      </c>
      <c r="K228" s="1324"/>
      <c r="L228" s="1325">
        <f t="shared" si="30"/>
        <v>5523000000</v>
      </c>
      <c r="M228" s="1324" t="str">
        <f t="shared" si="31"/>
        <v>5523</v>
      </c>
      <c r="N228" s="1326">
        <f t="shared" ca="1" si="32"/>
        <v>0</v>
      </c>
      <c r="O228" s="1296" t="str">
        <f t="shared" si="33"/>
        <v>55</v>
      </c>
    </row>
    <row r="229" spans="1:15" s="1296" customFormat="1">
      <c r="A229" s="1318">
        <v>5524</v>
      </c>
      <c r="B229" s="1319" t="s">
        <v>1699</v>
      </c>
      <c r="C229" s="1320">
        <v>0</v>
      </c>
      <c r="D229" s="1321">
        <v>0</v>
      </c>
      <c r="E229" s="1322">
        <f>IF(+SUMIF(SYS_cliente!$F$5:$F$2500,A229,SYS_cliente!$I$5:$I$2500)+SUMIF(SYS_cliente!$K$5:$K$2500,A229,SYS_cliente!$N$5:$N$2500)+SUMIF(SYS_cliente!$P$5:$P$2500,A229,SYS_cliente!$S$5:$S$2500)&lt;0,0,+SUMIF(SYS_cliente!$F$5:$F$2500,A229,SYS_cliente!$I$5:$I$2500)+SUMIF(SYS_cliente!$K$5:$K$2500,A229,SYS_cliente!$N$5:$N$2500)+SUMIF(SYS_cliente!$P$5:$P$2500,A229,SYS_cliente!$S$5:$S$2500))</f>
        <v>0</v>
      </c>
      <c r="F229" s="1323">
        <f ca="1">IF(+SUMIF(SYS_cliente!$F$5:$F$2500,A229,SYS_cliente!$I$5:$I$1678)+SUMIF(SYS_cliente!$K$5:$K$2500,A229,SYS_cliente!$N$5:$N$1678)+SUMIF(SYS_cliente!$P$5:$P$2500,A229,SYS_cliente!$S$5:$S$1678)&gt;=0,0,-(SUMIF(SYS_cliente!$F$5:$F$2500,A229,SYS_cliente!$I$5:$I$1678)+SUMIF(SYS_cliente!$K$5:$K$2500,A229,SYS_cliente!$N$5:$N$1678)+SUMIF(SYS_cliente!$P$5:$P$2500,A229,SYS_cliente!$S$5:$S$1678)))</f>
        <v>0</v>
      </c>
      <c r="G229" s="1322">
        <f>+SUMIF(asientos!$C$13:$C$1276,SYS_4_3_Digitos!A229,asientos!$B$13:$B$1276)</f>
        <v>0</v>
      </c>
      <c r="H229" s="1323">
        <f>+SUMIF(asientos!$I$13:$I$1276,SYS_4_3_Digitos!A229,asientos!$J$13:$J$1276)</f>
        <v>0</v>
      </c>
      <c r="I229" s="1322">
        <f t="shared" ca="1" si="28"/>
        <v>0</v>
      </c>
      <c r="J229" s="1323">
        <f t="shared" ca="1" si="29"/>
        <v>0</v>
      </c>
      <c r="K229" s="1324"/>
      <c r="L229" s="1325">
        <f t="shared" si="30"/>
        <v>5524000000</v>
      </c>
      <c r="M229" s="1324" t="str">
        <f t="shared" si="31"/>
        <v>5524</v>
      </c>
      <c r="N229" s="1326">
        <f t="shared" ca="1" si="32"/>
        <v>0</v>
      </c>
      <c r="O229" s="1296" t="str">
        <f t="shared" si="33"/>
        <v>55</v>
      </c>
    </row>
    <row r="230" spans="1:15" s="1296" customFormat="1">
      <c r="A230" s="1318">
        <v>5525</v>
      </c>
      <c r="B230" s="1319" t="s">
        <v>1700</v>
      </c>
      <c r="C230" s="1320">
        <v>0</v>
      </c>
      <c r="D230" s="1321">
        <v>0</v>
      </c>
      <c r="E230" s="1322">
        <f>IF(+SUMIF(SYS_cliente!$F$5:$F$2500,A230,SYS_cliente!$I$5:$I$2500)+SUMIF(SYS_cliente!$K$5:$K$2500,A230,SYS_cliente!$N$5:$N$2500)+SUMIF(SYS_cliente!$P$5:$P$2500,A230,SYS_cliente!$S$5:$S$2500)&lt;0,0,+SUMIF(SYS_cliente!$F$5:$F$2500,A230,SYS_cliente!$I$5:$I$2500)+SUMIF(SYS_cliente!$K$5:$K$2500,A230,SYS_cliente!$N$5:$N$2500)+SUMIF(SYS_cliente!$P$5:$P$2500,A230,SYS_cliente!$S$5:$S$2500))</f>
        <v>0</v>
      </c>
      <c r="F230" s="1323">
        <f ca="1">IF(+SUMIF(SYS_cliente!$F$5:$F$2500,A230,SYS_cliente!$I$5:$I$1678)+SUMIF(SYS_cliente!$K$5:$K$2500,A230,SYS_cliente!$N$5:$N$1678)+SUMIF(SYS_cliente!$P$5:$P$2500,A230,SYS_cliente!$S$5:$S$1678)&gt;=0,0,-(SUMIF(SYS_cliente!$F$5:$F$2500,A230,SYS_cliente!$I$5:$I$1678)+SUMIF(SYS_cliente!$K$5:$K$2500,A230,SYS_cliente!$N$5:$N$1678)+SUMIF(SYS_cliente!$P$5:$P$2500,A230,SYS_cliente!$S$5:$S$1678)))</f>
        <v>0</v>
      </c>
      <c r="G230" s="1322">
        <f>+SUMIF(asientos!$C$13:$C$1276,SYS_4_3_Digitos!A230,asientos!$B$13:$B$1276)</f>
        <v>0</v>
      </c>
      <c r="H230" s="1323">
        <f>+SUMIF(asientos!$I$13:$I$1276,SYS_4_3_Digitos!A230,asientos!$J$13:$J$1276)</f>
        <v>0</v>
      </c>
      <c r="I230" s="1322">
        <f t="shared" ca="1" si="28"/>
        <v>0</v>
      </c>
      <c r="J230" s="1323">
        <f t="shared" ca="1" si="29"/>
        <v>0</v>
      </c>
      <c r="K230" s="1324"/>
      <c r="L230" s="1325">
        <f t="shared" si="30"/>
        <v>5525000000</v>
      </c>
      <c r="M230" s="1324" t="str">
        <f t="shared" si="31"/>
        <v>5525</v>
      </c>
      <c r="N230" s="1326">
        <f t="shared" ca="1" si="32"/>
        <v>0</v>
      </c>
      <c r="O230" s="1296" t="str">
        <f t="shared" si="33"/>
        <v>55</v>
      </c>
    </row>
    <row r="231" spans="1:15" s="1296" customFormat="1">
      <c r="A231" s="1310">
        <v>553</v>
      </c>
      <c r="B231" s="1311" t="s">
        <v>478</v>
      </c>
      <c r="C231" s="1312">
        <v>0</v>
      </c>
      <c r="D231" s="1313">
        <v>0</v>
      </c>
      <c r="E231" s="1314">
        <f>IF(+SUMIF(SYS_cliente!$F$5:$F$2500,A231,SYS_cliente!$I$5:$I$2500)+SUMIF(SYS_cliente!$K$5:$K$2500,A231,SYS_cliente!$N$5:$N$2500)+SUMIF(SYS_cliente!$P$5:$P$2500,A231,SYS_cliente!$S$5:$S$2500)&lt;0,0,+SUMIF(SYS_cliente!$F$5:$F$2500,A231,SYS_cliente!$I$5:$I$2500)+SUMIF(SYS_cliente!$K$5:$K$2500,A231,SYS_cliente!$N$5:$N$2500)+SUMIF(SYS_cliente!$P$5:$P$2500,A231,SYS_cliente!$S$5:$S$2500))</f>
        <v>0</v>
      </c>
      <c r="F231" s="1315">
        <f ca="1">IF(+SUMIF(SYS_cliente!$F$5:$F$2500,A231,SYS_cliente!$I$5:$I$1678)+SUMIF(SYS_cliente!$K$5:$K$2500,A231,SYS_cliente!$N$5:$N$1678)+SUMIF(SYS_cliente!$P$5:$P$2500,A231,SYS_cliente!$S$5:$S$1678)&gt;=0,0,-(SUMIF(SYS_cliente!$F$5:$F$2500,A231,SYS_cliente!$I$5:$I$1678)+SUMIF(SYS_cliente!$K$5:$K$2500,A231,SYS_cliente!$N$5:$N$1678)+SUMIF(SYS_cliente!$P$5:$P$2500,A231,SYS_cliente!$S$5:$S$1678)))</f>
        <v>0</v>
      </c>
      <c r="G231" s="1316">
        <f>+SUMIF(asientos!$C$13:$C$1276,SYS_4_3_Digitos!A231,asientos!$B$13:$B$1276)</f>
        <v>0</v>
      </c>
      <c r="H231" s="1317">
        <f>+SUMIF(asientos!$I$13:$I$1276,SYS_4_3_Digitos!A231,asientos!$J$13:$J$1276)</f>
        <v>0</v>
      </c>
      <c r="I231" s="1314">
        <f t="shared" ca="1" si="28"/>
        <v>0</v>
      </c>
      <c r="J231" s="1315">
        <f t="shared" ca="1" si="29"/>
        <v>0</v>
      </c>
      <c r="L231" s="1308">
        <f t="shared" si="30"/>
        <v>553000000</v>
      </c>
      <c r="M231" s="1296" t="str">
        <f t="shared" si="31"/>
        <v>5530</v>
      </c>
      <c r="N231" s="1309">
        <f t="shared" ca="1" si="32"/>
        <v>0</v>
      </c>
      <c r="O231" s="1296" t="str">
        <f t="shared" si="33"/>
        <v>55</v>
      </c>
    </row>
    <row r="232" spans="1:15" s="1296" customFormat="1">
      <c r="A232" s="1310">
        <v>554</v>
      </c>
      <c r="B232" s="1311" t="s">
        <v>479</v>
      </c>
      <c r="C232" s="1312">
        <v>0</v>
      </c>
      <c r="D232" s="1313">
        <v>0</v>
      </c>
      <c r="E232" s="1314">
        <f>IF(+SUMIF(SYS_cliente!$F$5:$F$2500,A232,SYS_cliente!$I$5:$I$2500)+SUMIF(SYS_cliente!$K$5:$K$2500,A232,SYS_cliente!$N$5:$N$2500)+SUMIF(SYS_cliente!$P$5:$P$2500,A232,SYS_cliente!$S$5:$S$2500)&lt;0,0,+SUMIF(SYS_cliente!$F$5:$F$2500,A232,SYS_cliente!$I$5:$I$2500)+SUMIF(SYS_cliente!$K$5:$K$2500,A232,SYS_cliente!$N$5:$N$2500)+SUMIF(SYS_cliente!$P$5:$P$2500,A232,SYS_cliente!$S$5:$S$2500))</f>
        <v>0</v>
      </c>
      <c r="F232" s="1315">
        <f ca="1">IF(+SUMIF(SYS_cliente!$F$5:$F$2500,A232,SYS_cliente!$I$5:$I$1678)+SUMIF(SYS_cliente!$K$5:$K$2500,A232,SYS_cliente!$N$5:$N$1678)+SUMIF(SYS_cliente!$P$5:$P$2500,A232,SYS_cliente!$S$5:$S$1678)&gt;=0,0,-(SUMIF(SYS_cliente!$F$5:$F$2500,A232,SYS_cliente!$I$5:$I$1678)+SUMIF(SYS_cliente!$K$5:$K$2500,A232,SYS_cliente!$N$5:$N$1678)+SUMIF(SYS_cliente!$P$5:$P$2500,A232,SYS_cliente!$S$5:$S$1678)))</f>
        <v>0</v>
      </c>
      <c r="G232" s="1316">
        <f>+SUMIF(asientos!$C$13:$C$1276,SYS_4_3_Digitos!A232,asientos!$B$13:$B$1276)</f>
        <v>0</v>
      </c>
      <c r="H232" s="1317">
        <f>+SUMIF(asientos!$I$13:$I$1276,SYS_4_3_Digitos!A232,asientos!$J$13:$J$1276)</f>
        <v>0</v>
      </c>
      <c r="I232" s="1314">
        <f t="shared" ca="1" si="28"/>
        <v>0</v>
      </c>
      <c r="J232" s="1315">
        <f t="shared" ca="1" si="29"/>
        <v>0</v>
      </c>
      <c r="L232" s="1308">
        <f t="shared" si="30"/>
        <v>554000000</v>
      </c>
      <c r="M232" s="1296" t="str">
        <f t="shared" si="31"/>
        <v>5540</v>
      </c>
      <c r="N232" s="1309">
        <f t="shared" ca="1" si="32"/>
        <v>0</v>
      </c>
      <c r="O232" s="1296" t="str">
        <f t="shared" si="33"/>
        <v>55</v>
      </c>
    </row>
    <row r="233" spans="1:15" s="1296" customFormat="1">
      <c r="A233" s="1310">
        <v>555</v>
      </c>
      <c r="B233" s="1311" t="s">
        <v>480</v>
      </c>
      <c r="C233" s="1312">
        <v>0</v>
      </c>
      <c r="D233" s="1313">
        <v>0</v>
      </c>
      <c r="E233" s="1314">
        <f>IF(+SUMIF(SYS_cliente!$F$5:$F$2500,A233,SYS_cliente!$I$5:$I$2500)+SUMIF(SYS_cliente!$K$5:$K$2500,A233,SYS_cliente!$N$5:$N$2500)+SUMIF(SYS_cliente!$P$5:$P$2500,A233,SYS_cliente!$S$5:$S$2500)&lt;0,0,+SUMIF(SYS_cliente!$F$5:$F$2500,A233,SYS_cliente!$I$5:$I$2500)+SUMIF(SYS_cliente!$K$5:$K$2500,A233,SYS_cliente!$N$5:$N$2500)+SUMIF(SYS_cliente!$P$5:$P$2500,A233,SYS_cliente!$S$5:$S$2500))</f>
        <v>0</v>
      </c>
      <c r="F233" s="1315">
        <f ca="1">IF(+SUMIF(SYS_cliente!$F$5:$F$2500,A233,SYS_cliente!$I$5:$I$1678)+SUMIF(SYS_cliente!$K$5:$K$2500,A233,SYS_cliente!$N$5:$N$1678)+SUMIF(SYS_cliente!$P$5:$P$2500,A233,SYS_cliente!$S$5:$S$1678)&gt;=0,0,-(SUMIF(SYS_cliente!$F$5:$F$2500,A233,SYS_cliente!$I$5:$I$1678)+SUMIF(SYS_cliente!$K$5:$K$2500,A233,SYS_cliente!$N$5:$N$1678)+SUMIF(SYS_cliente!$P$5:$P$2500,A233,SYS_cliente!$S$5:$S$1678)))</f>
        <v>0</v>
      </c>
      <c r="G233" s="1316">
        <f>+SUMIF(asientos!$C$13:$C$1276,SYS_4_3_Digitos!A233,asientos!$B$13:$B$1276)</f>
        <v>0</v>
      </c>
      <c r="H233" s="1317">
        <f>+SUMIF(asientos!$I$13:$I$1276,SYS_4_3_Digitos!A233,asientos!$J$13:$J$1276)</f>
        <v>0</v>
      </c>
      <c r="I233" s="1314">
        <f t="shared" ca="1" si="28"/>
        <v>0</v>
      </c>
      <c r="J233" s="1315">
        <f t="shared" ca="1" si="29"/>
        <v>0</v>
      </c>
      <c r="L233" s="1308">
        <f t="shared" si="30"/>
        <v>555000000</v>
      </c>
      <c r="M233" s="1296" t="str">
        <f t="shared" si="31"/>
        <v>5550</v>
      </c>
      <c r="N233" s="1309">
        <f t="shared" ca="1" si="32"/>
        <v>0</v>
      </c>
      <c r="O233" s="1296" t="str">
        <f t="shared" si="33"/>
        <v>55</v>
      </c>
    </row>
    <row r="234" spans="1:15" s="1296" customFormat="1">
      <c r="A234" s="1310">
        <v>556</v>
      </c>
      <c r="B234" s="1311" t="s">
        <v>481</v>
      </c>
      <c r="C234" s="1312">
        <v>0</v>
      </c>
      <c r="D234" s="1313">
        <v>0</v>
      </c>
      <c r="E234" s="1314">
        <f>IF(+SUMIF(SYS_cliente!$F$5:$F$2500,A234,SYS_cliente!$I$5:$I$2500)+SUMIF(SYS_cliente!$K$5:$K$2500,A234,SYS_cliente!$N$5:$N$2500)+SUMIF(SYS_cliente!$P$5:$P$2500,A234,SYS_cliente!$S$5:$S$2500)&lt;0,0,+SUMIF(SYS_cliente!$F$5:$F$2500,A234,SYS_cliente!$I$5:$I$2500)+SUMIF(SYS_cliente!$K$5:$K$2500,A234,SYS_cliente!$N$5:$N$2500)+SUMIF(SYS_cliente!$P$5:$P$2500,A234,SYS_cliente!$S$5:$S$2500))</f>
        <v>0</v>
      </c>
      <c r="F234" s="1315">
        <f ca="1">IF(+SUMIF(SYS_cliente!$F$5:$F$2500,A234,SYS_cliente!$I$5:$I$1678)+SUMIF(SYS_cliente!$K$5:$K$2500,A234,SYS_cliente!$N$5:$N$1678)+SUMIF(SYS_cliente!$P$5:$P$2500,A234,SYS_cliente!$S$5:$S$1678)&gt;=0,0,-(SUMIF(SYS_cliente!$F$5:$F$2500,A234,SYS_cliente!$I$5:$I$1678)+SUMIF(SYS_cliente!$K$5:$K$2500,A234,SYS_cliente!$N$5:$N$1678)+SUMIF(SYS_cliente!$P$5:$P$2500,A234,SYS_cliente!$S$5:$S$1678)))</f>
        <v>0</v>
      </c>
      <c r="G234" s="1316">
        <f>+SUMIF(asientos!$C$13:$C$1276,SYS_4_3_Digitos!A234,asientos!$B$13:$B$1276)</f>
        <v>0</v>
      </c>
      <c r="H234" s="1317">
        <f>+SUMIF(asientos!$I$13:$I$1276,SYS_4_3_Digitos!A234,asientos!$J$13:$J$1276)</f>
        <v>0</v>
      </c>
      <c r="I234" s="1314">
        <f t="shared" ca="1" si="28"/>
        <v>0</v>
      </c>
      <c r="J234" s="1315">
        <f t="shared" ca="1" si="29"/>
        <v>0</v>
      </c>
      <c r="L234" s="1308">
        <f t="shared" si="30"/>
        <v>556000000</v>
      </c>
      <c r="M234" s="1296" t="str">
        <f t="shared" si="31"/>
        <v>5560</v>
      </c>
      <c r="N234" s="1309">
        <f t="shared" ca="1" si="32"/>
        <v>0</v>
      </c>
      <c r="O234" s="1296" t="str">
        <f t="shared" si="33"/>
        <v>55</v>
      </c>
    </row>
    <row r="235" spans="1:15" s="1296" customFormat="1">
      <c r="A235" s="1310">
        <v>557</v>
      </c>
      <c r="B235" s="1311" t="s">
        <v>482</v>
      </c>
      <c r="C235" s="1312">
        <v>0</v>
      </c>
      <c r="D235" s="1313">
        <v>0</v>
      </c>
      <c r="E235" s="1314">
        <f>IF(+SUMIF(SYS_cliente!$F$5:$F$2500,A235,SYS_cliente!$I$5:$I$2500)+SUMIF(SYS_cliente!$K$5:$K$2500,A235,SYS_cliente!$N$5:$N$2500)+SUMIF(SYS_cliente!$P$5:$P$2500,A235,SYS_cliente!$S$5:$S$2500)&lt;0,0,+SUMIF(SYS_cliente!$F$5:$F$2500,A235,SYS_cliente!$I$5:$I$2500)+SUMIF(SYS_cliente!$K$5:$K$2500,A235,SYS_cliente!$N$5:$N$2500)+SUMIF(SYS_cliente!$P$5:$P$2500,A235,SYS_cliente!$S$5:$S$2500))</f>
        <v>0</v>
      </c>
      <c r="F235" s="1315">
        <f ca="1">IF(+SUMIF(SYS_cliente!$F$5:$F$2500,A235,SYS_cliente!$I$5:$I$1678)+SUMIF(SYS_cliente!$K$5:$K$2500,A235,SYS_cliente!$N$5:$N$1678)+SUMIF(SYS_cliente!$P$5:$P$2500,A235,SYS_cliente!$S$5:$S$1678)&gt;=0,0,-(SUMIF(SYS_cliente!$F$5:$F$2500,A235,SYS_cliente!$I$5:$I$1678)+SUMIF(SYS_cliente!$K$5:$K$2500,A235,SYS_cliente!$N$5:$N$1678)+SUMIF(SYS_cliente!$P$5:$P$2500,A235,SYS_cliente!$S$5:$S$1678)))</f>
        <v>0</v>
      </c>
      <c r="G235" s="1316">
        <f>+SUMIF(asientos!$C$13:$C$1276,SYS_4_3_Digitos!A235,asientos!$B$13:$B$1276)</f>
        <v>0</v>
      </c>
      <c r="H235" s="1317">
        <f>+SUMIF(asientos!$I$13:$I$1276,SYS_4_3_Digitos!A235,asientos!$J$13:$J$1276)</f>
        <v>0</v>
      </c>
      <c r="I235" s="1314">
        <f t="shared" ca="1" si="28"/>
        <v>0</v>
      </c>
      <c r="J235" s="1315">
        <f t="shared" ca="1" si="29"/>
        <v>0</v>
      </c>
      <c r="L235" s="1308">
        <f t="shared" si="30"/>
        <v>557000000</v>
      </c>
      <c r="M235" s="1296" t="str">
        <f t="shared" si="31"/>
        <v>5570</v>
      </c>
      <c r="N235" s="1309">
        <f t="shared" ca="1" si="32"/>
        <v>0</v>
      </c>
      <c r="O235" s="1296" t="str">
        <f t="shared" si="33"/>
        <v>55</v>
      </c>
    </row>
    <row r="236" spans="1:15" s="1296" customFormat="1">
      <c r="A236" s="1310">
        <v>558</v>
      </c>
      <c r="B236" s="1311" t="s">
        <v>483</v>
      </c>
      <c r="C236" s="1312">
        <v>0</v>
      </c>
      <c r="D236" s="1313">
        <v>0</v>
      </c>
      <c r="E236" s="1314">
        <f>IF(+SUMIF(SYS_cliente!$F$5:$F$2500,A236,SYS_cliente!$I$5:$I$2500)+SUMIF(SYS_cliente!$K$5:$K$2500,A236,SYS_cliente!$N$5:$N$2500)+SUMIF(SYS_cliente!$P$5:$P$2500,A236,SYS_cliente!$S$5:$S$2500)&lt;0,0,+SUMIF(SYS_cliente!$F$5:$F$2500,A236,SYS_cliente!$I$5:$I$2500)+SUMIF(SYS_cliente!$K$5:$K$2500,A236,SYS_cliente!$N$5:$N$2500)+SUMIF(SYS_cliente!$P$5:$P$2500,A236,SYS_cliente!$S$5:$S$2500))</f>
        <v>0</v>
      </c>
      <c r="F236" s="1315">
        <f ca="1">IF(+SUMIF(SYS_cliente!$F$5:$F$2500,A236,SYS_cliente!$I$5:$I$1678)+SUMIF(SYS_cliente!$K$5:$K$2500,A236,SYS_cliente!$N$5:$N$1678)+SUMIF(SYS_cliente!$P$5:$P$2500,A236,SYS_cliente!$S$5:$S$1678)&gt;=0,0,-(SUMIF(SYS_cliente!$F$5:$F$2500,A236,SYS_cliente!$I$5:$I$1678)+SUMIF(SYS_cliente!$K$5:$K$2500,A236,SYS_cliente!$N$5:$N$1678)+SUMIF(SYS_cliente!$P$5:$P$2500,A236,SYS_cliente!$S$5:$S$1678)))</f>
        <v>0</v>
      </c>
      <c r="G236" s="1316">
        <f>+SUMIF(asientos!$C$13:$C$1276,SYS_4_3_Digitos!A236,asientos!$B$13:$B$1276)</f>
        <v>0</v>
      </c>
      <c r="H236" s="1317">
        <f>+SUMIF(asientos!$I$13:$I$1276,SYS_4_3_Digitos!A236,asientos!$J$13:$J$1276)</f>
        <v>0</v>
      </c>
      <c r="I236" s="1314">
        <f t="shared" ca="1" si="28"/>
        <v>0</v>
      </c>
      <c r="J236" s="1315">
        <f t="shared" ca="1" si="29"/>
        <v>0</v>
      </c>
      <c r="L236" s="1308">
        <f t="shared" si="30"/>
        <v>558000000</v>
      </c>
      <c r="M236" s="1296" t="str">
        <f t="shared" si="31"/>
        <v>5580</v>
      </c>
      <c r="N236" s="1309">
        <f t="shared" ca="1" si="32"/>
        <v>0</v>
      </c>
      <c r="O236" s="1296" t="str">
        <f t="shared" si="33"/>
        <v>55</v>
      </c>
    </row>
    <row r="237" spans="1:15" s="1296" customFormat="1">
      <c r="A237" s="1310">
        <v>559</v>
      </c>
      <c r="B237" s="1311" t="s">
        <v>484</v>
      </c>
      <c r="C237" s="1312">
        <v>0</v>
      </c>
      <c r="D237" s="1313">
        <v>0</v>
      </c>
      <c r="E237" s="1314">
        <f>IF(+SUMIF(SYS_cliente!$F$5:$F$2500,A237,SYS_cliente!$I$5:$I$2500)+SUMIF(SYS_cliente!$K$5:$K$2500,A237,SYS_cliente!$N$5:$N$2500)+SUMIF(SYS_cliente!$P$5:$P$2500,A237,SYS_cliente!$S$5:$S$2500)&lt;0,0,+SUMIF(SYS_cliente!$F$5:$F$2500,A237,SYS_cliente!$I$5:$I$2500)+SUMIF(SYS_cliente!$K$5:$K$2500,A237,SYS_cliente!$N$5:$N$2500)+SUMIF(SYS_cliente!$P$5:$P$2500,A237,SYS_cliente!$S$5:$S$2500))</f>
        <v>0</v>
      </c>
      <c r="F237" s="1315">
        <f ca="1">IF(+SUMIF(SYS_cliente!$F$5:$F$2500,A237,SYS_cliente!$I$5:$I$1678)+SUMIF(SYS_cliente!$K$5:$K$2500,A237,SYS_cliente!$N$5:$N$1678)+SUMIF(SYS_cliente!$P$5:$P$2500,A237,SYS_cliente!$S$5:$S$1678)&gt;=0,0,-(SUMIF(SYS_cliente!$F$5:$F$2500,A237,SYS_cliente!$I$5:$I$1678)+SUMIF(SYS_cliente!$K$5:$K$2500,A237,SYS_cliente!$N$5:$N$1678)+SUMIF(SYS_cliente!$P$5:$P$2500,A237,SYS_cliente!$S$5:$S$1678)))</f>
        <v>0</v>
      </c>
      <c r="G237" s="1316">
        <f>+SUMIF(asientos!$C$13:$C$1276,SYS_4_3_Digitos!A237,asientos!$B$13:$B$1276)</f>
        <v>0</v>
      </c>
      <c r="H237" s="1317">
        <f>+SUMIF(asientos!$I$13:$I$1276,SYS_4_3_Digitos!A237,asientos!$J$13:$J$1276)</f>
        <v>0</v>
      </c>
      <c r="I237" s="1314">
        <f t="shared" ca="1" si="28"/>
        <v>0</v>
      </c>
      <c r="J237" s="1315">
        <f t="shared" ca="1" si="29"/>
        <v>0</v>
      </c>
      <c r="L237" s="1308">
        <f t="shared" si="30"/>
        <v>559000000</v>
      </c>
      <c r="M237" s="1296" t="str">
        <f t="shared" si="31"/>
        <v>5590</v>
      </c>
      <c r="N237" s="1309">
        <f t="shared" ca="1" si="32"/>
        <v>0</v>
      </c>
      <c r="O237" s="1296" t="str">
        <f t="shared" si="33"/>
        <v>55</v>
      </c>
    </row>
    <row r="238" spans="1:15" s="1296" customFormat="1">
      <c r="A238" s="1310">
        <v>560</v>
      </c>
      <c r="B238" s="1311" t="s">
        <v>485</v>
      </c>
      <c r="C238" s="1312">
        <v>0</v>
      </c>
      <c r="D238" s="1313">
        <v>0</v>
      </c>
      <c r="E238" s="1314">
        <f>IF(+SUMIF(SYS_cliente!$F$5:$F$2500,A238,SYS_cliente!$I$5:$I$2500)+SUMIF(SYS_cliente!$K$5:$K$2500,A238,SYS_cliente!$N$5:$N$2500)+SUMIF(SYS_cliente!$P$5:$P$2500,A238,SYS_cliente!$S$5:$S$2500)&lt;0,0,+SUMIF(SYS_cliente!$F$5:$F$2500,A238,SYS_cliente!$I$5:$I$2500)+SUMIF(SYS_cliente!$K$5:$K$2500,A238,SYS_cliente!$N$5:$N$2500)+SUMIF(SYS_cliente!$P$5:$P$2500,A238,SYS_cliente!$S$5:$S$2500))</f>
        <v>0</v>
      </c>
      <c r="F238" s="1315">
        <f ca="1">IF(+SUMIF(SYS_cliente!$F$5:$F$2500,A238,SYS_cliente!$I$5:$I$1678)+SUMIF(SYS_cliente!$K$5:$K$2500,A238,SYS_cliente!$N$5:$N$1678)+SUMIF(SYS_cliente!$P$5:$P$2500,A238,SYS_cliente!$S$5:$S$1678)&gt;=0,0,-(SUMIF(SYS_cliente!$F$5:$F$2500,A238,SYS_cliente!$I$5:$I$1678)+SUMIF(SYS_cliente!$K$5:$K$2500,A238,SYS_cliente!$N$5:$N$1678)+SUMIF(SYS_cliente!$P$5:$P$2500,A238,SYS_cliente!$S$5:$S$1678)))</f>
        <v>0</v>
      </c>
      <c r="G238" s="1316">
        <f>+SUMIF(asientos!$C$13:$C$1276,SYS_4_3_Digitos!A238,asientos!$B$13:$B$1276)</f>
        <v>0</v>
      </c>
      <c r="H238" s="1317">
        <f>+SUMIF(asientos!$I$13:$I$1276,SYS_4_3_Digitos!A238,asientos!$J$13:$J$1276)</f>
        <v>0</v>
      </c>
      <c r="I238" s="1314">
        <f t="shared" ca="1" si="28"/>
        <v>0</v>
      </c>
      <c r="J238" s="1315">
        <f t="shared" ca="1" si="29"/>
        <v>0</v>
      </c>
      <c r="L238" s="1308">
        <f t="shared" si="30"/>
        <v>560000000</v>
      </c>
      <c r="M238" s="1296" t="str">
        <f t="shared" si="31"/>
        <v>5600</v>
      </c>
      <c r="N238" s="1309">
        <f t="shared" ca="1" si="32"/>
        <v>0</v>
      </c>
      <c r="O238" s="1296" t="str">
        <f t="shared" si="33"/>
        <v>56</v>
      </c>
    </row>
    <row r="239" spans="1:15" s="1296" customFormat="1">
      <c r="A239" s="1310">
        <v>561</v>
      </c>
      <c r="B239" s="1311" t="s">
        <v>486</v>
      </c>
      <c r="C239" s="1312">
        <v>0</v>
      </c>
      <c r="D239" s="1313">
        <v>0</v>
      </c>
      <c r="E239" s="1314">
        <f>IF(+SUMIF(SYS_cliente!$F$5:$F$2500,A239,SYS_cliente!$I$5:$I$2500)+SUMIF(SYS_cliente!$K$5:$K$2500,A239,SYS_cliente!$N$5:$N$2500)+SUMIF(SYS_cliente!$P$5:$P$2500,A239,SYS_cliente!$S$5:$S$2500)&lt;0,0,+SUMIF(SYS_cliente!$F$5:$F$2500,A239,SYS_cliente!$I$5:$I$2500)+SUMIF(SYS_cliente!$K$5:$K$2500,A239,SYS_cliente!$N$5:$N$2500)+SUMIF(SYS_cliente!$P$5:$P$2500,A239,SYS_cliente!$S$5:$S$2500))</f>
        <v>0</v>
      </c>
      <c r="F239" s="1315">
        <f ca="1">IF(+SUMIF(SYS_cliente!$F$5:$F$2500,A239,SYS_cliente!$I$5:$I$1678)+SUMIF(SYS_cliente!$K$5:$K$2500,A239,SYS_cliente!$N$5:$N$1678)+SUMIF(SYS_cliente!$P$5:$P$2500,A239,SYS_cliente!$S$5:$S$1678)&gt;=0,0,-(SUMIF(SYS_cliente!$F$5:$F$2500,A239,SYS_cliente!$I$5:$I$1678)+SUMIF(SYS_cliente!$K$5:$K$2500,A239,SYS_cliente!$N$5:$N$1678)+SUMIF(SYS_cliente!$P$5:$P$2500,A239,SYS_cliente!$S$5:$S$1678)))</f>
        <v>0</v>
      </c>
      <c r="G239" s="1316">
        <f>+SUMIF(asientos!$C$13:$C$1276,SYS_4_3_Digitos!A239,asientos!$B$13:$B$1276)</f>
        <v>0</v>
      </c>
      <c r="H239" s="1317">
        <f>+SUMIF(asientos!$I$13:$I$1276,SYS_4_3_Digitos!A239,asientos!$J$13:$J$1276)</f>
        <v>0</v>
      </c>
      <c r="I239" s="1314">
        <f t="shared" ca="1" si="28"/>
        <v>0</v>
      </c>
      <c r="J239" s="1315">
        <f t="shared" ca="1" si="29"/>
        <v>0</v>
      </c>
      <c r="L239" s="1308">
        <f t="shared" si="30"/>
        <v>561000000</v>
      </c>
      <c r="M239" s="1296" t="str">
        <f t="shared" si="31"/>
        <v>5610</v>
      </c>
      <c r="N239" s="1309">
        <f t="shared" ca="1" si="32"/>
        <v>0</v>
      </c>
      <c r="O239" s="1296" t="str">
        <f t="shared" si="33"/>
        <v>56</v>
      </c>
    </row>
    <row r="240" spans="1:15" s="1296" customFormat="1">
      <c r="A240" s="1310">
        <v>565</v>
      </c>
      <c r="B240" s="1311" t="s">
        <v>487</v>
      </c>
      <c r="C240" s="1312">
        <v>2832.24</v>
      </c>
      <c r="D240" s="1313">
        <v>0</v>
      </c>
      <c r="E240" s="1314">
        <f>IF(+SUMIF(SYS_cliente!$F$5:$F$2500,A240,SYS_cliente!$I$5:$I$2500)+SUMIF(SYS_cliente!$K$5:$K$2500,A240,SYS_cliente!$N$5:$N$2500)+SUMIF(SYS_cliente!$P$5:$P$2500,A240,SYS_cliente!$S$5:$S$2500)&lt;0,0,+SUMIF(SYS_cliente!$F$5:$F$2500,A240,SYS_cliente!$I$5:$I$2500)+SUMIF(SYS_cliente!$K$5:$K$2500,A240,SYS_cliente!$N$5:$N$2500)+SUMIF(SYS_cliente!$P$5:$P$2500,A240,SYS_cliente!$S$5:$S$2500))</f>
        <v>0</v>
      </c>
      <c r="F240" s="1315">
        <f ca="1">IF(+SUMIF(SYS_cliente!$F$5:$F$2500,A240,SYS_cliente!$I$5:$I$1678)+SUMIF(SYS_cliente!$K$5:$K$2500,A240,SYS_cliente!$N$5:$N$1678)+SUMIF(SYS_cliente!$P$5:$P$2500,A240,SYS_cliente!$S$5:$S$1678)&gt;=0,0,-(SUMIF(SYS_cliente!$F$5:$F$2500,A240,SYS_cliente!$I$5:$I$1678)+SUMIF(SYS_cliente!$K$5:$K$2500,A240,SYS_cliente!$N$5:$N$1678)+SUMIF(SYS_cliente!$P$5:$P$2500,A240,SYS_cliente!$S$5:$S$1678)))</f>
        <v>0</v>
      </c>
      <c r="G240" s="1316">
        <f>+SUMIF(asientos!$C$13:$C$1276,SYS_4_3_Digitos!A240,asientos!$B$13:$B$1276)</f>
        <v>0</v>
      </c>
      <c r="H240" s="1317">
        <f>+SUMIF(asientos!$I$13:$I$1276,SYS_4_3_Digitos!A240,asientos!$J$13:$J$1276)</f>
        <v>0</v>
      </c>
      <c r="I240" s="1314">
        <f t="shared" ca="1" si="28"/>
        <v>0</v>
      </c>
      <c r="J240" s="1315">
        <f t="shared" ca="1" si="29"/>
        <v>0</v>
      </c>
      <c r="L240" s="1308">
        <f t="shared" si="30"/>
        <v>565000000</v>
      </c>
      <c r="M240" s="1296" t="str">
        <f t="shared" si="31"/>
        <v>5650</v>
      </c>
      <c r="N240" s="1309">
        <f t="shared" ca="1" si="32"/>
        <v>0</v>
      </c>
      <c r="O240" s="1296" t="str">
        <f t="shared" si="33"/>
        <v>56</v>
      </c>
    </row>
    <row r="241" spans="1:15" s="1296" customFormat="1">
      <c r="A241" s="1310">
        <v>566</v>
      </c>
      <c r="B241" s="1311" t="s">
        <v>488</v>
      </c>
      <c r="C241" s="1312">
        <v>123062</v>
      </c>
      <c r="D241" s="1313">
        <v>0</v>
      </c>
      <c r="E241" s="1314">
        <f>IF(+SUMIF(SYS_cliente!$F$5:$F$2500,A241,SYS_cliente!$I$5:$I$2500)+SUMIF(SYS_cliente!$K$5:$K$2500,A241,SYS_cliente!$N$5:$N$2500)+SUMIF(SYS_cliente!$P$5:$P$2500,A241,SYS_cliente!$S$5:$S$2500)&lt;0,0,+SUMIF(SYS_cliente!$F$5:$F$2500,A241,SYS_cliente!$I$5:$I$2500)+SUMIF(SYS_cliente!$K$5:$K$2500,A241,SYS_cliente!$N$5:$N$2500)+SUMIF(SYS_cliente!$P$5:$P$2500,A241,SYS_cliente!$S$5:$S$2500))</f>
        <v>103027.25</v>
      </c>
      <c r="F241" s="1315">
        <f ca="1">IF(+SUMIF(SYS_cliente!$F$5:$F$2500,A241,SYS_cliente!$I$5:$I$1678)+SUMIF(SYS_cliente!$K$5:$K$2500,A241,SYS_cliente!$N$5:$N$1678)+SUMIF(SYS_cliente!$P$5:$P$2500,A241,SYS_cliente!$S$5:$S$1678)&gt;=0,0,-(SUMIF(SYS_cliente!$F$5:$F$2500,A241,SYS_cliente!$I$5:$I$1678)+SUMIF(SYS_cliente!$K$5:$K$2500,A241,SYS_cliente!$N$5:$N$1678)+SUMIF(SYS_cliente!$P$5:$P$2500,A241,SYS_cliente!$S$5:$S$1678)))</f>
        <v>0</v>
      </c>
      <c r="G241" s="1316">
        <f>+SUMIF(asientos!$C$13:$C$1276,SYS_4_3_Digitos!A241,asientos!$B$13:$B$1276)</f>
        <v>0</v>
      </c>
      <c r="H241" s="1317">
        <f>+SUMIF(asientos!$I$13:$I$1276,SYS_4_3_Digitos!A241,asientos!$J$13:$J$1276)</f>
        <v>0</v>
      </c>
      <c r="I241" s="1314">
        <f t="shared" ca="1" si="28"/>
        <v>103027.25</v>
      </c>
      <c r="J241" s="1315">
        <f t="shared" ca="1" si="29"/>
        <v>0</v>
      </c>
      <c r="L241" s="1308">
        <f t="shared" si="30"/>
        <v>566000000</v>
      </c>
      <c r="M241" s="1296" t="str">
        <f t="shared" si="31"/>
        <v>5660</v>
      </c>
      <c r="N241" s="1309">
        <f t="shared" ca="1" si="32"/>
        <v>103027.25</v>
      </c>
      <c r="O241" s="1296" t="str">
        <f t="shared" si="33"/>
        <v>56</v>
      </c>
    </row>
    <row r="242" spans="1:15" s="1296" customFormat="1">
      <c r="A242" s="1310">
        <v>567</v>
      </c>
      <c r="B242" s="1311" t="s">
        <v>489</v>
      </c>
      <c r="C242" s="1312">
        <v>0</v>
      </c>
      <c r="D242" s="1313">
        <v>0</v>
      </c>
      <c r="E242" s="1314">
        <f>IF(+SUMIF(SYS_cliente!$F$5:$F$2500,A242,SYS_cliente!$I$5:$I$2500)+SUMIF(SYS_cliente!$K$5:$K$2500,A242,SYS_cliente!$N$5:$N$2500)+SUMIF(SYS_cliente!$P$5:$P$2500,A242,SYS_cliente!$S$5:$S$2500)&lt;0,0,+SUMIF(SYS_cliente!$F$5:$F$2500,A242,SYS_cliente!$I$5:$I$2500)+SUMIF(SYS_cliente!$K$5:$K$2500,A242,SYS_cliente!$N$5:$N$2500)+SUMIF(SYS_cliente!$P$5:$P$2500,A242,SYS_cliente!$S$5:$S$2500))</f>
        <v>0</v>
      </c>
      <c r="F242" s="1315">
        <f ca="1">IF(+SUMIF(SYS_cliente!$F$5:$F$2500,A242,SYS_cliente!$I$5:$I$1678)+SUMIF(SYS_cliente!$K$5:$K$2500,A242,SYS_cliente!$N$5:$N$1678)+SUMIF(SYS_cliente!$P$5:$P$2500,A242,SYS_cliente!$S$5:$S$1678)&gt;=0,0,-(SUMIF(SYS_cliente!$F$5:$F$2500,A242,SYS_cliente!$I$5:$I$1678)+SUMIF(SYS_cliente!$K$5:$K$2500,A242,SYS_cliente!$N$5:$N$1678)+SUMIF(SYS_cliente!$P$5:$P$2500,A242,SYS_cliente!$S$5:$S$1678)))</f>
        <v>0</v>
      </c>
      <c r="G242" s="1316">
        <f>+SUMIF(asientos!$C$13:$C$1276,SYS_4_3_Digitos!A242,asientos!$B$13:$B$1276)</f>
        <v>0</v>
      </c>
      <c r="H242" s="1317">
        <f>+SUMIF(asientos!$I$13:$I$1276,SYS_4_3_Digitos!A242,asientos!$J$13:$J$1276)</f>
        <v>0</v>
      </c>
      <c r="I242" s="1314">
        <f t="shared" ca="1" si="28"/>
        <v>0</v>
      </c>
      <c r="J242" s="1315">
        <f t="shared" ca="1" si="29"/>
        <v>0</v>
      </c>
      <c r="L242" s="1308">
        <f t="shared" si="30"/>
        <v>567000000</v>
      </c>
      <c r="M242" s="1296" t="str">
        <f t="shared" si="31"/>
        <v>5670</v>
      </c>
      <c r="N242" s="1309">
        <f t="shared" ca="1" si="32"/>
        <v>0</v>
      </c>
      <c r="O242" s="1296" t="str">
        <f t="shared" si="33"/>
        <v>56</v>
      </c>
    </row>
    <row r="243" spans="1:15" s="1296" customFormat="1">
      <c r="A243" s="1310">
        <v>568</v>
      </c>
      <c r="B243" s="1311" t="s">
        <v>490</v>
      </c>
      <c r="C243" s="1312">
        <v>0</v>
      </c>
      <c r="D243" s="1313">
        <v>0</v>
      </c>
      <c r="E243" s="1314">
        <f>IF(+SUMIF(SYS_cliente!$F$5:$F$2500,A243,SYS_cliente!$I$5:$I$2500)+SUMIF(SYS_cliente!$K$5:$K$2500,A243,SYS_cliente!$N$5:$N$2500)+SUMIF(SYS_cliente!$P$5:$P$2500,A243,SYS_cliente!$S$5:$S$2500)&lt;0,0,+SUMIF(SYS_cliente!$F$5:$F$2500,A243,SYS_cliente!$I$5:$I$2500)+SUMIF(SYS_cliente!$K$5:$K$2500,A243,SYS_cliente!$N$5:$N$2500)+SUMIF(SYS_cliente!$P$5:$P$2500,A243,SYS_cliente!$S$5:$S$2500))</f>
        <v>0</v>
      </c>
      <c r="F243" s="1315">
        <f ca="1">IF(+SUMIF(SYS_cliente!$F$5:$F$2500,A243,SYS_cliente!$I$5:$I$1678)+SUMIF(SYS_cliente!$K$5:$K$2500,A243,SYS_cliente!$N$5:$N$1678)+SUMIF(SYS_cliente!$P$5:$P$2500,A243,SYS_cliente!$S$5:$S$1678)&gt;=0,0,-(SUMIF(SYS_cliente!$F$5:$F$2500,A243,SYS_cliente!$I$5:$I$1678)+SUMIF(SYS_cliente!$K$5:$K$2500,A243,SYS_cliente!$N$5:$N$1678)+SUMIF(SYS_cliente!$P$5:$P$2500,A243,SYS_cliente!$S$5:$S$1678)))</f>
        <v>0</v>
      </c>
      <c r="G243" s="1316">
        <f>+SUMIF(asientos!$C$13:$C$1276,SYS_4_3_Digitos!A243,asientos!$B$13:$B$1276)</f>
        <v>0</v>
      </c>
      <c r="H243" s="1317">
        <f>+SUMIF(asientos!$I$13:$I$1276,SYS_4_3_Digitos!A243,asientos!$J$13:$J$1276)</f>
        <v>0</v>
      </c>
      <c r="I243" s="1314">
        <f t="shared" ca="1" si="28"/>
        <v>0</v>
      </c>
      <c r="J243" s="1315">
        <f t="shared" ca="1" si="29"/>
        <v>0</v>
      </c>
      <c r="L243" s="1308">
        <f t="shared" si="30"/>
        <v>568000000</v>
      </c>
      <c r="M243" s="1296" t="str">
        <f t="shared" si="31"/>
        <v>5680</v>
      </c>
      <c r="N243" s="1309">
        <f t="shared" ca="1" si="32"/>
        <v>0</v>
      </c>
      <c r="O243" s="1296" t="str">
        <f t="shared" si="33"/>
        <v>56</v>
      </c>
    </row>
    <row r="244" spans="1:15" s="1296" customFormat="1">
      <c r="A244" s="1310">
        <v>569</v>
      </c>
      <c r="B244" s="1311" t="s">
        <v>491</v>
      </c>
      <c r="C244" s="1312">
        <v>0</v>
      </c>
      <c r="D244" s="1313">
        <v>0</v>
      </c>
      <c r="E244" s="1314">
        <f>IF(+SUMIF(SYS_cliente!$F$5:$F$2500,A244,SYS_cliente!$I$5:$I$2500)+SUMIF(SYS_cliente!$K$5:$K$2500,A244,SYS_cliente!$N$5:$N$2500)+SUMIF(SYS_cliente!$P$5:$P$2500,A244,SYS_cliente!$S$5:$S$2500)&lt;0,0,+SUMIF(SYS_cliente!$F$5:$F$2500,A244,SYS_cliente!$I$5:$I$2500)+SUMIF(SYS_cliente!$K$5:$K$2500,A244,SYS_cliente!$N$5:$N$2500)+SUMIF(SYS_cliente!$P$5:$P$2500,A244,SYS_cliente!$S$5:$S$2500))</f>
        <v>0</v>
      </c>
      <c r="F244" s="1315">
        <f ca="1">IF(+SUMIF(SYS_cliente!$F$5:$F$2500,A244,SYS_cliente!$I$5:$I$1678)+SUMIF(SYS_cliente!$K$5:$K$2500,A244,SYS_cliente!$N$5:$N$1678)+SUMIF(SYS_cliente!$P$5:$P$2500,A244,SYS_cliente!$S$5:$S$1678)&gt;=0,0,-(SUMIF(SYS_cliente!$F$5:$F$2500,A244,SYS_cliente!$I$5:$I$1678)+SUMIF(SYS_cliente!$K$5:$K$2500,A244,SYS_cliente!$N$5:$N$1678)+SUMIF(SYS_cliente!$P$5:$P$2500,A244,SYS_cliente!$S$5:$S$1678)))</f>
        <v>0</v>
      </c>
      <c r="G244" s="1316">
        <f>+SUMIF(asientos!$C$13:$C$1276,SYS_4_3_Digitos!A244,asientos!$B$13:$B$1276)</f>
        <v>0</v>
      </c>
      <c r="H244" s="1317">
        <f>+SUMIF(asientos!$I$13:$I$1276,SYS_4_3_Digitos!A244,asientos!$J$13:$J$1276)</f>
        <v>0</v>
      </c>
      <c r="I244" s="1314">
        <f t="shared" ca="1" si="28"/>
        <v>0</v>
      </c>
      <c r="J244" s="1315">
        <f t="shared" ca="1" si="29"/>
        <v>0</v>
      </c>
      <c r="L244" s="1308">
        <f t="shared" si="30"/>
        <v>569000000</v>
      </c>
      <c r="M244" s="1296" t="str">
        <f t="shared" si="31"/>
        <v>5690</v>
      </c>
      <c r="N244" s="1309">
        <f t="shared" ca="1" si="32"/>
        <v>0</v>
      </c>
      <c r="O244" s="1296" t="str">
        <f t="shared" si="33"/>
        <v>56</v>
      </c>
    </row>
    <row r="245" spans="1:15" s="1296" customFormat="1">
      <c r="A245" s="1310">
        <v>570</v>
      </c>
      <c r="B245" s="1311" t="s">
        <v>492</v>
      </c>
      <c r="C245" s="1312">
        <v>2298.04</v>
      </c>
      <c r="D245" s="1313">
        <v>0</v>
      </c>
      <c r="E245" s="1314">
        <f>IF(+SUMIF(SYS_cliente!$F$5:$F$2500,A245,SYS_cliente!$I$5:$I$2500)+SUMIF(SYS_cliente!$K$5:$K$2500,A245,SYS_cliente!$N$5:$N$2500)+SUMIF(SYS_cliente!$P$5:$P$2500,A245,SYS_cliente!$S$5:$S$2500)&lt;0,0,+SUMIF(SYS_cliente!$F$5:$F$2500,A245,SYS_cliente!$I$5:$I$2500)+SUMIF(SYS_cliente!$K$5:$K$2500,A245,SYS_cliente!$N$5:$N$2500)+SUMIF(SYS_cliente!$P$5:$P$2500,A245,SYS_cliente!$S$5:$S$2500))</f>
        <v>793.1</v>
      </c>
      <c r="F245" s="1315">
        <f ca="1">IF(+SUMIF(SYS_cliente!$F$5:$F$2500,A245,SYS_cliente!$I$5:$I$1678)+SUMIF(SYS_cliente!$K$5:$K$2500,A245,SYS_cliente!$N$5:$N$1678)+SUMIF(SYS_cliente!$P$5:$P$2500,A245,SYS_cliente!$S$5:$S$1678)&gt;=0,0,-(SUMIF(SYS_cliente!$F$5:$F$2500,A245,SYS_cliente!$I$5:$I$1678)+SUMIF(SYS_cliente!$K$5:$K$2500,A245,SYS_cliente!$N$5:$N$1678)+SUMIF(SYS_cliente!$P$5:$P$2500,A245,SYS_cliente!$S$5:$S$1678)))</f>
        <v>0</v>
      </c>
      <c r="G245" s="1316">
        <f>+SUMIF(asientos!$C$13:$C$1276,SYS_4_3_Digitos!A245,asientos!$B$13:$B$1276)</f>
        <v>0</v>
      </c>
      <c r="H245" s="1317">
        <f>+SUMIF(asientos!$I$13:$I$1276,SYS_4_3_Digitos!A245,asientos!$J$13:$J$1276)</f>
        <v>0</v>
      </c>
      <c r="I245" s="1314">
        <f t="shared" ca="1" si="28"/>
        <v>793.1</v>
      </c>
      <c r="J245" s="1315">
        <f t="shared" ca="1" si="29"/>
        <v>0</v>
      </c>
      <c r="L245" s="1308">
        <f t="shared" si="30"/>
        <v>570000000</v>
      </c>
      <c r="M245" s="1296" t="str">
        <f t="shared" si="31"/>
        <v>5700</v>
      </c>
      <c r="N245" s="1309">
        <f t="shared" ca="1" si="32"/>
        <v>793.1</v>
      </c>
      <c r="O245" s="1296" t="str">
        <f t="shared" si="33"/>
        <v>57</v>
      </c>
    </row>
    <row r="246" spans="1:15" s="1296" customFormat="1">
      <c r="A246" s="1310">
        <v>572</v>
      </c>
      <c r="B246" s="1311" t="s">
        <v>493</v>
      </c>
      <c r="C246" s="1312">
        <v>74341429.479999989</v>
      </c>
      <c r="D246" s="1313">
        <v>0</v>
      </c>
      <c r="E246" s="1314">
        <f>IF(+SUMIF(SYS_cliente!$F$5:$F$2500,A246,SYS_cliente!$I$5:$I$2500)+SUMIF(SYS_cliente!$K$5:$K$2500,A246,SYS_cliente!$N$5:$N$2500)+SUMIF(SYS_cliente!$P$5:$P$2500,A246,SYS_cliente!$S$5:$S$2500)&lt;0,0,+SUMIF(SYS_cliente!$F$5:$F$2500,A246,SYS_cliente!$I$5:$I$2500)+SUMIF(SYS_cliente!$K$5:$K$2500,A246,SYS_cliente!$N$5:$N$2500)+SUMIF(SYS_cliente!$P$5:$P$2500,A246,SYS_cliente!$S$5:$S$2500))</f>
        <v>85566358.589999989</v>
      </c>
      <c r="F246" s="1315">
        <f ca="1">IF(+SUMIF(SYS_cliente!$F$5:$F$2500,A246,SYS_cliente!$I$5:$I$1678)+SUMIF(SYS_cliente!$K$5:$K$2500,A246,SYS_cliente!$N$5:$N$1678)+SUMIF(SYS_cliente!$P$5:$P$2500,A246,SYS_cliente!$S$5:$S$1678)&gt;=0,0,-(SUMIF(SYS_cliente!$F$5:$F$2500,A246,SYS_cliente!$I$5:$I$1678)+SUMIF(SYS_cliente!$K$5:$K$2500,A246,SYS_cliente!$N$5:$N$1678)+SUMIF(SYS_cliente!$P$5:$P$2500,A246,SYS_cliente!$S$5:$S$1678)))</f>
        <v>0</v>
      </c>
      <c r="G246" s="1316">
        <f>+SUMIF(asientos!$C$13:$C$1276,SYS_4_3_Digitos!A246,asientos!$B$13:$B$1276)</f>
        <v>0</v>
      </c>
      <c r="H246" s="1317">
        <f>+SUMIF(asientos!$I$13:$I$1276,SYS_4_3_Digitos!A246,asientos!$J$13:$J$1276)</f>
        <v>0</v>
      </c>
      <c r="I246" s="1314">
        <f t="shared" ca="1" si="28"/>
        <v>85566358.589999989</v>
      </c>
      <c r="J246" s="1315">
        <f t="shared" ca="1" si="29"/>
        <v>0</v>
      </c>
      <c r="L246" s="1308">
        <f t="shared" si="30"/>
        <v>572000000</v>
      </c>
      <c r="M246" s="1296" t="str">
        <f t="shared" si="31"/>
        <v>5720</v>
      </c>
      <c r="N246" s="1309">
        <f t="shared" ca="1" si="32"/>
        <v>85566358.589999989</v>
      </c>
      <c r="O246" s="1296" t="str">
        <f t="shared" si="33"/>
        <v>57</v>
      </c>
    </row>
    <row r="247" spans="1:15" s="1296" customFormat="1">
      <c r="A247" s="1310">
        <v>573</v>
      </c>
      <c r="B247" s="1311" t="s">
        <v>494</v>
      </c>
      <c r="C247" s="1312">
        <v>469561.87</v>
      </c>
      <c r="D247" s="1313">
        <v>0</v>
      </c>
      <c r="E247" s="1314">
        <f>IF(+SUMIF(SYS_cliente!$F$5:$F$2500,A247,SYS_cliente!$I$5:$I$2500)+SUMIF(SYS_cliente!$K$5:$K$2500,A247,SYS_cliente!$N$5:$N$2500)+SUMIF(SYS_cliente!$P$5:$P$2500,A247,SYS_cliente!$S$5:$S$2500)&lt;0,0,+SUMIF(SYS_cliente!$F$5:$F$2500,A247,SYS_cliente!$I$5:$I$2500)+SUMIF(SYS_cliente!$K$5:$K$2500,A247,SYS_cliente!$N$5:$N$2500)+SUMIF(SYS_cliente!$P$5:$P$2500,A247,SYS_cliente!$S$5:$S$2500))</f>
        <v>10007.01</v>
      </c>
      <c r="F247" s="1315">
        <f ca="1">IF(+SUMIF(SYS_cliente!$F$5:$F$2500,A247,SYS_cliente!$I$5:$I$1678)+SUMIF(SYS_cliente!$K$5:$K$2500,A247,SYS_cliente!$N$5:$N$1678)+SUMIF(SYS_cliente!$P$5:$P$2500,A247,SYS_cliente!$S$5:$S$1678)&gt;=0,0,-(SUMIF(SYS_cliente!$F$5:$F$2500,A247,SYS_cliente!$I$5:$I$1678)+SUMIF(SYS_cliente!$K$5:$K$2500,A247,SYS_cliente!$N$5:$N$1678)+SUMIF(SYS_cliente!$P$5:$P$2500,A247,SYS_cliente!$S$5:$S$1678)))</f>
        <v>0</v>
      </c>
      <c r="G247" s="1316">
        <f>+SUMIF(asientos!$C$13:$C$1276,SYS_4_3_Digitos!A247,asientos!$B$13:$B$1276)</f>
        <v>0</v>
      </c>
      <c r="H247" s="1317">
        <f>+SUMIF(asientos!$I$13:$I$1276,SYS_4_3_Digitos!A247,asientos!$J$13:$J$1276)</f>
        <v>0</v>
      </c>
      <c r="I247" s="1314">
        <f t="shared" ca="1" si="28"/>
        <v>10007.01</v>
      </c>
      <c r="J247" s="1315">
        <f t="shared" ca="1" si="29"/>
        <v>0</v>
      </c>
      <c r="L247" s="1308">
        <f t="shared" si="30"/>
        <v>573000000</v>
      </c>
      <c r="M247" s="1296" t="str">
        <f t="shared" si="31"/>
        <v>5730</v>
      </c>
      <c r="N247" s="1309">
        <f t="shared" ca="1" si="32"/>
        <v>10007.01</v>
      </c>
      <c r="O247" s="1296" t="str">
        <f t="shared" si="33"/>
        <v>57</v>
      </c>
    </row>
    <row r="248" spans="1:15" s="1296" customFormat="1">
      <c r="A248" s="1310">
        <v>574</v>
      </c>
      <c r="B248" s="1311" t="s">
        <v>495</v>
      </c>
      <c r="C248" s="1312">
        <v>0</v>
      </c>
      <c r="D248" s="1313">
        <v>0</v>
      </c>
      <c r="E248" s="1314">
        <f>IF(+SUMIF(SYS_cliente!$F$5:$F$2500,A248,SYS_cliente!$I$5:$I$2500)+SUMIF(SYS_cliente!$K$5:$K$2500,A248,SYS_cliente!$N$5:$N$2500)+SUMIF(SYS_cliente!$P$5:$P$2500,A248,SYS_cliente!$S$5:$S$2500)&lt;0,0,+SUMIF(SYS_cliente!$F$5:$F$2500,A248,SYS_cliente!$I$5:$I$2500)+SUMIF(SYS_cliente!$K$5:$K$2500,A248,SYS_cliente!$N$5:$N$2500)+SUMIF(SYS_cliente!$P$5:$P$2500,A248,SYS_cliente!$S$5:$S$2500))</f>
        <v>0</v>
      </c>
      <c r="F248" s="1315">
        <f ca="1">IF(+SUMIF(SYS_cliente!$F$5:$F$2500,A248,SYS_cliente!$I$5:$I$1678)+SUMIF(SYS_cliente!$K$5:$K$2500,A248,SYS_cliente!$N$5:$N$1678)+SUMIF(SYS_cliente!$P$5:$P$2500,A248,SYS_cliente!$S$5:$S$1678)&gt;=0,0,-(SUMIF(SYS_cliente!$F$5:$F$2500,A248,SYS_cliente!$I$5:$I$1678)+SUMIF(SYS_cliente!$K$5:$K$2500,A248,SYS_cliente!$N$5:$N$1678)+SUMIF(SYS_cliente!$P$5:$P$2500,A248,SYS_cliente!$S$5:$S$1678)))</f>
        <v>0</v>
      </c>
      <c r="G248" s="1316">
        <f>+SUMIF(asientos!$C$13:$C$1276,SYS_4_3_Digitos!A248,asientos!$B$13:$B$1276)</f>
        <v>0</v>
      </c>
      <c r="H248" s="1317">
        <f>+SUMIF(asientos!$I$13:$I$1276,SYS_4_3_Digitos!A248,asientos!$J$13:$J$1276)</f>
        <v>0</v>
      </c>
      <c r="I248" s="1314">
        <f t="shared" ca="1" si="28"/>
        <v>0</v>
      </c>
      <c r="J248" s="1315">
        <f t="shared" ca="1" si="29"/>
        <v>0</v>
      </c>
      <c r="L248" s="1308">
        <f t="shared" si="30"/>
        <v>574000000</v>
      </c>
      <c r="M248" s="1296" t="str">
        <f t="shared" si="31"/>
        <v>5740</v>
      </c>
      <c r="N248" s="1309">
        <f t="shared" ca="1" si="32"/>
        <v>0</v>
      </c>
      <c r="O248" s="1296" t="str">
        <f t="shared" si="33"/>
        <v>57</v>
      </c>
    </row>
    <row r="249" spans="1:15" s="1296" customFormat="1">
      <c r="A249" s="1310">
        <v>580</v>
      </c>
      <c r="B249" s="1311" t="s">
        <v>496</v>
      </c>
      <c r="C249" s="1312">
        <v>0</v>
      </c>
      <c r="D249" s="1313">
        <v>0</v>
      </c>
      <c r="E249" s="1314">
        <f>IF(+SUMIF(SYS_cliente!$F$5:$F$2500,A249,SYS_cliente!$I$5:$I$2500)+SUMIF(SYS_cliente!$K$5:$K$2500,A249,SYS_cliente!$N$5:$N$2500)+SUMIF(SYS_cliente!$P$5:$P$2500,A249,SYS_cliente!$S$5:$S$2500)&lt;0,0,+SUMIF(SYS_cliente!$F$5:$F$2500,A249,SYS_cliente!$I$5:$I$2500)+SUMIF(SYS_cliente!$K$5:$K$2500,A249,SYS_cliente!$N$5:$N$2500)+SUMIF(SYS_cliente!$P$5:$P$2500,A249,SYS_cliente!$S$5:$S$2500))</f>
        <v>0</v>
      </c>
      <c r="F249" s="1315">
        <f ca="1">IF(+SUMIF(SYS_cliente!$F$5:$F$2500,A249,SYS_cliente!$I$5:$I$1678)+SUMIF(SYS_cliente!$K$5:$K$2500,A249,SYS_cliente!$N$5:$N$1678)+SUMIF(SYS_cliente!$P$5:$P$2500,A249,SYS_cliente!$S$5:$S$1678)&gt;=0,0,-(SUMIF(SYS_cliente!$F$5:$F$2500,A249,SYS_cliente!$I$5:$I$1678)+SUMIF(SYS_cliente!$K$5:$K$2500,A249,SYS_cliente!$N$5:$N$1678)+SUMIF(SYS_cliente!$P$5:$P$2500,A249,SYS_cliente!$S$5:$S$1678)))</f>
        <v>0</v>
      </c>
      <c r="G249" s="1316">
        <f>+SUMIF(asientos!$C$13:$C$1276,SYS_4_3_Digitos!A249,asientos!$B$13:$B$1276)</f>
        <v>0</v>
      </c>
      <c r="H249" s="1317">
        <f>+SUMIF(asientos!$I$13:$I$1276,SYS_4_3_Digitos!A249,asientos!$J$13:$J$1276)</f>
        <v>0</v>
      </c>
      <c r="I249" s="1314">
        <f t="shared" ca="1" si="28"/>
        <v>0</v>
      </c>
      <c r="J249" s="1315">
        <f t="shared" ca="1" si="29"/>
        <v>0</v>
      </c>
      <c r="L249" s="1308">
        <f t="shared" si="30"/>
        <v>580000000</v>
      </c>
      <c r="M249" s="1296" t="str">
        <f t="shared" si="31"/>
        <v>5800</v>
      </c>
      <c r="N249" s="1309">
        <f t="shared" ca="1" si="32"/>
        <v>0</v>
      </c>
      <c r="O249" s="1296" t="str">
        <f t="shared" si="33"/>
        <v>58</v>
      </c>
    </row>
    <row r="250" spans="1:15" s="1296" customFormat="1">
      <c r="A250" s="1310">
        <v>581</v>
      </c>
      <c r="B250" s="1311" t="s">
        <v>497</v>
      </c>
      <c r="C250" s="1312">
        <v>0</v>
      </c>
      <c r="D250" s="1313">
        <v>0</v>
      </c>
      <c r="E250" s="1314">
        <f>IF(+SUMIF(SYS_cliente!$F$5:$F$2500,A250,SYS_cliente!$I$5:$I$2500)+SUMIF(SYS_cliente!$K$5:$K$2500,A250,SYS_cliente!$N$5:$N$2500)+SUMIF(SYS_cliente!$P$5:$P$2500,A250,SYS_cliente!$S$5:$S$2500)&lt;0,0,+SUMIF(SYS_cliente!$F$5:$F$2500,A250,SYS_cliente!$I$5:$I$2500)+SUMIF(SYS_cliente!$K$5:$K$2500,A250,SYS_cliente!$N$5:$N$2500)+SUMIF(SYS_cliente!$P$5:$P$2500,A250,SYS_cliente!$S$5:$S$2500))</f>
        <v>0</v>
      </c>
      <c r="F250" s="1315">
        <f ca="1">IF(+SUMIF(SYS_cliente!$F$5:$F$2500,A250,SYS_cliente!$I$5:$I$1678)+SUMIF(SYS_cliente!$K$5:$K$2500,A250,SYS_cliente!$N$5:$N$1678)+SUMIF(SYS_cliente!$P$5:$P$2500,A250,SYS_cliente!$S$5:$S$1678)&gt;=0,0,-(SUMIF(SYS_cliente!$F$5:$F$2500,A250,SYS_cliente!$I$5:$I$1678)+SUMIF(SYS_cliente!$K$5:$K$2500,A250,SYS_cliente!$N$5:$N$1678)+SUMIF(SYS_cliente!$P$5:$P$2500,A250,SYS_cliente!$S$5:$S$1678)))</f>
        <v>0</v>
      </c>
      <c r="G250" s="1316">
        <f>+SUMIF(asientos!$C$13:$C$1276,SYS_4_3_Digitos!A250,asientos!$B$13:$B$1276)</f>
        <v>0</v>
      </c>
      <c r="H250" s="1317">
        <f>+SUMIF(asientos!$I$13:$I$1276,SYS_4_3_Digitos!A250,asientos!$J$13:$J$1276)</f>
        <v>0</v>
      </c>
      <c r="I250" s="1314">
        <f t="shared" ca="1" si="28"/>
        <v>0</v>
      </c>
      <c r="J250" s="1315">
        <f t="shared" ca="1" si="29"/>
        <v>0</v>
      </c>
      <c r="L250" s="1308">
        <f t="shared" si="30"/>
        <v>581000000</v>
      </c>
      <c r="M250" s="1296" t="str">
        <f t="shared" si="31"/>
        <v>5810</v>
      </c>
      <c r="N250" s="1309">
        <f t="shared" ca="1" si="32"/>
        <v>0</v>
      </c>
      <c r="O250" s="1296" t="str">
        <f t="shared" si="33"/>
        <v>58</v>
      </c>
    </row>
    <row r="251" spans="1:15" s="1296" customFormat="1">
      <c r="A251" s="1310">
        <v>582</v>
      </c>
      <c r="B251" s="1311" t="s">
        <v>498</v>
      </c>
      <c r="C251" s="1312">
        <v>0</v>
      </c>
      <c r="D251" s="1313">
        <v>0</v>
      </c>
      <c r="E251" s="1314">
        <f>IF(+SUMIF(SYS_cliente!$F$5:$F$2500,A251,SYS_cliente!$I$5:$I$2500)+SUMIF(SYS_cliente!$K$5:$K$2500,A251,SYS_cliente!$N$5:$N$2500)+SUMIF(SYS_cliente!$P$5:$P$2500,A251,SYS_cliente!$S$5:$S$2500)&lt;0,0,+SUMIF(SYS_cliente!$F$5:$F$2500,A251,SYS_cliente!$I$5:$I$2500)+SUMIF(SYS_cliente!$K$5:$K$2500,A251,SYS_cliente!$N$5:$N$2500)+SUMIF(SYS_cliente!$P$5:$P$2500,A251,SYS_cliente!$S$5:$S$2500))</f>
        <v>0</v>
      </c>
      <c r="F251" s="1315">
        <f ca="1">IF(+SUMIF(SYS_cliente!$F$5:$F$2500,A251,SYS_cliente!$I$5:$I$1678)+SUMIF(SYS_cliente!$K$5:$K$2500,A251,SYS_cliente!$N$5:$N$1678)+SUMIF(SYS_cliente!$P$5:$P$2500,A251,SYS_cliente!$S$5:$S$1678)&gt;=0,0,-(SUMIF(SYS_cliente!$F$5:$F$2500,A251,SYS_cliente!$I$5:$I$1678)+SUMIF(SYS_cliente!$K$5:$K$2500,A251,SYS_cliente!$N$5:$N$1678)+SUMIF(SYS_cliente!$P$5:$P$2500,A251,SYS_cliente!$S$5:$S$1678)))</f>
        <v>0</v>
      </c>
      <c r="G251" s="1316">
        <f>+SUMIF(asientos!$C$13:$C$1276,SYS_4_3_Digitos!A251,asientos!$B$13:$B$1276)</f>
        <v>0</v>
      </c>
      <c r="H251" s="1317">
        <f>+SUMIF(asientos!$I$13:$I$1276,SYS_4_3_Digitos!A251,asientos!$J$13:$J$1276)</f>
        <v>0</v>
      </c>
      <c r="I251" s="1314">
        <f t="shared" ca="1" si="28"/>
        <v>0</v>
      </c>
      <c r="J251" s="1315">
        <f t="shared" ca="1" si="29"/>
        <v>0</v>
      </c>
      <c r="L251" s="1308">
        <f t="shared" si="30"/>
        <v>582000000</v>
      </c>
      <c r="M251" s="1296" t="str">
        <f t="shared" si="31"/>
        <v>5820</v>
      </c>
      <c r="N251" s="1309">
        <f t="shared" ca="1" si="32"/>
        <v>0</v>
      </c>
      <c r="O251" s="1296" t="str">
        <f t="shared" si="33"/>
        <v>58</v>
      </c>
    </row>
    <row r="252" spans="1:15" s="1296" customFormat="1">
      <c r="A252" s="1310">
        <v>583</v>
      </c>
      <c r="B252" s="1311" t="s">
        <v>499</v>
      </c>
      <c r="C252" s="1312">
        <v>0</v>
      </c>
      <c r="D252" s="1313">
        <v>0</v>
      </c>
      <c r="E252" s="1314">
        <f>IF(+SUMIF(SYS_cliente!$F$5:$F$2500,A252,SYS_cliente!$I$5:$I$2500)+SUMIF(SYS_cliente!$K$5:$K$2500,A252,SYS_cliente!$N$5:$N$2500)+SUMIF(SYS_cliente!$P$5:$P$2500,A252,SYS_cliente!$S$5:$S$2500)&lt;0,0,+SUMIF(SYS_cliente!$F$5:$F$2500,A252,SYS_cliente!$I$5:$I$2500)+SUMIF(SYS_cliente!$K$5:$K$2500,A252,SYS_cliente!$N$5:$N$2500)+SUMIF(SYS_cliente!$P$5:$P$2500,A252,SYS_cliente!$S$5:$S$2500))</f>
        <v>0</v>
      </c>
      <c r="F252" s="1315">
        <f ca="1">IF(+SUMIF(SYS_cliente!$F$5:$F$2500,A252,SYS_cliente!$I$5:$I$1678)+SUMIF(SYS_cliente!$K$5:$K$2500,A252,SYS_cliente!$N$5:$N$1678)+SUMIF(SYS_cliente!$P$5:$P$2500,A252,SYS_cliente!$S$5:$S$1678)&gt;=0,0,-(SUMIF(SYS_cliente!$F$5:$F$2500,A252,SYS_cliente!$I$5:$I$1678)+SUMIF(SYS_cliente!$K$5:$K$2500,A252,SYS_cliente!$N$5:$N$1678)+SUMIF(SYS_cliente!$P$5:$P$2500,A252,SYS_cliente!$S$5:$S$1678)))</f>
        <v>0</v>
      </c>
      <c r="G252" s="1316">
        <f>+SUMIF(asientos!$C$13:$C$1276,SYS_4_3_Digitos!A252,asientos!$B$13:$B$1276)</f>
        <v>0</v>
      </c>
      <c r="H252" s="1317">
        <f>+SUMIF(asientos!$I$13:$I$1276,SYS_4_3_Digitos!A252,asientos!$J$13:$J$1276)</f>
        <v>0</v>
      </c>
      <c r="I252" s="1314">
        <f t="shared" ca="1" si="28"/>
        <v>0</v>
      </c>
      <c r="J252" s="1315">
        <f t="shared" ca="1" si="29"/>
        <v>0</v>
      </c>
      <c r="L252" s="1308">
        <f t="shared" si="30"/>
        <v>583000000</v>
      </c>
      <c r="M252" s="1296" t="str">
        <f t="shared" si="31"/>
        <v>5830</v>
      </c>
      <c r="N252" s="1309">
        <f t="shared" ca="1" si="32"/>
        <v>0</v>
      </c>
      <c r="O252" s="1296" t="str">
        <f t="shared" si="33"/>
        <v>58</v>
      </c>
    </row>
    <row r="253" spans="1:15" s="1296" customFormat="1">
      <c r="A253" s="1310">
        <v>584</v>
      </c>
      <c r="B253" s="1311" t="s">
        <v>500</v>
      </c>
      <c r="C253" s="1312">
        <v>0</v>
      </c>
      <c r="D253" s="1313">
        <v>0</v>
      </c>
      <c r="E253" s="1314">
        <f>IF(+SUMIF(SYS_cliente!$F$5:$F$2500,A253,SYS_cliente!$I$5:$I$2500)+SUMIF(SYS_cliente!$K$5:$K$2500,A253,SYS_cliente!$N$5:$N$2500)+SUMIF(SYS_cliente!$P$5:$P$2500,A253,SYS_cliente!$S$5:$S$2500)&lt;0,0,+SUMIF(SYS_cliente!$F$5:$F$2500,A253,SYS_cliente!$I$5:$I$2500)+SUMIF(SYS_cliente!$K$5:$K$2500,A253,SYS_cliente!$N$5:$N$2500)+SUMIF(SYS_cliente!$P$5:$P$2500,A253,SYS_cliente!$S$5:$S$2500))</f>
        <v>0</v>
      </c>
      <c r="F253" s="1315">
        <f ca="1">IF(+SUMIF(SYS_cliente!$F$5:$F$2500,A253,SYS_cliente!$I$5:$I$1678)+SUMIF(SYS_cliente!$K$5:$K$2500,A253,SYS_cliente!$N$5:$N$1678)+SUMIF(SYS_cliente!$P$5:$P$2500,A253,SYS_cliente!$S$5:$S$1678)&gt;=0,0,-(SUMIF(SYS_cliente!$F$5:$F$2500,A253,SYS_cliente!$I$5:$I$1678)+SUMIF(SYS_cliente!$K$5:$K$2500,A253,SYS_cliente!$N$5:$N$1678)+SUMIF(SYS_cliente!$P$5:$P$2500,A253,SYS_cliente!$S$5:$S$1678)))</f>
        <v>0</v>
      </c>
      <c r="G253" s="1316">
        <f>+SUMIF(asientos!$C$13:$C$1276,SYS_4_3_Digitos!A253,asientos!$B$13:$B$1276)</f>
        <v>0</v>
      </c>
      <c r="H253" s="1317">
        <f>+SUMIF(asientos!$I$13:$I$1276,SYS_4_3_Digitos!A253,asientos!$J$13:$J$1276)</f>
        <v>0</v>
      </c>
      <c r="I253" s="1314">
        <f t="shared" ca="1" si="28"/>
        <v>0</v>
      </c>
      <c r="J253" s="1315">
        <f t="shared" ca="1" si="29"/>
        <v>0</v>
      </c>
      <c r="L253" s="1308">
        <f t="shared" si="30"/>
        <v>584000000</v>
      </c>
      <c r="M253" s="1296" t="str">
        <f t="shared" si="31"/>
        <v>5840</v>
      </c>
      <c r="N253" s="1309">
        <f t="shared" ca="1" si="32"/>
        <v>0</v>
      </c>
      <c r="O253" s="1296" t="str">
        <f t="shared" si="33"/>
        <v>58</v>
      </c>
    </row>
    <row r="254" spans="1:15" s="1296" customFormat="1">
      <c r="A254" s="1310">
        <v>585</v>
      </c>
      <c r="B254" s="1311" t="s">
        <v>501</v>
      </c>
      <c r="C254" s="1312">
        <v>0</v>
      </c>
      <c r="D254" s="1313">
        <v>0</v>
      </c>
      <c r="E254" s="1314">
        <f>IF(+SUMIF(SYS_cliente!$F$5:$F$2500,A254,SYS_cliente!$I$5:$I$2500)+SUMIF(SYS_cliente!$K$5:$K$2500,A254,SYS_cliente!$N$5:$N$2500)+SUMIF(SYS_cliente!$P$5:$P$2500,A254,SYS_cliente!$S$5:$S$2500)&lt;0,0,+SUMIF(SYS_cliente!$F$5:$F$2500,A254,SYS_cliente!$I$5:$I$2500)+SUMIF(SYS_cliente!$K$5:$K$2500,A254,SYS_cliente!$N$5:$N$2500)+SUMIF(SYS_cliente!$P$5:$P$2500,A254,SYS_cliente!$S$5:$S$2500))</f>
        <v>0</v>
      </c>
      <c r="F254" s="1315">
        <f ca="1">IF(+SUMIF(SYS_cliente!$F$5:$F$2500,A254,SYS_cliente!$I$5:$I$1678)+SUMIF(SYS_cliente!$K$5:$K$2500,A254,SYS_cliente!$N$5:$N$1678)+SUMIF(SYS_cliente!$P$5:$P$2500,A254,SYS_cliente!$S$5:$S$1678)&gt;=0,0,-(SUMIF(SYS_cliente!$F$5:$F$2500,A254,SYS_cliente!$I$5:$I$1678)+SUMIF(SYS_cliente!$K$5:$K$2500,A254,SYS_cliente!$N$5:$N$1678)+SUMIF(SYS_cliente!$P$5:$P$2500,A254,SYS_cliente!$S$5:$S$1678)))</f>
        <v>0</v>
      </c>
      <c r="G254" s="1316">
        <f>+SUMIF(asientos!$C$13:$C$1276,SYS_4_3_Digitos!A254,asientos!$B$13:$B$1276)</f>
        <v>0</v>
      </c>
      <c r="H254" s="1317">
        <f>+SUMIF(asientos!$I$13:$I$1276,SYS_4_3_Digitos!A254,asientos!$J$13:$J$1276)</f>
        <v>0</v>
      </c>
      <c r="I254" s="1314">
        <f t="shared" ca="1" si="28"/>
        <v>0</v>
      </c>
      <c r="J254" s="1315">
        <f t="shared" ca="1" si="29"/>
        <v>0</v>
      </c>
      <c r="L254" s="1308">
        <f t="shared" si="30"/>
        <v>585000000</v>
      </c>
      <c r="M254" s="1296" t="str">
        <f t="shared" si="31"/>
        <v>5850</v>
      </c>
      <c r="N254" s="1309">
        <f t="shared" ca="1" si="32"/>
        <v>0</v>
      </c>
      <c r="O254" s="1296" t="str">
        <f t="shared" si="33"/>
        <v>58</v>
      </c>
    </row>
    <row r="255" spans="1:15" s="1296" customFormat="1">
      <c r="A255" s="1310">
        <v>586</v>
      </c>
      <c r="B255" s="1311" t="s">
        <v>502</v>
      </c>
      <c r="C255" s="1312">
        <v>0</v>
      </c>
      <c r="D255" s="1313">
        <v>0</v>
      </c>
      <c r="E255" s="1314">
        <f>IF(+SUMIF(SYS_cliente!$F$5:$F$2500,A255,SYS_cliente!$I$5:$I$2500)+SUMIF(SYS_cliente!$K$5:$K$2500,A255,SYS_cliente!$N$5:$N$2500)+SUMIF(SYS_cliente!$P$5:$P$2500,A255,SYS_cliente!$S$5:$S$2500)&lt;0,0,+SUMIF(SYS_cliente!$F$5:$F$2500,A255,SYS_cliente!$I$5:$I$2500)+SUMIF(SYS_cliente!$K$5:$K$2500,A255,SYS_cliente!$N$5:$N$2500)+SUMIF(SYS_cliente!$P$5:$P$2500,A255,SYS_cliente!$S$5:$S$2500))</f>
        <v>0</v>
      </c>
      <c r="F255" s="1315">
        <f ca="1">IF(+SUMIF(SYS_cliente!$F$5:$F$2500,A255,SYS_cliente!$I$5:$I$1678)+SUMIF(SYS_cliente!$K$5:$K$2500,A255,SYS_cliente!$N$5:$N$1678)+SUMIF(SYS_cliente!$P$5:$P$2500,A255,SYS_cliente!$S$5:$S$1678)&gt;=0,0,-(SUMIF(SYS_cliente!$F$5:$F$2500,A255,SYS_cliente!$I$5:$I$1678)+SUMIF(SYS_cliente!$K$5:$K$2500,A255,SYS_cliente!$N$5:$N$1678)+SUMIF(SYS_cliente!$P$5:$P$2500,A255,SYS_cliente!$S$5:$S$1678)))</f>
        <v>0</v>
      </c>
      <c r="G255" s="1316">
        <f>+SUMIF(asientos!$C$13:$C$1276,SYS_4_3_Digitos!A255,asientos!$B$13:$B$1276)</f>
        <v>0</v>
      </c>
      <c r="H255" s="1317">
        <f>+SUMIF(asientos!$I$13:$I$1276,SYS_4_3_Digitos!A255,asientos!$J$13:$J$1276)</f>
        <v>0</v>
      </c>
      <c r="I255" s="1314">
        <f t="shared" ca="1" si="28"/>
        <v>0</v>
      </c>
      <c r="J255" s="1315">
        <f t="shared" ca="1" si="29"/>
        <v>0</v>
      </c>
      <c r="L255" s="1308">
        <f t="shared" si="30"/>
        <v>586000000</v>
      </c>
      <c r="M255" s="1296" t="str">
        <f t="shared" si="31"/>
        <v>5860</v>
      </c>
      <c r="N255" s="1309">
        <f t="shared" ca="1" si="32"/>
        <v>0</v>
      </c>
      <c r="O255" s="1296" t="str">
        <f t="shared" si="33"/>
        <v>58</v>
      </c>
    </row>
    <row r="256" spans="1:15" s="1296" customFormat="1">
      <c r="A256" s="1310">
        <v>587</v>
      </c>
      <c r="B256" s="1311" t="s">
        <v>503</v>
      </c>
      <c r="C256" s="1312">
        <v>0</v>
      </c>
      <c r="D256" s="1313">
        <v>0</v>
      </c>
      <c r="E256" s="1314">
        <f>IF(+SUMIF(SYS_cliente!$F$5:$F$2500,A256,SYS_cliente!$I$5:$I$2500)+SUMIF(SYS_cliente!$K$5:$K$2500,A256,SYS_cliente!$N$5:$N$2500)+SUMIF(SYS_cliente!$P$5:$P$2500,A256,SYS_cliente!$S$5:$S$2500)&lt;0,0,+SUMIF(SYS_cliente!$F$5:$F$2500,A256,SYS_cliente!$I$5:$I$2500)+SUMIF(SYS_cliente!$K$5:$K$2500,A256,SYS_cliente!$N$5:$N$2500)+SUMIF(SYS_cliente!$P$5:$P$2500,A256,SYS_cliente!$S$5:$S$2500))</f>
        <v>0</v>
      </c>
      <c r="F256" s="1315">
        <f ca="1">IF(+SUMIF(SYS_cliente!$F$5:$F$2500,A256,SYS_cliente!$I$5:$I$1678)+SUMIF(SYS_cliente!$K$5:$K$2500,A256,SYS_cliente!$N$5:$N$1678)+SUMIF(SYS_cliente!$P$5:$P$2500,A256,SYS_cliente!$S$5:$S$1678)&gt;=0,0,-(SUMIF(SYS_cliente!$F$5:$F$2500,A256,SYS_cliente!$I$5:$I$1678)+SUMIF(SYS_cliente!$K$5:$K$2500,A256,SYS_cliente!$N$5:$N$1678)+SUMIF(SYS_cliente!$P$5:$P$2500,A256,SYS_cliente!$S$5:$S$1678)))</f>
        <v>0</v>
      </c>
      <c r="G256" s="1316">
        <f>+SUMIF(asientos!$C$13:$C$1276,SYS_4_3_Digitos!A256,asientos!$B$13:$B$1276)</f>
        <v>0</v>
      </c>
      <c r="H256" s="1317">
        <f>+SUMIF(asientos!$I$13:$I$1276,SYS_4_3_Digitos!A256,asientos!$J$13:$J$1276)</f>
        <v>0</v>
      </c>
      <c r="I256" s="1314">
        <f t="shared" ca="1" si="28"/>
        <v>0</v>
      </c>
      <c r="J256" s="1315">
        <f t="shared" ca="1" si="29"/>
        <v>0</v>
      </c>
      <c r="L256" s="1308">
        <f t="shared" si="30"/>
        <v>587000000</v>
      </c>
      <c r="M256" s="1296" t="str">
        <f t="shared" si="31"/>
        <v>5870</v>
      </c>
      <c r="N256" s="1309">
        <f t="shared" ca="1" si="32"/>
        <v>0</v>
      </c>
      <c r="O256" s="1296" t="str">
        <f t="shared" si="33"/>
        <v>58</v>
      </c>
    </row>
    <row r="257" spans="1:15" s="1296" customFormat="1">
      <c r="A257" s="1310">
        <v>588</v>
      </c>
      <c r="B257" s="1311" t="s">
        <v>504</v>
      </c>
      <c r="C257" s="1312">
        <v>0</v>
      </c>
      <c r="D257" s="1313">
        <v>0</v>
      </c>
      <c r="E257" s="1314">
        <f>IF(+SUMIF(SYS_cliente!$F$5:$F$2500,A257,SYS_cliente!$I$5:$I$2500)+SUMIF(SYS_cliente!$K$5:$K$2500,A257,SYS_cliente!$N$5:$N$2500)+SUMIF(SYS_cliente!$P$5:$P$2500,A257,SYS_cliente!$S$5:$S$2500)&lt;0,0,+SUMIF(SYS_cliente!$F$5:$F$2500,A257,SYS_cliente!$I$5:$I$2500)+SUMIF(SYS_cliente!$K$5:$K$2500,A257,SYS_cliente!$N$5:$N$2500)+SUMIF(SYS_cliente!$P$5:$P$2500,A257,SYS_cliente!$S$5:$S$2500))</f>
        <v>0</v>
      </c>
      <c r="F257" s="1315">
        <f ca="1">IF(+SUMIF(SYS_cliente!$F$5:$F$2500,A257,SYS_cliente!$I$5:$I$1678)+SUMIF(SYS_cliente!$K$5:$K$2500,A257,SYS_cliente!$N$5:$N$1678)+SUMIF(SYS_cliente!$P$5:$P$2500,A257,SYS_cliente!$S$5:$S$1678)&gt;=0,0,-(SUMIF(SYS_cliente!$F$5:$F$2500,A257,SYS_cliente!$I$5:$I$1678)+SUMIF(SYS_cliente!$K$5:$K$2500,A257,SYS_cliente!$N$5:$N$1678)+SUMIF(SYS_cliente!$P$5:$P$2500,A257,SYS_cliente!$S$5:$S$1678)))</f>
        <v>0</v>
      </c>
      <c r="G257" s="1316">
        <f>+SUMIF(asientos!$C$13:$C$1276,SYS_4_3_Digitos!A257,asientos!$B$13:$B$1276)</f>
        <v>0</v>
      </c>
      <c r="H257" s="1317">
        <f>+SUMIF(asientos!$I$13:$I$1276,SYS_4_3_Digitos!A257,asientos!$J$13:$J$1276)</f>
        <v>0</v>
      </c>
      <c r="I257" s="1314">
        <f t="shared" ca="1" si="28"/>
        <v>0</v>
      </c>
      <c r="J257" s="1315">
        <f t="shared" ca="1" si="29"/>
        <v>0</v>
      </c>
      <c r="L257" s="1308">
        <f t="shared" si="30"/>
        <v>588000000</v>
      </c>
      <c r="M257" s="1296" t="str">
        <f t="shared" si="31"/>
        <v>5880</v>
      </c>
      <c r="N257" s="1309">
        <f t="shared" ca="1" si="32"/>
        <v>0</v>
      </c>
      <c r="O257" s="1296" t="str">
        <f t="shared" si="33"/>
        <v>58</v>
      </c>
    </row>
    <row r="258" spans="1:15" s="1296" customFormat="1">
      <c r="A258" s="1310">
        <v>589</v>
      </c>
      <c r="B258" s="1311" t="s">
        <v>505</v>
      </c>
      <c r="C258" s="1312">
        <v>0</v>
      </c>
      <c r="D258" s="1313">
        <v>0</v>
      </c>
      <c r="E258" s="1314">
        <f>IF(+SUMIF(SYS_cliente!$F$5:$F$2500,A258,SYS_cliente!$I$5:$I$2500)+SUMIF(SYS_cliente!$K$5:$K$2500,A258,SYS_cliente!$N$5:$N$2500)+SUMIF(SYS_cliente!$P$5:$P$2500,A258,SYS_cliente!$S$5:$S$2500)&lt;0,0,+SUMIF(SYS_cliente!$F$5:$F$2500,A258,SYS_cliente!$I$5:$I$2500)+SUMIF(SYS_cliente!$K$5:$K$2500,A258,SYS_cliente!$N$5:$N$2500)+SUMIF(SYS_cliente!$P$5:$P$2500,A258,SYS_cliente!$S$5:$S$2500))</f>
        <v>0</v>
      </c>
      <c r="F258" s="1315">
        <f ca="1">IF(+SUMIF(SYS_cliente!$F$5:$F$2500,A258,SYS_cliente!$I$5:$I$1678)+SUMIF(SYS_cliente!$K$5:$K$2500,A258,SYS_cliente!$N$5:$N$1678)+SUMIF(SYS_cliente!$P$5:$P$2500,A258,SYS_cliente!$S$5:$S$1678)&gt;=0,0,-(SUMIF(SYS_cliente!$F$5:$F$2500,A258,SYS_cliente!$I$5:$I$1678)+SUMIF(SYS_cliente!$K$5:$K$2500,A258,SYS_cliente!$N$5:$N$1678)+SUMIF(SYS_cliente!$P$5:$P$2500,A258,SYS_cliente!$S$5:$S$1678)))</f>
        <v>0</v>
      </c>
      <c r="G258" s="1316">
        <f>+SUMIF(asientos!$C$13:$C$1276,SYS_4_3_Digitos!A258,asientos!$B$13:$B$1276)</f>
        <v>0</v>
      </c>
      <c r="H258" s="1317">
        <f>+SUMIF(asientos!$I$13:$I$1276,SYS_4_3_Digitos!A258,asientos!$J$13:$J$1276)</f>
        <v>0</v>
      </c>
      <c r="I258" s="1314">
        <f t="shared" ca="1" si="28"/>
        <v>0</v>
      </c>
      <c r="J258" s="1315">
        <f t="shared" ca="1" si="29"/>
        <v>0</v>
      </c>
      <c r="L258" s="1308">
        <f t="shared" si="30"/>
        <v>589000000</v>
      </c>
      <c r="M258" s="1296" t="str">
        <f t="shared" si="31"/>
        <v>5890</v>
      </c>
      <c r="N258" s="1309">
        <f t="shared" ca="1" si="32"/>
        <v>0</v>
      </c>
      <c r="O258" s="1296" t="str">
        <f t="shared" si="33"/>
        <v>58</v>
      </c>
    </row>
    <row r="259" spans="1:15" s="1296" customFormat="1">
      <c r="A259" s="1318">
        <v>5933</v>
      </c>
      <c r="B259" s="1319" t="s">
        <v>1701</v>
      </c>
      <c r="C259" s="1320">
        <v>0</v>
      </c>
      <c r="D259" s="1321">
        <v>0</v>
      </c>
      <c r="E259" s="1322">
        <f>IF(+SUMIF(SYS_cliente!$F$5:$F$2500,A259,SYS_cliente!$I$5:$I$2500)+SUMIF(SYS_cliente!$K$5:$K$2500,A259,SYS_cliente!$N$5:$N$2500)+SUMIF(SYS_cliente!$P$5:$P$2500,A259,SYS_cliente!$S$5:$S$2500)&lt;0,0,+SUMIF(SYS_cliente!$F$5:$F$2500,A259,SYS_cliente!$I$5:$I$2500)+SUMIF(SYS_cliente!$K$5:$K$2500,A259,SYS_cliente!$N$5:$N$2500)+SUMIF(SYS_cliente!$P$5:$P$2500,A259,SYS_cliente!$S$5:$S$2500))</f>
        <v>0</v>
      </c>
      <c r="F259" s="1323">
        <f ca="1">IF(+SUMIF(SYS_cliente!$F$5:$F$2500,A259,SYS_cliente!$I$5:$I$1678)+SUMIF(SYS_cliente!$K$5:$K$2500,A259,SYS_cliente!$N$5:$N$1678)+SUMIF(SYS_cliente!$P$5:$P$2500,A259,SYS_cliente!$S$5:$S$1678)&gt;=0,0,-(SUMIF(SYS_cliente!$F$5:$F$2500,A259,SYS_cliente!$I$5:$I$1678)+SUMIF(SYS_cliente!$K$5:$K$2500,A259,SYS_cliente!$N$5:$N$1678)+SUMIF(SYS_cliente!$P$5:$P$2500,A259,SYS_cliente!$S$5:$S$1678)))</f>
        <v>0</v>
      </c>
      <c r="G259" s="1322">
        <f>+SUMIF(asientos!$C$13:$C$1276,SYS_4_3_Digitos!A259,asientos!$B$13:$B$1276)</f>
        <v>0</v>
      </c>
      <c r="H259" s="1323">
        <f>+SUMIF(asientos!$I$13:$I$1276,SYS_4_3_Digitos!A259,asientos!$J$13:$J$1276)</f>
        <v>0</v>
      </c>
      <c r="I259" s="1322">
        <f t="shared" ca="1" si="28"/>
        <v>0</v>
      </c>
      <c r="J259" s="1323">
        <f t="shared" ca="1" si="29"/>
        <v>0</v>
      </c>
      <c r="K259" s="1324"/>
      <c r="L259" s="1325">
        <f t="shared" si="30"/>
        <v>5933000000</v>
      </c>
      <c r="M259" s="1324" t="str">
        <f t="shared" si="31"/>
        <v>5933</v>
      </c>
      <c r="N259" s="1326">
        <f t="shared" ca="1" si="32"/>
        <v>0</v>
      </c>
      <c r="O259" s="1296" t="str">
        <f t="shared" si="33"/>
        <v>59</v>
      </c>
    </row>
    <row r="260" spans="1:15" s="1296" customFormat="1">
      <c r="A260" s="1318">
        <v>5934</v>
      </c>
      <c r="B260" s="1319" t="s">
        <v>1702</v>
      </c>
      <c r="C260" s="1320">
        <v>0</v>
      </c>
      <c r="D260" s="1321">
        <v>0</v>
      </c>
      <c r="E260" s="1322">
        <f>IF(+SUMIF(SYS_cliente!$F$5:$F$2500,A260,SYS_cliente!$I$5:$I$2500)+SUMIF(SYS_cliente!$K$5:$K$2500,A260,SYS_cliente!$N$5:$N$2500)+SUMIF(SYS_cliente!$P$5:$P$2500,A260,SYS_cliente!$S$5:$S$2500)&lt;0,0,+SUMIF(SYS_cliente!$F$5:$F$2500,A260,SYS_cliente!$I$5:$I$2500)+SUMIF(SYS_cliente!$K$5:$K$2500,A260,SYS_cliente!$N$5:$N$2500)+SUMIF(SYS_cliente!$P$5:$P$2500,A260,SYS_cliente!$S$5:$S$2500))</f>
        <v>0</v>
      </c>
      <c r="F260" s="1323">
        <f ca="1">IF(+SUMIF(SYS_cliente!$F$5:$F$2500,A260,SYS_cliente!$I$5:$I$1678)+SUMIF(SYS_cliente!$K$5:$K$2500,A260,SYS_cliente!$N$5:$N$1678)+SUMIF(SYS_cliente!$P$5:$P$2500,A260,SYS_cliente!$S$5:$S$1678)&gt;=0,0,-(SUMIF(SYS_cliente!$F$5:$F$2500,A260,SYS_cliente!$I$5:$I$1678)+SUMIF(SYS_cliente!$K$5:$K$2500,A260,SYS_cliente!$N$5:$N$1678)+SUMIF(SYS_cliente!$P$5:$P$2500,A260,SYS_cliente!$S$5:$S$1678)))</f>
        <v>0</v>
      </c>
      <c r="G260" s="1322">
        <f>+SUMIF(asientos!$C$13:$C$1276,SYS_4_3_Digitos!A260,asientos!$B$13:$B$1276)</f>
        <v>0</v>
      </c>
      <c r="H260" s="1323">
        <f>+SUMIF(asientos!$I$13:$I$1276,SYS_4_3_Digitos!A260,asientos!$J$13:$J$1276)</f>
        <v>0</v>
      </c>
      <c r="I260" s="1322">
        <f t="shared" ca="1" si="28"/>
        <v>0</v>
      </c>
      <c r="J260" s="1323">
        <f t="shared" ca="1" si="29"/>
        <v>0</v>
      </c>
      <c r="K260" s="1324"/>
      <c r="L260" s="1325">
        <f t="shared" si="30"/>
        <v>5934000000</v>
      </c>
      <c r="M260" s="1324" t="str">
        <f t="shared" si="31"/>
        <v>5934</v>
      </c>
      <c r="N260" s="1326">
        <f t="shared" ca="1" si="32"/>
        <v>0</v>
      </c>
      <c r="O260" s="1296" t="str">
        <f t="shared" si="33"/>
        <v>59</v>
      </c>
    </row>
    <row r="261" spans="1:15" s="1296" customFormat="1">
      <c r="A261" s="1318">
        <v>5953</v>
      </c>
      <c r="B261" s="1319" t="s">
        <v>1703</v>
      </c>
      <c r="C261" s="1320">
        <v>0</v>
      </c>
      <c r="D261" s="1321">
        <v>0</v>
      </c>
      <c r="E261" s="1322">
        <f>IF(+SUMIF(SYS_cliente!$F$5:$F$2500,A261,SYS_cliente!$I$5:$I$2500)+SUMIF(SYS_cliente!$K$5:$K$2500,A261,SYS_cliente!$N$5:$N$2500)+SUMIF(SYS_cliente!$P$5:$P$2500,A261,SYS_cliente!$S$5:$S$2500)&lt;0,0,+SUMIF(SYS_cliente!$F$5:$F$2500,A261,SYS_cliente!$I$5:$I$2500)+SUMIF(SYS_cliente!$K$5:$K$2500,A261,SYS_cliente!$N$5:$N$2500)+SUMIF(SYS_cliente!$P$5:$P$2500,A261,SYS_cliente!$S$5:$S$2500))</f>
        <v>0</v>
      </c>
      <c r="F261" s="1323">
        <f ca="1">IF(+SUMIF(SYS_cliente!$F$5:$F$2500,A261,SYS_cliente!$I$5:$I$1678)+SUMIF(SYS_cliente!$K$5:$K$2500,A261,SYS_cliente!$N$5:$N$1678)+SUMIF(SYS_cliente!$P$5:$P$2500,A261,SYS_cliente!$S$5:$S$1678)&gt;=0,0,-(SUMIF(SYS_cliente!$F$5:$F$2500,A261,SYS_cliente!$I$5:$I$1678)+SUMIF(SYS_cliente!$K$5:$K$2500,A261,SYS_cliente!$N$5:$N$1678)+SUMIF(SYS_cliente!$P$5:$P$2500,A261,SYS_cliente!$S$5:$S$1678)))</f>
        <v>0</v>
      </c>
      <c r="G261" s="1322">
        <f>+SUMIF(asientos!$C$13:$C$1276,SYS_4_3_Digitos!A261,asientos!$B$13:$B$1276)</f>
        <v>0</v>
      </c>
      <c r="H261" s="1323">
        <f>+SUMIF(asientos!$I$13:$I$1276,SYS_4_3_Digitos!A261,asientos!$J$13:$J$1276)</f>
        <v>0</v>
      </c>
      <c r="I261" s="1322">
        <f t="shared" ca="1" si="28"/>
        <v>0</v>
      </c>
      <c r="J261" s="1323">
        <f t="shared" ca="1" si="29"/>
        <v>0</v>
      </c>
      <c r="K261" s="1324"/>
      <c r="L261" s="1325">
        <f t="shared" si="30"/>
        <v>5953000000</v>
      </c>
      <c r="M261" s="1324" t="str">
        <f t="shared" si="31"/>
        <v>5953</v>
      </c>
      <c r="N261" s="1326">
        <f t="shared" ca="1" si="32"/>
        <v>0</v>
      </c>
      <c r="O261" s="1296" t="str">
        <f t="shared" si="33"/>
        <v>59</v>
      </c>
    </row>
    <row r="262" spans="1:15" s="1296" customFormat="1">
      <c r="A262" s="1318">
        <v>5954</v>
      </c>
      <c r="B262" s="1319" t="s">
        <v>1704</v>
      </c>
      <c r="C262" s="1320">
        <v>0</v>
      </c>
      <c r="D262" s="1321">
        <v>0</v>
      </c>
      <c r="E262" s="1322">
        <f>IF(+SUMIF(SYS_cliente!$F$5:$F$2500,A262,SYS_cliente!$I$5:$I$2500)+SUMIF(SYS_cliente!$K$5:$K$2500,A262,SYS_cliente!$N$5:$N$2500)+SUMIF(SYS_cliente!$P$5:$P$2500,A262,SYS_cliente!$S$5:$S$2500)&lt;0,0,+SUMIF(SYS_cliente!$F$5:$F$2500,A262,SYS_cliente!$I$5:$I$2500)+SUMIF(SYS_cliente!$K$5:$K$2500,A262,SYS_cliente!$N$5:$N$2500)+SUMIF(SYS_cliente!$P$5:$P$2500,A262,SYS_cliente!$S$5:$S$2500))</f>
        <v>0</v>
      </c>
      <c r="F262" s="1323">
        <f ca="1">IF(+SUMIF(SYS_cliente!$F$5:$F$2500,A262,SYS_cliente!$I$5:$I$1678)+SUMIF(SYS_cliente!$K$5:$K$2500,A262,SYS_cliente!$N$5:$N$1678)+SUMIF(SYS_cliente!$P$5:$P$2500,A262,SYS_cliente!$S$5:$S$1678)&gt;=0,0,-(SUMIF(SYS_cliente!$F$5:$F$2500,A262,SYS_cliente!$I$5:$I$1678)+SUMIF(SYS_cliente!$K$5:$K$2500,A262,SYS_cliente!$N$5:$N$1678)+SUMIF(SYS_cliente!$P$5:$P$2500,A262,SYS_cliente!$S$5:$S$1678)))</f>
        <v>0</v>
      </c>
      <c r="G262" s="1322">
        <f>+SUMIF(asientos!$C$13:$C$1276,SYS_4_3_Digitos!A262,asientos!$B$13:$B$1276)</f>
        <v>0</v>
      </c>
      <c r="H262" s="1323">
        <f>+SUMIF(asientos!$I$13:$I$1276,SYS_4_3_Digitos!A262,asientos!$J$13:$J$1276)</f>
        <v>0</v>
      </c>
      <c r="I262" s="1322">
        <f t="shared" ca="1" si="28"/>
        <v>0</v>
      </c>
      <c r="J262" s="1323">
        <f t="shared" ca="1" si="29"/>
        <v>0</v>
      </c>
      <c r="K262" s="1324"/>
      <c r="L262" s="1325">
        <f t="shared" si="30"/>
        <v>5954000000</v>
      </c>
      <c r="M262" s="1324" t="str">
        <f t="shared" si="31"/>
        <v>5954</v>
      </c>
      <c r="N262" s="1326">
        <f t="shared" ca="1" si="32"/>
        <v>0</v>
      </c>
      <c r="O262" s="1296" t="str">
        <f t="shared" si="33"/>
        <v>59</v>
      </c>
    </row>
    <row r="263" spans="1:15" s="1296" customFormat="1">
      <c r="A263" s="1318">
        <v>5955</v>
      </c>
      <c r="B263" s="1319" t="s">
        <v>1705</v>
      </c>
      <c r="C263" s="1320">
        <v>0</v>
      </c>
      <c r="D263" s="1321">
        <v>0</v>
      </c>
      <c r="E263" s="1322">
        <f>IF(+SUMIF(SYS_cliente!$F$5:$F$2500,A263,SYS_cliente!$I$5:$I$2500)+SUMIF(SYS_cliente!$K$5:$K$2500,A263,SYS_cliente!$N$5:$N$2500)+SUMIF(SYS_cliente!$P$5:$P$2500,A263,SYS_cliente!$S$5:$S$2500)&lt;0,0,+SUMIF(SYS_cliente!$F$5:$F$2500,A263,SYS_cliente!$I$5:$I$2500)+SUMIF(SYS_cliente!$K$5:$K$2500,A263,SYS_cliente!$N$5:$N$2500)+SUMIF(SYS_cliente!$P$5:$P$2500,A263,SYS_cliente!$S$5:$S$2500))</f>
        <v>0</v>
      </c>
      <c r="F263" s="1323">
        <f ca="1">IF(+SUMIF(SYS_cliente!$F$5:$F$2500,A263,SYS_cliente!$I$5:$I$1678)+SUMIF(SYS_cliente!$K$5:$K$2500,A263,SYS_cliente!$N$5:$N$1678)+SUMIF(SYS_cliente!$P$5:$P$2500,A263,SYS_cliente!$S$5:$S$1678)&gt;=0,0,-(SUMIF(SYS_cliente!$F$5:$F$2500,A263,SYS_cliente!$I$5:$I$1678)+SUMIF(SYS_cliente!$K$5:$K$2500,A263,SYS_cliente!$N$5:$N$1678)+SUMIF(SYS_cliente!$P$5:$P$2500,A263,SYS_cliente!$S$5:$S$1678)))</f>
        <v>0</v>
      </c>
      <c r="G263" s="1322">
        <f>+SUMIF(asientos!$C$13:$C$1276,SYS_4_3_Digitos!A263,asientos!$B$13:$B$1276)</f>
        <v>0</v>
      </c>
      <c r="H263" s="1323">
        <f>+SUMIF(asientos!$I$13:$I$1276,SYS_4_3_Digitos!A263,asientos!$J$13:$J$1276)</f>
        <v>0</v>
      </c>
      <c r="I263" s="1322">
        <f t="shared" ca="1" si="28"/>
        <v>0</v>
      </c>
      <c r="J263" s="1323">
        <f t="shared" ca="1" si="29"/>
        <v>0</v>
      </c>
      <c r="K263" s="1324"/>
      <c r="L263" s="1325">
        <f t="shared" si="30"/>
        <v>5955000000</v>
      </c>
      <c r="M263" s="1324" t="str">
        <f t="shared" si="31"/>
        <v>5955</v>
      </c>
      <c r="N263" s="1326">
        <f t="shared" ca="1" si="32"/>
        <v>0</v>
      </c>
      <c r="O263" s="1296" t="str">
        <f t="shared" si="33"/>
        <v>59</v>
      </c>
    </row>
    <row r="264" spans="1:15" s="1296" customFormat="1">
      <c r="A264" s="1310">
        <v>600</v>
      </c>
      <c r="B264" s="1311" t="s">
        <v>506</v>
      </c>
      <c r="C264" s="1312">
        <v>17379503.32</v>
      </c>
      <c r="D264" s="1313">
        <v>0</v>
      </c>
      <c r="E264" s="1314">
        <f>IF(+SUMIF(SYS_cliente!$F$5:$F$2500,A264,SYS_cliente!$I$5:$I$2500)+SUMIF(SYS_cliente!$K$5:$K$2500,A264,SYS_cliente!$N$5:$N$2500)+SUMIF(SYS_cliente!$P$5:$P$2500,A264,SYS_cliente!$S$5:$S$2500)&lt;0,0,+SUMIF(SYS_cliente!$F$5:$F$2500,A264,SYS_cliente!$I$5:$I$2500)+SUMIF(SYS_cliente!$K$5:$K$2500,A264,SYS_cliente!$N$5:$N$2500)+SUMIF(SYS_cliente!$P$5:$P$2500,A264,SYS_cliente!$S$5:$S$2500))</f>
        <v>21680440.560000002</v>
      </c>
      <c r="F264" s="1315">
        <f ca="1">IF(+SUMIF(SYS_cliente!$F$5:$F$2500,A264,SYS_cliente!$I$5:$I$1678)+SUMIF(SYS_cliente!$K$5:$K$2500,A264,SYS_cliente!$N$5:$N$1678)+SUMIF(SYS_cliente!$P$5:$P$2500,A264,SYS_cliente!$S$5:$S$1678)&gt;=0,0,-(SUMIF(SYS_cliente!$F$5:$F$2500,A264,SYS_cliente!$I$5:$I$1678)+SUMIF(SYS_cliente!$K$5:$K$2500,A264,SYS_cliente!$N$5:$N$1678)+SUMIF(SYS_cliente!$P$5:$P$2500,A264,SYS_cliente!$S$5:$S$1678)))</f>
        <v>0</v>
      </c>
      <c r="G264" s="1316">
        <f>+SUMIF(asientos!$C$13:$C$1276,SYS_4_3_Digitos!A264,asientos!$B$13:$B$1276)</f>
        <v>0</v>
      </c>
      <c r="H264" s="1317">
        <f>+SUMIF(asientos!$I$13:$I$1276,SYS_4_3_Digitos!A264,asientos!$J$13:$J$1276)</f>
        <v>0</v>
      </c>
      <c r="I264" s="1314">
        <f t="shared" ca="1" si="28"/>
        <v>21680440.560000002</v>
      </c>
      <c r="J264" s="1315">
        <f t="shared" ca="1" si="29"/>
        <v>0</v>
      </c>
      <c r="L264" s="1308">
        <f t="shared" si="30"/>
        <v>600000000</v>
      </c>
      <c r="M264" s="1296" t="str">
        <f t="shared" si="31"/>
        <v>6000</v>
      </c>
      <c r="N264" s="1309">
        <f t="shared" ca="1" si="32"/>
        <v>21680440.560000002</v>
      </c>
      <c r="O264" s="1296" t="str">
        <f t="shared" si="33"/>
        <v>60</v>
      </c>
    </row>
    <row r="265" spans="1:15" s="1296" customFormat="1">
      <c r="A265" s="1310">
        <v>601</v>
      </c>
      <c r="B265" s="1311" t="s">
        <v>507</v>
      </c>
      <c r="C265" s="1312">
        <v>27639079.339999996</v>
      </c>
      <c r="D265" s="1313">
        <v>0</v>
      </c>
      <c r="E265" s="1314">
        <f>IF(+SUMIF(SYS_cliente!$F$5:$F$2500,A265,SYS_cliente!$I$5:$I$2500)+SUMIF(SYS_cliente!$K$5:$K$2500,A265,SYS_cliente!$N$5:$N$2500)+SUMIF(SYS_cliente!$P$5:$P$2500,A265,SYS_cliente!$S$5:$S$2500)&lt;0,0,+SUMIF(SYS_cliente!$F$5:$F$2500,A265,SYS_cliente!$I$5:$I$2500)+SUMIF(SYS_cliente!$K$5:$K$2500,A265,SYS_cliente!$N$5:$N$2500)+SUMIF(SYS_cliente!$P$5:$P$2500,A265,SYS_cliente!$S$5:$S$2500))</f>
        <v>41519643.559999987</v>
      </c>
      <c r="F265" s="1315">
        <f ca="1">IF(+SUMIF(SYS_cliente!$F$5:$F$2500,A265,SYS_cliente!$I$5:$I$1678)+SUMIF(SYS_cliente!$K$5:$K$2500,A265,SYS_cliente!$N$5:$N$1678)+SUMIF(SYS_cliente!$P$5:$P$2500,A265,SYS_cliente!$S$5:$S$1678)&gt;=0,0,-(SUMIF(SYS_cliente!$F$5:$F$2500,A265,SYS_cliente!$I$5:$I$1678)+SUMIF(SYS_cliente!$K$5:$K$2500,A265,SYS_cliente!$N$5:$N$1678)+SUMIF(SYS_cliente!$P$5:$P$2500,A265,SYS_cliente!$S$5:$S$1678)))</f>
        <v>0</v>
      </c>
      <c r="G265" s="1316">
        <f>+SUMIF(asientos!$C$13:$C$1276,SYS_4_3_Digitos!A265,asientos!$B$13:$B$1276)</f>
        <v>0</v>
      </c>
      <c r="H265" s="1317">
        <f>+SUMIF(asientos!$I$13:$I$1276,SYS_4_3_Digitos!A265,asientos!$J$13:$J$1276)</f>
        <v>0</v>
      </c>
      <c r="I265" s="1314">
        <f t="shared" ca="1" si="28"/>
        <v>41519643.559999987</v>
      </c>
      <c r="J265" s="1315">
        <f t="shared" ca="1" si="29"/>
        <v>0</v>
      </c>
      <c r="L265" s="1308">
        <f t="shared" si="30"/>
        <v>601000000</v>
      </c>
      <c r="M265" s="1296" t="str">
        <f t="shared" si="31"/>
        <v>6010</v>
      </c>
      <c r="N265" s="1309">
        <f t="shared" ca="1" si="32"/>
        <v>41519643.559999987</v>
      </c>
      <c r="O265" s="1296" t="str">
        <f t="shared" si="33"/>
        <v>60</v>
      </c>
    </row>
    <row r="266" spans="1:15" s="1296" customFormat="1">
      <c r="A266" s="1310">
        <v>602</v>
      </c>
      <c r="B266" s="1311" t="s">
        <v>508</v>
      </c>
      <c r="C266" s="1312">
        <v>303228.63</v>
      </c>
      <c r="D266" s="1313">
        <v>0</v>
      </c>
      <c r="E266" s="1314">
        <f>IF(+SUMIF(SYS_cliente!$F$5:$F$2500,A266,SYS_cliente!$I$5:$I$2500)+SUMIF(SYS_cliente!$K$5:$K$2500,A266,SYS_cliente!$N$5:$N$2500)+SUMIF(SYS_cliente!$P$5:$P$2500,A266,SYS_cliente!$S$5:$S$2500)&lt;0,0,+SUMIF(SYS_cliente!$F$5:$F$2500,A266,SYS_cliente!$I$5:$I$2500)+SUMIF(SYS_cliente!$K$5:$K$2500,A266,SYS_cliente!$N$5:$N$2500)+SUMIF(SYS_cliente!$P$5:$P$2500,A266,SYS_cliente!$S$5:$S$2500))</f>
        <v>397772.66</v>
      </c>
      <c r="F266" s="1315">
        <f ca="1">IF(+SUMIF(SYS_cliente!$F$5:$F$2500,A266,SYS_cliente!$I$5:$I$1678)+SUMIF(SYS_cliente!$K$5:$K$2500,A266,SYS_cliente!$N$5:$N$1678)+SUMIF(SYS_cliente!$P$5:$P$2500,A266,SYS_cliente!$S$5:$S$1678)&gt;=0,0,-(SUMIF(SYS_cliente!$F$5:$F$2500,A266,SYS_cliente!$I$5:$I$1678)+SUMIF(SYS_cliente!$K$5:$K$2500,A266,SYS_cliente!$N$5:$N$1678)+SUMIF(SYS_cliente!$P$5:$P$2500,A266,SYS_cliente!$S$5:$S$1678)))</f>
        <v>0</v>
      </c>
      <c r="G266" s="1316">
        <f>+SUMIF(asientos!$C$13:$C$1276,SYS_4_3_Digitos!A266,asientos!$B$13:$B$1276)</f>
        <v>0</v>
      </c>
      <c r="H266" s="1317">
        <f>+SUMIF(asientos!$I$13:$I$1276,SYS_4_3_Digitos!A266,asientos!$J$13:$J$1276)</f>
        <v>0</v>
      </c>
      <c r="I266" s="1314">
        <f t="shared" ca="1" si="28"/>
        <v>397772.66</v>
      </c>
      <c r="J266" s="1315">
        <f t="shared" ca="1" si="29"/>
        <v>0</v>
      </c>
      <c r="L266" s="1308">
        <f t="shared" si="30"/>
        <v>602000000</v>
      </c>
      <c r="M266" s="1296" t="str">
        <f t="shared" si="31"/>
        <v>6020</v>
      </c>
      <c r="N266" s="1309">
        <f t="shared" ca="1" si="32"/>
        <v>397772.66</v>
      </c>
      <c r="O266" s="1296" t="str">
        <f t="shared" si="33"/>
        <v>60</v>
      </c>
    </row>
    <row r="267" spans="1:15" s="1296" customFormat="1">
      <c r="A267" s="1310">
        <v>606</v>
      </c>
      <c r="B267" s="1311" t="s">
        <v>509</v>
      </c>
      <c r="C267" s="1312">
        <v>0</v>
      </c>
      <c r="D267" s="1313">
        <v>862.7</v>
      </c>
      <c r="E267" s="1314">
        <f>IF(+SUMIF(SYS_cliente!$F$5:$F$2500,A267,SYS_cliente!$I$5:$I$2500)+SUMIF(SYS_cliente!$K$5:$K$2500,A267,SYS_cliente!$N$5:$N$2500)+SUMIF(SYS_cliente!$P$5:$P$2500,A267,SYS_cliente!$S$5:$S$2500)&lt;0,0,+SUMIF(SYS_cliente!$F$5:$F$2500,A267,SYS_cliente!$I$5:$I$2500)+SUMIF(SYS_cliente!$K$5:$K$2500,A267,SYS_cliente!$N$5:$N$2500)+SUMIF(SYS_cliente!$P$5:$P$2500,A267,SYS_cliente!$S$5:$S$2500))</f>
        <v>0</v>
      </c>
      <c r="F267" s="1315">
        <f ca="1">IF(+SUMIF(SYS_cliente!$F$5:$F$2500,A267,SYS_cliente!$I$5:$I$1678)+SUMIF(SYS_cliente!$K$5:$K$2500,A267,SYS_cliente!$N$5:$N$1678)+SUMIF(SYS_cliente!$P$5:$P$2500,A267,SYS_cliente!$S$5:$S$1678)&gt;=0,0,-(SUMIF(SYS_cliente!$F$5:$F$2500,A267,SYS_cliente!$I$5:$I$1678)+SUMIF(SYS_cliente!$K$5:$K$2500,A267,SYS_cliente!$N$5:$N$1678)+SUMIF(SYS_cliente!$P$5:$P$2500,A267,SYS_cliente!$S$5:$S$1678)))</f>
        <v>831.47</v>
      </c>
      <c r="G267" s="1316">
        <f>+SUMIF(asientos!$C$13:$C$1276,SYS_4_3_Digitos!A267,asientos!$B$13:$B$1276)</f>
        <v>0</v>
      </c>
      <c r="H267" s="1317">
        <f>+SUMIF(asientos!$I$13:$I$1276,SYS_4_3_Digitos!A267,asientos!$J$13:$J$1276)</f>
        <v>0</v>
      </c>
      <c r="I267" s="1314">
        <f t="shared" ca="1" si="28"/>
        <v>0</v>
      </c>
      <c r="J267" s="1315">
        <f t="shared" ca="1" si="29"/>
        <v>831.47</v>
      </c>
      <c r="L267" s="1308">
        <f t="shared" si="30"/>
        <v>606000000</v>
      </c>
      <c r="M267" s="1296" t="str">
        <f t="shared" si="31"/>
        <v>6060</v>
      </c>
      <c r="N267" s="1309">
        <f t="shared" ca="1" si="32"/>
        <v>-831.47</v>
      </c>
      <c r="O267" s="1296" t="str">
        <f t="shared" si="33"/>
        <v>60</v>
      </c>
    </row>
    <row r="268" spans="1:15" s="1296" customFormat="1">
      <c r="A268" s="1310">
        <v>607</v>
      </c>
      <c r="B268" s="1311" t="s">
        <v>510</v>
      </c>
      <c r="C268" s="1312">
        <v>0</v>
      </c>
      <c r="D268" s="1313">
        <v>0</v>
      </c>
      <c r="E268" s="1314">
        <f>IF(+SUMIF(SYS_cliente!$F$5:$F$2500,A268,SYS_cliente!$I$5:$I$2500)+SUMIF(SYS_cliente!$K$5:$K$2500,A268,SYS_cliente!$N$5:$N$2500)+SUMIF(SYS_cliente!$P$5:$P$2500,A268,SYS_cliente!$S$5:$S$2500)&lt;0,0,+SUMIF(SYS_cliente!$F$5:$F$2500,A268,SYS_cliente!$I$5:$I$2500)+SUMIF(SYS_cliente!$K$5:$K$2500,A268,SYS_cliente!$N$5:$N$2500)+SUMIF(SYS_cliente!$P$5:$P$2500,A268,SYS_cliente!$S$5:$S$2500))</f>
        <v>0</v>
      </c>
      <c r="F268" s="1315">
        <f ca="1">IF(+SUMIF(SYS_cliente!$F$5:$F$2500,A268,SYS_cliente!$I$5:$I$1678)+SUMIF(SYS_cliente!$K$5:$K$2500,A268,SYS_cliente!$N$5:$N$1678)+SUMIF(SYS_cliente!$P$5:$P$2500,A268,SYS_cliente!$S$5:$S$1678)&gt;=0,0,-(SUMIF(SYS_cliente!$F$5:$F$2500,A268,SYS_cliente!$I$5:$I$1678)+SUMIF(SYS_cliente!$K$5:$K$2500,A268,SYS_cliente!$N$5:$N$1678)+SUMIF(SYS_cliente!$P$5:$P$2500,A268,SYS_cliente!$S$5:$S$1678)))</f>
        <v>0</v>
      </c>
      <c r="G268" s="1316">
        <f>+SUMIF(asientos!$C$13:$C$1276,SYS_4_3_Digitos!A268,asientos!$B$13:$B$1276)</f>
        <v>0</v>
      </c>
      <c r="H268" s="1317">
        <f>+SUMIF(asientos!$I$13:$I$1276,SYS_4_3_Digitos!A268,asientos!$J$13:$J$1276)</f>
        <v>0</v>
      </c>
      <c r="I268" s="1314">
        <f t="shared" ca="1" si="28"/>
        <v>0</v>
      </c>
      <c r="J268" s="1315">
        <f t="shared" ca="1" si="29"/>
        <v>0</v>
      </c>
      <c r="L268" s="1308">
        <f t="shared" si="30"/>
        <v>607000000</v>
      </c>
      <c r="M268" s="1296" t="str">
        <f t="shared" si="31"/>
        <v>6070</v>
      </c>
      <c r="N268" s="1309">
        <f t="shared" ca="1" si="32"/>
        <v>0</v>
      </c>
      <c r="O268" s="1296" t="str">
        <f t="shared" si="33"/>
        <v>60</v>
      </c>
    </row>
    <row r="269" spans="1:15" s="1296" customFormat="1">
      <c r="A269" s="1310">
        <v>608</v>
      </c>
      <c r="B269" s="1311" t="s">
        <v>511</v>
      </c>
      <c r="C269" s="1312">
        <v>0</v>
      </c>
      <c r="D269" s="1313">
        <v>0</v>
      </c>
      <c r="E269" s="1314">
        <f>IF(+SUMIF(SYS_cliente!$F$5:$F$2500,A269,SYS_cliente!$I$5:$I$2500)+SUMIF(SYS_cliente!$K$5:$K$2500,A269,SYS_cliente!$N$5:$N$2500)+SUMIF(SYS_cliente!$P$5:$P$2500,A269,SYS_cliente!$S$5:$S$2500)&lt;0,0,+SUMIF(SYS_cliente!$F$5:$F$2500,A269,SYS_cliente!$I$5:$I$2500)+SUMIF(SYS_cliente!$K$5:$K$2500,A269,SYS_cliente!$N$5:$N$2500)+SUMIF(SYS_cliente!$P$5:$P$2500,A269,SYS_cliente!$S$5:$S$2500))</f>
        <v>0</v>
      </c>
      <c r="F269" s="1315">
        <f ca="1">IF(+SUMIF(SYS_cliente!$F$5:$F$2500,A269,SYS_cliente!$I$5:$I$1678)+SUMIF(SYS_cliente!$K$5:$K$2500,A269,SYS_cliente!$N$5:$N$1678)+SUMIF(SYS_cliente!$P$5:$P$2500,A269,SYS_cliente!$S$5:$S$1678)&gt;=0,0,-(SUMIF(SYS_cliente!$F$5:$F$2500,A269,SYS_cliente!$I$5:$I$1678)+SUMIF(SYS_cliente!$K$5:$K$2500,A269,SYS_cliente!$N$5:$N$1678)+SUMIF(SYS_cliente!$P$5:$P$2500,A269,SYS_cliente!$S$5:$S$1678)))</f>
        <v>0</v>
      </c>
      <c r="G269" s="1316">
        <f>+SUMIF(asientos!$C$13:$C$1276,SYS_4_3_Digitos!A269,asientos!$B$13:$B$1276)</f>
        <v>0</v>
      </c>
      <c r="H269" s="1317">
        <f>+SUMIF(asientos!$I$13:$I$1276,SYS_4_3_Digitos!A269,asientos!$J$13:$J$1276)</f>
        <v>0</v>
      </c>
      <c r="I269" s="1314">
        <f t="shared" ca="1" si="28"/>
        <v>0</v>
      </c>
      <c r="J269" s="1315">
        <f t="shared" ca="1" si="29"/>
        <v>0</v>
      </c>
      <c r="L269" s="1308">
        <f t="shared" si="30"/>
        <v>608000000</v>
      </c>
      <c r="M269" s="1296" t="str">
        <f t="shared" si="31"/>
        <v>6080</v>
      </c>
      <c r="N269" s="1309">
        <f t="shared" ca="1" si="32"/>
        <v>0</v>
      </c>
      <c r="O269" s="1296" t="str">
        <f t="shared" si="33"/>
        <v>60</v>
      </c>
    </row>
    <row r="270" spans="1:15" s="1296" customFormat="1">
      <c r="A270" s="1310">
        <v>609</v>
      </c>
      <c r="B270" s="1311" t="s">
        <v>512</v>
      </c>
      <c r="C270" s="1312">
        <v>0</v>
      </c>
      <c r="D270" s="1313">
        <v>0</v>
      </c>
      <c r="E270" s="1314">
        <f>IF(+SUMIF(SYS_cliente!$F$5:$F$2500,A270,SYS_cliente!$I$5:$I$2500)+SUMIF(SYS_cliente!$K$5:$K$2500,A270,SYS_cliente!$N$5:$N$2500)+SUMIF(SYS_cliente!$P$5:$P$2500,A270,SYS_cliente!$S$5:$S$2500)&lt;0,0,+SUMIF(SYS_cliente!$F$5:$F$2500,A270,SYS_cliente!$I$5:$I$2500)+SUMIF(SYS_cliente!$K$5:$K$2500,A270,SYS_cliente!$N$5:$N$2500)+SUMIF(SYS_cliente!$P$5:$P$2500,A270,SYS_cliente!$S$5:$S$2500))</f>
        <v>0</v>
      </c>
      <c r="F270" s="1315">
        <f ca="1">IF(+SUMIF(SYS_cliente!$F$5:$F$2500,A270,SYS_cliente!$I$5:$I$1678)+SUMIF(SYS_cliente!$K$5:$K$2500,A270,SYS_cliente!$N$5:$N$1678)+SUMIF(SYS_cliente!$P$5:$P$2500,A270,SYS_cliente!$S$5:$S$1678)&gt;=0,0,-(SUMIF(SYS_cliente!$F$5:$F$2500,A270,SYS_cliente!$I$5:$I$1678)+SUMIF(SYS_cliente!$K$5:$K$2500,A270,SYS_cliente!$N$5:$N$1678)+SUMIF(SYS_cliente!$P$5:$P$2500,A270,SYS_cliente!$S$5:$S$1678)))</f>
        <v>0</v>
      </c>
      <c r="G270" s="1316">
        <f>+SUMIF(asientos!$C$13:$C$1276,SYS_4_3_Digitos!A270,asientos!$B$13:$B$1276)</f>
        <v>0</v>
      </c>
      <c r="H270" s="1317">
        <f>+SUMIF(asientos!$I$13:$I$1276,SYS_4_3_Digitos!A270,asientos!$J$13:$J$1276)</f>
        <v>0</v>
      </c>
      <c r="I270" s="1314">
        <f t="shared" ca="1" si="28"/>
        <v>0</v>
      </c>
      <c r="J270" s="1315">
        <f t="shared" ca="1" si="29"/>
        <v>0</v>
      </c>
      <c r="L270" s="1308">
        <f t="shared" si="30"/>
        <v>609000000</v>
      </c>
      <c r="M270" s="1296" t="str">
        <f t="shared" si="31"/>
        <v>6090</v>
      </c>
      <c r="N270" s="1309">
        <f t="shared" ca="1" si="32"/>
        <v>0</v>
      </c>
      <c r="O270" s="1296" t="str">
        <f t="shared" si="33"/>
        <v>60</v>
      </c>
    </row>
    <row r="271" spans="1:15" s="1296" customFormat="1">
      <c r="A271" s="1310">
        <v>610</v>
      </c>
      <c r="B271" s="1311" t="s">
        <v>513</v>
      </c>
      <c r="C271" s="1312">
        <v>2503831.9900000002</v>
      </c>
      <c r="D271" s="1313">
        <v>0</v>
      </c>
      <c r="E271" s="1314">
        <f>IF(+SUMIF(SYS_cliente!$F$5:$F$2500,A271,SYS_cliente!$I$5:$I$2500)+SUMIF(SYS_cliente!$K$5:$K$2500,A271,SYS_cliente!$N$5:$N$2500)+SUMIF(SYS_cliente!$P$5:$P$2500,A271,SYS_cliente!$S$5:$S$2500)&lt;0,0,+SUMIF(SYS_cliente!$F$5:$F$2500,A271,SYS_cliente!$I$5:$I$2500)+SUMIF(SYS_cliente!$K$5:$K$2500,A271,SYS_cliente!$N$5:$N$2500)+SUMIF(SYS_cliente!$P$5:$P$2500,A271,SYS_cliente!$S$5:$S$2500))</f>
        <v>0</v>
      </c>
      <c r="F271" s="1315">
        <f ca="1">IF(+SUMIF(SYS_cliente!$F$5:$F$2500,A271,SYS_cliente!$I$5:$I$1678)+SUMIF(SYS_cliente!$K$5:$K$2500,A271,SYS_cliente!$N$5:$N$1678)+SUMIF(SYS_cliente!$P$5:$P$2500,A271,SYS_cliente!$S$5:$S$1678)&gt;=0,0,-(SUMIF(SYS_cliente!$F$5:$F$2500,A271,SYS_cliente!$I$5:$I$1678)+SUMIF(SYS_cliente!$K$5:$K$2500,A271,SYS_cliente!$N$5:$N$1678)+SUMIF(SYS_cliente!$P$5:$P$2500,A271,SYS_cliente!$S$5:$S$1678)))</f>
        <v>1232212.9099999999</v>
      </c>
      <c r="G271" s="1316">
        <f>+SUMIF(asientos!$C$13:$C$1276,SYS_4_3_Digitos!A271,asientos!$B$13:$B$1276)</f>
        <v>0</v>
      </c>
      <c r="H271" s="1317">
        <f>+SUMIF(asientos!$I$13:$I$1276,SYS_4_3_Digitos!A271,asientos!$J$13:$J$1276)</f>
        <v>0</v>
      </c>
      <c r="I271" s="1314">
        <f t="shared" ca="1" si="28"/>
        <v>0</v>
      </c>
      <c r="J271" s="1315">
        <f t="shared" ca="1" si="29"/>
        <v>1232212.9099999999</v>
      </c>
      <c r="L271" s="1308">
        <f t="shared" si="30"/>
        <v>610000000</v>
      </c>
      <c r="M271" s="1296" t="str">
        <f t="shared" si="31"/>
        <v>6100</v>
      </c>
      <c r="N271" s="1309">
        <f t="shared" ca="1" si="32"/>
        <v>-1232212.9099999999</v>
      </c>
      <c r="O271" s="1296" t="str">
        <f t="shared" si="33"/>
        <v>61</v>
      </c>
    </row>
    <row r="272" spans="1:15" s="1296" customFormat="1">
      <c r="A272" s="1310">
        <v>611</v>
      </c>
      <c r="B272" s="1311" t="s">
        <v>514</v>
      </c>
      <c r="C272" s="1312">
        <v>2846097.99</v>
      </c>
      <c r="D272" s="1313">
        <v>0</v>
      </c>
      <c r="E272" s="1314">
        <f>IF(+SUMIF(SYS_cliente!$F$5:$F$2500,A272,SYS_cliente!$I$5:$I$2500)+SUMIF(SYS_cliente!$K$5:$K$2500,A272,SYS_cliente!$N$5:$N$2500)+SUMIF(SYS_cliente!$P$5:$P$2500,A272,SYS_cliente!$S$5:$S$2500)&lt;0,0,+SUMIF(SYS_cliente!$F$5:$F$2500,A272,SYS_cliente!$I$5:$I$2500)+SUMIF(SYS_cliente!$K$5:$K$2500,A272,SYS_cliente!$N$5:$N$2500)+SUMIF(SYS_cliente!$P$5:$P$2500,A272,SYS_cliente!$S$5:$S$2500))</f>
        <v>0</v>
      </c>
      <c r="F272" s="1315">
        <f ca="1">IF(+SUMIF(SYS_cliente!$F$5:$F$2500,A272,SYS_cliente!$I$5:$I$1678)+SUMIF(SYS_cliente!$K$5:$K$2500,A272,SYS_cliente!$N$5:$N$1678)+SUMIF(SYS_cliente!$P$5:$P$2500,A272,SYS_cliente!$S$5:$S$1678)&gt;=0,0,-(SUMIF(SYS_cliente!$F$5:$F$2500,A272,SYS_cliente!$I$5:$I$1678)+SUMIF(SYS_cliente!$K$5:$K$2500,A272,SYS_cliente!$N$5:$N$1678)+SUMIF(SYS_cliente!$P$5:$P$2500,A272,SYS_cliente!$S$5:$S$1678)))</f>
        <v>5456381.5499999998</v>
      </c>
      <c r="G272" s="1316">
        <f>+SUMIF(asientos!$C$13:$C$1276,SYS_4_3_Digitos!A272,asientos!$B$13:$B$1276)</f>
        <v>0</v>
      </c>
      <c r="H272" s="1317">
        <f>+SUMIF(asientos!$I$13:$I$1276,SYS_4_3_Digitos!A272,asientos!$J$13:$J$1276)</f>
        <v>0</v>
      </c>
      <c r="I272" s="1314">
        <f t="shared" ca="1" si="28"/>
        <v>0</v>
      </c>
      <c r="J272" s="1315">
        <f t="shared" ca="1" si="29"/>
        <v>5456381.5499999998</v>
      </c>
      <c r="L272" s="1308">
        <f t="shared" si="30"/>
        <v>611000000</v>
      </c>
      <c r="M272" s="1296" t="str">
        <f t="shared" si="31"/>
        <v>6110</v>
      </c>
      <c r="N272" s="1309">
        <f t="shared" ca="1" si="32"/>
        <v>-5456381.5499999998</v>
      </c>
      <c r="O272" s="1296" t="str">
        <f t="shared" si="33"/>
        <v>61</v>
      </c>
    </row>
    <row r="273" spans="1:15" s="1296" customFormat="1">
      <c r="A273" s="1310">
        <v>612</v>
      </c>
      <c r="B273" s="1311" t="s">
        <v>515</v>
      </c>
      <c r="C273" s="1312">
        <v>87623.64</v>
      </c>
      <c r="D273" s="1313">
        <v>0</v>
      </c>
      <c r="E273" s="1314">
        <f>IF(+SUMIF(SYS_cliente!$F$5:$F$2500,A273,SYS_cliente!$I$5:$I$2500)+SUMIF(SYS_cliente!$K$5:$K$2500,A273,SYS_cliente!$N$5:$N$2500)+SUMIF(SYS_cliente!$P$5:$P$2500,A273,SYS_cliente!$S$5:$S$2500)&lt;0,0,+SUMIF(SYS_cliente!$F$5:$F$2500,A273,SYS_cliente!$I$5:$I$2500)+SUMIF(SYS_cliente!$K$5:$K$2500,A273,SYS_cliente!$N$5:$N$2500)+SUMIF(SYS_cliente!$P$5:$P$2500,A273,SYS_cliente!$S$5:$S$2500))</f>
        <v>25977.61</v>
      </c>
      <c r="F273" s="1315">
        <f ca="1">IF(+SUMIF(SYS_cliente!$F$5:$F$2500,A273,SYS_cliente!$I$5:$I$1678)+SUMIF(SYS_cliente!$K$5:$K$2500,A273,SYS_cliente!$N$5:$N$1678)+SUMIF(SYS_cliente!$P$5:$P$2500,A273,SYS_cliente!$S$5:$S$1678)&gt;=0,0,-(SUMIF(SYS_cliente!$F$5:$F$2500,A273,SYS_cliente!$I$5:$I$1678)+SUMIF(SYS_cliente!$K$5:$K$2500,A273,SYS_cliente!$N$5:$N$1678)+SUMIF(SYS_cliente!$P$5:$P$2500,A273,SYS_cliente!$S$5:$S$1678)))</f>
        <v>0</v>
      </c>
      <c r="G273" s="1316">
        <f>+SUMIF(asientos!$C$13:$C$1276,SYS_4_3_Digitos!A273,asientos!$B$13:$B$1276)</f>
        <v>0</v>
      </c>
      <c r="H273" s="1317">
        <f>+SUMIF(asientos!$I$13:$I$1276,SYS_4_3_Digitos!A273,asientos!$J$13:$J$1276)</f>
        <v>0</v>
      </c>
      <c r="I273" s="1314">
        <f t="shared" ca="1" si="28"/>
        <v>25977.61</v>
      </c>
      <c r="J273" s="1315">
        <f t="shared" ca="1" si="29"/>
        <v>0</v>
      </c>
      <c r="L273" s="1308">
        <f t="shared" si="30"/>
        <v>612000000</v>
      </c>
      <c r="M273" s="1296" t="str">
        <f t="shared" si="31"/>
        <v>6120</v>
      </c>
      <c r="N273" s="1309">
        <f t="shared" ca="1" si="32"/>
        <v>25977.61</v>
      </c>
      <c r="O273" s="1296" t="str">
        <f t="shared" si="33"/>
        <v>61</v>
      </c>
    </row>
    <row r="274" spans="1:15" s="1296" customFormat="1">
      <c r="A274" s="1310">
        <v>620</v>
      </c>
      <c r="B274" s="1311" t="s">
        <v>516</v>
      </c>
      <c r="C274" s="1312">
        <v>0</v>
      </c>
      <c r="D274" s="1313">
        <v>0</v>
      </c>
      <c r="E274" s="1314">
        <f>IF(+SUMIF(SYS_cliente!$F$5:$F$2500,A274,SYS_cliente!$I$5:$I$2500)+SUMIF(SYS_cliente!$K$5:$K$2500,A274,SYS_cliente!$N$5:$N$2500)+SUMIF(SYS_cliente!$P$5:$P$2500,A274,SYS_cliente!$S$5:$S$2500)&lt;0,0,+SUMIF(SYS_cliente!$F$5:$F$2500,A274,SYS_cliente!$I$5:$I$2500)+SUMIF(SYS_cliente!$K$5:$K$2500,A274,SYS_cliente!$N$5:$N$2500)+SUMIF(SYS_cliente!$P$5:$P$2500,A274,SYS_cliente!$S$5:$S$2500))</f>
        <v>0</v>
      </c>
      <c r="F274" s="1315">
        <f ca="1">IF(+SUMIF(SYS_cliente!$F$5:$F$2500,A274,SYS_cliente!$I$5:$I$1678)+SUMIF(SYS_cliente!$K$5:$K$2500,A274,SYS_cliente!$N$5:$N$1678)+SUMIF(SYS_cliente!$P$5:$P$2500,A274,SYS_cliente!$S$5:$S$1678)&gt;=0,0,-(SUMIF(SYS_cliente!$F$5:$F$2500,A274,SYS_cliente!$I$5:$I$1678)+SUMIF(SYS_cliente!$K$5:$K$2500,A274,SYS_cliente!$N$5:$N$1678)+SUMIF(SYS_cliente!$P$5:$P$2500,A274,SYS_cliente!$S$5:$S$1678)))</f>
        <v>0</v>
      </c>
      <c r="G274" s="1316">
        <f>+SUMIF(asientos!$C$13:$C$1276,SYS_4_3_Digitos!A274,asientos!$B$13:$B$1276)</f>
        <v>0</v>
      </c>
      <c r="H274" s="1317">
        <f>+SUMIF(asientos!$I$13:$I$1276,SYS_4_3_Digitos!A274,asientos!$J$13:$J$1276)</f>
        <v>0</v>
      </c>
      <c r="I274" s="1314">
        <f t="shared" ca="1" si="28"/>
        <v>0</v>
      </c>
      <c r="J274" s="1315">
        <f t="shared" ca="1" si="29"/>
        <v>0</v>
      </c>
      <c r="L274" s="1308">
        <f t="shared" si="30"/>
        <v>620000000</v>
      </c>
      <c r="M274" s="1296" t="str">
        <f t="shared" si="31"/>
        <v>6200</v>
      </c>
      <c r="N274" s="1309">
        <f t="shared" ca="1" si="32"/>
        <v>0</v>
      </c>
      <c r="O274" s="1296" t="str">
        <f t="shared" si="33"/>
        <v>62</v>
      </c>
    </row>
    <row r="275" spans="1:15" s="1296" customFormat="1">
      <c r="A275" s="1310">
        <v>621</v>
      </c>
      <c r="B275" s="1311" t="s">
        <v>517</v>
      </c>
      <c r="C275" s="1312">
        <v>49261.04</v>
      </c>
      <c r="D275" s="1313">
        <v>0</v>
      </c>
      <c r="E275" s="1314">
        <f>IF(+SUMIF(SYS_cliente!$F$5:$F$2500,A275,SYS_cliente!$I$5:$I$2500)+SUMIF(SYS_cliente!$K$5:$K$2500,A275,SYS_cliente!$N$5:$N$2500)+SUMIF(SYS_cliente!$P$5:$P$2500,A275,SYS_cliente!$S$5:$S$2500)&lt;0,0,+SUMIF(SYS_cliente!$F$5:$F$2500,A275,SYS_cliente!$I$5:$I$2500)+SUMIF(SYS_cliente!$K$5:$K$2500,A275,SYS_cliente!$N$5:$N$2500)+SUMIF(SYS_cliente!$P$5:$P$2500,A275,SYS_cliente!$S$5:$S$2500))</f>
        <v>45607.610000000008</v>
      </c>
      <c r="F275" s="1315">
        <f ca="1">IF(+SUMIF(SYS_cliente!$F$5:$F$2500,A275,SYS_cliente!$I$5:$I$1678)+SUMIF(SYS_cliente!$K$5:$K$2500,A275,SYS_cliente!$N$5:$N$1678)+SUMIF(SYS_cliente!$P$5:$P$2500,A275,SYS_cliente!$S$5:$S$1678)&gt;=0,0,-(SUMIF(SYS_cliente!$F$5:$F$2500,A275,SYS_cliente!$I$5:$I$1678)+SUMIF(SYS_cliente!$K$5:$K$2500,A275,SYS_cliente!$N$5:$N$1678)+SUMIF(SYS_cliente!$P$5:$P$2500,A275,SYS_cliente!$S$5:$S$1678)))</f>
        <v>0</v>
      </c>
      <c r="G275" s="1316">
        <f>+SUMIF(asientos!$C$13:$C$1276,SYS_4_3_Digitos!A275,asientos!$B$13:$B$1276)</f>
        <v>0</v>
      </c>
      <c r="H275" s="1317">
        <f>+SUMIF(asientos!$I$13:$I$1276,SYS_4_3_Digitos!A275,asientos!$J$13:$J$1276)</f>
        <v>0</v>
      </c>
      <c r="I275" s="1314">
        <f t="shared" ca="1" si="28"/>
        <v>45607.610000000008</v>
      </c>
      <c r="J275" s="1315">
        <f t="shared" ca="1" si="29"/>
        <v>0</v>
      </c>
      <c r="L275" s="1308">
        <f t="shared" si="30"/>
        <v>621000000</v>
      </c>
      <c r="M275" s="1296" t="str">
        <f t="shared" si="31"/>
        <v>6210</v>
      </c>
      <c r="N275" s="1309">
        <f t="shared" ca="1" si="32"/>
        <v>45607.610000000008</v>
      </c>
      <c r="O275" s="1296" t="str">
        <f t="shared" si="33"/>
        <v>62</v>
      </c>
    </row>
    <row r="276" spans="1:15" s="1296" customFormat="1">
      <c r="A276" s="1310">
        <v>622</v>
      </c>
      <c r="B276" s="1311" t="s">
        <v>518</v>
      </c>
      <c r="C276" s="1312">
        <v>354780.66</v>
      </c>
      <c r="D276" s="1313">
        <v>0</v>
      </c>
      <c r="E276" s="1314">
        <f>IF(+SUMIF(SYS_cliente!$F$5:$F$2500,A276,SYS_cliente!$I$5:$I$2500)+SUMIF(SYS_cliente!$K$5:$K$2500,A276,SYS_cliente!$N$5:$N$2500)+SUMIF(SYS_cliente!$P$5:$P$2500,A276,SYS_cliente!$S$5:$S$2500)&lt;0,0,+SUMIF(SYS_cliente!$F$5:$F$2500,A276,SYS_cliente!$I$5:$I$2500)+SUMIF(SYS_cliente!$K$5:$K$2500,A276,SYS_cliente!$N$5:$N$2500)+SUMIF(SYS_cliente!$P$5:$P$2500,A276,SYS_cliente!$S$5:$S$2500))</f>
        <v>408157.99</v>
      </c>
      <c r="F276" s="1315">
        <f ca="1">IF(+SUMIF(SYS_cliente!$F$5:$F$2500,A276,SYS_cliente!$I$5:$I$1678)+SUMIF(SYS_cliente!$K$5:$K$2500,A276,SYS_cliente!$N$5:$N$1678)+SUMIF(SYS_cliente!$P$5:$P$2500,A276,SYS_cliente!$S$5:$S$1678)&gt;=0,0,-(SUMIF(SYS_cliente!$F$5:$F$2500,A276,SYS_cliente!$I$5:$I$1678)+SUMIF(SYS_cliente!$K$5:$K$2500,A276,SYS_cliente!$N$5:$N$1678)+SUMIF(SYS_cliente!$P$5:$P$2500,A276,SYS_cliente!$S$5:$S$1678)))</f>
        <v>0</v>
      </c>
      <c r="G276" s="1316">
        <f>+SUMIF(asientos!$C$13:$C$1276,SYS_4_3_Digitos!A276,asientos!$B$13:$B$1276)</f>
        <v>0</v>
      </c>
      <c r="H276" s="1317">
        <f>+SUMIF(asientos!$I$13:$I$1276,SYS_4_3_Digitos!A276,asientos!$J$13:$J$1276)</f>
        <v>0</v>
      </c>
      <c r="I276" s="1314">
        <f t="shared" ca="1" si="28"/>
        <v>408157.99</v>
      </c>
      <c r="J276" s="1315">
        <f t="shared" ca="1" si="29"/>
        <v>0</v>
      </c>
      <c r="L276" s="1308">
        <f t="shared" si="30"/>
        <v>622000000</v>
      </c>
      <c r="M276" s="1296" t="str">
        <f t="shared" si="31"/>
        <v>6220</v>
      </c>
      <c r="N276" s="1309">
        <f t="shared" ca="1" si="32"/>
        <v>408157.99</v>
      </c>
      <c r="O276" s="1296" t="str">
        <f t="shared" si="33"/>
        <v>62</v>
      </c>
    </row>
    <row r="277" spans="1:15" s="1296" customFormat="1">
      <c r="A277" s="1310">
        <v>623</v>
      </c>
      <c r="B277" s="1311" t="s">
        <v>519</v>
      </c>
      <c r="C277" s="1312">
        <v>740022.36</v>
      </c>
      <c r="D277" s="1313">
        <v>0</v>
      </c>
      <c r="E277" s="1314">
        <f>IF(+SUMIF(SYS_cliente!$F$5:$F$2500,A277,SYS_cliente!$I$5:$I$2500)+SUMIF(SYS_cliente!$K$5:$K$2500,A277,SYS_cliente!$N$5:$N$2500)+SUMIF(SYS_cliente!$P$5:$P$2500,A277,SYS_cliente!$S$5:$S$2500)&lt;0,0,+SUMIF(SYS_cliente!$F$5:$F$2500,A277,SYS_cliente!$I$5:$I$2500)+SUMIF(SYS_cliente!$K$5:$K$2500,A277,SYS_cliente!$N$5:$N$2500)+SUMIF(SYS_cliente!$P$5:$P$2500,A277,SYS_cliente!$S$5:$S$2500))</f>
        <v>1289990.83</v>
      </c>
      <c r="F277" s="1315">
        <f ca="1">IF(+SUMIF(SYS_cliente!$F$5:$F$2500,A277,SYS_cliente!$I$5:$I$1678)+SUMIF(SYS_cliente!$K$5:$K$2500,A277,SYS_cliente!$N$5:$N$1678)+SUMIF(SYS_cliente!$P$5:$P$2500,A277,SYS_cliente!$S$5:$S$1678)&gt;=0,0,-(SUMIF(SYS_cliente!$F$5:$F$2500,A277,SYS_cliente!$I$5:$I$1678)+SUMIF(SYS_cliente!$K$5:$K$2500,A277,SYS_cliente!$N$5:$N$1678)+SUMIF(SYS_cliente!$P$5:$P$2500,A277,SYS_cliente!$S$5:$S$1678)))</f>
        <v>0</v>
      </c>
      <c r="G277" s="1316">
        <f>+SUMIF(asientos!$C$13:$C$1276,SYS_4_3_Digitos!A277,asientos!$B$13:$B$1276)</f>
        <v>0</v>
      </c>
      <c r="H277" s="1317">
        <f>+SUMIF(asientos!$I$13:$I$1276,SYS_4_3_Digitos!A277,asientos!$J$13:$J$1276)</f>
        <v>0</v>
      </c>
      <c r="I277" s="1314">
        <f t="shared" ca="1" si="28"/>
        <v>1289990.83</v>
      </c>
      <c r="J277" s="1315">
        <f t="shared" ca="1" si="29"/>
        <v>0</v>
      </c>
      <c r="L277" s="1308">
        <f t="shared" si="30"/>
        <v>623000000</v>
      </c>
      <c r="M277" s="1296" t="str">
        <f t="shared" si="31"/>
        <v>6230</v>
      </c>
      <c r="N277" s="1309">
        <f t="shared" ca="1" si="32"/>
        <v>1289990.83</v>
      </c>
      <c r="O277" s="1296" t="str">
        <f t="shared" si="33"/>
        <v>62</v>
      </c>
    </row>
    <row r="278" spans="1:15" s="1296" customFormat="1">
      <c r="A278" s="1310">
        <v>624</v>
      </c>
      <c r="B278" s="1311" t="s">
        <v>520</v>
      </c>
      <c r="C278" s="1312">
        <v>844797.95</v>
      </c>
      <c r="D278" s="1313">
        <v>0</v>
      </c>
      <c r="E278" s="1314">
        <f>IF(+SUMIF(SYS_cliente!$F$5:$F$2500,A278,SYS_cliente!$I$5:$I$2500)+SUMIF(SYS_cliente!$K$5:$K$2500,A278,SYS_cliente!$N$5:$N$2500)+SUMIF(SYS_cliente!$P$5:$P$2500,A278,SYS_cliente!$S$5:$S$2500)&lt;0,0,+SUMIF(SYS_cliente!$F$5:$F$2500,A278,SYS_cliente!$I$5:$I$2500)+SUMIF(SYS_cliente!$K$5:$K$2500,A278,SYS_cliente!$N$5:$N$2500)+SUMIF(SYS_cliente!$P$5:$P$2500,A278,SYS_cliente!$S$5:$S$2500))</f>
        <v>969386.08000000007</v>
      </c>
      <c r="F278" s="1315">
        <f ca="1">IF(+SUMIF(SYS_cliente!$F$5:$F$2500,A278,SYS_cliente!$I$5:$I$1678)+SUMIF(SYS_cliente!$K$5:$K$2500,A278,SYS_cliente!$N$5:$N$1678)+SUMIF(SYS_cliente!$P$5:$P$2500,A278,SYS_cliente!$S$5:$S$1678)&gt;=0,0,-(SUMIF(SYS_cliente!$F$5:$F$2500,A278,SYS_cliente!$I$5:$I$1678)+SUMIF(SYS_cliente!$K$5:$K$2500,A278,SYS_cliente!$N$5:$N$1678)+SUMIF(SYS_cliente!$P$5:$P$2500,A278,SYS_cliente!$S$5:$S$1678)))</f>
        <v>0</v>
      </c>
      <c r="G278" s="1316">
        <f>+SUMIF(asientos!$C$13:$C$1276,SYS_4_3_Digitos!A278,asientos!$B$13:$B$1276)</f>
        <v>0</v>
      </c>
      <c r="H278" s="1317">
        <f>+SUMIF(asientos!$I$13:$I$1276,SYS_4_3_Digitos!A278,asientos!$J$13:$J$1276)</f>
        <v>0</v>
      </c>
      <c r="I278" s="1314">
        <f t="shared" ca="1" si="28"/>
        <v>969386.08000000007</v>
      </c>
      <c r="J278" s="1315">
        <f t="shared" ca="1" si="29"/>
        <v>0</v>
      </c>
      <c r="L278" s="1308">
        <f t="shared" si="30"/>
        <v>624000000</v>
      </c>
      <c r="M278" s="1296" t="str">
        <f t="shared" si="31"/>
        <v>6240</v>
      </c>
      <c r="N278" s="1309">
        <f t="shared" ca="1" si="32"/>
        <v>969386.08000000007</v>
      </c>
      <c r="O278" s="1296" t="str">
        <f t="shared" si="33"/>
        <v>62</v>
      </c>
    </row>
    <row r="279" spans="1:15" s="1296" customFormat="1">
      <c r="A279" s="1310">
        <v>625</v>
      </c>
      <c r="B279" s="1311" t="s">
        <v>521</v>
      </c>
      <c r="C279" s="1312">
        <v>137624.4</v>
      </c>
      <c r="D279" s="1313">
        <v>0</v>
      </c>
      <c r="E279" s="1314">
        <f>IF(+SUMIF(SYS_cliente!$F$5:$F$2500,A279,SYS_cliente!$I$5:$I$2500)+SUMIF(SYS_cliente!$K$5:$K$2500,A279,SYS_cliente!$N$5:$N$2500)+SUMIF(SYS_cliente!$P$5:$P$2500,A279,SYS_cliente!$S$5:$S$2500)&lt;0,0,+SUMIF(SYS_cliente!$F$5:$F$2500,A279,SYS_cliente!$I$5:$I$2500)+SUMIF(SYS_cliente!$K$5:$K$2500,A279,SYS_cliente!$N$5:$N$2500)+SUMIF(SYS_cliente!$P$5:$P$2500,A279,SYS_cliente!$S$5:$S$2500))</f>
        <v>103906.21</v>
      </c>
      <c r="F279" s="1315">
        <f ca="1">IF(+SUMIF(SYS_cliente!$F$5:$F$2500,A279,SYS_cliente!$I$5:$I$1678)+SUMIF(SYS_cliente!$K$5:$K$2500,A279,SYS_cliente!$N$5:$N$1678)+SUMIF(SYS_cliente!$P$5:$P$2500,A279,SYS_cliente!$S$5:$S$1678)&gt;=0,0,-(SUMIF(SYS_cliente!$F$5:$F$2500,A279,SYS_cliente!$I$5:$I$1678)+SUMIF(SYS_cliente!$K$5:$K$2500,A279,SYS_cliente!$N$5:$N$1678)+SUMIF(SYS_cliente!$P$5:$P$2500,A279,SYS_cliente!$S$5:$S$1678)))</f>
        <v>0</v>
      </c>
      <c r="G279" s="1316">
        <f>+SUMIF(asientos!$C$13:$C$1276,SYS_4_3_Digitos!A279,asientos!$B$13:$B$1276)</f>
        <v>0</v>
      </c>
      <c r="H279" s="1317">
        <f>+SUMIF(asientos!$I$13:$I$1276,SYS_4_3_Digitos!A279,asientos!$J$13:$J$1276)</f>
        <v>0</v>
      </c>
      <c r="I279" s="1314">
        <f t="shared" ca="1" si="28"/>
        <v>103906.21</v>
      </c>
      <c r="J279" s="1315">
        <f t="shared" ca="1" si="29"/>
        <v>0</v>
      </c>
      <c r="L279" s="1308">
        <f t="shared" si="30"/>
        <v>625000000</v>
      </c>
      <c r="M279" s="1296" t="str">
        <f t="shared" si="31"/>
        <v>6250</v>
      </c>
      <c r="N279" s="1309">
        <f t="shared" ca="1" si="32"/>
        <v>103906.21</v>
      </c>
      <c r="O279" s="1296" t="str">
        <f t="shared" si="33"/>
        <v>62</v>
      </c>
    </row>
    <row r="280" spans="1:15" s="1296" customFormat="1">
      <c r="A280" s="1310">
        <v>626</v>
      </c>
      <c r="B280" s="1311" t="s">
        <v>522</v>
      </c>
      <c r="C280" s="1312">
        <v>52629.520000000004</v>
      </c>
      <c r="D280" s="1313">
        <v>0</v>
      </c>
      <c r="E280" s="1314">
        <f>IF(+SUMIF(SYS_cliente!$F$5:$F$2500,A280,SYS_cliente!$I$5:$I$2500)+SUMIF(SYS_cliente!$K$5:$K$2500,A280,SYS_cliente!$N$5:$N$2500)+SUMIF(SYS_cliente!$P$5:$P$2500,A280,SYS_cliente!$S$5:$S$2500)&lt;0,0,+SUMIF(SYS_cliente!$F$5:$F$2500,A280,SYS_cliente!$I$5:$I$2500)+SUMIF(SYS_cliente!$K$5:$K$2500,A280,SYS_cliente!$N$5:$N$2500)+SUMIF(SYS_cliente!$P$5:$P$2500,A280,SYS_cliente!$S$5:$S$2500))</f>
        <v>58684.98</v>
      </c>
      <c r="F280" s="1315">
        <f ca="1">IF(+SUMIF(SYS_cliente!$F$5:$F$2500,A280,SYS_cliente!$I$5:$I$1678)+SUMIF(SYS_cliente!$K$5:$K$2500,A280,SYS_cliente!$N$5:$N$1678)+SUMIF(SYS_cliente!$P$5:$P$2500,A280,SYS_cliente!$S$5:$S$1678)&gt;=0,0,-(SUMIF(SYS_cliente!$F$5:$F$2500,A280,SYS_cliente!$I$5:$I$1678)+SUMIF(SYS_cliente!$K$5:$K$2500,A280,SYS_cliente!$N$5:$N$1678)+SUMIF(SYS_cliente!$P$5:$P$2500,A280,SYS_cliente!$S$5:$S$1678)))</f>
        <v>0</v>
      </c>
      <c r="G280" s="1316">
        <f>+SUMIF(asientos!$C$13:$C$1276,SYS_4_3_Digitos!A280,asientos!$B$13:$B$1276)</f>
        <v>0</v>
      </c>
      <c r="H280" s="1317">
        <f>+SUMIF(asientos!$I$13:$I$1276,SYS_4_3_Digitos!A280,asientos!$J$13:$J$1276)</f>
        <v>0</v>
      </c>
      <c r="I280" s="1314">
        <f t="shared" ca="1" si="28"/>
        <v>58684.98</v>
      </c>
      <c r="J280" s="1315">
        <f t="shared" ca="1" si="29"/>
        <v>0</v>
      </c>
      <c r="L280" s="1308">
        <f t="shared" si="30"/>
        <v>626000000</v>
      </c>
      <c r="M280" s="1296" t="str">
        <f t="shared" si="31"/>
        <v>6260</v>
      </c>
      <c r="N280" s="1309">
        <f t="shared" ca="1" si="32"/>
        <v>58684.98</v>
      </c>
      <c r="O280" s="1296" t="str">
        <f t="shared" si="33"/>
        <v>62</v>
      </c>
    </row>
    <row r="281" spans="1:15" s="1296" customFormat="1">
      <c r="A281" s="1310">
        <v>627</v>
      </c>
      <c r="B281" s="1311" t="s">
        <v>2032</v>
      </c>
      <c r="C281" s="1312">
        <v>71994.850000000006</v>
      </c>
      <c r="D281" s="1313">
        <v>0</v>
      </c>
      <c r="E281" s="1314">
        <f>IF(+SUMIF(SYS_cliente!$F$5:$F$2500,A281,SYS_cliente!$I$5:$I$2500)+SUMIF(SYS_cliente!$K$5:$K$2500,A281,SYS_cliente!$N$5:$N$2500)+SUMIF(SYS_cliente!$P$5:$P$2500,A281,SYS_cliente!$S$5:$S$2500)&lt;0,0,+SUMIF(SYS_cliente!$F$5:$F$2500,A281,SYS_cliente!$I$5:$I$2500)+SUMIF(SYS_cliente!$K$5:$K$2500,A281,SYS_cliente!$N$5:$N$2500)+SUMIF(SYS_cliente!$P$5:$P$2500,A281,SYS_cliente!$S$5:$S$2500))</f>
        <v>49008.95</v>
      </c>
      <c r="F281" s="1315">
        <f ca="1">IF(+SUMIF(SYS_cliente!$F$5:$F$2500,A281,SYS_cliente!$I$5:$I$1678)+SUMIF(SYS_cliente!$K$5:$K$2500,A281,SYS_cliente!$N$5:$N$1678)+SUMIF(SYS_cliente!$P$5:$P$2500,A281,SYS_cliente!$S$5:$S$1678)&gt;=0,0,-(SUMIF(SYS_cliente!$F$5:$F$2500,A281,SYS_cliente!$I$5:$I$1678)+SUMIF(SYS_cliente!$K$5:$K$2500,A281,SYS_cliente!$N$5:$N$1678)+SUMIF(SYS_cliente!$P$5:$P$2500,A281,SYS_cliente!$S$5:$S$1678)))</f>
        <v>0</v>
      </c>
      <c r="G281" s="1316">
        <f>+SUMIF(asientos!$C$13:$C$1276,SYS_4_3_Digitos!A281,asientos!$B$13:$B$1276)</f>
        <v>0</v>
      </c>
      <c r="H281" s="1317">
        <f>+SUMIF(asientos!$I$13:$I$1276,SYS_4_3_Digitos!A281,asientos!$J$13:$J$1276)</f>
        <v>0</v>
      </c>
      <c r="I281" s="1314">
        <f t="shared" ca="1" si="28"/>
        <v>49008.95</v>
      </c>
      <c r="J281" s="1315">
        <f t="shared" ca="1" si="29"/>
        <v>0</v>
      </c>
      <c r="L281" s="1308">
        <f t="shared" si="30"/>
        <v>627000000</v>
      </c>
      <c r="M281" s="1296" t="str">
        <f t="shared" si="31"/>
        <v>6270</v>
      </c>
      <c r="N281" s="1309">
        <f t="shared" ca="1" si="32"/>
        <v>49008.95</v>
      </c>
      <c r="O281" s="1296" t="str">
        <f t="shared" si="33"/>
        <v>62</v>
      </c>
    </row>
    <row r="282" spans="1:15" s="1296" customFormat="1">
      <c r="A282" s="1310">
        <v>628</v>
      </c>
      <c r="B282" s="1311" t="s">
        <v>523</v>
      </c>
      <c r="C282" s="1312">
        <v>1619770.5000000005</v>
      </c>
      <c r="D282" s="1313">
        <v>0</v>
      </c>
      <c r="E282" s="1314">
        <f>IF(+SUMIF(SYS_cliente!$F$5:$F$2500,A282,SYS_cliente!$I$5:$I$2500)+SUMIF(SYS_cliente!$K$5:$K$2500,A282,SYS_cliente!$N$5:$N$2500)+SUMIF(SYS_cliente!$P$5:$P$2500,A282,SYS_cliente!$S$5:$S$2500)&lt;0,0,+SUMIF(SYS_cliente!$F$5:$F$2500,A282,SYS_cliente!$I$5:$I$2500)+SUMIF(SYS_cliente!$K$5:$K$2500,A282,SYS_cliente!$N$5:$N$2500)+SUMIF(SYS_cliente!$P$5:$P$2500,A282,SYS_cliente!$S$5:$S$2500))</f>
        <v>1387300.6999999995</v>
      </c>
      <c r="F282" s="1315">
        <f ca="1">IF(+SUMIF(SYS_cliente!$F$5:$F$2500,A282,SYS_cliente!$I$5:$I$1678)+SUMIF(SYS_cliente!$K$5:$K$2500,A282,SYS_cliente!$N$5:$N$1678)+SUMIF(SYS_cliente!$P$5:$P$2500,A282,SYS_cliente!$S$5:$S$1678)&gt;=0,0,-(SUMIF(SYS_cliente!$F$5:$F$2500,A282,SYS_cliente!$I$5:$I$1678)+SUMIF(SYS_cliente!$K$5:$K$2500,A282,SYS_cliente!$N$5:$N$1678)+SUMIF(SYS_cliente!$P$5:$P$2500,A282,SYS_cliente!$S$5:$S$1678)))</f>
        <v>0</v>
      </c>
      <c r="G282" s="1316">
        <f>+SUMIF(asientos!$C$13:$C$1276,SYS_4_3_Digitos!A282,asientos!$B$13:$B$1276)</f>
        <v>0</v>
      </c>
      <c r="H282" s="1317">
        <f>+SUMIF(asientos!$I$13:$I$1276,SYS_4_3_Digitos!A282,asientos!$J$13:$J$1276)</f>
        <v>0</v>
      </c>
      <c r="I282" s="1314">
        <f t="shared" ca="1" si="28"/>
        <v>1387300.6999999995</v>
      </c>
      <c r="J282" s="1315">
        <f t="shared" ca="1" si="29"/>
        <v>0</v>
      </c>
      <c r="L282" s="1308">
        <f t="shared" si="30"/>
        <v>628000000</v>
      </c>
      <c r="M282" s="1296" t="str">
        <f t="shared" si="31"/>
        <v>6280</v>
      </c>
      <c r="N282" s="1309">
        <f t="shared" ca="1" si="32"/>
        <v>1387300.6999999995</v>
      </c>
      <c r="O282" s="1296" t="str">
        <f t="shared" si="33"/>
        <v>62</v>
      </c>
    </row>
    <row r="283" spans="1:15" s="1296" customFormat="1">
      <c r="A283" s="1310">
        <v>629</v>
      </c>
      <c r="B283" s="1311" t="s">
        <v>524</v>
      </c>
      <c r="C283" s="1312">
        <v>378787.1</v>
      </c>
      <c r="D283" s="1313">
        <v>0</v>
      </c>
      <c r="E283" s="1314">
        <f>IF(+SUMIF(SYS_cliente!$F$5:$F$2500,A283,SYS_cliente!$I$5:$I$2500)+SUMIF(SYS_cliente!$K$5:$K$2500,A283,SYS_cliente!$N$5:$N$2500)+SUMIF(SYS_cliente!$P$5:$P$2500,A283,SYS_cliente!$S$5:$S$2500)&lt;0,0,+SUMIF(SYS_cliente!$F$5:$F$2500,A283,SYS_cliente!$I$5:$I$2500)+SUMIF(SYS_cliente!$K$5:$K$2500,A283,SYS_cliente!$N$5:$N$2500)+SUMIF(SYS_cliente!$P$5:$P$2500,A283,SYS_cliente!$S$5:$S$2500))</f>
        <v>367677.30000000005</v>
      </c>
      <c r="F283" s="1315">
        <f ca="1">IF(+SUMIF(SYS_cliente!$F$5:$F$2500,A283,SYS_cliente!$I$5:$I$1678)+SUMIF(SYS_cliente!$K$5:$K$2500,A283,SYS_cliente!$N$5:$N$1678)+SUMIF(SYS_cliente!$P$5:$P$2500,A283,SYS_cliente!$S$5:$S$1678)&gt;=0,0,-(SUMIF(SYS_cliente!$F$5:$F$2500,A283,SYS_cliente!$I$5:$I$1678)+SUMIF(SYS_cliente!$K$5:$K$2500,A283,SYS_cliente!$N$5:$N$1678)+SUMIF(SYS_cliente!$P$5:$P$2500,A283,SYS_cliente!$S$5:$S$1678)))</f>
        <v>0</v>
      </c>
      <c r="G283" s="1316">
        <f>+SUMIF(asientos!$C$13:$C$1276,SYS_4_3_Digitos!A283,asientos!$B$13:$B$1276)</f>
        <v>0</v>
      </c>
      <c r="H283" s="1317">
        <f>+SUMIF(asientos!$I$13:$I$1276,SYS_4_3_Digitos!A283,asientos!$J$13:$J$1276)</f>
        <v>0</v>
      </c>
      <c r="I283" s="1314">
        <f t="shared" ca="1" si="28"/>
        <v>367677.30000000005</v>
      </c>
      <c r="J283" s="1315">
        <f t="shared" ca="1" si="29"/>
        <v>0</v>
      </c>
      <c r="L283" s="1308">
        <f t="shared" si="30"/>
        <v>629000000</v>
      </c>
      <c r="M283" s="1296" t="str">
        <f t="shared" si="31"/>
        <v>6290</v>
      </c>
      <c r="N283" s="1309">
        <f t="shared" ca="1" si="32"/>
        <v>367677.30000000005</v>
      </c>
      <c r="O283" s="1296" t="str">
        <f t="shared" si="33"/>
        <v>62</v>
      </c>
    </row>
    <row r="284" spans="1:15" s="1296" customFormat="1">
      <c r="A284" s="1310">
        <v>6300</v>
      </c>
      <c r="B284" s="1311" t="s">
        <v>525</v>
      </c>
      <c r="C284" s="1312">
        <v>1753758.73</v>
      </c>
      <c r="D284" s="1313">
        <v>0</v>
      </c>
      <c r="E284" s="1314">
        <f>IF(+SUMIF(SYS_cliente!$F$5:$F$2500,A284,SYS_cliente!$I$5:$I$2500)+SUMIF(SYS_cliente!$K$5:$K$2500,A284,SYS_cliente!$N$5:$N$2500)+SUMIF(SYS_cliente!$P$5:$P$2500,A284,SYS_cliente!$S$5:$S$2500)&lt;0,0,+SUMIF(SYS_cliente!$F$5:$F$2500,A284,SYS_cliente!$I$5:$I$2500)+SUMIF(SYS_cliente!$K$5:$K$2500,A284,SYS_cliente!$N$5:$N$2500)+SUMIF(SYS_cliente!$P$5:$P$2500,A284,SYS_cliente!$S$5:$S$2500))</f>
        <v>0</v>
      </c>
      <c r="F284" s="1315">
        <f ca="1">IF(+SUMIF(SYS_cliente!$F$5:$F$2500,A284,SYS_cliente!$I$5:$I$1678)+SUMIF(SYS_cliente!$K$5:$K$2500,A284,SYS_cliente!$N$5:$N$1678)+SUMIF(SYS_cliente!$P$5:$P$2500,A284,SYS_cliente!$S$5:$S$1678)&gt;=0,0,-(SUMIF(SYS_cliente!$F$5:$F$2500,A284,SYS_cliente!$I$5:$I$1678)+SUMIF(SYS_cliente!$K$5:$K$2500,A284,SYS_cliente!$N$5:$N$1678)+SUMIF(SYS_cliente!$P$5:$P$2500,A284,SYS_cliente!$S$5:$S$1678)))</f>
        <v>0</v>
      </c>
      <c r="G284" s="1316">
        <f>+SUMIF(asientos!$C$13:$C$1276,SYS_4_3_Digitos!A284,asientos!$B$13:$B$1276)</f>
        <v>2477666.92</v>
      </c>
      <c r="H284" s="1317">
        <f>+SUMIF(asientos!$I$13:$I$1276,SYS_4_3_Digitos!A284,asientos!$J$13:$J$1276)</f>
        <v>0</v>
      </c>
      <c r="I284" s="1314">
        <f t="shared" ca="1" si="28"/>
        <v>2477666.92</v>
      </c>
      <c r="J284" s="1315">
        <f t="shared" ca="1" si="29"/>
        <v>0</v>
      </c>
      <c r="L284" s="1308">
        <f t="shared" si="30"/>
        <v>6300000000</v>
      </c>
      <c r="M284" s="1296" t="str">
        <f t="shared" si="31"/>
        <v>6300</v>
      </c>
      <c r="N284" s="1309">
        <f t="shared" ca="1" si="32"/>
        <v>2477666.92</v>
      </c>
      <c r="O284" s="1296" t="str">
        <f t="shared" si="33"/>
        <v>63</v>
      </c>
    </row>
    <row r="285" spans="1:15" s="1296" customFormat="1">
      <c r="A285" s="1310">
        <v>6301</v>
      </c>
      <c r="B285" s="1311" t="s">
        <v>526</v>
      </c>
      <c r="C285" s="1312">
        <v>0</v>
      </c>
      <c r="D285" s="1313">
        <v>235650.54000000004</v>
      </c>
      <c r="E285" s="1314">
        <f>IF(+SUMIF(SYS_cliente!$F$5:$F$2500,A285,SYS_cliente!$I$5:$I$2500)+SUMIF(SYS_cliente!$K$5:$K$2500,A285,SYS_cliente!$N$5:$N$2500)+SUMIF(SYS_cliente!$P$5:$P$2500,A285,SYS_cliente!$S$5:$S$2500)&lt;0,0,+SUMIF(SYS_cliente!$F$5:$F$2500,A285,SYS_cliente!$I$5:$I$2500)+SUMIF(SYS_cliente!$K$5:$K$2500,A285,SYS_cliente!$N$5:$N$2500)+SUMIF(SYS_cliente!$P$5:$P$2500,A285,SYS_cliente!$S$5:$S$2500))</f>
        <v>0</v>
      </c>
      <c r="F285" s="1315">
        <f ca="1">IF(+SUMIF(SYS_cliente!$F$5:$F$2500,A285,SYS_cliente!$I$5:$I$1678)+SUMIF(SYS_cliente!$K$5:$K$2500,A285,SYS_cliente!$N$5:$N$1678)+SUMIF(SYS_cliente!$P$5:$P$2500,A285,SYS_cliente!$S$5:$S$1678)&gt;=0,0,-(SUMIF(SYS_cliente!$F$5:$F$2500,A285,SYS_cliente!$I$5:$I$1678)+SUMIF(SYS_cliente!$K$5:$K$2500,A285,SYS_cliente!$N$5:$N$1678)+SUMIF(SYS_cliente!$P$5:$P$2500,A285,SYS_cliente!$S$5:$S$1678)))</f>
        <v>0</v>
      </c>
      <c r="G285" s="1316">
        <f>+SUMIF(asientos!$C$13:$C$1276,SYS_4_3_Digitos!A285,asientos!$B$13:$B$1276)</f>
        <v>430586.39</v>
      </c>
      <c r="H285" s="1317">
        <f>+SUMIF(asientos!$I$13:$I$1276,SYS_4_3_Digitos!A285,asientos!$J$13:$J$1276)</f>
        <v>364680.34</v>
      </c>
      <c r="I285" s="1314">
        <f t="shared" ca="1" si="28"/>
        <v>65906.049999999988</v>
      </c>
      <c r="J285" s="1315">
        <f t="shared" ca="1" si="29"/>
        <v>0</v>
      </c>
      <c r="L285" s="1308">
        <f t="shared" si="30"/>
        <v>6301000000</v>
      </c>
      <c r="M285" s="1296" t="str">
        <f t="shared" si="31"/>
        <v>6301</v>
      </c>
      <c r="N285" s="1309">
        <f t="shared" ca="1" si="32"/>
        <v>65906.049999999988</v>
      </c>
      <c r="O285" s="1296" t="str">
        <f t="shared" si="33"/>
        <v>63</v>
      </c>
    </row>
    <row r="286" spans="1:15" s="1296" customFormat="1">
      <c r="A286" s="1310">
        <v>631</v>
      </c>
      <c r="B286" s="1311" t="s">
        <v>527</v>
      </c>
      <c r="C286" s="1312">
        <v>195833.95</v>
      </c>
      <c r="D286" s="1313">
        <v>0</v>
      </c>
      <c r="E286" s="1314">
        <f>IF(+SUMIF(SYS_cliente!$F$5:$F$2500,A286,SYS_cliente!$I$5:$I$2500)+SUMIF(SYS_cliente!$K$5:$K$2500,A286,SYS_cliente!$N$5:$N$2500)+SUMIF(SYS_cliente!$P$5:$P$2500,A286,SYS_cliente!$S$5:$S$2500)&lt;0,0,+SUMIF(SYS_cliente!$F$5:$F$2500,A286,SYS_cliente!$I$5:$I$2500)+SUMIF(SYS_cliente!$K$5:$K$2500,A286,SYS_cliente!$N$5:$N$2500)+SUMIF(SYS_cliente!$P$5:$P$2500,A286,SYS_cliente!$S$5:$S$2500))</f>
        <v>217821.86999999997</v>
      </c>
      <c r="F286" s="1315">
        <f ca="1">IF(+SUMIF(SYS_cliente!$F$5:$F$2500,A286,SYS_cliente!$I$5:$I$1678)+SUMIF(SYS_cliente!$K$5:$K$2500,A286,SYS_cliente!$N$5:$N$1678)+SUMIF(SYS_cliente!$P$5:$P$2500,A286,SYS_cliente!$S$5:$S$1678)&gt;=0,0,-(SUMIF(SYS_cliente!$F$5:$F$2500,A286,SYS_cliente!$I$5:$I$1678)+SUMIF(SYS_cliente!$K$5:$K$2500,A286,SYS_cliente!$N$5:$N$1678)+SUMIF(SYS_cliente!$P$5:$P$2500,A286,SYS_cliente!$S$5:$S$1678)))</f>
        <v>0</v>
      </c>
      <c r="G286" s="1316">
        <f>+SUMIF(asientos!$C$13:$C$1276,SYS_4_3_Digitos!A286,asientos!$B$13:$B$1276)</f>
        <v>0</v>
      </c>
      <c r="H286" s="1317">
        <f>+SUMIF(asientos!$I$13:$I$1276,SYS_4_3_Digitos!A286,asientos!$J$13:$J$1276)</f>
        <v>0</v>
      </c>
      <c r="I286" s="1314">
        <f t="shared" ca="1" si="28"/>
        <v>217821.86999999997</v>
      </c>
      <c r="J286" s="1315">
        <f t="shared" ca="1" si="29"/>
        <v>0</v>
      </c>
      <c r="L286" s="1308">
        <f t="shared" si="30"/>
        <v>631000000</v>
      </c>
      <c r="M286" s="1296" t="str">
        <f t="shared" si="31"/>
        <v>6310</v>
      </c>
      <c r="N286" s="1309">
        <f t="shared" ca="1" si="32"/>
        <v>217821.86999999997</v>
      </c>
      <c r="O286" s="1296" t="str">
        <f t="shared" si="33"/>
        <v>63</v>
      </c>
    </row>
    <row r="287" spans="1:15" s="1296" customFormat="1">
      <c r="A287" s="1310">
        <v>633</v>
      </c>
      <c r="B287" s="1311" t="s">
        <v>528</v>
      </c>
      <c r="C287" s="1312">
        <v>0</v>
      </c>
      <c r="D287" s="1313">
        <v>0</v>
      </c>
      <c r="E287" s="1314">
        <f>IF(+SUMIF(SYS_cliente!$F$5:$F$2500,A287,SYS_cliente!$I$5:$I$2500)+SUMIF(SYS_cliente!$K$5:$K$2500,A287,SYS_cliente!$N$5:$N$2500)+SUMIF(SYS_cliente!$P$5:$P$2500,A287,SYS_cliente!$S$5:$S$2500)&lt;0,0,+SUMIF(SYS_cliente!$F$5:$F$2500,A287,SYS_cliente!$I$5:$I$2500)+SUMIF(SYS_cliente!$K$5:$K$2500,A287,SYS_cliente!$N$5:$N$2500)+SUMIF(SYS_cliente!$P$5:$P$2500,A287,SYS_cliente!$S$5:$S$2500))</f>
        <v>0</v>
      </c>
      <c r="F287" s="1315">
        <f ca="1">IF(+SUMIF(SYS_cliente!$F$5:$F$2500,A287,SYS_cliente!$I$5:$I$1678)+SUMIF(SYS_cliente!$K$5:$K$2500,A287,SYS_cliente!$N$5:$N$1678)+SUMIF(SYS_cliente!$P$5:$P$2500,A287,SYS_cliente!$S$5:$S$1678)&gt;=0,0,-(SUMIF(SYS_cliente!$F$5:$F$2500,A287,SYS_cliente!$I$5:$I$1678)+SUMIF(SYS_cliente!$K$5:$K$2500,A287,SYS_cliente!$N$5:$N$1678)+SUMIF(SYS_cliente!$P$5:$P$2500,A287,SYS_cliente!$S$5:$S$1678)))</f>
        <v>0</v>
      </c>
      <c r="G287" s="1316">
        <f>+SUMIF(asientos!$C$13:$C$1276,SYS_4_3_Digitos!A287,asientos!$B$13:$B$1276)</f>
        <v>0</v>
      </c>
      <c r="H287" s="1317">
        <f>+SUMIF(asientos!$I$13:$I$1276,SYS_4_3_Digitos!A287,asientos!$J$13:$J$1276)</f>
        <v>0</v>
      </c>
      <c r="I287" s="1314">
        <f t="shared" ca="1" si="28"/>
        <v>0</v>
      </c>
      <c r="J287" s="1315">
        <f t="shared" ca="1" si="29"/>
        <v>0</v>
      </c>
      <c r="L287" s="1308">
        <f t="shared" si="30"/>
        <v>633000000</v>
      </c>
      <c r="M287" s="1296" t="str">
        <f t="shared" si="31"/>
        <v>6330</v>
      </c>
      <c r="N287" s="1309">
        <f t="shared" ca="1" si="32"/>
        <v>0</v>
      </c>
      <c r="O287" s="1296" t="str">
        <f t="shared" si="33"/>
        <v>63</v>
      </c>
    </row>
    <row r="288" spans="1:15" s="1296" customFormat="1">
      <c r="A288" s="1310">
        <v>6341</v>
      </c>
      <c r="B288" s="1311" t="s">
        <v>529</v>
      </c>
      <c r="C288" s="1312">
        <v>0</v>
      </c>
      <c r="D288" s="1313">
        <v>0</v>
      </c>
      <c r="E288" s="1314">
        <f>IF(+SUMIF(SYS_cliente!$F$5:$F$2500,A288,SYS_cliente!$I$5:$I$2500)+SUMIF(SYS_cliente!$K$5:$K$2500,A288,SYS_cliente!$N$5:$N$2500)+SUMIF(SYS_cliente!$P$5:$P$2500,A288,SYS_cliente!$S$5:$S$2500)&lt;0,0,+SUMIF(SYS_cliente!$F$5:$F$2500,A288,SYS_cliente!$I$5:$I$2500)+SUMIF(SYS_cliente!$K$5:$K$2500,A288,SYS_cliente!$N$5:$N$2500)+SUMIF(SYS_cliente!$P$5:$P$2500,A288,SYS_cliente!$S$5:$S$2500))</f>
        <v>0</v>
      </c>
      <c r="F288" s="1315">
        <f ca="1">IF(+SUMIF(SYS_cliente!$F$5:$F$2500,A288,SYS_cliente!$I$5:$I$1678)+SUMIF(SYS_cliente!$K$5:$K$2500,A288,SYS_cliente!$N$5:$N$1678)+SUMIF(SYS_cliente!$P$5:$P$2500,A288,SYS_cliente!$S$5:$S$1678)&gt;=0,0,-(SUMIF(SYS_cliente!$F$5:$F$2500,A288,SYS_cliente!$I$5:$I$1678)+SUMIF(SYS_cliente!$K$5:$K$2500,A288,SYS_cliente!$N$5:$N$1678)+SUMIF(SYS_cliente!$P$5:$P$2500,A288,SYS_cliente!$S$5:$S$1678)))</f>
        <v>0</v>
      </c>
      <c r="G288" s="1316">
        <f>+SUMIF(asientos!$C$13:$C$1276,SYS_4_3_Digitos!A288,asientos!$B$13:$B$1276)</f>
        <v>0</v>
      </c>
      <c r="H288" s="1317">
        <f>+SUMIF(asientos!$I$13:$I$1276,SYS_4_3_Digitos!A288,asientos!$J$13:$J$1276)</f>
        <v>0</v>
      </c>
      <c r="I288" s="1314">
        <f t="shared" ca="1" si="28"/>
        <v>0</v>
      </c>
      <c r="J288" s="1315">
        <f t="shared" ca="1" si="29"/>
        <v>0</v>
      </c>
      <c r="L288" s="1308">
        <f t="shared" si="30"/>
        <v>6341000000</v>
      </c>
      <c r="M288" s="1296" t="str">
        <f t="shared" si="31"/>
        <v>6341</v>
      </c>
      <c r="N288" s="1309">
        <f t="shared" ca="1" si="32"/>
        <v>0</v>
      </c>
      <c r="O288" s="1296" t="str">
        <f t="shared" si="33"/>
        <v>63</v>
      </c>
    </row>
    <row r="289" spans="1:15" s="1296" customFormat="1">
      <c r="A289" s="1310">
        <v>6342</v>
      </c>
      <c r="B289" s="1311" t="s">
        <v>530</v>
      </c>
      <c r="C289" s="1312">
        <v>0</v>
      </c>
      <c r="D289" s="1313">
        <v>0</v>
      </c>
      <c r="E289" s="1314">
        <f>IF(+SUMIF(SYS_cliente!$F$5:$F$2500,A289,SYS_cliente!$I$5:$I$2500)+SUMIF(SYS_cliente!$K$5:$K$2500,A289,SYS_cliente!$N$5:$N$2500)+SUMIF(SYS_cliente!$P$5:$P$2500,A289,SYS_cliente!$S$5:$S$2500)&lt;0,0,+SUMIF(SYS_cliente!$F$5:$F$2500,A289,SYS_cliente!$I$5:$I$2500)+SUMIF(SYS_cliente!$K$5:$K$2500,A289,SYS_cliente!$N$5:$N$2500)+SUMIF(SYS_cliente!$P$5:$P$2500,A289,SYS_cliente!$S$5:$S$2500))</f>
        <v>0</v>
      </c>
      <c r="F289" s="1315">
        <f ca="1">IF(+SUMIF(SYS_cliente!$F$5:$F$2500,A289,SYS_cliente!$I$5:$I$1678)+SUMIF(SYS_cliente!$K$5:$K$2500,A289,SYS_cliente!$N$5:$N$1678)+SUMIF(SYS_cliente!$P$5:$P$2500,A289,SYS_cliente!$S$5:$S$1678)&gt;=0,0,-(SUMIF(SYS_cliente!$F$5:$F$2500,A289,SYS_cliente!$I$5:$I$1678)+SUMIF(SYS_cliente!$K$5:$K$2500,A289,SYS_cliente!$N$5:$N$1678)+SUMIF(SYS_cliente!$P$5:$P$2500,A289,SYS_cliente!$S$5:$S$1678)))</f>
        <v>0</v>
      </c>
      <c r="G289" s="1316">
        <f>+SUMIF(asientos!$C$13:$C$1276,SYS_4_3_Digitos!A289,asientos!$B$13:$B$1276)</f>
        <v>0</v>
      </c>
      <c r="H289" s="1317">
        <f>+SUMIF(asientos!$I$13:$I$1276,SYS_4_3_Digitos!A289,asientos!$J$13:$J$1276)</f>
        <v>0</v>
      </c>
      <c r="I289" s="1314">
        <f t="shared" ca="1" si="28"/>
        <v>0</v>
      </c>
      <c r="J289" s="1315">
        <f t="shared" ca="1" si="29"/>
        <v>0</v>
      </c>
      <c r="L289" s="1308">
        <f t="shared" si="30"/>
        <v>6342000000</v>
      </c>
      <c r="M289" s="1296" t="str">
        <f t="shared" si="31"/>
        <v>6342</v>
      </c>
      <c r="N289" s="1309">
        <f t="shared" ca="1" si="32"/>
        <v>0</v>
      </c>
      <c r="O289" s="1296" t="str">
        <f t="shared" si="33"/>
        <v>63</v>
      </c>
    </row>
    <row r="290" spans="1:15" s="1296" customFormat="1">
      <c r="A290" s="1310">
        <v>636</v>
      </c>
      <c r="B290" s="1311" t="s">
        <v>531</v>
      </c>
      <c r="C290" s="1312">
        <v>0</v>
      </c>
      <c r="D290" s="1313">
        <v>0</v>
      </c>
      <c r="E290" s="1314">
        <f>IF(+SUMIF(SYS_cliente!$F$5:$F$2500,A290,SYS_cliente!$I$5:$I$2500)+SUMIF(SYS_cliente!$K$5:$K$2500,A290,SYS_cliente!$N$5:$N$2500)+SUMIF(SYS_cliente!$P$5:$P$2500,A290,SYS_cliente!$S$5:$S$2500)&lt;0,0,+SUMIF(SYS_cliente!$F$5:$F$2500,A290,SYS_cliente!$I$5:$I$2500)+SUMIF(SYS_cliente!$K$5:$K$2500,A290,SYS_cliente!$N$5:$N$2500)+SUMIF(SYS_cliente!$P$5:$P$2500,A290,SYS_cliente!$S$5:$S$2500))</f>
        <v>0</v>
      </c>
      <c r="F290" s="1315">
        <f ca="1">IF(+SUMIF(SYS_cliente!$F$5:$F$2500,A290,SYS_cliente!$I$5:$I$1678)+SUMIF(SYS_cliente!$K$5:$K$2500,A290,SYS_cliente!$N$5:$N$1678)+SUMIF(SYS_cliente!$P$5:$P$2500,A290,SYS_cliente!$S$5:$S$1678)&gt;=0,0,-(SUMIF(SYS_cliente!$F$5:$F$2500,A290,SYS_cliente!$I$5:$I$1678)+SUMIF(SYS_cliente!$K$5:$K$2500,A290,SYS_cliente!$N$5:$N$1678)+SUMIF(SYS_cliente!$P$5:$P$2500,A290,SYS_cliente!$S$5:$S$1678)))</f>
        <v>0</v>
      </c>
      <c r="G290" s="1316">
        <f>+SUMIF(asientos!$C$13:$C$1276,SYS_4_3_Digitos!A290,asientos!$B$13:$B$1276)</f>
        <v>0</v>
      </c>
      <c r="H290" s="1317">
        <f>+SUMIF(asientos!$I$13:$I$1276,SYS_4_3_Digitos!A290,asientos!$J$13:$J$1276)</f>
        <v>0</v>
      </c>
      <c r="I290" s="1314">
        <f t="shared" ref="I290:I356" ca="1" si="34">IF((E290+G290-F290-H290)&gt;0,E290+G290-F290-H290,0)</f>
        <v>0</v>
      </c>
      <c r="J290" s="1315">
        <f t="shared" ref="J290:J356" ca="1" si="35">IF((F290+H290-E290-G290)&gt;0,F290+H290-E290-G290,0)</f>
        <v>0</v>
      </c>
      <c r="L290" s="1308">
        <f t="shared" ref="L290:L356" si="36">+A290*1000000</f>
        <v>636000000</v>
      </c>
      <c r="M290" s="1296" t="str">
        <f t="shared" ref="M290:M356" si="37">+LEFT(L290,4)</f>
        <v>6360</v>
      </c>
      <c r="N290" s="1309">
        <f t="shared" ref="N290:N356" ca="1" si="38">+I290-J290</f>
        <v>0</v>
      </c>
      <c r="O290" s="1296" t="str">
        <f t="shared" ref="O290:O356" si="39">+LEFT(M290,2)</f>
        <v>63</v>
      </c>
    </row>
    <row r="291" spans="1:15" s="1296" customFormat="1">
      <c r="A291" s="1310">
        <v>638</v>
      </c>
      <c r="B291" s="1311" t="s">
        <v>532</v>
      </c>
      <c r="C291" s="1312">
        <v>0</v>
      </c>
      <c r="D291" s="1313">
        <v>0</v>
      </c>
      <c r="E291" s="1314">
        <f>IF(+SUMIF(SYS_cliente!$F$5:$F$2500,A291,SYS_cliente!$I$5:$I$2500)+SUMIF(SYS_cliente!$K$5:$K$2500,A291,SYS_cliente!$N$5:$N$2500)+SUMIF(SYS_cliente!$P$5:$P$2500,A291,SYS_cliente!$S$5:$S$2500)&lt;0,0,+SUMIF(SYS_cliente!$F$5:$F$2500,A291,SYS_cliente!$I$5:$I$2500)+SUMIF(SYS_cliente!$K$5:$K$2500,A291,SYS_cliente!$N$5:$N$2500)+SUMIF(SYS_cliente!$P$5:$P$2500,A291,SYS_cliente!$S$5:$S$2500))</f>
        <v>0</v>
      </c>
      <c r="F291" s="1315">
        <f ca="1">IF(+SUMIF(SYS_cliente!$F$5:$F$2500,A291,SYS_cliente!$I$5:$I$1678)+SUMIF(SYS_cliente!$K$5:$K$2500,A291,SYS_cliente!$N$5:$N$1678)+SUMIF(SYS_cliente!$P$5:$P$2500,A291,SYS_cliente!$S$5:$S$1678)&gt;=0,0,-(SUMIF(SYS_cliente!$F$5:$F$2500,A291,SYS_cliente!$I$5:$I$1678)+SUMIF(SYS_cliente!$K$5:$K$2500,A291,SYS_cliente!$N$5:$N$1678)+SUMIF(SYS_cliente!$P$5:$P$2500,A291,SYS_cliente!$S$5:$S$1678)))</f>
        <v>0</v>
      </c>
      <c r="G291" s="1316">
        <f>+SUMIF(asientos!$C$13:$C$1276,SYS_4_3_Digitos!A291,asientos!$B$13:$B$1276)</f>
        <v>0</v>
      </c>
      <c r="H291" s="1317">
        <f>+SUMIF(asientos!$I$13:$I$1276,SYS_4_3_Digitos!A291,asientos!$J$13:$J$1276)</f>
        <v>0</v>
      </c>
      <c r="I291" s="1314">
        <f t="shared" ca="1" si="34"/>
        <v>0</v>
      </c>
      <c r="J291" s="1315">
        <f t="shared" ca="1" si="35"/>
        <v>0</v>
      </c>
      <c r="L291" s="1308">
        <f t="shared" si="36"/>
        <v>638000000</v>
      </c>
      <c r="M291" s="1296" t="str">
        <f t="shared" si="37"/>
        <v>6380</v>
      </c>
      <c r="N291" s="1309">
        <f t="shared" ca="1" si="38"/>
        <v>0</v>
      </c>
      <c r="O291" s="1296" t="str">
        <f t="shared" si="39"/>
        <v>63</v>
      </c>
    </row>
    <row r="292" spans="1:15" s="1296" customFormat="1">
      <c r="A292" s="1310">
        <v>6391</v>
      </c>
      <c r="B292" s="1311" t="s">
        <v>533</v>
      </c>
      <c r="C292" s="1312">
        <v>0</v>
      </c>
      <c r="D292" s="1313">
        <v>0</v>
      </c>
      <c r="E292" s="1314">
        <f>IF(+SUMIF(SYS_cliente!$F$5:$F$2500,A292,SYS_cliente!$I$5:$I$2500)+SUMIF(SYS_cliente!$K$5:$K$2500,A292,SYS_cliente!$N$5:$N$2500)+SUMIF(SYS_cliente!$P$5:$P$2500,A292,SYS_cliente!$S$5:$S$2500)&lt;0,0,+SUMIF(SYS_cliente!$F$5:$F$2500,A292,SYS_cliente!$I$5:$I$2500)+SUMIF(SYS_cliente!$K$5:$K$2500,A292,SYS_cliente!$N$5:$N$2500)+SUMIF(SYS_cliente!$P$5:$P$2500,A292,SYS_cliente!$S$5:$S$2500))</f>
        <v>0</v>
      </c>
      <c r="F292" s="1315">
        <f ca="1">IF(+SUMIF(SYS_cliente!$F$5:$F$2500,A292,SYS_cliente!$I$5:$I$1678)+SUMIF(SYS_cliente!$K$5:$K$2500,A292,SYS_cliente!$N$5:$N$1678)+SUMIF(SYS_cliente!$P$5:$P$2500,A292,SYS_cliente!$S$5:$S$1678)&gt;=0,0,-(SUMIF(SYS_cliente!$F$5:$F$2500,A292,SYS_cliente!$I$5:$I$1678)+SUMIF(SYS_cliente!$K$5:$K$2500,A292,SYS_cliente!$N$5:$N$1678)+SUMIF(SYS_cliente!$P$5:$P$2500,A292,SYS_cliente!$S$5:$S$1678)))</f>
        <v>0</v>
      </c>
      <c r="G292" s="1316">
        <f>+SUMIF(asientos!$C$13:$C$1276,SYS_4_3_Digitos!A292,asientos!$B$13:$B$1276)</f>
        <v>0</v>
      </c>
      <c r="H292" s="1317">
        <f>+SUMIF(asientos!$I$13:$I$1276,SYS_4_3_Digitos!A292,asientos!$J$13:$J$1276)</f>
        <v>0</v>
      </c>
      <c r="I292" s="1314">
        <f t="shared" ca="1" si="34"/>
        <v>0</v>
      </c>
      <c r="J292" s="1315">
        <f t="shared" ca="1" si="35"/>
        <v>0</v>
      </c>
      <c r="L292" s="1308">
        <f t="shared" si="36"/>
        <v>6391000000</v>
      </c>
      <c r="M292" s="1296" t="str">
        <f t="shared" si="37"/>
        <v>6391</v>
      </c>
      <c r="N292" s="1309">
        <f t="shared" ca="1" si="38"/>
        <v>0</v>
      </c>
      <c r="O292" s="1296" t="str">
        <f t="shared" si="39"/>
        <v>63</v>
      </c>
    </row>
    <row r="293" spans="1:15" s="1296" customFormat="1">
      <c r="A293" s="1310">
        <v>6392</v>
      </c>
      <c r="B293" s="1311" t="s">
        <v>534</v>
      </c>
      <c r="C293" s="1312">
        <v>0</v>
      </c>
      <c r="D293" s="1313">
        <v>56040.57</v>
      </c>
      <c r="E293" s="1314">
        <f>IF(+SUMIF(SYS_cliente!$F$5:$F$2500,A293,SYS_cliente!$I$5:$I$2500)+SUMIF(SYS_cliente!$K$5:$K$2500,A293,SYS_cliente!$N$5:$N$2500)+SUMIF(SYS_cliente!$P$5:$P$2500,A293,SYS_cliente!$S$5:$S$2500)&lt;0,0,+SUMIF(SYS_cliente!$F$5:$F$2500,A293,SYS_cliente!$I$5:$I$2500)+SUMIF(SYS_cliente!$K$5:$K$2500,A293,SYS_cliente!$N$5:$N$2500)+SUMIF(SYS_cliente!$P$5:$P$2500,A293,SYS_cliente!$S$5:$S$2500))</f>
        <v>0</v>
      </c>
      <c r="F293" s="1315">
        <f ca="1">IF(+SUMIF(SYS_cliente!$F$5:$F$2500,A293,SYS_cliente!$I$5:$I$1678)+SUMIF(SYS_cliente!$K$5:$K$2500,A293,SYS_cliente!$N$5:$N$1678)+SUMIF(SYS_cliente!$P$5:$P$2500,A293,SYS_cliente!$S$5:$S$1678)&gt;=0,0,-(SUMIF(SYS_cliente!$F$5:$F$2500,A293,SYS_cliente!$I$5:$I$1678)+SUMIF(SYS_cliente!$K$5:$K$2500,A293,SYS_cliente!$N$5:$N$1678)+SUMIF(SYS_cliente!$P$5:$P$2500,A293,SYS_cliente!$S$5:$S$1678)))</f>
        <v>0</v>
      </c>
      <c r="G293" s="1316">
        <f>+SUMIF(asientos!$C$13:$C$1276,SYS_4_3_Digitos!A293,asientos!$B$13:$B$1276)</f>
        <v>0</v>
      </c>
      <c r="H293" s="1317">
        <f>+SUMIF(asientos!$I$13:$I$1276,SYS_4_3_Digitos!A293,asientos!$J$13:$J$1276)</f>
        <v>0</v>
      </c>
      <c r="I293" s="1314">
        <f t="shared" ca="1" si="34"/>
        <v>0</v>
      </c>
      <c r="J293" s="1315">
        <f t="shared" ca="1" si="35"/>
        <v>0</v>
      </c>
      <c r="L293" s="1308">
        <f t="shared" si="36"/>
        <v>6392000000</v>
      </c>
      <c r="M293" s="1296" t="str">
        <f t="shared" si="37"/>
        <v>6392</v>
      </c>
      <c r="N293" s="1309">
        <f t="shared" ca="1" si="38"/>
        <v>0</v>
      </c>
      <c r="O293" s="1296" t="str">
        <f t="shared" si="39"/>
        <v>63</v>
      </c>
    </row>
    <row r="294" spans="1:15" s="1296" customFormat="1">
      <c r="A294" s="1310">
        <v>640</v>
      </c>
      <c r="B294" s="1311" t="s">
        <v>535</v>
      </c>
      <c r="C294" s="1312">
        <v>3197444.2600000002</v>
      </c>
      <c r="D294" s="1313">
        <v>0</v>
      </c>
      <c r="E294" s="1314">
        <f>IF(+SUMIF(SYS_cliente!$F$5:$F$2500,A294,SYS_cliente!$I$5:$I$2500)+SUMIF(SYS_cliente!$K$5:$K$2500,A294,SYS_cliente!$N$5:$N$2500)+SUMIF(SYS_cliente!$P$5:$P$2500,A294,SYS_cliente!$S$5:$S$2500)&lt;0,0,+SUMIF(SYS_cliente!$F$5:$F$2500,A294,SYS_cliente!$I$5:$I$2500)+SUMIF(SYS_cliente!$K$5:$K$2500,A294,SYS_cliente!$N$5:$N$2500)+SUMIF(SYS_cliente!$P$5:$P$2500,A294,SYS_cliente!$S$5:$S$2500))</f>
        <v>3352261.73</v>
      </c>
      <c r="F294" s="1315">
        <f ca="1">IF(+SUMIF(SYS_cliente!$F$5:$F$2500,A294,SYS_cliente!$I$5:$I$1678)+SUMIF(SYS_cliente!$K$5:$K$2500,A294,SYS_cliente!$N$5:$N$1678)+SUMIF(SYS_cliente!$P$5:$P$2500,A294,SYS_cliente!$S$5:$S$1678)&gt;=0,0,-(SUMIF(SYS_cliente!$F$5:$F$2500,A294,SYS_cliente!$I$5:$I$1678)+SUMIF(SYS_cliente!$K$5:$K$2500,A294,SYS_cliente!$N$5:$N$1678)+SUMIF(SYS_cliente!$P$5:$P$2500,A294,SYS_cliente!$S$5:$S$1678)))</f>
        <v>0</v>
      </c>
      <c r="G294" s="1316">
        <f>+SUMIF(asientos!$C$13:$C$1276,SYS_4_3_Digitos!A294,asientos!$B$13:$B$1276)</f>
        <v>0</v>
      </c>
      <c r="H294" s="1317">
        <f>+SUMIF(asientos!$I$13:$I$1276,SYS_4_3_Digitos!A294,asientos!$J$13:$J$1276)</f>
        <v>0</v>
      </c>
      <c r="I294" s="1314">
        <f t="shared" ca="1" si="34"/>
        <v>3352261.73</v>
      </c>
      <c r="J294" s="1315">
        <f t="shared" ca="1" si="35"/>
        <v>0</v>
      </c>
      <c r="L294" s="1308">
        <f t="shared" si="36"/>
        <v>640000000</v>
      </c>
      <c r="M294" s="1296" t="str">
        <f t="shared" si="37"/>
        <v>6400</v>
      </c>
      <c r="N294" s="1309">
        <f t="shared" ca="1" si="38"/>
        <v>3352261.73</v>
      </c>
      <c r="O294" s="1296" t="str">
        <f t="shared" si="39"/>
        <v>64</v>
      </c>
    </row>
    <row r="295" spans="1:15" s="1296" customFormat="1">
      <c r="A295" s="1310">
        <v>641</v>
      </c>
      <c r="B295" s="1311" t="s">
        <v>536</v>
      </c>
      <c r="C295" s="1312">
        <v>0</v>
      </c>
      <c r="D295" s="1313">
        <v>0</v>
      </c>
      <c r="E295" s="1314">
        <f>IF(+SUMIF(SYS_cliente!$F$5:$F$2500,A295,SYS_cliente!$I$5:$I$2500)+SUMIF(SYS_cliente!$K$5:$K$2500,A295,SYS_cliente!$N$5:$N$2500)+SUMIF(SYS_cliente!$P$5:$P$2500,A295,SYS_cliente!$S$5:$S$2500)&lt;0,0,+SUMIF(SYS_cliente!$F$5:$F$2500,A295,SYS_cliente!$I$5:$I$2500)+SUMIF(SYS_cliente!$K$5:$K$2500,A295,SYS_cliente!$N$5:$N$2500)+SUMIF(SYS_cliente!$P$5:$P$2500,A295,SYS_cliente!$S$5:$S$2500))</f>
        <v>37352.629999999997</v>
      </c>
      <c r="F295" s="1315">
        <f ca="1">IF(+SUMIF(SYS_cliente!$F$5:$F$2500,A295,SYS_cliente!$I$5:$I$1678)+SUMIF(SYS_cliente!$K$5:$K$2500,A295,SYS_cliente!$N$5:$N$1678)+SUMIF(SYS_cliente!$P$5:$P$2500,A295,SYS_cliente!$S$5:$S$1678)&gt;=0,0,-(SUMIF(SYS_cliente!$F$5:$F$2500,A295,SYS_cliente!$I$5:$I$1678)+SUMIF(SYS_cliente!$K$5:$K$2500,A295,SYS_cliente!$N$5:$N$1678)+SUMIF(SYS_cliente!$P$5:$P$2500,A295,SYS_cliente!$S$5:$S$1678)))</f>
        <v>0</v>
      </c>
      <c r="G295" s="1316">
        <f>+SUMIF(asientos!$C$13:$C$1276,SYS_4_3_Digitos!A295,asientos!$B$13:$B$1276)</f>
        <v>0</v>
      </c>
      <c r="H295" s="1317">
        <f>+SUMIF(asientos!$I$13:$I$1276,SYS_4_3_Digitos!A295,asientos!$J$13:$J$1276)</f>
        <v>0</v>
      </c>
      <c r="I295" s="1314">
        <f t="shared" ca="1" si="34"/>
        <v>37352.629999999997</v>
      </c>
      <c r="J295" s="1315">
        <f t="shared" ca="1" si="35"/>
        <v>0</v>
      </c>
      <c r="L295" s="1308">
        <f t="shared" si="36"/>
        <v>641000000</v>
      </c>
      <c r="M295" s="1296" t="str">
        <f t="shared" si="37"/>
        <v>6410</v>
      </c>
      <c r="N295" s="1309">
        <f t="shared" ca="1" si="38"/>
        <v>37352.629999999997</v>
      </c>
      <c r="O295" s="1296" t="str">
        <f t="shared" si="39"/>
        <v>64</v>
      </c>
    </row>
    <row r="296" spans="1:15" s="1296" customFormat="1">
      <c r="A296" s="1310">
        <v>642</v>
      </c>
      <c r="B296" s="1311" t="s">
        <v>537</v>
      </c>
      <c r="C296" s="1312">
        <v>603092.56000000006</v>
      </c>
      <c r="D296" s="1313">
        <v>0</v>
      </c>
      <c r="E296" s="1314">
        <f>IF(+SUMIF(SYS_cliente!$F$5:$F$2500,A296,SYS_cliente!$I$5:$I$2500)+SUMIF(SYS_cliente!$K$5:$K$2500,A296,SYS_cliente!$N$5:$N$2500)+SUMIF(SYS_cliente!$P$5:$P$2500,A296,SYS_cliente!$S$5:$S$2500)&lt;0,0,+SUMIF(SYS_cliente!$F$5:$F$2500,A296,SYS_cliente!$I$5:$I$2500)+SUMIF(SYS_cliente!$K$5:$K$2500,A296,SYS_cliente!$N$5:$N$2500)+SUMIF(SYS_cliente!$P$5:$P$2500,A296,SYS_cliente!$S$5:$S$2500))</f>
        <v>622414.17000000004</v>
      </c>
      <c r="F296" s="1315">
        <f ca="1">IF(+SUMIF(SYS_cliente!$F$5:$F$2500,A296,SYS_cliente!$I$5:$I$1678)+SUMIF(SYS_cliente!$K$5:$K$2500,A296,SYS_cliente!$N$5:$N$1678)+SUMIF(SYS_cliente!$P$5:$P$2500,A296,SYS_cliente!$S$5:$S$1678)&gt;=0,0,-(SUMIF(SYS_cliente!$F$5:$F$2500,A296,SYS_cliente!$I$5:$I$1678)+SUMIF(SYS_cliente!$K$5:$K$2500,A296,SYS_cliente!$N$5:$N$1678)+SUMIF(SYS_cliente!$P$5:$P$2500,A296,SYS_cliente!$S$5:$S$1678)))</f>
        <v>0</v>
      </c>
      <c r="G296" s="1316">
        <f>+SUMIF(asientos!$C$13:$C$1276,SYS_4_3_Digitos!A296,asientos!$B$13:$B$1276)</f>
        <v>0</v>
      </c>
      <c r="H296" s="1317">
        <f>+SUMIF(asientos!$I$13:$I$1276,SYS_4_3_Digitos!A296,asientos!$J$13:$J$1276)</f>
        <v>0</v>
      </c>
      <c r="I296" s="1314">
        <f t="shared" ca="1" si="34"/>
        <v>622414.17000000004</v>
      </c>
      <c r="J296" s="1315">
        <f t="shared" ca="1" si="35"/>
        <v>0</v>
      </c>
      <c r="L296" s="1308">
        <f t="shared" si="36"/>
        <v>642000000</v>
      </c>
      <c r="M296" s="1296" t="str">
        <f t="shared" si="37"/>
        <v>6420</v>
      </c>
      <c r="N296" s="1309">
        <f t="shared" ca="1" si="38"/>
        <v>622414.17000000004</v>
      </c>
      <c r="O296" s="1296" t="str">
        <f t="shared" si="39"/>
        <v>64</v>
      </c>
    </row>
    <row r="297" spans="1:15" s="1296" customFormat="1">
      <c r="A297" s="1310">
        <v>643</v>
      </c>
      <c r="B297" s="1311" t="s">
        <v>538</v>
      </c>
      <c r="C297" s="1312">
        <v>0</v>
      </c>
      <c r="D297" s="1313">
        <v>0</v>
      </c>
      <c r="E297" s="1314">
        <f>IF(+SUMIF(SYS_cliente!$F$5:$F$2500,A297,SYS_cliente!$I$5:$I$2500)+SUMIF(SYS_cliente!$K$5:$K$2500,A297,SYS_cliente!$N$5:$N$2500)+SUMIF(SYS_cliente!$P$5:$P$2500,A297,SYS_cliente!$S$5:$S$2500)&lt;0,0,+SUMIF(SYS_cliente!$F$5:$F$2500,A297,SYS_cliente!$I$5:$I$2500)+SUMIF(SYS_cliente!$K$5:$K$2500,A297,SYS_cliente!$N$5:$N$2500)+SUMIF(SYS_cliente!$P$5:$P$2500,A297,SYS_cliente!$S$5:$S$2500))</f>
        <v>0</v>
      </c>
      <c r="F297" s="1315">
        <f ca="1">IF(+SUMIF(SYS_cliente!$F$5:$F$2500,A297,SYS_cliente!$I$5:$I$1678)+SUMIF(SYS_cliente!$K$5:$K$2500,A297,SYS_cliente!$N$5:$N$1678)+SUMIF(SYS_cliente!$P$5:$P$2500,A297,SYS_cliente!$S$5:$S$1678)&gt;=0,0,-(SUMIF(SYS_cliente!$F$5:$F$2500,A297,SYS_cliente!$I$5:$I$1678)+SUMIF(SYS_cliente!$K$5:$K$2500,A297,SYS_cliente!$N$5:$N$1678)+SUMIF(SYS_cliente!$P$5:$P$2500,A297,SYS_cliente!$S$5:$S$1678)))</f>
        <v>0</v>
      </c>
      <c r="G297" s="1316">
        <f>+SUMIF(asientos!$C$13:$C$1276,SYS_4_3_Digitos!A297,asientos!$B$13:$B$1276)</f>
        <v>0</v>
      </c>
      <c r="H297" s="1317">
        <f>+SUMIF(asientos!$I$13:$I$1276,SYS_4_3_Digitos!A297,asientos!$J$13:$J$1276)</f>
        <v>0</v>
      </c>
      <c r="I297" s="1314">
        <f t="shared" ca="1" si="34"/>
        <v>0</v>
      </c>
      <c r="J297" s="1315">
        <f t="shared" ca="1" si="35"/>
        <v>0</v>
      </c>
      <c r="L297" s="1308">
        <f t="shared" si="36"/>
        <v>643000000</v>
      </c>
      <c r="M297" s="1296" t="str">
        <f t="shared" si="37"/>
        <v>6430</v>
      </c>
      <c r="N297" s="1309">
        <f t="shared" ca="1" si="38"/>
        <v>0</v>
      </c>
      <c r="O297" s="1296" t="str">
        <f t="shared" si="39"/>
        <v>64</v>
      </c>
    </row>
    <row r="298" spans="1:15" s="1296" customFormat="1">
      <c r="A298" s="1310">
        <v>644</v>
      </c>
      <c r="B298" s="1311" t="s">
        <v>539</v>
      </c>
      <c r="C298" s="1312">
        <v>0</v>
      </c>
      <c r="D298" s="1313">
        <v>0</v>
      </c>
      <c r="E298" s="1314">
        <f>IF(+SUMIF(SYS_cliente!$F$5:$F$2500,A298,SYS_cliente!$I$5:$I$2500)+SUMIF(SYS_cliente!$K$5:$K$2500,A298,SYS_cliente!$N$5:$N$2500)+SUMIF(SYS_cliente!$P$5:$P$2500,A298,SYS_cliente!$S$5:$S$2500)&lt;0,0,+SUMIF(SYS_cliente!$F$5:$F$2500,A298,SYS_cliente!$I$5:$I$2500)+SUMIF(SYS_cliente!$K$5:$K$2500,A298,SYS_cliente!$N$5:$N$2500)+SUMIF(SYS_cliente!$P$5:$P$2500,A298,SYS_cliente!$S$5:$S$2500))</f>
        <v>0</v>
      </c>
      <c r="F298" s="1315">
        <f ca="1">IF(+SUMIF(SYS_cliente!$F$5:$F$2500,A298,SYS_cliente!$I$5:$I$1678)+SUMIF(SYS_cliente!$K$5:$K$2500,A298,SYS_cliente!$N$5:$N$1678)+SUMIF(SYS_cliente!$P$5:$P$2500,A298,SYS_cliente!$S$5:$S$1678)&gt;=0,0,-(SUMIF(SYS_cliente!$F$5:$F$2500,A298,SYS_cliente!$I$5:$I$1678)+SUMIF(SYS_cliente!$K$5:$K$2500,A298,SYS_cliente!$N$5:$N$1678)+SUMIF(SYS_cliente!$P$5:$P$2500,A298,SYS_cliente!$S$5:$S$1678)))</f>
        <v>0</v>
      </c>
      <c r="G298" s="1316">
        <f>+SUMIF(asientos!$C$13:$C$1276,SYS_4_3_Digitos!A298,asientos!$B$13:$B$1276)</f>
        <v>0</v>
      </c>
      <c r="H298" s="1317">
        <f>+SUMIF(asientos!$I$13:$I$1276,SYS_4_3_Digitos!A298,asientos!$J$13:$J$1276)</f>
        <v>0</v>
      </c>
      <c r="I298" s="1314">
        <f t="shared" ca="1" si="34"/>
        <v>0</v>
      </c>
      <c r="J298" s="1315">
        <f t="shared" ca="1" si="35"/>
        <v>0</v>
      </c>
      <c r="L298" s="1308">
        <f t="shared" si="36"/>
        <v>644000000</v>
      </c>
      <c r="M298" s="1296" t="str">
        <f t="shared" si="37"/>
        <v>6440</v>
      </c>
      <c r="N298" s="1309">
        <f t="shared" ca="1" si="38"/>
        <v>0</v>
      </c>
      <c r="O298" s="1296" t="str">
        <f t="shared" si="39"/>
        <v>64</v>
      </c>
    </row>
    <row r="299" spans="1:15" s="1296" customFormat="1">
      <c r="A299" s="1310">
        <v>645</v>
      </c>
      <c r="B299" s="1311" t="s">
        <v>540</v>
      </c>
      <c r="C299" s="1312">
        <v>0</v>
      </c>
      <c r="D299" s="1313">
        <v>0</v>
      </c>
      <c r="E299" s="1314">
        <f>IF(+SUMIF(SYS_cliente!$F$5:$F$2500,A299,SYS_cliente!$I$5:$I$2500)+SUMIF(SYS_cliente!$K$5:$K$2500,A299,SYS_cliente!$N$5:$N$2500)+SUMIF(SYS_cliente!$P$5:$P$2500,A299,SYS_cliente!$S$5:$S$2500)&lt;0,0,+SUMIF(SYS_cliente!$F$5:$F$2500,A299,SYS_cliente!$I$5:$I$2500)+SUMIF(SYS_cliente!$K$5:$K$2500,A299,SYS_cliente!$N$5:$N$2500)+SUMIF(SYS_cliente!$P$5:$P$2500,A299,SYS_cliente!$S$5:$S$2500))</f>
        <v>0</v>
      </c>
      <c r="F299" s="1315">
        <f ca="1">IF(+SUMIF(SYS_cliente!$F$5:$F$2500,A299,SYS_cliente!$I$5:$I$1678)+SUMIF(SYS_cliente!$K$5:$K$2500,A299,SYS_cliente!$N$5:$N$1678)+SUMIF(SYS_cliente!$P$5:$P$2500,A299,SYS_cliente!$S$5:$S$1678)&gt;=0,0,-(SUMIF(SYS_cliente!$F$5:$F$2500,A299,SYS_cliente!$I$5:$I$1678)+SUMIF(SYS_cliente!$K$5:$K$2500,A299,SYS_cliente!$N$5:$N$1678)+SUMIF(SYS_cliente!$P$5:$P$2500,A299,SYS_cliente!$S$5:$S$1678)))</f>
        <v>0</v>
      </c>
      <c r="G299" s="1316">
        <f>+SUMIF(asientos!$C$13:$C$1276,SYS_4_3_Digitos!A299,asientos!$B$13:$B$1276)</f>
        <v>0</v>
      </c>
      <c r="H299" s="1317">
        <f>+SUMIF(asientos!$I$13:$I$1276,SYS_4_3_Digitos!A299,asientos!$J$13:$J$1276)</f>
        <v>0</v>
      </c>
      <c r="I299" s="1314">
        <f t="shared" ca="1" si="34"/>
        <v>0</v>
      </c>
      <c r="J299" s="1315">
        <f t="shared" ca="1" si="35"/>
        <v>0</v>
      </c>
      <c r="L299" s="1308">
        <f t="shared" si="36"/>
        <v>645000000</v>
      </c>
      <c r="M299" s="1296" t="str">
        <f t="shared" si="37"/>
        <v>6450</v>
      </c>
      <c r="N299" s="1309">
        <f t="shared" ca="1" si="38"/>
        <v>0</v>
      </c>
      <c r="O299" s="1296" t="str">
        <f t="shared" si="39"/>
        <v>64</v>
      </c>
    </row>
    <row r="300" spans="1:15" s="1296" customFormat="1">
      <c r="A300" s="1310">
        <v>649</v>
      </c>
      <c r="B300" s="1311" t="s">
        <v>541</v>
      </c>
      <c r="C300" s="1312">
        <v>6310.94</v>
      </c>
      <c r="D300" s="1313">
        <v>0</v>
      </c>
      <c r="E300" s="1314">
        <f>IF(+SUMIF(SYS_cliente!$F$5:$F$2500,A300,SYS_cliente!$I$5:$I$2500)+SUMIF(SYS_cliente!$K$5:$K$2500,A300,SYS_cliente!$N$5:$N$2500)+SUMIF(SYS_cliente!$P$5:$P$2500,A300,SYS_cliente!$S$5:$S$2500)&lt;0,0,+SUMIF(SYS_cliente!$F$5:$F$2500,A300,SYS_cliente!$I$5:$I$2500)+SUMIF(SYS_cliente!$K$5:$K$2500,A300,SYS_cliente!$N$5:$N$2500)+SUMIF(SYS_cliente!$P$5:$P$2500,A300,SYS_cliente!$S$5:$S$2500))</f>
        <v>11816.43</v>
      </c>
      <c r="F300" s="1315">
        <f ca="1">IF(+SUMIF(SYS_cliente!$F$5:$F$2500,A300,SYS_cliente!$I$5:$I$1678)+SUMIF(SYS_cliente!$K$5:$K$2500,A300,SYS_cliente!$N$5:$N$1678)+SUMIF(SYS_cliente!$P$5:$P$2500,A300,SYS_cliente!$S$5:$S$1678)&gt;=0,0,-(SUMIF(SYS_cliente!$F$5:$F$2500,A300,SYS_cliente!$I$5:$I$1678)+SUMIF(SYS_cliente!$K$5:$K$2500,A300,SYS_cliente!$N$5:$N$1678)+SUMIF(SYS_cliente!$P$5:$P$2500,A300,SYS_cliente!$S$5:$S$1678)))</f>
        <v>0</v>
      </c>
      <c r="G300" s="1316">
        <f>+SUMIF(asientos!$C$13:$C$1276,SYS_4_3_Digitos!A300,asientos!$B$13:$B$1276)</f>
        <v>0</v>
      </c>
      <c r="H300" s="1317">
        <f>+SUMIF(asientos!$I$13:$I$1276,SYS_4_3_Digitos!A300,asientos!$J$13:$J$1276)</f>
        <v>0</v>
      </c>
      <c r="I300" s="1314">
        <f t="shared" ca="1" si="34"/>
        <v>11816.43</v>
      </c>
      <c r="J300" s="1315">
        <f t="shared" ca="1" si="35"/>
        <v>0</v>
      </c>
      <c r="L300" s="1308">
        <f t="shared" si="36"/>
        <v>649000000</v>
      </c>
      <c r="M300" s="1296" t="str">
        <f t="shared" si="37"/>
        <v>6490</v>
      </c>
      <c r="N300" s="1309">
        <f t="shared" ca="1" si="38"/>
        <v>11816.43</v>
      </c>
      <c r="O300" s="1296" t="str">
        <f t="shared" si="39"/>
        <v>64</v>
      </c>
    </row>
    <row r="301" spans="1:15" s="1296" customFormat="1">
      <c r="A301" s="1310">
        <v>650</v>
      </c>
      <c r="B301" s="1311" t="s">
        <v>542</v>
      </c>
      <c r="C301" s="1312">
        <v>701.5</v>
      </c>
      <c r="D301" s="1313">
        <v>0</v>
      </c>
      <c r="E301" s="1314">
        <f>IF(+SUMIF(SYS_cliente!$F$5:$F$2500,A301,SYS_cliente!$I$5:$I$2500)+SUMIF(SYS_cliente!$K$5:$K$2500,A301,SYS_cliente!$N$5:$N$2500)+SUMIF(SYS_cliente!$P$5:$P$2500,A301,SYS_cliente!$S$5:$S$2500)&lt;0,0,+SUMIF(SYS_cliente!$F$5:$F$2500,A301,SYS_cliente!$I$5:$I$2500)+SUMIF(SYS_cliente!$K$5:$K$2500,A301,SYS_cliente!$N$5:$N$2500)+SUMIF(SYS_cliente!$P$5:$P$2500,A301,SYS_cliente!$S$5:$S$2500))</f>
        <v>0</v>
      </c>
      <c r="F301" s="1315">
        <f ca="1">IF(+SUMIF(SYS_cliente!$F$5:$F$2500,A301,SYS_cliente!$I$5:$I$1678)+SUMIF(SYS_cliente!$K$5:$K$2500,A301,SYS_cliente!$N$5:$N$1678)+SUMIF(SYS_cliente!$P$5:$P$2500,A301,SYS_cliente!$S$5:$S$1678)&gt;=0,0,-(SUMIF(SYS_cliente!$F$5:$F$2500,A301,SYS_cliente!$I$5:$I$1678)+SUMIF(SYS_cliente!$K$5:$K$2500,A301,SYS_cliente!$N$5:$N$1678)+SUMIF(SYS_cliente!$P$5:$P$2500,A301,SYS_cliente!$S$5:$S$1678)))</f>
        <v>0</v>
      </c>
      <c r="G301" s="1316">
        <f>+SUMIF(asientos!$C$13:$C$1276,SYS_4_3_Digitos!A301,asientos!$B$13:$B$1276)</f>
        <v>0</v>
      </c>
      <c r="H301" s="1317">
        <f>+SUMIF(asientos!$I$13:$I$1276,SYS_4_3_Digitos!A301,asientos!$J$13:$J$1276)</f>
        <v>0</v>
      </c>
      <c r="I301" s="1314">
        <f t="shared" ca="1" si="34"/>
        <v>0</v>
      </c>
      <c r="J301" s="1315">
        <f t="shared" ca="1" si="35"/>
        <v>0</v>
      </c>
      <c r="L301" s="1308">
        <f t="shared" si="36"/>
        <v>650000000</v>
      </c>
      <c r="M301" s="1296" t="str">
        <f t="shared" si="37"/>
        <v>6500</v>
      </c>
      <c r="N301" s="1309">
        <f t="shared" ca="1" si="38"/>
        <v>0</v>
      </c>
      <c r="O301" s="1296" t="str">
        <f t="shared" si="39"/>
        <v>65</v>
      </c>
    </row>
    <row r="302" spans="1:15" s="1296" customFormat="1">
      <c r="A302" s="1310">
        <v>651</v>
      </c>
      <c r="B302" s="1311" t="s">
        <v>543</v>
      </c>
      <c r="C302" s="1312">
        <v>0</v>
      </c>
      <c r="D302" s="1313">
        <v>0</v>
      </c>
      <c r="E302" s="1314">
        <f>IF(+SUMIF(SYS_cliente!$F$5:$F$2500,A302,SYS_cliente!$I$5:$I$2500)+SUMIF(SYS_cliente!$K$5:$K$2500,A302,SYS_cliente!$N$5:$N$2500)+SUMIF(SYS_cliente!$P$5:$P$2500,A302,SYS_cliente!$S$5:$S$2500)&lt;0,0,+SUMIF(SYS_cliente!$F$5:$F$2500,A302,SYS_cliente!$I$5:$I$2500)+SUMIF(SYS_cliente!$K$5:$K$2500,A302,SYS_cliente!$N$5:$N$2500)+SUMIF(SYS_cliente!$P$5:$P$2500,A302,SYS_cliente!$S$5:$S$2500))</f>
        <v>0</v>
      </c>
      <c r="F302" s="1315">
        <f ca="1">IF(+SUMIF(SYS_cliente!$F$5:$F$2500,A302,SYS_cliente!$I$5:$I$1678)+SUMIF(SYS_cliente!$K$5:$K$2500,A302,SYS_cliente!$N$5:$N$1678)+SUMIF(SYS_cliente!$P$5:$P$2500,A302,SYS_cliente!$S$5:$S$1678)&gt;=0,0,-(SUMIF(SYS_cliente!$F$5:$F$2500,A302,SYS_cliente!$I$5:$I$1678)+SUMIF(SYS_cliente!$K$5:$K$2500,A302,SYS_cliente!$N$5:$N$1678)+SUMIF(SYS_cliente!$P$5:$P$2500,A302,SYS_cliente!$S$5:$S$1678)))</f>
        <v>0</v>
      </c>
      <c r="G302" s="1316">
        <f>+SUMIF(asientos!$C$13:$C$1276,SYS_4_3_Digitos!A302,asientos!$B$13:$B$1276)</f>
        <v>0</v>
      </c>
      <c r="H302" s="1317">
        <f>+SUMIF(asientos!$I$13:$I$1276,SYS_4_3_Digitos!A302,asientos!$J$13:$J$1276)</f>
        <v>0</v>
      </c>
      <c r="I302" s="1314">
        <f t="shared" ca="1" si="34"/>
        <v>0</v>
      </c>
      <c r="J302" s="1315">
        <f t="shared" ca="1" si="35"/>
        <v>0</v>
      </c>
      <c r="L302" s="1308">
        <f t="shared" si="36"/>
        <v>651000000</v>
      </c>
      <c r="M302" s="1296" t="str">
        <f t="shared" si="37"/>
        <v>6510</v>
      </c>
      <c r="N302" s="1309">
        <f t="shared" ca="1" si="38"/>
        <v>0</v>
      </c>
      <c r="O302" s="1296" t="str">
        <f t="shared" si="39"/>
        <v>65</v>
      </c>
    </row>
    <row r="303" spans="1:15" s="1296" customFormat="1">
      <c r="A303" s="1310">
        <v>659</v>
      </c>
      <c r="B303" s="1311" t="s">
        <v>544</v>
      </c>
      <c r="C303" s="1312">
        <v>0</v>
      </c>
      <c r="D303" s="1313">
        <v>0</v>
      </c>
      <c r="E303" s="1314">
        <f>IF(+SUMIF(SYS_cliente!$F$5:$F$2500,A303,SYS_cliente!$I$5:$I$2500)+SUMIF(SYS_cliente!$K$5:$K$2500,A303,SYS_cliente!$N$5:$N$2500)+SUMIF(SYS_cliente!$P$5:$P$2500,A303,SYS_cliente!$S$5:$S$2500)&lt;0,0,+SUMIF(SYS_cliente!$F$5:$F$2500,A303,SYS_cliente!$I$5:$I$2500)+SUMIF(SYS_cliente!$K$5:$K$2500,A303,SYS_cliente!$N$5:$N$2500)+SUMIF(SYS_cliente!$P$5:$P$2500,A303,SYS_cliente!$S$5:$S$2500))</f>
        <v>0</v>
      </c>
      <c r="F303" s="1315">
        <f ca="1">IF(+SUMIF(SYS_cliente!$F$5:$F$2500,A303,SYS_cliente!$I$5:$I$1678)+SUMIF(SYS_cliente!$K$5:$K$2500,A303,SYS_cliente!$N$5:$N$1678)+SUMIF(SYS_cliente!$P$5:$P$2500,A303,SYS_cliente!$S$5:$S$1678)&gt;=0,0,-(SUMIF(SYS_cliente!$F$5:$F$2500,A303,SYS_cliente!$I$5:$I$1678)+SUMIF(SYS_cliente!$K$5:$K$2500,A303,SYS_cliente!$N$5:$N$1678)+SUMIF(SYS_cliente!$P$5:$P$2500,A303,SYS_cliente!$S$5:$S$1678)))</f>
        <v>0</v>
      </c>
      <c r="G303" s="1316">
        <f>+SUMIF(asientos!$C$13:$C$1276,SYS_4_3_Digitos!A303,asientos!$B$13:$B$1276)</f>
        <v>0</v>
      </c>
      <c r="H303" s="1317">
        <f>+SUMIF(asientos!$I$13:$I$1276,SYS_4_3_Digitos!A303,asientos!$J$13:$J$1276)</f>
        <v>0</v>
      </c>
      <c r="I303" s="1314">
        <f t="shared" ca="1" si="34"/>
        <v>0</v>
      </c>
      <c r="J303" s="1315">
        <f t="shared" ca="1" si="35"/>
        <v>0</v>
      </c>
      <c r="L303" s="1308">
        <f t="shared" si="36"/>
        <v>659000000</v>
      </c>
      <c r="M303" s="1296" t="str">
        <f t="shared" si="37"/>
        <v>6590</v>
      </c>
      <c r="N303" s="1309">
        <f t="shared" ca="1" si="38"/>
        <v>0</v>
      </c>
      <c r="O303" s="1296" t="str">
        <f t="shared" si="39"/>
        <v>65</v>
      </c>
    </row>
    <row r="304" spans="1:15" s="1296" customFormat="1">
      <c r="A304" s="1310">
        <v>660</v>
      </c>
      <c r="B304" s="1311" t="s">
        <v>545</v>
      </c>
      <c r="C304" s="1312">
        <v>0</v>
      </c>
      <c r="D304" s="1313">
        <v>0</v>
      </c>
      <c r="E304" s="1314">
        <f>IF(+SUMIF(SYS_cliente!$F$5:$F$2500,A304,SYS_cliente!$I$5:$I$2500)+SUMIF(SYS_cliente!$K$5:$K$2500,A304,SYS_cliente!$N$5:$N$2500)+SUMIF(SYS_cliente!$P$5:$P$2500,A304,SYS_cliente!$S$5:$S$2500)&lt;0,0,+SUMIF(SYS_cliente!$F$5:$F$2500,A304,SYS_cliente!$I$5:$I$2500)+SUMIF(SYS_cliente!$K$5:$K$2500,A304,SYS_cliente!$N$5:$N$2500)+SUMIF(SYS_cliente!$P$5:$P$2500,A304,SYS_cliente!$S$5:$S$2500))</f>
        <v>0</v>
      </c>
      <c r="F304" s="1315">
        <f ca="1">IF(+SUMIF(SYS_cliente!$F$5:$F$2500,A304,SYS_cliente!$I$5:$I$1678)+SUMIF(SYS_cliente!$K$5:$K$2500,A304,SYS_cliente!$N$5:$N$1678)+SUMIF(SYS_cliente!$P$5:$P$2500,A304,SYS_cliente!$S$5:$S$1678)&gt;=0,0,-(SUMIF(SYS_cliente!$F$5:$F$2500,A304,SYS_cliente!$I$5:$I$1678)+SUMIF(SYS_cliente!$K$5:$K$2500,A304,SYS_cliente!$N$5:$N$1678)+SUMIF(SYS_cliente!$P$5:$P$2500,A304,SYS_cliente!$S$5:$S$1678)))</f>
        <v>0</v>
      </c>
      <c r="G304" s="1316">
        <f>+SUMIF(asientos!$C$13:$C$1276,SYS_4_3_Digitos!A304,asientos!$B$13:$B$1276)</f>
        <v>0</v>
      </c>
      <c r="H304" s="1317">
        <f>+SUMIF(asientos!$I$13:$I$1276,SYS_4_3_Digitos!A304,asientos!$J$13:$J$1276)</f>
        <v>0</v>
      </c>
      <c r="I304" s="1314">
        <f t="shared" ca="1" si="34"/>
        <v>0</v>
      </c>
      <c r="J304" s="1315">
        <f t="shared" ca="1" si="35"/>
        <v>0</v>
      </c>
      <c r="L304" s="1308">
        <f t="shared" si="36"/>
        <v>660000000</v>
      </c>
      <c r="M304" s="1296" t="str">
        <f t="shared" si="37"/>
        <v>6600</v>
      </c>
      <c r="N304" s="1309">
        <f t="shared" ca="1" si="38"/>
        <v>0</v>
      </c>
      <c r="O304" s="1296" t="str">
        <f t="shared" si="39"/>
        <v>66</v>
      </c>
    </row>
    <row r="305" spans="1:15" s="1296" customFormat="1">
      <c r="A305" s="1310">
        <v>661</v>
      </c>
      <c r="B305" s="1311" t="s">
        <v>546</v>
      </c>
      <c r="C305" s="1312">
        <v>0</v>
      </c>
      <c r="D305" s="1313">
        <v>0</v>
      </c>
      <c r="E305" s="1314">
        <f>IF(+SUMIF(SYS_cliente!$F$5:$F$2500,A305,SYS_cliente!$I$5:$I$2500)+SUMIF(SYS_cliente!$K$5:$K$2500,A305,SYS_cliente!$N$5:$N$2500)+SUMIF(SYS_cliente!$P$5:$P$2500,A305,SYS_cliente!$S$5:$S$2500)&lt;0,0,+SUMIF(SYS_cliente!$F$5:$F$2500,A305,SYS_cliente!$I$5:$I$2500)+SUMIF(SYS_cliente!$K$5:$K$2500,A305,SYS_cliente!$N$5:$N$2500)+SUMIF(SYS_cliente!$P$5:$P$2500,A305,SYS_cliente!$S$5:$S$2500))</f>
        <v>0</v>
      </c>
      <c r="F305" s="1315">
        <f ca="1">IF(+SUMIF(SYS_cliente!$F$5:$F$2500,A305,SYS_cliente!$I$5:$I$1678)+SUMIF(SYS_cliente!$K$5:$K$2500,A305,SYS_cliente!$N$5:$N$1678)+SUMIF(SYS_cliente!$P$5:$P$2500,A305,SYS_cliente!$S$5:$S$1678)&gt;=0,0,-(SUMIF(SYS_cliente!$F$5:$F$2500,A305,SYS_cliente!$I$5:$I$1678)+SUMIF(SYS_cliente!$K$5:$K$2500,A305,SYS_cliente!$N$5:$N$1678)+SUMIF(SYS_cliente!$P$5:$P$2500,A305,SYS_cliente!$S$5:$S$1678)))</f>
        <v>0</v>
      </c>
      <c r="G305" s="1316">
        <f>+SUMIF(asientos!$C$13:$C$1276,SYS_4_3_Digitos!A305,asientos!$B$13:$B$1276)</f>
        <v>0</v>
      </c>
      <c r="H305" s="1317">
        <f>+SUMIF(asientos!$I$13:$I$1276,SYS_4_3_Digitos!A305,asientos!$J$13:$J$1276)</f>
        <v>0</v>
      </c>
      <c r="I305" s="1314">
        <f t="shared" ca="1" si="34"/>
        <v>0</v>
      </c>
      <c r="J305" s="1315">
        <f t="shared" ca="1" si="35"/>
        <v>0</v>
      </c>
      <c r="L305" s="1308">
        <f t="shared" si="36"/>
        <v>661000000</v>
      </c>
      <c r="M305" s="1296" t="str">
        <f t="shared" si="37"/>
        <v>6610</v>
      </c>
      <c r="N305" s="1309">
        <f t="shared" ca="1" si="38"/>
        <v>0</v>
      </c>
      <c r="O305" s="1296" t="str">
        <f t="shared" si="39"/>
        <v>66</v>
      </c>
    </row>
    <row r="306" spans="1:15" s="1296" customFormat="1">
      <c r="A306" s="1310">
        <v>6620</v>
      </c>
      <c r="B306" s="1311" t="s">
        <v>547</v>
      </c>
      <c r="C306" s="1312">
        <v>0</v>
      </c>
      <c r="D306" s="1313">
        <v>0</v>
      </c>
      <c r="E306" s="1314">
        <f>IF(+SUMIF(SYS_cliente!$F$5:$F$2500,A306,SYS_cliente!$I$5:$I$2500)+SUMIF(SYS_cliente!$K$5:$K$2500,A306,SYS_cliente!$N$5:$N$2500)+SUMIF(SYS_cliente!$P$5:$P$2500,A306,SYS_cliente!$S$5:$S$2500)&lt;0,0,+SUMIF(SYS_cliente!$F$5:$F$2500,A306,SYS_cliente!$I$5:$I$2500)+SUMIF(SYS_cliente!$K$5:$K$2500,A306,SYS_cliente!$N$5:$N$2500)+SUMIF(SYS_cliente!$P$5:$P$2500,A306,SYS_cliente!$S$5:$S$2500))</f>
        <v>0</v>
      </c>
      <c r="F306" s="1315">
        <f ca="1">IF(+SUMIF(SYS_cliente!$F$5:$F$2500,A306,SYS_cliente!$I$5:$I$1678)+SUMIF(SYS_cliente!$K$5:$K$2500,A306,SYS_cliente!$N$5:$N$1678)+SUMIF(SYS_cliente!$P$5:$P$2500,A306,SYS_cliente!$S$5:$S$1678)&gt;=0,0,-(SUMIF(SYS_cliente!$F$5:$F$2500,A306,SYS_cliente!$I$5:$I$1678)+SUMIF(SYS_cliente!$K$5:$K$2500,A306,SYS_cliente!$N$5:$N$1678)+SUMIF(SYS_cliente!$P$5:$P$2500,A306,SYS_cliente!$S$5:$S$1678)))</f>
        <v>0</v>
      </c>
      <c r="G306" s="1316">
        <f>+SUMIF(asientos!$C$13:$C$1276,SYS_4_3_Digitos!A306,asientos!$B$13:$B$1276)</f>
        <v>0</v>
      </c>
      <c r="H306" s="1317">
        <f>+SUMIF(asientos!$I$13:$I$1276,SYS_4_3_Digitos!A306,asientos!$J$13:$J$1276)</f>
        <v>0</v>
      </c>
      <c r="I306" s="1314">
        <f t="shared" ca="1" si="34"/>
        <v>0</v>
      </c>
      <c r="J306" s="1315">
        <f t="shared" ca="1" si="35"/>
        <v>0</v>
      </c>
      <c r="L306" s="1308">
        <f t="shared" si="36"/>
        <v>6620000000</v>
      </c>
      <c r="M306" s="1296" t="str">
        <f t="shared" si="37"/>
        <v>6620</v>
      </c>
      <c r="N306" s="1309">
        <f t="shared" ca="1" si="38"/>
        <v>0</v>
      </c>
      <c r="O306" s="1296" t="str">
        <f t="shared" si="39"/>
        <v>66</v>
      </c>
    </row>
    <row r="307" spans="1:15" s="1296" customFormat="1">
      <c r="A307" s="1310">
        <v>6621</v>
      </c>
      <c r="B307" s="1311" t="s">
        <v>548</v>
      </c>
      <c r="C307" s="1312">
        <v>0</v>
      </c>
      <c r="D307" s="1313">
        <v>0</v>
      </c>
      <c r="E307" s="1314">
        <f>IF(+SUMIF(SYS_cliente!$F$5:$F$2500,A307,SYS_cliente!$I$5:$I$2500)+SUMIF(SYS_cliente!$K$5:$K$2500,A307,SYS_cliente!$N$5:$N$2500)+SUMIF(SYS_cliente!$P$5:$P$2500,A307,SYS_cliente!$S$5:$S$2500)&lt;0,0,+SUMIF(SYS_cliente!$F$5:$F$2500,A307,SYS_cliente!$I$5:$I$2500)+SUMIF(SYS_cliente!$K$5:$K$2500,A307,SYS_cliente!$N$5:$N$2500)+SUMIF(SYS_cliente!$P$5:$P$2500,A307,SYS_cliente!$S$5:$S$2500))</f>
        <v>0</v>
      </c>
      <c r="F307" s="1315">
        <f ca="1">IF(+SUMIF(SYS_cliente!$F$5:$F$2500,A307,SYS_cliente!$I$5:$I$1678)+SUMIF(SYS_cliente!$K$5:$K$2500,A307,SYS_cliente!$N$5:$N$1678)+SUMIF(SYS_cliente!$P$5:$P$2500,A307,SYS_cliente!$S$5:$S$1678)&gt;=0,0,-(SUMIF(SYS_cliente!$F$5:$F$2500,A307,SYS_cliente!$I$5:$I$1678)+SUMIF(SYS_cliente!$K$5:$K$2500,A307,SYS_cliente!$N$5:$N$1678)+SUMIF(SYS_cliente!$P$5:$P$2500,A307,SYS_cliente!$S$5:$S$1678)))</f>
        <v>0</v>
      </c>
      <c r="G307" s="1316">
        <f>+SUMIF(asientos!$C$13:$C$1276,SYS_4_3_Digitos!A307,asientos!$B$13:$B$1276)</f>
        <v>0</v>
      </c>
      <c r="H307" s="1317">
        <f>+SUMIF(asientos!$I$13:$I$1276,SYS_4_3_Digitos!A307,asientos!$J$13:$J$1276)</f>
        <v>0</v>
      </c>
      <c r="I307" s="1314">
        <f t="shared" ca="1" si="34"/>
        <v>0</v>
      </c>
      <c r="J307" s="1315">
        <f t="shared" ca="1" si="35"/>
        <v>0</v>
      </c>
      <c r="L307" s="1308">
        <f t="shared" si="36"/>
        <v>6621000000</v>
      </c>
      <c r="M307" s="1296" t="str">
        <f t="shared" si="37"/>
        <v>6621</v>
      </c>
      <c r="N307" s="1309">
        <f t="shared" ca="1" si="38"/>
        <v>0</v>
      </c>
      <c r="O307" s="1296" t="str">
        <f t="shared" si="39"/>
        <v>66</v>
      </c>
    </row>
    <row r="308" spans="1:15" s="1296" customFormat="1">
      <c r="A308" s="1310">
        <v>6622</v>
      </c>
      <c r="B308" s="1311" t="s">
        <v>549</v>
      </c>
      <c r="C308" s="1312">
        <v>0</v>
      </c>
      <c r="D308" s="1313">
        <v>0</v>
      </c>
      <c r="E308" s="1314">
        <f>IF(+SUMIF(SYS_cliente!$F$5:$F$2500,A308,SYS_cliente!$I$5:$I$2500)+SUMIF(SYS_cliente!$K$5:$K$2500,A308,SYS_cliente!$N$5:$N$2500)+SUMIF(SYS_cliente!$P$5:$P$2500,A308,SYS_cliente!$S$5:$S$2500)&lt;0,0,+SUMIF(SYS_cliente!$F$5:$F$2500,A308,SYS_cliente!$I$5:$I$2500)+SUMIF(SYS_cliente!$K$5:$K$2500,A308,SYS_cliente!$N$5:$N$2500)+SUMIF(SYS_cliente!$P$5:$P$2500,A308,SYS_cliente!$S$5:$S$2500))</f>
        <v>0</v>
      </c>
      <c r="F308" s="1315">
        <f ca="1">IF(+SUMIF(SYS_cliente!$F$5:$F$2500,A308,SYS_cliente!$I$5:$I$1678)+SUMIF(SYS_cliente!$K$5:$K$2500,A308,SYS_cliente!$N$5:$N$1678)+SUMIF(SYS_cliente!$P$5:$P$2500,A308,SYS_cliente!$S$5:$S$1678)&gt;=0,0,-(SUMIF(SYS_cliente!$F$5:$F$2500,A308,SYS_cliente!$I$5:$I$1678)+SUMIF(SYS_cliente!$K$5:$K$2500,A308,SYS_cliente!$N$5:$N$1678)+SUMIF(SYS_cliente!$P$5:$P$2500,A308,SYS_cliente!$S$5:$S$1678)))</f>
        <v>0</v>
      </c>
      <c r="G308" s="1316">
        <f>+SUMIF(asientos!$C$13:$C$1276,SYS_4_3_Digitos!A308,asientos!$B$13:$B$1276)</f>
        <v>0</v>
      </c>
      <c r="H308" s="1317">
        <f>+SUMIF(asientos!$I$13:$I$1276,SYS_4_3_Digitos!A308,asientos!$J$13:$J$1276)</f>
        <v>0</v>
      </c>
      <c r="I308" s="1314">
        <f t="shared" ca="1" si="34"/>
        <v>0</v>
      </c>
      <c r="J308" s="1315">
        <f t="shared" ca="1" si="35"/>
        <v>0</v>
      </c>
      <c r="L308" s="1308">
        <f t="shared" si="36"/>
        <v>6622000000</v>
      </c>
      <c r="M308" s="1296" t="str">
        <f t="shared" si="37"/>
        <v>6622</v>
      </c>
      <c r="N308" s="1309">
        <f t="shared" ca="1" si="38"/>
        <v>0</v>
      </c>
      <c r="O308" s="1296" t="str">
        <f t="shared" si="39"/>
        <v>66</v>
      </c>
    </row>
    <row r="309" spans="1:15" s="1296" customFormat="1">
      <c r="A309" s="1310">
        <v>6623</v>
      </c>
      <c r="B309" s="1311" t="s">
        <v>550</v>
      </c>
      <c r="C309" s="1312">
        <v>0</v>
      </c>
      <c r="D309" s="1313">
        <v>0</v>
      </c>
      <c r="E309" s="1314">
        <f>IF(+SUMIF(SYS_cliente!$F$5:$F$2500,A309,SYS_cliente!$I$5:$I$2500)+SUMIF(SYS_cliente!$K$5:$K$2500,A309,SYS_cliente!$N$5:$N$2500)+SUMIF(SYS_cliente!$P$5:$P$2500,A309,SYS_cliente!$S$5:$S$2500)&lt;0,0,+SUMIF(SYS_cliente!$F$5:$F$2500,A309,SYS_cliente!$I$5:$I$2500)+SUMIF(SYS_cliente!$K$5:$K$2500,A309,SYS_cliente!$N$5:$N$2500)+SUMIF(SYS_cliente!$P$5:$P$2500,A309,SYS_cliente!$S$5:$S$2500))</f>
        <v>0</v>
      </c>
      <c r="F309" s="1315">
        <f ca="1">IF(+SUMIF(SYS_cliente!$F$5:$F$2500,A309,SYS_cliente!$I$5:$I$1678)+SUMIF(SYS_cliente!$K$5:$K$2500,A309,SYS_cliente!$N$5:$N$1678)+SUMIF(SYS_cliente!$P$5:$P$2500,A309,SYS_cliente!$S$5:$S$1678)&gt;=0,0,-(SUMIF(SYS_cliente!$F$5:$F$2500,A309,SYS_cliente!$I$5:$I$1678)+SUMIF(SYS_cliente!$K$5:$K$2500,A309,SYS_cliente!$N$5:$N$1678)+SUMIF(SYS_cliente!$P$5:$P$2500,A309,SYS_cliente!$S$5:$S$1678)))</f>
        <v>0</v>
      </c>
      <c r="G309" s="1316">
        <f>+SUMIF(asientos!$C$13:$C$1276,SYS_4_3_Digitos!A309,asientos!$B$13:$B$1276)</f>
        <v>0</v>
      </c>
      <c r="H309" s="1317">
        <f>+SUMIF(asientos!$I$13:$I$1276,SYS_4_3_Digitos!A309,asientos!$J$13:$J$1276)</f>
        <v>0</v>
      </c>
      <c r="I309" s="1314">
        <f t="shared" ca="1" si="34"/>
        <v>0</v>
      </c>
      <c r="J309" s="1315">
        <f t="shared" ca="1" si="35"/>
        <v>0</v>
      </c>
      <c r="L309" s="1308">
        <f t="shared" si="36"/>
        <v>6623000000</v>
      </c>
      <c r="M309" s="1296" t="str">
        <f t="shared" si="37"/>
        <v>6623</v>
      </c>
      <c r="N309" s="1309">
        <f t="shared" ca="1" si="38"/>
        <v>0</v>
      </c>
      <c r="O309" s="1296" t="str">
        <f t="shared" si="39"/>
        <v>66</v>
      </c>
    </row>
    <row r="310" spans="1:15" s="1296" customFormat="1">
      <c r="A310" s="1310">
        <v>6624</v>
      </c>
      <c r="B310" s="1311" t="s">
        <v>551</v>
      </c>
      <c r="C310" s="1312">
        <v>0</v>
      </c>
      <c r="D310" s="1313">
        <v>0</v>
      </c>
      <c r="E310" s="1314">
        <f>IF(+SUMIF(SYS_cliente!$F$5:$F$2500,A310,SYS_cliente!$I$5:$I$2500)+SUMIF(SYS_cliente!$K$5:$K$2500,A310,SYS_cliente!$N$5:$N$2500)+SUMIF(SYS_cliente!$P$5:$P$2500,A310,SYS_cliente!$S$5:$S$2500)&lt;0,0,+SUMIF(SYS_cliente!$F$5:$F$2500,A310,SYS_cliente!$I$5:$I$2500)+SUMIF(SYS_cliente!$K$5:$K$2500,A310,SYS_cliente!$N$5:$N$2500)+SUMIF(SYS_cliente!$P$5:$P$2500,A310,SYS_cliente!$S$5:$S$2500))</f>
        <v>0</v>
      </c>
      <c r="F310" s="1315">
        <f ca="1">IF(+SUMIF(SYS_cliente!$F$5:$F$2500,A310,SYS_cliente!$I$5:$I$1678)+SUMIF(SYS_cliente!$K$5:$K$2500,A310,SYS_cliente!$N$5:$N$1678)+SUMIF(SYS_cliente!$P$5:$P$2500,A310,SYS_cliente!$S$5:$S$1678)&gt;=0,0,-(SUMIF(SYS_cliente!$F$5:$F$2500,A310,SYS_cliente!$I$5:$I$1678)+SUMIF(SYS_cliente!$K$5:$K$2500,A310,SYS_cliente!$N$5:$N$1678)+SUMIF(SYS_cliente!$P$5:$P$2500,A310,SYS_cliente!$S$5:$S$1678)))</f>
        <v>0</v>
      </c>
      <c r="G310" s="1316">
        <f>+SUMIF(asientos!$C$13:$C$1276,SYS_4_3_Digitos!A310,asientos!$B$13:$B$1276)</f>
        <v>0</v>
      </c>
      <c r="H310" s="1317">
        <f>+SUMIF(asientos!$I$13:$I$1276,SYS_4_3_Digitos!A310,asientos!$J$13:$J$1276)</f>
        <v>0</v>
      </c>
      <c r="I310" s="1314">
        <f t="shared" ca="1" si="34"/>
        <v>0</v>
      </c>
      <c r="J310" s="1315">
        <f t="shared" ca="1" si="35"/>
        <v>0</v>
      </c>
      <c r="L310" s="1308">
        <f t="shared" si="36"/>
        <v>6624000000</v>
      </c>
      <c r="M310" s="1296" t="str">
        <f t="shared" si="37"/>
        <v>6624</v>
      </c>
      <c r="N310" s="1309">
        <f t="shared" ca="1" si="38"/>
        <v>0</v>
      </c>
      <c r="O310" s="1296" t="str">
        <f t="shared" si="39"/>
        <v>66</v>
      </c>
    </row>
    <row r="311" spans="1:15" s="1296" customFormat="1">
      <c r="A311" s="1310">
        <v>663</v>
      </c>
      <c r="B311" s="1311" t="s">
        <v>552</v>
      </c>
      <c r="C311" s="1312">
        <v>10054.14</v>
      </c>
      <c r="D311" s="1313">
        <v>0</v>
      </c>
      <c r="E311" s="1314">
        <f>IF(+SUMIF(SYS_cliente!$F$5:$F$2500,A311,SYS_cliente!$I$5:$I$2500)+SUMIF(SYS_cliente!$K$5:$K$2500,A311,SYS_cliente!$N$5:$N$2500)+SUMIF(SYS_cliente!$P$5:$P$2500,A311,SYS_cliente!$S$5:$S$2500)&lt;0,0,+SUMIF(SYS_cliente!$F$5:$F$2500,A311,SYS_cliente!$I$5:$I$2500)+SUMIF(SYS_cliente!$K$5:$K$2500,A311,SYS_cliente!$N$5:$N$2500)+SUMIF(SYS_cliente!$P$5:$P$2500,A311,SYS_cliente!$S$5:$S$2500))</f>
        <v>0</v>
      </c>
      <c r="F311" s="1315">
        <f ca="1">IF(+SUMIF(SYS_cliente!$F$5:$F$2500,A311,SYS_cliente!$I$5:$I$1678)+SUMIF(SYS_cliente!$K$5:$K$2500,A311,SYS_cliente!$N$5:$N$1678)+SUMIF(SYS_cliente!$P$5:$P$2500,A311,SYS_cliente!$S$5:$S$1678)&gt;=0,0,-(SUMIF(SYS_cliente!$F$5:$F$2500,A311,SYS_cliente!$I$5:$I$1678)+SUMIF(SYS_cliente!$K$5:$K$2500,A311,SYS_cliente!$N$5:$N$1678)+SUMIF(SYS_cliente!$P$5:$P$2500,A311,SYS_cliente!$S$5:$S$1678)))</f>
        <v>0</v>
      </c>
      <c r="G311" s="1316">
        <f>+SUMIF(asientos!$C$13:$C$1276,SYS_4_3_Digitos!A311,asientos!$B$13:$B$1276)</f>
        <v>0</v>
      </c>
      <c r="H311" s="1317">
        <f>+SUMIF(asientos!$I$13:$I$1276,SYS_4_3_Digitos!A311,asientos!$J$13:$J$1276)</f>
        <v>0</v>
      </c>
      <c r="I311" s="1314">
        <f t="shared" ca="1" si="34"/>
        <v>0</v>
      </c>
      <c r="J311" s="1315">
        <f t="shared" ca="1" si="35"/>
        <v>0</v>
      </c>
      <c r="L311" s="1308">
        <f t="shared" si="36"/>
        <v>663000000</v>
      </c>
      <c r="M311" s="1296" t="str">
        <f t="shared" si="37"/>
        <v>6630</v>
      </c>
      <c r="N311" s="1309">
        <f t="shared" ca="1" si="38"/>
        <v>0</v>
      </c>
      <c r="O311" s="1296" t="str">
        <f t="shared" si="39"/>
        <v>66</v>
      </c>
    </row>
    <row r="312" spans="1:15" s="1296" customFormat="1">
      <c r="A312" s="1310">
        <v>664</v>
      </c>
      <c r="B312" s="1311" t="s">
        <v>553</v>
      </c>
      <c r="C312" s="1312">
        <v>0</v>
      </c>
      <c r="D312" s="1313">
        <v>0</v>
      </c>
      <c r="E312" s="1314">
        <f>IF(+SUMIF(SYS_cliente!$F$5:$F$2500,A312,SYS_cliente!$I$5:$I$2500)+SUMIF(SYS_cliente!$K$5:$K$2500,A312,SYS_cliente!$N$5:$N$2500)+SUMIF(SYS_cliente!$P$5:$P$2500,A312,SYS_cliente!$S$5:$S$2500)&lt;0,0,+SUMIF(SYS_cliente!$F$5:$F$2500,A312,SYS_cliente!$I$5:$I$2500)+SUMIF(SYS_cliente!$K$5:$K$2500,A312,SYS_cliente!$N$5:$N$2500)+SUMIF(SYS_cliente!$P$5:$P$2500,A312,SYS_cliente!$S$5:$S$2500))</f>
        <v>0</v>
      </c>
      <c r="F312" s="1315">
        <f ca="1">IF(+SUMIF(SYS_cliente!$F$5:$F$2500,A312,SYS_cliente!$I$5:$I$1678)+SUMIF(SYS_cliente!$K$5:$K$2500,A312,SYS_cliente!$N$5:$N$1678)+SUMIF(SYS_cliente!$P$5:$P$2500,A312,SYS_cliente!$S$5:$S$1678)&gt;=0,0,-(SUMIF(SYS_cliente!$F$5:$F$2500,A312,SYS_cliente!$I$5:$I$1678)+SUMIF(SYS_cliente!$K$5:$K$2500,A312,SYS_cliente!$N$5:$N$1678)+SUMIF(SYS_cliente!$P$5:$P$2500,A312,SYS_cliente!$S$5:$S$1678)))</f>
        <v>0</v>
      </c>
      <c r="G312" s="1316">
        <f>+SUMIF(asientos!$C$13:$C$1276,SYS_4_3_Digitos!A312,asientos!$B$13:$B$1276)</f>
        <v>0</v>
      </c>
      <c r="H312" s="1317">
        <f>+SUMIF(asientos!$I$13:$I$1276,SYS_4_3_Digitos!A312,asientos!$J$13:$J$1276)</f>
        <v>0</v>
      </c>
      <c r="I312" s="1314">
        <f t="shared" ca="1" si="34"/>
        <v>0</v>
      </c>
      <c r="J312" s="1315">
        <f t="shared" ca="1" si="35"/>
        <v>0</v>
      </c>
      <c r="L312" s="1308">
        <f t="shared" si="36"/>
        <v>664000000</v>
      </c>
      <c r="M312" s="1296" t="str">
        <f t="shared" si="37"/>
        <v>6640</v>
      </c>
      <c r="N312" s="1309">
        <f t="shared" ca="1" si="38"/>
        <v>0</v>
      </c>
      <c r="O312" s="1296" t="str">
        <f t="shared" si="39"/>
        <v>66</v>
      </c>
    </row>
    <row r="313" spans="1:15" s="1296" customFormat="1">
      <c r="A313" s="1310">
        <v>665</v>
      </c>
      <c r="B313" s="1311" t="s">
        <v>1706</v>
      </c>
      <c r="C313" s="1312">
        <v>0</v>
      </c>
      <c r="D313" s="1313">
        <v>0</v>
      </c>
      <c r="E313" s="1314">
        <f>IF(+SUMIF(SYS_cliente!$F$5:$F$2500,A313,SYS_cliente!$I$5:$I$2500)+SUMIF(SYS_cliente!$K$5:$K$2500,A313,SYS_cliente!$N$5:$N$2500)+SUMIF(SYS_cliente!$P$5:$P$2500,A313,SYS_cliente!$S$5:$S$2500)&lt;0,0,+SUMIF(SYS_cliente!$F$5:$F$2500,A313,SYS_cliente!$I$5:$I$2500)+SUMIF(SYS_cliente!$K$5:$K$2500,A313,SYS_cliente!$N$5:$N$2500)+SUMIF(SYS_cliente!$P$5:$P$2500,A313,SYS_cliente!$S$5:$S$2500))</f>
        <v>0</v>
      </c>
      <c r="F313" s="1315">
        <f ca="1">IF(+SUMIF(SYS_cliente!$F$5:$F$2500,A313,SYS_cliente!$I$5:$I$1678)+SUMIF(SYS_cliente!$K$5:$K$2500,A313,SYS_cliente!$N$5:$N$1678)+SUMIF(SYS_cliente!$P$5:$P$2500,A313,SYS_cliente!$S$5:$S$1678)&gt;=0,0,-(SUMIF(SYS_cliente!$F$5:$F$2500,A313,SYS_cliente!$I$5:$I$1678)+SUMIF(SYS_cliente!$K$5:$K$2500,A313,SYS_cliente!$N$5:$N$1678)+SUMIF(SYS_cliente!$P$5:$P$2500,A313,SYS_cliente!$S$5:$S$1678)))</f>
        <v>0</v>
      </c>
      <c r="G313" s="1316">
        <f>+SUMIF(asientos!$C$13:$C$1276,SYS_4_3_Digitos!A313,asientos!$B$13:$B$1276)</f>
        <v>0</v>
      </c>
      <c r="H313" s="1317">
        <f>+SUMIF(asientos!$I$13:$I$1276,SYS_4_3_Digitos!A313,asientos!$J$13:$J$1276)</f>
        <v>0</v>
      </c>
      <c r="I313" s="1314">
        <f t="shared" ca="1" si="34"/>
        <v>0</v>
      </c>
      <c r="J313" s="1315">
        <f t="shared" ca="1" si="35"/>
        <v>0</v>
      </c>
      <c r="L313" s="1308">
        <f t="shared" si="36"/>
        <v>665000000</v>
      </c>
      <c r="M313" s="1296" t="str">
        <f t="shared" si="37"/>
        <v>6650</v>
      </c>
      <c r="N313" s="1309">
        <f t="shared" ca="1" si="38"/>
        <v>0</v>
      </c>
      <c r="O313" s="1296" t="str">
        <f t="shared" si="39"/>
        <v>66</v>
      </c>
    </row>
    <row r="314" spans="1:15" s="1296" customFormat="1">
      <c r="A314" s="1310">
        <v>666</v>
      </c>
      <c r="B314" s="1311" t="s">
        <v>554</v>
      </c>
      <c r="C314" s="1312">
        <v>0</v>
      </c>
      <c r="D314" s="1313">
        <v>0</v>
      </c>
      <c r="E314" s="1314">
        <f>IF(+SUMIF(SYS_cliente!$F$5:$F$2500,A314,SYS_cliente!$I$5:$I$2500)+SUMIF(SYS_cliente!$K$5:$K$2500,A314,SYS_cliente!$N$5:$N$2500)+SUMIF(SYS_cliente!$P$5:$P$2500,A314,SYS_cliente!$S$5:$S$2500)&lt;0,0,+SUMIF(SYS_cliente!$F$5:$F$2500,A314,SYS_cliente!$I$5:$I$2500)+SUMIF(SYS_cliente!$K$5:$K$2500,A314,SYS_cliente!$N$5:$N$2500)+SUMIF(SYS_cliente!$P$5:$P$2500,A314,SYS_cliente!$S$5:$S$2500))</f>
        <v>0</v>
      </c>
      <c r="F314" s="1315">
        <f ca="1">IF(+SUMIF(SYS_cliente!$F$5:$F$2500,A314,SYS_cliente!$I$5:$I$1678)+SUMIF(SYS_cliente!$K$5:$K$2500,A314,SYS_cliente!$N$5:$N$1678)+SUMIF(SYS_cliente!$P$5:$P$2500,A314,SYS_cliente!$S$5:$S$1678)&gt;=0,0,-(SUMIF(SYS_cliente!$F$5:$F$2500,A314,SYS_cliente!$I$5:$I$1678)+SUMIF(SYS_cliente!$K$5:$K$2500,A314,SYS_cliente!$N$5:$N$1678)+SUMIF(SYS_cliente!$P$5:$P$2500,A314,SYS_cliente!$S$5:$S$1678)))</f>
        <v>0</v>
      </c>
      <c r="G314" s="1316">
        <f>+SUMIF(asientos!$C$13:$C$1276,SYS_4_3_Digitos!A314,asientos!$B$13:$B$1276)</f>
        <v>0</v>
      </c>
      <c r="H314" s="1317">
        <f>+SUMIF(asientos!$I$13:$I$1276,SYS_4_3_Digitos!A314,asientos!$J$13:$J$1276)</f>
        <v>0</v>
      </c>
      <c r="I314" s="1314">
        <f t="shared" ca="1" si="34"/>
        <v>0</v>
      </c>
      <c r="J314" s="1315">
        <f t="shared" ca="1" si="35"/>
        <v>0</v>
      </c>
      <c r="L314" s="1308">
        <f t="shared" si="36"/>
        <v>666000000</v>
      </c>
      <c r="M314" s="1296" t="str">
        <f t="shared" si="37"/>
        <v>6660</v>
      </c>
      <c r="N314" s="1309">
        <f t="shared" ca="1" si="38"/>
        <v>0</v>
      </c>
      <c r="O314" s="1296" t="str">
        <f t="shared" si="39"/>
        <v>66</v>
      </c>
    </row>
    <row r="315" spans="1:15" s="1296" customFormat="1">
      <c r="A315" s="1310">
        <v>667</v>
      </c>
      <c r="B315" s="1311" t="s">
        <v>555</v>
      </c>
      <c r="C315" s="1312">
        <v>0</v>
      </c>
      <c r="D315" s="1313">
        <v>0</v>
      </c>
      <c r="E315" s="1314">
        <f>IF(+SUMIF(SYS_cliente!$F$5:$F$2500,A315,SYS_cliente!$I$5:$I$2500)+SUMIF(SYS_cliente!$K$5:$K$2500,A315,SYS_cliente!$N$5:$N$2500)+SUMIF(SYS_cliente!$P$5:$P$2500,A315,SYS_cliente!$S$5:$S$2500)&lt;0,0,+SUMIF(SYS_cliente!$F$5:$F$2500,A315,SYS_cliente!$I$5:$I$2500)+SUMIF(SYS_cliente!$K$5:$K$2500,A315,SYS_cliente!$N$5:$N$2500)+SUMIF(SYS_cliente!$P$5:$P$2500,A315,SYS_cliente!$S$5:$S$2500))</f>
        <v>0</v>
      </c>
      <c r="F315" s="1315">
        <f ca="1">IF(+SUMIF(SYS_cliente!$F$5:$F$2500,A315,SYS_cliente!$I$5:$I$1678)+SUMIF(SYS_cliente!$K$5:$K$2500,A315,SYS_cliente!$N$5:$N$1678)+SUMIF(SYS_cliente!$P$5:$P$2500,A315,SYS_cliente!$S$5:$S$1678)&gt;=0,0,-(SUMIF(SYS_cliente!$F$5:$F$2500,A315,SYS_cliente!$I$5:$I$1678)+SUMIF(SYS_cliente!$K$5:$K$2500,A315,SYS_cliente!$N$5:$N$1678)+SUMIF(SYS_cliente!$P$5:$P$2500,A315,SYS_cliente!$S$5:$S$1678)))</f>
        <v>0</v>
      </c>
      <c r="G315" s="1316">
        <f>+SUMIF(asientos!$C$13:$C$1276,SYS_4_3_Digitos!A315,asientos!$B$13:$B$1276)</f>
        <v>0</v>
      </c>
      <c r="H315" s="1317">
        <f>+SUMIF(asientos!$I$13:$I$1276,SYS_4_3_Digitos!A315,asientos!$J$13:$J$1276)</f>
        <v>0</v>
      </c>
      <c r="I315" s="1314">
        <f t="shared" ca="1" si="34"/>
        <v>0</v>
      </c>
      <c r="J315" s="1315">
        <f t="shared" ca="1" si="35"/>
        <v>0</v>
      </c>
      <c r="L315" s="1308">
        <f t="shared" si="36"/>
        <v>667000000</v>
      </c>
      <c r="M315" s="1296" t="str">
        <f t="shared" si="37"/>
        <v>6670</v>
      </c>
      <c r="N315" s="1309">
        <f t="shared" ca="1" si="38"/>
        <v>0</v>
      </c>
      <c r="O315" s="1296" t="str">
        <f t="shared" si="39"/>
        <v>66</v>
      </c>
    </row>
    <row r="316" spans="1:15" s="1296" customFormat="1">
      <c r="A316" s="1310">
        <v>668</v>
      </c>
      <c r="B316" s="1311" t="s">
        <v>556</v>
      </c>
      <c r="C316" s="1312">
        <v>293128.89</v>
      </c>
      <c r="D316" s="1313">
        <v>0</v>
      </c>
      <c r="E316" s="1314">
        <f>IF(+SUMIF(SYS_cliente!$F$5:$F$2500,A316,SYS_cliente!$I$5:$I$2500)+SUMIF(SYS_cliente!$K$5:$K$2500,A316,SYS_cliente!$N$5:$N$2500)+SUMIF(SYS_cliente!$P$5:$P$2500,A316,SYS_cliente!$S$5:$S$2500)&lt;0,0,+SUMIF(SYS_cliente!$F$5:$F$2500,A316,SYS_cliente!$I$5:$I$2500)+SUMIF(SYS_cliente!$K$5:$K$2500,A316,SYS_cliente!$N$5:$N$2500)+SUMIF(SYS_cliente!$P$5:$P$2500,A316,SYS_cliente!$S$5:$S$2500))</f>
        <v>163783.06</v>
      </c>
      <c r="F316" s="1315">
        <f ca="1">IF(+SUMIF(SYS_cliente!$F$5:$F$2500,A316,SYS_cliente!$I$5:$I$1678)+SUMIF(SYS_cliente!$K$5:$K$2500,A316,SYS_cliente!$N$5:$N$1678)+SUMIF(SYS_cliente!$P$5:$P$2500,A316,SYS_cliente!$S$5:$S$1678)&gt;=0,0,-(SUMIF(SYS_cliente!$F$5:$F$2500,A316,SYS_cliente!$I$5:$I$1678)+SUMIF(SYS_cliente!$K$5:$K$2500,A316,SYS_cliente!$N$5:$N$1678)+SUMIF(SYS_cliente!$P$5:$P$2500,A316,SYS_cliente!$S$5:$S$1678)))</f>
        <v>0</v>
      </c>
      <c r="G316" s="1316">
        <f>+SUMIF(asientos!$C$13:$C$1276,SYS_4_3_Digitos!A316,asientos!$B$13:$B$1276)</f>
        <v>0</v>
      </c>
      <c r="H316" s="1317">
        <f>+SUMIF(asientos!$I$13:$I$1276,SYS_4_3_Digitos!A316,asientos!$J$13:$J$1276)</f>
        <v>0</v>
      </c>
      <c r="I316" s="1314">
        <f t="shared" ca="1" si="34"/>
        <v>163783.06</v>
      </c>
      <c r="J316" s="1315">
        <f t="shared" ca="1" si="35"/>
        <v>0</v>
      </c>
      <c r="L316" s="1308">
        <f t="shared" si="36"/>
        <v>668000000</v>
      </c>
      <c r="M316" s="1296" t="str">
        <f t="shared" si="37"/>
        <v>6680</v>
      </c>
      <c r="N316" s="1309">
        <f t="shared" ca="1" si="38"/>
        <v>163783.06</v>
      </c>
      <c r="O316" s="1296" t="str">
        <f t="shared" si="39"/>
        <v>66</v>
      </c>
    </row>
    <row r="317" spans="1:15" s="1296" customFormat="1">
      <c r="A317" s="1310">
        <v>669</v>
      </c>
      <c r="B317" s="1311" t="s">
        <v>557</v>
      </c>
      <c r="C317" s="1312">
        <v>175961.48</v>
      </c>
      <c r="D317" s="1313">
        <v>0</v>
      </c>
      <c r="E317" s="1314">
        <f>IF(+SUMIF(SYS_cliente!$F$5:$F$2500,A317,SYS_cliente!$I$5:$I$2500)+SUMIF(SYS_cliente!$K$5:$K$2500,A317,SYS_cliente!$N$5:$N$2500)+SUMIF(SYS_cliente!$P$5:$P$2500,A317,SYS_cliente!$S$5:$S$2500)&lt;0,0,+SUMIF(SYS_cliente!$F$5:$F$2500,A317,SYS_cliente!$I$5:$I$2500)+SUMIF(SYS_cliente!$K$5:$K$2500,A317,SYS_cliente!$N$5:$N$2500)+SUMIF(SYS_cliente!$P$5:$P$2500,A317,SYS_cliente!$S$5:$S$2500))</f>
        <v>138283.04</v>
      </c>
      <c r="F317" s="1315">
        <f ca="1">IF(+SUMIF(SYS_cliente!$F$5:$F$2500,A317,SYS_cliente!$I$5:$I$1678)+SUMIF(SYS_cliente!$K$5:$K$2500,A317,SYS_cliente!$N$5:$N$1678)+SUMIF(SYS_cliente!$P$5:$P$2500,A317,SYS_cliente!$S$5:$S$1678)&gt;=0,0,-(SUMIF(SYS_cliente!$F$5:$F$2500,A317,SYS_cliente!$I$5:$I$1678)+SUMIF(SYS_cliente!$K$5:$K$2500,A317,SYS_cliente!$N$5:$N$1678)+SUMIF(SYS_cliente!$P$5:$P$2500,A317,SYS_cliente!$S$5:$S$1678)))</f>
        <v>0</v>
      </c>
      <c r="G317" s="1316">
        <f>+SUMIF(asientos!$C$13:$C$1276,SYS_4_3_Digitos!A317,asientos!$B$13:$B$1276)</f>
        <v>0</v>
      </c>
      <c r="H317" s="1317">
        <f>+SUMIF(asientos!$I$13:$I$1276,SYS_4_3_Digitos!A317,asientos!$J$13:$J$1276)</f>
        <v>0</v>
      </c>
      <c r="I317" s="1314">
        <f t="shared" ca="1" si="34"/>
        <v>138283.04</v>
      </c>
      <c r="J317" s="1315">
        <f t="shared" ca="1" si="35"/>
        <v>0</v>
      </c>
      <c r="L317" s="1308">
        <f t="shared" si="36"/>
        <v>669000000</v>
      </c>
      <c r="M317" s="1296" t="str">
        <f t="shared" si="37"/>
        <v>6690</v>
      </c>
      <c r="N317" s="1309">
        <f t="shared" ca="1" si="38"/>
        <v>138283.04</v>
      </c>
      <c r="O317" s="1296" t="str">
        <f t="shared" si="39"/>
        <v>66</v>
      </c>
    </row>
    <row r="318" spans="1:15" s="1296" customFormat="1">
      <c r="A318" s="1310">
        <v>670</v>
      </c>
      <c r="B318" s="1311" t="s">
        <v>558</v>
      </c>
      <c r="C318" s="1312">
        <v>0</v>
      </c>
      <c r="D318" s="1313">
        <v>0</v>
      </c>
      <c r="E318" s="1314">
        <f>IF(+SUMIF(SYS_cliente!$F$5:$F$2500,A318,SYS_cliente!$I$5:$I$2500)+SUMIF(SYS_cliente!$K$5:$K$2500,A318,SYS_cliente!$N$5:$N$2500)+SUMIF(SYS_cliente!$P$5:$P$2500,A318,SYS_cliente!$S$5:$S$2500)&lt;0,0,+SUMIF(SYS_cliente!$F$5:$F$2500,A318,SYS_cliente!$I$5:$I$2500)+SUMIF(SYS_cliente!$K$5:$K$2500,A318,SYS_cliente!$N$5:$N$2500)+SUMIF(SYS_cliente!$P$5:$P$2500,A318,SYS_cliente!$S$5:$S$2500))</f>
        <v>0</v>
      </c>
      <c r="F318" s="1315">
        <f ca="1">IF(+SUMIF(SYS_cliente!$F$5:$F$2500,A318,SYS_cliente!$I$5:$I$1678)+SUMIF(SYS_cliente!$K$5:$K$2500,A318,SYS_cliente!$N$5:$N$1678)+SUMIF(SYS_cliente!$P$5:$P$2500,A318,SYS_cliente!$S$5:$S$1678)&gt;=0,0,-(SUMIF(SYS_cliente!$F$5:$F$2500,A318,SYS_cliente!$I$5:$I$1678)+SUMIF(SYS_cliente!$K$5:$K$2500,A318,SYS_cliente!$N$5:$N$1678)+SUMIF(SYS_cliente!$P$5:$P$2500,A318,SYS_cliente!$S$5:$S$1678)))</f>
        <v>0</v>
      </c>
      <c r="G318" s="1316">
        <f>+SUMIF(asientos!$C$13:$C$1276,SYS_4_3_Digitos!A318,asientos!$B$13:$B$1276)</f>
        <v>0</v>
      </c>
      <c r="H318" s="1317">
        <f>+SUMIF(asientos!$I$13:$I$1276,SYS_4_3_Digitos!A318,asientos!$J$13:$J$1276)</f>
        <v>0</v>
      </c>
      <c r="I318" s="1314">
        <f t="shared" ca="1" si="34"/>
        <v>0</v>
      </c>
      <c r="J318" s="1315">
        <f t="shared" ca="1" si="35"/>
        <v>0</v>
      </c>
      <c r="L318" s="1308">
        <f t="shared" si="36"/>
        <v>670000000</v>
      </c>
      <c r="M318" s="1296" t="str">
        <f t="shared" si="37"/>
        <v>6700</v>
      </c>
      <c r="N318" s="1309">
        <f t="shared" ca="1" si="38"/>
        <v>0</v>
      </c>
      <c r="O318" s="1296" t="str">
        <f t="shared" si="39"/>
        <v>67</v>
      </c>
    </row>
    <row r="319" spans="1:15" s="1296" customFormat="1">
      <c r="A319" s="1310">
        <v>671</v>
      </c>
      <c r="B319" s="1311" t="s">
        <v>559</v>
      </c>
      <c r="C319" s="1312">
        <v>23119</v>
      </c>
      <c r="D319" s="1313">
        <v>0</v>
      </c>
      <c r="E319" s="1314">
        <f>IF(+SUMIF(SYS_cliente!$F$5:$F$2500,A319,SYS_cliente!$I$5:$I$2500)+SUMIF(SYS_cliente!$K$5:$K$2500,A319,SYS_cliente!$N$5:$N$2500)+SUMIF(SYS_cliente!$P$5:$P$2500,A319,SYS_cliente!$S$5:$S$2500)&lt;0,0,+SUMIF(SYS_cliente!$F$5:$F$2500,A319,SYS_cliente!$I$5:$I$2500)+SUMIF(SYS_cliente!$K$5:$K$2500,A319,SYS_cliente!$N$5:$N$2500)+SUMIF(SYS_cliente!$P$5:$P$2500,A319,SYS_cliente!$S$5:$S$2500))</f>
        <v>0</v>
      </c>
      <c r="F319" s="1315">
        <f ca="1">IF(+SUMIF(SYS_cliente!$F$5:$F$2500,A319,SYS_cliente!$I$5:$I$1678)+SUMIF(SYS_cliente!$K$5:$K$2500,A319,SYS_cliente!$N$5:$N$1678)+SUMIF(SYS_cliente!$P$5:$P$2500,A319,SYS_cliente!$S$5:$S$1678)&gt;=0,0,-(SUMIF(SYS_cliente!$F$5:$F$2500,A319,SYS_cliente!$I$5:$I$1678)+SUMIF(SYS_cliente!$K$5:$K$2500,A319,SYS_cliente!$N$5:$N$1678)+SUMIF(SYS_cliente!$P$5:$P$2500,A319,SYS_cliente!$S$5:$S$1678)))</f>
        <v>0</v>
      </c>
      <c r="G319" s="1316">
        <f>+SUMIF(asientos!$C$13:$C$1276,SYS_4_3_Digitos!A319,asientos!$B$13:$B$1276)</f>
        <v>0</v>
      </c>
      <c r="H319" s="1317">
        <f>+SUMIF(asientos!$I$13:$I$1276,SYS_4_3_Digitos!A319,asientos!$J$13:$J$1276)</f>
        <v>0</v>
      </c>
      <c r="I319" s="1314">
        <f t="shared" ca="1" si="34"/>
        <v>0</v>
      </c>
      <c r="J319" s="1315">
        <f t="shared" ca="1" si="35"/>
        <v>0</v>
      </c>
      <c r="L319" s="1308">
        <f t="shared" si="36"/>
        <v>671000000</v>
      </c>
      <c r="M319" s="1296" t="str">
        <f t="shared" si="37"/>
        <v>6710</v>
      </c>
      <c r="N319" s="1309">
        <f t="shared" ca="1" si="38"/>
        <v>0</v>
      </c>
      <c r="O319" s="1296" t="str">
        <f t="shared" si="39"/>
        <v>67</v>
      </c>
    </row>
    <row r="320" spans="1:15" s="1296" customFormat="1">
      <c r="A320" s="1310">
        <v>672</v>
      </c>
      <c r="B320" s="1311" t="s">
        <v>560</v>
      </c>
      <c r="C320" s="1312">
        <v>0</v>
      </c>
      <c r="D320" s="1313">
        <v>0</v>
      </c>
      <c r="E320" s="1314">
        <f>IF(+SUMIF(SYS_cliente!$F$5:$F$2500,A320,SYS_cliente!$I$5:$I$2500)+SUMIF(SYS_cliente!$K$5:$K$2500,A320,SYS_cliente!$N$5:$N$2500)+SUMIF(SYS_cliente!$P$5:$P$2500,A320,SYS_cliente!$S$5:$S$2500)&lt;0,0,+SUMIF(SYS_cliente!$F$5:$F$2500,A320,SYS_cliente!$I$5:$I$2500)+SUMIF(SYS_cliente!$K$5:$K$2500,A320,SYS_cliente!$N$5:$N$2500)+SUMIF(SYS_cliente!$P$5:$P$2500,A320,SYS_cliente!$S$5:$S$2500))</f>
        <v>0</v>
      </c>
      <c r="F320" s="1315">
        <f ca="1">IF(+SUMIF(SYS_cliente!$F$5:$F$2500,A320,SYS_cliente!$I$5:$I$1678)+SUMIF(SYS_cliente!$K$5:$K$2500,A320,SYS_cliente!$N$5:$N$1678)+SUMIF(SYS_cliente!$P$5:$P$2500,A320,SYS_cliente!$S$5:$S$1678)&gt;=0,0,-(SUMIF(SYS_cliente!$F$5:$F$2500,A320,SYS_cliente!$I$5:$I$1678)+SUMIF(SYS_cliente!$K$5:$K$2500,A320,SYS_cliente!$N$5:$N$1678)+SUMIF(SYS_cliente!$P$5:$P$2500,A320,SYS_cliente!$S$5:$S$1678)))</f>
        <v>0</v>
      </c>
      <c r="G320" s="1316">
        <f>+SUMIF(asientos!$C$13:$C$1276,SYS_4_3_Digitos!A320,asientos!$B$13:$B$1276)</f>
        <v>0</v>
      </c>
      <c r="H320" s="1317">
        <f>+SUMIF(asientos!$I$13:$I$1276,SYS_4_3_Digitos!A320,asientos!$J$13:$J$1276)</f>
        <v>0</v>
      </c>
      <c r="I320" s="1314">
        <f t="shared" ca="1" si="34"/>
        <v>0</v>
      </c>
      <c r="J320" s="1315">
        <f t="shared" ca="1" si="35"/>
        <v>0</v>
      </c>
      <c r="L320" s="1308">
        <f t="shared" si="36"/>
        <v>672000000</v>
      </c>
      <c r="M320" s="1296" t="str">
        <f t="shared" si="37"/>
        <v>6720</v>
      </c>
      <c r="N320" s="1309">
        <f t="shared" ca="1" si="38"/>
        <v>0</v>
      </c>
      <c r="O320" s="1296" t="str">
        <f t="shared" si="39"/>
        <v>67</v>
      </c>
    </row>
    <row r="321" spans="1:15" s="1296" customFormat="1">
      <c r="A321" s="1310">
        <v>673</v>
      </c>
      <c r="B321" s="1311" t="s">
        <v>561</v>
      </c>
      <c r="C321" s="1312">
        <v>0</v>
      </c>
      <c r="D321" s="1313">
        <v>0</v>
      </c>
      <c r="E321" s="1314">
        <f>IF(+SUMIF(SYS_cliente!$F$5:$F$2500,A321,SYS_cliente!$I$5:$I$2500)+SUMIF(SYS_cliente!$K$5:$K$2500,A321,SYS_cliente!$N$5:$N$2500)+SUMIF(SYS_cliente!$P$5:$P$2500,A321,SYS_cliente!$S$5:$S$2500)&lt;0,0,+SUMIF(SYS_cliente!$F$5:$F$2500,A321,SYS_cliente!$I$5:$I$2500)+SUMIF(SYS_cliente!$K$5:$K$2500,A321,SYS_cliente!$N$5:$N$2500)+SUMIF(SYS_cliente!$P$5:$P$2500,A321,SYS_cliente!$S$5:$S$2500))</f>
        <v>0</v>
      </c>
      <c r="F321" s="1315">
        <f ca="1">IF(+SUMIF(SYS_cliente!$F$5:$F$2500,A321,SYS_cliente!$I$5:$I$1678)+SUMIF(SYS_cliente!$K$5:$K$2500,A321,SYS_cliente!$N$5:$N$1678)+SUMIF(SYS_cliente!$P$5:$P$2500,A321,SYS_cliente!$S$5:$S$1678)&gt;=0,0,-(SUMIF(SYS_cliente!$F$5:$F$2500,A321,SYS_cliente!$I$5:$I$1678)+SUMIF(SYS_cliente!$K$5:$K$2500,A321,SYS_cliente!$N$5:$N$1678)+SUMIF(SYS_cliente!$P$5:$P$2500,A321,SYS_cliente!$S$5:$S$1678)))</f>
        <v>0</v>
      </c>
      <c r="G321" s="1316">
        <f>+SUMIF(asientos!$C$13:$C$1276,SYS_4_3_Digitos!A321,asientos!$B$13:$B$1276)</f>
        <v>0</v>
      </c>
      <c r="H321" s="1317">
        <f>+SUMIF(asientos!$I$13:$I$1276,SYS_4_3_Digitos!A321,asientos!$J$13:$J$1276)</f>
        <v>0</v>
      </c>
      <c r="I321" s="1314">
        <f t="shared" ca="1" si="34"/>
        <v>0</v>
      </c>
      <c r="J321" s="1315">
        <f t="shared" ca="1" si="35"/>
        <v>0</v>
      </c>
      <c r="L321" s="1308">
        <f t="shared" si="36"/>
        <v>673000000</v>
      </c>
      <c r="M321" s="1296" t="str">
        <f t="shared" si="37"/>
        <v>6730</v>
      </c>
      <c r="N321" s="1309">
        <f t="shared" ca="1" si="38"/>
        <v>0</v>
      </c>
      <c r="O321" s="1296" t="str">
        <f t="shared" si="39"/>
        <v>67</v>
      </c>
    </row>
    <row r="322" spans="1:15" s="1296" customFormat="1">
      <c r="A322" s="1310">
        <v>675</v>
      </c>
      <c r="B322" s="1311" t="s">
        <v>562</v>
      </c>
      <c r="C322" s="1312">
        <v>0</v>
      </c>
      <c r="D322" s="1313">
        <v>0</v>
      </c>
      <c r="E322" s="1314">
        <f>IF(+SUMIF(SYS_cliente!$F$5:$F$2500,A322,SYS_cliente!$I$5:$I$2500)+SUMIF(SYS_cliente!$K$5:$K$2500,A322,SYS_cliente!$N$5:$N$2500)+SUMIF(SYS_cliente!$P$5:$P$2500,A322,SYS_cliente!$S$5:$S$2500)&lt;0,0,+SUMIF(SYS_cliente!$F$5:$F$2500,A322,SYS_cliente!$I$5:$I$2500)+SUMIF(SYS_cliente!$K$5:$K$2500,A322,SYS_cliente!$N$5:$N$2500)+SUMIF(SYS_cliente!$P$5:$P$2500,A322,SYS_cliente!$S$5:$S$2500))</f>
        <v>0</v>
      </c>
      <c r="F322" s="1315">
        <f ca="1">IF(+SUMIF(SYS_cliente!$F$5:$F$2500,A322,SYS_cliente!$I$5:$I$1678)+SUMIF(SYS_cliente!$K$5:$K$2500,A322,SYS_cliente!$N$5:$N$1678)+SUMIF(SYS_cliente!$P$5:$P$2500,A322,SYS_cliente!$S$5:$S$1678)&gt;=0,0,-(SUMIF(SYS_cliente!$F$5:$F$2500,A322,SYS_cliente!$I$5:$I$1678)+SUMIF(SYS_cliente!$K$5:$K$2500,A322,SYS_cliente!$N$5:$N$1678)+SUMIF(SYS_cliente!$P$5:$P$2500,A322,SYS_cliente!$S$5:$S$1678)))</f>
        <v>0</v>
      </c>
      <c r="G322" s="1316">
        <f>+SUMIF(asientos!$C$13:$C$1276,SYS_4_3_Digitos!A322,asientos!$B$13:$B$1276)</f>
        <v>0</v>
      </c>
      <c r="H322" s="1317">
        <f>+SUMIF(asientos!$I$13:$I$1276,SYS_4_3_Digitos!A322,asientos!$J$13:$J$1276)</f>
        <v>0</v>
      </c>
      <c r="I322" s="1314">
        <f t="shared" ca="1" si="34"/>
        <v>0</v>
      </c>
      <c r="J322" s="1315">
        <f t="shared" ca="1" si="35"/>
        <v>0</v>
      </c>
      <c r="L322" s="1308">
        <f t="shared" si="36"/>
        <v>675000000</v>
      </c>
      <c r="M322" s="1296" t="str">
        <f t="shared" si="37"/>
        <v>6750</v>
      </c>
      <c r="N322" s="1309">
        <f t="shared" ca="1" si="38"/>
        <v>0</v>
      </c>
      <c r="O322" s="1296" t="str">
        <f t="shared" si="39"/>
        <v>67</v>
      </c>
    </row>
    <row r="323" spans="1:15" s="1296" customFormat="1">
      <c r="A323" s="1310">
        <v>678</v>
      </c>
      <c r="B323" s="1311" t="s">
        <v>563</v>
      </c>
      <c r="C323" s="1312">
        <v>720.03</v>
      </c>
      <c r="D323" s="1313">
        <v>0</v>
      </c>
      <c r="E323" s="1314">
        <f>IF(+SUMIF(SYS_cliente!$F$5:$F$2500,A323,SYS_cliente!$I$5:$I$2500)+SUMIF(SYS_cliente!$K$5:$K$2500,A323,SYS_cliente!$N$5:$N$2500)+SUMIF(SYS_cliente!$P$5:$P$2500,A323,SYS_cliente!$S$5:$S$2500)&lt;0,0,+SUMIF(SYS_cliente!$F$5:$F$2500,A323,SYS_cliente!$I$5:$I$2500)+SUMIF(SYS_cliente!$K$5:$K$2500,A323,SYS_cliente!$N$5:$N$2500)+SUMIF(SYS_cliente!$P$5:$P$2500,A323,SYS_cliente!$S$5:$S$2500))</f>
        <v>3.17</v>
      </c>
      <c r="F323" s="1315">
        <f ca="1">IF(+SUMIF(SYS_cliente!$F$5:$F$2500,A323,SYS_cliente!$I$5:$I$1678)+SUMIF(SYS_cliente!$K$5:$K$2500,A323,SYS_cliente!$N$5:$N$1678)+SUMIF(SYS_cliente!$P$5:$P$2500,A323,SYS_cliente!$S$5:$S$1678)&gt;=0,0,-(SUMIF(SYS_cliente!$F$5:$F$2500,A323,SYS_cliente!$I$5:$I$1678)+SUMIF(SYS_cliente!$K$5:$K$2500,A323,SYS_cliente!$N$5:$N$1678)+SUMIF(SYS_cliente!$P$5:$P$2500,A323,SYS_cliente!$S$5:$S$1678)))</f>
        <v>0</v>
      </c>
      <c r="G323" s="1316">
        <f>+SUMIF(asientos!$C$13:$C$1276,SYS_4_3_Digitos!A323,asientos!$B$13:$B$1276)</f>
        <v>0</v>
      </c>
      <c r="H323" s="1317">
        <f>+SUMIF(asientos!$I$13:$I$1276,SYS_4_3_Digitos!A323,asientos!$J$13:$J$1276)</f>
        <v>0</v>
      </c>
      <c r="I323" s="1314">
        <f t="shared" ca="1" si="34"/>
        <v>3.17</v>
      </c>
      <c r="J323" s="1315">
        <f t="shared" ca="1" si="35"/>
        <v>0</v>
      </c>
      <c r="L323" s="1308">
        <f t="shared" si="36"/>
        <v>678000000</v>
      </c>
      <c r="M323" s="1296" t="str">
        <f t="shared" si="37"/>
        <v>6780</v>
      </c>
      <c r="N323" s="1309">
        <f t="shared" ca="1" si="38"/>
        <v>3.17</v>
      </c>
      <c r="O323" s="1296" t="str">
        <f t="shared" si="39"/>
        <v>67</v>
      </c>
    </row>
    <row r="324" spans="1:15" s="1296" customFormat="1">
      <c r="A324" s="1310">
        <v>680</v>
      </c>
      <c r="B324" s="1311" t="s">
        <v>564</v>
      </c>
      <c r="C324" s="1312">
        <v>26780.01</v>
      </c>
      <c r="D324" s="1313">
        <v>0</v>
      </c>
      <c r="E324" s="1314">
        <f>IF(+SUMIF(SYS_cliente!$F$5:$F$2500,A324,SYS_cliente!$I$5:$I$2500)+SUMIF(SYS_cliente!$K$5:$K$2500,A324,SYS_cliente!$N$5:$N$2500)+SUMIF(SYS_cliente!$P$5:$P$2500,A324,SYS_cliente!$S$5:$S$2500)&lt;0,0,+SUMIF(SYS_cliente!$F$5:$F$2500,A324,SYS_cliente!$I$5:$I$2500)+SUMIF(SYS_cliente!$K$5:$K$2500,A324,SYS_cliente!$N$5:$N$2500)+SUMIF(SYS_cliente!$P$5:$P$2500,A324,SYS_cliente!$S$5:$S$2500))</f>
        <v>24706.46</v>
      </c>
      <c r="F324" s="1315">
        <f ca="1">IF(+SUMIF(SYS_cliente!$F$5:$F$2500,A324,SYS_cliente!$I$5:$I$1678)+SUMIF(SYS_cliente!$K$5:$K$2500,A324,SYS_cliente!$N$5:$N$1678)+SUMIF(SYS_cliente!$P$5:$P$2500,A324,SYS_cliente!$S$5:$S$1678)&gt;=0,0,-(SUMIF(SYS_cliente!$F$5:$F$2500,A324,SYS_cliente!$I$5:$I$1678)+SUMIF(SYS_cliente!$K$5:$K$2500,A324,SYS_cliente!$N$5:$N$1678)+SUMIF(SYS_cliente!$P$5:$P$2500,A324,SYS_cliente!$S$5:$S$1678)))</f>
        <v>0</v>
      </c>
      <c r="G324" s="1316">
        <f>+SUMIF(asientos!$C$13:$C$1276,SYS_4_3_Digitos!A324,asientos!$B$13:$B$1276)</f>
        <v>0</v>
      </c>
      <c r="H324" s="1317">
        <f>+SUMIF(asientos!$I$13:$I$1276,SYS_4_3_Digitos!A324,asientos!$J$13:$J$1276)</f>
        <v>0</v>
      </c>
      <c r="I324" s="1314">
        <f t="shared" ca="1" si="34"/>
        <v>24706.46</v>
      </c>
      <c r="J324" s="1315">
        <f t="shared" ca="1" si="35"/>
        <v>0</v>
      </c>
      <c r="L324" s="1308">
        <f t="shared" si="36"/>
        <v>680000000</v>
      </c>
      <c r="M324" s="1296" t="str">
        <f t="shared" si="37"/>
        <v>6800</v>
      </c>
      <c r="N324" s="1309">
        <f t="shared" ca="1" si="38"/>
        <v>24706.46</v>
      </c>
      <c r="O324" s="1296" t="str">
        <f t="shared" si="39"/>
        <v>68</v>
      </c>
    </row>
    <row r="325" spans="1:15" s="1296" customFormat="1">
      <c r="A325" s="1310">
        <v>681</v>
      </c>
      <c r="B325" s="1311" t="s">
        <v>565</v>
      </c>
      <c r="C325" s="1312">
        <v>485248.73</v>
      </c>
      <c r="D325" s="1313">
        <v>0</v>
      </c>
      <c r="E325" s="1314">
        <f>IF(+SUMIF(SYS_cliente!$F$5:$F$2500,A325,SYS_cliente!$I$5:$I$2500)+SUMIF(SYS_cliente!$K$5:$K$2500,A325,SYS_cliente!$N$5:$N$2500)+SUMIF(SYS_cliente!$P$5:$P$2500,A325,SYS_cliente!$S$5:$S$2500)&lt;0,0,+SUMIF(SYS_cliente!$F$5:$F$2500,A325,SYS_cliente!$I$5:$I$2500)+SUMIF(SYS_cliente!$K$5:$K$2500,A325,SYS_cliente!$N$5:$N$2500)+SUMIF(SYS_cliente!$P$5:$P$2500,A325,SYS_cliente!$S$5:$S$2500))</f>
        <v>527719.55000000005</v>
      </c>
      <c r="F325" s="1315">
        <f ca="1">IF(+SUMIF(SYS_cliente!$F$5:$F$2500,A325,SYS_cliente!$I$5:$I$1678)+SUMIF(SYS_cliente!$K$5:$K$2500,A325,SYS_cliente!$N$5:$N$1678)+SUMIF(SYS_cliente!$P$5:$P$2500,A325,SYS_cliente!$S$5:$S$1678)&gt;=0,0,-(SUMIF(SYS_cliente!$F$5:$F$2500,A325,SYS_cliente!$I$5:$I$1678)+SUMIF(SYS_cliente!$K$5:$K$2500,A325,SYS_cliente!$N$5:$N$1678)+SUMIF(SYS_cliente!$P$5:$P$2500,A325,SYS_cliente!$S$5:$S$1678)))</f>
        <v>0</v>
      </c>
      <c r="G325" s="1316">
        <f>+SUMIF(asientos!$C$13:$C$1276,SYS_4_3_Digitos!A325,asientos!$B$13:$B$1276)</f>
        <v>0</v>
      </c>
      <c r="H325" s="1317">
        <f>+SUMIF(asientos!$I$13:$I$1276,SYS_4_3_Digitos!A325,asientos!$J$13:$J$1276)</f>
        <v>0</v>
      </c>
      <c r="I325" s="1314">
        <f t="shared" ca="1" si="34"/>
        <v>527719.55000000005</v>
      </c>
      <c r="J325" s="1315">
        <f t="shared" ca="1" si="35"/>
        <v>0</v>
      </c>
      <c r="L325" s="1308">
        <f t="shared" si="36"/>
        <v>681000000</v>
      </c>
      <c r="M325" s="1296" t="str">
        <f t="shared" si="37"/>
        <v>6810</v>
      </c>
      <c r="N325" s="1309">
        <f t="shared" ca="1" si="38"/>
        <v>527719.55000000005</v>
      </c>
      <c r="O325" s="1296" t="str">
        <f t="shared" si="39"/>
        <v>68</v>
      </c>
    </row>
    <row r="326" spans="1:15" s="1296" customFormat="1">
      <c r="A326" s="1310">
        <v>682</v>
      </c>
      <c r="B326" s="1311" t="s">
        <v>566</v>
      </c>
      <c r="C326" s="1312">
        <v>324772.47000000003</v>
      </c>
      <c r="D326" s="1313">
        <v>0</v>
      </c>
      <c r="E326" s="1314">
        <f>IF(+SUMIF(SYS_cliente!$F$5:$F$2500,A326,SYS_cliente!$I$5:$I$2500)+SUMIF(SYS_cliente!$K$5:$K$2500,A326,SYS_cliente!$N$5:$N$2500)+SUMIF(SYS_cliente!$P$5:$P$2500,A326,SYS_cliente!$S$5:$S$2500)&lt;0,0,+SUMIF(SYS_cliente!$F$5:$F$2500,A326,SYS_cliente!$I$5:$I$2500)+SUMIF(SYS_cliente!$K$5:$K$2500,A326,SYS_cliente!$N$5:$N$2500)+SUMIF(SYS_cliente!$P$5:$P$2500,A326,SYS_cliente!$S$5:$S$2500))</f>
        <v>358611.1</v>
      </c>
      <c r="F326" s="1315">
        <f ca="1">IF(+SUMIF(SYS_cliente!$F$5:$F$2500,A326,SYS_cliente!$I$5:$I$1678)+SUMIF(SYS_cliente!$K$5:$K$2500,A326,SYS_cliente!$N$5:$N$1678)+SUMIF(SYS_cliente!$P$5:$P$2500,A326,SYS_cliente!$S$5:$S$1678)&gt;=0,0,-(SUMIF(SYS_cliente!$F$5:$F$2500,A326,SYS_cliente!$I$5:$I$1678)+SUMIF(SYS_cliente!$K$5:$K$2500,A326,SYS_cliente!$N$5:$N$1678)+SUMIF(SYS_cliente!$P$5:$P$2500,A326,SYS_cliente!$S$5:$S$1678)))</f>
        <v>0</v>
      </c>
      <c r="G326" s="1316">
        <f>+SUMIF(asientos!$C$13:$C$1276,SYS_4_3_Digitos!A326,asientos!$B$13:$B$1276)</f>
        <v>0</v>
      </c>
      <c r="H326" s="1317">
        <f>+SUMIF(asientos!$I$13:$I$1276,SYS_4_3_Digitos!A326,asientos!$J$13:$J$1276)</f>
        <v>0</v>
      </c>
      <c r="I326" s="1314">
        <f t="shared" ca="1" si="34"/>
        <v>358611.1</v>
      </c>
      <c r="J326" s="1315">
        <f t="shared" ca="1" si="35"/>
        <v>0</v>
      </c>
      <c r="L326" s="1308">
        <f t="shared" si="36"/>
        <v>682000000</v>
      </c>
      <c r="M326" s="1296" t="str">
        <f t="shared" si="37"/>
        <v>6820</v>
      </c>
      <c r="N326" s="1309">
        <f t="shared" ca="1" si="38"/>
        <v>358611.1</v>
      </c>
      <c r="O326" s="1296" t="str">
        <f t="shared" si="39"/>
        <v>68</v>
      </c>
    </row>
    <row r="327" spans="1:15" s="1296" customFormat="1">
      <c r="A327" s="1310">
        <v>690</v>
      </c>
      <c r="B327" s="1311" t="s">
        <v>567</v>
      </c>
      <c r="C327" s="1312">
        <v>0</v>
      </c>
      <c r="D327" s="1313">
        <v>0</v>
      </c>
      <c r="E327" s="1314">
        <f>IF(+SUMIF(SYS_cliente!$F$5:$F$2500,A327,SYS_cliente!$I$5:$I$2500)+SUMIF(SYS_cliente!$K$5:$K$2500,A327,SYS_cliente!$N$5:$N$2500)+SUMIF(SYS_cliente!$P$5:$P$2500,A327,SYS_cliente!$S$5:$S$2500)&lt;0,0,+SUMIF(SYS_cliente!$F$5:$F$2500,A327,SYS_cliente!$I$5:$I$2500)+SUMIF(SYS_cliente!$K$5:$K$2500,A327,SYS_cliente!$N$5:$N$2500)+SUMIF(SYS_cliente!$P$5:$P$2500,A327,SYS_cliente!$S$5:$S$2500))</f>
        <v>0</v>
      </c>
      <c r="F327" s="1315">
        <f ca="1">IF(+SUMIF(SYS_cliente!$F$5:$F$2500,A327,SYS_cliente!$I$5:$I$1678)+SUMIF(SYS_cliente!$K$5:$K$2500,A327,SYS_cliente!$N$5:$N$1678)+SUMIF(SYS_cliente!$P$5:$P$2500,A327,SYS_cliente!$S$5:$S$1678)&gt;=0,0,-(SUMIF(SYS_cliente!$F$5:$F$2500,A327,SYS_cliente!$I$5:$I$1678)+SUMIF(SYS_cliente!$K$5:$K$2500,A327,SYS_cliente!$N$5:$N$1678)+SUMIF(SYS_cliente!$P$5:$P$2500,A327,SYS_cliente!$S$5:$S$1678)))</f>
        <v>0</v>
      </c>
      <c r="G327" s="1316">
        <f>+SUMIF(asientos!$C$13:$C$1276,SYS_4_3_Digitos!A327,asientos!$B$13:$B$1276)</f>
        <v>0</v>
      </c>
      <c r="H327" s="1317">
        <f>+SUMIF(asientos!$I$13:$I$1276,SYS_4_3_Digitos!A327,asientos!$J$13:$J$1276)</f>
        <v>0</v>
      </c>
      <c r="I327" s="1314">
        <f t="shared" ca="1" si="34"/>
        <v>0</v>
      </c>
      <c r="J327" s="1315">
        <f t="shared" ca="1" si="35"/>
        <v>0</v>
      </c>
      <c r="L327" s="1308">
        <f t="shared" si="36"/>
        <v>690000000</v>
      </c>
      <c r="M327" s="1296" t="str">
        <f t="shared" si="37"/>
        <v>6900</v>
      </c>
      <c r="N327" s="1309">
        <f t="shared" ca="1" si="38"/>
        <v>0</v>
      </c>
      <c r="O327" s="1296" t="str">
        <f t="shared" si="39"/>
        <v>69</v>
      </c>
    </row>
    <row r="328" spans="1:15" s="1296" customFormat="1">
      <c r="A328" s="1310">
        <v>691</v>
      </c>
      <c r="B328" s="1311" t="s">
        <v>568</v>
      </c>
      <c r="C328" s="1312">
        <v>0</v>
      </c>
      <c r="D328" s="1313">
        <v>0</v>
      </c>
      <c r="E328" s="1314">
        <f>IF(+SUMIF(SYS_cliente!$F$5:$F$2500,A328,SYS_cliente!$I$5:$I$2500)+SUMIF(SYS_cliente!$K$5:$K$2500,A328,SYS_cliente!$N$5:$N$2500)+SUMIF(SYS_cliente!$P$5:$P$2500,A328,SYS_cliente!$S$5:$S$2500)&lt;0,0,+SUMIF(SYS_cliente!$F$5:$F$2500,A328,SYS_cliente!$I$5:$I$2500)+SUMIF(SYS_cliente!$K$5:$K$2500,A328,SYS_cliente!$N$5:$N$2500)+SUMIF(SYS_cliente!$P$5:$P$2500,A328,SYS_cliente!$S$5:$S$2500))</f>
        <v>0</v>
      </c>
      <c r="F328" s="1315">
        <f ca="1">IF(+SUMIF(SYS_cliente!$F$5:$F$2500,A328,SYS_cliente!$I$5:$I$1678)+SUMIF(SYS_cliente!$K$5:$K$2500,A328,SYS_cliente!$N$5:$N$1678)+SUMIF(SYS_cliente!$P$5:$P$2500,A328,SYS_cliente!$S$5:$S$1678)&gt;=0,0,-(SUMIF(SYS_cliente!$F$5:$F$2500,A328,SYS_cliente!$I$5:$I$1678)+SUMIF(SYS_cliente!$K$5:$K$2500,A328,SYS_cliente!$N$5:$N$1678)+SUMIF(SYS_cliente!$P$5:$P$2500,A328,SYS_cliente!$S$5:$S$1678)))</f>
        <v>0</v>
      </c>
      <c r="G328" s="1316">
        <f>+SUMIF(asientos!$C$13:$C$1276,SYS_4_3_Digitos!A328,asientos!$B$13:$B$1276)</f>
        <v>0</v>
      </c>
      <c r="H328" s="1317">
        <f>+SUMIF(asientos!$I$13:$I$1276,SYS_4_3_Digitos!A328,asientos!$J$13:$J$1276)</f>
        <v>0</v>
      </c>
      <c r="I328" s="1314">
        <f t="shared" ca="1" si="34"/>
        <v>0</v>
      </c>
      <c r="J328" s="1315">
        <f t="shared" ca="1" si="35"/>
        <v>0</v>
      </c>
      <c r="L328" s="1308">
        <f t="shared" si="36"/>
        <v>691000000</v>
      </c>
      <c r="M328" s="1296" t="str">
        <f t="shared" si="37"/>
        <v>6910</v>
      </c>
      <c r="N328" s="1309">
        <f t="shared" ca="1" si="38"/>
        <v>0</v>
      </c>
      <c r="O328" s="1296" t="str">
        <f t="shared" si="39"/>
        <v>69</v>
      </c>
    </row>
    <row r="329" spans="1:15" s="1296" customFormat="1">
      <c r="A329" s="1310">
        <v>692</v>
      </c>
      <c r="B329" s="1311" t="s">
        <v>569</v>
      </c>
      <c r="C329" s="1312">
        <v>0</v>
      </c>
      <c r="D329" s="1313">
        <v>0</v>
      </c>
      <c r="E329" s="1314">
        <f>IF(+SUMIF(SYS_cliente!$F$5:$F$2500,A329,SYS_cliente!$I$5:$I$2500)+SUMIF(SYS_cliente!$K$5:$K$2500,A329,SYS_cliente!$N$5:$N$2500)+SUMIF(SYS_cliente!$P$5:$P$2500,A329,SYS_cliente!$S$5:$S$2500)&lt;0,0,+SUMIF(SYS_cliente!$F$5:$F$2500,A329,SYS_cliente!$I$5:$I$2500)+SUMIF(SYS_cliente!$K$5:$K$2500,A329,SYS_cliente!$N$5:$N$2500)+SUMIF(SYS_cliente!$P$5:$P$2500,A329,SYS_cliente!$S$5:$S$2500))</f>
        <v>0</v>
      </c>
      <c r="F329" s="1315">
        <f ca="1">IF(+SUMIF(SYS_cliente!$F$5:$F$2500,A329,SYS_cliente!$I$5:$I$1678)+SUMIF(SYS_cliente!$K$5:$K$2500,A329,SYS_cliente!$N$5:$N$1678)+SUMIF(SYS_cliente!$P$5:$P$2500,A329,SYS_cliente!$S$5:$S$1678)&gt;=0,0,-(SUMIF(SYS_cliente!$F$5:$F$2500,A329,SYS_cliente!$I$5:$I$1678)+SUMIF(SYS_cliente!$K$5:$K$2500,A329,SYS_cliente!$N$5:$N$1678)+SUMIF(SYS_cliente!$P$5:$P$2500,A329,SYS_cliente!$S$5:$S$1678)))</f>
        <v>0</v>
      </c>
      <c r="G329" s="1316">
        <f>+SUMIF(asientos!$C$13:$C$1276,SYS_4_3_Digitos!A329,asientos!$B$13:$B$1276)</f>
        <v>0</v>
      </c>
      <c r="H329" s="1317">
        <f>+SUMIF(asientos!$I$13:$I$1276,SYS_4_3_Digitos!A329,asientos!$J$13:$J$1276)</f>
        <v>0</v>
      </c>
      <c r="I329" s="1314">
        <f t="shared" ca="1" si="34"/>
        <v>0</v>
      </c>
      <c r="J329" s="1315">
        <f t="shared" ca="1" si="35"/>
        <v>0</v>
      </c>
      <c r="L329" s="1308">
        <f t="shared" si="36"/>
        <v>692000000</v>
      </c>
      <c r="M329" s="1296" t="str">
        <f t="shared" si="37"/>
        <v>6920</v>
      </c>
      <c r="N329" s="1309">
        <f t="shared" ca="1" si="38"/>
        <v>0</v>
      </c>
      <c r="O329" s="1296" t="str">
        <f t="shared" si="39"/>
        <v>69</v>
      </c>
    </row>
    <row r="330" spans="1:15" s="1296" customFormat="1">
      <c r="A330" s="1310">
        <v>693</v>
      </c>
      <c r="B330" s="1311" t="s">
        <v>570</v>
      </c>
      <c r="C330" s="1312">
        <v>0</v>
      </c>
      <c r="D330" s="1313">
        <v>0</v>
      </c>
      <c r="E330" s="1314">
        <f>IF(+SUMIF(SYS_cliente!$F$5:$F$2500,A330,SYS_cliente!$I$5:$I$2500)+SUMIF(SYS_cliente!$K$5:$K$2500,A330,SYS_cliente!$N$5:$N$2500)+SUMIF(SYS_cliente!$P$5:$P$2500,A330,SYS_cliente!$S$5:$S$2500)&lt;0,0,+SUMIF(SYS_cliente!$F$5:$F$2500,A330,SYS_cliente!$I$5:$I$2500)+SUMIF(SYS_cliente!$K$5:$K$2500,A330,SYS_cliente!$N$5:$N$2500)+SUMIF(SYS_cliente!$P$5:$P$2500,A330,SYS_cliente!$S$5:$S$2500))</f>
        <v>0</v>
      </c>
      <c r="F330" s="1315">
        <f ca="1">IF(+SUMIF(SYS_cliente!$F$5:$F$2500,A330,SYS_cliente!$I$5:$I$1678)+SUMIF(SYS_cliente!$K$5:$K$2500,A330,SYS_cliente!$N$5:$N$1678)+SUMIF(SYS_cliente!$P$5:$P$2500,A330,SYS_cliente!$S$5:$S$1678)&gt;=0,0,-(SUMIF(SYS_cliente!$F$5:$F$2500,A330,SYS_cliente!$I$5:$I$1678)+SUMIF(SYS_cliente!$K$5:$K$2500,A330,SYS_cliente!$N$5:$N$1678)+SUMIF(SYS_cliente!$P$5:$P$2500,A330,SYS_cliente!$S$5:$S$1678)))</f>
        <v>0</v>
      </c>
      <c r="G330" s="1316">
        <f>+SUMIF(asientos!$C$13:$C$1276,SYS_4_3_Digitos!A330,asientos!$B$13:$B$1276)</f>
        <v>0</v>
      </c>
      <c r="H330" s="1317">
        <f>+SUMIF(asientos!$I$13:$I$1276,SYS_4_3_Digitos!A330,asientos!$J$13:$J$1276)</f>
        <v>0</v>
      </c>
      <c r="I330" s="1314">
        <f t="shared" ca="1" si="34"/>
        <v>0</v>
      </c>
      <c r="J330" s="1315">
        <f t="shared" ca="1" si="35"/>
        <v>0</v>
      </c>
      <c r="L330" s="1308">
        <f t="shared" si="36"/>
        <v>693000000</v>
      </c>
      <c r="M330" s="1296" t="str">
        <f t="shared" si="37"/>
        <v>6930</v>
      </c>
      <c r="N330" s="1309">
        <f t="shared" ca="1" si="38"/>
        <v>0</v>
      </c>
      <c r="O330" s="1296" t="str">
        <f t="shared" si="39"/>
        <v>69</v>
      </c>
    </row>
    <row r="331" spans="1:15" s="1296" customFormat="1">
      <c r="A331" s="1310">
        <v>694</v>
      </c>
      <c r="B331" s="1311" t="s">
        <v>571</v>
      </c>
      <c r="C331" s="1312">
        <v>0</v>
      </c>
      <c r="D331" s="1313">
        <v>0</v>
      </c>
      <c r="E331" s="1314">
        <f>IF(+SUMIF(SYS_cliente!$F$5:$F$2500,A331,SYS_cliente!$I$5:$I$2500)+SUMIF(SYS_cliente!$K$5:$K$2500,A331,SYS_cliente!$N$5:$N$2500)+SUMIF(SYS_cliente!$P$5:$P$2500,A331,SYS_cliente!$S$5:$S$2500)&lt;0,0,+SUMIF(SYS_cliente!$F$5:$F$2500,A331,SYS_cliente!$I$5:$I$2500)+SUMIF(SYS_cliente!$K$5:$K$2500,A331,SYS_cliente!$N$5:$N$2500)+SUMIF(SYS_cliente!$P$5:$P$2500,A331,SYS_cliente!$S$5:$S$2500))</f>
        <v>110160</v>
      </c>
      <c r="F331" s="1315">
        <f ca="1">IF(+SUMIF(SYS_cliente!$F$5:$F$2500,A331,SYS_cliente!$I$5:$I$1678)+SUMIF(SYS_cliente!$K$5:$K$2500,A331,SYS_cliente!$N$5:$N$1678)+SUMIF(SYS_cliente!$P$5:$P$2500,A331,SYS_cliente!$S$5:$S$1678)&gt;=0,0,-(SUMIF(SYS_cliente!$F$5:$F$2500,A331,SYS_cliente!$I$5:$I$1678)+SUMIF(SYS_cliente!$K$5:$K$2500,A331,SYS_cliente!$N$5:$N$1678)+SUMIF(SYS_cliente!$P$5:$P$2500,A331,SYS_cliente!$S$5:$S$1678)))</f>
        <v>0</v>
      </c>
      <c r="G331" s="1316">
        <f>+SUMIF(asientos!$C$13:$C$1276,SYS_4_3_Digitos!A331,asientos!$B$13:$B$1276)</f>
        <v>0</v>
      </c>
      <c r="H331" s="1317">
        <f>+SUMIF(asientos!$I$13:$I$1276,SYS_4_3_Digitos!A331,asientos!$J$13:$J$1276)</f>
        <v>0</v>
      </c>
      <c r="I331" s="1314">
        <f t="shared" ca="1" si="34"/>
        <v>110160</v>
      </c>
      <c r="J331" s="1315">
        <f t="shared" ca="1" si="35"/>
        <v>0</v>
      </c>
      <c r="L331" s="1308">
        <f t="shared" si="36"/>
        <v>694000000</v>
      </c>
      <c r="M331" s="1296" t="str">
        <f t="shared" si="37"/>
        <v>6940</v>
      </c>
      <c r="N331" s="1309">
        <f t="shared" ca="1" si="38"/>
        <v>110160</v>
      </c>
      <c r="O331" s="1296" t="str">
        <f t="shared" si="39"/>
        <v>69</v>
      </c>
    </row>
    <row r="332" spans="1:15" s="1296" customFormat="1">
      <c r="A332" s="1310">
        <v>695</v>
      </c>
      <c r="B332" s="1311" t="s">
        <v>572</v>
      </c>
      <c r="C332" s="1312">
        <v>0</v>
      </c>
      <c r="D332" s="1313">
        <v>0</v>
      </c>
      <c r="E332" s="1314">
        <f>IF(+SUMIF(SYS_cliente!$F$5:$F$2500,A332,SYS_cliente!$I$5:$I$2500)+SUMIF(SYS_cliente!$K$5:$K$2500,A332,SYS_cliente!$N$5:$N$2500)+SUMIF(SYS_cliente!$P$5:$P$2500,A332,SYS_cliente!$S$5:$S$2500)&lt;0,0,+SUMIF(SYS_cliente!$F$5:$F$2500,A332,SYS_cliente!$I$5:$I$2500)+SUMIF(SYS_cliente!$K$5:$K$2500,A332,SYS_cliente!$N$5:$N$2500)+SUMIF(SYS_cliente!$P$5:$P$2500,A332,SYS_cliente!$S$5:$S$2500))</f>
        <v>0</v>
      </c>
      <c r="F332" s="1315">
        <f ca="1">IF(+SUMIF(SYS_cliente!$F$5:$F$2500,A332,SYS_cliente!$I$5:$I$1678)+SUMIF(SYS_cliente!$K$5:$K$2500,A332,SYS_cliente!$N$5:$N$1678)+SUMIF(SYS_cliente!$P$5:$P$2500,A332,SYS_cliente!$S$5:$S$1678)&gt;=0,0,-(SUMIF(SYS_cliente!$F$5:$F$2500,A332,SYS_cliente!$I$5:$I$1678)+SUMIF(SYS_cliente!$K$5:$K$2500,A332,SYS_cliente!$N$5:$N$1678)+SUMIF(SYS_cliente!$P$5:$P$2500,A332,SYS_cliente!$S$5:$S$1678)))</f>
        <v>0</v>
      </c>
      <c r="G332" s="1316">
        <f>+SUMIF(asientos!$C$13:$C$1276,SYS_4_3_Digitos!A332,asientos!$B$13:$B$1276)</f>
        <v>0</v>
      </c>
      <c r="H332" s="1317">
        <f>+SUMIF(asientos!$I$13:$I$1276,SYS_4_3_Digitos!A332,asientos!$J$13:$J$1276)</f>
        <v>0</v>
      </c>
      <c r="I332" s="1314">
        <f t="shared" ca="1" si="34"/>
        <v>0</v>
      </c>
      <c r="J332" s="1315">
        <f t="shared" ca="1" si="35"/>
        <v>0</v>
      </c>
      <c r="L332" s="1308">
        <f t="shared" si="36"/>
        <v>695000000</v>
      </c>
      <c r="M332" s="1296" t="str">
        <f t="shared" si="37"/>
        <v>6950</v>
      </c>
      <c r="N332" s="1309">
        <f t="shared" ca="1" si="38"/>
        <v>0</v>
      </c>
      <c r="O332" s="1296" t="str">
        <f t="shared" si="39"/>
        <v>69</v>
      </c>
    </row>
    <row r="333" spans="1:15" s="1296" customFormat="1">
      <c r="A333" s="1318">
        <v>6960</v>
      </c>
      <c r="B333" s="1319" t="s">
        <v>1707</v>
      </c>
      <c r="C333" s="1320">
        <v>0</v>
      </c>
      <c r="D333" s="1321">
        <v>0</v>
      </c>
      <c r="E333" s="1322">
        <f>IF(+SUMIF(SYS_cliente!$F$5:$F$2500,A333,SYS_cliente!$I$5:$I$2500)+SUMIF(SYS_cliente!$K$5:$K$2500,A333,SYS_cliente!$N$5:$N$2500)+SUMIF(SYS_cliente!$P$5:$P$2500,A333,SYS_cliente!$S$5:$S$2500)&lt;0,0,+SUMIF(SYS_cliente!$F$5:$F$2500,A333,SYS_cliente!$I$5:$I$2500)+SUMIF(SYS_cliente!$K$5:$K$2500,A333,SYS_cliente!$N$5:$N$2500)+SUMIF(SYS_cliente!$P$5:$P$2500,A333,SYS_cliente!$S$5:$S$2500))</f>
        <v>0</v>
      </c>
      <c r="F333" s="1323">
        <f ca="1">IF(+SUMIF(SYS_cliente!$F$5:$F$2500,A333,SYS_cliente!$I$5:$I$1678)+SUMIF(SYS_cliente!$K$5:$K$2500,A333,SYS_cliente!$N$5:$N$1678)+SUMIF(SYS_cliente!$P$5:$P$2500,A333,SYS_cliente!$S$5:$S$1678)&gt;=0,0,-(SUMIF(SYS_cliente!$F$5:$F$2500,A333,SYS_cliente!$I$5:$I$1678)+SUMIF(SYS_cliente!$K$5:$K$2500,A333,SYS_cliente!$N$5:$N$1678)+SUMIF(SYS_cliente!$P$5:$P$2500,A333,SYS_cliente!$S$5:$S$1678)))</f>
        <v>0</v>
      </c>
      <c r="G333" s="1322">
        <f>+SUMIF(asientos!$C$13:$C$1276,SYS_4_3_Digitos!A333,asientos!$B$13:$B$1276)</f>
        <v>0</v>
      </c>
      <c r="H333" s="1323">
        <f>+SUMIF(asientos!$I$13:$I$1276,SYS_4_3_Digitos!A333,asientos!$J$13:$J$1276)</f>
        <v>0</v>
      </c>
      <c r="I333" s="1322">
        <f t="shared" ca="1" si="34"/>
        <v>0</v>
      </c>
      <c r="J333" s="1323">
        <f t="shared" ca="1" si="35"/>
        <v>0</v>
      </c>
      <c r="K333" s="1324"/>
      <c r="L333" s="1325">
        <f t="shared" si="36"/>
        <v>6960000000</v>
      </c>
      <c r="M333" s="1324" t="str">
        <f t="shared" si="37"/>
        <v>6960</v>
      </c>
      <c r="N333" s="1326">
        <f t="shared" ca="1" si="38"/>
        <v>0</v>
      </c>
      <c r="O333" s="1296" t="str">
        <f t="shared" si="39"/>
        <v>69</v>
      </c>
    </row>
    <row r="334" spans="1:15" s="1296" customFormat="1">
      <c r="A334" s="1318">
        <v>6961</v>
      </c>
      <c r="B334" s="1319" t="s">
        <v>1708</v>
      </c>
      <c r="C334" s="1320">
        <v>0</v>
      </c>
      <c r="D334" s="1321">
        <v>0</v>
      </c>
      <c r="E334" s="1322">
        <f>IF(+SUMIF(SYS_cliente!$F$5:$F$2500,A334,SYS_cliente!$I$5:$I$2500)+SUMIF(SYS_cliente!$K$5:$K$2500,A334,SYS_cliente!$N$5:$N$2500)+SUMIF(SYS_cliente!$P$5:$P$2500,A334,SYS_cliente!$S$5:$S$2500)&lt;0,0,+SUMIF(SYS_cliente!$F$5:$F$2500,A334,SYS_cliente!$I$5:$I$2500)+SUMIF(SYS_cliente!$K$5:$K$2500,A334,SYS_cliente!$N$5:$N$2500)+SUMIF(SYS_cliente!$P$5:$P$2500,A334,SYS_cliente!$S$5:$S$2500))</f>
        <v>0</v>
      </c>
      <c r="F334" s="1323">
        <f ca="1">IF(+SUMIF(SYS_cliente!$F$5:$F$2500,A334,SYS_cliente!$I$5:$I$1678)+SUMIF(SYS_cliente!$K$5:$K$2500,A334,SYS_cliente!$N$5:$N$1678)+SUMIF(SYS_cliente!$P$5:$P$2500,A334,SYS_cliente!$S$5:$S$1678)&gt;=0,0,-(SUMIF(SYS_cliente!$F$5:$F$2500,A334,SYS_cliente!$I$5:$I$1678)+SUMIF(SYS_cliente!$K$5:$K$2500,A334,SYS_cliente!$N$5:$N$1678)+SUMIF(SYS_cliente!$P$5:$P$2500,A334,SYS_cliente!$S$5:$S$1678)))</f>
        <v>0</v>
      </c>
      <c r="G334" s="1322">
        <f>+SUMIF(asientos!$C$13:$C$1276,SYS_4_3_Digitos!A334,asientos!$B$13:$B$1276)</f>
        <v>0</v>
      </c>
      <c r="H334" s="1323">
        <f>+SUMIF(asientos!$I$13:$I$1276,SYS_4_3_Digitos!A334,asientos!$J$13:$J$1276)</f>
        <v>0</v>
      </c>
      <c r="I334" s="1322">
        <f t="shared" ca="1" si="34"/>
        <v>0</v>
      </c>
      <c r="J334" s="1323">
        <f t="shared" ca="1" si="35"/>
        <v>0</v>
      </c>
      <c r="K334" s="1324"/>
      <c r="L334" s="1325">
        <f t="shared" si="36"/>
        <v>6961000000</v>
      </c>
      <c r="M334" s="1324" t="str">
        <f t="shared" si="37"/>
        <v>6961</v>
      </c>
      <c r="N334" s="1326">
        <f t="shared" ca="1" si="38"/>
        <v>0</v>
      </c>
      <c r="O334" s="1296" t="str">
        <f t="shared" si="39"/>
        <v>69</v>
      </c>
    </row>
    <row r="335" spans="1:15" s="1296" customFormat="1">
      <c r="A335" s="1318">
        <v>6962</v>
      </c>
      <c r="B335" s="1319" t="s">
        <v>1709</v>
      </c>
      <c r="C335" s="1320">
        <v>0</v>
      </c>
      <c r="D335" s="1321">
        <v>0</v>
      </c>
      <c r="E335" s="1322">
        <f>IF(+SUMIF(SYS_cliente!$F$5:$F$2500,A335,SYS_cliente!$I$5:$I$2500)+SUMIF(SYS_cliente!$K$5:$K$2500,A335,SYS_cliente!$N$5:$N$2500)+SUMIF(SYS_cliente!$P$5:$P$2500,A335,SYS_cliente!$S$5:$S$2500)&lt;0,0,+SUMIF(SYS_cliente!$F$5:$F$2500,A335,SYS_cliente!$I$5:$I$2500)+SUMIF(SYS_cliente!$K$5:$K$2500,A335,SYS_cliente!$N$5:$N$2500)+SUMIF(SYS_cliente!$P$5:$P$2500,A335,SYS_cliente!$S$5:$S$2500))</f>
        <v>0</v>
      </c>
      <c r="F335" s="1323">
        <f ca="1">IF(+SUMIF(SYS_cliente!$F$5:$F$2500,A335,SYS_cliente!$I$5:$I$1678)+SUMIF(SYS_cliente!$K$5:$K$2500,A335,SYS_cliente!$N$5:$N$1678)+SUMIF(SYS_cliente!$P$5:$P$2500,A335,SYS_cliente!$S$5:$S$1678)&gt;=0,0,-(SUMIF(SYS_cliente!$F$5:$F$2500,A335,SYS_cliente!$I$5:$I$1678)+SUMIF(SYS_cliente!$K$5:$K$2500,A335,SYS_cliente!$N$5:$N$1678)+SUMIF(SYS_cliente!$P$5:$P$2500,A335,SYS_cliente!$S$5:$S$1678)))</f>
        <v>0</v>
      </c>
      <c r="G335" s="1322">
        <f>+SUMIF(asientos!$C$13:$C$1276,SYS_4_3_Digitos!A335,asientos!$B$13:$B$1276)</f>
        <v>0</v>
      </c>
      <c r="H335" s="1323">
        <f>+SUMIF(asientos!$I$13:$I$1276,SYS_4_3_Digitos!A335,asientos!$J$13:$J$1276)</f>
        <v>0</v>
      </c>
      <c r="I335" s="1322">
        <f t="shared" ca="1" si="34"/>
        <v>0</v>
      </c>
      <c r="J335" s="1323">
        <f t="shared" ca="1" si="35"/>
        <v>0</v>
      </c>
      <c r="K335" s="1324"/>
      <c r="L335" s="1325">
        <f t="shared" si="36"/>
        <v>6962000000</v>
      </c>
      <c r="M335" s="1324" t="str">
        <f t="shared" si="37"/>
        <v>6962</v>
      </c>
      <c r="N335" s="1326">
        <f t="shared" ca="1" si="38"/>
        <v>0</v>
      </c>
      <c r="O335" s="1296" t="str">
        <f t="shared" si="39"/>
        <v>69</v>
      </c>
    </row>
    <row r="336" spans="1:15" s="1296" customFormat="1">
      <c r="A336" s="1318">
        <v>6963</v>
      </c>
      <c r="B336" s="1319" t="s">
        <v>1710</v>
      </c>
      <c r="C336" s="1320">
        <v>0</v>
      </c>
      <c r="D336" s="1321">
        <v>0</v>
      </c>
      <c r="E336" s="1322">
        <f>IF(+SUMIF(SYS_cliente!$F$5:$F$2500,A336,SYS_cliente!$I$5:$I$2500)+SUMIF(SYS_cliente!$K$5:$K$2500,A336,SYS_cliente!$N$5:$N$2500)+SUMIF(SYS_cliente!$P$5:$P$2500,A336,SYS_cliente!$S$5:$S$2500)&lt;0,0,+SUMIF(SYS_cliente!$F$5:$F$2500,A336,SYS_cliente!$I$5:$I$2500)+SUMIF(SYS_cliente!$K$5:$K$2500,A336,SYS_cliente!$N$5:$N$2500)+SUMIF(SYS_cliente!$P$5:$P$2500,A336,SYS_cliente!$S$5:$S$2500))</f>
        <v>0</v>
      </c>
      <c r="F336" s="1323">
        <f ca="1">IF(+SUMIF(SYS_cliente!$F$5:$F$2500,A336,SYS_cliente!$I$5:$I$1678)+SUMIF(SYS_cliente!$K$5:$K$2500,A336,SYS_cliente!$N$5:$N$1678)+SUMIF(SYS_cliente!$P$5:$P$2500,A336,SYS_cliente!$S$5:$S$1678)&gt;=0,0,-(SUMIF(SYS_cliente!$F$5:$F$2500,A336,SYS_cliente!$I$5:$I$1678)+SUMIF(SYS_cliente!$K$5:$K$2500,A336,SYS_cliente!$N$5:$N$1678)+SUMIF(SYS_cliente!$P$5:$P$2500,A336,SYS_cliente!$S$5:$S$1678)))</f>
        <v>0</v>
      </c>
      <c r="G336" s="1322">
        <f>+SUMIF(asientos!$C$13:$C$1276,SYS_4_3_Digitos!A336,asientos!$B$13:$B$1276)</f>
        <v>0</v>
      </c>
      <c r="H336" s="1323">
        <f>+SUMIF(asientos!$I$13:$I$1276,SYS_4_3_Digitos!A336,asientos!$J$13:$J$1276)</f>
        <v>0</v>
      </c>
      <c r="I336" s="1322">
        <f t="shared" ca="1" si="34"/>
        <v>0</v>
      </c>
      <c r="J336" s="1323">
        <f t="shared" ca="1" si="35"/>
        <v>0</v>
      </c>
      <c r="K336" s="1324"/>
      <c r="L336" s="1325">
        <f t="shared" si="36"/>
        <v>6963000000</v>
      </c>
      <c r="M336" s="1324" t="str">
        <f t="shared" si="37"/>
        <v>6963</v>
      </c>
      <c r="N336" s="1326">
        <f t="shared" ca="1" si="38"/>
        <v>0</v>
      </c>
      <c r="O336" s="1296" t="str">
        <f t="shared" si="39"/>
        <v>69</v>
      </c>
    </row>
    <row r="337" spans="1:15" s="1296" customFormat="1">
      <c r="A337" s="1310">
        <v>6970</v>
      </c>
      <c r="B337" s="1311" t="s">
        <v>1711</v>
      </c>
      <c r="C337" s="1312">
        <v>0</v>
      </c>
      <c r="D337" s="1313">
        <v>0</v>
      </c>
      <c r="E337" s="1314">
        <f>IF(+SUMIF(SYS_cliente!$F$5:$F$2500,A337,SYS_cliente!$I$5:$I$2500)+SUMIF(SYS_cliente!$K$5:$K$2500,A337,SYS_cliente!$N$5:$N$2500)+SUMIF(SYS_cliente!$P$5:$P$2500,A337,SYS_cliente!$S$5:$S$2500)&lt;0,0,+SUMIF(SYS_cliente!$F$5:$F$2500,A337,SYS_cliente!$I$5:$I$2500)+SUMIF(SYS_cliente!$K$5:$K$2500,A337,SYS_cliente!$N$5:$N$2500)+SUMIF(SYS_cliente!$P$5:$P$2500,A337,SYS_cliente!$S$5:$S$2500))</f>
        <v>0</v>
      </c>
      <c r="F337" s="1315">
        <f ca="1">IF(+SUMIF(SYS_cliente!$F$5:$F$2500,A337,SYS_cliente!$I$5:$I$1678)+SUMIF(SYS_cliente!$K$5:$K$2500,A337,SYS_cliente!$N$5:$N$1678)+SUMIF(SYS_cliente!$P$5:$P$2500,A337,SYS_cliente!$S$5:$S$1678)&gt;=0,0,-(SUMIF(SYS_cliente!$F$5:$F$2500,A337,SYS_cliente!$I$5:$I$1678)+SUMIF(SYS_cliente!$K$5:$K$2500,A337,SYS_cliente!$N$5:$N$1678)+SUMIF(SYS_cliente!$P$5:$P$2500,A337,SYS_cliente!$S$5:$S$1678)))</f>
        <v>0</v>
      </c>
      <c r="G337" s="1316">
        <f>+SUMIF(asientos!$C$13:$C$1276,SYS_4_3_Digitos!A337,asientos!$B$13:$B$1276)</f>
        <v>0</v>
      </c>
      <c r="H337" s="1317">
        <f>+SUMIF(asientos!$I$13:$I$1276,SYS_4_3_Digitos!A337,asientos!$J$13:$J$1276)</f>
        <v>0</v>
      </c>
      <c r="I337" s="1314">
        <f t="shared" ca="1" si="34"/>
        <v>0</v>
      </c>
      <c r="J337" s="1315">
        <f t="shared" ca="1" si="35"/>
        <v>0</v>
      </c>
      <c r="L337" s="1308">
        <f t="shared" si="36"/>
        <v>6970000000</v>
      </c>
      <c r="M337" s="1296" t="str">
        <f t="shared" si="37"/>
        <v>6970</v>
      </c>
      <c r="N337" s="1309">
        <f t="shared" ca="1" si="38"/>
        <v>0</v>
      </c>
      <c r="O337" s="1296" t="str">
        <f t="shared" si="39"/>
        <v>69</v>
      </c>
    </row>
    <row r="338" spans="1:15" s="1296" customFormat="1">
      <c r="A338" s="1310">
        <v>6971</v>
      </c>
      <c r="B338" s="1311" t="s">
        <v>1712</v>
      </c>
      <c r="C338" s="1312">
        <v>0</v>
      </c>
      <c r="D338" s="1313">
        <v>0</v>
      </c>
      <c r="E338" s="1314">
        <f>IF(+SUMIF(SYS_cliente!$F$5:$F$2500,A338,SYS_cliente!$I$5:$I$2500)+SUMIF(SYS_cliente!$K$5:$K$2500,A338,SYS_cliente!$N$5:$N$2500)+SUMIF(SYS_cliente!$P$5:$P$2500,A338,SYS_cliente!$S$5:$S$2500)&lt;0,0,+SUMIF(SYS_cliente!$F$5:$F$2500,A338,SYS_cliente!$I$5:$I$2500)+SUMIF(SYS_cliente!$K$5:$K$2500,A338,SYS_cliente!$N$5:$N$2500)+SUMIF(SYS_cliente!$P$5:$P$2500,A338,SYS_cliente!$S$5:$S$2500))</f>
        <v>0</v>
      </c>
      <c r="F338" s="1315">
        <f ca="1">IF(+SUMIF(SYS_cliente!$F$5:$F$2500,A338,SYS_cliente!$I$5:$I$1678)+SUMIF(SYS_cliente!$K$5:$K$2500,A338,SYS_cliente!$N$5:$N$1678)+SUMIF(SYS_cliente!$P$5:$P$2500,A338,SYS_cliente!$S$5:$S$1678)&gt;=0,0,-(SUMIF(SYS_cliente!$F$5:$F$2500,A338,SYS_cliente!$I$5:$I$1678)+SUMIF(SYS_cliente!$K$5:$K$2500,A338,SYS_cliente!$N$5:$N$1678)+SUMIF(SYS_cliente!$P$5:$P$2500,A338,SYS_cliente!$S$5:$S$1678)))</f>
        <v>0</v>
      </c>
      <c r="G338" s="1316">
        <f>+SUMIF(asientos!$C$13:$C$1276,SYS_4_3_Digitos!A338,asientos!$B$13:$B$1276)</f>
        <v>0</v>
      </c>
      <c r="H338" s="1317">
        <f>+SUMIF(asientos!$I$13:$I$1276,SYS_4_3_Digitos!A338,asientos!$J$13:$J$1276)</f>
        <v>0</v>
      </c>
      <c r="I338" s="1314">
        <f t="shared" ca="1" si="34"/>
        <v>0</v>
      </c>
      <c r="J338" s="1315">
        <f t="shared" ca="1" si="35"/>
        <v>0</v>
      </c>
      <c r="L338" s="1308">
        <f t="shared" si="36"/>
        <v>6971000000</v>
      </c>
      <c r="M338" s="1296" t="str">
        <f t="shared" si="37"/>
        <v>6971</v>
      </c>
      <c r="N338" s="1309">
        <f t="shared" ca="1" si="38"/>
        <v>0</v>
      </c>
      <c r="O338" s="1296" t="str">
        <f t="shared" si="39"/>
        <v>69</v>
      </c>
    </row>
    <row r="339" spans="1:15" s="1296" customFormat="1">
      <c r="A339" s="1310">
        <v>6972</v>
      </c>
      <c r="B339" s="1311" t="s">
        <v>1713</v>
      </c>
      <c r="C339" s="1312">
        <v>0</v>
      </c>
      <c r="D339" s="1313">
        <v>0</v>
      </c>
      <c r="E339" s="1314">
        <f>IF(+SUMIF(SYS_cliente!$F$5:$F$2500,A339,SYS_cliente!$I$5:$I$2500)+SUMIF(SYS_cliente!$K$5:$K$2500,A339,SYS_cliente!$N$5:$N$2500)+SUMIF(SYS_cliente!$P$5:$P$2500,A339,SYS_cliente!$S$5:$S$2500)&lt;0,0,+SUMIF(SYS_cliente!$F$5:$F$2500,A339,SYS_cliente!$I$5:$I$2500)+SUMIF(SYS_cliente!$K$5:$K$2500,A339,SYS_cliente!$N$5:$N$2500)+SUMIF(SYS_cliente!$P$5:$P$2500,A339,SYS_cliente!$S$5:$S$2500))</f>
        <v>0</v>
      </c>
      <c r="F339" s="1315">
        <f ca="1">IF(+SUMIF(SYS_cliente!$F$5:$F$2500,A339,SYS_cliente!$I$5:$I$1678)+SUMIF(SYS_cliente!$K$5:$K$2500,A339,SYS_cliente!$N$5:$N$1678)+SUMIF(SYS_cliente!$P$5:$P$2500,A339,SYS_cliente!$S$5:$S$1678)&gt;=0,0,-(SUMIF(SYS_cliente!$F$5:$F$2500,A339,SYS_cliente!$I$5:$I$1678)+SUMIF(SYS_cliente!$K$5:$K$2500,A339,SYS_cliente!$N$5:$N$1678)+SUMIF(SYS_cliente!$P$5:$P$2500,A339,SYS_cliente!$S$5:$S$1678)))</f>
        <v>0</v>
      </c>
      <c r="G339" s="1316">
        <f>+SUMIF(asientos!$C$13:$C$1276,SYS_4_3_Digitos!A339,asientos!$B$13:$B$1276)</f>
        <v>0</v>
      </c>
      <c r="H339" s="1317">
        <f>+SUMIF(asientos!$I$13:$I$1276,SYS_4_3_Digitos!A339,asientos!$J$13:$J$1276)</f>
        <v>0</v>
      </c>
      <c r="I339" s="1314">
        <f t="shared" ca="1" si="34"/>
        <v>0</v>
      </c>
      <c r="J339" s="1315">
        <f t="shared" ca="1" si="35"/>
        <v>0</v>
      </c>
      <c r="L339" s="1308">
        <f t="shared" si="36"/>
        <v>6972000000</v>
      </c>
      <c r="M339" s="1296" t="str">
        <f t="shared" si="37"/>
        <v>6972</v>
      </c>
      <c r="N339" s="1309">
        <f t="shared" ca="1" si="38"/>
        <v>0</v>
      </c>
      <c r="O339" s="1296" t="str">
        <f t="shared" si="39"/>
        <v>69</v>
      </c>
    </row>
    <row r="340" spans="1:15" s="1296" customFormat="1">
      <c r="A340" s="1310">
        <v>6973</v>
      </c>
      <c r="B340" s="1311" t="s">
        <v>573</v>
      </c>
      <c r="C340" s="1312">
        <v>0</v>
      </c>
      <c r="D340" s="1313">
        <v>0</v>
      </c>
      <c r="E340" s="1314">
        <f>IF(+SUMIF(SYS_cliente!$F$5:$F$2500,A340,SYS_cliente!$I$5:$I$2500)+SUMIF(SYS_cliente!$K$5:$K$2500,A340,SYS_cliente!$N$5:$N$2500)+SUMIF(SYS_cliente!$P$5:$P$2500,A340,SYS_cliente!$S$5:$S$2500)&lt;0,0,+SUMIF(SYS_cliente!$F$5:$F$2500,A340,SYS_cliente!$I$5:$I$2500)+SUMIF(SYS_cliente!$K$5:$K$2500,A340,SYS_cliente!$N$5:$N$2500)+SUMIF(SYS_cliente!$P$5:$P$2500,A340,SYS_cliente!$S$5:$S$2500))</f>
        <v>0</v>
      </c>
      <c r="F340" s="1315">
        <f ca="1">IF(+SUMIF(SYS_cliente!$F$5:$F$2500,A340,SYS_cliente!$I$5:$I$1678)+SUMIF(SYS_cliente!$K$5:$K$2500,A340,SYS_cliente!$N$5:$N$1678)+SUMIF(SYS_cliente!$P$5:$P$2500,A340,SYS_cliente!$S$5:$S$1678)&gt;=0,0,-(SUMIF(SYS_cliente!$F$5:$F$2500,A340,SYS_cliente!$I$5:$I$1678)+SUMIF(SYS_cliente!$K$5:$K$2500,A340,SYS_cliente!$N$5:$N$1678)+SUMIF(SYS_cliente!$P$5:$P$2500,A340,SYS_cliente!$S$5:$S$1678)))</f>
        <v>0</v>
      </c>
      <c r="G340" s="1316">
        <f>+SUMIF(asientos!$C$13:$C$1276,SYS_4_3_Digitos!A340,asientos!$B$13:$B$1276)</f>
        <v>0</v>
      </c>
      <c r="H340" s="1317">
        <f>+SUMIF(asientos!$I$13:$I$1276,SYS_4_3_Digitos!A340,asientos!$J$13:$J$1276)</f>
        <v>0</v>
      </c>
      <c r="I340" s="1314">
        <f t="shared" ca="1" si="34"/>
        <v>0</v>
      </c>
      <c r="J340" s="1315">
        <f t="shared" ca="1" si="35"/>
        <v>0</v>
      </c>
      <c r="L340" s="1308">
        <f t="shared" si="36"/>
        <v>6973000000</v>
      </c>
      <c r="M340" s="1296" t="str">
        <f t="shared" si="37"/>
        <v>6973</v>
      </c>
      <c r="N340" s="1309">
        <f t="shared" ca="1" si="38"/>
        <v>0</v>
      </c>
      <c r="O340" s="1296" t="str">
        <f t="shared" si="39"/>
        <v>69</v>
      </c>
    </row>
    <row r="341" spans="1:15" s="1296" customFormat="1">
      <c r="A341" s="1310">
        <v>698</v>
      </c>
      <c r="B341" s="1311" t="s">
        <v>574</v>
      </c>
      <c r="C341" s="1312">
        <v>0</v>
      </c>
      <c r="D341" s="1313">
        <v>0</v>
      </c>
      <c r="E341" s="1314">
        <f>IF(+SUMIF(SYS_cliente!$F$5:$F$2500,A341,SYS_cliente!$I$5:$I$2500)+SUMIF(SYS_cliente!$K$5:$K$2500,A341,SYS_cliente!$N$5:$N$2500)+SUMIF(SYS_cliente!$P$5:$P$2500,A341,SYS_cliente!$S$5:$S$2500)&lt;0,0,+SUMIF(SYS_cliente!$F$5:$F$2500,A341,SYS_cliente!$I$5:$I$2500)+SUMIF(SYS_cliente!$K$5:$K$2500,A341,SYS_cliente!$N$5:$N$2500)+SUMIF(SYS_cliente!$P$5:$P$2500,A341,SYS_cliente!$S$5:$S$2500))</f>
        <v>0</v>
      </c>
      <c r="F341" s="1315">
        <f ca="1">IF(+SUMIF(SYS_cliente!$F$5:$F$2500,A341,SYS_cliente!$I$5:$I$1678)+SUMIF(SYS_cliente!$K$5:$K$2500,A341,SYS_cliente!$N$5:$N$1678)+SUMIF(SYS_cliente!$P$5:$P$2500,A341,SYS_cliente!$S$5:$S$1678)&gt;=0,0,-(SUMIF(SYS_cliente!$F$5:$F$2500,A341,SYS_cliente!$I$5:$I$1678)+SUMIF(SYS_cliente!$K$5:$K$2500,A341,SYS_cliente!$N$5:$N$1678)+SUMIF(SYS_cliente!$P$5:$P$2500,A341,SYS_cliente!$S$5:$S$1678)))</f>
        <v>0</v>
      </c>
      <c r="G341" s="1316">
        <f>+SUMIF(asientos!$C$13:$C$1276,SYS_4_3_Digitos!A341,asientos!$B$13:$B$1276)</f>
        <v>0</v>
      </c>
      <c r="H341" s="1317">
        <f>+SUMIF(asientos!$I$13:$I$1276,SYS_4_3_Digitos!A341,asientos!$J$13:$J$1276)</f>
        <v>0</v>
      </c>
      <c r="I341" s="1314">
        <f t="shared" ca="1" si="34"/>
        <v>0</v>
      </c>
      <c r="J341" s="1315">
        <f t="shared" ca="1" si="35"/>
        <v>0</v>
      </c>
      <c r="L341" s="1308">
        <f t="shared" si="36"/>
        <v>698000000</v>
      </c>
      <c r="M341" s="1296" t="str">
        <f t="shared" si="37"/>
        <v>6980</v>
      </c>
      <c r="N341" s="1309">
        <f t="shared" ca="1" si="38"/>
        <v>0</v>
      </c>
      <c r="O341" s="1296" t="str">
        <f t="shared" si="39"/>
        <v>69</v>
      </c>
    </row>
    <row r="342" spans="1:15" s="1296" customFormat="1">
      <c r="A342" s="1310">
        <v>699</v>
      </c>
      <c r="B342" s="1311" t="s">
        <v>575</v>
      </c>
      <c r="C342" s="1312">
        <v>0</v>
      </c>
      <c r="D342" s="1313">
        <v>0</v>
      </c>
      <c r="E342" s="1314">
        <f>IF(+SUMIF(SYS_cliente!$F$5:$F$2500,A342,SYS_cliente!$I$5:$I$2500)+SUMIF(SYS_cliente!$K$5:$K$2500,A342,SYS_cliente!$N$5:$N$2500)+SUMIF(SYS_cliente!$P$5:$P$2500,A342,SYS_cliente!$S$5:$S$2500)&lt;0,0,+SUMIF(SYS_cliente!$F$5:$F$2500,A342,SYS_cliente!$I$5:$I$2500)+SUMIF(SYS_cliente!$K$5:$K$2500,A342,SYS_cliente!$N$5:$N$2500)+SUMIF(SYS_cliente!$P$5:$P$2500,A342,SYS_cliente!$S$5:$S$2500))</f>
        <v>0</v>
      </c>
      <c r="F342" s="1315">
        <f ca="1">IF(+SUMIF(SYS_cliente!$F$5:$F$2500,A342,SYS_cliente!$I$5:$I$1678)+SUMIF(SYS_cliente!$K$5:$K$2500,A342,SYS_cliente!$N$5:$N$1678)+SUMIF(SYS_cliente!$P$5:$P$2500,A342,SYS_cliente!$S$5:$S$1678)&gt;=0,0,-(SUMIF(SYS_cliente!$F$5:$F$2500,A342,SYS_cliente!$I$5:$I$1678)+SUMIF(SYS_cliente!$K$5:$K$2500,A342,SYS_cliente!$N$5:$N$1678)+SUMIF(SYS_cliente!$P$5:$P$2500,A342,SYS_cliente!$S$5:$S$1678)))</f>
        <v>0</v>
      </c>
      <c r="G342" s="1316">
        <f>+SUMIF(asientos!$C$13:$C$1276,SYS_4_3_Digitos!A342,asientos!$B$13:$B$1276)</f>
        <v>0</v>
      </c>
      <c r="H342" s="1317">
        <f>+SUMIF(asientos!$I$13:$I$1276,SYS_4_3_Digitos!A342,asientos!$J$13:$J$1276)</f>
        <v>0</v>
      </c>
      <c r="I342" s="1314">
        <f t="shared" ca="1" si="34"/>
        <v>0</v>
      </c>
      <c r="J342" s="1315">
        <f t="shared" ca="1" si="35"/>
        <v>0</v>
      </c>
      <c r="L342" s="1308">
        <f t="shared" si="36"/>
        <v>699000000</v>
      </c>
      <c r="M342" s="1296" t="str">
        <f t="shared" si="37"/>
        <v>6990</v>
      </c>
      <c r="N342" s="1309">
        <f t="shared" ca="1" si="38"/>
        <v>0</v>
      </c>
      <c r="O342" s="1296" t="str">
        <f t="shared" si="39"/>
        <v>69</v>
      </c>
    </row>
    <row r="343" spans="1:15" s="1296" customFormat="1">
      <c r="A343" s="1310">
        <v>700</v>
      </c>
      <c r="B343" s="1311" t="s">
        <v>576</v>
      </c>
      <c r="C343" s="1312">
        <v>0</v>
      </c>
      <c r="D343" s="1313">
        <v>23602722.75</v>
      </c>
      <c r="E343" s="1314">
        <f>IF(+SUMIF(SYS_cliente!$F$5:$F$2500,A343,SYS_cliente!$I$5:$I$2500)+SUMIF(SYS_cliente!$K$5:$K$2500,A343,SYS_cliente!$N$5:$N$2500)+SUMIF(SYS_cliente!$P$5:$P$2500,A343,SYS_cliente!$S$5:$S$2500)&lt;0,0,+SUMIF(SYS_cliente!$F$5:$F$2500,A343,SYS_cliente!$I$5:$I$2500)+SUMIF(SYS_cliente!$K$5:$K$2500,A343,SYS_cliente!$N$5:$N$2500)+SUMIF(SYS_cliente!$P$5:$P$2500,A343,SYS_cliente!$S$5:$S$2500))</f>
        <v>0</v>
      </c>
      <c r="F343" s="1315">
        <f ca="1">IF(+SUMIF(SYS_cliente!$F$5:$F$2500,A343,SYS_cliente!$I$5:$I$1678)+SUMIF(SYS_cliente!$K$5:$K$2500,A343,SYS_cliente!$N$5:$N$1678)+SUMIF(SYS_cliente!$P$5:$P$2500,A343,SYS_cliente!$S$5:$S$1678)&gt;=0,0,-(SUMIF(SYS_cliente!$F$5:$F$2500,A343,SYS_cliente!$I$5:$I$1678)+SUMIF(SYS_cliente!$K$5:$K$2500,A343,SYS_cliente!$N$5:$N$1678)+SUMIF(SYS_cliente!$P$5:$P$2500,A343,SYS_cliente!$S$5:$S$1678)))</f>
        <v>23781582.580000002</v>
      </c>
      <c r="G343" s="1316">
        <f>+SUMIF(asientos!$C$13:$C$1276,SYS_4_3_Digitos!A343,asientos!$B$13:$B$1276)</f>
        <v>0</v>
      </c>
      <c r="H343" s="1317">
        <f>+SUMIF(asientos!$I$13:$I$1276,SYS_4_3_Digitos!A343,asientos!$J$13:$J$1276)</f>
        <v>0</v>
      </c>
      <c r="I343" s="1314">
        <f t="shared" ca="1" si="34"/>
        <v>0</v>
      </c>
      <c r="J343" s="1315">
        <f t="shared" ca="1" si="35"/>
        <v>23781582.580000002</v>
      </c>
      <c r="L343" s="1308">
        <f t="shared" si="36"/>
        <v>700000000</v>
      </c>
      <c r="M343" s="1296" t="str">
        <f t="shared" si="37"/>
        <v>7000</v>
      </c>
      <c r="N343" s="1309">
        <f t="shared" ca="1" si="38"/>
        <v>-23781582.580000002</v>
      </c>
      <c r="O343" s="1296" t="str">
        <f t="shared" si="39"/>
        <v>70</v>
      </c>
    </row>
    <row r="344" spans="1:15" s="1296" customFormat="1">
      <c r="A344" s="1310">
        <v>701</v>
      </c>
      <c r="B344" s="1311" t="s">
        <v>577</v>
      </c>
      <c r="C344" s="1312">
        <v>0</v>
      </c>
      <c r="D344" s="1313">
        <v>39849544.589999996</v>
      </c>
      <c r="E344" s="1314">
        <f>IF(+SUMIF(SYS_cliente!$F$5:$F$2500,A344,SYS_cliente!$I$5:$I$2500)+SUMIF(SYS_cliente!$K$5:$K$2500,A344,SYS_cliente!$N$5:$N$2500)+SUMIF(SYS_cliente!$P$5:$P$2500,A344,SYS_cliente!$S$5:$S$2500)&lt;0,0,+SUMIF(SYS_cliente!$F$5:$F$2500,A344,SYS_cliente!$I$5:$I$2500)+SUMIF(SYS_cliente!$K$5:$K$2500,A344,SYS_cliente!$N$5:$N$2500)+SUMIF(SYS_cliente!$P$5:$P$2500,A344,SYS_cliente!$S$5:$S$2500))</f>
        <v>0</v>
      </c>
      <c r="F344" s="1315">
        <f ca="1">IF(+SUMIF(SYS_cliente!$F$5:$F$2500,A344,SYS_cliente!$I$5:$I$1678)+SUMIF(SYS_cliente!$K$5:$K$2500,A344,SYS_cliente!$N$5:$N$1678)+SUMIF(SYS_cliente!$P$5:$P$2500,A344,SYS_cliente!$S$5:$S$1678)&gt;=0,0,-(SUMIF(SYS_cliente!$F$5:$F$2500,A344,SYS_cliente!$I$5:$I$1678)+SUMIF(SYS_cliente!$K$5:$K$2500,A344,SYS_cliente!$N$5:$N$1678)+SUMIF(SYS_cliente!$P$5:$P$2500,A344,SYS_cliente!$S$5:$S$1678)))</f>
        <v>48356916.410000004</v>
      </c>
      <c r="G344" s="1316">
        <f>+SUMIF(asientos!$C$13:$C$1276,SYS_4_3_Digitos!A344,asientos!$B$13:$B$1276)</f>
        <v>0</v>
      </c>
      <c r="H344" s="1317">
        <f>+SUMIF(asientos!$I$13:$I$1276,SYS_4_3_Digitos!A344,asientos!$J$13:$J$1276)</f>
        <v>0</v>
      </c>
      <c r="I344" s="1314">
        <f t="shared" ca="1" si="34"/>
        <v>0</v>
      </c>
      <c r="J344" s="1315">
        <f t="shared" ca="1" si="35"/>
        <v>48356916.410000004</v>
      </c>
      <c r="L344" s="1308">
        <f t="shared" si="36"/>
        <v>701000000</v>
      </c>
      <c r="M344" s="1296" t="str">
        <f t="shared" si="37"/>
        <v>7010</v>
      </c>
      <c r="N344" s="1309">
        <f t="shared" ca="1" si="38"/>
        <v>-48356916.410000004</v>
      </c>
      <c r="O344" s="1296" t="str">
        <f t="shared" si="39"/>
        <v>70</v>
      </c>
    </row>
    <row r="345" spans="1:15" s="1296" customFormat="1">
      <c r="A345" s="1310">
        <v>702</v>
      </c>
      <c r="B345" s="1311" t="s">
        <v>578</v>
      </c>
      <c r="C345" s="1312">
        <v>0</v>
      </c>
      <c r="D345" s="1313">
        <v>0</v>
      </c>
      <c r="E345" s="1314">
        <f>IF(+SUMIF(SYS_cliente!$F$5:$F$2500,A345,SYS_cliente!$I$5:$I$2500)+SUMIF(SYS_cliente!$K$5:$K$2500,A345,SYS_cliente!$N$5:$N$2500)+SUMIF(SYS_cliente!$P$5:$P$2500,A345,SYS_cliente!$S$5:$S$2500)&lt;0,0,+SUMIF(SYS_cliente!$F$5:$F$2500,A345,SYS_cliente!$I$5:$I$2500)+SUMIF(SYS_cliente!$K$5:$K$2500,A345,SYS_cliente!$N$5:$N$2500)+SUMIF(SYS_cliente!$P$5:$P$2500,A345,SYS_cliente!$S$5:$S$2500))</f>
        <v>0</v>
      </c>
      <c r="F345" s="1315">
        <f ca="1">IF(+SUMIF(SYS_cliente!$F$5:$F$2500,A345,SYS_cliente!$I$5:$I$1678)+SUMIF(SYS_cliente!$K$5:$K$2500,A345,SYS_cliente!$N$5:$N$1678)+SUMIF(SYS_cliente!$P$5:$P$2500,A345,SYS_cliente!$S$5:$S$1678)&gt;=0,0,-(SUMIF(SYS_cliente!$F$5:$F$2500,A345,SYS_cliente!$I$5:$I$1678)+SUMIF(SYS_cliente!$K$5:$K$2500,A345,SYS_cliente!$N$5:$N$1678)+SUMIF(SYS_cliente!$P$5:$P$2500,A345,SYS_cliente!$S$5:$S$1678)))</f>
        <v>0</v>
      </c>
      <c r="G345" s="1316">
        <f>+SUMIF(asientos!$C$13:$C$1276,SYS_4_3_Digitos!A345,asientos!$B$13:$B$1276)</f>
        <v>0</v>
      </c>
      <c r="H345" s="1317">
        <f>+SUMIF(asientos!$I$13:$I$1276,SYS_4_3_Digitos!A345,asientos!$J$13:$J$1276)</f>
        <v>0</v>
      </c>
      <c r="I345" s="1314">
        <f t="shared" ca="1" si="34"/>
        <v>0</v>
      </c>
      <c r="J345" s="1315">
        <f t="shared" ca="1" si="35"/>
        <v>0</v>
      </c>
      <c r="L345" s="1308">
        <f t="shared" si="36"/>
        <v>702000000</v>
      </c>
      <c r="M345" s="1296" t="str">
        <f t="shared" si="37"/>
        <v>7020</v>
      </c>
      <c r="N345" s="1309">
        <f t="shared" ca="1" si="38"/>
        <v>0</v>
      </c>
      <c r="O345" s="1296" t="str">
        <f t="shared" si="39"/>
        <v>70</v>
      </c>
    </row>
    <row r="346" spans="1:15" s="1296" customFormat="1">
      <c r="A346" s="1310">
        <v>703</v>
      </c>
      <c r="B346" s="1311" t="s">
        <v>579</v>
      </c>
      <c r="C346" s="1312">
        <v>0</v>
      </c>
      <c r="D346" s="1313">
        <v>0</v>
      </c>
      <c r="E346" s="1314">
        <f>IF(+SUMIF(SYS_cliente!$F$5:$F$2500,A346,SYS_cliente!$I$5:$I$2500)+SUMIF(SYS_cliente!$K$5:$K$2500,A346,SYS_cliente!$N$5:$N$2500)+SUMIF(SYS_cliente!$P$5:$P$2500,A346,SYS_cliente!$S$5:$S$2500)&lt;0,0,+SUMIF(SYS_cliente!$F$5:$F$2500,A346,SYS_cliente!$I$5:$I$2500)+SUMIF(SYS_cliente!$K$5:$K$2500,A346,SYS_cliente!$N$5:$N$2500)+SUMIF(SYS_cliente!$P$5:$P$2500,A346,SYS_cliente!$S$5:$S$2500))</f>
        <v>0</v>
      </c>
      <c r="F346" s="1315">
        <f ca="1">IF(+SUMIF(SYS_cliente!$F$5:$F$2500,A346,SYS_cliente!$I$5:$I$1678)+SUMIF(SYS_cliente!$K$5:$K$2500,A346,SYS_cliente!$N$5:$N$1678)+SUMIF(SYS_cliente!$P$5:$P$2500,A346,SYS_cliente!$S$5:$S$1678)&gt;=0,0,-(SUMIF(SYS_cliente!$F$5:$F$2500,A346,SYS_cliente!$I$5:$I$1678)+SUMIF(SYS_cliente!$K$5:$K$2500,A346,SYS_cliente!$N$5:$N$1678)+SUMIF(SYS_cliente!$P$5:$P$2500,A346,SYS_cliente!$S$5:$S$1678)))</f>
        <v>0</v>
      </c>
      <c r="G346" s="1316">
        <f>+SUMIF(asientos!$C$13:$C$1276,SYS_4_3_Digitos!A346,asientos!$B$13:$B$1276)</f>
        <v>0</v>
      </c>
      <c r="H346" s="1317">
        <f>+SUMIF(asientos!$I$13:$I$1276,SYS_4_3_Digitos!A346,asientos!$J$13:$J$1276)</f>
        <v>0</v>
      </c>
      <c r="I346" s="1314">
        <f t="shared" ca="1" si="34"/>
        <v>0</v>
      </c>
      <c r="J346" s="1315">
        <f t="shared" ca="1" si="35"/>
        <v>0</v>
      </c>
      <c r="L346" s="1308">
        <f t="shared" si="36"/>
        <v>703000000</v>
      </c>
      <c r="M346" s="1296" t="str">
        <f t="shared" si="37"/>
        <v>7030</v>
      </c>
      <c r="N346" s="1309">
        <f t="shared" ca="1" si="38"/>
        <v>0</v>
      </c>
      <c r="O346" s="1296" t="str">
        <f t="shared" si="39"/>
        <v>70</v>
      </c>
    </row>
    <row r="347" spans="1:15" s="1296" customFormat="1">
      <c r="A347" s="1310">
        <v>704</v>
      </c>
      <c r="B347" s="1311" t="s">
        <v>580</v>
      </c>
      <c r="C347" s="1312">
        <v>0</v>
      </c>
      <c r="D347" s="1313">
        <v>0</v>
      </c>
      <c r="E347" s="1314">
        <f>IF(+SUMIF(SYS_cliente!$F$5:$F$2500,A347,SYS_cliente!$I$5:$I$2500)+SUMIF(SYS_cliente!$K$5:$K$2500,A347,SYS_cliente!$N$5:$N$2500)+SUMIF(SYS_cliente!$P$5:$P$2500,A347,SYS_cliente!$S$5:$S$2500)&lt;0,0,+SUMIF(SYS_cliente!$F$5:$F$2500,A347,SYS_cliente!$I$5:$I$2500)+SUMIF(SYS_cliente!$K$5:$K$2500,A347,SYS_cliente!$N$5:$N$2500)+SUMIF(SYS_cliente!$P$5:$P$2500,A347,SYS_cliente!$S$5:$S$2500))</f>
        <v>0</v>
      </c>
      <c r="F347" s="1315">
        <f ca="1">IF(+SUMIF(SYS_cliente!$F$5:$F$2500,A347,SYS_cliente!$I$5:$I$1678)+SUMIF(SYS_cliente!$K$5:$K$2500,A347,SYS_cliente!$N$5:$N$1678)+SUMIF(SYS_cliente!$P$5:$P$2500,A347,SYS_cliente!$S$5:$S$1678)&gt;=0,0,-(SUMIF(SYS_cliente!$F$5:$F$2500,A347,SYS_cliente!$I$5:$I$1678)+SUMIF(SYS_cliente!$K$5:$K$2500,A347,SYS_cliente!$N$5:$N$1678)+SUMIF(SYS_cliente!$P$5:$P$2500,A347,SYS_cliente!$S$5:$S$1678)))</f>
        <v>0</v>
      </c>
      <c r="G347" s="1316">
        <f>+SUMIF(asientos!$C$13:$C$1276,SYS_4_3_Digitos!A347,asientos!$B$13:$B$1276)</f>
        <v>0</v>
      </c>
      <c r="H347" s="1317">
        <f>+SUMIF(asientos!$I$13:$I$1276,SYS_4_3_Digitos!A347,asientos!$J$13:$J$1276)</f>
        <v>0</v>
      </c>
      <c r="I347" s="1314">
        <f t="shared" ca="1" si="34"/>
        <v>0</v>
      </c>
      <c r="J347" s="1315">
        <f t="shared" ca="1" si="35"/>
        <v>0</v>
      </c>
      <c r="L347" s="1308">
        <f t="shared" si="36"/>
        <v>704000000</v>
      </c>
      <c r="M347" s="1296" t="str">
        <f t="shared" si="37"/>
        <v>7040</v>
      </c>
      <c r="N347" s="1309">
        <f t="shared" ca="1" si="38"/>
        <v>0</v>
      </c>
      <c r="O347" s="1296" t="str">
        <f t="shared" si="39"/>
        <v>70</v>
      </c>
    </row>
    <row r="348" spans="1:15" s="1296" customFormat="1">
      <c r="A348" s="1310">
        <v>705</v>
      </c>
      <c r="B348" s="1311" t="s">
        <v>581</v>
      </c>
      <c r="C348" s="1312">
        <v>0</v>
      </c>
      <c r="D348" s="1313">
        <v>1211857.2</v>
      </c>
      <c r="E348" s="1314">
        <f>IF(+SUMIF(SYS_cliente!$F$5:$F$2500,A348,SYS_cliente!$I$5:$I$2500)+SUMIF(SYS_cliente!$K$5:$K$2500,A348,SYS_cliente!$N$5:$N$2500)+SUMIF(SYS_cliente!$P$5:$P$2500,A348,SYS_cliente!$S$5:$S$2500)&lt;0,0,+SUMIF(SYS_cliente!$F$5:$F$2500,A348,SYS_cliente!$I$5:$I$2500)+SUMIF(SYS_cliente!$K$5:$K$2500,A348,SYS_cliente!$N$5:$N$2500)+SUMIF(SYS_cliente!$P$5:$P$2500,A348,SYS_cliente!$S$5:$S$2500))</f>
        <v>0</v>
      </c>
      <c r="F348" s="1315">
        <f ca="1">IF(+SUMIF(SYS_cliente!$F$5:$F$2500,A348,SYS_cliente!$I$5:$I$1678)+SUMIF(SYS_cliente!$K$5:$K$2500,A348,SYS_cliente!$N$5:$N$1678)+SUMIF(SYS_cliente!$P$5:$P$2500,A348,SYS_cliente!$S$5:$S$1678)&gt;=0,0,-(SUMIF(SYS_cliente!$F$5:$F$2500,A348,SYS_cliente!$I$5:$I$1678)+SUMIF(SYS_cliente!$K$5:$K$2500,A348,SYS_cliente!$N$5:$N$1678)+SUMIF(SYS_cliente!$P$5:$P$2500,A348,SYS_cliente!$S$5:$S$1678)))</f>
        <v>1677197.1400000001</v>
      </c>
      <c r="G348" s="1316">
        <f>+SUMIF(asientos!$C$13:$C$1276,SYS_4_3_Digitos!A348,asientos!$B$13:$B$1276)</f>
        <v>0</v>
      </c>
      <c r="H348" s="1317">
        <f>+SUMIF(asientos!$I$13:$I$1276,SYS_4_3_Digitos!A348,asientos!$J$13:$J$1276)</f>
        <v>0</v>
      </c>
      <c r="I348" s="1314">
        <f t="shared" ca="1" si="34"/>
        <v>0</v>
      </c>
      <c r="J348" s="1315">
        <f t="shared" ca="1" si="35"/>
        <v>1677197.1400000001</v>
      </c>
      <c r="L348" s="1308">
        <f t="shared" si="36"/>
        <v>705000000</v>
      </c>
      <c r="M348" s="1296" t="str">
        <f t="shared" si="37"/>
        <v>7050</v>
      </c>
      <c r="N348" s="1309">
        <f t="shared" ca="1" si="38"/>
        <v>-1677197.1400000001</v>
      </c>
      <c r="O348" s="1296" t="str">
        <f t="shared" si="39"/>
        <v>70</v>
      </c>
    </row>
    <row r="349" spans="1:15" s="1296" customFormat="1">
      <c r="A349" s="1310">
        <v>706</v>
      </c>
      <c r="B349" s="1311" t="s">
        <v>582</v>
      </c>
      <c r="C349" s="1312">
        <v>0</v>
      </c>
      <c r="D349" s="1313">
        <v>0</v>
      </c>
      <c r="E349" s="1314">
        <f>IF(+SUMIF(SYS_cliente!$F$5:$F$2500,A349,SYS_cliente!$I$5:$I$2500)+SUMIF(SYS_cliente!$K$5:$K$2500,A349,SYS_cliente!$N$5:$N$2500)+SUMIF(SYS_cliente!$P$5:$P$2500,A349,SYS_cliente!$S$5:$S$2500)&lt;0,0,+SUMIF(SYS_cliente!$F$5:$F$2500,A349,SYS_cliente!$I$5:$I$2500)+SUMIF(SYS_cliente!$K$5:$K$2500,A349,SYS_cliente!$N$5:$N$2500)+SUMIF(SYS_cliente!$P$5:$P$2500,A349,SYS_cliente!$S$5:$S$2500))</f>
        <v>3003.21</v>
      </c>
      <c r="F349" s="1315">
        <f ca="1">IF(+SUMIF(SYS_cliente!$F$5:$F$2500,A349,SYS_cliente!$I$5:$I$1678)+SUMIF(SYS_cliente!$K$5:$K$2500,A349,SYS_cliente!$N$5:$N$1678)+SUMIF(SYS_cliente!$P$5:$P$2500,A349,SYS_cliente!$S$5:$S$1678)&gt;=0,0,-(SUMIF(SYS_cliente!$F$5:$F$2500,A349,SYS_cliente!$I$5:$I$1678)+SUMIF(SYS_cliente!$K$5:$K$2500,A349,SYS_cliente!$N$5:$N$1678)+SUMIF(SYS_cliente!$P$5:$P$2500,A349,SYS_cliente!$S$5:$S$1678)))</f>
        <v>0</v>
      </c>
      <c r="G349" s="1316">
        <f>+SUMIF(asientos!$C$13:$C$1276,SYS_4_3_Digitos!A349,asientos!$B$13:$B$1276)</f>
        <v>0</v>
      </c>
      <c r="H349" s="1317">
        <f>+SUMIF(asientos!$I$13:$I$1276,SYS_4_3_Digitos!A349,asientos!$J$13:$J$1276)</f>
        <v>0</v>
      </c>
      <c r="I349" s="1314">
        <f t="shared" ca="1" si="34"/>
        <v>3003.21</v>
      </c>
      <c r="J349" s="1315">
        <f t="shared" ca="1" si="35"/>
        <v>0</v>
      </c>
      <c r="L349" s="1308">
        <f t="shared" si="36"/>
        <v>706000000</v>
      </c>
      <c r="M349" s="1296" t="str">
        <f t="shared" si="37"/>
        <v>7060</v>
      </c>
      <c r="N349" s="1309">
        <f t="shared" ca="1" si="38"/>
        <v>3003.21</v>
      </c>
      <c r="O349" s="1296" t="str">
        <f t="shared" si="39"/>
        <v>70</v>
      </c>
    </row>
    <row r="350" spans="1:15" s="1296" customFormat="1">
      <c r="A350" s="1310">
        <v>708</v>
      </c>
      <c r="B350" s="1311" t="s">
        <v>583</v>
      </c>
      <c r="C350" s="1312">
        <v>0</v>
      </c>
      <c r="D350" s="1313">
        <v>0</v>
      </c>
      <c r="E350" s="1314">
        <f>IF(+SUMIF(SYS_cliente!$F$5:$F$2500,A350,SYS_cliente!$I$5:$I$2500)+SUMIF(SYS_cliente!$K$5:$K$2500,A350,SYS_cliente!$N$5:$N$2500)+SUMIF(SYS_cliente!$P$5:$P$2500,A350,SYS_cliente!$S$5:$S$2500)&lt;0,0,+SUMIF(SYS_cliente!$F$5:$F$2500,A350,SYS_cliente!$I$5:$I$2500)+SUMIF(SYS_cliente!$K$5:$K$2500,A350,SYS_cliente!$N$5:$N$2500)+SUMIF(SYS_cliente!$P$5:$P$2500,A350,SYS_cliente!$S$5:$S$2500))</f>
        <v>0</v>
      </c>
      <c r="F350" s="1315">
        <f ca="1">IF(+SUMIF(SYS_cliente!$F$5:$F$2500,A350,SYS_cliente!$I$5:$I$1678)+SUMIF(SYS_cliente!$K$5:$K$2500,A350,SYS_cliente!$N$5:$N$1678)+SUMIF(SYS_cliente!$P$5:$P$2500,A350,SYS_cliente!$S$5:$S$1678)&gt;=0,0,-(SUMIF(SYS_cliente!$F$5:$F$2500,A350,SYS_cliente!$I$5:$I$1678)+SUMIF(SYS_cliente!$K$5:$K$2500,A350,SYS_cliente!$N$5:$N$1678)+SUMIF(SYS_cliente!$P$5:$P$2500,A350,SYS_cliente!$S$5:$S$1678)))</f>
        <v>0</v>
      </c>
      <c r="G350" s="1316">
        <f>+SUMIF(asientos!$C$13:$C$1276,SYS_4_3_Digitos!A350,asientos!$B$13:$B$1276)</f>
        <v>0</v>
      </c>
      <c r="H350" s="1317">
        <f>+SUMIF(asientos!$I$13:$I$1276,SYS_4_3_Digitos!A350,asientos!$J$13:$J$1276)</f>
        <v>0</v>
      </c>
      <c r="I350" s="1314">
        <f t="shared" ca="1" si="34"/>
        <v>0</v>
      </c>
      <c r="J350" s="1315">
        <f t="shared" ca="1" si="35"/>
        <v>0</v>
      </c>
      <c r="L350" s="1308">
        <f t="shared" si="36"/>
        <v>708000000</v>
      </c>
      <c r="M350" s="1296" t="str">
        <f t="shared" si="37"/>
        <v>7080</v>
      </c>
      <c r="N350" s="1309">
        <f t="shared" ca="1" si="38"/>
        <v>0</v>
      </c>
      <c r="O350" s="1296" t="str">
        <f t="shared" si="39"/>
        <v>70</v>
      </c>
    </row>
    <row r="351" spans="1:15" s="1296" customFormat="1">
      <c r="A351" s="1310">
        <v>709</v>
      </c>
      <c r="B351" s="1311" t="s">
        <v>584</v>
      </c>
      <c r="C351" s="1312">
        <v>1671.7</v>
      </c>
      <c r="D351" s="1313">
        <v>0</v>
      </c>
      <c r="E351" s="1314">
        <f>IF(+SUMIF(SYS_cliente!$F$5:$F$2500,A351,SYS_cliente!$I$5:$I$2500)+SUMIF(SYS_cliente!$K$5:$K$2500,A351,SYS_cliente!$N$5:$N$2500)+SUMIF(SYS_cliente!$P$5:$P$2500,A351,SYS_cliente!$S$5:$S$2500)&lt;0,0,+SUMIF(SYS_cliente!$F$5:$F$2500,A351,SYS_cliente!$I$5:$I$2500)+SUMIF(SYS_cliente!$K$5:$K$2500,A351,SYS_cliente!$N$5:$N$2500)+SUMIF(SYS_cliente!$P$5:$P$2500,A351,SYS_cliente!$S$5:$S$2500))</f>
        <v>29652.65</v>
      </c>
      <c r="F351" s="1315">
        <f ca="1">IF(+SUMIF(SYS_cliente!$F$5:$F$2500,A351,SYS_cliente!$I$5:$I$1678)+SUMIF(SYS_cliente!$K$5:$K$2500,A351,SYS_cliente!$N$5:$N$1678)+SUMIF(SYS_cliente!$P$5:$P$2500,A351,SYS_cliente!$S$5:$S$1678)&gt;=0,0,-(SUMIF(SYS_cliente!$F$5:$F$2500,A351,SYS_cliente!$I$5:$I$1678)+SUMIF(SYS_cliente!$K$5:$K$2500,A351,SYS_cliente!$N$5:$N$1678)+SUMIF(SYS_cliente!$P$5:$P$2500,A351,SYS_cliente!$S$5:$S$1678)))</f>
        <v>0</v>
      </c>
      <c r="G351" s="1316">
        <f>+SUMIF(asientos!$C$13:$C$1276,SYS_4_3_Digitos!A351,asientos!$B$13:$B$1276)</f>
        <v>0</v>
      </c>
      <c r="H351" s="1317">
        <f>+SUMIF(asientos!$I$13:$I$1276,SYS_4_3_Digitos!A351,asientos!$J$13:$J$1276)</f>
        <v>0</v>
      </c>
      <c r="I351" s="1314">
        <f t="shared" ca="1" si="34"/>
        <v>29652.65</v>
      </c>
      <c r="J351" s="1315">
        <f t="shared" ca="1" si="35"/>
        <v>0</v>
      </c>
      <c r="L351" s="1308">
        <f t="shared" si="36"/>
        <v>709000000</v>
      </c>
      <c r="M351" s="1296" t="str">
        <f t="shared" si="37"/>
        <v>7090</v>
      </c>
      <c r="N351" s="1309">
        <f t="shared" ca="1" si="38"/>
        <v>29652.65</v>
      </c>
      <c r="O351" s="1296" t="str">
        <f t="shared" si="39"/>
        <v>70</v>
      </c>
    </row>
    <row r="352" spans="1:15" s="1296" customFormat="1">
      <c r="A352" s="1310">
        <v>710</v>
      </c>
      <c r="B352" s="1311" t="s">
        <v>585</v>
      </c>
      <c r="C352" s="1312">
        <v>0</v>
      </c>
      <c r="D352" s="1313">
        <v>0</v>
      </c>
      <c r="E352" s="1314">
        <f>IF(+SUMIF(SYS_cliente!$F$5:$F$2500,A352,SYS_cliente!$I$5:$I$2500)+SUMIF(SYS_cliente!$K$5:$K$2500,A352,SYS_cliente!$N$5:$N$2500)+SUMIF(SYS_cliente!$P$5:$P$2500,A352,SYS_cliente!$S$5:$S$2500)&lt;0,0,+SUMIF(SYS_cliente!$F$5:$F$2500,A352,SYS_cliente!$I$5:$I$2500)+SUMIF(SYS_cliente!$K$5:$K$2500,A352,SYS_cliente!$N$5:$N$2500)+SUMIF(SYS_cliente!$P$5:$P$2500,A352,SYS_cliente!$S$5:$S$2500))</f>
        <v>0</v>
      </c>
      <c r="F352" s="1315">
        <f ca="1">IF(+SUMIF(SYS_cliente!$F$5:$F$2500,A352,SYS_cliente!$I$5:$I$1678)+SUMIF(SYS_cliente!$K$5:$K$2500,A352,SYS_cliente!$N$5:$N$1678)+SUMIF(SYS_cliente!$P$5:$P$2500,A352,SYS_cliente!$S$5:$S$1678)&gt;=0,0,-(SUMIF(SYS_cliente!$F$5:$F$2500,A352,SYS_cliente!$I$5:$I$1678)+SUMIF(SYS_cliente!$K$5:$K$2500,A352,SYS_cliente!$N$5:$N$1678)+SUMIF(SYS_cliente!$P$5:$P$2500,A352,SYS_cliente!$S$5:$S$1678)))</f>
        <v>0</v>
      </c>
      <c r="G352" s="1316">
        <f>+SUMIF(asientos!$C$13:$C$1276,SYS_4_3_Digitos!A352,asientos!$B$13:$B$1276)</f>
        <v>0</v>
      </c>
      <c r="H352" s="1317">
        <f>+SUMIF(asientos!$I$13:$I$1276,SYS_4_3_Digitos!A352,asientos!$J$13:$J$1276)</f>
        <v>0</v>
      </c>
      <c r="I352" s="1314">
        <f t="shared" ca="1" si="34"/>
        <v>0</v>
      </c>
      <c r="J352" s="1315">
        <f t="shared" ca="1" si="35"/>
        <v>0</v>
      </c>
      <c r="L352" s="1308">
        <f t="shared" si="36"/>
        <v>710000000</v>
      </c>
      <c r="M352" s="1296" t="str">
        <f t="shared" si="37"/>
        <v>7100</v>
      </c>
      <c r="N352" s="1309">
        <f t="shared" ca="1" si="38"/>
        <v>0</v>
      </c>
      <c r="O352" s="1296" t="str">
        <f t="shared" si="39"/>
        <v>71</v>
      </c>
    </row>
    <row r="353" spans="1:15" s="1296" customFormat="1">
      <c r="A353" s="1310">
        <v>711</v>
      </c>
      <c r="B353" s="1311" t="s">
        <v>586</v>
      </c>
      <c r="C353" s="1312">
        <v>0</v>
      </c>
      <c r="D353" s="1313">
        <v>0</v>
      </c>
      <c r="E353" s="1314">
        <f>IF(+SUMIF(SYS_cliente!$F$5:$F$2500,A353,SYS_cliente!$I$5:$I$2500)+SUMIF(SYS_cliente!$K$5:$K$2500,A353,SYS_cliente!$N$5:$N$2500)+SUMIF(SYS_cliente!$P$5:$P$2500,A353,SYS_cliente!$S$5:$S$2500)&lt;0,0,+SUMIF(SYS_cliente!$F$5:$F$2500,A353,SYS_cliente!$I$5:$I$2500)+SUMIF(SYS_cliente!$K$5:$K$2500,A353,SYS_cliente!$N$5:$N$2500)+SUMIF(SYS_cliente!$P$5:$P$2500,A353,SYS_cliente!$S$5:$S$2500))</f>
        <v>0</v>
      </c>
      <c r="F353" s="1315">
        <f ca="1">IF(+SUMIF(SYS_cliente!$F$5:$F$2500,A353,SYS_cliente!$I$5:$I$1678)+SUMIF(SYS_cliente!$K$5:$K$2500,A353,SYS_cliente!$N$5:$N$1678)+SUMIF(SYS_cliente!$P$5:$P$2500,A353,SYS_cliente!$S$5:$S$1678)&gt;=0,0,-(SUMIF(SYS_cliente!$F$5:$F$2500,A353,SYS_cliente!$I$5:$I$1678)+SUMIF(SYS_cliente!$K$5:$K$2500,A353,SYS_cliente!$N$5:$N$1678)+SUMIF(SYS_cliente!$P$5:$P$2500,A353,SYS_cliente!$S$5:$S$1678)))</f>
        <v>0</v>
      </c>
      <c r="G353" s="1316">
        <f>+SUMIF(asientos!$C$13:$C$1276,SYS_4_3_Digitos!A353,asientos!$B$13:$B$1276)</f>
        <v>0</v>
      </c>
      <c r="H353" s="1317">
        <f>+SUMIF(asientos!$I$13:$I$1276,SYS_4_3_Digitos!A353,asientos!$J$13:$J$1276)</f>
        <v>0</v>
      </c>
      <c r="I353" s="1314">
        <f t="shared" ca="1" si="34"/>
        <v>0</v>
      </c>
      <c r="J353" s="1315">
        <f t="shared" ca="1" si="35"/>
        <v>0</v>
      </c>
      <c r="L353" s="1308">
        <f t="shared" si="36"/>
        <v>711000000</v>
      </c>
      <c r="M353" s="1296" t="str">
        <f t="shared" si="37"/>
        <v>7110</v>
      </c>
      <c r="N353" s="1309">
        <f t="shared" ca="1" si="38"/>
        <v>0</v>
      </c>
      <c r="O353" s="1296" t="str">
        <f t="shared" si="39"/>
        <v>71</v>
      </c>
    </row>
    <row r="354" spans="1:15" s="1296" customFormat="1">
      <c r="A354" s="1310">
        <v>712</v>
      </c>
      <c r="B354" s="1311" t="s">
        <v>587</v>
      </c>
      <c r="C354" s="1312">
        <v>0</v>
      </c>
      <c r="D354" s="1313">
        <v>875442.74</v>
      </c>
      <c r="E354" s="1314">
        <f>IF(+SUMIF(SYS_cliente!$F$5:$F$2500,A354,SYS_cliente!$I$5:$I$2500)+SUMIF(SYS_cliente!$K$5:$K$2500,A354,SYS_cliente!$N$5:$N$2500)+SUMIF(SYS_cliente!$P$5:$P$2500,A354,SYS_cliente!$S$5:$S$2500)&lt;0,0,+SUMIF(SYS_cliente!$F$5:$F$2500,A354,SYS_cliente!$I$5:$I$2500)+SUMIF(SYS_cliente!$K$5:$K$2500,A354,SYS_cliente!$N$5:$N$2500)+SUMIF(SYS_cliente!$P$5:$P$2500,A354,SYS_cliente!$S$5:$S$2500))</f>
        <v>2581878.4300000002</v>
      </c>
      <c r="F354" s="1315">
        <f ca="1">IF(+SUMIF(SYS_cliente!$F$5:$F$2500,A354,SYS_cliente!$I$5:$I$1678)+SUMIF(SYS_cliente!$K$5:$K$2500,A354,SYS_cliente!$N$5:$N$1678)+SUMIF(SYS_cliente!$P$5:$P$2500,A354,SYS_cliente!$S$5:$S$1678)&gt;=0,0,-(SUMIF(SYS_cliente!$F$5:$F$2500,A354,SYS_cliente!$I$5:$I$1678)+SUMIF(SYS_cliente!$K$5:$K$2500,A354,SYS_cliente!$N$5:$N$1678)+SUMIF(SYS_cliente!$P$5:$P$2500,A354,SYS_cliente!$S$5:$S$1678)))</f>
        <v>0</v>
      </c>
      <c r="G354" s="1316">
        <f>+SUMIF(asientos!$C$13:$C$1276,SYS_4_3_Digitos!A354,asientos!$B$13:$B$1276)</f>
        <v>0</v>
      </c>
      <c r="H354" s="1317">
        <f>+SUMIF(asientos!$I$13:$I$1276,SYS_4_3_Digitos!A354,asientos!$J$13:$J$1276)</f>
        <v>0</v>
      </c>
      <c r="I354" s="1314">
        <f t="shared" ca="1" si="34"/>
        <v>2581878.4300000002</v>
      </c>
      <c r="J354" s="1315">
        <f t="shared" ca="1" si="35"/>
        <v>0</v>
      </c>
      <c r="L354" s="1308">
        <f t="shared" si="36"/>
        <v>712000000</v>
      </c>
      <c r="M354" s="1296" t="str">
        <f t="shared" si="37"/>
        <v>7120</v>
      </c>
      <c r="N354" s="1309">
        <f t="shared" ca="1" si="38"/>
        <v>2581878.4300000002</v>
      </c>
      <c r="O354" s="1296" t="str">
        <f t="shared" si="39"/>
        <v>71</v>
      </c>
    </row>
    <row r="355" spans="1:15" s="1296" customFormat="1">
      <c r="A355" s="1310">
        <v>713</v>
      </c>
      <c r="B355" s="1311" t="s">
        <v>588</v>
      </c>
      <c r="C355" s="1312">
        <v>0</v>
      </c>
      <c r="D355" s="1313">
        <v>0</v>
      </c>
      <c r="E355" s="1314">
        <f>IF(+SUMIF(SYS_cliente!$F$5:$F$2500,A355,SYS_cliente!$I$5:$I$2500)+SUMIF(SYS_cliente!$K$5:$K$2500,A355,SYS_cliente!$N$5:$N$2500)+SUMIF(SYS_cliente!$P$5:$P$2500,A355,SYS_cliente!$S$5:$S$2500)&lt;0,0,+SUMIF(SYS_cliente!$F$5:$F$2500,A355,SYS_cliente!$I$5:$I$2500)+SUMIF(SYS_cliente!$K$5:$K$2500,A355,SYS_cliente!$N$5:$N$2500)+SUMIF(SYS_cliente!$P$5:$P$2500,A355,SYS_cliente!$S$5:$S$2500))</f>
        <v>0</v>
      </c>
      <c r="F355" s="1315">
        <f ca="1">IF(+SUMIF(SYS_cliente!$F$5:$F$2500,A355,SYS_cliente!$I$5:$I$1678)+SUMIF(SYS_cliente!$K$5:$K$2500,A355,SYS_cliente!$N$5:$N$1678)+SUMIF(SYS_cliente!$P$5:$P$2500,A355,SYS_cliente!$S$5:$S$1678)&gt;=0,0,-(SUMIF(SYS_cliente!$F$5:$F$2500,A355,SYS_cliente!$I$5:$I$1678)+SUMIF(SYS_cliente!$K$5:$K$2500,A355,SYS_cliente!$N$5:$N$1678)+SUMIF(SYS_cliente!$P$5:$P$2500,A355,SYS_cliente!$S$5:$S$1678)))</f>
        <v>0</v>
      </c>
      <c r="G355" s="1316">
        <f>+SUMIF(asientos!$C$13:$C$1276,SYS_4_3_Digitos!A355,asientos!$B$13:$B$1276)</f>
        <v>0</v>
      </c>
      <c r="H355" s="1317">
        <f>+SUMIF(asientos!$I$13:$I$1276,SYS_4_3_Digitos!A355,asientos!$J$13:$J$1276)</f>
        <v>0</v>
      </c>
      <c r="I355" s="1314">
        <f t="shared" ca="1" si="34"/>
        <v>0</v>
      </c>
      <c r="J355" s="1315">
        <f t="shared" ca="1" si="35"/>
        <v>0</v>
      </c>
      <c r="L355" s="1308">
        <f t="shared" si="36"/>
        <v>713000000</v>
      </c>
      <c r="M355" s="1296" t="str">
        <f t="shared" si="37"/>
        <v>7130</v>
      </c>
      <c r="N355" s="1309">
        <f t="shared" ca="1" si="38"/>
        <v>0</v>
      </c>
      <c r="O355" s="1296" t="str">
        <f t="shared" si="39"/>
        <v>71</v>
      </c>
    </row>
    <row r="356" spans="1:15" s="1296" customFormat="1">
      <c r="A356" s="1310">
        <v>73</v>
      </c>
      <c r="B356" s="1311" t="s">
        <v>589</v>
      </c>
      <c r="C356" s="1312">
        <v>0</v>
      </c>
      <c r="D356" s="1313">
        <v>0</v>
      </c>
      <c r="E356" s="1314">
        <f>IF(+SUMIF(SYS_cliente!$F$5:$F$2500,A356,SYS_cliente!$I$5:$I$2500)+SUMIF(SYS_cliente!$K$5:$K$2500,A356,SYS_cliente!$N$5:$N$2500)+SUMIF(SYS_cliente!$P$5:$P$2500,A356,SYS_cliente!$S$5:$S$2500)&lt;0,0,+SUMIF(SYS_cliente!$F$5:$F$2500,A356,SYS_cliente!$I$5:$I$2500)+SUMIF(SYS_cliente!$K$5:$K$2500,A356,SYS_cliente!$N$5:$N$2500)+SUMIF(SYS_cliente!$P$5:$P$2500,A356,SYS_cliente!$S$5:$S$2500))</f>
        <v>0</v>
      </c>
      <c r="F356" s="1315">
        <f ca="1">IF(+SUMIF(SYS_cliente!$F$5:$F$2500,A356,SYS_cliente!$I$5:$I$1678)+SUMIF(SYS_cliente!$K$5:$K$2500,A356,SYS_cliente!$N$5:$N$1678)+SUMIF(SYS_cliente!$P$5:$P$2500,A356,SYS_cliente!$S$5:$S$1678)&gt;=0,0,-(SUMIF(SYS_cliente!$F$5:$F$2500,A356,SYS_cliente!$I$5:$I$1678)+SUMIF(SYS_cliente!$K$5:$K$2500,A356,SYS_cliente!$N$5:$N$1678)+SUMIF(SYS_cliente!$P$5:$P$2500,A356,SYS_cliente!$S$5:$S$1678)))</f>
        <v>0</v>
      </c>
      <c r="G356" s="1316">
        <f>+SUMIF(asientos!$C$13:$C$1276,SYS_4_3_Digitos!A356,asientos!$B$13:$B$1276)</f>
        <v>0</v>
      </c>
      <c r="H356" s="1317">
        <f>+SUMIF(asientos!$I$13:$I$1276,SYS_4_3_Digitos!A356,asientos!$J$13:$J$1276)</f>
        <v>0</v>
      </c>
      <c r="I356" s="1314">
        <f t="shared" ca="1" si="34"/>
        <v>0</v>
      </c>
      <c r="J356" s="1315">
        <f t="shared" ca="1" si="35"/>
        <v>0</v>
      </c>
      <c r="L356" s="1308">
        <f t="shared" si="36"/>
        <v>73000000</v>
      </c>
      <c r="M356" s="1296" t="str">
        <f t="shared" si="37"/>
        <v>7300</v>
      </c>
      <c r="N356" s="1309">
        <f t="shared" ca="1" si="38"/>
        <v>0</v>
      </c>
      <c r="O356" s="1296" t="str">
        <f t="shared" si="39"/>
        <v>73</v>
      </c>
    </row>
    <row r="357" spans="1:15" s="1296" customFormat="1">
      <c r="A357" s="1310">
        <v>740</v>
      </c>
      <c r="B357" s="1311" t="s">
        <v>590</v>
      </c>
      <c r="C357" s="1312">
        <v>0</v>
      </c>
      <c r="D357" s="1313">
        <v>135755.01</v>
      </c>
      <c r="E357" s="1314">
        <f>IF(+SUMIF(SYS_cliente!$F$5:$F$2500,A357,SYS_cliente!$I$5:$I$2500)+SUMIF(SYS_cliente!$K$5:$K$2500,A357,SYS_cliente!$N$5:$N$2500)+SUMIF(SYS_cliente!$P$5:$P$2500,A357,SYS_cliente!$S$5:$S$2500)&lt;0,0,+SUMIF(SYS_cliente!$F$5:$F$2500,A357,SYS_cliente!$I$5:$I$2500)+SUMIF(SYS_cliente!$K$5:$K$2500,A357,SYS_cliente!$N$5:$N$2500)+SUMIF(SYS_cliente!$P$5:$P$2500,A357,SYS_cliente!$S$5:$S$2500))</f>
        <v>0</v>
      </c>
      <c r="F357" s="1315">
        <f ca="1">IF(+SUMIF(SYS_cliente!$F$5:$F$2500,A357,SYS_cliente!$I$5:$I$1678)+SUMIF(SYS_cliente!$K$5:$K$2500,A357,SYS_cliente!$N$5:$N$1678)+SUMIF(SYS_cliente!$P$5:$P$2500,A357,SYS_cliente!$S$5:$S$1678)&gt;=0,0,-(SUMIF(SYS_cliente!$F$5:$F$2500,A357,SYS_cliente!$I$5:$I$1678)+SUMIF(SYS_cliente!$K$5:$K$2500,A357,SYS_cliente!$N$5:$N$1678)+SUMIF(SYS_cliente!$P$5:$P$2500,A357,SYS_cliente!$S$5:$S$1678)))</f>
        <v>6654.87</v>
      </c>
      <c r="G357" s="1316">
        <f>+SUMIF(asientos!$C$13:$C$1276,SYS_4_3_Digitos!A357,asientos!$B$13:$B$1276)</f>
        <v>0</v>
      </c>
      <c r="H357" s="1317">
        <f>+SUMIF(asientos!$I$13:$I$1276,SYS_4_3_Digitos!A357,asientos!$J$13:$J$1276)</f>
        <v>0</v>
      </c>
      <c r="I357" s="1314">
        <f t="shared" ref="I357:I420" ca="1" si="40">IF((E357+G357-F357-H357)&gt;0,E357+G357-F357-H357,0)</f>
        <v>0</v>
      </c>
      <c r="J357" s="1315">
        <f t="shared" ref="J357:J420" ca="1" si="41">IF((F357+H357-E357-G357)&gt;0,F357+H357-E357-G357,0)</f>
        <v>6654.87</v>
      </c>
      <c r="L357" s="1308">
        <f t="shared" ref="L357:L420" si="42">+A357*1000000</f>
        <v>740000000</v>
      </c>
      <c r="M357" s="1296" t="str">
        <f t="shared" ref="M357:M420" si="43">+LEFT(L357,4)</f>
        <v>7400</v>
      </c>
      <c r="N357" s="1309">
        <f t="shared" ref="N357:N420" ca="1" si="44">+I357-J357</f>
        <v>-6654.87</v>
      </c>
      <c r="O357" s="1296" t="str">
        <f t="shared" ref="O357:O420" si="45">+LEFT(M357,2)</f>
        <v>74</v>
      </c>
    </row>
    <row r="358" spans="1:15" s="1296" customFormat="1">
      <c r="A358" s="1310">
        <v>746</v>
      </c>
      <c r="B358" s="1311" t="s">
        <v>591</v>
      </c>
      <c r="C358" s="1312">
        <v>0</v>
      </c>
      <c r="D358" s="1313">
        <v>0</v>
      </c>
      <c r="E358" s="1314">
        <f>IF(+SUMIF(SYS_cliente!$F$5:$F$2500,A358,SYS_cliente!$I$5:$I$2500)+SUMIF(SYS_cliente!$K$5:$K$2500,A358,SYS_cliente!$N$5:$N$2500)+SUMIF(SYS_cliente!$P$5:$P$2500,A358,SYS_cliente!$S$5:$S$2500)&lt;0,0,+SUMIF(SYS_cliente!$F$5:$F$2500,A358,SYS_cliente!$I$5:$I$2500)+SUMIF(SYS_cliente!$K$5:$K$2500,A358,SYS_cliente!$N$5:$N$2500)+SUMIF(SYS_cliente!$P$5:$P$2500,A358,SYS_cliente!$S$5:$S$2500))</f>
        <v>0</v>
      </c>
      <c r="F358" s="1315">
        <f ca="1">IF(+SUMIF(SYS_cliente!$F$5:$F$2500,A358,SYS_cliente!$I$5:$I$1678)+SUMIF(SYS_cliente!$K$5:$K$2500,A358,SYS_cliente!$N$5:$N$1678)+SUMIF(SYS_cliente!$P$5:$P$2500,A358,SYS_cliente!$S$5:$S$1678)&gt;=0,0,-(SUMIF(SYS_cliente!$F$5:$F$2500,A358,SYS_cliente!$I$5:$I$1678)+SUMIF(SYS_cliente!$K$5:$K$2500,A358,SYS_cliente!$N$5:$N$1678)+SUMIF(SYS_cliente!$P$5:$P$2500,A358,SYS_cliente!$S$5:$S$1678)))</f>
        <v>0</v>
      </c>
      <c r="G358" s="1316">
        <f>+SUMIF(asientos!$C$13:$C$1276,SYS_4_3_Digitos!A358,asientos!$B$13:$B$1276)</f>
        <v>0</v>
      </c>
      <c r="H358" s="1317">
        <f>+SUMIF(asientos!$I$13:$I$1276,SYS_4_3_Digitos!A358,asientos!$J$13:$J$1276)</f>
        <v>0</v>
      </c>
      <c r="I358" s="1314">
        <f t="shared" ca="1" si="40"/>
        <v>0</v>
      </c>
      <c r="J358" s="1315">
        <f t="shared" ca="1" si="41"/>
        <v>0</v>
      </c>
      <c r="L358" s="1308">
        <f t="shared" si="42"/>
        <v>746000000</v>
      </c>
      <c r="M358" s="1296" t="str">
        <f t="shared" si="43"/>
        <v>7460</v>
      </c>
      <c r="N358" s="1309">
        <f t="shared" ca="1" si="44"/>
        <v>0</v>
      </c>
      <c r="O358" s="1296" t="str">
        <f t="shared" si="45"/>
        <v>74</v>
      </c>
    </row>
    <row r="359" spans="1:15" s="1296" customFormat="1">
      <c r="A359" s="1310">
        <v>747</v>
      </c>
      <c r="B359" s="1311" t="s">
        <v>592</v>
      </c>
      <c r="C359" s="1312">
        <v>0</v>
      </c>
      <c r="D359" s="1313">
        <v>5805.17</v>
      </c>
      <c r="E359" s="1314">
        <f>IF(+SUMIF(SYS_cliente!$F$5:$F$2500,A359,SYS_cliente!$I$5:$I$2500)+SUMIF(SYS_cliente!$K$5:$K$2500,A359,SYS_cliente!$N$5:$N$2500)+SUMIF(SYS_cliente!$P$5:$P$2500,A359,SYS_cliente!$S$5:$S$2500)&lt;0,0,+SUMIF(SYS_cliente!$F$5:$F$2500,A359,SYS_cliente!$I$5:$I$2500)+SUMIF(SYS_cliente!$K$5:$K$2500,A359,SYS_cliente!$N$5:$N$2500)+SUMIF(SYS_cliente!$P$5:$P$2500,A359,SYS_cliente!$S$5:$S$2500))</f>
        <v>0</v>
      </c>
      <c r="F359" s="1315">
        <f ca="1">IF(+SUMIF(SYS_cliente!$F$5:$F$2500,A359,SYS_cliente!$I$5:$I$1678)+SUMIF(SYS_cliente!$K$5:$K$2500,A359,SYS_cliente!$N$5:$N$1678)+SUMIF(SYS_cliente!$P$5:$P$2500,A359,SYS_cliente!$S$5:$S$1678)&gt;=0,0,-(SUMIF(SYS_cliente!$F$5:$F$2500,A359,SYS_cliente!$I$5:$I$1678)+SUMIF(SYS_cliente!$K$5:$K$2500,A359,SYS_cliente!$N$5:$N$1678)+SUMIF(SYS_cliente!$P$5:$P$2500,A359,SYS_cliente!$S$5:$S$1678)))</f>
        <v>0</v>
      </c>
      <c r="G359" s="1316">
        <f>+SUMIF(asientos!$C$13:$C$1276,SYS_4_3_Digitos!A359,asientos!$B$13:$B$1276)</f>
        <v>0</v>
      </c>
      <c r="H359" s="1317">
        <f>+SUMIF(asientos!$I$13:$I$1276,SYS_4_3_Digitos!A359,asientos!$J$13:$J$1276)</f>
        <v>8449.84</v>
      </c>
      <c r="I359" s="1314">
        <f t="shared" ca="1" si="40"/>
        <v>0</v>
      </c>
      <c r="J359" s="1315">
        <f t="shared" ca="1" si="41"/>
        <v>8449.84</v>
      </c>
      <c r="L359" s="1308">
        <f t="shared" si="42"/>
        <v>747000000</v>
      </c>
      <c r="M359" s="1296" t="str">
        <f t="shared" si="43"/>
        <v>7470</v>
      </c>
      <c r="N359" s="1309">
        <f t="shared" ca="1" si="44"/>
        <v>-8449.84</v>
      </c>
      <c r="O359" s="1296" t="str">
        <f t="shared" si="45"/>
        <v>74</v>
      </c>
    </row>
    <row r="360" spans="1:15" s="1296" customFormat="1">
      <c r="A360" s="1310">
        <v>751</v>
      </c>
      <c r="B360" s="1311" t="s">
        <v>543</v>
      </c>
      <c r="C360" s="1312">
        <v>0</v>
      </c>
      <c r="D360" s="1313">
        <v>0</v>
      </c>
      <c r="E360" s="1314">
        <f>IF(+SUMIF(SYS_cliente!$F$5:$F$2500,A360,SYS_cliente!$I$5:$I$2500)+SUMIF(SYS_cliente!$K$5:$K$2500,A360,SYS_cliente!$N$5:$N$2500)+SUMIF(SYS_cliente!$P$5:$P$2500,A360,SYS_cliente!$S$5:$S$2500)&lt;0,0,+SUMIF(SYS_cliente!$F$5:$F$2500,A360,SYS_cliente!$I$5:$I$2500)+SUMIF(SYS_cliente!$K$5:$K$2500,A360,SYS_cliente!$N$5:$N$2500)+SUMIF(SYS_cliente!$P$5:$P$2500,A360,SYS_cliente!$S$5:$S$2500))</f>
        <v>0</v>
      </c>
      <c r="F360" s="1315">
        <f ca="1">IF(+SUMIF(SYS_cliente!$F$5:$F$2500,A360,SYS_cliente!$I$5:$I$1678)+SUMIF(SYS_cliente!$K$5:$K$2500,A360,SYS_cliente!$N$5:$N$1678)+SUMIF(SYS_cliente!$P$5:$P$2500,A360,SYS_cliente!$S$5:$S$1678)&gt;=0,0,-(SUMIF(SYS_cliente!$F$5:$F$2500,A360,SYS_cliente!$I$5:$I$1678)+SUMIF(SYS_cliente!$K$5:$K$2500,A360,SYS_cliente!$N$5:$N$1678)+SUMIF(SYS_cliente!$P$5:$P$2500,A360,SYS_cliente!$S$5:$S$1678)))</f>
        <v>0</v>
      </c>
      <c r="G360" s="1316">
        <f>+SUMIF(asientos!$C$13:$C$1276,SYS_4_3_Digitos!A360,asientos!$B$13:$B$1276)</f>
        <v>0</v>
      </c>
      <c r="H360" s="1317">
        <f>+SUMIF(asientos!$I$13:$I$1276,SYS_4_3_Digitos!A360,asientos!$J$13:$J$1276)</f>
        <v>0</v>
      </c>
      <c r="I360" s="1314">
        <f t="shared" ca="1" si="40"/>
        <v>0</v>
      </c>
      <c r="J360" s="1315">
        <f t="shared" ca="1" si="41"/>
        <v>0</v>
      </c>
      <c r="L360" s="1308">
        <f t="shared" si="42"/>
        <v>751000000</v>
      </c>
      <c r="M360" s="1296" t="str">
        <f t="shared" si="43"/>
        <v>7510</v>
      </c>
      <c r="N360" s="1309">
        <f t="shared" ca="1" si="44"/>
        <v>0</v>
      </c>
      <c r="O360" s="1296" t="str">
        <f t="shared" si="45"/>
        <v>75</v>
      </c>
    </row>
    <row r="361" spans="1:15" s="1296" customFormat="1">
      <c r="A361" s="1310">
        <v>752</v>
      </c>
      <c r="B361" s="1311" t="s">
        <v>593</v>
      </c>
      <c r="C361" s="1312">
        <v>0</v>
      </c>
      <c r="D361" s="1313">
        <v>0</v>
      </c>
      <c r="E361" s="1314">
        <f>IF(+SUMIF(SYS_cliente!$F$5:$F$2500,A361,SYS_cliente!$I$5:$I$2500)+SUMIF(SYS_cliente!$K$5:$K$2500,A361,SYS_cliente!$N$5:$N$2500)+SUMIF(SYS_cliente!$P$5:$P$2500,A361,SYS_cliente!$S$5:$S$2500)&lt;0,0,+SUMIF(SYS_cliente!$F$5:$F$2500,A361,SYS_cliente!$I$5:$I$2500)+SUMIF(SYS_cliente!$K$5:$K$2500,A361,SYS_cliente!$N$5:$N$2500)+SUMIF(SYS_cliente!$P$5:$P$2500,A361,SYS_cliente!$S$5:$S$2500))</f>
        <v>0</v>
      </c>
      <c r="F361" s="1315">
        <f ca="1">IF(+SUMIF(SYS_cliente!$F$5:$F$2500,A361,SYS_cliente!$I$5:$I$1678)+SUMIF(SYS_cliente!$K$5:$K$2500,A361,SYS_cliente!$N$5:$N$1678)+SUMIF(SYS_cliente!$P$5:$P$2500,A361,SYS_cliente!$S$5:$S$1678)&gt;=0,0,-(SUMIF(SYS_cliente!$F$5:$F$2500,A361,SYS_cliente!$I$5:$I$1678)+SUMIF(SYS_cliente!$K$5:$K$2500,A361,SYS_cliente!$N$5:$N$1678)+SUMIF(SYS_cliente!$P$5:$P$2500,A361,SYS_cliente!$S$5:$S$1678)))</f>
        <v>0</v>
      </c>
      <c r="G361" s="1316">
        <f>+SUMIF(asientos!$C$13:$C$1276,SYS_4_3_Digitos!A361,asientos!$B$13:$B$1276)</f>
        <v>0</v>
      </c>
      <c r="H361" s="1317">
        <f>+SUMIF(asientos!$I$13:$I$1276,SYS_4_3_Digitos!A361,asientos!$J$13:$J$1276)</f>
        <v>0</v>
      </c>
      <c r="I361" s="1314">
        <f t="shared" ca="1" si="40"/>
        <v>0</v>
      </c>
      <c r="J361" s="1315">
        <f t="shared" ca="1" si="41"/>
        <v>0</v>
      </c>
      <c r="L361" s="1308">
        <f t="shared" si="42"/>
        <v>752000000</v>
      </c>
      <c r="M361" s="1296" t="str">
        <f t="shared" si="43"/>
        <v>7520</v>
      </c>
      <c r="N361" s="1309">
        <f t="shared" ca="1" si="44"/>
        <v>0</v>
      </c>
      <c r="O361" s="1296" t="str">
        <f t="shared" si="45"/>
        <v>75</v>
      </c>
    </row>
    <row r="362" spans="1:15" s="1296" customFormat="1">
      <c r="A362" s="1310">
        <v>753</v>
      </c>
      <c r="B362" s="1311" t="s">
        <v>1714</v>
      </c>
      <c r="C362" s="1312">
        <v>0</v>
      </c>
      <c r="D362" s="1313">
        <v>0</v>
      </c>
      <c r="E362" s="1314">
        <f>IF(+SUMIF(SYS_cliente!$F$5:$F$2500,A362,SYS_cliente!$I$5:$I$2500)+SUMIF(SYS_cliente!$K$5:$K$2500,A362,SYS_cliente!$N$5:$N$2500)+SUMIF(SYS_cliente!$P$5:$P$2500,A362,SYS_cliente!$S$5:$S$2500)&lt;0,0,+SUMIF(SYS_cliente!$F$5:$F$2500,A362,SYS_cliente!$I$5:$I$2500)+SUMIF(SYS_cliente!$K$5:$K$2500,A362,SYS_cliente!$N$5:$N$2500)+SUMIF(SYS_cliente!$P$5:$P$2500,A362,SYS_cliente!$S$5:$S$2500))</f>
        <v>0</v>
      </c>
      <c r="F362" s="1315">
        <f ca="1">IF(+SUMIF(SYS_cliente!$F$5:$F$2500,A362,SYS_cliente!$I$5:$I$1678)+SUMIF(SYS_cliente!$K$5:$K$2500,A362,SYS_cliente!$N$5:$N$1678)+SUMIF(SYS_cliente!$P$5:$P$2500,A362,SYS_cliente!$S$5:$S$1678)&gt;=0,0,-(SUMIF(SYS_cliente!$F$5:$F$2500,A362,SYS_cliente!$I$5:$I$1678)+SUMIF(SYS_cliente!$K$5:$K$2500,A362,SYS_cliente!$N$5:$N$1678)+SUMIF(SYS_cliente!$P$5:$P$2500,A362,SYS_cliente!$S$5:$S$1678)))</f>
        <v>0</v>
      </c>
      <c r="G362" s="1316">
        <f>+SUMIF(asientos!$C$13:$C$1276,SYS_4_3_Digitos!A362,asientos!$B$13:$B$1276)</f>
        <v>0</v>
      </c>
      <c r="H362" s="1317">
        <f>+SUMIF(asientos!$I$13:$I$1276,SYS_4_3_Digitos!A362,asientos!$J$13:$J$1276)</f>
        <v>0</v>
      </c>
      <c r="I362" s="1314">
        <f t="shared" ca="1" si="40"/>
        <v>0</v>
      </c>
      <c r="J362" s="1315">
        <f t="shared" ca="1" si="41"/>
        <v>0</v>
      </c>
      <c r="L362" s="1308">
        <f t="shared" si="42"/>
        <v>753000000</v>
      </c>
      <c r="M362" s="1296" t="str">
        <f t="shared" si="43"/>
        <v>7530</v>
      </c>
      <c r="N362" s="1309">
        <f t="shared" ca="1" si="44"/>
        <v>0</v>
      </c>
      <c r="O362" s="1296" t="str">
        <f t="shared" si="45"/>
        <v>75</v>
      </c>
    </row>
    <row r="363" spans="1:15" s="1296" customFormat="1">
      <c r="A363" s="1310">
        <v>754</v>
      </c>
      <c r="B363" s="1311" t="s">
        <v>594</v>
      </c>
      <c r="C363" s="1312">
        <v>0</v>
      </c>
      <c r="D363" s="1313">
        <v>0</v>
      </c>
      <c r="E363" s="1314">
        <f>IF(+SUMIF(SYS_cliente!$F$5:$F$2500,A363,SYS_cliente!$I$5:$I$2500)+SUMIF(SYS_cliente!$K$5:$K$2500,A363,SYS_cliente!$N$5:$N$2500)+SUMIF(SYS_cliente!$P$5:$P$2500,A363,SYS_cliente!$S$5:$S$2500)&lt;0,0,+SUMIF(SYS_cliente!$F$5:$F$2500,A363,SYS_cliente!$I$5:$I$2500)+SUMIF(SYS_cliente!$K$5:$K$2500,A363,SYS_cliente!$N$5:$N$2500)+SUMIF(SYS_cliente!$P$5:$P$2500,A363,SYS_cliente!$S$5:$S$2500))</f>
        <v>0</v>
      </c>
      <c r="F363" s="1315">
        <f ca="1">IF(+SUMIF(SYS_cliente!$F$5:$F$2500,A363,SYS_cliente!$I$5:$I$1678)+SUMIF(SYS_cliente!$K$5:$K$2500,A363,SYS_cliente!$N$5:$N$1678)+SUMIF(SYS_cliente!$P$5:$P$2500,A363,SYS_cliente!$S$5:$S$1678)&gt;=0,0,-(SUMIF(SYS_cliente!$F$5:$F$2500,A363,SYS_cliente!$I$5:$I$1678)+SUMIF(SYS_cliente!$K$5:$K$2500,A363,SYS_cliente!$N$5:$N$1678)+SUMIF(SYS_cliente!$P$5:$P$2500,A363,SYS_cliente!$S$5:$S$1678)))</f>
        <v>0</v>
      </c>
      <c r="G363" s="1316">
        <f>+SUMIF(asientos!$C$13:$C$1276,SYS_4_3_Digitos!A363,asientos!$B$13:$B$1276)</f>
        <v>0</v>
      </c>
      <c r="H363" s="1317">
        <f>+SUMIF(asientos!$I$13:$I$1276,SYS_4_3_Digitos!A363,asientos!$J$13:$J$1276)</f>
        <v>0</v>
      </c>
      <c r="I363" s="1314">
        <f t="shared" ca="1" si="40"/>
        <v>0</v>
      </c>
      <c r="J363" s="1315">
        <f t="shared" ca="1" si="41"/>
        <v>0</v>
      </c>
      <c r="L363" s="1308">
        <f t="shared" si="42"/>
        <v>754000000</v>
      </c>
      <c r="M363" s="1296" t="str">
        <f t="shared" si="43"/>
        <v>7540</v>
      </c>
      <c r="N363" s="1309">
        <f t="shared" ca="1" si="44"/>
        <v>0</v>
      </c>
      <c r="O363" s="1296" t="str">
        <f t="shared" si="45"/>
        <v>75</v>
      </c>
    </row>
    <row r="364" spans="1:15" s="1296" customFormat="1">
      <c r="A364" s="1310">
        <v>755</v>
      </c>
      <c r="B364" s="1311" t="s">
        <v>595</v>
      </c>
      <c r="C364" s="1312">
        <v>0</v>
      </c>
      <c r="D364" s="1313">
        <v>0</v>
      </c>
      <c r="E364" s="1314">
        <f>IF(+SUMIF(SYS_cliente!$F$5:$F$2500,A364,SYS_cliente!$I$5:$I$2500)+SUMIF(SYS_cliente!$K$5:$K$2500,A364,SYS_cliente!$N$5:$N$2500)+SUMIF(SYS_cliente!$P$5:$P$2500,A364,SYS_cliente!$S$5:$S$2500)&lt;0,0,+SUMIF(SYS_cliente!$F$5:$F$2500,A364,SYS_cliente!$I$5:$I$2500)+SUMIF(SYS_cliente!$K$5:$K$2500,A364,SYS_cliente!$N$5:$N$2500)+SUMIF(SYS_cliente!$P$5:$P$2500,A364,SYS_cliente!$S$5:$S$2500))</f>
        <v>0</v>
      </c>
      <c r="F364" s="1315">
        <f ca="1">IF(+SUMIF(SYS_cliente!$F$5:$F$2500,A364,SYS_cliente!$I$5:$I$1678)+SUMIF(SYS_cliente!$K$5:$K$2500,A364,SYS_cliente!$N$5:$N$1678)+SUMIF(SYS_cliente!$P$5:$P$2500,A364,SYS_cliente!$S$5:$S$1678)&gt;=0,0,-(SUMIF(SYS_cliente!$F$5:$F$2500,A364,SYS_cliente!$I$5:$I$1678)+SUMIF(SYS_cliente!$K$5:$K$2500,A364,SYS_cliente!$N$5:$N$1678)+SUMIF(SYS_cliente!$P$5:$P$2500,A364,SYS_cliente!$S$5:$S$1678)))</f>
        <v>0</v>
      </c>
      <c r="G364" s="1316">
        <f>+SUMIF(asientos!$C$13:$C$1276,SYS_4_3_Digitos!A364,asientos!$B$13:$B$1276)</f>
        <v>0</v>
      </c>
      <c r="H364" s="1317">
        <f>+SUMIF(asientos!$I$13:$I$1276,SYS_4_3_Digitos!A364,asientos!$J$13:$J$1276)</f>
        <v>0</v>
      </c>
      <c r="I364" s="1314">
        <f t="shared" ca="1" si="40"/>
        <v>0</v>
      </c>
      <c r="J364" s="1315">
        <f t="shared" ca="1" si="41"/>
        <v>0</v>
      </c>
      <c r="L364" s="1308">
        <f t="shared" si="42"/>
        <v>755000000</v>
      </c>
      <c r="M364" s="1296" t="str">
        <f t="shared" si="43"/>
        <v>7550</v>
      </c>
      <c r="N364" s="1309">
        <f t="shared" ca="1" si="44"/>
        <v>0</v>
      </c>
      <c r="O364" s="1296" t="str">
        <f t="shared" si="45"/>
        <v>75</v>
      </c>
    </row>
    <row r="365" spans="1:15" s="1296" customFormat="1">
      <c r="A365" s="1310">
        <v>759</v>
      </c>
      <c r="B365" s="1311" t="s">
        <v>596</v>
      </c>
      <c r="C365" s="1312">
        <v>0</v>
      </c>
      <c r="D365" s="1313">
        <v>2915.4</v>
      </c>
      <c r="E365" s="1314">
        <f>IF(+SUMIF(SYS_cliente!$F$5:$F$2500,A365,SYS_cliente!$I$5:$I$2500)+SUMIF(SYS_cliente!$K$5:$K$2500,A365,SYS_cliente!$N$5:$N$2500)+SUMIF(SYS_cliente!$P$5:$P$2500,A365,SYS_cliente!$S$5:$S$2500)&lt;0,0,+SUMIF(SYS_cliente!$F$5:$F$2500,A365,SYS_cliente!$I$5:$I$2500)+SUMIF(SYS_cliente!$K$5:$K$2500,A365,SYS_cliente!$N$5:$N$2500)+SUMIF(SYS_cliente!$P$5:$P$2500,A365,SYS_cliente!$S$5:$S$2500))</f>
        <v>0</v>
      </c>
      <c r="F365" s="1315">
        <f ca="1">IF(+SUMIF(SYS_cliente!$F$5:$F$2500,A365,SYS_cliente!$I$5:$I$1678)+SUMIF(SYS_cliente!$K$5:$K$2500,A365,SYS_cliente!$N$5:$N$1678)+SUMIF(SYS_cliente!$P$5:$P$2500,A365,SYS_cliente!$S$5:$S$1678)&gt;=0,0,-(SUMIF(SYS_cliente!$F$5:$F$2500,A365,SYS_cliente!$I$5:$I$1678)+SUMIF(SYS_cliente!$K$5:$K$2500,A365,SYS_cliente!$N$5:$N$1678)+SUMIF(SYS_cliente!$P$5:$P$2500,A365,SYS_cliente!$S$5:$S$1678)))</f>
        <v>5048.42</v>
      </c>
      <c r="G365" s="1316">
        <f>+SUMIF(asientos!$C$13:$C$1276,SYS_4_3_Digitos!A365,asientos!$B$13:$B$1276)</f>
        <v>0</v>
      </c>
      <c r="H365" s="1317">
        <f>+SUMIF(asientos!$I$13:$I$1276,SYS_4_3_Digitos!A365,asientos!$J$13:$J$1276)</f>
        <v>0</v>
      </c>
      <c r="I365" s="1314">
        <f t="shared" ca="1" si="40"/>
        <v>0</v>
      </c>
      <c r="J365" s="1315">
        <f t="shared" ca="1" si="41"/>
        <v>5048.42</v>
      </c>
      <c r="L365" s="1308">
        <f t="shared" si="42"/>
        <v>759000000</v>
      </c>
      <c r="M365" s="1296" t="str">
        <f t="shared" si="43"/>
        <v>7590</v>
      </c>
      <c r="N365" s="1309">
        <f t="shared" ca="1" si="44"/>
        <v>-5048.42</v>
      </c>
      <c r="O365" s="1296" t="str">
        <f t="shared" si="45"/>
        <v>75</v>
      </c>
    </row>
    <row r="366" spans="1:15" s="1296" customFormat="1">
      <c r="A366" s="1310">
        <v>760</v>
      </c>
      <c r="B366" s="1311" t="s">
        <v>597</v>
      </c>
      <c r="C366" s="1312">
        <v>0</v>
      </c>
      <c r="D366" s="1313">
        <v>5639886.1000000006</v>
      </c>
      <c r="E366" s="1314">
        <f>IF(+SUMIF(SYS_cliente!$F$5:$F$2500,A366,SYS_cliente!$I$5:$I$2500)+SUMIF(SYS_cliente!$K$5:$K$2500,A366,SYS_cliente!$N$5:$N$2500)+SUMIF(SYS_cliente!$P$5:$P$2500,A366,SYS_cliente!$S$5:$S$2500)&lt;0,0,+SUMIF(SYS_cliente!$F$5:$F$2500,A366,SYS_cliente!$I$5:$I$2500)+SUMIF(SYS_cliente!$K$5:$K$2500,A366,SYS_cliente!$N$5:$N$2500)+SUMIF(SYS_cliente!$P$5:$P$2500,A366,SYS_cliente!$S$5:$S$2500))</f>
        <v>0</v>
      </c>
      <c r="F366" s="1315">
        <f ca="1">IF(+SUMIF(SYS_cliente!$F$5:$F$2500,A366,SYS_cliente!$I$5:$I$1678)+SUMIF(SYS_cliente!$K$5:$K$2500,A366,SYS_cliente!$N$5:$N$1678)+SUMIF(SYS_cliente!$P$5:$P$2500,A366,SYS_cliente!$S$5:$S$1678)&gt;=0,0,-(SUMIF(SYS_cliente!$F$5:$F$2500,A366,SYS_cliente!$I$5:$I$1678)+SUMIF(SYS_cliente!$K$5:$K$2500,A366,SYS_cliente!$N$5:$N$1678)+SUMIF(SYS_cliente!$P$5:$P$2500,A366,SYS_cliente!$S$5:$S$1678)))</f>
        <v>6524020.6900000004</v>
      </c>
      <c r="G366" s="1316">
        <f>+SUMIF(asientos!$C$13:$C$1276,SYS_4_3_Digitos!A366,asientos!$B$13:$B$1276)</f>
        <v>0</v>
      </c>
      <c r="H366" s="1317">
        <f>+SUMIF(asientos!$I$13:$I$1276,SYS_4_3_Digitos!A366,asientos!$J$13:$J$1276)</f>
        <v>0</v>
      </c>
      <c r="I366" s="1314">
        <f t="shared" ca="1" si="40"/>
        <v>0</v>
      </c>
      <c r="J366" s="1315">
        <f ca="1">IF((F366+H366-E366-G366)&gt;0,F366+H366-E366-G366,0)</f>
        <v>6524020.6900000004</v>
      </c>
      <c r="L366" s="1308">
        <f t="shared" si="42"/>
        <v>760000000</v>
      </c>
      <c r="M366" s="1296" t="str">
        <f t="shared" si="43"/>
        <v>7600</v>
      </c>
      <c r="N366" s="1309">
        <f t="shared" ca="1" si="44"/>
        <v>-6524020.6900000004</v>
      </c>
      <c r="O366" s="1296" t="str">
        <f t="shared" si="45"/>
        <v>76</v>
      </c>
    </row>
    <row r="367" spans="1:15" s="1296" customFormat="1">
      <c r="A367" s="1310">
        <v>761</v>
      </c>
      <c r="B367" s="1311" t="s">
        <v>598</v>
      </c>
      <c r="C367" s="1312">
        <v>0</v>
      </c>
      <c r="D367" s="1313">
        <v>0</v>
      </c>
      <c r="E367" s="1314">
        <f>IF(+SUMIF(SYS_cliente!$F$5:$F$2500,A367,SYS_cliente!$I$5:$I$2500)+SUMIF(SYS_cliente!$K$5:$K$2500,A367,SYS_cliente!$N$5:$N$2500)+SUMIF(SYS_cliente!$P$5:$P$2500,A367,SYS_cliente!$S$5:$S$2500)&lt;0,0,+SUMIF(SYS_cliente!$F$5:$F$2500,A367,SYS_cliente!$I$5:$I$2500)+SUMIF(SYS_cliente!$K$5:$K$2500,A367,SYS_cliente!$N$5:$N$2500)+SUMIF(SYS_cliente!$P$5:$P$2500,A367,SYS_cliente!$S$5:$S$2500))</f>
        <v>0</v>
      </c>
      <c r="F367" s="1315">
        <f ca="1">IF(+SUMIF(SYS_cliente!$F$5:$F$2500,A367,SYS_cliente!$I$5:$I$1678)+SUMIF(SYS_cliente!$K$5:$K$2500,A367,SYS_cliente!$N$5:$N$1678)+SUMIF(SYS_cliente!$P$5:$P$2500,A367,SYS_cliente!$S$5:$S$1678)&gt;=0,0,-(SUMIF(SYS_cliente!$F$5:$F$2500,A367,SYS_cliente!$I$5:$I$1678)+SUMIF(SYS_cliente!$K$5:$K$2500,A367,SYS_cliente!$N$5:$N$1678)+SUMIF(SYS_cliente!$P$5:$P$2500,A367,SYS_cliente!$S$5:$S$1678)))</f>
        <v>0</v>
      </c>
      <c r="G367" s="1316">
        <f>+SUMIF(asientos!$C$13:$C$1276,SYS_4_3_Digitos!A367,asientos!$B$13:$B$1276)</f>
        <v>0</v>
      </c>
      <c r="H367" s="1317">
        <f>+SUMIF(asientos!$I$13:$I$1276,SYS_4_3_Digitos!A367,asientos!$J$13:$J$1276)</f>
        <v>0</v>
      </c>
      <c r="I367" s="1314">
        <f t="shared" ca="1" si="40"/>
        <v>0</v>
      </c>
      <c r="J367" s="1315">
        <f t="shared" ca="1" si="41"/>
        <v>0</v>
      </c>
      <c r="L367" s="1308">
        <f t="shared" si="42"/>
        <v>761000000</v>
      </c>
      <c r="M367" s="1296" t="str">
        <f t="shared" si="43"/>
        <v>7610</v>
      </c>
      <c r="N367" s="1309">
        <f t="shared" ca="1" si="44"/>
        <v>0</v>
      </c>
      <c r="O367" s="1296" t="str">
        <f t="shared" si="45"/>
        <v>76</v>
      </c>
    </row>
    <row r="368" spans="1:15" s="1296" customFormat="1">
      <c r="A368" s="1310">
        <v>762</v>
      </c>
      <c r="B368" s="1311" t="s">
        <v>599</v>
      </c>
      <c r="C368" s="1312">
        <v>0</v>
      </c>
      <c r="D368" s="1313">
        <v>0</v>
      </c>
      <c r="E368" s="1314">
        <f>IF(+SUMIF(SYS_cliente!$F$5:$F$2500,A368,SYS_cliente!$I$5:$I$2500)+SUMIF(SYS_cliente!$K$5:$K$2500,A368,SYS_cliente!$N$5:$N$2500)+SUMIF(SYS_cliente!$P$5:$P$2500,A368,SYS_cliente!$S$5:$S$2500)&lt;0,0,+SUMIF(SYS_cliente!$F$5:$F$2500,A368,SYS_cliente!$I$5:$I$2500)+SUMIF(SYS_cliente!$K$5:$K$2500,A368,SYS_cliente!$N$5:$N$2500)+SUMIF(SYS_cliente!$P$5:$P$2500,A368,SYS_cliente!$S$5:$S$2500))</f>
        <v>0</v>
      </c>
      <c r="F368" s="1315">
        <f ca="1">IF(+SUMIF(SYS_cliente!$F$5:$F$2500,A368,SYS_cliente!$I$5:$I$1678)+SUMIF(SYS_cliente!$K$5:$K$2500,A368,SYS_cliente!$N$5:$N$1678)+SUMIF(SYS_cliente!$P$5:$P$2500,A368,SYS_cliente!$S$5:$S$1678)&gt;=0,0,-(SUMIF(SYS_cliente!$F$5:$F$2500,A368,SYS_cliente!$I$5:$I$1678)+SUMIF(SYS_cliente!$K$5:$K$2500,A368,SYS_cliente!$N$5:$N$1678)+SUMIF(SYS_cliente!$P$5:$P$2500,A368,SYS_cliente!$S$5:$S$1678)))</f>
        <v>0</v>
      </c>
      <c r="G368" s="1316">
        <f>+SUMIF(asientos!$C$13:$C$1276,SYS_4_3_Digitos!A368,asientos!$B$13:$B$1276)</f>
        <v>0</v>
      </c>
      <c r="H368" s="1317">
        <f>+SUMIF(asientos!$I$13:$I$1276,SYS_4_3_Digitos!A368,asientos!$J$13:$J$1276)</f>
        <v>0</v>
      </c>
      <c r="I368" s="1314">
        <f t="shared" ca="1" si="40"/>
        <v>0</v>
      </c>
      <c r="J368" s="1315">
        <f t="shared" ca="1" si="41"/>
        <v>0</v>
      </c>
      <c r="L368" s="1308">
        <f t="shared" si="42"/>
        <v>762000000</v>
      </c>
      <c r="M368" s="1296" t="str">
        <f t="shared" si="43"/>
        <v>7620</v>
      </c>
      <c r="N368" s="1309">
        <f t="shared" ca="1" si="44"/>
        <v>0</v>
      </c>
      <c r="O368" s="1296" t="str">
        <f t="shared" si="45"/>
        <v>76</v>
      </c>
    </row>
    <row r="369" spans="1:15" s="1296" customFormat="1">
      <c r="A369" s="1310">
        <v>763</v>
      </c>
      <c r="B369" s="1311" t="s">
        <v>600</v>
      </c>
      <c r="C369" s="1312">
        <v>0</v>
      </c>
      <c r="D369" s="1313">
        <v>0</v>
      </c>
      <c r="E369" s="1314">
        <f>IF(+SUMIF(SYS_cliente!$F$5:$F$2500,A369,SYS_cliente!$I$5:$I$2500)+SUMIF(SYS_cliente!$K$5:$K$2500,A369,SYS_cliente!$N$5:$N$2500)+SUMIF(SYS_cliente!$P$5:$P$2500,A369,SYS_cliente!$S$5:$S$2500)&lt;0,0,+SUMIF(SYS_cliente!$F$5:$F$2500,A369,SYS_cliente!$I$5:$I$2500)+SUMIF(SYS_cliente!$K$5:$K$2500,A369,SYS_cliente!$N$5:$N$2500)+SUMIF(SYS_cliente!$P$5:$P$2500,A369,SYS_cliente!$S$5:$S$2500))</f>
        <v>0</v>
      </c>
      <c r="F369" s="1315">
        <f ca="1">IF(+SUMIF(SYS_cliente!$F$5:$F$2500,A369,SYS_cliente!$I$5:$I$1678)+SUMIF(SYS_cliente!$K$5:$K$2500,A369,SYS_cliente!$N$5:$N$1678)+SUMIF(SYS_cliente!$P$5:$P$2500,A369,SYS_cliente!$S$5:$S$1678)&gt;=0,0,-(SUMIF(SYS_cliente!$F$5:$F$2500,A369,SYS_cliente!$I$5:$I$1678)+SUMIF(SYS_cliente!$K$5:$K$2500,A369,SYS_cliente!$N$5:$N$1678)+SUMIF(SYS_cliente!$P$5:$P$2500,A369,SYS_cliente!$S$5:$S$1678)))</f>
        <v>3504561.87</v>
      </c>
      <c r="G369" s="1316">
        <f>+SUMIF(asientos!$C$13:$C$1276,SYS_4_3_Digitos!A369,asientos!$B$13:$B$1276)</f>
        <v>0</v>
      </c>
      <c r="H369" s="1317">
        <f>+SUMIF(asientos!$I$13:$I$1276,SYS_4_3_Digitos!A369,asientos!$J$13:$J$1276)</f>
        <v>0</v>
      </c>
      <c r="I369" s="1314">
        <f t="shared" ca="1" si="40"/>
        <v>0</v>
      </c>
      <c r="J369" s="1315">
        <f t="shared" ca="1" si="41"/>
        <v>3504561.87</v>
      </c>
      <c r="L369" s="1308">
        <f t="shared" si="42"/>
        <v>763000000</v>
      </c>
      <c r="M369" s="1296" t="str">
        <f t="shared" si="43"/>
        <v>7630</v>
      </c>
      <c r="N369" s="1309">
        <f t="shared" ca="1" si="44"/>
        <v>-3504561.87</v>
      </c>
      <c r="O369" s="1296" t="str">
        <f t="shared" si="45"/>
        <v>76</v>
      </c>
    </row>
    <row r="370" spans="1:15" s="1296" customFormat="1">
      <c r="A370" s="1310">
        <v>766</v>
      </c>
      <c r="B370" s="1311" t="s">
        <v>601</v>
      </c>
      <c r="C370" s="1312">
        <v>0</v>
      </c>
      <c r="D370" s="1313">
        <v>0</v>
      </c>
      <c r="E370" s="1314">
        <f>IF(+SUMIF(SYS_cliente!$F$5:$F$2500,A370,SYS_cliente!$I$5:$I$2500)+SUMIF(SYS_cliente!$K$5:$K$2500,A370,SYS_cliente!$N$5:$N$2500)+SUMIF(SYS_cliente!$P$5:$P$2500,A370,SYS_cliente!$S$5:$S$2500)&lt;0,0,+SUMIF(SYS_cliente!$F$5:$F$2500,A370,SYS_cliente!$I$5:$I$2500)+SUMIF(SYS_cliente!$K$5:$K$2500,A370,SYS_cliente!$N$5:$N$2500)+SUMIF(SYS_cliente!$P$5:$P$2500,A370,SYS_cliente!$S$5:$S$2500))</f>
        <v>0</v>
      </c>
      <c r="F370" s="1315">
        <f ca="1">IF(+SUMIF(SYS_cliente!$F$5:$F$2500,A370,SYS_cliente!$I$5:$I$1678)+SUMIF(SYS_cliente!$K$5:$K$2500,A370,SYS_cliente!$N$5:$N$1678)+SUMIF(SYS_cliente!$P$5:$P$2500,A370,SYS_cliente!$S$5:$S$1678)&gt;=0,0,-(SUMIF(SYS_cliente!$F$5:$F$2500,A370,SYS_cliente!$I$5:$I$1678)+SUMIF(SYS_cliente!$K$5:$K$2500,A370,SYS_cliente!$N$5:$N$1678)+SUMIF(SYS_cliente!$P$5:$P$2500,A370,SYS_cliente!$S$5:$S$1678)))</f>
        <v>639120.5</v>
      </c>
      <c r="G370" s="1316">
        <f>+SUMIF(asientos!$C$13:$C$1276,SYS_4_3_Digitos!A370,asientos!$B$13:$B$1276)</f>
        <v>0</v>
      </c>
      <c r="H370" s="1317">
        <f>+SUMIF(asientos!$I$13:$I$1276,SYS_4_3_Digitos!A370,asientos!$J$13:$J$1276)</f>
        <v>0</v>
      </c>
      <c r="I370" s="1314">
        <f t="shared" ca="1" si="40"/>
        <v>0</v>
      </c>
      <c r="J370" s="1315">
        <f t="shared" ca="1" si="41"/>
        <v>639120.5</v>
      </c>
      <c r="L370" s="1308">
        <f t="shared" si="42"/>
        <v>766000000</v>
      </c>
      <c r="M370" s="1296" t="str">
        <f t="shared" si="43"/>
        <v>7660</v>
      </c>
      <c r="N370" s="1309">
        <f t="shared" ca="1" si="44"/>
        <v>-639120.5</v>
      </c>
      <c r="O370" s="1296" t="str">
        <f t="shared" si="45"/>
        <v>76</v>
      </c>
    </row>
    <row r="371" spans="1:15" s="1296" customFormat="1">
      <c r="A371" s="1310">
        <v>767</v>
      </c>
      <c r="B371" s="1311" t="s">
        <v>602</v>
      </c>
      <c r="C371" s="1312">
        <v>0</v>
      </c>
      <c r="D371" s="1313">
        <v>0</v>
      </c>
      <c r="E371" s="1314">
        <f>IF(+SUMIF(SYS_cliente!$F$5:$F$2500,A371,SYS_cliente!$I$5:$I$2500)+SUMIF(SYS_cliente!$K$5:$K$2500,A371,SYS_cliente!$N$5:$N$2500)+SUMIF(SYS_cliente!$P$5:$P$2500,A371,SYS_cliente!$S$5:$S$2500)&lt;0,0,+SUMIF(SYS_cliente!$F$5:$F$2500,A371,SYS_cliente!$I$5:$I$2500)+SUMIF(SYS_cliente!$K$5:$K$2500,A371,SYS_cliente!$N$5:$N$2500)+SUMIF(SYS_cliente!$P$5:$P$2500,A371,SYS_cliente!$S$5:$S$2500))</f>
        <v>0</v>
      </c>
      <c r="F371" s="1315">
        <f ca="1">IF(+SUMIF(SYS_cliente!$F$5:$F$2500,A371,SYS_cliente!$I$5:$I$1678)+SUMIF(SYS_cliente!$K$5:$K$2500,A371,SYS_cliente!$N$5:$N$1678)+SUMIF(SYS_cliente!$P$5:$P$2500,A371,SYS_cliente!$S$5:$S$1678)&gt;=0,0,-(SUMIF(SYS_cliente!$F$5:$F$2500,A371,SYS_cliente!$I$5:$I$1678)+SUMIF(SYS_cliente!$K$5:$K$2500,A371,SYS_cliente!$N$5:$N$1678)+SUMIF(SYS_cliente!$P$5:$P$2500,A371,SYS_cliente!$S$5:$S$1678)))</f>
        <v>0</v>
      </c>
      <c r="G371" s="1316">
        <f>+SUMIF(asientos!$C$13:$C$1276,SYS_4_3_Digitos!A371,asientos!$B$13:$B$1276)</f>
        <v>0</v>
      </c>
      <c r="H371" s="1317">
        <f>+SUMIF(asientos!$I$13:$I$1276,SYS_4_3_Digitos!A371,asientos!$J$13:$J$1276)</f>
        <v>0</v>
      </c>
      <c r="I371" s="1314">
        <f t="shared" ca="1" si="40"/>
        <v>0</v>
      </c>
      <c r="J371" s="1315">
        <f t="shared" ca="1" si="41"/>
        <v>0</v>
      </c>
      <c r="L371" s="1308">
        <f t="shared" si="42"/>
        <v>767000000</v>
      </c>
      <c r="M371" s="1296" t="str">
        <f t="shared" si="43"/>
        <v>7670</v>
      </c>
      <c r="N371" s="1309">
        <f t="shared" ca="1" si="44"/>
        <v>0</v>
      </c>
      <c r="O371" s="1296" t="str">
        <f t="shared" si="45"/>
        <v>76</v>
      </c>
    </row>
    <row r="372" spans="1:15" s="1296" customFormat="1">
      <c r="A372" s="1310">
        <v>768</v>
      </c>
      <c r="B372" s="1311" t="s">
        <v>603</v>
      </c>
      <c r="C372" s="1312">
        <v>0</v>
      </c>
      <c r="D372" s="1313">
        <v>257835.75</v>
      </c>
      <c r="E372" s="1314">
        <f>IF(+SUMIF(SYS_cliente!$F$5:$F$2500,A372,SYS_cliente!$I$5:$I$2500)+SUMIF(SYS_cliente!$K$5:$K$2500,A372,SYS_cliente!$N$5:$N$2500)+SUMIF(SYS_cliente!$P$5:$P$2500,A372,SYS_cliente!$S$5:$S$2500)&lt;0,0,+SUMIF(SYS_cliente!$F$5:$F$2500,A372,SYS_cliente!$I$5:$I$2500)+SUMIF(SYS_cliente!$K$5:$K$2500,A372,SYS_cliente!$N$5:$N$2500)+SUMIF(SYS_cliente!$P$5:$P$2500,A372,SYS_cliente!$S$5:$S$2500))</f>
        <v>0</v>
      </c>
      <c r="F372" s="1315">
        <f ca="1">IF(+SUMIF(SYS_cliente!$F$5:$F$2500,A372,SYS_cliente!$I$5:$I$1678)+SUMIF(SYS_cliente!$K$5:$K$2500,A372,SYS_cliente!$N$5:$N$1678)+SUMIF(SYS_cliente!$P$5:$P$2500,A372,SYS_cliente!$S$5:$S$1678)&gt;=0,0,-(SUMIF(SYS_cliente!$F$5:$F$2500,A372,SYS_cliente!$I$5:$I$1678)+SUMIF(SYS_cliente!$K$5:$K$2500,A372,SYS_cliente!$N$5:$N$1678)+SUMIF(SYS_cliente!$P$5:$P$2500,A372,SYS_cliente!$S$5:$S$1678)))</f>
        <v>160702.71000000002</v>
      </c>
      <c r="G372" s="1316">
        <f>+SUMIF(asientos!$C$13:$C$1276,SYS_4_3_Digitos!A372,asientos!$B$13:$B$1276)</f>
        <v>0</v>
      </c>
      <c r="H372" s="1317">
        <f>+SUMIF(asientos!$I$13:$I$1276,SYS_4_3_Digitos!A372,asientos!$J$13:$J$1276)</f>
        <v>0</v>
      </c>
      <c r="I372" s="1314">
        <f t="shared" ca="1" si="40"/>
        <v>0</v>
      </c>
      <c r="J372" s="1315">
        <f t="shared" ca="1" si="41"/>
        <v>160702.71000000002</v>
      </c>
      <c r="L372" s="1308">
        <f t="shared" si="42"/>
        <v>768000000</v>
      </c>
      <c r="M372" s="1296" t="str">
        <f t="shared" si="43"/>
        <v>7680</v>
      </c>
      <c r="N372" s="1309">
        <f t="shared" ca="1" si="44"/>
        <v>-160702.71000000002</v>
      </c>
      <c r="O372" s="1296" t="str">
        <f t="shared" si="45"/>
        <v>76</v>
      </c>
    </row>
    <row r="373" spans="1:15" s="1296" customFormat="1">
      <c r="A373" s="1310">
        <v>769</v>
      </c>
      <c r="B373" s="1311" t="s">
        <v>604</v>
      </c>
      <c r="C373" s="1312">
        <v>0</v>
      </c>
      <c r="D373" s="1313">
        <v>1036067.9500000001</v>
      </c>
      <c r="E373" s="1314">
        <f>IF(+SUMIF(SYS_cliente!$F$5:$F$2500,A373,SYS_cliente!$I$5:$I$2500)+SUMIF(SYS_cliente!$K$5:$K$2500,A373,SYS_cliente!$N$5:$N$2500)+SUMIF(SYS_cliente!$P$5:$P$2500,A373,SYS_cliente!$S$5:$S$2500)&lt;0,0,+SUMIF(SYS_cliente!$F$5:$F$2500,A373,SYS_cliente!$I$5:$I$2500)+SUMIF(SYS_cliente!$K$5:$K$2500,A373,SYS_cliente!$N$5:$N$2500)+SUMIF(SYS_cliente!$P$5:$P$2500,A373,SYS_cliente!$S$5:$S$2500))</f>
        <v>0</v>
      </c>
      <c r="F373" s="1315">
        <f ca="1">IF(+SUMIF(SYS_cliente!$F$5:$F$2500,A373,SYS_cliente!$I$5:$I$1678)+SUMIF(SYS_cliente!$K$5:$K$2500,A373,SYS_cliente!$N$5:$N$1678)+SUMIF(SYS_cliente!$P$5:$P$2500,A373,SYS_cliente!$S$5:$S$1678)&gt;=0,0,-(SUMIF(SYS_cliente!$F$5:$F$2500,A373,SYS_cliente!$I$5:$I$1678)+SUMIF(SYS_cliente!$K$5:$K$2500,A373,SYS_cliente!$N$5:$N$1678)+SUMIF(SYS_cliente!$P$5:$P$2500,A373,SYS_cliente!$S$5:$S$1678)))</f>
        <v>2309646.29</v>
      </c>
      <c r="G373" s="1316">
        <f>+SUMIF(asientos!$C$13:$C$1276,SYS_4_3_Digitos!A373,asientos!$B$13:$B$1276)</f>
        <v>0</v>
      </c>
      <c r="H373" s="1317">
        <f>+SUMIF(asientos!$I$13:$I$1276,SYS_4_3_Digitos!A373,asientos!$J$13:$J$1276)</f>
        <v>0</v>
      </c>
      <c r="I373" s="1314">
        <f t="shared" ca="1" si="40"/>
        <v>0</v>
      </c>
      <c r="J373" s="1315">
        <f t="shared" ca="1" si="41"/>
        <v>2309646.29</v>
      </c>
      <c r="L373" s="1308">
        <f t="shared" si="42"/>
        <v>769000000</v>
      </c>
      <c r="M373" s="1296" t="str">
        <f t="shared" si="43"/>
        <v>7690</v>
      </c>
      <c r="N373" s="1309">
        <f t="shared" ca="1" si="44"/>
        <v>-2309646.29</v>
      </c>
      <c r="O373" s="1296" t="str">
        <f t="shared" si="45"/>
        <v>76</v>
      </c>
    </row>
    <row r="374" spans="1:15" s="1296" customFormat="1">
      <c r="A374" s="1310">
        <v>770</v>
      </c>
      <c r="B374" s="1311" t="s">
        <v>605</v>
      </c>
      <c r="C374" s="1312">
        <v>0</v>
      </c>
      <c r="D374" s="1313">
        <v>0</v>
      </c>
      <c r="E374" s="1314">
        <f>IF(+SUMIF(SYS_cliente!$F$5:$F$2500,A374,SYS_cliente!$I$5:$I$2500)+SUMIF(SYS_cliente!$K$5:$K$2500,A374,SYS_cliente!$N$5:$N$2500)+SUMIF(SYS_cliente!$P$5:$P$2500,A374,SYS_cliente!$S$5:$S$2500)&lt;0,0,+SUMIF(SYS_cliente!$F$5:$F$2500,A374,SYS_cliente!$I$5:$I$2500)+SUMIF(SYS_cliente!$K$5:$K$2500,A374,SYS_cliente!$N$5:$N$2500)+SUMIF(SYS_cliente!$P$5:$P$2500,A374,SYS_cliente!$S$5:$S$2500))</f>
        <v>0</v>
      </c>
      <c r="F374" s="1315">
        <f ca="1">IF(+SUMIF(SYS_cliente!$F$5:$F$2500,A374,SYS_cliente!$I$5:$I$1678)+SUMIF(SYS_cliente!$K$5:$K$2500,A374,SYS_cliente!$N$5:$N$1678)+SUMIF(SYS_cliente!$P$5:$P$2500,A374,SYS_cliente!$S$5:$S$1678)&gt;=0,0,-(SUMIF(SYS_cliente!$F$5:$F$2500,A374,SYS_cliente!$I$5:$I$1678)+SUMIF(SYS_cliente!$K$5:$K$2500,A374,SYS_cliente!$N$5:$N$1678)+SUMIF(SYS_cliente!$P$5:$P$2500,A374,SYS_cliente!$S$5:$S$1678)))</f>
        <v>0</v>
      </c>
      <c r="G374" s="1316">
        <f>+SUMIF(asientos!$C$13:$C$1276,SYS_4_3_Digitos!A374,asientos!$B$13:$B$1276)</f>
        <v>0</v>
      </c>
      <c r="H374" s="1317">
        <f>+SUMIF(asientos!$I$13:$I$1276,SYS_4_3_Digitos!A374,asientos!$J$13:$J$1276)</f>
        <v>0</v>
      </c>
      <c r="I374" s="1314">
        <f t="shared" ca="1" si="40"/>
        <v>0</v>
      </c>
      <c r="J374" s="1315">
        <f t="shared" ca="1" si="41"/>
        <v>0</v>
      </c>
      <c r="L374" s="1308">
        <f t="shared" si="42"/>
        <v>770000000</v>
      </c>
      <c r="M374" s="1296" t="str">
        <f t="shared" si="43"/>
        <v>7700</v>
      </c>
      <c r="N374" s="1309">
        <f t="shared" ca="1" si="44"/>
        <v>0</v>
      </c>
      <c r="O374" s="1296" t="str">
        <f t="shared" si="45"/>
        <v>77</v>
      </c>
    </row>
    <row r="375" spans="1:15" s="1296" customFormat="1">
      <c r="A375" s="1310">
        <v>771</v>
      </c>
      <c r="B375" s="1311" t="s">
        <v>606</v>
      </c>
      <c r="C375" s="1312">
        <v>0</v>
      </c>
      <c r="D375" s="1313">
        <v>0</v>
      </c>
      <c r="E375" s="1314">
        <f>IF(+SUMIF(SYS_cliente!$F$5:$F$2500,A375,SYS_cliente!$I$5:$I$2500)+SUMIF(SYS_cliente!$K$5:$K$2500,A375,SYS_cliente!$N$5:$N$2500)+SUMIF(SYS_cliente!$P$5:$P$2500,A375,SYS_cliente!$S$5:$S$2500)&lt;0,0,+SUMIF(SYS_cliente!$F$5:$F$2500,A375,SYS_cliente!$I$5:$I$2500)+SUMIF(SYS_cliente!$K$5:$K$2500,A375,SYS_cliente!$N$5:$N$2500)+SUMIF(SYS_cliente!$P$5:$P$2500,A375,SYS_cliente!$S$5:$S$2500))</f>
        <v>0</v>
      </c>
      <c r="F375" s="1315">
        <f ca="1">IF(+SUMIF(SYS_cliente!$F$5:$F$2500,A375,SYS_cliente!$I$5:$I$1678)+SUMIF(SYS_cliente!$K$5:$K$2500,A375,SYS_cliente!$N$5:$N$1678)+SUMIF(SYS_cliente!$P$5:$P$2500,A375,SYS_cliente!$S$5:$S$1678)&gt;=0,0,-(SUMIF(SYS_cliente!$F$5:$F$2500,A375,SYS_cliente!$I$5:$I$1678)+SUMIF(SYS_cliente!$K$5:$K$2500,A375,SYS_cliente!$N$5:$N$1678)+SUMIF(SYS_cliente!$P$5:$P$2500,A375,SYS_cliente!$S$5:$S$1678)))</f>
        <v>4500</v>
      </c>
      <c r="G375" s="1316">
        <f>+SUMIF(asientos!$C$13:$C$1276,SYS_4_3_Digitos!A375,asientos!$B$13:$B$1276)</f>
        <v>0</v>
      </c>
      <c r="H375" s="1317">
        <f>+SUMIF(asientos!$I$13:$I$1276,SYS_4_3_Digitos!A375,asientos!$J$13:$J$1276)</f>
        <v>0</v>
      </c>
      <c r="I375" s="1314">
        <f t="shared" ca="1" si="40"/>
        <v>0</v>
      </c>
      <c r="J375" s="1315">
        <f t="shared" ca="1" si="41"/>
        <v>4500</v>
      </c>
      <c r="L375" s="1308">
        <f t="shared" si="42"/>
        <v>771000000</v>
      </c>
      <c r="M375" s="1296" t="str">
        <f t="shared" si="43"/>
        <v>7710</v>
      </c>
      <c r="N375" s="1309">
        <f t="shared" ca="1" si="44"/>
        <v>-4500</v>
      </c>
      <c r="O375" s="1296" t="str">
        <f t="shared" si="45"/>
        <v>77</v>
      </c>
    </row>
    <row r="376" spans="1:15" s="1296" customFormat="1">
      <c r="A376" s="1310">
        <v>772</v>
      </c>
      <c r="B376" s="1311" t="s">
        <v>607</v>
      </c>
      <c r="C376" s="1312">
        <v>0</v>
      </c>
      <c r="D376" s="1313">
        <v>0</v>
      </c>
      <c r="E376" s="1314">
        <f>IF(+SUMIF(SYS_cliente!$F$5:$F$2500,A376,SYS_cliente!$I$5:$I$2500)+SUMIF(SYS_cliente!$K$5:$K$2500,A376,SYS_cliente!$N$5:$N$2500)+SUMIF(SYS_cliente!$P$5:$P$2500,A376,SYS_cliente!$S$5:$S$2500)&lt;0,0,+SUMIF(SYS_cliente!$F$5:$F$2500,A376,SYS_cliente!$I$5:$I$2500)+SUMIF(SYS_cliente!$K$5:$K$2500,A376,SYS_cliente!$N$5:$N$2500)+SUMIF(SYS_cliente!$P$5:$P$2500,A376,SYS_cliente!$S$5:$S$2500))</f>
        <v>0</v>
      </c>
      <c r="F376" s="1315">
        <f ca="1">IF(+SUMIF(SYS_cliente!$F$5:$F$2500,A376,SYS_cliente!$I$5:$I$1678)+SUMIF(SYS_cliente!$K$5:$K$2500,A376,SYS_cliente!$N$5:$N$1678)+SUMIF(SYS_cliente!$P$5:$P$2500,A376,SYS_cliente!$S$5:$S$1678)&gt;=0,0,-(SUMIF(SYS_cliente!$F$5:$F$2500,A376,SYS_cliente!$I$5:$I$1678)+SUMIF(SYS_cliente!$K$5:$K$2500,A376,SYS_cliente!$N$5:$N$1678)+SUMIF(SYS_cliente!$P$5:$P$2500,A376,SYS_cliente!$S$5:$S$1678)))</f>
        <v>0</v>
      </c>
      <c r="G376" s="1316">
        <f>+SUMIF(asientos!$C$13:$C$1276,SYS_4_3_Digitos!A376,asientos!$B$13:$B$1276)</f>
        <v>0</v>
      </c>
      <c r="H376" s="1317">
        <f>+SUMIF(asientos!$I$13:$I$1276,SYS_4_3_Digitos!A376,asientos!$J$13:$J$1276)</f>
        <v>0</v>
      </c>
      <c r="I376" s="1314">
        <f t="shared" ca="1" si="40"/>
        <v>0</v>
      </c>
      <c r="J376" s="1315">
        <f t="shared" ca="1" si="41"/>
        <v>0</v>
      </c>
      <c r="L376" s="1308">
        <f t="shared" si="42"/>
        <v>772000000</v>
      </c>
      <c r="M376" s="1296" t="str">
        <f t="shared" si="43"/>
        <v>7720</v>
      </c>
      <c r="N376" s="1309">
        <f t="shared" ca="1" si="44"/>
        <v>0</v>
      </c>
      <c r="O376" s="1296" t="str">
        <f t="shared" si="45"/>
        <v>77</v>
      </c>
    </row>
    <row r="377" spans="1:15" s="1296" customFormat="1">
      <c r="A377" s="1310">
        <v>773</v>
      </c>
      <c r="B377" s="1311" t="s">
        <v>608</v>
      </c>
      <c r="C377" s="1312">
        <v>0</v>
      </c>
      <c r="D377" s="1313">
        <v>0</v>
      </c>
      <c r="E377" s="1314">
        <f>IF(+SUMIF(SYS_cliente!$F$5:$F$2500,A377,SYS_cliente!$I$5:$I$2500)+SUMIF(SYS_cliente!$K$5:$K$2500,A377,SYS_cliente!$N$5:$N$2500)+SUMIF(SYS_cliente!$P$5:$P$2500,A377,SYS_cliente!$S$5:$S$2500)&lt;0,0,+SUMIF(SYS_cliente!$F$5:$F$2500,A377,SYS_cliente!$I$5:$I$2500)+SUMIF(SYS_cliente!$K$5:$K$2500,A377,SYS_cliente!$N$5:$N$2500)+SUMIF(SYS_cliente!$P$5:$P$2500,A377,SYS_cliente!$S$5:$S$2500))</f>
        <v>0</v>
      </c>
      <c r="F377" s="1315">
        <f ca="1">IF(+SUMIF(SYS_cliente!$F$5:$F$2500,A377,SYS_cliente!$I$5:$I$1678)+SUMIF(SYS_cliente!$K$5:$K$2500,A377,SYS_cliente!$N$5:$N$1678)+SUMIF(SYS_cliente!$P$5:$P$2500,A377,SYS_cliente!$S$5:$S$1678)&gt;=0,0,-(SUMIF(SYS_cliente!$F$5:$F$2500,A377,SYS_cliente!$I$5:$I$1678)+SUMIF(SYS_cliente!$K$5:$K$2500,A377,SYS_cliente!$N$5:$N$1678)+SUMIF(SYS_cliente!$P$5:$P$2500,A377,SYS_cliente!$S$5:$S$1678)))</f>
        <v>0</v>
      </c>
      <c r="G377" s="1316">
        <f>+SUMIF(asientos!$C$13:$C$1276,SYS_4_3_Digitos!A377,asientos!$B$13:$B$1276)</f>
        <v>0</v>
      </c>
      <c r="H377" s="1317">
        <f>+SUMIF(asientos!$I$13:$I$1276,SYS_4_3_Digitos!A377,asientos!$J$13:$J$1276)</f>
        <v>0</v>
      </c>
      <c r="I377" s="1314">
        <f t="shared" ca="1" si="40"/>
        <v>0</v>
      </c>
      <c r="J377" s="1315">
        <f t="shared" ca="1" si="41"/>
        <v>0</v>
      </c>
      <c r="L377" s="1308">
        <f t="shared" si="42"/>
        <v>773000000</v>
      </c>
      <c r="M377" s="1296" t="str">
        <f t="shared" si="43"/>
        <v>7730</v>
      </c>
      <c r="N377" s="1309">
        <f t="shared" ca="1" si="44"/>
        <v>0</v>
      </c>
      <c r="O377" s="1296" t="str">
        <f t="shared" si="45"/>
        <v>77</v>
      </c>
    </row>
    <row r="378" spans="1:15" s="1296" customFormat="1">
      <c r="A378" s="1310">
        <v>774</v>
      </c>
      <c r="B378" s="1311" t="s">
        <v>609</v>
      </c>
      <c r="C378" s="1312">
        <v>0</v>
      </c>
      <c r="D378" s="1313">
        <v>0</v>
      </c>
      <c r="E378" s="1314">
        <f>IF(+SUMIF(SYS_cliente!$F$5:$F$2500,A378,SYS_cliente!$I$5:$I$2500)+SUMIF(SYS_cliente!$K$5:$K$2500,A378,SYS_cliente!$N$5:$N$2500)+SUMIF(SYS_cliente!$P$5:$P$2500,A378,SYS_cliente!$S$5:$S$2500)&lt;0,0,+SUMIF(SYS_cliente!$F$5:$F$2500,A378,SYS_cliente!$I$5:$I$2500)+SUMIF(SYS_cliente!$K$5:$K$2500,A378,SYS_cliente!$N$5:$N$2500)+SUMIF(SYS_cliente!$P$5:$P$2500,A378,SYS_cliente!$S$5:$S$2500))</f>
        <v>0</v>
      </c>
      <c r="F378" s="1315">
        <f ca="1">IF(+SUMIF(SYS_cliente!$F$5:$F$2500,A378,SYS_cliente!$I$5:$I$1678)+SUMIF(SYS_cliente!$K$5:$K$2500,A378,SYS_cliente!$N$5:$N$1678)+SUMIF(SYS_cliente!$P$5:$P$2500,A378,SYS_cliente!$S$5:$S$1678)&gt;=0,0,-(SUMIF(SYS_cliente!$F$5:$F$2500,A378,SYS_cliente!$I$5:$I$1678)+SUMIF(SYS_cliente!$K$5:$K$2500,A378,SYS_cliente!$N$5:$N$1678)+SUMIF(SYS_cliente!$P$5:$P$2500,A378,SYS_cliente!$S$5:$S$1678)))</f>
        <v>0</v>
      </c>
      <c r="G378" s="1316">
        <f>+SUMIF(asientos!$C$13:$C$1276,SYS_4_3_Digitos!A378,asientos!$B$13:$B$1276)</f>
        <v>0</v>
      </c>
      <c r="H378" s="1317">
        <f>+SUMIF(asientos!$I$13:$I$1276,SYS_4_3_Digitos!A378,asientos!$J$13:$J$1276)</f>
        <v>0</v>
      </c>
      <c r="I378" s="1314">
        <f t="shared" ca="1" si="40"/>
        <v>0</v>
      </c>
      <c r="J378" s="1315">
        <f t="shared" ca="1" si="41"/>
        <v>0</v>
      </c>
      <c r="L378" s="1308">
        <f t="shared" si="42"/>
        <v>774000000</v>
      </c>
      <c r="M378" s="1296" t="str">
        <f t="shared" si="43"/>
        <v>7740</v>
      </c>
      <c r="N378" s="1309">
        <f t="shared" ca="1" si="44"/>
        <v>0</v>
      </c>
      <c r="O378" s="1296" t="str">
        <f t="shared" si="45"/>
        <v>77</v>
      </c>
    </row>
    <row r="379" spans="1:15" s="1296" customFormat="1">
      <c r="A379" s="1310">
        <v>775</v>
      </c>
      <c r="B379" s="1311" t="s">
        <v>610</v>
      </c>
      <c r="C379" s="1312">
        <v>0</v>
      </c>
      <c r="D379" s="1313">
        <v>0</v>
      </c>
      <c r="E379" s="1314">
        <f>IF(+SUMIF(SYS_cliente!$F$5:$F$2500,A379,SYS_cliente!$I$5:$I$2500)+SUMIF(SYS_cliente!$K$5:$K$2500,A379,SYS_cliente!$N$5:$N$2500)+SUMIF(SYS_cliente!$P$5:$P$2500,A379,SYS_cliente!$S$5:$S$2500)&lt;0,0,+SUMIF(SYS_cliente!$F$5:$F$2500,A379,SYS_cliente!$I$5:$I$2500)+SUMIF(SYS_cliente!$K$5:$K$2500,A379,SYS_cliente!$N$5:$N$2500)+SUMIF(SYS_cliente!$P$5:$P$2500,A379,SYS_cliente!$S$5:$S$2500))</f>
        <v>0</v>
      </c>
      <c r="F379" s="1315">
        <f ca="1">IF(+SUMIF(SYS_cliente!$F$5:$F$2500,A379,SYS_cliente!$I$5:$I$1678)+SUMIF(SYS_cliente!$K$5:$K$2500,A379,SYS_cliente!$N$5:$N$1678)+SUMIF(SYS_cliente!$P$5:$P$2500,A379,SYS_cliente!$S$5:$S$1678)&gt;=0,0,-(SUMIF(SYS_cliente!$F$5:$F$2500,A379,SYS_cliente!$I$5:$I$1678)+SUMIF(SYS_cliente!$K$5:$K$2500,A379,SYS_cliente!$N$5:$N$1678)+SUMIF(SYS_cliente!$P$5:$P$2500,A379,SYS_cliente!$S$5:$S$1678)))</f>
        <v>0</v>
      </c>
      <c r="G379" s="1316">
        <f>+SUMIF(asientos!$C$13:$C$1276,SYS_4_3_Digitos!A379,asientos!$B$13:$B$1276)</f>
        <v>0</v>
      </c>
      <c r="H379" s="1317">
        <f>+SUMIF(asientos!$I$13:$I$1276,SYS_4_3_Digitos!A379,asientos!$J$13:$J$1276)</f>
        <v>0</v>
      </c>
      <c r="I379" s="1314">
        <f t="shared" ca="1" si="40"/>
        <v>0</v>
      </c>
      <c r="J379" s="1315">
        <f t="shared" ca="1" si="41"/>
        <v>0</v>
      </c>
      <c r="L379" s="1308">
        <f t="shared" si="42"/>
        <v>775000000</v>
      </c>
      <c r="M379" s="1296" t="str">
        <f t="shared" si="43"/>
        <v>7750</v>
      </c>
      <c r="N379" s="1309">
        <f t="shared" ca="1" si="44"/>
        <v>0</v>
      </c>
      <c r="O379" s="1296" t="str">
        <f t="shared" si="45"/>
        <v>77</v>
      </c>
    </row>
    <row r="380" spans="1:15" s="1296" customFormat="1">
      <c r="A380" s="1310">
        <v>778</v>
      </c>
      <c r="B380" s="1311" t="s">
        <v>611</v>
      </c>
      <c r="C380" s="1312">
        <v>0</v>
      </c>
      <c r="D380" s="1313">
        <v>2588.71</v>
      </c>
      <c r="E380" s="1314">
        <f>IF(+SUMIF(SYS_cliente!$F$5:$F$2500,A380,SYS_cliente!$I$5:$I$2500)+SUMIF(SYS_cliente!$K$5:$K$2500,A380,SYS_cliente!$N$5:$N$2500)+SUMIF(SYS_cliente!$P$5:$P$2500,A380,SYS_cliente!$S$5:$S$2500)&lt;0,0,+SUMIF(SYS_cliente!$F$5:$F$2500,A380,SYS_cliente!$I$5:$I$2500)+SUMIF(SYS_cliente!$K$5:$K$2500,A380,SYS_cliente!$N$5:$N$2500)+SUMIF(SYS_cliente!$P$5:$P$2500,A380,SYS_cliente!$S$5:$S$2500))</f>
        <v>0</v>
      </c>
      <c r="F380" s="1315">
        <f ca="1">IF(+SUMIF(SYS_cliente!$F$5:$F$2500,A380,SYS_cliente!$I$5:$I$1678)+SUMIF(SYS_cliente!$K$5:$K$2500,A380,SYS_cliente!$N$5:$N$1678)+SUMIF(SYS_cliente!$P$5:$P$2500,A380,SYS_cliente!$S$5:$S$1678)&gt;=0,0,-(SUMIF(SYS_cliente!$F$5:$F$2500,A380,SYS_cliente!$I$5:$I$1678)+SUMIF(SYS_cliente!$K$5:$K$2500,A380,SYS_cliente!$N$5:$N$1678)+SUMIF(SYS_cliente!$P$5:$P$2500,A380,SYS_cliente!$S$5:$S$1678)))</f>
        <v>268.60000000000002</v>
      </c>
      <c r="G380" s="1316">
        <f>+SUMIF(asientos!$C$13:$C$1276,SYS_4_3_Digitos!A380,asientos!$B$13:$B$1276)</f>
        <v>0</v>
      </c>
      <c r="H380" s="1317">
        <f>+SUMIF(asientos!$I$13:$I$1276,SYS_4_3_Digitos!A380,asientos!$J$13:$J$1276)</f>
        <v>0</v>
      </c>
      <c r="I380" s="1314">
        <f t="shared" ca="1" si="40"/>
        <v>0</v>
      </c>
      <c r="J380" s="1315">
        <f t="shared" ca="1" si="41"/>
        <v>268.60000000000002</v>
      </c>
      <c r="L380" s="1308">
        <f t="shared" si="42"/>
        <v>778000000</v>
      </c>
      <c r="M380" s="1296" t="str">
        <f t="shared" si="43"/>
        <v>7780</v>
      </c>
      <c r="N380" s="1309">
        <f t="shared" ca="1" si="44"/>
        <v>-268.60000000000002</v>
      </c>
      <c r="O380" s="1296" t="str">
        <f t="shared" si="45"/>
        <v>77</v>
      </c>
    </row>
    <row r="381" spans="1:15" s="1296" customFormat="1">
      <c r="A381" s="1310">
        <v>790</v>
      </c>
      <c r="B381" s="1311" t="s">
        <v>612</v>
      </c>
      <c r="C381" s="1312">
        <v>0</v>
      </c>
      <c r="D381" s="1313">
        <v>0</v>
      </c>
      <c r="E381" s="1314">
        <f>IF(+SUMIF(SYS_cliente!$F$5:$F$2500,A381,SYS_cliente!$I$5:$I$2500)+SUMIF(SYS_cliente!$K$5:$K$2500,A381,SYS_cliente!$N$5:$N$2500)+SUMIF(SYS_cliente!$P$5:$P$2500,A381,SYS_cliente!$S$5:$S$2500)&lt;0,0,+SUMIF(SYS_cliente!$F$5:$F$2500,A381,SYS_cliente!$I$5:$I$2500)+SUMIF(SYS_cliente!$K$5:$K$2500,A381,SYS_cliente!$N$5:$N$2500)+SUMIF(SYS_cliente!$P$5:$P$2500,A381,SYS_cliente!$S$5:$S$2500))</f>
        <v>0</v>
      </c>
      <c r="F381" s="1315">
        <f ca="1">IF(+SUMIF(SYS_cliente!$F$5:$F$2500,A381,SYS_cliente!$I$5:$I$1678)+SUMIF(SYS_cliente!$K$5:$K$2500,A381,SYS_cliente!$N$5:$N$1678)+SUMIF(SYS_cliente!$P$5:$P$2500,A381,SYS_cliente!$S$5:$S$1678)&gt;=0,0,-(SUMIF(SYS_cliente!$F$5:$F$2500,A381,SYS_cliente!$I$5:$I$1678)+SUMIF(SYS_cliente!$K$5:$K$2500,A381,SYS_cliente!$N$5:$N$1678)+SUMIF(SYS_cliente!$P$5:$P$2500,A381,SYS_cliente!$S$5:$S$1678)))</f>
        <v>0</v>
      </c>
      <c r="G381" s="1316">
        <f>+SUMIF(asientos!$C$13:$C$1276,SYS_4_3_Digitos!A381,asientos!$B$13:$B$1276)</f>
        <v>0</v>
      </c>
      <c r="H381" s="1317">
        <f>+SUMIF(asientos!$I$13:$I$1276,SYS_4_3_Digitos!A381,asientos!$J$13:$J$1276)</f>
        <v>0</v>
      </c>
      <c r="I381" s="1314">
        <f t="shared" ca="1" si="40"/>
        <v>0</v>
      </c>
      <c r="J381" s="1315">
        <f t="shared" ca="1" si="41"/>
        <v>0</v>
      </c>
      <c r="L381" s="1308">
        <f t="shared" si="42"/>
        <v>790000000</v>
      </c>
      <c r="M381" s="1296" t="str">
        <f t="shared" si="43"/>
        <v>7900</v>
      </c>
      <c r="N381" s="1309">
        <f t="shared" ca="1" si="44"/>
        <v>0</v>
      </c>
      <c r="O381" s="1296" t="str">
        <f t="shared" si="45"/>
        <v>79</v>
      </c>
    </row>
    <row r="382" spans="1:15" s="1296" customFormat="1">
      <c r="A382" s="1310">
        <v>791</v>
      </c>
      <c r="B382" s="1311" t="s">
        <v>613</v>
      </c>
      <c r="C382" s="1312">
        <v>0</v>
      </c>
      <c r="D382" s="1313">
        <v>0</v>
      </c>
      <c r="E382" s="1314">
        <f>IF(+SUMIF(SYS_cliente!$F$5:$F$2500,A382,SYS_cliente!$I$5:$I$2500)+SUMIF(SYS_cliente!$K$5:$K$2500,A382,SYS_cliente!$N$5:$N$2500)+SUMIF(SYS_cliente!$P$5:$P$2500,A382,SYS_cliente!$S$5:$S$2500)&lt;0,0,+SUMIF(SYS_cliente!$F$5:$F$2500,A382,SYS_cliente!$I$5:$I$2500)+SUMIF(SYS_cliente!$K$5:$K$2500,A382,SYS_cliente!$N$5:$N$2500)+SUMIF(SYS_cliente!$P$5:$P$2500,A382,SYS_cliente!$S$5:$S$2500))</f>
        <v>0</v>
      </c>
      <c r="F382" s="1315">
        <f ca="1">IF(+SUMIF(SYS_cliente!$F$5:$F$2500,A382,SYS_cliente!$I$5:$I$1678)+SUMIF(SYS_cliente!$K$5:$K$2500,A382,SYS_cliente!$N$5:$N$1678)+SUMIF(SYS_cliente!$P$5:$P$2500,A382,SYS_cliente!$S$5:$S$1678)&gt;=0,0,-(SUMIF(SYS_cliente!$F$5:$F$2500,A382,SYS_cliente!$I$5:$I$1678)+SUMIF(SYS_cliente!$K$5:$K$2500,A382,SYS_cliente!$N$5:$N$1678)+SUMIF(SYS_cliente!$P$5:$P$2500,A382,SYS_cliente!$S$5:$S$1678)))</f>
        <v>0</v>
      </c>
      <c r="G382" s="1316">
        <f>+SUMIF(asientos!$C$13:$C$1276,SYS_4_3_Digitos!A382,asientos!$B$13:$B$1276)</f>
        <v>0</v>
      </c>
      <c r="H382" s="1317">
        <f>+SUMIF(asientos!$I$13:$I$1276,SYS_4_3_Digitos!A382,asientos!$J$13:$J$1276)</f>
        <v>0</v>
      </c>
      <c r="I382" s="1314">
        <f t="shared" ca="1" si="40"/>
        <v>0</v>
      </c>
      <c r="J382" s="1315">
        <f t="shared" ca="1" si="41"/>
        <v>0</v>
      </c>
      <c r="L382" s="1308">
        <f t="shared" si="42"/>
        <v>791000000</v>
      </c>
      <c r="M382" s="1296" t="str">
        <f t="shared" si="43"/>
        <v>7910</v>
      </c>
      <c r="N382" s="1309">
        <f t="shared" ca="1" si="44"/>
        <v>0</v>
      </c>
      <c r="O382" s="1296" t="str">
        <f t="shared" si="45"/>
        <v>79</v>
      </c>
    </row>
    <row r="383" spans="1:15" s="1296" customFormat="1">
      <c r="A383" s="1310">
        <v>792</v>
      </c>
      <c r="B383" s="1311" t="s">
        <v>614</v>
      </c>
      <c r="C383" s="1312">
        <v>0</v>
      </c>
      <c r="D383" s="1313">
        <v>0</v>
      </c>
      <c r="E383" s="1314">
        <f>IF(+SUMIF(SYS_cliente!$F$5:$F$2500,A383,SYS_cliente!$I$5:$I$2500)+SUMIF(SYS_cliente!$K$5:$K$2500,A383,SYS_cliente!$N$5:$N$2500)+SUMIF(SYS_cliente!$P$5:$P$2500,A383,SYS_cliente!$S$5:$S$2500)&lt;0,0,+SUMIF(SYS_cliente!$F$5:$F$2500,A383,SYS_cliente!$I$5:$I$2500)+SUMIF(SYS_cliente!$K$5:$K$2500,A383,SYS_cliente!$N$5:$N$2500)+SUMIF(SYS_cliente!$P$5:$P$2500,A383,SYS_cliente!$S$5:$S$2500))</f>
        <v>0</v>
      </c>
      <c r="F383" s="1315">
        <f ca="1">IF(+SUMIF(SYS_cliente!$F$5:$F$2500,A383,SYS_cliente!$I$5:$I$1678)+SUMIF(SYS_cliente!$K$5:$K$2500,A383,SYS_cliente!$N$5:$N$1678)+SUMIF(SYS_cliente!$P$5:$P$2500,A383,SYS_cliente!$S$5:$S$1678)&gt;=0,0,-(SUMIF(SYS_cliente!$F$5:$F$2500,A383,SYS_cliente!$I$5:$I$1678)+SUMIF(SYS_cliente!$K$5:$K$2500,A383,SYS_cliente!$N$5:$N$1678)+SUMIF(SYS_cliente!$P$5:$P$2500,A383,SYS_cliente!$S$5:$S$1678)))</f>
        <v>0</v>
      </c>
      <c r="G383" s="1316">
        <f>+SUMIF(asientos!$C$13:$C$1276,SYS_4_3_Digitos!A383,asientos!$B$13:$B$1276)</f>
        <v>0</v>
      </c>
      <c r="H383" s="1317">
        <f>+SUMIF(asientos!$I$13:$I$1276,SYS_4_3_Digitos!A383,asientos!$J$13:$J$1276)</f>
        <v>0</v>
      </c>
      <c r="I383" s="1314">
        <f t="shared" ca="1" si="40"/>
        <v>0</v>
      </c>
      <c r="J383" s="1315">
        <f t="shared" ca="1" si="41"/>
        <v>0</v>
      </c>
      <c r="L383" s="1308">
        <f t="shared" si="42"/>
        <v>792000000</v>
      </c>
      <c r="M383" s="1296" t="str">
        <f t="shared" si="43"/>
        <v>7920</v>
      </c>
      <c r="N383" s="1309">
        <f t="shared" ca="1" si="44"/>
        <v>0</v>
      </c>
      <c r="O383" s="1296" t="str">
        <f t="shared" si="45"/>
        <v>79</v>
      </c>
    </row>
    <row r="384" spans="1:15" s="1296" customFormat="1">
      <c r="A384" s="1310">
        <v>793</v>
      </c>
      <c r="B384" s="1311" t="s">
        <v>615</v>
      </c>
      <c r="C384" s="1312">
        <v>0</v>
      </c>
      <c r="D384" s="1313">
        <v>0</v>
      </c>
      <c r="E384" s="1314">
        <f>IF(+SUMIF(SYS_cliente!$F$5:$F$2500,A384,SYS_cliente!$I$5:$I$2500)+SUMIF(SYS_cliente!$K$5:$K$2500,A384,SYS_cliente!$N$5:$N$2500)+SUMIF(SYS_cliente!$P$5:$P$2500,A384,SYS_cliente!$S$5:$S$2500)&lt;0,0,+SUMIF(SYS_cliente!$F$5:$F$2500,A384,SYS_cliente!$I$5:$I$2500)+SUMIF(SYS_cliente!$K$5:$K$2500,A384,SYS_cliente!$N$5:$N$2500)+SUMIF(SYS_cliente!$P$5:$P$2500,A384,SYS_cliente!$S$5:$S$2500))</f>
        <v>0</v>
      </c>
      <c r="F384" s="1315">
        <f ca="1">IF(+SUMIF(SYS_cliente!$F$5:$F$2500,A384,SYS_cliente!$I$5:$I$1678)+SUMIF(SYS_cliente!$K$5:$K$2500,A384,SYS_cliente!$N$5:$N$1678)+SUMIF(SYS_cliente!$P$5:$P$2500,A384,SYS_cliente!$S$5:$S$1678)&gt;=0,0,-(SUMIF(SYS_cliente!$F$5:$F$2500,A384,SYS_cliente!$I$5:$I$1678)+SUMIF(SYS_cliente!$K$5:$K$2500,A384,SYS_cliente!$N$5:$N$1678)+SUMIF(SYS_cliente!$P$5:$P$2500,A384,SYS_cliente!$S$5:$S$1678)))</f>
        <v>0</v>
      </c>
      <c r="G384" s="1316">
        <f>+SUMIF(asientos!$C$13:$C$1276,SYS_4_3_Digitos!A384,asientos!$B$13:$B$1276)</f>
        <v>0</v>
      </c>
      <c r="H384" s="1317">
        <f>+SUMIF(asientos!$I$13:$I$1276,SYS_4_3_Digitos!A384,asientos!$J$13:$J$1276)</f>
        <v>0</v>
      </c>
      <c r="I384" s="1314">
        <f t="shared" ca="1" si="40"/>
        <v>0</v>
      </c>
      <c r="J384" s="1315">
        <f t="shared" ca="1" si="41"/>
        <v>0</v>
      </c>
      <c r="L384" s="1308">
        <f t="shared" si="42"/>
        <v>793000000</v>
      </c>
      <c r="M384" s="1296" t="str">
        <f t="shared" si="43"/>
        <v>7930</v>
      </c>
      <c r="N384" s="1309">
        <f t="shared" ca="1" si="44"/>
        <v>0</v>
      </c>
      <c r="O384" s="1296" t="str">
        <f t="shared" si="45"/>
        <v>79</v>
      </c>
    </row>
    <row r="385" spans="1:15" s="1296" customFormat="1">
      <c r="A385" s="1310">
        <v>794</v>
      </c>
      <c r="B385" s="1311" t="s">
        <v>616</v>
      </c>
      <c r="C385" s="1312">
        <v>0</v>
      </c>
      <c r="D385" s="1313">
        <v>0</v>
      </c>
      <c r="E385" s="1314">
        <f>IF(+SUMIF(SYS_cliente!$F$5:$F$2500,A385,SYS_cliente!$I$5:$I$2500)+SUMIF(SYS_cliente!$K$5:$K$2500,A385,SYS_cliente!$N$5:$N$2500)+SUMIF(SYS_cliente!$P$5:$P$2500,A385,SYS_cliente!$S$5:$S$2500)&lt;0,0,+SUMIF(SYS_cliente!$F$5:$F$2500,A385,SYS_cliente!$I$5:$I$2500)+SUMIF(SYS_cliente!$K$5:$K$2500,A385,SYS_cliente!$N$5:$N$2500)+SUMIF(SYS_cliente!$P$5:$P$2500,A385,SYS_cliente!$S$5:$S$2500))</f>
        <v>0</v>
      </c>
      <c r="F385" s="1315">
        <f ca="1">IF(+SUMIF(SYS_cliente!$F$5:$F$2500,A385,SYS_cliente!$I$5:$I$1678)+SUMIF(SYS_cliente!$K$5:$K$2500,A385,SYS_cliente!$N$5:$N$1678)+SUMIF(SYS_cliente!$P$5:$P$2500,A385,SYS_cliente!$S$5:$S$1678)&gt;=0,0,-(SUMIF(SYS_cliente!$F$5:$F$2500,A385,SYS_cliente!$I$5:$I$1678)+SUMIF(SYS_cliente!$K$5:$K$2500,A385,SYS_cliente!$N$5:$N$1678)+SUMIF(SYS_cliente!$P$5:$P$2500,A385,SYS_cliente!$S$5:$S$1678)))</f>
        <v>0</v>
      </c>
      <c r="G385" s="1316">
        <f>+SUMIF(asientos!$C$13:$C$1276,SYS_4_3_Digitos!A385,asientos!$B$13:$B$1276)</f>
        <v>0</v>
      </c>
      <c r="H385" s="1317">
        <f>+SUMIF(asientos!$I$13:$I$1276,SYS_4_3_Digitos!A385,asientos!$J$13:$J$1276)</f>
        <v>0</v>
      </c>
      <c r="I385" s="1314">
        <f t="shared" ca="1" si="40"/>
        <v>0</v>
      </c>
      <c r="J385" s="1315">
        <f t="shared" ca="1" si="41"/>
        <v>0</v>
      </c>
      <c r="L385" s="1308">
        <f t="shared" si="42"/>
        <v>794000000</v>
      </c>
      <c r="M385" s="1296" t="str">
        <f t="shared" si="43"/>
        <v>7940</v>
      </c>
      <c r="N385" s="1309">
        <f t="shared" ca="1" si="44"/>
        <v>0</v>
      </c>
      <c r="O385" s="1296" t="str">
        <f t="shared" si="45"/>
        <v>79</v>
      </c>
    </row>
    <row r="386" spans="1:15" s="1296" customFormat="1">
      <c r="A386" s="1310">
        <v>795</v>
      </c>
      <c r="B386" s="1311" t="s">
        <v>617</v>
      </c>
      <c r="C386" s="1312">
        <v>0</v>
      </c>
      <c r="D386" s="1313">
        <v>0</v>
      </c>
      <c r="E386" s="1314">
        <f>IF(+SUMIF(SYS_cliente!$F$5:$F$2500,A386,SYS_cliente!$I$5:$I$2500)+SUMIF(SYS_cliente!$K$5:$K$2500,A386,SYS_cliente!$N$5:$N$2500)+SUMIF(SYS_cliente!$P$5:$P$2500,A386,SYS_cliente!$S$5:$S$2500)&lt;0,0,+SUMIF(SYS_cliente!$F$5:$F$2500,A386,SYS_cliente!$I$5:$I$2500)+SUMIF(SYS_cliente!$K$5:$K$2500,A386,SYS_cliente!$N$5:$N$2500)+SUMIF(SYS_cliente!$P$5:$P$2500,A386,SYS_cliente!$S$5:$S$2500))</f>
        <v>0</v>
      </c>
      <c r="F386" s="1315">
        <f ca="1">IF(+SUMIF(SYS_cliente!$F$5:$F$2500,A386,SYS_cliente!$I$5:$I$1678)+SUMIF(SYS_cliente!$K$5:$K$2500,A386,SYS_cliente!$N$5:$N$1678)+SUMIF(SYS_cliente!$P$5:$P$2500,A386,SYS_cliente!$S$5:$S$1678)&gt;=0,0,-(SUMIF(SYS_cliente!$F$5:$F$2500,A386,SYS_cliente!$I$5:$I$1678)+SUMIF(SYS_cliente!$K$5:$K$2500,A386,SYS_cliente!$N$5:$N$1678)+SUMIF(SYS_cliente!$P$5:$P$2500,A386,SYS_cliente!$S$5:$S$1678)))</f>
        <v>0</v>
      </c>
      <c r="G386" s="1316">
        <f>+SUMIF(asientos!$C$13:$C$1276,SYS_4_3_Digitos!A386,asientos!$B$13:$B$1276)</f>
        <v>0</v>
      </c>
      <c r="H386" s="1317">
        <f>+SUMIF(asientos!$I$13:$I$1276,SYS_4_3_Digitos!A386,asientos!$J$13:$J$1276)</f>
        <v>0</v>
      </c>
      <c r="I386" s="1314">
        <f t="shared" ca="1" si="40"/>
        <v>0</v>
      </c>
      <c r="J386" s="1315">
        <f t="shared" ca="1" si="41"/>
        <v>0</v>
      </c>
      <c r="L386" s="1308">
        <f t="shared" si="42"/>
        <v>795000000</v>
      </c>
      <c r="M386" s="1296" t="str">
        <f t="shared" si="43"/>
        <v>7950</v>
      </c>
      <c r="N386" s="1309">
        <f t="shared" ca="1" si="44"/>
        <v>0</v>
      </c>
      <c r="O386" s="1296" t="str">
        <f t="shared" si="45"/>
        <v>79</v>
      </c>
    </row>
    <row r="387" spans="1:15" s="1296" customFormat="1">
      <c r="A387" s="1310">
        <v>796</v>
      </c>
      <c r="B387" s="1311" t="s">
        <v>618</v>
      </c>
      <c r="C387" s="1312">
        <v>0</v>
      </c>
      <c r="D387" s="1313">
        <v>0</v>
      </c>
      <c r="E387" s="1314">
        <f>IF(+SUMIF(SYS_cliente!$F$5:$F$2500,A387,SYS_cliente!$I$5:$I$2500)+SUMIF(SYS_cliente!$K$5:$K$2500,A387,SYS_cliente!$N$5:$N$2500)+SUMIF(SYS_cliente!$P$5:$P$2500,A387,SYS_cliente!$S$5:$S$2500)&lt;0,0,+SUMIF(SYS_cliente!$F$5:$F$2500,A387,SYS_cliente!$I$5:$I$2500)+SUMIF(SYS_cliente!$K$5:$K$2500,A387,SYS_cliente!$N$5:$N$2500)+SUMIF(SYS_cliente!$P$5:$P$2500,A387,SYS_cliente!$S$5:$S$2500))</f>
        <v>0</v>
      </c>
      <c r="F387" s="1315">
        <f ca="1">IF(+SUMIF(SYS_cliente!$F$5:$F$2500,A387,SYS_cliente!$I$5:$I$1678)+SUMIF(SYS_cliente!$K$5:$K$2500,A387,SYS_cliente!$N$5:$N$1678)+SUMIF(SYS_cliente!$P$5:$P$2500,A387,SYS_cliente!$S$5:$S$1678)&gt;=0,0,-(SUMIF(SYS_cliente!$F$5:$F$2500,A387,SYS_cliente!$I$5:$I$1678)+SUMIF(SYS_cliente!$K$5:$K$2500,A387,SYS_cliente!$N$5:$N$1678)+SUMIF(SYS_cliente!$P$5:$P$2500,A387,SYS_cliente!$S$5:$S$1678)))</f>
        <v>0</v>
      </c>
      <c r="G387" s="1316">
        <f>+SUMIF(asientos!$C$13:$C$1276,SYS_4_3_Digitos!A387,asientos!$B$13:$B$1276)</f>
        <v>0</v>
      </c>
      <c r="H387" s="1317">
        <f>+SUMIF(asientos!$I$13:$I$1276,SYS_4_3_Digitos!A387,asientos!$J$13:$J$1276)</f>
        <v>0</v>
      </c>
      <c r="I387" s="1314">
        <f t="shared" ca="1" si="40"/>
        <v>0</v>
      </c>
      <c r="J387" s="1315">
        <f t="shared" ca="1" si="41"/>
        <v>0</v>
      </c>
      <c r="L387" s="1308">
        <f t="shared" si="42"/>
        <v>796000000</v>
      </c>
      <c r="M387" s="1296" t="str">
        <f t="shared" si="43"/>
        <v>7960</v>
      </c>
      <c r="N387" s="1309">
        <f t="shared" ca="1" si="44"/>
        <v>0</v>
      </c>
      <c r="O387" s="1296" t="str">
        <f t="shared" si="45"/>
        <v>79</v>
      </c>
    </row>
    <row r="388" spans="1:15" s="1296" customFormat="1">
      <c r="A388" s="1310">
        <v>797</v>
      </c>
      <c r="B388" s="1311" t="s">
        <v>619</v>
      </c>
      <c r="C388" s="1312">
        <v>0</v>
      </c>
      <c r="D388" s="1313">
        <v>0</v>
      </c>
      <c r="E388" s="1314">
        <f>IF(+SUMIF(SYS_cliente!$F$5:$F$2500,A388,SYS_cliente!$I$5:$I$2500)+SUMIF(SYS_cliente!$K$5:$K$2500,A388,SYS_cliente!$N$5:$N$2500)+SUMIF(SYS_cliente!$P$5:$P$2500,A388,SYS_cliente!$S$5:$S$2500)&lt;0,0,+SUMIF(SYS_cliente!$F$5:$F$2500,A388,SYS_cliente!$I$5:$I$2500)+SUMIF(SYS_cliente!$K$5:$K$2500,A388,SYS_cliente!$N$5:$N$2500)+SUMIF(SYS_cliente!$P$5:$P$2500,A388,SYS_cliente!$S$5:$S$2500))</f>
        <v>0</v>
      </c>
      <c r="F388" s="1315">
        <f ca="1">IF(+SUMIF(SYS_cliente!$F$5:$F$2500,A388,SYS_cliente!$I$5:$I$1678)+SUMIF(SYS_cliente!$K$5:$K$2500,A388,SYS_cliente!$N$5:$N$1678)+SUMIF(SYS_cliente!$P$5:$P$2500,A388,SYS_cliente!$S$5:$S$1678)&gt;=0,0,-(SUMIF(SYS_cliente!$F$5:$F$2500,A388,SYS_cliente!$I$5:$I$1678)+SUMIF(SYS_cliente!$K$5:$K$2500,A388,SYS_cliente!$N$5:$N$1678)+SUMIF(SYS_cliente!$P$5:$P$2500,A388,SYS_cliente!$S$5:$S$1678)))</f>
        <v>0</v>
      </c>
      <c r="G388" s="1316">
        <f>+SUMIF(asientos!$C$13:$C$1276,SYS_4_3_Digitos!A388,asientos!$B$13:$B$1276)</f>
        <v>0</v>
      </c>
      <c r="H388" s="1317">
        <f>+SUMIF(asientos!$I$13:$I$1276,SYS_4_3_Digitos!A388,asientos!$J$13:$J$1276)</f>
        <v>0</v>
      </c>
      <c r="I388" s="1314">
        <f t="shared" ca="1" si="40"/>
        <v>0</v>
      </c>
      <c r="J388" s="1315">
        <f t="shared" ca="1" si="41"/>
        <v>0</v>
      </c>
      <c r="L388" s="1308">
        <f t="shared" si="42"/>
        <v>797000000</v>
      </c>
      <c r="M388" s="1296" t="str">
        <f t="shared" si="43"/>
        <v>7970</v>
      </c>
      <c r="N388" s="1309">
        <f t="shared" ca="1" si="44"/>
        <v>0</v>
      </c>
      <c r="O388" s="1296" t="str">
        <f t="shared" si="45"/>
        <v>79</v>
      </c>
    </row>
    <row r="389" spans="1:15" s="1296" customFormat="1">
      <c r="A389" s="1310">
        <v>798</v>
      </c>
      <c r="B389" s="1311" t="s">
        <v>620</v>
      </c>
      <c r="C389" s="1312">
        <v>0</v>
      </c>
      <c r="D389" s="1313">
        <v>0</v>
      </c>
      <c r="E389" s="1314">
        <f>IF(+SUMIF(SYS_cliente!$F$5:$F$2500,A389,SYS_cliente!$I$5:$I$2500)+SUMIF(SYS_cliente!$K$5:$K$2500,A389,SYS_cliente!$N$5:$N$2500)+SUMIF(SYS_cliente!$P$5:$P$2500,A389,SYS_cliente!$S$5:$S$2500)&lt;0,0,+SUMIF(SYS_cliente!$F$5:$F$2500,A389,SYS_cliente!$I$5:$I$2500)+SUMIF(SYS_cliente!$K$5:$K$2500,A389,SYS_cliente!$N$5:$N$2500)+SUMIF(SYS_cliente!$P$5:$P$2500,A389,SYS_cliente!$S$5:$S$2500))</f>
        <v>0</v>
      </c>
      <c r="F389" s="1315">
        <f ca="1">IF(+SUMIF(SYS_cliente!$F$5:$F$2500,A389,SYS_cliente!$I$5:$I$1678)+SUMIF(SYS_cliente!$K$5:$K$2500,A389,SYS_cliente!$N$5:$N$1678)+SUMIF(SYS_cliente!$P$5:$P$2500,A389,SYS_cliente!$S$5:$S$1678)&gt;=0,0,-(SUMIF(SYS_cliente!$F$5:$F$2500,A389,SYS_cliente!$I$5:$I$1678)+SUMIF(SYS_cliente!$K$5:$K$2500,A389,SYS_cliente!$N$5:$N$1678)+SUMIF(SYS_cliente!$P$5:$P$2500,A389,SYS_cliente!$S$5:$S$1678)))</f>
        <v>0</v>
      </c>
      <c r="G389" s="1316">
        <f>+SUMIF(asientos!$C$13:$C$1276,SYS_4_3_Digitos!A389,asientos!$B$13:$B$1276)</f>
        <v>0</v>
      </c>
      <c r="H389" s="1317">
        <f>+SUMIF(asientos!$I$13:$I$1276,SYS_4_3_Digitos!A389,asientos!$J$13:$J$1276)</f>
        <v>0</v>
      </c>
      <c r="I389" s="1314">
        <f t="shared" ca="1" si="40"/>
        <v>0</v>
      </c>
      <c r="J389" s="1315">
        <f t="shared" ca="1" si="41"/>
        <v>0</v>
      </c>
      <c r="L389" s="1308">
        <f t="shared" si="42"/>
        <v>798000000</v>
      </c>
      <c r="M389" s="1296" t="str">
        <f t="shared" si="43"/>
        <v>7980</v>
      </c>
      <c r="N389" s="1309">
        <f t="shared" ca="1" si="44"/>
        <v>0</v>
      </c>
      <c r="O389" s="1296" t="str">
        <f t="shared" si="45"/>
        <v>79</v>
      </c>
    </row>
    <row r="390" spans="1:15" s="1296" customFormat="1">
      <c r="A390" s="1310">
        <v>799</v>
      </c>
      <c r="B390" s="1311" t="s">
        <v>621</v>
      </c>
      <c r="C390" s="1312">
        <v>0</v>
      </c>
      <c r="D390" s="1313">
        <v>0</v>
      </c>
      <c r="E390" s="1314">
        <f>IF(+SUMIF(SYS_cliente!$F$5:$F$2500,A390,SYS_cliente!$I$5:$I$2500)+SUMIF(SYS_cliente!$K$5:$K$2500,A390,SYS_cliente!$N$5:$N$2500)+SUMIF(SYS_cliente!$P$5:$P$2500,A390,SYS_cliente!$S$5:$S$2500)&lt;0,0,+SUMIF(SYS_cliente!$F$5:$F$2500,A390,SYS_cliente!$I$5:$I$2500)+SUMIF(SYS_cliente!$K$5:$K$2500,A390,SYS_cliente!$N$5:$N$2500)+SUMIF(SYS_cliente!$P$5:$P$2500,A390,SYS_cliente!$S$5:$S$2500))</f>
        <v>0</v>
      </c>
      <c r="F390" s="1315">
        <f ca="1">IF(+SUMIF(SYS_cliente!$F$5:$F$2500,A390,SYS_cliente!$I$5:$I$1678)+SUMIF(SYS_cliente!$K$5:$K$2500,A390,SYS_cliente!$N$5:$N$1678)+SUMIF(SYS_cliente!$P$5:$P$2500,A390,SYS_cliente!$S$5:$S$1678)&gt;=0,0,-(SUMIF(SYS_cliente!$F$5:$F$2500,A390,SYS_cliente!$I$5:$I$1678)+SUMIF(SYS_cliente!$K$5:$K$2500,A390,SYS_cliente!$N$5:$N$1678)+SUMIF(SYS_cliente!$P$5:$P$2500,A390,SYS_cliente!$S$5:$S$1678)))</f>
        <v>0</v>
      </c>
      <c r="G390" s="1316">
        <f>+SUMIF(asientos!$C$13:$C$1276,SYS_4_3_Digitos!A390,asientos!$B$13:$B$1276)</f>
        <v>0</v>
      </c>
      <c r="H390" s="1317">
        <f>+SUMIF(asientos!$I$13:$I$1276,SYS_4_3_Digitos!A390,asientos!$J$13:$J$1276)</f>
        <v>0</v>
      </c>
      <c r="I390" s="1314">
        <f t="shared" ca="1" si="40"/>
        <v>0</v>
      </c>
      <c r="J390" s="1315">
        <f t="shared" ca="1" si="41"/>
        <v>0</v>
      </c>
      <c r="L390" s="1308">
        <f t="shared" si="42"/>
        <v>799000000</v>
      </c>
      <c r="M390" s="1296" t="str">
        <f t="shared" si="43"/>
        <v>7990</v>
      </c>
      <c r="N390" s="1309">
        <f t="shared" ca="1" si="44"/>
        <v>0</v>
      </c>
      <c r="O390" s="1296" t="str">
        <f t="shared" si="45"/>
        <v>79</v>
      </c>
    </row>
    <row r="391" spans="1:15" s="1296" customFormat="1">
      <c r="A391" s="1310">
        <v>800</v>
      </c>
      <c r="B391" s="1311" t="s">
        <v>1756</v>
      </c>
      <c r="C391" s="1312">
        <v>0</v>
      </c>
      <c r="D391" s="1313">
        <v>0</v>
      </c>
      <c r="E391" s="1314"/>
      <c r="F391" s="1315"/>
      <c r="G391" s="1316">
        <f>+SUMIF(asientos!$C$13:$C$1276,SYS_4_3_Digitos!A391,asientos!$B$13:$B$1276)</f>
        <v>0</v>
      </c>
      <c r="H391" s="1317">
        <f>+SUMIF(asientos!$I$13:$I$1276,SYS_4_3_Digitos!A391,asientos!$J$13:$J$1276)</f>
        <v>0</v>
      </c>
      <c r="I391" s="1314">
        <f t="shared" si="40"/>
        <v>0</v>
      </c>
      <c r="J391" s="1315">
        <f t="shared" si="41"/>
        <v>0</v>
      </c>
      <c r="L391" s="1308">
        <f t="shared" si="42"/>
        <v>800000000</v>
      </c>
      <c r="M391" s="1296" t="str">
        <f t="shared" si="43"/>
        <v>8000</v>
      </c>
      <c r="N391" s="1309">
        <f t="shared" si="44"/>
        <v>0</v>
      </c>
      <c r="O391" s="1296" t="str">
        <f t="shared" si="45"/>
        <v>80</v>
      </c>
    </row>
    <row r="392" spans="1:15" s="1296" customFormat="1">
      <c r="A392" s="1310">
        <v>8301</v>
      </c>
      <c r="B392" s="1311" t="s">
        <v>526</v>
      </c>
      <c r="C392" s="1312">
        <v>0</v>
      </c>
      <c r="D392" s="1313">
        <v>0</v>
      </c>
      <c r="E392" s="1314"/>
      <c r="F392" s="1315"/>
      <c r="G392" s="1316">
        <f>+SUMIF(asientos!$C$13:$C$1276,SYS_4_3_Digitos!A392,asientos!$B$13:$B$1276)</f>
        <v>0</v>
      </c>
      <c r="H392" s="1317">
        <f>+SUMIF(asientos!$I$13:$I$1276,SYS_4_3_Digitos!A392,asientos!$J$13:$J$1276)</f>
        <v>0</v>
      </c>
      <c r="I392" s="1314">
        <f t="shared" si="40"/>
        <v>0</v>
      </c>
      <c r="J392" s="1315">
        <f t="shared" si="41"/>
        <v>0</v>
      </c>
      <c r="L392" s="1308">
        <f t="shared" si="42"/>
        <v>8301000000</v>
      </c>
      <c r="M392" s="1296" t="str">
        <f t="shared" si="43"/>
        <v>8301</v>
      </c>
      <c r="N392" s="1309">
        <f t="shared" si="44"/>
        <v>0</v>
      </c>
      <c r="O392" s="1296" t="str">
        <f t="shared" si="45"/>
        <v>83</v>
      </c>
    </row>
    <row r="393" spans="1:15" s="1296" customFormat="1">
      <c r="A393" s="1310">
        <v>840</v>
      </c>
      <c r="B393" s="1311" t="s">
        <v>1757</v>
      </c>
      <c r="C393" s="1312">
        <v>0</v>
      </c>
      <c r="D393" s="1313">
        <v>0</v>
      </c>
      <c r="E393" s="1314"/>
      <c r="F393" s="1315"/>
      <c r="G393" s="1316">
        <f>+SUMIF(asientos!$C$13:$C$1276,SYS_4_3_Digitos!A393,asientos!$B$13:$B$1276)</f>
        <v>0</v>
      </c>
      <c r="H393" s="1317">
        <f>+SUMIF(asientos!$I$13:$I$1276,SYS_4_3_Digitos!A393,asientos!$J$13:$J$1276)</f>
        <v>0</v>
      </c>
      <c r="I393" s="1314">
        <f t="shared" si="40"/>
        <v>0</v>
      </c>
      <c r="J393" s="1315">
        <f t="shared" si="41"/>
        <v>0</v>
      </c>
      <c r="L393" s="1308">
        <f t="shared" si="42"/>
        <v>840000000</v>
      </c>
      <c r="M393" s="1296" t="str">
        <f t="shared" si="43"/>
        <v>8400</v>
      </c>
      <c r="N393" s="1309">
        <f t="shared" si="44"/>
        <v>0</v>
      </c>
      <c r="O393" s="1296" t="str">
        <f t="shared" si="45"/>
        <v>84</v>
      </c>
    </row>
    <row r="394" spans="1:15" s="1296" customFormat="1">
      <c r="A394" s="1310">
        <v>900</v>
      </c>
      <c r="B394" s="1311" t="s">
        <v>1758</v>
      </c>
      <c r="C394" s="1312">
        <v>0</v>
      </c>
      <c r="D394" s="1313">
        <v>0</v>
      </c>
      <c r="E394" s="1314"/>
      <c r="F394" s="1315"/>
      <c r="G394" s="1316">
        <f>+SUMIF(asientos!$C$13:$C$1276,SYS_4_3_Digitos!A394,asientos!$B$13:$B$1276)</f>
        <v>0</v>
      </c>
      <c r="H394" s="1317">
        <f>+SUMIF(asientos!$I$13:$I$1276,SYS_4_3_Digitos!A394,asientos!$J$13:$J$1276)</f>
        <v>0</v>
      </c>
      <c r="I394" s="1314">
        <f t="shared" si="40"/>
        <v>0</v>
      </c>
      <c r="J394" s="1315">
        <f t="shared" si="41"/>
        <v>0</v>
      </c>
      <c r="L394" s="1308">
        <f t="shared" si="42"/>
        <v>900000000</v>
      </c>
      <c r="M394" s="1296" t="str">
        <f t="shared" si="43"/>
        <v>9000</v>
      </c>
      <c r="N394" s="1309">
        <f t="shared" si="44"/>
        <v>0</v>
      </c>
      <c r="O394" s="1296" t="str">
        <f t="shared" si="45"/>
        <v>90</v>
      </c>
    </row>
    <row r="395" spans="1:15" s="1296" customFormat="1">
      <c r="A395" s="1310">
        <v>940</v>
      </c>
      <c r="B395" s="1311" t="s">
        <v>1759</v>
      </c>
      <c r="C395" s="1312">
        <v>0</v>
      </c>
      <c r="D395" s="1313">
        <v>0</v>
      </c>
      <c r="E395" s="1314"/>
      <c r="F395" s="1315"/>
      <c r="G395" s="1316">
        <f>+SUMIF(asientos!$C$13:$C$1276,SYS_4_3_Digitos!A395,asientos!$B$13:$B$1276)</f>
        <v>0</v>
      </c>
      <c r="H395" s="1317">
        <f>+SUMIF(asientos!$I$13:$I$1276,SYS_4_3_Digitos!A395,asientos!$J$13:$J$1276)</f>
        <v>0</v>
      </c>
      <c r="I395" s="1314">
        <f t="shared" si="40"/>
        <v>0</v>
      </c>
      <c r="J395" s="1315">
        <f t="shared" si="41"/>
        <v>0</v>
      </c>
      <c r="L395" s="1308">
        <f t="shared" si="42"/>
        <v>940000000</v>
      </c>
      <c r="M395" s="1296" t="str">
        <f t="shared" si="43"/>
        <v>9400</v>
      </c>
      <c r="N395" s="1309">
        <f t="shared" si="44"/>
        <v>0</v>
      </c>
      <c r="O395" s="1296" t="str">
        <f t="shared" si="45"/>
        <v>94</v>
      </c>
    </row>
    <row r="396" spans="1:15" s="1296" customFormat="1">
      <c r="A396" s="1310"/>
      <c r="B396" s="1311"/>
      <c r="C396" s="1312">
        <v>0</v>
      </c>
      <c r="D396" s="1313">
        <v>0</v>
      </c>
      <c r="E396" s="1314"/>
      <c r="F396" s="1315"/>
      <c r="G396" s="1316">
        <f>+SUMIF(asientos!$C$13:$C$1276,SYS_4_3_Digitos!A396,asientos!$B$13:$B$1276)</f>
        <v>0</v>
      </c>
      <c r="H396" s="1317">
        <f>+SUMIF(asientos!$I$13:$I$1276,SYS_4_3_Digitos!A396,asientos!$J$13:$J$1276)</f>
        <v>0</v>
      </c>
      <c r="I396" s="1314">
        <f t="shared" si="40"/>
        <v>0</v>
      </c>
      <c r="J396" s="1315">
        <f t="shared" si="41"/>
        <v>0</v>
      </c>
      <c r="L396" s="1308">
        <f t="shared" si="42"/>
        <v>0</v>
      </c>
      <c r="M396" s="1296" t="str">
        <f t="shared" si="43"/>
        <v>0</v>
      </c>
      <c r="N396" s="1309">
        <f t="shared" si="44"/>
        <v>0</v>
      </c>
      <c r="O396" s="1296" t="str">
        <f t="shared" si="45"/>
        <v>0</v>
      </c>
    </row>
    <row r="397" spans="1:15" s="1296" customFormat="1">
      <c r="A397" s="1310"/>
      <c r="B397" s="1311"/>
      <c r="C397" s="1312">
        <v>0</v>
      </c>
      <c r="D397" s="1313">
        <v>0</v>
      </c>
      <c r="E397" s="1314"/>
      <c r="F397" s="1315"/>
      <c r="G397" s="1316">
        <f>+SUMIF(asientos!$C$13:$C$1276,SYS_4_3_Digitos!A397,asientos!$B$13:$B$1276)</f>
        <v>0</v>
      </c>
      <c r="H397" s="1317">
        <f>+SUMIF(asientos!$I$13:$I$1276,SYS_4_3_Digitos!A397,asientos!$J$13:$J$1276)</f>
        <v>0</v>
      </c>
      <c r="I397" s="1314">
        <f t="shared" si="40"/>
        <v>0</v>
      </c>
      <c r="J397" s="1315">
        <f t="shared" si="41"/>
        <v>0</v>
      </c>
      <c r="L397" s="1308">
        <f t="shared" si="42"/>
        <v>0</v>
      </c>
      <c r="M397" s="1296" t="str">
        <f t="shared" si="43"/>
        <v>0</v>
      </c>
      <c r="N397" s="1309">
        <f t="shared" si="44"/>
        <v>0</v>
      </c>
      <c r="O397" s="1296" t="str">
        <f t="shared" si="45"/>
        <v>0</v>
      </c>
    </row>
    <row r="398" spans="1:15" s="1296" customFormat="1" hidden="1">
      <c r="A398" s="1310"/>
      <c r="B398" s="1311"/>
      <c r="C398" s="1312">
        <v>0</v>
      </c>
      <c r="D398" s="1313">
        <v>0</v>
      </c>
      <c r="E398" s="1314"/>
      <c r="F398" s="1315"/>
      <c r="G398" s="1316">
        <f>+SUMIF(asientos!$C$13:$C$1276,SYS_4_3_Digitos!A398,asientos!$B$13:$B$1276)</f>
        <v>0</v>
      </c>
      <c r="H398" s="1317">
        <f>+SUMIF(asientos!$I$13:$I$1276,SYS_4_3_Digitos!A398,asientos!$J$13:$J$1276)</f>
        <v>0</v>
      </c>
      <c r="I398" s="1314">
        <f t="shared" si="40"/>
        <v>0</v>
      </c>
      <c r="J398" s="1315">
        <f t="shared" si="41"/>
        <v>0</v>
      </c>
      <c r="L398" s="1308">
        <f t="shared" si="42"/>
        <v>0</v>
      </c>
      <c r="M398" s="1296" t="str">
        <f t="shared" si="43"/>
        <v>0</v>
      </c>
      <c r="N398" s="1309">
        <f t="shared" si="44"/>
        <v>0</v>
      </c>
      <c r="O398" s="1296" t="str">
        <f t="shared" si="45"/>
        <v>0</v>
      </c>
    </row>
    <row r="399" spans="1:15" s="1296" customFormat="1" hidden="1">
      <c r="A399" s="1310"/>
      <c r="B399" s="1311"/>
      <c r="C399" s="1312">
        <v>0</v>
      </c>
      <c r="D399" s="1313">
        <v>0</v>
      </c>
      <c r="E399" s="1314"/>
      <c r="F399" s="1315"/>
      <c r="G399" s="1316">
        <f>+SUMIF(asientos!$C$13:$C$1276,SYS_4_3_Digitos!A399,asientos!$B$13:$B$1276)</f>
        <v>0</v>
      </c>
      <c r="H399" s="1317">
        <f>+SUMIF(asientos!$I$13:$I$1276,SYS_4_3_Digitos!A399,asientos!$J$13:$J$1276)</f>
        <v>0</v>
      </c>
      <c r="I399" s="1314">
        <f t="shared" si="40"/>
        <v>0</v>
      </c>
      <c r="J399" s="1315">
        <f t="shared" si="41"/>
        <v>0</v>
      </c>
      <c r="L399" s="1308">
        <f t="shared" si="42"/>
        <v>0</v>
      </c>
      <c r="M399" s="1296" t="str">
        <f t="shared" si="43"/>
        <v>0</v>
      </c>
      <c r="N399" s="1309">
        <f t="shared" si="44"/>
        <v>0</v>
      </c>
      <c r="O399" s="1296" t="str">
        <f t="shared" si="45"/>
        <v>0</v>
      </c>
    </row>
    <row r="400" spans="1:15" s="1296" customFormat="1" hidden="1">
      <c r="A400" s="1310"/>
      <c r="B400" s="1311"/>
      <c r="C400" s="1312">
        <v>0</v>
      </c>
      <c r="D400" s="1313">
        <v>0</v>
      </c>
      <c r="E400" s="1314"/>
      <c r="F400" s="1315"/>
      <c r="G400" s="1316">
        <f>+SUMIF(asientos!$C$13:$C$1276,SYS_4_3_Digitos!A400,asientos!$B$13:$B$1276)</f>
        <v>0</v>
      </c>
      <c r="H400" s="1317">
        <f>+SUMIF(asientos!$I$13:$I$1276,SYS_4_3_Digitos!A400,asientos!$J$13:$J$1276)</f>
        <v>0</v>
      </c>
      <c r="I400" s="1314">
        <f t="shared" si="40"/>
        <v>0</v>
      </c>
      <c r="J400" s="1315">
        <f t="shared" si="41"/>
        <v>0</v>
      </c>
      <c r="L400" s="1308">
        <f t="shared" si="42"/>
        <v>0</v>
      </c>
      <c r="M400" s="1296" t="str">
        <f t="shared" si="43"/>
        <v>0</v>
      </c>
      <c r="N400" s="1309">
        <f t="shared" si="44"/>
        <v>0</v>
      </c>
      <c r="O400" s="1296" t="str">
        <f t="shared" si="45"/>
        <v>0</v>
      </c>
    </row>
    <row r="401" spans="1:15" s="1296" customFormat="1" hidden="1">
      <c r="A401" s="1310"/>
      <c r="B401" s="1311"/>
      <c r="C401" s="1312">
        <v>0</v>
      </c>
      <c r="D401" s="1313">
        <v>0</v>
      </c>
      <c r="E401" s="1314"/>
      <c r="F401" s="1315"/>
      <c r="G401" s="1316">
        <f>+SUMIF(asientos!$C$13:$C$1276,SYS_4_3_Digitos!A401,asientos!$B$13:$B$1276)</f>
        <v>0</v>
      </c>
      <c r="H401" s="1317">
        <f>+SUMIF(asientos!$I$13:$I$1276,SYS_4_3_Digitos!A401,asientos!$J$13:$J$1276)</f>
        <v>0</v>
      </c>
      <c r="I401" s="1314">
        <f t="shared" si="40"/>
        <v>0</v>
      </c>
      <c r="J401" s="1315">
        <f t="shared" si="41"/>
        <v>0</v>
      </c>
      <c r="L401" s="1308">
        <f t="shared" si="42"/>
        <v>0</v>
      </c>
      <c r="M401" s="1296" t="str">
        <f t="shared" si="43"/>
        <v>0</v>
      </c>
      <c r="N401" s="1309">
        <f t="shared" si="44"/>
        <v>0</v>
      </c>
      <c r="O401" s="1296" t="str">
        <f t="shared" si="45"/>
        <v>0</v>
      </c>
    </row>
    <row r="402" spans="1:15" s="1296" customFormat="1" hidden="1">
      <c r="A402" s="1310"/>
      <c r="B402" s="1311"/>
      <c r="C402" s="1312">
        <v>0</v>
      </c>
      <c r="D402" s="1313">
        <v>0</v>
      </c>
      <c r="E402" s="1314"/>
      <c r="F402" s="1315"/>
      <c r="G402" s="1316">
        <f>+SUMIF(asientos!$C$13:$C$1276,SYS_4_3_Digitos!A402,asientos!$B$13:$B$1276)</f>
        <v>0</v>
      </c>
      <c r="H402" s="1317">
        <f>+SUMIF(asientos!$I$13:$I$1276,SYS_4_3_Digitos!A402,asientos!$J$13:$J$1276)</f>
        <v>0</v>
      </c>
      <c r="I402" s="1314">
        <f t="shared" si="40"/>
        <v>0</v>
      </c>
      <c r="J402" s="1315">
        <f t="shared" si="41"/>
        <v>0</v>
      </c>
      <c r="L402" s="1308">
        <f t="shared" si="42"/>
        <v>0</v>
      </c>
      <c r="M402" s="1296" t="str">
        <f t="shared" si="43"/>
        <v>0</v>
      </c>
      <c r="N402" s="1309">
        <f t="shared" si="44"/>
        <v>0</v>
      </c>
      <c r="O402" s="1296" t="str">
        <f t="shared" si="45"/>
        <v>0</v>
      </c>
    </row>
    <row r="403" spans="1:15" s="1296" customFormat="1" hidden="1">
      <c r="A403" s="1310"/>
      <c r="B403" s="1311"/>
      <c r="C403" s="1312">
        <v>0</v>
      </c>
      <c r="D403" s="1313">
        <v>0</v>
      </c>
      <c r="E403" s="1314"/>
      <c r="F403" s="1315"/>
      <c r="G403" s="1316">
        <f>+SUMIF(asientos!$C$13:$C$1276,SYS_4_3_Digitos!A403,asientos!$B$13:$B$1276)</f>
        <v>0</v>
      </c>
      <c r="H403" s="1317">
        <f>+SUMIF(asientos!$I$13:$I$1276,SYS_4_3_Digitos!A403,asientos!$J$13:$J$1276)</f>
        <v>0</v>
      </c>
      <c r="I403" s="1314">
        <f t="shared" si="40"/>
        <v>0</v>
      </c>
      <c r="J403" s="1315">
        <f t="shared" si="41"/>
        <v>0</v>
      </c>
      <c r="L403" s="1308">
        <f t="shared" si="42"/>
        <v>0</v>
      </c>
      <c r="M403" s="1296" t="str">
        <f t="shared" si="43"/>
        <v>0</v>
      </c>
      <c r="N403" s="1309">
        <f t="shared" si="44"/>
        <v>0</v>
      </c>
      <c r="O403" s="1296" t="str">
        <f t="shared" si="45"/>
        <v>0</v>
      </c>
    </row>
    <row r="404" spans="1:15" s="1296" customFormat="1" hidden="1">
      <c r="A404" s="1310"/>
      <c r="B404" s="1311"/>
      <c r="C404" s="1312">
        <v>0</v>
      </c>
      <c r="D404" s="1313">
        <v>0</v>
      </c>
      <c r="E404" s="1314"/>
      <c r="F404" s="1315"/>
      <c r="G404" s="1316">
        <f>+SUMIF(asientos!$C$13:$C$1276,SYS_4_3_Digitos!A404,asientos!$B$13:$B$1276)</f>
        <v>0</v>
      </c>
      <c r="H404" s="1317">
        <f>+SUMIF(asientos!$I$13:$I$1276,SYS_4_3_Digitos!A404,asientos!$J$13:$J$1276)</f>
        <v>0</v>
      </c>
      <c r="I404" s="1314">
        <f t="shared" si="40"/>
        <v>0</v>
      </c>
      <c r="J404" s="1315">
        <f t="shared" si="41"/>
        <v>0</v>
      </c>
      <c r="L404" s="1308">
        <f t="shared" si="42"/>
        <v>0</v>
      </c>
      <c r="M404" s="1296" t="str">
        <f t="shared" si="43"/>
        <v>0</v>
      </c>
      <c r="N404" s="1309">
        <f t="shared" si="44"/>
        <v>0</v>
      </c>
      <c r="O404" s="1296" t="str">
        <f t="shared" si="45"/>
        <v>0</v>
      </c>
    </row>
    <row r="405" spans="1:15" s="1296" customFormat="1" hidden="1">
      <c r="A405" s="1310"/>
      <c r="B405" s="1311"/>
      <c r="C405" s="1312">
        <v>0</v>
      </c>
      <c r="D405" s="1313">
        <v>0</v>
      </c>
      <c r="E405" s="1314"/>
      <c r="F405" s="1315"/>
      <c r="G405" s="1316">
        <f>+SUMIF(asientos!$C$13:$C$1276,SYS_4_3_Digitos!A405,asientos!$B$13:$B$1276)</f>
        <v>0</v>
      </c>
      <c r="H405" s="1317">
        <f>+SUMIF(asientos!$I$13:$I$1276,SYS_4_3_Digitos!A405,asientos!$J$13:$J$1276)</f>
        <v>0</v>
      </c>
      <c r="I405" s="1314">
        <f t="shared" si="40"/>
        <v>0</v>
      </c>
      <c r="J405" s="1315">
        <f t="shared" si="41"/>
        <v>0</v>
      </c>
      <c r="L405" s="1308">
        <f t="shared" si="42"/>
        <v>0</v>
      </c>
      <c r="M405" s="1296" t="str">
        <f t="shared" si="43"/>
        <v>0</v>
      </c>
      <c r="N405" s="1309">
        <f t="shared" si="44"/>
        <v>0</v>
      </c>
      <c r="O405" s="1296" t="str">
        <f t="shared" si="45"/>
        <v>0</v>
      </c>
    </row>
    <row r="406" spans="1:15" s="1296" customFormat="1" hidden="1">
      <c r="A406" s="1310"/>
      <c r="B406" s="1311"/>
      <c r="C406" s="1312">
        <v>0</v>
      </c>
      <c r="D406" s="1313">
        <v>0</v>
      </c>
      <c r="E406" s="1314"/>
      <c r="F406" s="1315"/>
      <c r="G406" s="1316">
        <f>+SUMIF(asientos!$C$13:$C$1276,SYS_4_3_Digitos!A406,asientos!$B$13:$B$1276)</f>
        <v>0</v>
      </c>
      <c r="H406" s="1317">
        <f>+SUMIF(asientos!$I$13:$I$1276,SYS_4_3_Digitos!A406,asientos!$J$13:$J$1276)</f>
        <v>0</v>
      </c>
      <c r="I406" s="1314">
        <f t="shared" si="40"/>
        <v>0</v>
      </c>
      <c r="J406" s="1315">
        <f t="shared" si="41"/>
        <v>0</v>
      </c>
      <c r="L406" s="1308">
        <f t="shared" si="42"/>
        <v>0</v>
      </c>
      <c r="M406" s="1296" t="str">
        <f t="shared" si="43"/>
        <v>0</v>
      </c>
      <c r="N406" s="1309">
        <f t="shared" si="44"/>
        <v>0</v>
      </c>
      <c r="O406" s="1296" t="str">
        <f t="shared" si="45"/>
        <v>0</v>
      </c>
    </row>
    <row r="407" spans="1:15" s="1296" customFormat="1" hidden="1">
      <c r="A407" s="1310"/>
      <c r="B407" s="1311"/>
      <c r="C407" s="1312">
        <v>0</v>
      </c>
      <c r="D407" s="1313">
        <v>0</v>
      </c>
      <c r="E407" s="1314"/>
      <c r="F407" s="1315"/>
      <c r="G407" s="1316">
        <f>+SUMIF(asientos!$C$13:$C$1276,SYS_4_3_Digitos!A407,asientos!$B$13:$B$1276)</f>
        <v>0</v>
      </c>
      <c r="H407" s="1317">
        <f>+SUMIF(asientos!$I$13:$I$1276,SYS_4_3_Digitos!A407,asientos!$J$13:$J$1276)</f>
        <v>0</v>
      </c>
      <c r="I407" s="1314">
        <f t="shared" si="40"/>
        <v>0</v>
      </c>
      <c r="J407" s="1315">
        <f t="shared" si="41"/>
        <v>0</v>
      </c>
      <c r="L407" s="1308">
        <f t="shared" si="42"/>
        <v>0</v>
      </c>
      <c r="M407" s="1296" t="str">
        <f t="shared" si="43"/>
        <v>0</v>
      </c>
      <c r="N407" s="1309">
        <f t="shared" si="44"/>
        <v>0</v>
      </c>
      <c r="O407" s="1296" t="str">
        <f t="shared" si="45"/>
        <v>0</v>
      </c>
    </row>
    <row r="408" spans="1:15" s="1296" customFormat="1" hidden="1">
      <c r="A408" s="1310"/>
      <c r="B408" s="1311"/>
      <c r="C408" s="1312">
        <v>0</v>
      </c>
      <c r="D408" s="1313">
        <v>0</v>
      </c>
      <c r="E408" s="1314"/>
      <c r="F408" s="1315"/>
      <c r="G408" s="1316">
        <f>+SUMIF(asientos!$C$13:$C$1276,SYS_4_3_Digitos!A408,asientos!$B$13:$B$1276)</f>
        <v>0</v>
      </c>
      <c r="H408" s="1317">
        <f>+SUMIF(asientos!$I$13:$I$1276,SYS_4_3_Digitos!A408,asientos!$J$13:$J$1276)</f>
        <v>0</v>
      </c>
      <c r="I408" s="1314">
        <f t="shared" si="40"/>
        <v>0</v>
      </c>
      <c r="J408" s="1315">
        <f t="shared" si="41"/>
        <v>0</v>
      </c>
      <c r="L408" s="1308">
        <f t="shared" si="42"/>
        <v>0</v>
      </c>
      <c r="M408" s="1296" t="str">
        <f t="shared" si="43"/>
        <v>0</v>
      </c>
      <c r="N408" s="1309">
        <f t="shared" si="44"/>
        <v>0</v>
      </c>
      <c r="O408" s="1296" t="str">
        <f t="shared" si="45"/>
        <v>0</v>
      </c>
    </row>
    <row r="409" spans="1:15" s="1296" customFormat="1" hidden="1">
      <c r="A409" s="1310"/>
      <c r="B409" s="1311"/>
      <c r="C409" s="1312">
        <v>0</v>
      </c>
      <c r="D409" s="1313">
        <v>0</v>
      </c>
      <c r="E409" s="1314"/>
      <c r="F409" s="1315"/>
      <c r="G409" s="1316">
        <f>+SUMIF(asientos!$C$13:$C$1276,SYS_4_3_Digitos!A409,asientos!$B$13:$B$1276)</f>
        <v>0</v>
      </c>
      <c r="H409" s="1317">
        <f>+SUMIF(asientos!$I$13:$I$1276,SYS_4_3_Digitos!A409,asientos!$J$13:$J$1276)</f>
        <v>0</v>
      </c>
      <c r="I409" s="1314">
        <f t="shared" si="40"/>
        <v>0</v>
      </c>
      <c r="J409" s="1315">
        <f t="shared" si="41"/>
        <v>0</v>
      </c>
      <c r="L409" s="1308">
        <f t="shared" si="42"/>
        <v>0</v>
      </c>
      <c r="M409" s="1296" t="str">
        <f t="shared" si="43"/>
        <v>0</v>
      </c>
      <c r="N409" s="1309">
        <f t="shared" si="44"/>
        <v>0</v>
      </c>
      <c r="O409" s="1296" t="str">
        <f t="shared" si="45"/>
        <v>0</v>
      </c>
    </row>
    <row r="410" spans="1:15" s="1296" customFormat="1" hidden="1">
      <c r="A410" s="1310"/>
      <c r="B410" s="1311"/>
      <c r="C410" s="1312">
        <v>0</v>
      </c>
      <c r="D410" s="1313">
        <v>0</v>
      </c>
      <c r="E410" s="1314"/>
      <c r="F410" s="1315"/>
      <c r="G410" s="1316">
        <f>+SUMIF(asientos!$C$13:$C$1276,SYS_4_3_Digitos!A410,asientos!$B$13:$B$1276)</f>
        <v>0</v>
      </c>
      <c r="H410" s="1317">
        <f>+SUMIF(asientos!$I$13:$I$1276,SYS_4_3_Digitos!A410,asientos!$J$13:$J$1276)</f>
        <v>0</v>
      </c>
      <c r="I410" s="1314">
        <f t="shared" si="40"/>
        <v>0</v>
      </c>
      <c r="J410" s="1315">
        <f t="shared" si="41"/>
        <v>0</v>
      </c>
      <c r="L410" s="1308">
        <f t="shared" si="42"/>
        <v>0</v>
      </c>
      <c r="M410" s="1296" t="str">
        <f t="shared" si="43"/>
        <v>0</v>
      </c>
      <c r="N410" s="1309">
        <f t="shared" si="44"/>
        <v>0</v>
      </c>
      <c r="O410" s="1296" t="str">
        <f t="shared" si="45"/>
        <v>0</v>
      </c>
    </row>
    <row r="411" spans="1:15" s="1296" customFormat="1" hidden="1">
      <c r="A411" s="1310"/>
      <c r="B411" s="1311"/>
      <c r="C411" s="1312">
        <v>0</v>
      </c>
      <c r="D411" s="1313">
        <v>0</v>
      </c>
      <c r="E411" s="1314"/>
      <c r="F411" s="1315"/>
      <c r="G411" s="1316">
        <f>+SUMIF(asientos!$C$13:$C$1276,SYS_4_3_Digitos!A411,asientos!$B$13:$B$1276)</f>
        <v>0</v>
      </c>
      <c r="H411" s="1317">
        <f>+SUMIF(asientos!$I$13:$I$1276,SYS_4_3_Digitos!A411,asientos!$J$13:$J$1276)</f>
        <v>0</v>
      </c>
      <c r="I411" s="1314">
        <f t="shared" si="40"/>
        <v>0</v>
      </c>
      <c r="J411" s="1315">
        <f t="shared" si="41"/>
        <v>0</v>
      </c>
      <c r="L411" s="1308">
        <f t="shared" si="42"/>
        <v>0</v>
      </c>
      <c r="M411" s="1296" t="str">
        <f t="shared" si="43"/>
        <v>0</v>
      </c>
      <c r="N411" s="1309">
        <f t="shared" si="44"/>
        <v>0</v>
      </c>
      <c r="O411" s="1296" t="str">
        <f t="shared" si="45"/>
        <v>0</v>
      </c>
    </row>
    <row r="412" spans="1:15" s="1296" customFormat="1" hidden="1">
      <c r="A412" s="1310"/>
      <c r="B412" s="1311"/>
      <c r="C412" s="1312">
        <v>0</v>
      </c>
      <c r="D412" s="1313">
        <v>0</v>
      </c>
      <c r="E412" s="1314"/>
      <c r="F412" s="1315"/>
      <c r="G412" s="1316">
        <f>+SUMIF(asientos!$C$13:$C$1276,SYS_4_3_Digitos!A412,asientos!$B$13:$B$1276)</f>
        <v>0</v>
      </c>
      <c r="H412" s="1317">
        <f>+SUMIF(asientos!$I$13:$I$1276,SYS_4_3_Digitos!A412,asientos!$J$13:$J$1276)</f>
        <v>0</v>
      </c>
      <c r="I412" s="1314">
        <f t="shared" si="40"/>
        <v>0</v>
      </c>
      <c r="J412" s="1315">
        <f t="shared" si="41"/>
        <v>0</v>
      </c>
      <c r="L412" s="1308">
        <f t="shared" si="42"/>
        <v>0</v>
      </c>
      <c r="M412" s="1296" t="str">
        <f t="shared" si="43"/>
        <v>0</v>
      </c>
      <c r="N412" s="1309">
        <f t="shared" si="44"/>
        <v>0</v>
      </c>
      <c r="O412" s="1296" t="str">
        <f t="shared" si="45"/>
        <v>0</v>
      </c>
    </row>
    <row r="413" spans="1:15" s="1296" customFormat="1" hidden="1">
      <c r="A413" s="1310"/>
      <c r="B413" s="1311"/>
      <c r="C413" s="1312">
        <v>0</v>
      </c>
      <c r="D413" s="1313">
        <v>0</v>
      </c>
      <c r="E413" s="1314"/>
      <c r="F413" s="1315"/>
      <c r="G413" s="1316">
        <f>+SUMIF(asientos!$C$13:$C$1276,SYS_4_3_Digitos!A413,asientos!$B$13:$B$1276)</f>
        <v>0</v>
      </c>
      <c r="H413" s="1317">
        <f>+SUMIF(asientos!$I$13:$I$1276,SYS_4_3_Digitos!A413,asientos!$J$13:$J$1276)</f>
        <v>0</v>
      </c>
      <c r="I413" s="1314">
        <f t="shared" si="40"/>
        <v>0</v>
      </c>
      <c r="J413" s="1315">
        <f t="shared" si="41"/>
        <v>0</v>
      </c>
      <c r="L413" s="1308">
        <f t="shared" si="42"/>
        <v>0</v>
      </c>
      <c r="M413" s="1296" t="str">
        <f t="shared" si="43"/>
        <v>0</v>
      </c>
      <c r="N413" s="1309">
        <f t="shared" si="44"/>
        <v>0</v>
      </c>
      <c r="O413" s="1296" t="str">
        <f t="shared" si="45"/>
        <v>0</v>
      </c>
    </row>
    <row r="414" spans="1:15" s="1296" customFormat="1" hidden="1">
      <c r="A414" s="1310"/>
      <c r="B414" s="1311"/>
      <c r="C414" s="1312">
        <v>0</v>
      </c>
      <c r="D414" s="1313">
        <v>0</v>
      </c>
      <c r="E414" s="1314"/>
      <c r="F414" s="1315"/>
      <c r="G414" s="1316">
        <f>+SUMIF(asientos!$C$13:$C$1276,SYS_4_3_Digitos!A414,asientos!$B$13:$B$1276)</f>
        <v>0</v>
      </c>
      <c r="H414" s="1317">
        <f>+SUMIF(asientos!$I$13:$I$1276,SYS_4_3_Digitos!A414,asientos!$J$13:$J$1276)</f>
        <v>0</v>
      </c>
      <c r="I414" s="1314">
        <f t="shared" si="40"/>
        <v>0</v>
      </c>
      <c r="J414" s="1315">
        <f t="shared" si="41"/>
        <v>0</v>
      </c>
      <c r="L414" s="1308">
        <f t="shared" si="42"/>
        <v>0</v>
      </c>
      <c r="M414" s="1296" t="str">
        <f t="shared" si="43"/>
        <v>0</v>
      </c>
      <c r="N414" s="1309">
        <f t="shared" si="44"/>
        <v>0</v>
      </c>
      <c r="O414" s="1296" t="str">
        <f t="shared" si="45"/>
        <v>0</v>
      </c>
    </row>
    <row r="415" spans="1:15" s="1296" customFormat="1" hidden="1">
      <c r="A415" s="1310"/>
      <c r="B415" s="1311"/>
      <c r="C415" s="1312">
        <v>0</v>
      </c>
      <c r="D415" s="1313">
        <v>0</v>
      </c>
      <c r="E415" s="1314"/>
      <c r="F415" s="1315"/>
      <c r="G415" s="1316">
        <f>+SUMIF(asientos!$C$13:$C$1276,SYS_4_3_Digitos!A415,asientos!$B$13:$B$1276)</f>
        <v>0</v>
      </c>
      <c r="H415" s="1317">
        <f>+SUMIF(asientos!$I$13:$I$1276,SYS_4_3_Digitos!A415,asientos!$J$13:$J$1276)</f>
        <v>0</v>
      </c>
      <c r="I415" s="1314">
        <f t="shared" si="40"/>
        <v>0</v>
      </c>
      <c r="J415" s="1315">
        <f t="shared" si="41"/>
        <v>0</v>
      </c>
      <c r="L415" s="1308">
        <f t="shared" si="42"/>
        <v>0</v>
      </c>
      <c r="M415" s="1296" t="str">
        <f t="shared" si="43"/>
        <v>0</v>
      </c>
      <c r="N415" s="1309">
        <f t="shared" si="44"/>
        <v>0</v>
      </c>
      <c r="O415" s="1296" t="str">
        <f t="shared" si="45"/>
        <v>0</v>
      </c>
    </row>
    <row r="416" spans="1:15" s="1296" customFormat="1" hidden="1">
      <c r="A416" s="1310"/>
      <c r="B416" s="1311"/>
      <c r="C416" s="1312">
        <v>0</v>
      </c>
      <c r="D416" s="1313">
        <v>0</v>
      </c>
      <c r="E416" s="1314"/>
      <c r="F416" s="1315"/>
      <c r="G416" s="1316">
        <f>+SUMIF(asientos!$C$13:$C$1276,SYS_4_3_Digitos!A416,asientos!$B$13:$B$1276)</f>
        <v>0</v>
      </c>
      <c r="H416" s="1317">
        <f>+SUMIF(asientos!$I$13:$I$1276,SYS_4_3_Digitos!A416,asientos!$J$13:$J$1276)</f>
        <v>0</v>
      </c>
      <c r="I416" s="1314">
        <f t="shared" si="40"/>
        <v>0</v>
      </c>
      <c r="J416" s="1315">
        <f t="shared" si="41"/>
        <v>0</v>
      </c>
      <c r="L416" s="1308">
        <f t="shared" si="42"/>
        <v>0</v>
      </c>
      <c r="M416" s="1296" t="str">
        <f t="shared" si="43"/>
        <v>0</v>
      </c>
      <c r="N416" s="1309">
        <f t="shared" si="44"/>
        <v>0</v>
      </c>
      <c r="O416" s="1296" t="str">
        <f t="shared" si="45"/>
        <v>0</v>
      </c>
    </row>
    <row r="417" spans="1:15" s="1296" customFormat="1" hidden="1">
      <c r="A417" s="1310"/>
      <c r="B417" s="1311"/>
      <c r="C417" s="1312">
        <v>0</v>
      </c>
      <c r="D417" s="1313">
        <v>0</v>
      </c>
      <c r="E417" s="1314"/>
      <c r="F417" s="1315"/>
      <c r="G417" s="1316">
        <f>+SUMIF(asientos!$C$13:$C$1276,SYS_4_3_Digitos!A417,asientos!$B$13:$B$1276)</f>
        <v>0</v>
      </c>
      <c r="H417" s="1317">
        <f>+SUMIF(asientos!$I$13:$I$1276,SYS_4_3_Digitos!A417,asientos!$J$13:$J$1276)</f>
        <v>0</v>
      </c>
      <c r="I417" s="1314">
        <f t="shared" si="40"/>
        <v>0</v>
      </c>
      <c r="J417" s="1315">
        <f t="shared" si="41"/>
        <v>0</v>
      </c>
      <c r="L417" s="1308">
        <f t="shared" si="42"/>
        <v>0</v>
      </c>
      <c r="M417" s="1296" t="str">
        <f t="shared" si="43"/>
        <v>0</v>
      </c>
      <c r="N417" s="1309">
        <f t="shared" si="44"/>
        <v>0</v>
      </c>
      <c r="O417" s="1296" t="str">
        <f t="shared" si="45"/>
        <v>0</v>
      </c>
    </row>
    <row r="418" spans="1:15" s="1296" customFormat="1" hidden="1">
      <c r="A418" s="1310"/>
      <c r="B418" s="1311"/>
      <c r="C418" s="1312">
        <v>0</v>
      </c>
      <c r="D418" s="1313">
        <v>0</v>
      </c>
      <c r="E418" s="1314"/>
      <c r="F418" s="1315"/>
      <c r="G418" s="1316">
        <f>+SUMIF(asientos!$C$13:$C$1276,SYS_4_3_Digitos!A418,asientos!$B$13:$B$1276)</f>
        <v>0</v>
      </c>
      <c r="H418" s="1317">
        <f>+SUMIF(asientos!$I$13:$I$1276,SYS_4_3_Digitos!A418,asientos!$J$13:$J$1276)</f>
        <v>0</v>
      </c>
      <c r="I418" s="1314">
        <f t="shared" si="40"/>
        <v>0</v>
      </c>
      <c r="J418" s="1315">
        <f t="shared" si="41"/>
        <v>0</v>
      </c>
      <c r="L418" s="1308">
        <f t="shared" si="42"/>
        <v>0</v>
      </c>
      <c r="M418" s="1296" t="str">
        <f t="shared" si="43"/>
        <v>0</v>
      </c>
      <c r="N418" s="1309">
        <f t="shared" si="44"/>
        <v>0</v>
      </c>
      <c r="O418" s="1296" t="str">
        <f t="shared" si="45"/>
        <v>0</v>
      </c>
    </row>
    <row r="419" spans="1:15" s="1296" customFormat="1" hidden="1">
      <c r="A419" s="1310"/>
      <c r="B419" s="1311"/>
      <c r="C419" s="1312">
        <v>0</v>
      </c>
      <c r="D419" s="1313">
        <v>0</v>
      </c>
      <c r="E419" s="1314"/>
      <c r="F419" s="1315"/>
      <c r="G419" s="1316">
        <f>+SUMIF(asientos!$C$13:$C$1276,SYS_4_3_Digitos!A419,asientos!$B$13:$B$1276)</f>
        <v>0</v>
      </c>
      <c r="H419" s="1317">
        <f>+SUMIF(asientos!$I$13:$I$1276,SYS_4_3_Digitos!A419,asientos!$J$13:$J$1276)</f>
        <v>0</v>
      </c>
      <c r="I419" s="1314">
        <f t="shared" si="40"/>
        <v>0</v>
      </c>
      <c r="J419" s="1315">
        <f t="shared" si="41"/>
        <v>0</v>
      </c>
      <c r="L419" s="1308">
        <f t="shared" si="42"/>
        <v>0</v>
      </c>
      <c r="M419" s="1296" t="str">
        <f t="shared" si="43"/>
        <v>0</v>
      </c>
      <c r="N419" s="1309">
        <f t="shared" si="44"/>
        <v>0</v>
      </c>
      <c r="O419" s="1296" t="str">
        <f t="shared" si="45"/>
        <v>0</v>
      </c>
    </row>
    <row r="420" spans="1:15" s="1296" customFormat="1" hidden="1">
      <c r="A420" s="1310"/>
      <c r="B420" s="1311"/>
      <c r="C420" s="1312">
        <v>0</v>
      </c>
      <c r="D420" s="1313">
        <v>0</v>
      </c>
      <c r="E420" s="1314"/>
      <c r="F420" s="1315"/>
      <c r="G420" s="1316">
        <f>+SUMIF(asientos!$C$13:$C$1276,SYS_4_3_Digitos!A420,asientos!$B$13:$B$1276)</f>
        <v>0</v>
      </c>
      <c r="H420" s="1317">
        <f>+SUMIF(asientos!$I$13:$I$1276,SYS_4_3_Digitos!A420,asientos!$J$13:$J$1276)</f>
        <v>0</v>
      </c>
      <c r="I420" s="1314">
        <f t="shared" si="40"/>
        <v>0</v>
      </c>
      <c r="J420" s="1315">
        <f t="shared" si="41"/>
        <v>0</v>
      </c>
      <c r="L420" s="1308">
        <f t="shared" si="42"/>
        <v>0</v>
      </c>
      <c r="M420" s="1296" t="str">
        <f t="shared" si="43"/>
        <v>0</v>
      </c>
      <c r="N420" s="1309">
        <f t="shared" si="44"/>
        <v>0</v>
      </c>
      <c r="O420" s="1296" t="str">
        <f t="shared" si="45"/>
        <v>0</v>
      </c>
    </row>
    <row r="421" spans="1:15" s="1296" customFormat="1" hidden="1">
      <c r="A421" s="1310"/>
      <c r="B421" s="1311"/>
      <c r="C421" s="1312">
        <v>0</v>
      </c>
      <c r="D421" s="1313">
        <v>0</v>
      </c>
      <c r="E421" s="1314"/>
      <c r="F421" s="1315"/>
      <c r="G421" s="1316">
        <f>+SUMIF(asientos!$C$13:$C$1276,SYS_4_3_Digitos!A421,asientos!$B$13:$B$1276)</f>
        <v>0</v>
      </c>
      <c r="H421" s="1317">
        <f>+SUMIF(asientos!$I$13:$I$1276,SYS_4_3_Digitos!A421,asientos!$J$13:$J$1276)</f>
        <v>0</v>
      </c>
      <c r="I421" s="1314">
        <f t="shared" ref="I421:I484" si="46">IF((E421+G421-F421-H421)&gt;0,E421+G421-F421-H421,0)</f>
        <v>0</v>
      </c>
      <c r="J421" s="1315">
        <f t="shared" ref="J421:J484" si="47">IF((F421+H421-E421-G421)&gt;0,F421+H421-E421-G421,0)</f>
        <v>0</v>
      </c>
      <c r="L421" s="1308">
        <f t="shared" ref="L421:L484" si="48">+A421*1000000</f>
        <v>0</v>
      </c>
      <c r="M421" s="1296" t="str">
        <f t="shared" ref="M421:M484" si="49">+LEFT(L421,4)</f>
        <v>0</v>
      </c>
      <c r="N421" s="1309">
        <f t="shared" ref="N421:N484" si="50">+I421-J421</f>
        <v>0</v>
      </c>
      <c r="O421" s="1296" t="str">
        <f t="shared" ref="O421:O484" si="51">+LEFT(M421,2)</f>
        <v>0</v>
      </c>
    </row>
    <row r="422" spans="1:15" s="1296" customFormat="1" hidden="1">
      <c r="A422" s="1310"/>
      <c r="B422" s="1311"/>
      <c r="C422" s="1312">
        <v>0</v>
      </c>
      <c r="D422" s="1313">
        <v>0</v>
      </c>
      <c r="E422" s="1314"/>
      <c r="F422" s="1315"/>
      <c r="G422" s="1316">
        <f>+SUMIF(asientos!$C$13:$C$1276,SYS_4_3_Digitos!A422,asientos!$B$13:$B$1276)</f>
        <v>0</v>
      </c>
      <c r="H422" s="1317">
        <f>+SUMIF(asientos!$I$13:$I$1276,SYS_4_3_Digitos!A422,asientos!$J$13:$J$1276)</f>
        <v>0</v>
      </c>
      <c r="I422" s="1314">
        <f t="shared" si="46"/>
        <v>0</v>
      </c>
      <c r="J422" s="1315">
        <f t="shared" si="47"/>
        <v>0</v>
      </c>
      <c r="L422" s="1308">
        <f t="shared" si="48"/>
        <v>0</v>
      </c>
      <c r="M422" s="1296" t="str">
        <f t="shared" si="49"/>
        <v>0</v>
      </c>
      <c r="N422" s="1309">
        <f t="shared" si="50"/>
        <v>0</v>
      </c>
      <c r="O422" s="1296" t="str">
        <f t="shared" si="51"/>
        <v>0</v>
      </c>
    </row>
    <row r="423" spans="1:15" s="1296" customFormat="1" hidden="1">
      <c r="A423" s="1310"/>
      <c r="B423" s="1311"/>
      <c r="C423" s="1312">
        <v>0</v>
      </c>
      <c r="D423" s="1313">
        <v>0</v>
      </c>
      <c r="E423" s="1314"/>
      <c r="F423" s="1315"/>
      <c r="G423" s="1316">
        <f>+SUMIF(asientos!$C$13:$C$1276,SYS_4_3_Digitos!A423,asientos!$B$13:$B$1276)</f>
        <v>0</v>
      </c>
      <c r="H423" s="1317">
        <f>+SUMIF(asientos!$I$13:$I$1276,SYS_4_3_Digitos!A423,asientos!$J$13:$J$1276)</f>
        <v>0</v>
      </c>
      <c r="I423" s="1314">
        <f t="shared" si="46"/>
        <v>0</v>
      </c>
      <c r="J423" s="1315">
        <f t="shared" si="47"/>
        <v>0</v>
      </c>
      <c r="L423" s="1308">
        <f t="shared" si="48"/>
        <v>0</v>
      </c>
      <c r="M423" s="1296" t="str">
        <f t="shared" si="49"/>
        <v>0</v>
      </c>
      <c r="N423" s="1309">
        <f t="shared" si="50"/>
        <v>0</v>
      </c>
      <c r="O423" s="1296" t="str">
        <f t="shared" si="51"/>
        <v>0</v>
      </c>
    </row>
    <row r="424" spans="1:15" s="1296" customFormat="1" hidden="1">
      <c r="A424" s="1310"/>
      <c r="B424" s="1311"/>
      <c r="C424" s="1312">
        <v>0</v>
      </c>
      <c r="D424" s="1313">
        <v>0</v>
      </c>
      <c r="E424" s="1314"/>
      <c r="F424" s="1315"/>
      <c r="G424" s="1316">
        <f>+SUMIF(asientos!$C$13:$C$1276,SYS_4_3_Digitos!A424,asientos!$B$13:$B$1276)</f>
        <v>0</v>
      </c>
      <c r="H424" s="1317">
        <f>+SUMIF(asientos!$I$13:$I$1276,SYS_4_3_Digitos!A424,asientos!$J$13:$J$1276)</f>
        <v>0</v>
      </c>
      <c r="I424" s="1314">
        <f t="shared" si="46"/>
        <v>0</v>
      </c>
      <c r="J424" s="1315">
        <f t="shared" si="47"/>
        <v>0</v>
      </c>
      <c r="L424" s="1308">
        <f t="shared" si="48"/>
        <v>0</v>
      </c>
      <c r="M424" s="1296" t="str">
        <f t="shared" si="49"/>
        <v>0</v>
      </c>
      <c r="N424" s="1309">
        <f t="shared" si="50"/>
        <v>0</v>
      </c>
      <c r="O424" s="1296" t="str">
        <f t="shared" si="51"/>
        <v>0</v>
      </c>
    </row>
    <row r="425" spans="1:15" s="1296" customFormat="1" hidden="1">
      <c r="A425" s="1310"/>
      <c r="B425" s="1311"/>
      <c r="C425" s="1312">
        <v>0</v>
      </c>
      <c r="D425" s="1313">
        <v>0</v>
      </c>
      <c r="E425" s="1314"/>
      <c r="F425" s="1315"/>
      <c r="G425" s="1316">
        <f>+SUMIF(asientos!$C$13:$C$1276,SYS_4_3_Digitos!A425,asientos!$B$13:$B$1276)</f>
        <v>0</v>
      </c>
      <c r="H425" s="1317">
        <f>+SUMIF(asientos!$I$13:$I$1276,SYS_4_3_Digitos!A425,asientos!$J$13:$J$1276)</f>
        <v>0</v>
      </c>
      <c r="I425" s="1314">
        <f t="shared" si="46"/>
        <v>0</v>
      </c>
      <c r="J425" s="1315">
        <f t="shared" si="47"/>
        <v>0</v>
      </c>
      <c r="L425" s="1308">
        <f t="shared" si="48"/>
        <v>0</v>
      </c>
      <c r="M425" s="1296" t="str">
        <f t="shared" si="49"/>
        <v>0</v>
      </c>
      <c r="N425" s="1309">
        <f t="shared" si="50"/>
        <v>0</v>
      </c>
      <c r="O425" s="1296" t="str">
        <f t="shared" si="51"/>
        <v>0</v>
      </c>
    </row>
    <row r="426" spans="1:15" s="1296" customFormat="1" hidden="1">
      <c r="A426" s="1310"/>
      <c r="B426" s="1311"/>
      <c r="C426" s="1312">
        <v>0</v>
      </c>
      <c r="D426" s="1313">
        <v>0</v>
      </c>
      <c r="E426" s="1314"/>
      <c r="F426" s="1315"/>
      <c r="G426" s="1316">
        <f>+SUMIF(asientos!$C$13:$C$1276,SYS_4_3_Digitos!A426,asientos!$B$13:$B$1276)</f>
        <v>0</v>
      </c>
      <c r="H426" s="1317">
        <f>+SUMIF(asientos!$I$13:$I$1276,SYS_4_3_Digitos!A426,asientos!$J$13:$J$1276)</f>
        <v>0</v>
      </c>
      <c r="I426" s="1314">
        <f t="shared" si="46"/>
        <v>0</v>
      </c>
      <c r="J426" s="1315">
        <f t="shared" si="47"/>
        <v>0</v>
      </c>
      <c r="L426" s="1308">
        <f t="shared" si="48"/>
        <v>0</v>
      </c>
      <c r="M426" s="1296" t="str">
        <f t="shared" si="49"/>
        <v>0</v>
      </c>
      <c r="N426" s="1309">
        <f t="shared" si="50"/>
        <v>0</v>
      </c>
      <c r="O426" s="1296" t="str">
        <f t="shared" si="51"/>
        <v>0</v>
      </c>
    </row>
    <row r="427" spans="1:15" s="1296" customFormat="1" hidden="1">
      <c r="A427" s="1310"/>
      <c r="B427" s="1311"/>
      <c r="C427" s="1312">
        <v>0</v>
      </c>
      <c r="D427" s="1313">
        <v>0</v>
      </c>
      <c r="E427" s="1314"/>
      <c r="F427" s="1315"/>
      <c r="G427" s="1316">
        <f>+SUMIF(asientos!$C$13:$C$1276,SYS_4_3_Digitos!A427,asientos!$B$13:$B$1276)</f>
        <v>0</v>
      </c>
      <c r="H427" s="1317">
        <f>+SUMIF(asientos!$I$13:$I$1276,SYS_4_3_Digitos!A427,asientos!$J$13:$J$1276)</f>
        <v>0</v>
      </c>
      <c r="I427" s="1314">
        <f t="shared" si="46"/>
        <v>0</v>
      </c>
      <c r="J427" s="1315">
        <f t="shared" si="47"/>
        <v>0</v>
      </c>
      <c r="L427" s="1308">
        <f t="shared" si="48"/>
        <v>0</v>
      </c>
      <c r="M427" s="1296" t="str">
        <f t="shared" si="49"/>
        <v>0</v>
      </c>
      <c r="N427" s="1309">
        <f t="shared" si="50"/>
        <v>0</v>
      </c>
      <c r="O427" s="1296" t="str">
        <f t="shared" si="51"/>
        <v>0</v>
      </c>
    </row>
    <row r="428" spans="1:15" s="1296" customFormat="1" hidden="1">
      <c r="A428" s="1310"/>
      <c r="B428" s="1311"/>
      <c r="C428" s="1312">
        <v>0</v>
      </c>
      <c r="D428" s="1313">
        <v>0</v>
      </c>
      <c r="E428" s="1314"/>
      <c r="F428" s="1315"/>
      <c r="G428" s="1316">
        <f>+SUMIF(asientos!$C$13:$C$1276,SYS_4_3_Digitos!A428,asientos!$B$13:$B$1276)</f>
        <v>0</v>
      </c>
      <c r="H428" s="1317">
        <f>+SUMIF(asientos!$I$13:$I$1276,SYS_4_3_Digitos!A428,asientos!$J$13:$J$1276)</f>
        <v>0</v>
      </c>
      <c r="I428" s="1314">
        <f t="shared" si="46"/>
        <v>0</v>
      </c>
      <c r="J428" s="1315">
        <f t="shared" si="47"/>
        <v>0</v>
      </c>
      <c r="L428" s="1308">
        <f t="shared" si="48"/>
        <v>0</v>
      </c>
      <c r="M428" s="1296" t="str">
        <f t="shared" si="49"/>
        <v>0</v>
      </c>
      <c r="N428" s="1309">
        <f t="shared" si="50"/>
        <v>0</v>
      </c>
      <c r="O428" s="1296" t="str">
        <f t="shared" si="51"/>
        <v>0</v>
      </c>
    </row>
    <row r="429" spans="1:15" s="1296" customFormat="1" hidden="1">
      <c r="A429" s="1310"/>
      <c r="B429" s="1311"/>
      <c r="C429" s="1312">
        <v>0</v>
      </c>
      <c r="D429" s="1313">
        <v>0</v>
      </c>
      <c r="E429" s="1314"/>
      <c r="F429" s="1315"/>
      <c r="G429" s="1316">
        <f>+SUMIF(asientos!$C$13:$C$1276,SYS_4_3_Digitos!A429,asientos!$B$13:$B$1276)</f>
        <v>0</v>
      </c>
      <c r="H429" s="1317">
        <f>+SUMIF(asientos!$I$13:$I$1276,SYS_4_3_Digitos!A429,asientos!$J$13:$J$1276)</f>
        <v>0</v>
      </c>
      <c r="I429" s="1314">
        <f t="shared" si="46"/>
        <v>0</v>
      </c>
      <c r="J429" s="1315">
        <f t="shared" si="47"/>
        <v>0</v>
      </c>
      <c r="L429" s="1308">
        <f t="shared" si="48"/>
        <v>0</v>
      </c>
      <c r="M429" s="1296" t="str">
        <f t="shared" si="49"/>
        <v>0</v>
      </c>
      <c r="N429" s="1309">
        <f t="shared" si="50"/>
        <v>0</v>
      </c>
      <c r="O429" s="1296" t="str">
        <f t="shared" si="51"/>
        <v>0</v>
      </c>
    </row>
    <row r="430" spans="1:15" s="1296" customFormat="1" hidden="1">
      <c r="A430" s="1310"/>
      <c r="B430" s="1311"/>
      <c r="C430" s="1312">
        <v>0</v>
      </c>
      <c r="D430" s="1313">
        <v>0</v>
      </c>
      <c r="E430" s="1314"/>
      <c r="F430" s="1315"/>
      <c r="G430" s="1316">
        <f>+SUMIF(asientos!$C$13:$C$1276,SYS_4_3_Digitos!A430,asientos!$B$13:$B$1276)</f>
        <v>0</v>
      </c>
      <c r="H430" s="1317">
        <f>+SUMIF(asientos!$I$13:$I$1276,SYS_4_3_Digitos!A430,asientos!$J$13:$J$1276)</f>
        <v>0</v>
      </c>
      <c r="I430" s="1314">
        <f t="shared" si="46"/>
        <v>0</v>
      </c>
      <c r="J430" s="1315">
        <f t="shared" si="47"/>
        <v>0</v>
      </c>
      <c r="L430" s="1308">
        <f t="shared" si="48"/>
        <v>0</v>
      </c>
      <c r="M430" s="1296" t="str">
        <f t="shared" si="49"/>
        <v>0</v>
      </c>
      <c r="N430" s="1309">
        <f t="shared" si="50"/>
        <v>0</v>
      </c>
      <c r="O430" s="1296" t="str">
        <f t="shared" si="51"/>
        <v>0</v>
      </c>
    </row>
    <row r="431" spans="1:15" s="1296" customFormat="1" hidden="1">
      <c r="A431" s="1310"/>
      <c r="B431" s="1311"/>
      <c r="C431" s="1312">
        <v>0</v>
      </c>
      <c r="D431" s="1313">
        <v>0</v>
      </c>
      <c r="E431" s="1314"/>
      <c r="F431" s="1315"/>
      <c r="G431" s="1316">
        <f>+SUMIF(asientos!$C$13:$C$1276,SYS_4_3_Digitos!A431,asientos!$B$13:$B$1276)</f>
        <v>0</v>
      </c>
      <c r="H431" s="1317">
        <f>+SUMIF(asientos!$I$13:$I$1276,SYS_4_3_Digitos!A431,asientos!$J$13:$J$1276)</f>
        <v>0</v>
      </c>
      <c r="I431" s="1314">
        <f t="shared" si="46"/>
        <v>0</v>
      </c>
      <c r="J431" s="1315">
        <f t="shared" si="47"/>
        <v>0</v>
      </c>
      <c r="L431" s="1308">
        <f t="shared" si="48"/>
        <v>0</v>
      </c>
      <c r="M431" s="1296" t="str">
        <f t="shared" si="49"/>
        <v>0</v>
      </c>
      <c r="N431" s="1309">
        <f t="shared" si="50"/>
        <v>0</v>
      </c>
      <c r="O431" s="1296" t="str">
        <f t="shared" si="51"/>
        <v>0</v>
      </c>
    </row>
    <row r="432" spans="1:15" s="1296" customFormat="1" hidden="1">
      <c r="A432" s="1310"/>
      <c r="B432" s="1311"/>
      <c r="C432" s="1312">
        <v>0</v>
      </c>
      <c r="D432" s="1313">
        <v>0</v>
      </c>
      <c r="E432" s="1314"/>
      <c r="F432" s="1315"/>
      <c r="G432" s="1316">
        <f>+SUMIF(asientos!$C$13:$C$1276,SYS_4_3_Digitos!A432,asientos!$B$13:$B$1276)</f>
        <v>0</v>
      </c>
      <c r="H432" s="1317">
        <f>+SUMIF(asientos!$I$13:$I$1276,SYS_4_3_Digitos!A432,asientos!$J$13:$J$1276)</f>
        <v>0</v>
      </c>
      <c r="I432" s="1314">
        <f t="shared" si="46"/>
        <v>0</v>
      </c>
      <c r="J432" s="1315">
        <f t="shared" si="47"/>
        <v>0</v>
      </c>
      <c r="L432" s="1308">
        <f t="shared" si="48"/>
        <v>0</v>
      </c>
      <c r="M432" s="1296" t="str">
        <f t="shared" si="49"/>
        <v>0</v>
      </c>
      <c r="N432" s="1309">
        <f t="shared" si="50"/>
        <v>0</v>
      </c>
      <c r="O432" s="1296" t="str">
        <f t="shared" si="51"/>
        <v>0</v>
      </c>
    </row>
    <row r="433" spans="1:15" s="1296" customFormat="1" hidden="1">
      <c r="A433" s="1310"/>
      <c r="B433" s="1311"/>
      <c r="C433" s="1312">
        <v>0</v>
      </c>
      <c r="D433" s="1313">
        <v>0</v>
      </c>
      <c r="E433" s="1314"/>
      <c r="F433" s="1315"/>
      <c r="G433" s="1316">
        <f>+SUMIF(asientos!$C$13:$C$1276,SYS_4_3_Digitos!A433,asientos!$B$13:$B$1276)</f>
        <v>0</v>
      </c>
      <c r="H433" s="1317">
        <f>+SUMIF(asientos!$I$13:$I$1276,SYS_4_3_Digitos!A433,asientos!$J$13:$J$1276)</f>
        <v>0</v>
      </c>
      <c r="I433" s="1314">
        <f t="shared" si="46"/>
        <v>0</v>
      </c>
      <c r="J433" s="1315">
        <f t="shared" si="47"/>
        <v>0</v>
      </c>
      <c r="L433" s="1308">
        <f t="shared" si="48"/>
        <v>0</v>
      </c>
      <c r="M433" s="1296" t="str">
        <f t="shared" si="49"/>
        <v>0</v>
      </c>
      <c r="N433" s="1309">
        <f t="shared" si="50"/>
        <v>0</v>
      </c>
      <c r="O433" s="1296" t="str">
        <f t="shared" si="51"/>
        <v>0</v>
      </c>
    </row>
    <row r="434" spans="1:15" s="1296" customFormat="1" hidden="1">
      <c r="A434" s="1310"/>
      <c r="B434" s="1311"/>
      <c r="C434" s="1312">
        <v>0</v>
      </c>
      <c r="D434" s="1313">
        <v>0</v>
      </c>
      <c r="E434" s="1314"/>
      <c r="F434" s="1315"/>
      <c r="G434" s="1316">
        <f>+SUMIF(asientos!$C$13:$C$1276,SYS_4_3_Digitos!A434,asientos!$B$13:$B$1276)</f>
        <v>0</v>
      </c>
      <c r="H434" s="1317">
        <f>+SUMIF(asientos!$I$13:$I$1276,SYS_4_3_Digitos!A434,asientos!$J$13:$J$1276)</f>
        <v>0</v>
      </c>
      <c r="I434" s="1314">
        <f t="shared" si="46"/>
        <v>0</v>
      </c>
      <c r="J434" s="1315">
        <f t="shared" si="47"/>
        <v>0</v>
      </c>
      <c r="L434" s="1308">
        <f t="shared" si="48"/>
        <v>0</v>
      </c>
      <c r="M434" s="1296" t="str">
        <f t="shared" si="49"/>
        <v>0</v>
      </c>
      <c r="N434" s="1309">
        <f t="shared" si="50"/>
        <v>0</v>
      </c>
      <c r="O434" s="1296" t="str">
        <f t="shared" si="51"/>
        <v>0</v>
      </c>
    </row>
    <row r="435" spans="1:15" s="1296" customFormat="1" hidden="1">
      <c r="A435" s="1310"/>
      <c r="B435" s="1311"/>
      <c r="C435" s="1312">
        <v>0</v>
      </c>
      <c r="D435" s="1313">
        <v>0</v>
      </c>
      <c r="E435" s="1314"/>
      <c r="F435" s="1315"/>
      <c r="G435" s="1316">
        <f>+SUMIF(asientos!$C$13:$C$1276,SYS_4_3_Digitos!A435,asientos!$B$13:$B$1276)</f>
        <v>0</v>
      </c>
      <c r="H435" s="1317">
        <f>+SUMIF(asientos!$I$13:$I$1276,SYS_4_3_Digitos!A435,asientos!$J$13:$J$1276)</f>
        <v>0</v>
      </c>
      <c r="I435" s="1314">
        <f t="shared" si="46"/>
        <v>0</v>
      </c>
      <c r="J435" s="1315">
        <f t="shared" si="47"/>
        <v>0</v>
      </c>
      <c r="L435" s="1308">
        <f t="shared" si="48"/>
        <v>0</v>
      </c>
      <c r="M435" s="1296" t="str">
        <f t="shared" si="49"/>
        <v>0</v>
      </c>
      <c r="N435" s="1309">
        <f t="shared" si="50"/>
        <v>0</v>
      </c>
      <c r="O435" s="1296" t="str">
        <f t="shared" si="51"/>
        <v>0</v>
      </c>
    </row>
    <row r="436" spans="1:15" s="1296" customFormat="1" hidden="1">
      <c r="A436" s="1310"/>
      <c r="B436" s="1311"/>
      <c r="C436" s="1312">
        <v>0</v>
      </c>
      <c r="D436" s="1313">
        <v>0</v>
      </c>
      <c r="E436" s="1314"/>
      <c r="F436" s="1315"/>
      <c r="G436" s="1316">
        <f>+SUMIF(asientos!$C$13:$C$1276,SYS_4_3_Digitos!A436,asientos!$B$13:$B$1276)</f>
        <v>0</v>
      </c>
      <c r="H436" s="1317">
        <f>+SUMIF(asientos!$I$13:$I$1276,SYS_4_3_Digitos!A436,asientos!$J$13:$J$1276)</f>
        <v>0</v>
      </c>
      <c r="I436" s="1314">
        <f t="shared" si="46"/>
        <v>0</v>
      </c>
      <c r="J436" s="1315">
        <f t="shared" si="47"/>
        <v>0</v>
      </c>
      <c r="L436" s="1308">
        <f t="shared" si="48"/>
        <v>0</v>
      </c>
      <c r="M436" s="1296" t="str">
        <f t="shared" si="49"/>
        <v>0</v>
      </c>
      <c r="N436" s="1309">
        <f t="shared" si="50"/>
        <v>0</v>
      </c>
      <c r="O436" s="1296" t="str">
        <f t="shared" si="51"/>
        <v>0</v>
      </c>
    </row>
    <row r="437" spans="1:15" s="1296" customFormat="1" hidden="1">
      <c r="A437" s="1310"/>
      <c r="B437" s="1311"/>
      <c r="C437" s="1312">
        <v>0</v>
      </c>
      <c r="D437" s="1313">
        <v>0</v>
      </c>
      <c r="E437" s="1314"/>
      <c r="F437" s="1315"/>
      <c r="G437" s="1316">
        <f>+SUMIF(asientos!$C$13:$C$1276,SYS_4_3_Digitos!A437,asientos!$B$13:$B$1276)</f>
        <v>0</v>
      </c>
      <c r="H437" s="1317">
        <f>+SUMIF(asientos!$I$13:$I$1276,SYS_4_3_Digitos!A437,asientos!$J$13:$J$1276)</f>
        <v>0</v>
      </c>
      <c r="I437" s="1314">
        <f t="shared" si="46"/>
        <v>0</v>
      </c>
      <c r="J437" s="1315">
        <f t="shared" si="47"/>
        <v>0</v>
      </c>
      <c r="L437" s="1308">
        <f t="shared" si="48"/>
        <v>0</v>
      </c>
      <c r="M437" s="1296" t="str">
        <f t="shared" si="49"/>
        <v>0</v>
      </c>
      <c r="N437" s="1309">
        <f t="shared" si="50"/>
        <v>0</v>
      </c>
      <c r="O437" s="1296" t="str">
        <f t="shared" si="51"/>
        <v>0</v>
      </c>
    </row>
    <row r="438" spans="1:15" s="1296" customFormat="1" hidden="1">
      <c r="A438" s="1310"/>
      <c r="B438" s="1311"/>
      <c r="C438" s="1312">
        <v>0</v>
      </c>
      <c r="D438" s="1313">
        <v>0</v>
      </c>
      <c r="E438" s="1314"/>
      <c r="F438" s="1315"/>
      <c r="G438" s="1316">
        <f>+SUMIF(asientos!$C$13:$C$1276,SYS_4_3_Digitos!A438,asientos!$B$13:$B$1276)</f>
        <v>0</v>
      </c>
      <c r="H438" s="1317">
        <f>+SUMIF(asientos!$I$13:$I$1276,SYS_4_3_Digitos!A438,asientos!$J$13:$J$1276)</f>
        <v>0</v>
      </c>
      <c r="I438" s="1314">
        <f t="shared" si="46"/>
        <v>0</v>
      </c>
      <c r="J438" s="1315">
        <f t="shared" si="47"/>
        <v>0</v>
      </c>
      <c r="L438" s="1308">
        <f t="shared" si="48"/>
        <v>0</v>
      </c>
      <c r="M438" s="1296" t="str">
        <f t="shared" si="49"/>
        <v>0</v>
      </c>
      <c r="N438" s="1309">
        <f t="shared" si="50"/>
        <v>0</v>
      </c>
      <c r="O438" s="1296" t="str">
        <f t="shared" si="51"/>
        <v>0</v>
      </c>
    </row>
    <row r="439" spans="1:15" s="1296" customFormat="1" hidden="1">
      <c r="A439" s="1310"/>
      <c r="B439" s="1311"/>
      <c r="C439" s="1312">
        <v>0</v>
      </c>
      <c r="D439" s="1313">
        <v>0</v>
      </c>
      <c r="E439" s="1314"/>
      <c r="F439" s="1315"/>
      <c r="G439" s="1316">
        <f>+SUMIF(asientos!$C$13:$C$1276,SYS_4_3_Digitos!A439,asientos!$B$13:$B$1276)</f>
        <v>0</v>
      </c>
      <c r="H439" s="1317">
        <f>+SUMIF(asientos!$I$13:$I$1276,SYS_4_3_Digitos!A439,asientos!$J$13:$J$1276)</f>
        <v>0</v>
      </c>
      <c r="I439" s="1314">
        <f t="shared" si="46"/>
        <v>0</v>
      </c>
      <c r="J439" s="1315">
        <f t="shared" si="47"/>
        <v>0</v>
      </c>
      <c r="L439" s="1308">
        <f t="shared" si="48"/>
        <v>0</v>
      </c>
      <c r="M439" s="1296" t="str">
        <f t="shared" si="49"/>
        <v>0</v>
      </c>
      <c r="N439" s="1309">
        <f t="shared" si="50"/>
        <v>0</v>
      </c>
      <c r="O439" s="1296" t="str">
        <f t="shared" si="51"/>
        <v>0</v>
      </c>
    </row>
    <row r="440" spans="1:15" s="1296" customFormat="1" hidden="1">
      <c r="A440" s="1310"/>
      <c r="B440" s="1311"/>
      <c r="C440" s="1312">
        <v>0</v>
      </c>
      <c r="D440" s="1313">
        <v>0</v>
      </c>
      <c r="E440" s="1314"/>
      <c r="F440" s="1315"/>
      <c r="G440" s="1316">
        <f>+SUMIF(asientos!$C$13:$C$1276,SYS_4_3_Digitos!A440,asientos!$B$13:$B$1276)</f>
        <v>0</v>
      </c>
      <c r="H440" s="1317">
        <f>+SUMIF(asientos!$I$13:$I$1276,SYS_4_3_Digitos!A440,asientos!$J$13:$J$1276)</f>
        <v>0</v>
      </c>
      <c r="I440" s="1314">
        <f t="shared" si="46"/>
        <v>0</v>
      </c>
      <c r="J440" s="1315">
        <f t="shared" si="47"/>
        <v>0</v>
      </c>
      <c r="L440" s="1308">
        <f t="shared" si="48"/>
        <v>0</v>
      </c>
      <c r="M440" s="1296" t="str">
        <f t="shared" si="49"/>
        <v>0</v>
      </c>
      <c r="N440" s="1309">
        <f t="shared" si="50"/>
        <v>0</v>
      </c>
      <c r="O440" s="1296" t="str">
        <f t="shared" si="51"/>
        <v>0</v>
      </c>
    </row>
    <row r="441" spans="1:15" s="1296" customFormat="1" hidden="1">
      <c r="A441" s="1310"/>
      <c r="B441" s="1311"/>
      <c r="C441" s="1312">
        <v>0</v>
      </c>
      <c r="D441" s="1313">
        <v>0</v>
      </c>
      <c r="E441" s="1314"/>
      <c r="F441" s="1315"/>
      <c r="G441" s="1316">
        <f>+SUMIF(asientos!$C$13:$C$1276,SYS_4_3_Digitos!A441,asientos!$B$13:$B$1276)</f>
        <v>0</v>
      </c>
      <c r="H441" s="1317">
        <f>+SUMIF(asientos!$I$13:$I$1276,SYS_4_3_Digitos!A441,asientos!$J$13:$J$1276)</f>
        <v>0</v>
      </c>
      <c r="I441" s="1314">
        <f t="shared" si="46"/>
        <v>0</v>
      </c>
      <c r="J441" s="1315">
        <f t="shared" si="47"/>
        <v>0</v>
      </c>
      <c r="L441" s="1308">
        <f t="shared" si="48"/>
        <v>0</v>
      </c>
      <c r="M441" s="1296" t="str">
        <f t="shared" si="49"/>
        <v>0</v>
      </c>
      <c r="N441" s="1309">
        <f t="shared" si="50"/>
        <v>0</v>
      </c>
      <c r="O441" s="1296" t="str">
        <f t="shared" si="51"/>
        <v>0</v>
      </c>
    </row>
    <row r="442" spans="1:15" s="1296" customFormat="1" hidden="1">
      <c r="A442" s="1310"/>
      <c r="B442" s="1311"/>
      <c r="C442" s="1312">
        <v>0</v>
      </c>
      <c r="D442" s="1313">
        <v>0</v>
      </c>
      <c r="E442" s="1314"/>
      <c r="F442" s="1315"/>
      <c r="G442" s="1316">
        <f>+SUMIF(asientos!$C$13:$C$1276,SYS_4_3_Digitos!A442,asientos!$B$13:$B$1276)</f>
        <v>0</v>
      </c>
      <c r="H442" s="1317">
        <f>+SUMIF(asientos!$I$13:$I$1276,SYS_4_3_Digitos!A442,asientos!$J$13:$J$1276)</f>
        <v>0</v>
      </c>
      <c r="I442" s="1314">
        <f t="shared" si="46"/>
        <v>0</v>
      </c>
      <c r="J442" s="1315">
        <f t="shared" si="47"/>
        <v>0</v>
      </c>
      <c r="L442" s="1308">
        <f t="shared" si="48"/>
        <v>0</v>
      </c>
      <c r="M442" s="1296" t="str">
        <f t="shared" si="49"/>
        <v>0</v>
      </c>
      <c r="N442" s="1309">
        <f t="shared" si="50"/>
        <v>0</v>
      </c>
      <c r="O442" s="1296" t="str">
        <f t="shared" si="51"/>
        <v>0</v>
      </c>
    </row>
    <row r="443" spans="1:15" s="1296" customFormat="1" hidden="1">
      <c r="A443" s="1310"/>
      <c r="B443" s="1311"/>
      <c r="C443" s="1312">
        <v>0</v>
      </c>
      <c r="D443" s="1313">
        <v>0</v>
      </c>
      <c r="E443" s="1314"/>
      <c r="F443" s="1315"/>
      <c r="G443" s="1316">
        <f>+SUMIF(asientos!$C$13:$C$1276,SYS_4_3_Digitos!A443,asientos!$B$13:$B$1276)</f>
        <v>0</v>
      </c>
      <c r="H443" s="1317">
        <f>+SUMIF(asientos!$I$13:$I$1276,SYS_4_3_Digitos!A443,asientos!$J$13:$J$1276)</f>
        <v>0</v>
      </c>
      <c r="I443" s="1314">
        <f t="shared" si="46"/>
        <v>0</v>
      </c>
      <c r="J443" s="1315">
        <f t="shared" si="47"/>
        <v>0</v>
      </c>
      <c r="L443" s="1308">
        <f t="shared" si="48"/>
        <v>0</v>
      </c>
      <c r="M443" s="1296" t="str">
        <f t="shared" si="49"/>
        <v>0</v>
      </c>
      <c r="N443" s="1309">
        <f t="shared" si="50"/>
        <v>0</v>
      </c>
      <c r="O443" s="1296" t="str">
        <f t="shared" si="51"/>
        <v>0</v>
      </c>
    </row>
    <row r="444" spans="1:15" s="1296" customFormat="1" hidden="1">
      <c r="A444" s="1310"/>
      <c r="B444" s="1311"/>
      <c r="C444" s="1312">
        <v>0</v>
      </c>
      <c r="D444" s="1313">
        <v>0</v>
      </c>
      <c r="E444" s="1314"/>
      <c r="F444" s="1315"/>
      <c r="G444" s="1316">
        <f>+SUMIF(asientos!$C$13:$C$1276,SYS_4_3_Digitos!A444,asientos!$B$13:$B$1276)</f>
        <v>0</v>
      </c>
      <c r="H444" s="1317">
        <f>+SUMIF(asientos!$I$13:$I$1276,SYS_4_3_Digitos!A444,asientos!$J$13:$J$1276)</f>
        <v>0</v>
      </c>
      <c r="I444" s="1314">
        <f t="shared" si="46"/>
        <v>0</v>
      </c>
      <c r="J444" s="1315">
        <f t="shared" si="47"/>
        <v>0</v>
      </c>
      <c r="L444" s="1308">
        <f t="shared" si="48"/>
        <v>0</v>
      </c>
      <c r="M444" s="1296" t="str">
        <f t="shared" si="49"/>
        <v>0</v>
      </c>
      <c r="N444" s="1309">
        <f t="shared" si="50"/>
        <v>0</v>
      </c>
      <c r="O444" s="1296" t="str">
        <f t="shared" si="51"/>
        <v>0</v>
      </c>
    </row>
    <row r="445" spans="1:15" s="1296" customFormat="1" hidden="1">
      <c r="A445" s="1310"/>
      <c r="B445" s="1311"/>
      <c r="C445" s="1312">
        <v>0</v>
      </c>
      <c r="D445" s="1313">
        <v>0</v>
      </c>
      <c r="E445" s="1314"/>
      <c r="F445" s="1315"/>
      <c r="G445" s="1316">
        <f>+SUMIF(asientos!$C$13:$C$1276,SYS_4_3_Digitos!A445,asientos!$B$13:$B$1276)</f>
        <v>0</v>
      </c>
      <c r="H445" s="1317">
        <f>+SUMIF(asientos!$I$13:$I$1276,SYS_4_3_Digitos!A445,asientos!$J$13:$J$1276)</f>
        <v>0</v>
      </c>
      <c r="I445" s="1314">
        <f t="shared" si="46"/>
        <v>0</v>
      </c>
      <c r="J445" s="1315">
        <f t="shared" si="47"/>
        <v>0</v>
      </c>
      <c r="L445" s="1308">
        <f t="shared" si="48"/>
        <v>0</v>
      </c>
      <c r="M445" s="1296" t="str">
        <f t="shared" si="49"/>
        <v>0</v>
      </c>
      <c r="N445" s="1309">
        <f t="shared" si="50"/>
        <v>0</v>
      </c>
      <c r="O445" s="1296" t="str">
        <f t="shared" si="51"/>
        <v>0</v>
      </c>
    </row>
    <row r="446" spans="1:15" s="1296" customFormat="1" hidden="1">
      <c r="A446" s="1310"/>
      <c r="B446" s="1311"/>
      <c r="C446" s="1312">
        <v>0</v>
      </c>
      <c r="D446" s="1313">
        <v>0</v>
      </c>
      <c r="E446" s="1314"/>
      <c r="F446" s="1315"/>
      <c r="G446" s="1316">
        <f>+SUMIF(asientos!$C$13:$C$1276,SYS_4_3_Digitos!A446,asientos!$B$13:$B$1276)</f>
        <v>0</v>
      </c>
      <c r="H446" s="1317">
        <f>+SUMIF(asientos!$I$13:$I$1276,SYS_4_3_Digitos!A446,asientos!$J$13:$J$1276)</f>
        <v>0</v>
      </c>
      <c r="I446" s="1314">
        <f t="shared" si="46"/>
        <v>0</v>
      </c>
      <c r="J446" s="1315">
        <f t="shared" si="47"/>
        <v>0</v>
      </c>
      <c r="L446" s="1308">
        <f t="shared" si="48"/>
        <v>0</v>
      </c>
      <c r="M446" s="1296" t="str">
        <f t="shared" si="49"/>
        <v>0</v>
      </c>
      <c r="N446" s="1309">
        <f t="shared" si="50"/>
        <v>0</v>
      </c>
      <c r="O446" s="1296" t="str">
        <f t="shared" si="51"/>
        <v>0</v>
      </c>
    </row>
    <row r="447" spans="1:15" s="1296" customFormat="1" hidden="1">
      <c r="A447" s="1310"/>
      <c r="B447" s="1311"/>
      <c r="C447" s="1312">
        <v>0</v>
      </c>
      <c r="D447" s="1313">
        <v>0</v>
      </c>
      <c r="E447" s="1314"/>
      <c r="F447" s="1315"/>
      <c r="G447" s="1316">
        <f>+SUMIF(asientos!$C$13:$C$1276,SYS_4_3_Digitos!A447,asientos!$B$13:$B$1276)</f>
        <v>0</v>
      </c>
      <c r="H447" s="1317">
        <f>+SUMIF(asientos!$I$13:$I$1276,SYS_4_3_Digitos!A447,asientos!$J$13:$J$1276)</f>
        <v>0</v>
      </c>
      <c r="I447" s="1314">
        <f t="shared" si="46"/>
        <v>0</v>
      </c>
      <c r="J447" s="1315">
        <f t="shared" si="47"/>
        <v>0</v>
      </c>
      <c r="L447" s="1308">
        <f t="shared" si="48"/>
        <v>0</v>
      </c>
      <c r="M447" s="1296" t="str">
        <f t="shared" si="49"/>
        <v>0</v>
      </c>
      <c r="N447" s="1309">
        <f t="shared" si="50"/>
        <v>0</v>
      </c>
      <c r="O447" s="1296" t="str">
        <f t="shared" si="51"/>
        <v>0</v>
      </c>
    </row>
    <row r="448" spans="1:15" s="1296" customFormat="1" hidden="1">
      <c r="A448" s="1310"/>
      <c r="B448" s="1311"/>
      <c r="C448" s="1312">
        <v>0</v>
      </c>
      <c r="D448" s="1313">
        <v>0</v>
      </c>
      <c r="E448" s="1314"/>
      <c r="F448" s="1315"/>
      <c r="G448" s="1316">
        <f>+SUMIF(asientos!$C$13:$C$1276,SYS_4_3_Digitos!A448,asientos!$B$13:$B$1276)</f>
        <v>0</v>
      </c>
      <c r="H448" s="1317">
        <f>+SUMIF(asientos!$I$13:$I$1276,SYS_4_3_Digitos!A448,asientos!$J$13:$J$1276)</f>
        <v>0</v>
      </c>
      <c r="I448" s="1314">
        <f t="shared" si="46"/>
        <v>0</v>
      </c>
      <c r="J448" s="1315">
        <f t="shared" si="47"/>
        <v>0</v>
      </c>
      <c r="L448" s="1308">
        <f t="shared" si="48"/>
        <v>0</v>
      </c>
      <c r="M448" s="1296" t="str">
        <f t="shared" si="49"/>
        <v>0</v>
      </c>
      <c r="N448" s="1309">
        <f t="shared" si="50"/>
        <v>0</v>
      </c>
      <c r="O448" s="1296" t="str">
        <f t="shared" si="51"/>
        <v>0</v>
      </c>
    </row>
    <row r="449" spans="1:15" s="1296" customFormat="1" hidden="1">
      <c r="A449" s="1310"/>
      <c r="B449" s="1311"/>
      <c r="C449" s="1312">
        <v>0</v>
      </c>
      <c r="D449" s="1313">
        <v>0</v>
      </c>
      <c r="E449" s="1314"/>
      <c r="F449" s="1315"/>
      <c r="G449" s="1316">
        <f>+SUMIF(asientos!$C$13:$C$1276,SYS_4_3_Digitos!A449,asientos!$B$13:$B$1276)</f>
        <v>0</v>
      </c>
      <c r="H449" s="1317">
        <f>+SUMIF(asientos!$I$13:$I$1276,SYS_4_3_Digitos!A449,asientos!$J$13:$J$1276)</f>
        <v>0</v>
      </c>
      <c r="I449" s="1314">
        <f t="shared" si="46"/>
        <v>0</v>
      </c>
      <c r="J449" s="1315">
        <f t="shared" si="47"/>
        <v>0</v>
      </c>
      <c r="L449" s="1308">
        <f t="shared" si="48"/>
        <v>0</v>
      </c>
      <c r="M449" s="1296" t="str">
        <f t="shared" si="49"/>
        <v>0</v>
      </c>
      <c r="N449" s="1309">
        <f t="shared" si="50"/>
        <v>0</v>
      </c>
      <c r="O449" s="1296" t="str">
        <f t="shared" si="51"/>
        <v>0</v>
      </c>
    </row>
    <row r="450" spans="1:15" s="1296" customFormat="1" hidden="1">
      <c r="A450" s="1310"/>
      <c r="B450" s="1311"/>
      <c r="C450" s="1312">
        <v>0</v>
      </c>
      <c r="D450" s="1313">
        <v>0</v>
      </c>
      <c r="E450" s="1314"/>
      <c r="F450" s="1315"/>
      <c r="G450" s="1316">
        <f>+SUMIF(asientos!$C$13:$C$1276,SYS_4_3_Digitos!A450,asientos!$B$13:$B$1276)</f>
        <v>0</v>
      </c>
      <c r="H450" s="1317">
        <f>+SUMIF(asientos!$I$13:$I$1276,SYS_4_3_Digitos!A450,asientos!$J$13:$J$1276)</f>
        <v>0</v>
      </c>
      <c r="I450" s="1314">
        <f t="shared" si="46"/>
        <v>0</v>
      </c>
      <c r="J450" s="1315">
        <f t="shared" si="47"/>
        <v>0</v>
      </c>
      <c r="L450" s="1308">
        <f t="shared" si="48"/>
        <v>0</v>
      </c>
      <c r="M450" s="1296" t="str">
        <f t="shared" si="49"/>
        <v>0</v>
      </c>
      <c r="N450" s="1309">
        <f t="shared" si="50"/>
        <v>0</v>
      </c>
      <c r="O450" s="1296" t="str">
        <f t="shared" si="51"/>
        <v>0</v>
      </c>
    </row>
    <row r="451" spans="1:15" s="1296" customFormat="1" hidden="1">
      <c r="A451" s="1310"/>
      <c r="B451" s="1311"/>
      <c r="C451" s="1312">
        <v>0</v>
      </c>
      <c r="D451" s="1313">
        <v>0</v>
      </c>
      <c r="E451" s="1314"/>
      <c r="F451" s="1315"/>
      <c r="G451" s="1316">
        <f>+SUMIF(asientos!$C$13:$C$1276,SYS_4_3_Digitos!A451,asientos!$B$13:$B$1276)</f>
        <v>0</v>
      </c>
      <c r="H451" s="1317">
        <f>+SUMIF(asientos!$I$13:$I$1276,SYS_4_3_Digitos!A451,asientos!$J$13:$J$1276)</f>
        <v>0</v>
      </c>
      <c r="I451" s="1314">
        <f t="shared" si="46"/>
        <v>0</v>
      </c>
      <c r="J451" s="1315">
        <f t="shared" si="47"/>
        <v>0</v>
      </c>
      <c r="L451" s="1308">
        <f t="shared" si="48"/>
        <v>0</v>
      </c>
      <c r="M451" s="1296" t="str">
        <f t="shared" si="49"/>
        <v>0</v>
      </c>
      <c r="N451" s="1309">
        <f t="shared" si="50"/>
        <v>0</v>
      </c>
      <c r="O451" s="1296" t="str">
        <f t="shared" si="51"/>
        <v>0</v>
      </c>
    </row>
    <row r="452" spans="1:15" s="1296" customFormat="1" hidden="1">
      <c r="A452" s="1310"/>
      <c r="B452" s="1311"/>
      <c r="C452" s="1312">
        <v>0</v>
      </c>
      <c r="D452" s="1313">
        <v>0</v>
      </c>
      <c r="E452" s="1314"/>
      <c r="F452" s="1315"/>
      <c r="G452" s="1316">
        <f>+SUMIF(asientos!$C$13:$C$1276,SYS_4_3_Digitos!A452,asientos!$B$13:$B$1276)</f>
        <v>0</v>
      </c>
      <c r="H452" s="1317">
        <f>+SUMIF(asientos!$I$13:$I$1276,SYS_4_3_Digitos!A452,asientos!$J$13:$J$1276)</f>
        <v>0</v>
      </c>
      <c r="I452" s="1314">
        <f t="shared" si="46"/>
        <v>0</v>
      </c>
      <c r="J452" s="1315">
        <f t="shared" si="47"/>
        <v>0</v>
      </c>
      <c r="L452" s="1308">
        <f t="shared" si="48"/>
        <v>0</v>
      </c>
      <c r="M452" s="1296" t="str">
        <f t="shared" si="49"/>
        <v>0</v>
      </c>
      <c r="N452" s="1309">
        <f t="shared" si="50"/>
        <v>0</v>
      </c>
      <c r="O452" s="1296" t="str">
        <f t="shared" si="51"/>
        <v>0</v>
      </c>
    </row>
    <row r="453" spans="1:15" s="1296" customFormat="1" hidden="1">
      <c r="A453" s="1310"/>
      <c r="B453" s="1311"/>
      <c r="C453" s="1312">
        <v>0</v>
      </c>
      <c r="D453" s="1313">
        <v>0</v>
      </c>
      <c r="E453" s="1314"/>
      <c r="F453" s="1315"/>
      <c r="G453" s="1316">
        <f>+SUMIF(asientos!$C$13:$C$1276,SYS_4_3_Digitos!A453,asientos!$B$13:$B$1276)</f>
        <v>0</v>
      </c>
      <c r="H453" s="1317">
        <f>+SUMIF(asientos!$I$13:$I$1276,SYS_4_3_Digitos!A453,asientos!$J$13:$J$1276)</f>
        <v>0</v>
      </c>
      <c r="I453" s="1314">
        <f t="shared" si="46"/>
        <v>0</v>
      </c>
      <c r="J453" s="1315">
        <f t="shared" si="47"/>
        <v>0</v>
      </c>
      <c r="L453" s="1308">
        <f t="shared" si="48"/>
        <v>0</v>
      </c>
      <c r="M453" s="1296" t="str">
        <f t="shared" si="49"/>
        <v>0</v>
      </c>
      <c r="N453" s="1309">
        <f t="shared" si="50"/>
        <v>0</v>
      </c>
      <c r="O453" s="1296" t="str">
        <f t="shared" si="51"/>
        <v>0</v>
      </c>
    </row>
    <row r="454" spans="1:15" s="1296" customFormat="1" hidden="1">
      <c r="A454" s="1310"/>
      <c r="B454" s="1311"/>
      <c r="C454" s="1312">
        <v>0</v>
      </c>
      <c r="D454" s="1313">
        <v>0</v>
      </c>
      <c r="E454" s="1314"/>
      <c r="F454" s="1315"/>
      <c r="G454" s="1316">
        <f>+SUMIF(asientos!$C$13:$C$1276,SYS_4_3_Digitos!A454,asientos!$B$13:$B$1276)</f>
        <v>0</v>
      </c>
      <c r="H454" s="1317">
        <f>+SUMIF(asientos!$I$13:$I$1276,SYS_4_3_Digitos!A454,asientos!$J$13:$J$1276)</f>
        <v>0</v>
      </c>
      <c r="I454" s="1314">
        <f t="shared" si="46"/>
        <v>0</v>
      </c>
      <c r="J454" s="1315">
        <f t="shared" si="47"/>
        <v>0</v>
      </c>
      <c r="L454" s="1308">
        <f t="shared" si="48"/>
        <v>0</v>
      </c>
      <c r="M454" s="1296" t="str">
        <f t="shared" si="49"/>
        <v>0</v>
      </c>
      <c r="N454" s="1309">
        <f t="shared" si="50"/>
        <v>0</v>
      </c>
      <c r="O454" s="1296" t="str">
        <f t="shared" si="51"/>
        <v>0</v>
      </c>
    </row>
    <row r="455" spans="1:15" s="1296" customFormat="1" hidden="1">
      <c r="A455" s="1310"/>
      <c r="B455" s="1311"/>
      <c r="C455" s="1312">
        <v>0</v>
      </c>
      <c r="D455" s="1313">
        <v>0</v>
      </c>
      <c r="E455" s="1314"/>
      <c r="F455" s="1315"/>
      <c r="G455" s="1316">
        <f>+SUMIF(asientos!$C$13:$C$1276,SYS_4_3_Digitos!A455,asientos!$B$13:$B$1276)</f>
        <v>0</v>
      </c>
      <c r="H455" s="1317">
        <f>+SUMIF(asientos!$I$13:$I$1276,SYS_4_3_Digitos!A455,asientos!$J$13:$J$1276)</f>
        <v>0</v>
      </c>
      <c r="I455" s="1314">
        <f t="shared" si="46"/>
        <v>0</v>
      </c>
      <c r="J455" s="1315">
        <f t="shared" si="47"/>
        <v>0</v>
      </c>
      <c r="L455" s="1308">
        <f t="shared" si="48"/>
        <v>0</v>
      </c>
      <c r="M455" s="1296" t="str">
        <f t="shared" si="49"/>
        <v>0</v>
      </c>
      <c r="N455" s="1309">
        <f t="shared" si="50"/>
        <v>0</v>
      </c>
      <c r="O455" s="1296" t="str">
        <f t="shared" si="51"/>
        <v>0</v>
      </c>
    </row>
    <row r="456" spans="1:15" s="1296" customFormat="1" hidden="1">
      <c r="A456" s="1310"/>
      <c r="B456" s="1311"/>
      <c r="C456" s="1312">
        <v>0</v>
      </c>
      <c r="D456" s="1313">
        <v>0</v>
      </c>
      <c r="E456" s="1314"/>
      <c r="F456" s="1315"/>
      <c r="G456" s="1316">
        <f>+SUMIF(asientos!$C$13:$C$1276,SYS_4_3_Digitos!A456,asientos!$B$13:$B$1276)</f>
        <v>0</v>
      </c>
      <c r="H456" s="1317">
        <f>+SUMIF(asientos!$I$13:$I$1276,SYS_4_3_Digitos!A456,asientos!$J$13:$J$1276)</f>
        <v>0</v>
      </c>
      <c r="I456" s="1314">
        <f t="shared" si="46"/>
        <v>0</v>
      </c>
      <c r="J456" s="1315">
        <f t="shared" si="47"/>
        <v>0</v>
      </c>
      <c r="L456" s="1308">
        <f t="shared" si="48"/>
        <v>0</v>
      </c>
      <c r="M456" s="1296" t="str">
        <f t="shared" si="49"/>
        <v>0</v>
      </c>
      <c r="N456" s="1309">
        <f t="shared" si="50"/>
        <v>0</v>
      </c>
      <c r="O456" s="1296" t="str">
        <f t="shared" si="51"/>
        <v>0</v>
      </c>
    </row>
    <row r="457" spans="1:15" s="1296" customFormat="1" hidden="1">
      <c r="A457" s="1310"/>
      <c r="B457" s="1311"/>
      <c r="C457" s="1312">
        <v>0</v>
      </c>
      <c r="D457" s="1313">
        <v>0</v>
      </c>
      <c r="E457" s="1314"/>
      <c r="F457" s="1315"/>
      <c r="G457" s="1316">
        <f>+SUMIF(asientos!$C$13:$C$1276,SYS_4_3_Digitos!A457,asientos!$B$13:$B$1276)</f>
        <v>0</v>
      </c>
      <c r="H457" s="1317">
        <f>+SUMIF(asientos!$I$13:$I$1276,SYS_4_3_Digitos!A457,asientos!$J$13:$J$1276)</f>
        <v>0</v>
      </c>
      <c r="I457" s="1314">
        <f t="shared" si="46"/>
        <v>0</v>
      </c>
      <c r="J457" s="1315">
        <f t="shared" si="47"/>
        <v>0</v>
      </c>
      <c r="L457" s="1308">
        <f t="shared" si="48"/>
        <v>0</v>
      </c>
      <c r="M457" s="1296" t="str">
        <f t="shared" si="49"/>
        <v>0</v>
      </c>
      <c r="N457" s="1309">
        <f t="shared" si="50"/>
        <v>0</v>
      </c>
      <c r="O457" s="1296" t="str">
        <f t="shared" si="51"/>
        <v>0</v>
      </c>
    </row>
    <row r="458" spans="1:15" s="1296" customFormat="1" hidden="1">
      <c r="A458" s="1310"/>
      <c r="B458" s="1311"/>
      <c r="C458" s="1312">
        <v>0</v>
      </c>
      <c r="D458" s="1313">
        <v>0</v>
      </c>
      <c r="E458" s="1314"/>
      <c r="F458" s="1315"/>
      <c r="G458" s="1316">
        <f>+SUMIF(asientos!$C$13:$C$1276,SYS_4_3_Digitos!A458,asientos!$B$13:$B$1276)</f>
        <v>0</v>
      </c>
      <c r="H458" s="1317">
        <f>+SUMIF(asientos!$I$13:$I$1276,SYS_4_3_Digitos!A458,asientos!$J$13:$J$1276)</f>
        <v>0</v>
      </c>
      <c r="I458" s="1314">
        <f t="shared" si="46"/>
        <v>0</v>
      </c>
      <c r="J458" s="1315">
        <f t="shared" si="47"/>
        <v>0</v>
      </c>
      <c r="L458" s="1308">
        <f t="shared" si="48"/>
        <v>0</v>
      </c>
      <c r="M458" s="1296" t="str">
        <f t="shared" si="49"/>
        <v>0</v>
      </c>
      <c r="N458" s="1309">
        <f t="shared" si="50"/>
        <v>0</v>
      </c>
      <c r="O458" s="1296" t="str">
        <f t="shared" si="51"/>
        <v>0</v>
      </c>
    </row>
    <row r="459" spans="1:15" s="1296" customFormat="1" hidden="1">
      <c r="A459" s="1310"/>
      <c r="B459" s="1311"/>
      <c r="C459" s="1312">
        <v>0</v>
      </c>
      <c r="D459" s="1313">
        <v>0</v>
      </c>
      <c r="E459" s="1314"/>
      <c r="F459" s="1315"/>
      <c r="G459" s="1316">
        <f>+SUMIF(asientos!$C$13:$C$1276,SYS_4_3_Digitos!A459,asientos!$B$13:$B$1276)</f>
        <v>0</v>
      </c>
      <c r="H459" s="1317">
        <f>+SUMIF(asientos!$I$13:$I$1276,SYS_4_3_Digitos!A459,asientos!$J$13:$J$1276)</f>
        <v>0</v>
      </c>
      <c r="I459" s="1314">
        <f t="shared" si="46"/>
        <v>0</v>
      </c>
      <c r="J459" s="1315">
        <f t="shared" si="47"/>
        <v>0</v>
      </c>
      <c r="L459" s="1308">
        <f t="shared" si="48"/>
        <v>0</v>
      </c>
      <c r="M459" s="1296" t="str">
        <f t="shared" si="49"/>
        <v>0</v>
      </c>
      <c r="N459" s="1309">
        <f t="shared" si="50"/>
        <v>0</v>
      </c>
      <c r="O459" s="1296" t="str">
        <f t="shared" si="51"/>
        <v>0</v>
      </c>
    </row>
    <row r="460" spans="1:15" s="1296" customFormat="1" hidden="1">
      <c r="A460" s="1310"/>
      <c r="B460" s="1311"/>
      <c r="C460" s="1312">
        <v>0</v>
      </c>
      <c r="D460" s="1313">
        <v>0</v>
      </c>
      <c r="E460" s="1314"/>
      <c r="F460" s="1315"/>
      <c r="G460" s="1316">
        <f>+SUMIF(asientos!$C$13:$C$1276,SYS_4_3_Digitos!A460,asientos!$B$13:$B$1276)</f>
        <v>0</v>
      </c>
      <c r="H460" s="1317">
        <f>+SUMIF(asientos!$I$13:$I$1276,SYS_4_3_Digitos!A460,asientos!$J$13:$J$1276)</f>
        <v>0</v>
      </c>
      <c r="I460" s="1314">
        <f t="shared" si="46"/>
        <v>0</v>
      </c>
      <c r="J460" s="1315">
        <f t="shared" si="47"/>
        <v>0</v>
      </c>
      <c r="L460" s="1308">
        <f t="shared" si="48"/>
        <v>0</v>
      </c>
      <c r="M460" s="1296" t="str">
        <f t="shared" si="49"/>
        <v>0</v>
      </c>
      <c r="N460" s="1309">
        <f t="shared" si="50"/>
        <v>0</v>
      </c>
      <c r="O460" s="1296" t="str">
        <f t="shared" si="51"/>
        <v>0</v>
      </c>
    </row>
    <row r="461" spans="1:15" s="1296" customFormat="1" hidden="1">
      <c r="A461" s="1310"/>
      <c r="B461" s="1311"/>
      <c r="C461" s="1312">
        <v>0</v>
      </c>
      <c r="D461" s="1313">
        <v>0</v>
      </c>
      <c r="E461" s="1314"/>
      <c r="F461" s="1315"/>
      <c r="G461" s="1316">
        <f>+SUMIF(asientos!$C$13:$C$1276,SYS_4_3_Digitos!A461,asientos!$B$13:$B$1276)</f>
        <v>0</v>
      </c>
      <c r="H461" s="1317">
        <f>+SUMIF(asientos!$I$13:$I$1276,SYS_4_3_Digitos!A461,asientos!$J$13:$J$1276)</f>
        <v>0</v>
      </c>
      <c r="I461" s="1314">
        <f t="shared" si="46"/>
        <v>0</v>
      </c>
      <c r="J461" s="1315">
        <f t="shared" si="47"/>
        <v>0</v>
      </c>
      <c r="L461" s="1308">
        <f t="shared" si="48"/>
        <v>0</v>
      </c>
      <c r="M461" s="1296" t="str">
        <f t="shared" si="49"/>
        <v>0</v>
      </c>
      <c r="N461" s="1309">
        <f t="shared" si="50"/>
        <v>0</v>
      </c>
      <c r="O461" s="1296" t="str">
        <f t="shared" si="51"/>
        <v>0</v>
      </c>
    </row>
    <row r="462" spans="1:15" s="1296" customFormat="1" hidden="1">
      <c r="A462" s="1310"/>
      <c r="B462" s="1311"/>
      <c r="C462" s="1312">
        <v>0</v>
      </c>
      <c r="D462" s="1313">
        <v>0</v>
      </c>
      <c r="E462" s="1314"/>
      <c r="F462" s="1315"/>
      <c r="G462" s="1316">
        <f>+SUMIF(asientos!$C$13:$C$1276,SYS_4_3_Digitos!A462,asientos!$B$13:$B$1276)</f>
        <v>0</v>
      </c>
      <c r="H462" s="1317">
        <f>+SUMIF(asientos!$I$13:$I$1276,SYS_4_3_Digitos!A462,asientos!$J$13:$J$1276)</f>
        <v>0</v>
      </c>
      <c r="I462" s="1314">
        <f t="shared" si="46"/>
        <v>0</v>
      </c>
      <c r="J462" s="1315">
        <f t="shared" si="47"/>
        <v>0</v>
      </c>
      <c r="L462" s="1308">
        <f t="shared" si="48"/>
        <v>0</v>
      </c>
      <c r="M462" s="1296" t="str">
        <f t="shared" si="49"/>
        <v>0</v>
      </c>
      <c r="N462" s="1309">
        <f t="shared" si="50"/>
        <v>0</v>
      </c>
      <c r="O462" s="1296" t="str">
        <f t="shared" si="51"/>
        <v>0</v>
      </c>
    </row>
    <row r="463" spans="1:15" s="1296" customFormat="1" hidden="1">
      <c r="A463" s="1310"/>
      <c r="B463" s="1311"/>
      <c r="C463" s="1312">
        <v>0</v>
      </c>
      <c r="D463" s="1313">
        <v>0</v>
      </c>
      <c r="E463" s="1314"/>
      <c r="F463" s="1315"/>
      <c r="G463" s="1316">
        <f>+SUMIF(asientos!$C$13:$C$1276,SYS_4_3_Digitos!A463,asientos!$B$13:$B$1276)</f>
        <v>0</v>
      </c>
      <c r="H463" s="1317">
        <f>+SUMIF(asientos!$I$13:$I$1276,SYS_4_3_Digitos!A463,asientos!$J$13:$J$1276)</f>
        <v>0</v>
      </c>
      <c r="I463" s="1314">
        <f t="shared" si="46"/>
        <v>0</v>
      </c>
      <c r="J463" s="1315">
        <f t="shared" si="47"/>
        <v>0</v>
      </c>
      <c r="L463" s="1308">
        <f t="shared" si="48"/>
        <v>0</v>
      </c>
      <c r="M463" s="1296" t="str">
        <f t="shared" si="49"/>
        <v>0</v>
      </c>
      <c r="N463" s="1309">
        <f t="shared" si="50"/>
        <v>0</v>
      </c>
      <c r="O463" s="1296" t="str">
        <f t="shared" si="51"/>
        <v>0</v>
      </c>
    </row>
    <row r="464" spans="1:15" s="1296" customFormat="1" hidden="1">
      <c r="A464" s="1310"/>
      <c r="B464" s="1311"/>
      <c r="C464" s="1312">
        <v>0</v>
      </c>
      <c r="D464" s="1313">
        <v>0</v>
      </c>
      <c r="E464" s="1314"/>
      <c r="F464" s="1315"/>
      <c r="G464" s="1316">
        <f>+SUMIF(asientos!$C$13:$C$1276,SYS_4_3_Digitos!A464,asientos!$B$13:$B$1276)</f>
        <v>0</v>
      </c>
      <c r="H464" s="1317">
        <f>+SUMIF(asientos!$I$13:$I$1276,SYS_4_3_Digitos!A464,asientos!$J$13:$J$1276)</f>
        <v>0</v>
      </c>
      <c r="I464" s="1314">
        <f t="shared" si="46"/>
        <v>0</v>
      </c>
      <c r="J464" s="1315">
        <f t="shared" si="47"/>
        <v>0</v>
      </c>
      <c r="L464" s="1308">
        <f t="shared" si="48"/>
        <v>0</v>
      </c>
      <c r="M464" s="1296" t="str">
        <f t="shared" si="49"/>
        <v>0</v>
      </c>
      <c r="N464" s="1309">
        <f t="shared" si="50"/>
        <v>0</v>
      </c>
      <c r="O464" s="1296" t="str">
        <f t="shared" si="51"/>
        <v>0</v>
      </c>
    </row>
    <row r="465" spans="1:15" s="1296" customFormat="1" hidden="1">
      <c r="A465" s="1310"/>
      <c r="B465" s="1311"/>
      <c r="C465" s="1312">
        <v>0</v>
      </c>
      <c r="D465" s="1313">
        <v>0</v>
      </c>
      <c r="E465" s="1314"/>
      <c r="F465" s="1315"/>
      <c r="G465" s="1316">
        <f>+SUMIF(asientos!$C$13:$C$1276,SYS_4_3_Digitos!A465,asientos!$B$13:$B$1276)</f>
        <v>0</v>
      </c>
      <c r="H465" s="1317">
        <f>+SUMIF(asientos!$I$13:$I$1276,SYS_4_3_Digitos!A465,asientos!$J$13:$J$1276)</f>
        <v>0</v>
      </c>
      <c r="I465" s="1314">
        <f t="shared" si="46"/>
        <v>0</v>
      </c>
      <c r="J465" s="1315">
        <f t="shared" si="47"/>
        <v>0</v>
      </c>
      <c r="L465" s="1308">
        <f t="shared" si="48"/>
        <v>0</v>
      </c>
      <c r="M465" s="1296" t="str">
        <f t="shared" si="49"/>
        <v>0</v>
      </c>
      <c r="N465" s="1309">
        <f t="shared" si="50"/>
        <v>0</v>
      </c>
      <c r="O465" s="1296" t="str">
        <f t="shared" si="51"/>
        <v>0</v>
      </c>
    </row>
    <row r="466" spans="1:15" s="1296" customFormat="1" hidden="1">
      <c r="A466" s="1310"/>
      <c r="B466" s="1311"/>
      <c r="C466" s="1312">
        <v>0</v>
      </c>
      <c r="D466" s="1313">
        <v>0</v>
      </c>
      <c r="E466" s="1314"/>
      <c r="F466" s="1315"/>
      <c r="G466" s="1316">
        <f>+SUMIF(asientos!$C$13:$C$1276,SYS_4_3_Digitos!A466,asientos!$B$13:$B$1276)</f>
        <v>0</v>
      </c>
      <c r="H466" s="1317">
        <f>+SUMIF(asientos!$I$13:$I$1276,SYS_4_3_Digitos!A466,asientos!$J$13:$J$1276)</f>
        <v>0</v>
      </c>
      <c r="I466" s="1314">
        <f t="shared" si="46"/>
        <v>0</v>
      </c>
      <c r="J466" s="1315">
        <f t="shared" si="47"/>
        <v>0</v>
      </c>
      <c r="L466" s="1308">
        <f t="shared" si="48"/>
        <v>0</v>
      </c>
      <c r="M466" s="1296" t="str">
        <f t="shared" si="49"/>
        <v>0</v>
      </c>
      <c r="N466" s="1309">
        <f t="shared" si="50"/>
        <v>0</v>
      </c>
      <c r="O466" s="1296" t="str">
        <f t="shared" si="51"/>
        <v>0</v>
      </c>
    </row>
    <row r="467" spans="1:15" s="1296" customFormat="1" hidden="1">
      <c r="A467" s="1310"/>
      <c r="B467" s="1311"/>
      <c r="C467" s="1312">
        <v>0</v>
      </c>
      <c r="D467" s="1313">
        <v>0</v>
      </c>
      <c r="E467" s="1314"/>
      <c r="F467" s="1315"/>
      <c r="G467" s="1316">
        <f>+SUMIF(asientos!$C$13:$C$1276,SYS_4_3_Digitos!A467,asientos!$B$13:$B$1276)</f>
        <v>0</v>
      </c>
      <c r="H467" s="1317">
        <f>+SUMIF(asientos!$I$13:$I$1276,SYS_4_3_Digitos!A467,asientos!$J$13:$J$1276)</f>
        <v>0</v>
      </c>
      <c r="I467" s="1314">
        <f t="shared" si="46"/>
        <v>0</v>
      </c>
      <c r="J467" s="1315">
        <f t="shared" si="47"/>
        <v>0</v>
      </c>
      <c r="L467" s="1308">
        <f t="shared" si="48"/>
        <v>0</v>
      </c>
      <c r="M467" s="1296" t="str">
        <f t="shared" si="49"/>
        <v>0</v>
      </c>
      <c r="N467" s="1309">
        <f t="shared" si="50"/>
        <v>0</v>
      </c>
      <c r="O467" s="1296" t="str">
        <f t="shared" si="51"/>
        <v>0</v>
      </c>
    </row>
    <row r="468" spans="1:15" s="1296" customFormat="1" hidden="1">
      <c r="A468" s="1310"/>
      <c r="B468" s="1311"/>
      <c r="C468" s="1312">
        <v>0</v>
      </c>
      <c r="D468" s="1313">
        <v>0</v>
      </c>
      <c r="E468" s="1314"/>
      <c r="F468" s="1315"/>
      <c r="G468" s="1316">
        <f>+SUMIF(asientos!$C$13:$C$1276,SYS_4_3_Digitos!A468,asientos!$B$13:$B$1276)</f>
        <v>0</v>
      </c>
      <c r="H468" s="1317">
        <f>+SUMIF(asientos!$I$13:$I$1276,SYS_4_3_Digitos!A468,asientos!$J$13:$J$1276)</f>
        <v>0</v>
      </c>
      <c r="I468" s="1314">
        <f t="shared" si="46"/>
        <v>0</v>
      </c>
      <c r="J468" s="1315">
        <f t="shared" si="47"/>
        <v>0</v>
      </c>
      <c r="L468" s="1308">
        <f t="shared" si="48"/>
        <v>0</v>
      </c>
      <c r="M468" s="1296" t="str">
        <f t="shared" si="49"/>
        <v>0</v>
      </c>
      <c r="N468" s="1309">
        <f t="shared" si="50"/>
        <v>0</v>
      </c>
      <c r="O468" s="1296" t="str">
        <f t="shared" si="51"/>
        <v>0</v>
      </c>
    </row>
    <row r="469" spans="1:15" s="1296" customFormat="1" hidden="1">
      <c r="A469" s="1310"/>
      <c r="B469" s="1311"/>
      <c r="C469" s="1312">
        <v>0</v>
      </c>
      <c r="D469" s="1313">
        <v>0</v>
      </c>
      <c r="E469" s="1314"/>
      <c r="F469" s="1315"/>
      <c r="G469" s="1316">
        <f>+SUMIF(asientos!$C$13:$C$1276,SYS_4_3_Digitos!A469,asientos!$B$13:$B$1276)</f>
        <v>0</v>
      </c>
      <c r="H469" s="1317">
        <f>+SUMIF(asientos!$I$13:$I$1276,SYS_4_3_Digitos!A469,asientos!$J$13:$J$1276)</f>
        <v>0</v>
      </c>
      <c r="I469" s="1314">
        <f t="shared" si="46"/>
        <v>0</v>
      </c>
      <c r="J469" s="1315">
        <f t="shared" si="47"/>
        <v>0</v>
      </c>
      <c r="L469" s="1308">
        <f t="shared" si="48"/>
        <v>0</v>
      </c>
      <c r="M469" s="1296" t="str">
        <f t="shared" si="49"/>
        <v>0</v>
      </c>
      <c r="N469" s="1309">
        <f t="shared" si="50"/>
        <v>0</v>
      </c>
      <c r="O469" s="1296" t="str">
        <f t="shared" si="51"/>
        <v>0</v>
      </c>
    </row>
    <row r="470" spans="1:15" s="1296" customFormat="1" hidden="1">
      <c r="A470" s="1310"/>
      <c r="B470" s="1311"/>
      <c r="C470" s="1312">
        <v>0</v>
      </c>
      <c r="D470" s="1313">
        <v>0</v>
      </c>
      <c r="E470" s="1314"/>
      <c r="F470" s="1315"/>
      <c r="G470" s="1316">
        <f>+SUMIF(asientos!$C$13:$C$1276,SYS_4_3_Digitos!A470,asientos!$B$13:$B$1276)</f>
        <v>0</v>
      </c>
      <c r="H470" s="1317">
        <f>+SUMIF(asientos!$I$13:$I$1276,SYS_4_3_Digitos!A470,asientos!$J$13:$J$1276)</f>
        <v>0</v>
      </c>
      <c r="I470" s="1314">
        <f t="shared" si="46"/>
        <v>0</v>
      </c>
      <c r="J470" s="1315">
        <f t="shared" si="47"/>
        <v>0</v>
      </c>
      <c r="L470" s="1308">
        <f t="shared" si="48"/>
        <v>0</v>
      </c>
      <c r="M470" s="1296" t="str">
        <f t="shared" si="49"/>
        <v>0</v>
      </c>
      <c r="N470" s="1309">
        <f t="shared" si="50"/>
        <v>0</v>
      </c>
      <c r="O470" s="1296" t="str">
        <f t="shared" si="51"/>
        <v>0</v>
      </c>
    </row>
    <row r="471" spans="1:15" s="1296" customFormat="1" hidden="1">
      <c r="A471" s="1310"/>
      <c r="B471" s="1311"/>
      <c r="C471" s="1312">
        <v>0</v>
      </c>
      <c r="D471" s="1313">
        <v>0</v>
      </c>
      <c r="E471" s="1314"/>
      <c r="F471" s="1315"/>
      <c r="G471" s="1316">
        <f>+SUMIF(asientos!$C$13:$C$1276,SYS_4_3_Digitos!A471,asientos!$B$13:$B$1276)</f>
        <v>0</v>
      </c>
      <c r="H471" s="1317">
        <f>+SUMIF(asientos!$I$13:$I$1276,SYS_4_3_Digitos!A471,asientos!$J$13:$J$1276)</f>
        <v>0</v>
      </c>
      <c r="I471" s="1314">
        <f t="shared" si="46"/>
        <v>0</v>
      </c>
      <c r="J471" s="1315">
        <f t="shared" si="47"/>
        <v>0</v>
      </c>
      <c r="L471" s="1308">
        <f t="shared" si="48"/>
        <v>0</v>
      </c>
      <c r="M471" s="1296" t="str">
        <f t="shared" si="49"/>
        <v>0</v>
      </c>
      <c r="N471" s="1309">
        <f t="shared" si="50"/>
        <v>0</v>
      </c>
      <c r="O471" s="1296" t="str">
        <f t="shared" si="51"/>
        <v>0</v>
      </c>
    </row>
    <row r="472" spans="1:15" s="1296" customFormat="1" hidden="1">
      <c r="A472" s="1310"/>
      <c r="B472" s="1311"/>
      <c r="C472" s="1312">
        <v>0</v>
      </c>
      <c r="D472" s="1313">
        <v>0</v>
      </c>
      <c r="E472" s="1314"/>
      <c r="F472" s="1315"/>
      <c r="G472" s="1316">
        <f>+SUMIF(asientos!$C$13:$C$1276,SYS_4_3_Digitos!A472,asientos!$B$13:$B$1276)</f>
        <v>0</v>
      </c>
      <c r="H472" s="1317">
        <f>+SUMIF(asientos!$I$13:$I$1276,SYS_4_3_Digitos!A472,asientos!$J$13:$J$1276)</f>
        <v>0</v>
      </c>
      <c r="I472" s="1314">
        <f t="shared" si="46"/>
        <v>0</v>
      </c>
      <c r="J472" s="1315">
        <f t="shared" si="47"/>
        <v>0</v>
      </c>
      <c r="L472" s="1308">
        <f t="shared" si="48"/>
        <v>0</v>
      </c>
      <c r="M472" s="1296" t="str">
        <f t="shared" si="49"/>
        <v>0</v>
      </c>
      <c r="N472" s="1309">
        <f t="shared" si="50"/>
        <v>0</v>
      </c>
      <c r="O472" s="1296" t="str">
        <f t="shared" si="51"/>
        <v>0</v>
      </c>
    </row>
    <row r="473" spans="1:15" s="1296" customFormat="1" hidden="1">
      <c r="A473" s="1310"/>
      <c r="B473" s="1311"/>
      <c r="C473" s="1312">
        <v>0</v>
      </c>
      <c r="D473" s="1313">
        <v>0</v>
      </c>
      <c r="E473" s="1314"/>
      <c r="F473" s="1315"/>
      <c r="G473" s="1316">
        <f>+SUMIF(asientos!$C$13:$C$1276,SYS_4_3_Digitos!A473,asientos!$B$13:$B$1276)</f>
        <v>0</v>
      </c>
      <c r="H473" s="1317">
        <f>+SUMIF(asientos!$I$13:$I$1276,SYS_4_3_Digitos!A473,asientos!$J$13:$J$1276)</f>
        <v>0</v>
      </c>
      <c r="I473" s="1314">
        <f t="shared" si="46"/>
        <v>0</v>
      </c>
      <c r="J473" s="1315">
        <f t="shared" si="47"/>
        <v>0</v>
      </c>
      <c r="L473" s="1308">
        <f t="shared" si="48"/>
        <v>0</v>
      </c>
      <c r="M473" s="1296" t="str">
        <f t="shared" si="49"/>
        <v>0</v>
      </c>
      <c r="N473" s="1309">
        <f t="shared" si="50"/>
        <v>0</v>
      </c>
      <c r="O473" s="1296" t="str">
        <f t="shared" si="51"/>
        <v>0</v>
      </c>
    </row>
    <row r="474" spans="1:15" s="1296" customFormat="1" hidden="1">
      <c r="A474" s="1310"/>
      <c r="B474" s="1311"/>
      <c r="C474" s="1312">
        <v>0</v>
      </c>
      <c r="D474" s="1313">
        <v>0</v>
      </c>
      <c r="E474" s="1314"/>
      <c r="F474" s="1315"/>
      <c r="G474" s="1316">
        <f>+SUMIF(asientos!$C$13:$C$1276,SYS_4_3_Digitos!A474,asientos!$B$13:$B$1276)</f>
        <v>0</v>
      </c>
      <c r="H474" s="1317">
        <f>+SUMIF(asientos!$I$13:$I$1276,SYS_4_3_Digitos!A474,asientos!$J$13:$J$1276)</f>
        <v>0</v>
      </c>
      <c r="I474" s="1314">
        <f t="shared" si="46"/>
        <v>0</v>
      </c>
      <c r="J474" s="1315">
        <f t="shared" si="47"/>
        <v>0</v>
      </c>
      <c r="L474" s="1308">
        <f t="shared" si="48"/>
        <v>0</v>
      </c>
      <c r="M474" s="1296" t="str">
        <f t="shared" si="49"/>
        <v>0</v>
      </c>
      <c r="N474" s="1309">
        <f t="shared" si="50"/>
        <v>0</v>
      </c>
      <c r="O474" s="1296" t="str">
        <f t="shared" si="51"/>
        <v>0</v>
      </c>
    </row>
    <row r="475" spans="1:15" s="1296" customFormat="1" hidden="1">
      <c r="A475" s="1310"/>
      <c r="B475" s="1311"/>
      <c r="C475" s="1312">
        <v>0</v>
      </c>
      <c r="D475" s="1313">
        <v>0</v>
      </c>
      <c r="E475" s="1314"/>
      <c r="F475" s="1315"/>
      <c r="G475" s="1316">
        <f>+SUMIF(asientos!$C$13:$C$1276,SYS_4_3_Digitos!A475,asientos!$B$13:$B$1276)</f>
        <v>0</v>
      </c>
      <c r="H475" s="1317">
        <f>+SUMIF(asientos!$I$13:$I$1276,SYS_4_3_Digitos!A475,asientos!$J$13:$J$1276)</f>
        <v>0</v>
      </c>
      <c r="I475" s="1314">
        <f t="shared" si="46"/>
        <v>0</v>
      </c>
      <c r="J475" s="1315">
        <f t="shared" si="47"/>
        <v>0</v>
      </c>
      <c r="L475" s="1308">
        <f t="shared" si="48"/>
        <v>0</v>
      </c>
      <c r="M475" s="1296" t="str">
        <f t="shared" si="49"/>
        <v>0</v>
      </c>
      <c r="N475" s="1309">
        <f t="shared" si="50"/>
        <v>0</v>
      </c>
      <c r="O475" s="1296" t="str">
        <f t="shared" si="51"/>
        <v>0</v>
      </c>
    </row>
    <row r="476" spans="1:15" s="1296" customFormat="1" hidden="1">
      <c r="A476" s="1310"/>
      <c r="B476" s="1311"/>
      <c r="C476" s="1312">
        <v>0</v>
      </c>
      <c r="D476" s="1313">
        <v>0</v>
      </c>
      <c r="E476" s="1314"/>
      <c r="F476" s="1315"/>
      <c r="G476" s="1316">
        <f>+SUMIF(asientos!$C$13:$C$1276,SYS_4_3_Digitos!A476,asientos!$B$13:$B$1276)</f>
        <v>0</v>
      </c>
      <c r="H476" s="1317">
        <f>+SUMIF(asientos!$I$13:$I$1276,SYS_4_3_Digitos!A476,asientos!$J$13:$J$1276)</f>
        <v>0</v>
      </c>
      <c r="I476" s="1314">
        <f t="shared" si="46"/>
        <v>0</v>
      </c>
      <c r="J476" s="1315">
        <f t="shared" si="47"/>
        <v>0</v>
      </c>
      <c r="L476" s="1308">
        <f t="shared" si="48"/>
        <v>0</v>
      </c>
      <c r="M476" s="1296" t="str">
        <f t="shared" si="49"/>
        <v>0</v>
      </c>
      <c r="N476" s="1309">
        <f t="shared" si="50"/>
        <v>0</v>
      </c>
      <c r="O476" s="1296" t="str">
        <f t="shared" si="51"/>
        <v>0</v>
      </c>
    </row>
    <row r="477" spans="1:15" s="1296" customFormat="1" hidden="1">
      <c r="A477" s="1310"/>
      <c r="B477" s="1311"/>
      <c r="C477" s="1312">
        <v>0</v>
      </c>
      <c r="D477" s="1313">
        <v>0</v>
      </c>
      <c r="E477" s="1314"/>
      <c r="F477" s="1315"/>
      <c r="G477" s="1316">
        <f>+SUMIF(asientos!$C$13:$C$1276,SYS_4_3_Digitos!A477,asientos!$B$13:$B$1276)</f>
        <v>0</v>
      </c>
      <c r="H477" s="1317">
        <f>+SUMIF(asientos!$I$13:$I$1276,SYS_4_3_Digitos!A477,asientos!$J$13:$J$1276)</f>
        <v>0</v>
      </c>
      <c r="I477" s="1314">
        <f t="shared" si="46"/>
        <v>0</v>
      </c>
      <c r="J477" s="1315">
        <f t="shared" si="47"/>
        <v>0</v>
      </c>
      <c r="L477" s="1308">
        <f t="shared" si="48"/>
        <v>0</v>
      </c>
      <c r="M477" s="1296" t="str">
        <f t="shared" si="49"/>
        <v>0</v>
      </c>
      <c r="N477" s="1309">
        <f t="shared" si="50"/>
        <v>0</v>
      </c>
      <c r="O477" s="1296" t="str">
        <f t="shared" si="51"/>
        <v>0</v>
      </c>
    </row>
    <row r="478" spans="1:15" s="1296" customFormat="1" hidden="1">
      <c r="A478" s="1310"/>
      <c r="B478" s="1311"/>
      <c r="C478" s="1312">
        <v>0</v>
      </c>
      <c r="D478" s="1313">
        <v>0</v>
      </c>
      <c r="E478" s="1314"/>
      <c r="F478" s="1315"/>
      <c r="G478" s="1316">
        <f>+SUMIF(asientos!$C$13:$C$1276,SYS_4_3_Digitos!A478,asientos!$B$13:$B$1276)</f>
        <v>0</v>
      </c>
      <c r="H478" s="1317">
        <f>+SUMIF(asientos!$I$13:$I$1276,SYS_4_3_Digitos!A478,asientos!$J$13:$J$1276)</f>
        <v>0</v>
      </c>
      <c r="I478" s="1314">
        <f t="shared" si="46"/>
        <v>0</v>
      </c>
      <c r="J478" s="1315">
        <f t="shared" si="47"/>
        <v>0</v>
      </c>
      <c r="L478" s="1308">
        <f t="shared" si="48"/>
        <v>0</v>
      </c>
      <c r="M478" s="1296" t="str">
        <f t="shared" si="49"/>
        <v>0</v>
      </c>
      <c r="N478" s="1309">
        <f t="shared" si="50"/>
        <v>0</v>
      </c>
      <c r="O478" s="1296" t="str">
        <f t="shared" si="51"/>
        <v>0</v>
      </c>
    </row>
    <row r="479" spans="1:15" s="1296" customFormat="1" hidden="1">
      <c r="A479" s="1310"/>
      <c r="B479" s="1311"/>
      <c r="C479" s="1312">
        <v>0</v>
      </c>
      <c r="D479" s="1313">
        <v>0</v>
      </c>
      <c r="E479" s="1314"/>
      <c r="F479" s="1315"/>
      <c r="G479" s="1316">
        <f>+SUMIF(asientos!$C$13:$C$1276,SYS_4_3_Digitos!A479,asientos!$B$13:$B$1276)</f>
        <v>0</v>
      </c>
      <c r="H479" s="1317">
        <f>+SUMIF(asientos!$I$13:$I$1276,SYS_4_3_Digitos!A479,asientos!$J$13:$J$1276)</f>
        <v>0</v>
      </c>
      <c r="I479" s="1314">
        <f t="shared" si="46"/>
        <v>0</v>
      </c>
      <c r="J479" s="1315">
        <f t="shared" si="47"/>
        <v>0</v>
      </c>
      <c r="L479" s="1308">
        <f t="shared" si="48"/>
        <v>0</v>
      </c>
      <c r="M479" s="1296" t="str">
        <f t="shared" si="49"/>
        <v>0</v>
      </c>
      <c r="N479" s="1309">
        <f t="shared" si="50"/>
        <v>0</v>
      </c>
      <c r="O479" s="1296" t="str">
        <f t="shared" si="51"/>
        <v>0</v>
      </c>
    </row>
    <row r="480" spans="1:15" s="1296" customFormat="1" hidden="1">
      <c r="A480" s="1310"/>
      <c r="B480" s="1311"/>
      <c r="C480" s="1312">
        <v>0</v>
      </c>
      <c r="D480" s="1313">
        <v>0</v>
      </c>
      <c r="E480" s="1314"/>
      <c r="F480" s="1315"/>
      <c r="G480" s="1316">
        <f>+SUMIF(asientos!$C$13:$C$1276,SYS_4_3_Digitos!A480,asientos!$B$13:$B$1276)</f>
        <v>0</v>
      </c>
      <c r="H480" s="1317">
        <f>+SUMIF(asientos!$I$13:$I$1276,SYS_4_3_Digitos!A480,asientos!$J$13:$J$1276)</f>
        <v>0</v>
      </c>
      <c r="I480" s="1314">
        <f t="shared" si="46"/>
        <v>0</v>
      </c>
      <c r="J480" s="1315">
        <f t="shared" si="47"/>
        <v>0</v>
      </c>
      <c r="L480" s="1308">
        <f t="shared" si="48"/>
        <v>0</v>
      </c>
      <c r="M480" s="1296" t="str">
        <f t="shared" si="49"/>
        <v>0</v>
      </c>
      <c r="N480" s="1309">
        <f t="shared" si="50"/>
        <v>0</v>
      </c>
      <c r="O480" s="1296" t="str">
        <f t="shared" si="51"/>
        <v>0</v>
      </c>
    </row>
    <row r="481" spans="1:15" s="1296" customFormat="1" hidden="1">
      <c r="A481" s="1310"/>
      <c r="B481" s="1311"/>
      <c r="C481" s="1312">
        <v>0</v>
      </c>
      <c r="D481" s="1313">
        <v>0</v>
      </c>
      <c r="E481" s="1314"/>
      <c r="F481" s="1315"/>
      <c r="G481" s="1316">
        <f>+SUMIF(asientos!$C$13:$C$1276,SYS_4_3_Digitos!A481,asientos!$B$13:$B$1276)</f>
        <v>0</v>
      </c>
      <c r="H481" s="1317">
        <f>+SUMIF(asientos!$I$13:$I$1276,SYS_4_3_Digitos!A481,asientos!$J$13:$J$1276)</f>
        <v>0</v>
      </c>
      <c r="I481" s="1314">
        <f t="shared" si="46"/>
        <v>0</v>
      </c>
      <c r="J481" s="1315">
        <f t="shared" si="47"/>
        <v>0</v>
      </c>
      <c r="L481" s="1308">
        <f t="shared" si="48"/>
        <v>0</v>
      </c>
      <c r="M481" s="1296" t="str">
        <f t="shared" si="49"/>
        <v>0</v>
      </c>
      <c r="N481" s="1309">
        <f t="shared" si="50"/>
        <v>0</v>
      </c>
      <c r="O481" s="1296" t="str">
        <f t="shared" si="51"/>
        <v>0</v>
      </c>
    </row>
    <row r="482" spans="1:15" s="1296" customFormat="1" hidden="1">
      <c r="A482" s="1310"/>
      <c r="B482" s="1311"/>
      <c r="C482" s="1312">
        <v>0</v>
      </c>
      <c r="D482" s="1313">
        <v>0</v>
      </c>
      <c r="E482" s="1314"/>
      <c r="F482" s="1315"/>
      <c r="G482" s="1316">
        <f>+SUMIF(asientos!$C$13:$C$1276,SYS_4_3_Digitos!A482,asientos!$B$13:$B$1276)</f>
        <v>0</v>
      </c>
      <c r="H482" s="1317">
        <f>+SUMIF(asientos!$I$13:$I$1276,SYS_4_3_Digitos!A482,asientos!$J$13:$J$1276)</f>
        <v>0</v>
      </c>
      <c r="I482" s="1314">
        <f t="shared" si="46"/>
        <v>0</v>
      </c>
      <c r="J482" s="1315">
        <f t="shared" si="47"/>
        <v>0</v>
      </c>
      <c r="L482" s="1308">
        <f t="shared" si="48"/>
        <v>0</v>
      </c>
      <c r="M482" s="1296" t="str">
        <f t="shared" si="49"/>
        <v>0</v>
      </c>
      <c r="N482" s="1309">
        <f t="shared" si="50"/>
        <v>0</v>
      </c>
      <c r="O482" s="1296" t="str">
        <f t="shared" si="51"/>
        <v>0</v>
      </c>
    </row>
    <row r="483" spans="1:15" s="1296" customFormat="1" hidden="1">
      <c r="A483" s="1310"/>
      <c r="B483" s="1311"/>
      <c r="C483" s="1312">
        <v>0</v>
      </c>
      <c r="D483" s="1313">
        <v>0</v>
      </c>
      <c r="E483" s="1314"/>
      <c r="F483" s="1315"/>
      <c r="G483" s="1316">
        <f>+SUMIF(asientos!$C$13:$C$1276,SYS_4_3_Digitos!A483,asientos!$B$13:$B$1276)</f>
        <v>0</v>
      </c>
      <c r="H483" s="1317">
        <f>+SUMIF(asientos!$I$13:$I$1276,SYS_4_3_Digitos!A483,asientos!$J$13:$J$1276)</f>
        <v>0</v>
      </c>
      <c r="I483" s="1314">
        <f t="shared" si="46"/>
        <v>0</v>
      </c>
      <c r="J483" s="1315">
        <f t="shared" si="47"/>
        <v>0</v>
      </c>
      <c r="L483" s="1308">
        <f t="shared" si="48"/>
        <v>0</v>
      </c>
      <c r="M483" s="1296" t="str">
        <f t="shared" si="49"/>
        <v>0</v>
      </c>
      <c r="N483" s="1309">
        <f t="shared" si="50"/>
        <v>0</v>
      </c>
      <c r="O483" s="1296" t="str">
        <f t="shared" si="51"/>
        <v>0</v>
      </c>
    </row>
    <row r="484" spans="1:15" s="1296" customFormat="1" hidden="1">
      <c r="A484" s="1310"/>
      <c r="B484" s="1311"/>
      <c r="C484" s="1312">
        <v>0</v>
      </c>
      <c r="D484" s="1313">
        <v>0</v>
      </c>
      <c r="E484" s="1314"/>
      <c r="F484" s="1315"/>
      <c r="G484" s="1316">
        <f>+SUMIF(asientos!$C$13:$C$1276,SYS_4_3_Digitos!A484,asientos!$B$13:$B$1276)</f>
        <v>0</v>
      </c>
      <c r="H484" s="1317">
        <f>+SUMIF(asientos!$I$13:$I$1276,SYS_4_3_Digitos!A484,asientos!$J$13:$J$1276)</f>
        <v>0</v>
      </c>
      <c r="I484" s="1314">
        <f t="shared" si="46"/>
        <v>0</v>
      </c>
      <c r="J484" s="1315">
        <f t="shared" si="47"/>
        <v>0</v>
      </c>
      <c r="L484" s="1308">
        <f t="shared" si="48"/>
        <v>0</v>
      </c>
      <c r="M484" s="1296" t="str">
        <f t="shared" si="49"/>
        <v>0</v>
      </c>
      <c r="N484" s="1309">
        <f t="shared" si="50"/>
        <v>0</v>
      </c>
      <c r="O484" s="1296" t="str">
        <f t="shared" si="51"/>
        <v>0</v>
      </c>
    </row>
    <row r="485" spans="1:15" s="1296" customFormat="1" hidden="1">
      <c r="A485" s="1310"/>
      <c r="B485" s="1311"/>
      <c r="C485" s="1312">
        <v>0</v>
      </c>
      <c r="D485" s="1313">
        <v>0</v>
      </c>
      <c r="E485" s="1314"/>
      <c r="F485" s="1315"/>
      <c r="G485" s="1316">
        <f>+SUMIF(asientos!$C$13:$C$1276,SYS_4_3_Digitos!A485,asientos!$B$13:$B$1276)</f>
        <v>0</v>
      </c>
      <c r="H485" s="1317">
        <f>+SUMIF(asientos!$I$13:$I$1276,SYS_4_3_Digitos!A485,asientos!$J$13:$J$1276)</f>
        <v>0</v>
      </c>
      <c r="I485" s="1314">
        <f t="shared" ref="I485:I548" si="52">IF((E485+G485-F485-H485)&gt;0,E485+G485-F485-H485,0)</f>
        <v>0</v>
      </c>
      <c r="J485" s="1315">
        <f t="shared" ref="J485:J548" si="53">IF((F485+H485-E485-G485)&gt;0,F485+H485-E485-G485,0)</f>
        <v>0</v>
      </c>
      <c r="L485" s="1308">
        <f t="shared" ref="L485:L548" si="54">+A485*1000000</f>
        <v>0</v>
      </c>
      <c r="M485" s="1296" t="str">
        <f t="shared" ref="M485:M548" si="55">+LEFT(L485,4)</f>
        <v>0</v>
      </c>
      <c r="N485" s="1309">
        <f t="shared" ref="N485:N548" si="56">+I485-J485</f>
        <v>0</v>
      </c>
      <c r="O485" s="1296" t="str">
        <f t="shared" ref="O485:O548" si="57">+LEFT(M485,2)</f>
        <v>0</v>
      </c>
    </row>
    <row r="486" spans="1:15" s="1296" customFormat="1" hidden="1">
      <c r="A486" s="1310"/>
      <c r="B486" s="1311"/>
      <c r="C486" s="1312">
        <v>0</v>
      </c>
      <c r="D486" s="1313">
        <v>0</v>
      </c>
      <c r="E486" s="1314"/>
      <c r="F486" s="1315"/>
      <c r="G486" s="1316">
        <f>+SUMIF(asientos!$C$13:$C$1276,SYS_4_3_Digitos!A486,asientos!$B$13:$B$1276)</f>
        <v>0</v>
      </c>
      <c r="H486" s="1317">
        <f>+SUMIF(asientos!$I$13:$I$1276,SYS_4_3_Digitos!A486,asientos!$J$13:$J$1276)</f>
        <v>0</v>
      </c>
      <c r="I486" s="1314">
        <f t="shared" si="52"/>
        <v>0</v>
      </c>
      <c r="J486" s="1315">
        <f t="shared" si="53"/>
        <v>0</v>
      </c>
      <c r="L486" s="1308">
        <f t="shared" si="54"/>
        <v>0</v>
      </c>
      <c r="M486" s="1296" t="str">
        <f t="shared" si="55"/>
        <v>0</v>
      </c>
      <c r="N486" s="1309">
        <f t="shared" si="56"/>
        <v>0</v>
      </c>
      <c r="O486" s="1296" t="str">
        <f t="shared" si="57"/>
        <v>0</v>
      </c>
    </row>
    <row r="487" spans="1:15" s="1296" customFormat="1" hidden="1">
      <c r="A487" s="1310"/>
      <c r="B487" s="1311"/>
      <c r="C487" s="1312">
        <v>0</v>
      </c>
      <c r="D487" s="1313">
        <v>0</v>
      </c>
      <c r="E487" s="1314"/>
      <c r="F487" s="1315"/>
      <c r="G487" s="1316">
        <f>+SUMIF(asientos!$C$13:$C$1276,SYS_4_3_Digitos!A487,asientos!$B$13:$B$1276)</f>
        <v>0</v>
      </c>
      <c r="H487" s="1317">
        <f>+SUMIF(asientos!$I$13:$I$1276,SYS_4_3_Digitos!A487,asientos!$J$13:$J$1276)</f>
        <v>0</v>
      </c>
      <c r="I487" s="1314">
        <f t="shared" si="52"/>
        <v>0</v>
      </c>
      <c r="J487" s="1315">
        <f t="shared" si="53"/>
        <v>0</v>
      </c>
      <c r="L487" s="1308">
        <f t="shared" si="54"/>
        <v>0</v>
      </c>
      <c r="M487" s="1296" t="str">
        <f t="shared" si="55"/>
        <v>0</v>
      </c>
      <c r="N487" s="1309">
        <f t="shared" si="56"/>
        <v>0</v>
      </c>
      <c r="O487" s="1296" t="str">
        <f t="shared" si="57"/>
        <v>0</v>
      </c>
    </row>
    <row r="488" spans="1:15" s="1296" customFormat="1" hidden="1">
      <c r="A488" s="1310"/>
      <c r="B488" s="1311"/>
      <c r="C488" s="1312">
        <v>0</v>
      </c>
      <c r="D488" s="1313">
        <v>0</v>
      </c>
      <c r="E488" s="1314"/>
      <c r="F488" s="1315"/>
      <c r="G488" s="1316">
        <f>+SUMIF(asientos!$C$13:$C$1276,SYS_4_3_Digitos!A488,asientos!$B$13:$B$1276)</f>
        <v>0</v>
      </c>
      <c r="H488" s="1317">
        <f>+SUMIF(asientos!$I$13:$I$1276,SYS_4_3_Digitos!A488,asientos!$J$13:$J$1276)</f>
        <v>0</v>
      </c>
      <c r="I488" s="1314">
        <f t="shared" si="52"/>
        <v>0</v>
      </c>
      <c r="J488" s="1315">
        <f t="shared" si="53"/>
        <v>0</v>
      </c>
      <c r="L488" s="1308">
        <f t="shared" si="54"/>
        <v>0</v>
      </c>
      <c r="M488" s="1296" t="str">
        <f t="shared" si="55"/>
        <v>0</v>
      </c>
      <c r="N488" s="1309">
        <f t="shared" si="56"/>
        <v>0</v>
      </c>
      <c r="O488" s="1296" t="str">
        <f t="shared" si="57"/>
        <v>0</v>
      </c>
    </row>
    <row r="489" spans="1:15" s="1296" customFormat="1" hidden="1">
      <c r="A489" s="1310"/>
      <c r="B489" s="1311"/>
      <c r="C489" s="1312">
        <v>0</v>
      </c>
      <c r="D489" s="1313">
        <v>0</v>
      </c>
      <c r="E489" s="1314"/>
      <c r="F489" s="1315"/>
      <c r="G489" s="1316">
        <f>+SUMIF(asientos!$C$13:$C$1276,SYS_4_3_Digitos!A489,asientos!$B$13:$B$1276)</f>
        <v>0</v>
      </c>
      <c r="H489" s="1317">
        <f>+SUMIF(asientos!$I$13:$I$1276,SYS_4_3_Digitos!A489,asientos!$J$13:$J$1276)</f>
        <v>0</v>
      </c>
      <c r="I489" s="1314">
        <f t="shared" si="52"/>
        <v>0</v>
      </c>
      <c r="J489" s="1315">
        <f t="shared" si="53"/>
        <v>0</v>
      </c>
      <c r="L489" s="1308">
        <f t="shared" si="54"/>
        <v>0</v>
      </c>
      <c r="M489" s="1296" t="str">
        <f t="shared" si="55"/>
        <v>0</v>
      </c>
      <c r="N489" s="1309">
        <f t="shared" si="56"/>
        <v>0</v>
      </c>
      <c r="O489" s="1296" t="str">
        <f t="shared" si="57"/>
        <v>0</v>
      </c>
    </row>
    <row r="490" spans="1:15" s="1296" customFormat="1" hidden="1">
      <c r="A490" s="1310"/>
      <c r="B490" s="1311"/>
      <c r="C490" s="1312">
        <v>0</v>
      </c>
      <c r="D490" s="1313">
        <v>0</v>
      </c>
      <c r="E490" s="1314"/>
      <c r="F490" s="1315"/>
      <c r="G490" s="1316">
        <f>+SUMIF(asientos!$C$13:$C$1276,SYS_4_3_Digitos!A490,asientos!$B$13:$B$1276)</f>
        <v>0</v>
      </c>
      <c r="H490" s="1317">
        <f>+SUMIF(asientos!$I$13:$I$1276,SYS_4_3_Digitos!A490,asientos!$J$13:$J$1276)</f>
        <v>0</v>
      </c>
      <c r="I490" s="1314">
        <f t="shared" si="52"/>
        <v>0</v>
      </c>
      <c r="J490" s="1315">
        <f t="shared" si="53"/>
        <v>0</v>
      </c>
      <c r="L490" s="1308">
        <f t="shared" si="54"/>
        <v>0</v>
      </c>
      <c r="M490" s="1296" t="str">
        <f t="shared" si="55"/>
        <v>0</v>
      </c>
      <c r="N490" s="1309">
        <f t="shared" si="56"/>
        <v>0</v>
      </c>
      <c r="O490" s="1296" t="str">
        <f t="shared" si="57"/>
        <v>0</v>
      </c>
    </row>
    <row r="491" spans="1:15" s="1296" customFormat="1" hidden="1">
      <c r="A491" s="1310"/>
      <c r="B491" s="1311"/>
      <c r="C491" s="1312">
        <v>0</v>
      </c>
      <c r="D491" s="1313">
        <v>0</v>
      </c>
      <c r="E491" s="1314"/>
      <c r="F491" s="1315"/>
      <c r="G491" s="1316">
        <f>+SUMIF(asientos!$C$13:$C$1276,SYS_4_3_Digitos!A491,asientos!$B$13:$B$1276)</f>
        <v>0</v>
      </c>
      <c r="H491" s="1317">
        <f>+SUMIF(asientos!$I$13:$I$1276,SYS_4_3_Digitos!A491,asientos!$J$13:$J$1276)</f>
        <v>0</v>
      </c>
      <c r="I491" s="1314">
        <f t="shared" si="52"/>
        <v>0</v>
      </c>
      <c r="J491" s="1315">
        <f t="shared" si="53"/>
        <v>0</v>
      </c>
      <c r="L491" s="1308">
        <f t="shared" si="54"/>
        <v>0</v>
      </c>
      <c r="M491" s="1296" t="str">
        <f t="shared" si="55"/>
        <v>0</v>
      </c>
      <c r="N491" s="1309">
        <f t="shared" si="56"/>
        <v>0</v>
      </c>
      <c r="O491" s="1296" t="str">
        <f t="shared" si="57"/>
        <v>0</v>
      </c>
    </row>
    <row r="492" spans="1:15" s="1296" customFormat="1" hidden="1">
      <c r="A492" s="1310"/>
      <c r="B492" s="1311"/>
      <c r="C492" s="1312">
        <v>0</v>
      </c>
      <c r="D492" s="1313">
        <v>0</v>
      </c>
      <c r="E492" s="1314"/>
      <c r="F492" s="1315"/>
      <c r="G492" s="1316">
        <f>+SUMIF(asientos!$C$13:$C$1276,SYS_4_3_Digitos!A492,asientos!$B$13:$B$1276)</f>
        <v>0</v>
      </c>
      <c r="H492" s="1317">
        <f>+SUMIF(asientos!$I$13:$I$1276,SYS_4_3_Digitos!A492,asientos!$J$13:$J$1276)</f>
        <v>0</v>
      </c>
      <c r="I492" s="1314">
        <f t="shared" si="52"/>
        <v>0</v>
      </c>
      <c r="J492" s="1315">
        <f t="shared" si="53"/>
        <v>0</v>
      </c>
      <c r="L492" s="1308">
        <f t="shared" si="54"/>
        <v>0</v>
      </c>
      <c r="M492" s="1296" t="str">
        <f t="shared" si="55"/>
        <v>0</v>
      </c>
      <c r="N492" s="1309">
        <f t="shared" si="56"/>
        <v>0</v>
      </c>
      <c r="O492" s="1296" t="str">
        <f t="shared" si="57"/>
        <v>0</v>
      </c>
    </row>
    <row r="493" spans="1:15" s="1296" customFormat="1" hidden="1">
      <c r="A493" s="1310"/>
      <c r="B493" s="1311"/>
      <c r="C493" s="1312">
        <v>0</v>
      </c>
      <c r="D493" s="1313">
        <v>0</v>
      </c>
      <c r="E493" s="1314"/>
      <c r="F493" s="1315"/>
      <c r="G493" s="1316">
        <f>+SUMIF(asientos!$C$13:$C$1276,SYS_4_3_Digitos!A493,asientos!$B$13:$B$1276)</f>
        <v>0</v>
      </c>
      <c r="H493" s="1317">
        <f>+SUMIF(asientos!$I$13:$I$1276,SYS_4_3_Digitos!A493,asientos!$J$13:$J$1276)</f>
        <v>0</v>
      </c>
      <c r="I493" s="1314">
        <f t="shared" si="52"/>
        <v>0</v>
      </c>
      <c r="J493" s="1315">
        <f t="shared" si="53"/>
        <v>0</v>
      </c>
      <c r="L493" s="1308">
        <f t="shared" si="54"/>
        <v>0</v>
      </c>
      <c r="M493" s="1296" t="str">
        <f t="shared" si="55"/>
        <v>0</v>
      </c>
      <c r="N493" s="1309">
        <f t="shared" si="56"/>
        <v>0</v>
      </c>
      <c r="O493" s="1296" t="str">
        <f t="shared" si="57"/>
        <v>0</v>
      </c>
    </row>
    <row r="494" spans="1:15" s="1296" customFormat="1" hidden="1">
      <c r="A494" s="1310"/>
      <c r="B494" s="1311"/>
      <c r="C494" s="1312">
        <v>0</v>
      </c>
      <c r="D494" s="1313">
        <v>0</v>
      </c>
      <c r="E494" s="1314"/>
      <c r="F494" s="1315"/>
      <c r="G494" s="1316">
        <f>+SUMIF(asientos!$C$13:$C$1276,SYS_4_3_Digitos!A494,asientos!$B$13:$B$1276)</f>
        <v>0</v>
      </c>
      <c r="H494" s="1317">
        <f>+SUMIF(asientos!$I$13:$I$1276,SYS_4_3_Digitos!A494,asientos!$J$13:$J$1276)</f>
        <v>0</v>
      </c>
      <c r="I494" s="1314">
        <f t="shared" si="52"/>
        <v>0</v>
      </c>
      <c r="J494" s="1315">
        <f t="shared" si="53"/>
        <v>0</v>
      </c>
      <c r="L494" s="1308">
        <f t="shared" si="54"/>
        <v>0</v>
      </c>
      <c r="M494" s="1296" t="str">
        <f t="shared" si="55"/>
        <v>0</v>
      </c>
      <c r="N494" s="1309">
        <f t="shared" si="56"/>
        <v>0</v>
      </c>
      <c r="O494" s="1296" t="str">
        <f t="shared" si="57"/>
        <v>0</v>
      </c>
    </row>
    <row r="495" spans="1:15" s="1296" customFormat="1" hidden="1">
      <c r="A495" s="1310"/>
      <c r="B495" s="1311"/>
      <c r="C495" s="1312">
        <v>0</v>
      </c>
      <c r="D495" s="1313">
        <v>0</v>
      </c>
      <c r="E495" s="1314"/>
      <c r="F495" s="1315"/>
      <c r="G495" s="1316">
        <f>+SUMIF(asientos!$C$13:$C$1276,SYS_4_3_Digitos!A495,asientos!$B$13:$B$1276)</f>
        <v>0</v>
      </c>
      <c r="H495" s="1317">
        <f>+SUMIF(asientos!$I$13:$I$1276,SYS_4_3_Digitos!A495,asientos!$J$13:$J$1276)</f>
        <v>0</v>
      </c>
      <c r="I495" s="1314">
        <f t="shared" si="52"/>
        <v>0</v>
      </c>
      <c r="J495" s="1315">
        <f t="shared" si="53"/>
        <v>0</v>
      </c>
      <c r="L495" s="1308">
        <f t="shared" si="54"/>
        <v>0</v>
      </c>
      <c r="M495" s="1296" t="str">
        <f t="shared" si="55"/>
        <v>0</v>
      </c>
      <c r="N495" s="1309">
        <f t="shared" si="56"/>
        <v>0</v>
      </c>
      <c r="O495" s="1296" t="str">
        <f t="shared" si="57"/>
        <v>0</v>
      </c>
    </row>
    <row r="496" spans="1:15" s="1296" customFormat="1" hidden="1">
      <c r="A496" s="1310"/>
      <c r="B496" s="1311"/>
      <c r="C496" s="1312">
        <v>0</v>
      </c>
      <c r="D496" s="1313">
        <v>0</v>
      </c>
      <c r="E496" s="1314"/>
      <c r="F496" s="1315"/>
      <c r="G496" s="1316">
        <f>+SUMIF(asientos!$C$13:$C$1276,SYS_4_3_Digitos!A496,asientos!$B$13:$B$1276)</f>
        <v>0</v>
      </c>
      <c r="H496" s="1317">
        <f>+SUMIF(asientos!$I$13:$I$1276,SYS_4_3_Digitos!A496,asientos!$J$13:$J$1276)</f>
        <v>0</v>
      </c>
      <c r="I496" s="1314">
        <f t="shared" si="52"/>
        <v>0</v>
      </c>
      <c r="J496" s="1315">
        <f t="shared" si="53"/>
        <v>0</v>
      </c>
      <c r="L496" s="1308">
        <f t="shared" si="54"/>
        <v>0</v>
      </c>
      <c r="M496" s="1296" t="str">
        <f t="shared" si="55"/>
        <v>0</v>
      </c>
      <c r="N496" s="1309">
        <f t="shared" si="56"/>
        <v>0</v>
      </c>
      <c r="O496" s="1296" t="str">
        <f t="shared" si="57"/>
        <v>0</v>
      </c>
    </row>
    <row r="497" spans="1:15" s="1296" customFormat="1" hidden="1">
      <c r="A497" s="1310"/>
      <c r="B497" s="1311"/>
      <c r="C497" s="1312">
        <v>0</v>
      </c>
      <c r="D497" s="1313">
        <v>0</v>
      </c>
      <c r="E497" s="1314"/>
      <c r="F497" s="1315"/>
      <c r="G497" s="1316">
        <f>+SUMIF(asientos!$C$13:$C$1276,SYS_4_3_Digitos!A497,asientos!$B$13:$B$1276)</f>
        <v>0</v>
      </c>
      <c r="H497" s="1317">
        <f>+SUMIF(asientos!$I$13:$I$1276,SYS_4_3_Digitos!A497,asientos!$J$13:$J$1276)</f>
        <v>0</v>
      </c>
      <c r="I497" s="1314">
        <f t="shared" si="52"/>
        <v>0</v>
      </c>
      <c r="J497" s="1315">
        <f t="shared" si="53"/>
        <v>0</v>
      </c>
      <c r="L497" s="1308">
        <f t="shared" si="54"/>
        <v>0</v>
      </c>
      <c r="M497" s="1296" t="str">
        <f t="shared" si="55"/>
        <v>0</v>
      </c>
      <c r="N497" s="1309">
        <f t="shared" si="56"/>
        <v>0</v>
      </c>
      <c r="O497" s="1296" t="str">
        <f t="shared" si="57"/>
        <v>0</v>
      </c>
    </row>
    <row r="498" spans="1:15" s="1296" customFormat="1" hidden="1">
      <c r="A498" s="1310"/>
      <c r="B498" s="1311"/>
      <c r="C498" s="1312">
        <v>0</v>
      </c>
      <c r="D498" s="1313">
        <v>0</v>
      </c>
      <c r="E498" s="1314"/>
      <c r="F498" s="1315"/>
      <c r="G498" s="1316">
        <f>+SUMIF(asientos!$C$13:$C$1276,SYS_4_3_Digitos!A498,asientos!$B$13:$B$1276)</f>
        <v>0</v>
      </c>
      <c r="H498" s="1317">
        <f>+SUMIF(asientos!$I$13:$I$1276,SYS_4_3_Digitos!A498,asientos!$J$13:$J$1276)</f>
        <v>0</v>
      </c>
      <c r="I498" s="1314">
        <f t="shared" si="52"/>
        <v>0</v>
      </c>
      <c r="J498" s="1315">
        <f t="shared" si="53"/>
        <v>0</v>
      </c>
      <c r="L498" s="1308">
        <f t="shared" si="54"/>
        <v>0</v>
      </c>
      <c r="M498" s="1296" t="str">
        <f t="shared" si="55"/>
        <v>0</v>
      </c>
      <c r="N498" s="1309">
        <f t="shared" si="56"/>
        <v>0</v>
      </c>
      <c r="O498" s="1296" t="str">
        <f t="shared" si="57"/>
        <v>0</v>
      </c>
    </row>
    <row r="499" spans="1:15" s="1296" customFormat="1" hidden="1">
      <c r="A499" s="1310"/>
      <c r="B499" s="1311"/>
      <c r="C499" s="1312">
        <v>0</v>
      </c>
      <c r="D499" s="1313">
        <v>0</v>
      </c>
      <c r="E499" s="1314"/>
      <c r="F499" s="1315"/>
      <c r="G499" s="1316">
        <f>+SUMIF(asientos!$C$13:$C$1276,SYS_4_3_Digitos!A499,asientos!$B$13:$B$1276)</f>
        <v>0</v>
      </c>
      <c r="H499" s="1317">
        <f>+SUMIF(asientos!$I$13:$I$1276,SYS_4_3_Digitos!A499,asientos!$J$13:$J$1276)</f>
        <v>0</v>
      </c>
      <c r="I499" s="1314">
        <f t="shared" si="52"/>
        <v>0</v>
      </c>
      <c r="J499" s="1315">
        <f t="shared" si="53"/>
        <v>0</v>
      </c>
      <c r="L499" s="1308">
        <f t="shared" si="54"/>
        <v>0</v>
      </c>
      <c r="M499" s="1296" t="str">
        <f t="shared" si="55"/>
        <v>0</v>
      </c>
      <c r="N499" s="1309">
        <f t="shared" si="56"/>
        <v>0</v>
      </c>
      <c r="O499" s="1296" t="str">
        <f t="shared" si="57"/>
        <v>0</v>
      </c>
    </row>
    <row r="500" spans="1:15" s="1296" customFormat="1" hidden="1">
      <c r="A500" s="1310"/>
      <c r="B500" s="1311"/>
      <c r="C500" s="1312">
        <v>0</v>
      </c>
      <c r="D500" s="1313">
        <v>0</v>
      </c>
      <c r="E500" s="1314"/>
      <c r="F500" s="1315"/>
      <c r="G500" s="1316">
        <f>+SUMIF(asientos!$C$13:$C$1276,SYS_4_3_Digitos!A500,asientos!$B$13:$B$1276)</f>
        <v>0</v>
      </c>
      <c r="H500" s="1317">
        <f>+SUMIF(asientos!$I$13:$I$1276,SYS_4_3_Digitos!A500,asientos!$J$13:$J$1276)</f>
        <v>0</v>
      </c>
      <c r="I500" s="1314">
        <f t="shared" si="52"/>
        <v>0</v>
      </c>
      <c r="J500" s="1315">
        <f t="shared" si="53"/>
        <v>0</v>
      </c>
      <c r="L500" s="1308">
        <f t="shared" si="54"/>
        <v>0</v>
      </c>
      <c r="M500" s="1296" t="str">
        <f t="shared" si="55"/>
        <v>0</v>
      </c>
      <c r="N500" s="1309">
        <f t="shared" si="56"/>
        <v>0</v>
      </c>
      <c r="O500" s="1296" t="str">
        <f t="shared" si="57"/>
        <v>0</v>
      </c>
    </row>
    <row r="501" spans="1:15" s="1296" customFormat="1" hidden="1">
      <c r="A501" s="1310"/>
      <c r="B501" s="1311"/>
      <c r="C501" s="1312">
        <v>0</v>
      </c>
      <c r="D501" s="1313">
        <v>0</v>
      </c>
      <c r="E501" s="1314"/>
      <c r="F501" s="1315"/>
      <c r="G501" s="1316">
        <f>+SUMIF(asientos!$C$13:$C$1276,SYS_4_3_Digitos!A501,asientos!$B$13:$B$1276)</f>
        <v>0</v>
      </c>
      <c r="H501" s="1317">
        <f>+SUMIF(asientos!$I$13:$I$1276,SYS_4_3_Digitos!A501,asientos!$J$13:$J$1276)</f>
        <v>0</v>
      </c>
      <c r="I501" s="1314">
        <f t="shared" si="52"/>
        <v>0</v>
      </c>
      <c r="J501" s="1315">
        <f t="shared" si="53"/>
        <v>0</v>
      </c>
      <c r="L501" s="1308">
        <f t="shared" si="54"/>
        <v>0</v>
      </c>
      <c r="M501" s="1296" t="str">
        <f t="shared" si="55"/>
        <v>0</v>
      </c>
      <c r="N501" s="1309">
        <f t="shared" si="56"/>
        <v>0</v>
      </c>
      <c r="O501" s="1296" t="str">
        <f t="shared" si="57"/>
        <v>0</v>
      </c>
    </row>
    <row r="502" spans="1:15" s="1296" customFormat="1" hidden="1">
      <c r="A502" s="1310"/>
      <c r="B502" s="1311"/>
      <c r="C502" s="1312">
        <v>0</v>
      </c>
      <c r="D502" s="1313">
        <v>0</v>
      </c>
      <c r="E502" s="1314"/>
      <c r="F502" s="1315"/>
      <c r="G502" s="1316">
        <f>+SUMIF(asientos!$C$13:$C$1276,SYS_4_3_Digitos!A502,asientos!$B$13:$B$1276)</f>
        <v>0</v>
      </c>
      <c r="H502" s="1317">
        <f>+SUMIF(asientos!$I$13:$I$1276,SYS_4_3_Digitos!A502,asientos!$J$13:$J$1276)</f>
        <v>0</v>
      </c>
      <c r="I502" s="1314">
        <f t="shared" si="52"/>
        <v>0</v>
      </c>
      <c r="J502" s="1315">
        <f t="shared" si="53"/>
        <v>0</v>
      </c>
      <c r="L502" s="1308">
        <f t="shared" si="54"/>
        <v>0</v>
      </c>
      <c r="M502" s="1296" t="str">
        <f t="shared" si="55"/>
        <v>0</v>
      </c>
      <c r="N502" s="1309">
        <f t="shared" si="56"/>
        <v>0</v>
      </c>
      <c r="O502" s="1296" t="str">
        <f t="shared" si="57"/>
        <v>0</v>
      </c>
    </row>
    <row r="503" spans="1:15" s="1296" customFormat="1" hidden="1">
      <c r="A503" s="1310"/>
      <c r="B503" s="1311"/>
      <c r="C503" s="1312">
        <v>0</v>
      </c>
      <c r="D503" s="1313">
        <v>0</v>
      </c>
      <c r="E503" s="1314"/>
      <c r="F503" s="1315"/>
      <c r="G503" s="1316">
        <f>+SUMIF(asientos!$C$13:$C$1276,SYS_4_3_Digitos!A503,asientos!$B$13:$B$1276)</f>
        <v>0</v>
      </c>
      <c r="H503" s="1317">
        <f>+SUMIF(asientos!$I$13:$I$1276,SYS_4_3_Digitos!A503,asientos!$J$13:$J$1276)</f>
        <v>0</v>
      </c>
      <c r="I503" s="1314">
        <f t="shared" si="52"/>
        <v>0</v>
      </c>
      <c r="J503" s="1315">
        <f t="shared" si="53"/>
        <v>0</v>
      </c>
      <c r="L503" s="1308">
        <f t="shared" si="54"/>
        <v>0</v>
      </c>
      <c r="M503" s="1296" t="str">
        <f t="shared" si="55"/>
        <v>0</v>
      </c>
      <c r="N503" s="1309">
        <f t="shared" si="56"/>
        <v>0</v>
      </c>
      <c r="O503" s="1296" t="str">
        <f t="shared" si="57"/>
        <v>0</v>
      </c>
    </row>
    <row r="504" spans="1:15" s="1296" customFormat="1" hidden="1">
      <c r="A504" s="1310"/>
      <c r="B504" s="1311"/>
      <c r="C504" s="1312">
        <v>0</v>
      </c>
      <c r="D504" s="1313">
        <v>0</v>
      </c>
      <c r="E504" s="1314"/>
      <c r="F504" s="1315"/>
      <c r="G504" s="1316">
        <f>+SUMIF(asientos!$C$13:$C$1276,SYS_4_3_Digitos!A504,asientos!$B$13:$B$1276)</f>
        <v>0</v>
      </c>
      <c r="H504" s="1317">
        <f>+SUMIF(asientos!$I$13:$I$1276,SYS_4_3_Digitos!A504,asientos!$J$13:$J$1276)</f>
        <v>0</v>
      </c>
      <c r="I504" s="1314">
        <f t="shared" si="52"/>
        <v>0</v>
      </c>
      <c r="J504" s="1315">
        <f t="shared" si="53"/>
        <v>0</v>
      </c>
      <c r="L504" s="1308">
        <f t="shared" si="54"/>
        <v>0</v>
      </c>
      <c r="M504" s="1296" t="str">
        <f t="shared" si="55"/>
        <v>0</v>
      </c>
      <c r="N504" s="1309">
        <f t="shared" si="56"/>
        <v>0</v>
      </c>
      <c r="O504" s="1296" t="str">
        <f t="shared" si="57"/>
        <v>0</v>
      </c>
    </row>
    <row r="505" spans="1:15" s="1296" customFormat="1" hidden="1">
      <c r="A505" s="1310"/>
      <c r="B505" s="1311"/>
      <c r="C505" s="1312">
        <v>0</v>
      </c>
      <c r="D505" s="1313">
        <v>0</v>
      </c>
      <c r="E505" s="1314"/>
      <c r="F505" s="1315"/>
      <c r="G505" s="1316">
        <f>+SUMIF(asientos!$C$13:$C$1276,SYS_4_3_Digitos!A505,asientos!$B$13:$B$1276)</f>
        <v>0</v>
      </c>
      <c r="H505" s="1317">
        <f>+SUMIF(asientos!$I$13:$I$1276,SYS_4_3_Digitos!A505,asientos!$J$13:$J$1276)</f>
        <v>0</v>
      </c>
      <c r="I505" s="1314">
        <f t="shared" si="52"/>
        <v>0</v>
      </c>
      <c r="J505" s="1315">
        <f t="shared" si="53"/>
        <v>0</v>
      </c>
      <c r="L505" s="1308">
        <f t="shared" si="54"/>
        <v>0</v>
      </c>
      <c r="M505" s="1296" t="str">
        <f t="shared" si="55"/>
        <v>0</v>
      </c>
      <c r="N505" s="1309">
        <f t="shared" si="56"/>
        <v>0</v>
      </c>
      <c r="O505" s="1296" t="str">
        <f t="shared" si="57"/>
        <v>0</v>
      </c>
    </row>
    <row r="506" spans="1:15" s="1296" customFormat="1" hidden="1">
      <c r="A506" s="1310"/>
      <c r="B506" s="1311"/>
      <c r="C506" s="1312">
        <v>0</v>
      </c>
      <c r="D506" s="1313">
        <v>0</v>
      </c>
      <c r="E506" s="1314"/>
      <c r="F506" s="1315"/>
      <c r="G506" s="1316">
        <f>+SUMIF(asientos!$C$13:$C$1276,SYS_4_3_Digitos!A506,asientos!$B$13:$B$1276)</f>
        <v>0</v>
      </c>
      <c r="H506" s="1317">
        <f>+SUMIF(asientos!$I$13:$I$1276,SYS_4_3_Digitos!A506,asientos!$J$13:$J$1276)</f>
        <v>0</v>
      </c>
      <c r="I506" s="1314">
        <f t="shared" si="52"/>
        <v>0</v>
      </c>
      <c r="J506" s="1315">
        <f t="shared" si="53"/>
        <v>0</v>
      </c>
      <c r="L506" s="1308">
        <f t="shared" si="54"/>
        <v>0</v>
      </c>
      <c r="M506" s="1296" t="str">
        <f t="shared" si="55"/>
        <v>0</v>
      </c>
      <c r="N506" s="1309">
        <f t="shared" si="56"/>
        <v>0</v>
      </c>
      <c r="O506" s="1296" t="str">
        <f t="shared" si="57"/>
        <v>0</v>
      </c>
    </row>
    <row r="507" spans="1:15" s="1296" customFormat="1" hidden="1">
      <c r="A507" s="1310"/>
      <c r="B507" s="1311"/>
      <c r="C507" s="1312">
        <v>0</v>
      </c>
      <c r="D507" s="1313">
        <v>0</v>
      </c>
      <c r="E507" s="1314"/>
      <c r="F507" s="1315"/>
      <c r="G507" s="1316">
        <f>+SUMIF(asientos!$C$13:$C$1276,SYS_4_3_Digitos!A507,asientos!$B$13:$B$1276)</f>
        <v>0</v>
      </c>
      <c r="H507" s="1317">
        <f>+SUMIF(asientos!$I$13:$I$1276,SYS_4_3_Digitos!A507,asientos!$J$13:$J$1276)</f>
        <v>0</v>
      </c>
      <c r="I507" s="1314">
        <f t="shared" si="52"/>
        <v>0</v>
      </c>
      <c r="J507" s="1315">
        <f t="shared" si="53"/>
        <v>0</v>
      </c>
      <c r="L507" s="1308">
        <f t="shared" si="54"/>
        <v>0</v>
      </c>
      <c r="M507" s="1296" t="str">
        <f t="shared" si="55"/>
        <v>0</v>
      </c>
      <c r="N507" s="1309">
        <f t="shared" si="56"/>
        <v>0</v>
      </c>
      <c r="O507" s="1296" t="str">
        <f t="shared" si="57"/>
        <v>0</v>
      </c>
    </row>
    <row r="508" spans="1:15" s="1296" customFormat="1" hidden="1">
      <c r="A508" s="1310"/>
      <c r="B508" s="1311"/>
      <c r="C508" s="1312">
        <v>0</v>
      </c>
      <c r="D508" s="1313">
        <v>0</v>
      </c>
      <c r="E508" s="1314"/>
      <c r="F508" s="1315"/>
      <c r="G508" s="1316">
        <f>+SUMIF(asientos!$C$13:$C$1276,SYS_4_3_Digitos!A508,asientos!$B$13:$B$1276)</f>
        <v>0</v>
      </c>
      <c r="H508" s="1317">
        <f>+SUMIF(asientos!$I$13:$I$1276,SYS_4_3_Digitos!A508,asientos!$J$13:$J$1276)</f>
        <v>0</v>
      </c>
      <c r="I508" s="1314">
        <f t="shared" si="52"/>
        <v>0</v>
      </c>
      <c r="J508" s="1315">
        <f t="shared" si="53"/>
        <v>0</v>
      </c>
      <c r="L508" s="1308">
        <f t="shared" si="54"/>
        <v>0</v>
      </c>
      <c r="M508" s="1296" t="str">
        <f t="shared" si="55"/>
        <v>0</v>
      </c>
      <c r="N508" s="1309">
        <f t="shared" si="56"/>
        <v>0</v>
      </c>
      <c r="O508" s="1296" t="str">
        <f t="shared" si="57"/>
        <v>0</v>
      </c>
    </row>
    <row r="509" spans="1:15" s="1296" customFormat="1" hidden="1">
      <c r="A509" s="1310"/>
      <c r="B509" s="1311"/>
      <c r="C509" s="1312">
        <v>0</v>
      </c>
      <c r="D509" s="1313">
        <v>0</v>
      </c>
      <c r="E509" s="1314"/>
      <c r="F509" s="1315"/>
      <c r="G509" s="1316">
        <f>+SUMIF(asientos!$C$13:$C$1276,SYS_4_3_Digitos!A509,asientos!$B$13:$B$1276)</f>
        <v>0</v>
      </c>
      <c r="H509" s="1317">
        <f>+SUMIF(asientos!$I$13:$I$1276,SYS_4_3_Digitos!A509,asientos!$J$13:$J$1276)</f>
        <v>0</v>
      </c>
      <c r="I509" s="1314">
        <f t="shared" si="52"/>
        <v>0</v>
      </c>
      <c r="J509" s="1315">
        <f t="shared" si="53"/>
        <v>0</v>
      </c>
      <c r="L509" s="1308">
        <f t="shared" si="54"/>
        <v>0</v>
      </c>
      <c r="M509" s="1296" t="str">
        <f t="shared" si="55"/>
        <v>0</v>
      </c>
      <c r="N509" s="1309">
        <f t="shared" si="56"/>
        <v>0</v>
      </c>
      <c r="O509" s="1296" t="str">
        <f t="shared" si="57"/>
        <v>0</v>
      </c>
    </row>
    <row r="510" spans="1:15" s="1296" customFormat="1" hidden="1">
      <c r="A510" s="1310"/>
      <c r="B510" s="1311"/>
      <c r="C510" s="1312">
        <v>0</v>
      </c>
      <c r="D510" s="1313">
        <v>0</v>
      </c>
      <c r="E510" s="1314"/>
      <c r="F510" s="1315"/>
      <c r="G510" s="1316">
        <f>+SUMIF(asientos!$C$13:$C$1276,SYS_4_3_Digitos!A510,asientos!$B$13:$B$1276)</f>
        <v>0</v>
      </c>
      <c r="H510" s="1317">
        <f>+SUMIF(asientos!$I$13:$I$1276,SYS_4_3_Digitos!A510,asientos!$J$13:$J$1276)</f>
        <v>0</v>
      </c>
      <c r="I510" s="1314">
        <f t="shared" si="52"/>
        <v>0</v>
      </c>
      <c r="J510" s="1315">
        <f t="shared" si="53"/>
        <v>0</v>
      </c>
      <c r="L510" s="1308">
        <f t="shared" si="54"/>
        <v>0</v>
      </c>
      <c r="M510" s="1296" t="str">
        <f t="shared" si="55"/>
        <v>0</v>
      </c>
      <c r="N510" s="1309">
        <f t="shared" si="56"/>
        <v>0</v>
      </c>
      <c r="O510" s="1296" t="str">
        <f t="shared" si="57"/>
        <v>0</v>
      </c>
    </row>
    <row r="511" spans="1:15" s="1296" customFormat="1" hidden="1">
      <c r="A511" s="1310"/>
      <c r="B511" s="1311"/>
      <c r="C511" s="1312">
        <v>0</v>
      </c>
      <c r="D511" s="1313">
        <v>0</v>
      </c>
      <c r="E511" s="1314"/>
      <c r="F511" s="1315"/>
      <c r="G511" s="1316">
        <f>+SUMIF(asientos!$C$13:$C$1276,SYS_4_3_Digitos!A511,asientos!$B$13:$B$1276)</f>
        <v>0</v>
      </c>
      <c r="H511" s="1317">
        <f>+SUMIF(asientos!$I$13:$I$1276,SYS_4_3_Digitos!A511,asientos!$J$13:$J$1276)</f>
        <v>0</v>
      </c>
      <c r="I511" s="1314">
        <f t="shared" si="52"/>
        <v>0</v>
      </c>
      <c r="J511" s="1315">
        <f t="shared" si="53"/>
        <v>0</v>
      </c>
      <c r="L511" s="1308">
        <f t="shared" si="54"/>
        <v>0</v>
      </c>
      <c r="M511" s="1296" t="str">
        <f t="shared" si="55"/>
        <v>0</v>
      </c>
      <c r="N511" s="1309">
        <f t="shared" si="56"/>
        <v>0</v>
      </c>
      <c r="O511" s="1296" t="str">
        <f t="shared" si="57"/>
        <v>0</v>
      </c>
    </row>
    <row r="512" spans="1:15" s="1296" customFormat="1" hidden="1">
      <c r="A512" s="1310"/>
      <c r="B512" s="1311"/>
      <c r="C512" s="1312">
        <v>0</v>
      </c>
      <c r="D512" s="1313">
        <v>0</v>
      </c>
      <c r="E512" s="1314"/>
      <c r="F512" s="1315"/>
      <c r="G512" s="1316">
        <f>+SUMIF(asientos!$C$13:$C$1276,SYS_4_3_Digitos!A512,asientos!$B$13:$B$1276)</f>
        <v>0</v>
      </c>
      <c r="H512" s="1317">
        <f>+SUMIF(asientos!$I$13:$I$1276,SYS_4_3_Digitos!A512,asientos!$J$13:$J$1276)</f>
        <v>0</v>
      </c>
      <c r="I512" s="1314">
        <f t="shared" si="52"/>
        <v>0</v>
      </c>
      <c r="J512" s="1315">
        <f t="shared" si="53"/>
        <v>0</v>
      </c>
      <c r="L512" s="1308">
        <f t="shared" si="54"/>
        <v>0</v>
      </c>
      <c r="M512" s="1296" t="str">
        <f t="shared" si="55"/>
        <v>0</v>
      </c>
      <c r="N512" s="1309">
        <f t="shared" si="56"/>
        <v>0</v>
      </c>
      <c r="O512" s="1296" t="str">
        <f t="shared" si="57"/>
        <v>0</v>
      </c>
    </row>
    <row r="513" spans="1:15" s="1296" customFormat="1" hidden="1">
      <c r="A513" s="1310"/>
      <c r="B513" s="1311"/>
      <c r="C513" s="1312">
        <v>0</v>
      </c>
      <c r="D513" s="1313">
        <v>0</v>
      </c>
      <c r="E513" s="1314"/>
      <c r="F513" s="1315"/>
      <c r="G513" s="1316">
        <f>+SUMIF(asientos!$C$13:$C$1276,SYS_4_3_Digitos!A513,asientos!$B$13:$B$1276)</f>
        <v>0</v>
      </c>
      <c r="H513" s="1317">
        <f>+SUMIF(asientos!$I$13:$I$1276,SYS_4_3_Digitos!A513,asientos!$J$13:$J$1276)</f>
        <v>0</v>
      </c>
      <c r="I513" s="1314">
        <f t="shared" si="52"/>
        <v>0</v>
      </c>
      <c r="J513" s="1315">
        <f t="shared" si="53"/>
        <v>0</v>
      </c>
      <c r="L513" s="1308">
        <f t="shared" si="54"/>
        <v>0</v>
      </c>
      <c r="M513" s="1296" t="str">
        <f t="shared" si="55"/>
        <v>0</v>
      </c>
      <c r="N513" s="1309">
        <f t="shared" si="56"/>
        <v>0</v>
      </c>
      <c r="O513" s="1296" t="str">
        <f t="shared" si="57"/>
        <v>0</v>
      </c>
    </row>
    <row r="514" spans="1:15" s="1296" customFormat="1" hidden="1">
      <c r="A514" s="1310"/>
      <c r="B514" s="1311"/>
      <c r="C514" s="1312">
        <v>0</v>
      </c>
      <c r="D514" s="1313">
        <v>0</v>
      </c>
      <c r="E514" s="1314"/>
      <c r="F514" s="1315"/>
      <c r="G514" s="1316">
        <f>+SUMIF(asientos!$C$13:$C$1276,SYS_4_3_Digitos!A514,asientos!$B$13:$B$1276)</f>
        <v>0</v>
      </c>
      <c r="H514" s="1317">
        <f>+SUMIF(asientos!$I$13:$I$1276,SYS_4_3_Digitos!A514,asientos!$J$13:$J$1276)</f>
        <v>0</v>
      </c>
      <c r="I514" s="1314">
        <f t="shared" si="52"/>
        <v>0</v>
      </c>
      <c r="J514" s="1315">
        <f t="shared" si="53"/>
        <v>0</v>
      </c>
      <c r="L514" s="1308">
        <f t="shared" si="54"/>
        <v>0</v>
      </c>
      <c r="M514" s="1296" t="str">
        <f t="shared" si="55"/>
        <v>0</v>
      </c>
      <c r="N514" s="1309">
        <f t="shared" si="56"/>
        <v>0</v>
      </c>
      <c r="O514" s="1296" t="str">
        <f t="shared" si="57"/>
        <v>0</v>
      </c>
    </row>
    <row r="515" spans="1:15" s="1296" customFormat="1" hidden="1">
      <c r="A515" s="1310"/>
      <c r="B515" s="1311"/>
      <c r="C515" s="1312">
        <v>0</v>
      </c>
      <c r="D515" s="1313">
        <v>0</v>
      </c>
      <c r="E515" s="1314"/>
      <c r="F515" s="1315"/>
      <c r="G515" s="1316">
        <f>+SUMIF(asientos!$C$13:$C$1276,SYS_4_3_Digitos!A515,asientos!$B$13:$B$1276)</f>
        <v>0</v>
      </c>
      <c r="H515" s="1317">
        <f>+SUMIF(asientos!$I$13:$I$1276,SYS_4_3_Digitos!A515,asientos!$J$13:$J$1276)</f>
        <v>0</v>
      </c>
      <c r="I515" s="1314">
        <f t="shared" si="52"/>
        <v>0</v>
      </c>
      <c r="J515" s="1315">
        <f t="shared" si="53"/>
        <v>0</v>
      </c>
      <c r="L515" s="1308">
        <f t="shared" si="54"/>
        <v>0</v>
      </c>
      <c r="M515" s="1296" t="str">
        <f t="shared" si="55"/>
        <v>0</v>
      </c>
      <c r="N515" s="1309">
        <f t="shared" si="56"/>
        <v>0</v>
      </c>
      <c r="O515" s="1296" t="str">
        <f t="shared" si="57"/>
        <v>0</v>
      </c>
    </row>
    <row r="516" spans="1:15" s="1296" customFormat="1" hidden="1">
      <c r="A516" s="1310"/>
      <c r="B516" s="1311"/>
      <c r="C516" s="1312">
        <v>0</v>
      </c>
      <c r="D516" s="1313">
        <v>0</v>
      </c>
      <c r="E516" s="1314"/>
      <c r="F516" s="1315"/>
      <c r="G516" s="1316">
        <f>+SUMIF(asientos!$C$13:$C$1276,SYS_4_3_Digitos!A516,asientos!$B$13:$B$1276)</f>
        <v>0</v>
      </c>
      <c r="H516" s="1317">
        <f>+SUMIF(asientos!$I$13:$I$1276,SYS_4_3_Digitos!A516,asientos!$J$13:$J$1276)</f>
        <v>0</v>
      </c>
      <c r="I516" s="1314">
        <f t="shared" si="52"/>
        <v>0</v>
      </c>
      <c r="J516" s="1315">
        <f t="shared" si="53"/>
        <v>0</v>
      </c>
      <c r="L516" s="1308">
        <f t="shared" si="54"/>
        <v>0</v>
      </c>
      <c r="M516" s="1296" t="str">
        <f t="shared" si="55"/>
        <v>0</v>
      </c>
      <c r="N516" s="1309">
        <f t="shared" si="56"/>
        <v>0</v>
      </c>
      <c r="O516" s="1296" t="str">
        <f t="shared" si="57"/>
        <v>0</v>
      </c>
    </row>
    <row r="517" spans="1:15" s="1296" customFormat="1" hidden="1">
      <c r="A517" s="1310"/>
      <c r="B517" s="1311"/>
      <c r="C517" s="1312">
        <v>0</v>
      </c>
      <c r="D517" s="1313">
        <v>0</v>
      </c>
      <c r="E517" s="1314"/>
      <c r="F517" s="1315"/>
      <c r="G517" s="1316">
        <f>+SUMIF(asientos!$C$13:$C$1276,SYS_4_3_Digitos!A517,asientos!$B$13:$B$1276)</f>
        <v>0</v>
      </c>
      <c r="H517" s="1317">
        <f>+SUMIF(asientos!$I$13:$I$1276,SYS_4_3_Digitos!A517,asientos!$J$13:$J$1276)</f>
        <v>0</v>
      </c>
      <c r="I517" s="1314">
        <f t="shared" si="52"/>
        <v>0</v>
      </c>
      <c r="J517" s="1315">
        <f t="shared" si="53"/>
        <v>0</v>
      </c>
      <c r="L517" s="1308">
        <f t="shared" si="54"/>
        <v>0</v>
      </c>
      <c r="M517" s="1296" t="str">
        <f t="shared" si="55"/>
        <v>0</v>
      </c>
      <c r="N517" s="1309">
        <f t="shared" si="56"/>
        <v>0</v>
      </c>
      <c r="O517" s="1296" t="str">
        <f t="shared" si="57"/>
        <v>0</v>
      </c>
    </row>
    <row r="518" spans="1:15" s="1296" customFormat="1" hidden="1">
      <c r="A518" s="1310"/>
      <c r="B518" s="1311"/>
      <c r="C518" s="1312">
        <v>0</v>
      </c>
      <c r="D518" s="1313">
        <v>0</v>
      </c>
      <c r="E518" s="1314"/>
      <c r="F518" s="1315"/>
      <c r="G518" s="1316">
        <f>+SUMIF(asientos!$C$13:$C$1276,SYS_4_3_Digitos!A518,asientos!$B$13:$B$1276)</f>
        <v>0</v>
      </c>
      <c r="H518" s="1317">
        <f>+SUMIF(asientos!$I$13:$I$1276,SYS_4_3_Digitos!A518,asientos!$J$13:$J$1276)</f>
        <v>0</v>
      </c>
      <c r="I518" s="1314">
        <f t="shared" si="52"/>
        <v>0</v>
      </c>
      <c r="J518" s="1315">
        <f t="shared" si="53"/>
        <v>0</v>
      </c>
      <c r="L518" s="1308">
        <f t="shared" si="54"/>
        <v>0</v>
      </c>
      <c r="M518" s="1296" t="str">
        <f t="shared" si="55"/>
        <v>0</v>
      </c>
      <c r="N518" s="1309">
        <f t="shared" si="56"/>
        <v>0</v>
      </c>
      <c r="O518" s="1296" t="str">
        <f t="shared" si="57"/>
        <v>0</v>
      </c>
    </row>
    <row r="519" spans="1:15" s="1296" customFormat="1" hidden="1">
      <c r="A519" s="1310"/>
      <c r="B519" s="1311"/>
      <c r="C519" s="1312">
        <v>0</v>
      </c>
      <c r="D519" s="1313">
        <v>0</v>
      </c>
      <c r="E519" s="1314"/>
      <c r="F519" s="1315"/>
      <c r="G519" s="1316">
        <f>+SUMIF(asientos!$C$13:$C$1276,SYS_4_3_Digitos!A519,asientos!$B$13:$B$1276)</f>
        <v>0</v>
      </c>
      <c r="H519" s="1317">
        <f>+SUMIF(asientos!$I$13:$I$1276,SYS_4_3_Digitos!A519,asientos!$J$13:$J$1276)</f>
        <v>0</v>
      </c>
      <c r="I519" s="1314">
        <f t="shared" si="52"/>
        <v>0</v>
      </c>
      <c r="J519" s="1315">
        <f t="shared" si="53"/>
        <v>0</v>
      </c>
      <c r="L519" s="1308">
        <f t="shared" si="54"/>
        <v>0</v>
      </c>
      <c r="M519" s="1296" t="str">
        <f t="shared" si="55"/>
        <v>0</v>
      </c>
      <c r="N519" s="1309">
        <f t="shared" si="56"/>
        <v>0</v>
      </c>
      <c r="O519" s="1296" t="str">
        <f t="shared" si="57"/>
        <v>0</v>
      </c>
    </row>
    <row r="520" spans="1:15" s="1296" customFormat="1" hidden="1">
      <c r="A520" s="1310"/>
      <c r="B520" s="1311"/>
      <c r="C520" s="1312">
        <v>0</v>
      </c>
      <c r="D520" s="1313">
        <v>0</v>
      </c>
      <c r="E520" s="1314"/>
      <c r="F520" s="1315"/>
      <c r="G520" s="1316">
        <f>+SUMIF(asientos!$C$13:$C$1276,SYS_4_3_Digitos!A520,asientos!$B$13:$B$1276)</f>
        <v>0</v>
      </c>
      <c r="H520" s="1317">
        <f>+SUMIF(asientos!$I$13:$I$1276,SYS_4_3_Digitos!A520,asientos!$J$13:$J$1276)</f>
        <v>0</v>
      </c>
      <c r="I520" s="1314">
        <f t="shared" si="52"/>
        <v>0</v>
      </c>
      <c r="J520" s="1315">
        <f t="shared" si="53"/>
        <v>0</v>
      </c>
      <c r="L520" s="1308">
        <f t="shared" si="54"/>
        <v>0</v>
      </c>
      <c r="M520" s="1296" t="str">
        <f t="shared" si="55"/>
        <v>0</v>
      </c>
      <c r="N520" s="1309">
        <f t="shared" si="56"/>
        <v>0</v>
      </c>
      <c r="O520" s="1296" t="str">
        <f t="shared" si="57"/>
        <v>0</v>
      </c>
    </row>
    <row r="521" spans="1:15" s="1296" customFormat="1" hidden="1">
      <c r="A521" s="1310"/>
      <c r="B521" s="1311"/>
      <c r="C521" s="1312">
        <v>0</v>
      </c>
      <c r="D521" s="1313">
        <v>0</v>
      </c>
      <c r="E521" s="1314"/>
      <c r="F521" s="1315"/>
      <c r="G521" s="1316">
        <f>+SUMIF(asientos!$C$13:$C$1276,SYS_4_3_Digitos!A521,asientos!$B$13:$B$1276)</f>
        <v>0</v>
      </c>
      <c r="H521" s="1317">
        <f>+SUMIF(asientos!$I$13:$I$1276,SYS_4_3_Digitos!A521,asientos!$J$13:$J$1276)</f>
        <v>0</v>
      </c>
      <c r="I521" s="1314">
        <f t="shared" si="52"/>
        <v>0</v>
      </c>
      <c r="J521" s="1315">
        <f t="shared" si="53"/>
        <v>0</v>
      </c>
      <c r="L521" s="1308">
        <f t="shared" si="54"/>
        <v>0</v>
      </c>
      <c r="M521" s="1296" t="str">
        <f t="shared" si="55"/>
        <v>0</v>
      </c>
      <c r="N521" s="1309">
        <f t="shared" si="56"/>
        <v>0</v>
      </c>
      <c r="O521" s="1296" t="str">
        <f t="shared" si="57"/>
        <v>0</v>
      </c>
    </row>
    <row r="522" spans="1:15" s="1296" customFormat="1" hidden="1">
      <c r="A522" s="1310"/>
      <c r="B522" s="1311"/>
      <c r="C522" s="1312">
        <v>0</v>
      </c>
      <c r="D522" s="1313">
        <v>0</v>
      </c>
      <c r="E522" s="1314"/>
      <c r="F522" s="1315"/>
      <c r="G522" s="1316">
        <f>+SUMIF(asientos!$C$13:$C$1276,SYS_4_3_Digitos!A522,asientos!$B$13:$B$1276)</f>
        <v>0</v>
      </c>
      <c r="H522" s="1317">
        <f>+SUMIF(asientos!$I$13:$I$1276,SYS_4_3_Digitos!A522,asientos!$J$13:$J$1276)</f>
        <v>0</v>
      </c>
      <c r="I522" s="1314">
        <f t="shared" si="52"/>
        <v>0</v>
      </c>
      <c r="J522" s="1315">
        <f t="shared" si="53"/>
        <v>0</v>
      </c>
      <c r="L522" s="1308">
        <f t="shared" si="54"/>
        <v>0</v>
      </c>
      <c r="M522" s="1296" t="str">
        <f t="shared" si="55"/>
        <v>0</v>
      </c>
      <c r="N522" s="1309">
        <f t="shared" si="56"/>
        <v>0</v>
      </c>
      <c r="O522" s="1296" t="str">
        <f t="shared" si="57"/>
        <v>0</v>
      </c>
    </row>
    <row r="523" spans="1:15" s="1296" customFormat="1" hidden="1">
      <c r="A523" s="1310"/>
      <c r="B523" s="1311"/>
      <c r="C523" s="1312">
        <v>0</v>
      </c>
      <c r="D523" s="1313">
        <v>0</v>
      </c>
      <c r="E523" s="1314"/>
      <c r="F523" s="1315"/>
      <c r="G523" s="1316">
        <f>+SUMIF(asientos!$C$13:$C$1276,SYS_4_3_Digitos!A523,asientos!$B$13:$B$1276)</f>
        <v>0</v>
      </c>
      <c r="H523" s="1317">
        <f>+SUMIF(asientos!$I$13:$I$1276,SYS_4_3_Digitos!A523,asientos!$J$13:$J$1276)</f>
        <v>0</v>
      </c>
      <c r="I523" s="1314">
        <f t="shared" si="52"/>
        <v>0</v>
      </c>
      <c r="J523" s="1315">
        <f t="shared" si="53"/>
        <v>0</v>
      </c>
      <c r="L523" s="1308">
        <f t="shared" si="54"/>
        <v>0</v>
      </c>
      <c r="M523" s="1296" t="str">
        <f t="shared" si="55"/>
        <v>0</v>
      </c>
      <c r="N523" s="1309">
        <f t="shared" si="56"/>
        <v>0</v>
      </c>
      <c r="O523" s="1296" t="str">
        <f t="shared" si="57"/>
        <v>0</v>
      </c>
    </row>
    <row r="524" spans="1:15" s="1296" customFormat="1" hidden="1">
      <c r="A524" s="1310"/>
      <c r="B524" s="1311"/>
      <c r="C524" s="1312">
        <v>0</v>
      </c>
      <c r="D524" s="1313">
        <v>0</v>
      </c>
      <c r="E524" s="1314"/>
      <c r="F524" s="1315"/>
      <c r="G524" s="1316">
        <f>+SUMIF(asientos!$C$13:$C$1276,SYS_4_3_Digitos!A524,asientos!$B$13:$B$1276)</f>
        <v>0</v>
      </c>
      <c r="H524" s="1317">
        <f>+SUMIF(asientos!$I$13:$I$1276,SYS_4_3_Digitos!A524,asientos!$J$13:$J$1276)</f>
        <v>0</v>
      </c>
      <c r="I524" s="1314">
        <f t="shared" si="52"/>
        <v>0</v>
      </c>
      <c r="J524" s="1315">
        <f t="shared" si="53"/>
        <v>0</v>
      </c>
      <c r="L524" s="1308">
        <f t="shared" si="54"/>
        <v>0</v>
      </c>
      <c r="M524" s="1296" t="str">
        <f t="shared" si="55"/>
        <v>0</v>
      </c>
      <c r="N524" s="1309">
        <f t="shared" si="56"/>
        <v>0</v>
      </c>
      <c r="O524" s="1296" t="str">
        <f t="shared" si="57"/>
        <v>0</v>
      </c>
    </row>
    <row r="525" spans="1:15" s="1296" customFormat="1" hidden="1">
      <c r="A525" s="1310"/>
      <c r="B525" s="1311"/>
      <c r="C525" s="1312">
        <v>0</v>
      </c>
      <c r="D525" s="1313">
        <v>0</v>
      </c>
      <c r="E525" s="1314"/>
      <c r="F525" s="1315"/>
      <c r="G525" s="1316">
        <f>+SUMIF(asientos!$C$13:$C$1276,SYS_4_3_Digitos!A525,asientos!$B$13:$B$1276)</f>
        <v>0</v>
      </c>
      <c r="H525" s="1317">
        <f>+SUMIF(asientos!$I$13:$I$1276,SYS_4_3_Digitos!A525,asientos!$J$13:$J$1276)</f>
        <v>0</v>
      </c>
      <c r="I525" s="1314">
        <f t="shared" si="52"/>
        <v>0</v>
      </c>
      <c r="J525" s="1315">
        <f t="shared" si="53"/>
        <v>0</v>
      </c>
      <c r="L525" s="1308">
        <f t="shared" si="54"/>
        <v>0</v>
      </c>
      <c r="M525" s="1296" t="str">
        <f t="shared" si="55"/>
        <v>0</v>
      </c>
      <c r="N525" s="1309">
        <f t="shared" si="56"/>
        <v>0</v>
      </c>
      <c r="O525" s="1296" t="str">
        <f t="shared" si="57"/>
        <v>0</v>
      </c>
    </row>
    <row r="526" spans="1:15" s="1296" customFormat="1" hidden="1">
      <c r="A526" s="1310"/>
      <c r="B526" s="1311"/>
      <c r="C526" s="1312">
        <v>0</v>
      </c>
      <c r="D526" s="1313">
        <v>0</v>
      </c>
      <c r="E526" s="1314"/>
      <c r="F526" s="1315"/>
      <c r="G526" s="1316">
        <f>+SUMIF(asientos!$C$13:$C$1276,SYS_4_3_Digitos!A526,asientos!$B$13:$B$1276)</f>
        <v>0</v>
      </c>
      <c r="H526" s="1317">
        <f>+SUMIF(asientos!$I$13:$I$1276,SYS_4_3_Digitos!A526,asientos!$J$13:$J$1276)</f>
        <v>0</v>
      </c>
      <c r="I526" s="1314">
        <f t="shared" si="52"/>
        <v>0</v>
      </c>
      <c r="J526" s="1315">
        <f t="shared" si="53"/>
        <v>0</v>
      </c>
      <c r="L526" s="1308">
        <f t="shared" si="54"/>
        <v>0</v>
      </c>
      <c r="M526" s="1296" t="str">
        <f t="shared" si="55"/>
        <v>0</v>
      </c>
      <c r="N526" s="1309">
        <f t="shared" si="56"/>
        <v>0</v>
      </c>
      <c r="O526" s="1296" t="str">
        <f t="shared" si="57"/>
        <v>0</v>
      </c>
    </row>
    <row r="527" spans="1:15" s="1296" customFormat="1" hidden="1">
      <c r="A527" s="1310"/>
      <c r="B527" s="1311"/>
      <c r="C527" s="1312">
        <v>0</v>
      </c>
      <c r="D527" s="1313">
        <v>0</v>
      </c>
      <c r="E527" s="1314"/>
      <c r="F527" s="1315"/>
      <c r="G527" s="1316">
        <f>+SUMIF(asientos!$C$13:$C$1276,SYS_4_3_Digitos!A527,asientos!$B$13:$B$1276)</f>
        <v>0</v>
      </c>
      <c r="H527" s="1317">
        <f>+SUMIF(asientos!$I$13:$I$1276,SYS_4_3_Digitos!A527,asientos!$J$13:$J$1276)</f>
        <v>0</v>
      </c>
      <c r="I527" s="1314">
        <f t="shared" si="52"/>
        <v>0</v>
      </c>
      <c r="J527" s="1315">
        <f t="shared" si="53"/>
        <v>0</v>
      </c>
      <c r="L527" s="1308">
        <f t="shared" si="54"/>
        <v>0</v>
      </c>
      <c r="M527" s="1296" t="str">
        <f t="shared" si="55"/>
        <v>0</v>
      </c>
      <c r="N527" s="1309">
        <f t="shared" si="56"/>
        <v>0</v>
      </c>
      <c r="O527" s="1296" t="str">
        <f t="shared" si="57"/>
        <v>0</v>
      </c>
    </row>
    <row r="528" spans="1:15" s="1296" customFormat="1" hidden="1">
      <c r="A528" s="1310"/>
      <c r="B528" s="1311"/>
      <c r="C528" s="1312">
        <v>0</v>
      </c>
      <c r="D528" s="1313">
        <v>0</v>
      </c>
      <c r="E528" s="1314"/>
      <c r="F528" s="1315"/>
      <c r="G528" s="1316">
        <f>+SUMIF(asientos!$C$13:$C$1276,SYS_4_3_Digitos!A528,asientos!$B$13:$B$1276)</f>
        <v>0</v>
      </c>
      <c r="H528" s="1317">
        <f>+SUMIF(asientos!$I$13:$I$1276,SYS_4_3_Digitos!A528,asientos!$J$13:$J$1276)</f>
        <v>0</v>
      </c>
      <c r="I528" s="1314">
        <f t="shared" si="52"/>
        <v>0</v>
      </c>
      <c r="J528" s="1315">
        <f t="shared" si="53"/>
        <v>0</v>
      </c>
      <c r="L528" s="1308">
        <f t="shared" si="54"/>
        <v>0</v>
      </c>
      <c r="M528" s="1296" t="str">
        <f t="shared" si="55"/>
        <v>0</v>
      </c>
      <c r="N528" s="1309">
        <f t="shared" si="56"/>
        <v>0</v>
      </c>
      <c r="O528" s="1296" t="str">
        <f t="shared" si="57"/>
        <v>0</v>
      </c>
    </row>
    <row r="529" spans="1:15" s="1296" customFormat="1" hidden="1">
      <c r="A529" s="1310"/>
      <c r="B529" s="1311"/>
      <c r="C529" s="1312">
        <v>0</v>
      </c>
      <c r="D529" s="1313">
        <v>0</v>
      </c>
      <c r="E529" s="1314"/>
      <c r="F529" s="1315"/>
      <c r="G529" s="1316">
        <f>+SUMIF(asientos!$C$13:$C$1276,SYS_4_3_Digitos!A529,asientos!$B$13:$B$1276)</f>
        <v>0</v>
      </c>
      <c r="H529" s="1317">
        <f>+SUMIF(asientos!$I$13:$I$1276,SYS_4_3_Digitos!A529,asientos!$J$13:$J$1276)</f>
        <v>0</v>
      </c>
      <c r="I529" s="1314">
        <f t="shared" si="52"/>
        <v>0</v>
      </c>
      <c r="J529" s="1315">
        <f t="shared" si="53"/>
        <v>0</v>
      </c>
      <c r="L529" s="1308">
        <f t="shared" si="54"/>
        <v>0</v>
      </c>
      <c r="M529" s="1296" t="str">
        <f t="shared" si="55"/>
        <v>0</v>
      </c>
      <c r="N529" s="1309">
        <f t="shared" si="56"/>
        <v>0</v>
      </c>
      <c r="O529" s="1296" t="str">
        <f t="shared" si="57"/>
        <v>0</v>
      </c>
    </row>
    <row r="530" spans="1:15" s="1296" customFormat="1" hidden="1">
      <c r="A530" s="1310"/>
      <c r="B530" s="1311"/>
      <c r="C530" s="1312">
        <v>0</v>
      </c>
      <c r="D530" s="1313">
        <v>0</v>
      </c>
      <c r="E530" s="1314"/>
      <c r="F530" s="1315"/>
      <c r="G530" s="1316">
        <f>+SUMIF(asientos!$C$13:$C$1276,SYS_4_3_Digitos!A530,asientos!$B$13:$B$1276)</f>
        <v>0</v>
      </c>
      <c r="H530" s="1317">
        <f>+SUMIF(asientos!$I$13:$I$1276,SYS_4_3_Digitos!A530,asientos!$J$13:$J$1276)</f>
        <v>0</v>
      </c>
      <c r="I530" s="1314">
        <f t="shared" si="52"/>
        <v>0</v>
      </c>
      <c r="J530" s="1315">
        <f t="shared" si="53"/>
        <v>0</v>
      </c>
      <c r="L530" s="1308">
        <f t="shared" si="54"/>
        <v>0</v>
      </c>
      <c r="M530" s="1296" t="str">
        <f t="shared" si="55"/>
        <v>0</v>
      </c>
      <c r="N530" s="1309">
        <f t="shared" si="56"/>
        <v>0</v>
      </c>
      <c r="O530" s="1296" t="str">
        <f t="shared" si="57"/>
        <v>0</v>
      </c>
    </row>
    <row r="531" spans="1:15" s="1296" customFormat="1" hidden="1">
      <c r="A531" s="1310"/>
      <c r="B531" s="1311"/>
      <c r="C531" s="1312">
        <v>0</v>
      </c>
      <c r="D531" s="1313">
        <v>0</v>
      </c>
      <c r="E531" s="1314"/>
      <c r="F531" s="1315"/>
      <c r="G531" s="1316">
        <f>+SUMIF(asientos!$C$13:$C$1276,SYS_4_3_Digitos!A531,asientos!$B$13:$B$1276)</f>
        <v>0</v>
      </c>
      <c r="H531" s="1317">
        <f>+SUMIF(asientos!$I$13:$I$1276,SYS_4_3_Digitos!A531,asientos!$J$13:$J$1276)</f>
        <v>0</v>
      </c>
      <c r="I531" s="1314">
        <f t="shared" si="52"/>
        <v>0</v>
      </c>
      <c r="J531" s="1315">
        <f t="shared" si="53"/>
        <v>0</v>
      </c>
      <c r="L531" s="1308">
        <f t="shared" si="54"/>
        <v>0</v>
      </c>
      <c r="M531" s="1296" t="str">
        <f t="shared" si="55"/>
        <v>0</v>
      </c>
      <c r="N531" s="1309">
        <f t="shared" si="56"/>
        <v>0</v>
      </c>
      <c r="O531" s="1296" t="str">
        <f t="shared" si="57"/>
        <v>0</v>
      </c>
    </row>
    <row r="532" spans="1:15" s="1296" customFormat="1" hidden="1">
      <c r="A532" s="1310"/>
      <c r="B532" s="1311"/>
      <c r="C532" s="1312">
        <v>0</v>
      </c>
      <c r="D532" s="1313">
        <v>0</v>
      </c>
      <c r="E532" s="1314"/>
      <c r="F532" s="1315"/>
      <c r="G532" s="1316">
        <f>+SUMIF(asientos!$C$13:$C$1276,SYS_4_3_Digitos!A532,asientos!$B$13:$B$1276)</f>
        <v>0</v>
      </c>
      <c r="H532" s="1317">
        <f>+SUMIF(asientos!$I$13:$I$1276,SYS_4_3_Digitos!A532,asientos!$J$13:$J$1276)</f>
        <v>0</v>
      </c>
      <c r="I532" s="1314">
        <f t="shared" si="52"/>
        <v>0</v>
      </c>
      <c r="J532" s="1315">
        <f t="shared" si="53"/>
        <v>0</v>
      </c>
      <c r="L532" s="1308">
        <f t="shared" si="54"/>
        <v>0</v>
      </c>
      <c r="M532" s="1296" t="str">
        <f t="shared" si="55"/>
        <v>0</v>
      </c>
      <c r="N532" s="1309">
        <f t="shared" si="56"/>
        <v>0</v>
      </c>
      <c r="O532" s="1296" t="str">
        <f t="shared" si="57"/>
        <v>0</v>
      </c>
    </row>
    <row r="533" spans="1:15" s="1296" customFormat="1" hidden="1">
      <c r="A533" s="1310"/>
      <c r="B533" s="1311"/>
      <c r="C533" s="1312">
        <v>0</v>
      </c>
      <c r="D533" s="1313">
        <v>0</v>
      </c>
      <c r="E533" s="1314"/>
      <c r="F533" s="1315"/>
      <c r="G533" s="1316">
        <f>+SUMIF(asientos!$C$13:$C$1276,SYS_4_3_Digitos!A533,asientos!$B$13:$B$1276)</f>
        <v>0</v>
      </c>
      <c r="H533" s="1317">
        <f>+SUMIF(asientos!$I$13:$I$1276,SYS_4_3_Digitos!A533,asientos!$J$13:$J$1276)</f>
        <v>0</v>
      </c>
      <c r="I533" s="1314">
        <f t="shared" si="52"/>
        <v>0</v>
      </c>
      <c r="J533" s="1315">
        <f t="shared" si="53"/>
        <v>0</v>
      </c>
      <c r="L533" s="1308">
        <f t="shared" si="54"/>
        <v>0</v>
      </c>
      <c r="M533" s="1296" t="str">
        <f t="shared" si="55"/>
        <v>0</v>
      </c>
      <c r="N533" s="1309">
        <f t="shared" si="56"/>
        <v>0</v>
      </c>
      <c r="O533" s="1296" t="str">
        <f t="shared" si="57"/>
        <v>0</v>
      </c>
    </row>
    <row r="534" spans="1:15" s="1296" customFormat="1" hidden="1">
      <c r="A534" s="1310"/>
      <c r="B534" s="1311"/>
      <c r="C534" s="1312">
        <v>0</v>
      </c>
      <c r="D534" s="1313">
        <v>0</v>
      </c>
      <c r="E534" s="1314"/>
      <c r="F534" s="1315"/>
      <c r="G534" s="1316">
        <f>+SUMIF(asientos!$C$13:$C$1276,SYS_4_3_Digitos!A534,asientos!$B$13:$B$1276)</f>
        <v>0</v>
      </c>
      <c r="H534" s="1317">
        <f>+SUMIF(asientos!$I$13:$I$1276,SYS_4_3_Digitos!A534,asientos!$J$13:$J$1276)</f>
        <v>0</v>
      </c>
      <c r="I534" s="1314">
        <f t="shared" si="52"/>
        <v>0</v>
      </c>
      <c r="J534" s="1315">
        <f t="shared" si="53"/>
        <v>0</v>
      </c>
      <c r="L534" s="1308">
        <f t="shared" si="54"/>
        <v>0</v>
      </c>
      <c r="M534" s="1296" t="str">
        <f t="shared" si="55"/>
        <v>0</v>
      </c>
      <c r="N534" s="1309">
        <f t="shared" si="56"/>
        <v>0</v>
      </c>
      <c r="O534" s="1296" t="str">
        <f t="shared" si="57"/>
        <v>0</v>
      </c>
    </row>
    <row r="535" spans="1:15" s="1296" customFormat="1" hidden="1">
      <c r="A535" s="1310"/>
      <c r="B535" s="1311"/>
      <c r="C535" s="1312">
        <v>0</v>
      </c>
      <c r="D535" s="1313">
        <v>0</v>
      </c>
      <c r="E535" s="1314"/>
      <c r="F535" s="1315"/>
      <c r="G535" s="1316">
        <f>+SUMIF(asientos!$C$13:$C$1276,SYS_4_3_Digitos!A535,asientos!$B$13:$B$1276)</f>
        <v>0</v>
      </c>
      <c r="H535" s="1317">
        <f>+SUMIF(asientos!$I$13:$I$1276,SYS_4_3_Digitos!A535,asientos!$J$13:$J$1276)</f>
        <v>0</v>
      </c>
      <c r="I535" s="1314">
        <f t="shared" si="52"/>
        <v>0</v>
      </c>
      <c r="J535" s="1315">
        <f t="shared" si="53"/>
        <v>0</v>
      </c>
      <c r="L535" s="1308">
        <f t="shared" si="54"/>
        <v>0</v>
      </c>
      <c r="M535" s="1296" t="str">
        <f t="shared" si="55"/>
        <v>0</v>
      </c>
      <c r="N535" s="1309">
        <f t="shared" si="56"/>
        <v>0</v>
      </c>
      <c r="O535" s="1296" t="str">
        <f t="shared" si="57"/>
        <v>0</v>
      </c>
    </row>
    <row r="536" spans="1:15" s="1296" customFormat="1" hidden="1">
      <c r="A536" s="1310"/>
      <c r="B536" s="1311"/>
      <c r="C536" s="1312">
        <v>0</v>
      </c>
      <c r="D536" s="1313">
        <v>0</v>
      </c>
      <c r="E536" s="1314"/>
      <c r="F536" s="1315"/>
      <c r="G536" s="1316">
        <f>+SUMIF(asientos!$C$13:$C$1276,SYS_4_3_Digitos!A536,asientos!$B$13:$B$1276)</f>
        <v>0</v>
      </c>
      <c r="H536" s="1317">
        <f>+SUMIF(asientos!$I$13:$I$1276,SYS_4_3_Digitos!A536,asientos!$J$13:$J$1276)</f>
        <v>0</v>
      </c>
      <c r="I536" s="1314">
        <f t="shared" si="52"/>
        <v>0</v>
      </c>
      <c r="J536" s="1315">
        <f t="shared" si="53"/>
        <v>0</v>
      </c>
      <c r="L536" s="1308">
        <f t="shared" si="54"/>
        <v>0</v>
      </c>
      <c r="M536" s="1296" t="str">
        <f t="shared" si="55"/>
        <v>0</v>
      </c>
      <c r="N536" s="1309">
        <f t="shared" si="56"/>
        <v>0</v>
      </c>
      <c r="O536" s="1296" t="str">
        <f t="shared" si="57"/>
        <v>0</v>
      </c>
    </row>
    <row r="537" spans="1:15" s="1296" customFormat="1" hidden="1">
      <c r="A537" s="1310"/>
      <c r="B537" s="1311"/>
      <c r="C537" s="1312">
        <v>0</v>
      </c>
      <c r="D537" s="1313">
        <v>0</v>
      </c>
      <c r="E537" s="1314"/>
      <c r="F537" s="1315"/>
      <c r="G537" s="1316">
        <f>+SUMIF(asientos!$C$13:$C$1276,SYS_4_3_Digitos!A537,asientos!$B$13:$B$1276)</f>
        <v>0</v>
      </c>
      <c r="H537" s="1317">
        <f>+SUMIF(asientos!$I$13:$I$1276,SYS_4_3_Digitos!A537,asientos!$J$13:$J$1276)</f>
        <v>0</v>
      </c>
      <c r="I537" s="1314">
        <f t="shared" si="52"/>
        <v>0</v>
      </c>
      <c r="J537" s="1315">
        <f t="shared" si="53"/>
        <v>0</v>
      </c>
      <c r="L537" s="1308">
        <f t="shared" si="54"/>
        <v>0</v>
      </c>
      <c r="M537" s="1296" t="str">
        <f t="shared" si="55"/>
        <v>0</v>
      </c>
      <c r="N537" s="1309">
        <f t="shared" si="56"/>
        <v>0</v>
      </c>
      <c r="O537" s="1296" t="str">
        <f t="shared" si="57"/>
        <v>0</v>
      </c>
    </row>
    <row r="538" spans="1:15" s="1296" customFormat="1" hidden="1">
      <c r="A538" s="1310"/>
      <c r="B538" s="1311"/>
      <c r="C538" s="1312">
        <v>0</v>
      </c>
      <c r="D538" s="1313">
        <v>0</v>
      </c>
      <c r="E538" s="1314"/>
      <c r="F538" s="1315"/>
      <c r="G538" s="1316">
        <f>+SUMIF(asientos!$C$13:$C$1276,SYS_4_3_Digitos!A538,asientos!$B$13:$B$1276)</f>
        <v>0</v>
      </c>
      <c r="H538" s="1317">
        <f>+SUMIF(asientos!$I$13:$I$1276,SYS_4_3_Digitos!A538,asientos!$J$13:$J$1276)</f>
        <v>0</v>
      </c>
      <c r="I538" s="1314">
        <f t="shared" si="52"/>
        <v>0</v>
      </c>
      <c r="J538" s="1315">
        <f t="shared" si="53"/>
        <v>0</v>
      </c>
      <c r="L538" s="1308">
        <f t="shared" si="54"/>
        <v>0</v>
      </c>
      <c r="M538" s="1296" t="str">
        <f t="shared" si="55"/>
        <v>0</v>
      </c>
      <c r="N538" s="1309">
        <f t="shared" si="56"/>
        <v>0</v>
      </c>
      <c r="O538" s="1296" t="str">
        <f t="shared" si="57"/>
        <v>0</v>
      </c>
    </row>
    <row r="539" spans="1:15" s="1296" customFormat="1" hidden="1">
      <c r="A539" s="1310"/>
      <c r="B539" s="1311"/>
      <c r="C539" s="1312">
        <v>0</v>
      </c>
      <c r="D539" s="1313">
        <v>0</v>
      </c>
      <c r="E539" s="1314"/>
      <c r="F539" s="1315"/>
      <c r="G539" s="1316">
        <f>+SUMIF(asientos!$C$13:$C$1276,SYS_4_3_Digitos!A539,asientos!$B$13:$B$1276)</f>
        <v>0</v>
      </c>
      <c r="H539" s="1317">
        <f>+SUMIF(asientos!$I$13:$I$1276,SYS_4_3_Digitos!A539,asientos!$J$13:$J$1276)</f>
        <v>0</v>
      </c>
      <c r="I539" s="1314">
        <f t="shared" si="52"/>
        <v>0</v>
      </c>
      <c r="J539" s="1315">
        <f t="shared" si="53"/>
        <v>0</v>
      </c>
      <c r="L539" s="1308">
        <f t="shared" si="54"/>
        <v>0</v>
      </c>
      <c r="M539" s="1296" t="str">
        <f t="shared" si="55"/>
        <v>0</v>
      </c>
      <c r="N539" s="1309">
        <f t="shared" si="56"/>
        <v>0</v>
      </c>
      <c r="O539" s="1296" t="str">
        <f t="shared" si="57"/>
        <v>0</v>
      </c>
    </row>
    <row r="540" spans="1:15" s="1296" customFormat="1" hidden="1">
      <c r="A540" s="1310"/>
      <c r="B540" s="1311"/>
      <c r="C540" s="1312">
        <v>0</v>
      </c>
      <c r="D540" s="1313">
        <v>0</v>
      </c>
      <c r="E540" s="1314"/>
      <c r="F540" s="1315"/>
      <c r="G540" s="1316">
        <f>+SUMIF(asientos!$C$13:$C$1276,SYS_4_3_Digitos!A540,asientos!$B$13:$B$1276)</f>
        <v>0</v>
      </c>
      <c r="H540" s="1317">
        <f>+SUMIF(asientos!$I$13:$I$1276,SYS_4_3_Digitos!A540,asientos!$J$13:$J$1276)</f>
        <v>0</v>
      </c>
      <c r="I540" s="1314">
        <f t="shared" si="52"/>
        <v>0</v>
      </c>
      <c r="J540" s="1315">
        <f t="shared" si="53"/>
        <v>0</v>
      </c>
      <c r="L540" s="1308">
        <f t="shared" si="54"/>
        <v>0</v>
      </c>
      <c r="M540" s="1296" t="str">
        <f t="shared" si="55"/>
        <v>0</v>
      </c>
      <c r="N540" s="1309">
        <f t="shared" si="56"/>
        <v>0</v>
      </c>
      <c r="O540" s="1296" t="str">
        <f t="shared" si="57"/>
        <v>0</v>
      </c>
    </row>
    <row r="541" spans="1:15" s="1296" customFormat="1" hidden="1">
      <c r="A541" s="1310"/>
      <c r="B541" s="1311"/>
      <c r="C541" s="1312">
        <v>0</v>
      </c>
      <c r="D541" s="1313">
        <v>0</v>
      </c>
      <c r="E541" s="1314"/>
      <c r="F541" s="1315"/>
      <c r="G541" s="1316">
        <f>+SUMIF(asientos!$C$13:$C$1276,SYS_4_3_Digitos!A541,asientos!$B$13:$B$1276)</f>
        <v>0</v>
      </c>
      <c r="H541" s="1317">
        <f>+SUMIF(asientos!$I$13:$I$1276,SYS_4_3_Digitos!A541,asientos!$J$13:$J$1276)</f>
        <v>0</v>
      </c>
      <c r="I541" s="1314">
        <f t="shared" si="52"/>
        <v>0</v>
      </c>
      <c r="J541" s="1315">
        <f t="shared" si="53"/>
        <v>0</v>
      </c>
      <c r="L541" s="1308">
        <f t="shared" si="54"/>
        <v>0</v>
      </c>
      <c r="M541" s="1296" t="str">
        <f t="shared" si="55"/>
        <v>0</v>
      </c>
      <c r="N541" s="1309">
        <f t="shared" si="56"/>
        <v>0</v>
      </c>
      <c r="O541" s="1296" t="str">
        <f t="shared" si="57"/>
        <v>0</v>
      </c>
    </row>
    <row r="542" spans="1:15" s="1296" customFormat="1" hidden="1">
      <c r="A542" s="1310"/>
      <c r="B542" s="1311"/>
      <c r="C542" s="1312">
        <v>0</v>
      </c>
      <c r="D542" s="1313">
        <v>0</v>
      </c>
      <c r="E542" s="1314"/>
      <c r="F542" s="1315"/>
      <c r="G542" s="1316">
        <f>+SUMIF(asientos!$C$13:$C$1276,SYS_4_3_Digitos!A542,asientos!$B$13:$B$1276)</f>
        <v>0</v>
      </c>
      <c r="H542" s="1317">
        <f>+SUMIF(asientos!$I$13:$I$1276,SYS_4_3_Digitos!A542,asientos!$J$13:$J$1276)</f>
        <v>0</v>
      </c>
      <c r="I542" s="1314">
        <f t="shared" si="52"/>
        <v>0</v>
      </c>
      <c r="J542" s="1315">
        <f t="shared" si="53"/>
        <v>0</v>
      </c>
      <c r="L542" s="1308">
        <f t="shared" si="54"/>
        <v>0</v>
      </c>
      <c r="M542" s="1296" t="str">
        <f t="shared" si="55"/>
        <v>0</v>
      </c>
      <c r="N542" s="1309">
        <f t="shared" si="56"/>
        <v>0</v>
      </c>
      <c r="O542" s="1296" t="str">
        <f t="shared" si="57"/>
        <v>0</v>
      </c>
    </row>
    <row r="543" spans="1:15" s="1296" customFormat="1" hidden="1">
      <c r="A543" s="1310"/>
      <c r="B543" s="1311"/>
      <c r="C543" s="1312">
        <v>0</v>
      </c>
      <c r="D543" s="1313">
        <v>0</v>
      </c>
      <c r="E543" s="1314"/>
      <c r="F543" s="1315"/>
      <c r="G543" s="1316">
        <f>+SUMIF(asientos!$C$13:$C$1276,SYS_4_3_Digitos!A543,asientos!$B$13:$B$1276)</f>
        <v>0</v>
      </c>
      <c r="H543" s="1317">
        <f>+SUMIF(asientos!$I$13:$I$1276,SYS_4_3_Digitos!A543,asientos!$J$13:$J$1276)</f>
        <v>0</v>
      </c>
      <c r="I543" s="1314">
        <f t="shared" si="52"/>
        <v>0</v>
      </c>
      <c r="J543" s="1315">
        <f t="shared" si="53"/>
        <v>0</v>
      </c>
      <c r="L543" s="1308">
        <f t="shared" si="54"/>
        <v>0</v>
      </c>
      <c r="M543" s="1296" t="str">
        <f t="shared" si="55"/>
        <v>0</v>
      </c>
      <c r="N543" s="1309">
        <f t="shared" si="56"/>
        <v>0</v>
      </c>
      <c r="O543" s="1296" t="str">
        <f t="shared" si="57"/>
        <v>0</v>
      </c>
    </row>
    <row r="544" spans="1:15" s="1296" customFormat="1" hidden="1">
      <c r="A544" s="1310"/>
      <c r="B544" s="1311"/>
      <c r="C544" s="1312">
        <v>0</v>
      </c>
      <c r="D544" s="1313">
        <v>0</v>
      </c>
      <c r="E544" s="1314"/>
      <c r="F544" s="1315"/>
      <c r="G544" s="1316">
        <f>+SUMIF(asientos!$C$13:$C$1276,SYS_4_3_Digitos!A544,asientos!$B$13:$B$1276)</f>
        <v>0</v>
      </c>
      <c r="H544" s="1317">
        <f>+SUMIF(asientos!$I$13:$I$1276,SYS_4_3_Digitos!A544,asientos!$J$13:$J$1276)</f>
        <v>0</v>
      </c>
      <c r="I544" s="1314">
        <f t="shared" si="52"/>
        <v>0</v>
      </c>
      <c r="J544" s="1315">
        <f t="shared" si="53"/>
        <v>0</v>
      </c>
      <c r="L544" s="1308">
        <f t="shared" si="54"/>
        <v>0</v>
      </c>
      <c r="M544" s="1296" t="str">
        <f t="shared" si="55"/>
        <v>0</v>
      </c>
      <c r="N544" s="1309">
        <f t="shared" si="56"/>
        <v>0</v>
      </c>
      <c r="O544" s="1296" t="str">
        <f t="shared" si="57"/>
        <v>0</v>
      </c>
    </row>
    <row r="545" spans="1:15" s="1296" customFormat="1" hidden="1">
      <c r="A545" s="1310"/>
      <c r="B545" s="1311"/>
      <c r="C545" s="1312">
        <v>0</v>
      </c>
      <c r="D545" s="1313">
        <v>0</v>
      </c>
      <c r="E545" s="1314"/>
      <c r="F545" s="1315"/>
      <c r="G545" s="1316">
        <f>+SUMIF(asientos!$C$13:$C$1276,SYS_4_3_Digitos!A545,asientos!$B$13:$B$1276)</f>
        <v>0</v>
      </c>
      <c r="H545" s="1317">
        <f>+SUMIF(asientos!$I$13:$I$1276,SYS_4_3_Digitos!A545,asientos!$J$13:$J$1276)</f>
        <v>0</v>
      </c>
      <c r="I545" s="1314">
        <f t="shared" si="52"/>
        <v>0</v>
      </c>
      <c r="J545" s="1315">
        <f t="shared" si="53"/>
        <v>0</v>
      </c>
      <c r="L545" s="1308">
        <f t="shared" si="54"/>
        <v>0</v>
      </c>
      <c r="M545" s="1296" t="str">
        <f t="shared" si="55"/>
        <v>0</v>
      </c>
      <c r="N545" s="1309">
        <f t="shared" si="56"/>
        <v>0</v>
      </c>
      <c r="O545" s="1296" t="str">
        <f t="shared" si="57"/>
        <v>0</v>
      </c>
    </row>
    <row r="546" spans="1:15" s="1296" customFormat="1" hidden="1">
      <c r="A546" s="1310"/>
      <c r="B546" s="1311"/>
      <c r="C546" s="1312">
        <v>0</v>
      </c>
      <c r="D546" s="1313">
        <v>0</v>
      </c>
      <c r="E546" s="1314"/>
      <c r="F546" s="1315"/>
      <c r="G546" s="1316">
        <f>+SUMIF(asientos!$C$13:$C$1276,SYS_4_3_Digitos!A546,asientos!$B$13:$B$1276)</f>
        <v>0</v>
      </c>
      <c r="H546" s="1317">
        <f>+SUMIF(asientos!$I$13:$I$1276,SYS_4_3_Digitos!A546,asientos!$J$13:$J$1276)</f>
        <v>0</v>
      </c>
      <c r="I546" s="1314">
        <f t="shared" si="52"/>
        <v>0</v>
      </c>
      <c r="J546" s="1315">
        <f t="shared" si="53"/>
        <v>0</v>
      </c>
      <c r="L546" s="1308">
        <f t="shared" si="54"/>
        <v>0</v>
      </c>
      <c r="M546" s="1296" t="str">
        <f t="shared" si="55"/>
        <v>0</v>
      </c>
      <c r="N546" s="1309">
        <f t="shared" si="56"/>
        <v>0</v>
      </c>
      <c r="O546" s="1296" t="str">
        <f t="shared" si="57"/>
        <v>0</v>
      </c>
    </row>
    <row r="547" spans="1:15" s="1296" customFormat="1" hidden="1">
      <c r="A547" s="1310"/>
      <c r="B547" s="1311"/>
      <c r="C547" s="1312">
        <v>0</v>
      </c>
      <c r="D547" s="1313">
        <v>0</v>
      </c>
      <c r="E547" s="1314"/>
      <c r="F547" s="1315"/>
      <c r="G547" s="1316">
        <f>+SUMIF(asientos!$C$13:$C$1276,SYS_4_3_Digitos!A547,asientos!$B$13:$B$1276)</f>
        <v>0</v>
      </c>
      <c r="H547" s="1317">
        <f>+SUMIF(asientos!$I$13:$I$1276,SYS_4_3_Digitos!A547,asientos!$J$13:$J$1276)</f>
        <v>0</v>
      </c>
      <c r="I547" s="1314">
        <f t="shared" si="52"/>
        <v>0</v>
      </c>
      <c r="J547" s="1315">
        <f t="shared" si="53"/>
        <v>0</v>
      </c>
      <c r="L547" s="1308">
        <f t="shared" si="54"/>
        <v>0</v>
      </c>
      <c r="M547" s="1296" t="str">
        <f t="shared" si="55"/>
        <v>0</v>
      </c>
      <c r="N547" s="1309">
        <f t="shared" si="56"/>
        <v>0</v>
      </c>
      <c r="O547" s="1296" t="str">
        <f t="shared" si="57"/>
        <v>0</v>
      </c>
    </row>
    <row r="548" spans="1:15" s="1296" customFormat="1" hidden="1">
      <c r="A548" s="1310"/>
      <c r="B548" s="1311"/>
      <c r="C548" s="1312">
        <v>0</v>
      </c>
      <c r="D548" s="1313">
        <v>0</v>
      </c>
      <c r="E548" s="1314"/>
      <c r="F548" s="1315"/>
      <c r="G548" s="1316">
        <f>+SUMIF(asientos!$C$13:$C$1276,SYS_4_3_Digitos!A548,asientos!$B$13:$B$1276)</f>
        <v>0</v>
      </c>
      <c r="H548" s="1317">
        <f>+SUMIF(asientos!$I$13:$I$1276,SYS_4_3_Digitos!A548,asientos!$J$13:$J$1276)</f>
        <v>0</v>
      </c>
      <c r="I548" s="1314">
        <f t="shared" si="52"/>
        <v>0</v>
      </c>
      <c r="J548" s="1315">
        <f t="shared" si="53"/>
        <v>0</v>
      </c>
      <c r="L548" s="1308">
        <f t="shared" si="54"/>
        <v>0</v>
      </c>
      <c r="M548" s="1296" t="str">
        <f t="shared" si="55"/>
        <v>0</v>
      </c>
      <c r="N548" s="1309">
        <f t="shared" si="56"/>
        <v>0</v>
      </c>
      <c r="O548" s="1296" t="str">
        <f t="shared" si="57"/>
        <v>0</v>
      </c>
    </row>
    <row r="549" spans="1:15" s="1296" customFormat="1" hidden="1">
      <c r="A549" s="1310"/>
      <c r="B549" s="1311"/>
      <c r="C549" s="1312">
        <v>0</v>
      </c>
      <c r="D549" s="1313">
        <v>0</v>
      </c>
      <c r="E549" s="1314"/>
      <c r="F549" s="1315"/>
      <c r="G549" s="1316">
        <f>+SUMIF(asientos!$C$13:$C$1276,SYS_4_3_Digitos!A549,asientos!$B$13:$B$1276)</f>
        <v>0</v>
      </c>
      <c r="H549" s="1317">
        <f>+SUMIF(asientos!$I$13:$I$1276,SYS_4_3_Digitos!A549,asientos!$J$13:$J$1276)</f>
        <v>0</v>
      </c>
      <c r="I549" s="1314">
        <f t="shared" ref="I549:I612" si="58">IF((E549+G549-F549-H549)&gt;0,E549+G549-F549-H549,0)</f>
        <v>0</v>
      </c>
      <c r="J549" s="1315">
        <f t="shared" ref="J549:J612" si="59">IF((F549+H549-E549-G549)&gt;0,F549+H549-E549-G549,0)</f>
        <v>0</v>
      </c>
      <c r="L549" s="1308">
        <f t="shared" ref="L549:L612" si="60">+A549*1000000</f>
        <v>0</v>
      </c>
      <c r="M549" s="1296" t="str">
        <f t="shared" ref="M549:M612" si="61">+LEFT(L549,4)</f>
        <v>0</v>
      </c>
      <c r="N549" s="1309">
        <f t="shared" ref="N549:N612" si="62">+I549-J549</f>
        <v>0</v>
      </c>
      <c r="O549" s="1296" t="str">
        <f t="shared" ref="O549:O612" si="63">+LEFT(M549,2)</f>
        <v>0</v>
      </c>
    </row>
    <row r="550" spans="1:15" s="1296" customFormat="1" hidden="1">
      <c r="A550" s="1310"/>
      <c r="B550" s="1311"/>
      <c r="C550" s="1312">
        <v>0</v>
      </c>
      <c r="D550" s="1313">
        <v>0</v>
      </c>
      <c r="E550" s="1314"/>
      <c r="F550" s="1315"/>
      <c r="G550" s="1316">
        <f>+SUMIF(asientos!$C$13:$C$1276,SYS_4_3_Digitos!A550,asientos!$B$13:$B$1276)</f>
        <v>0</v>
      </c>
      <c r="H550" s="1317">
        <f>+SUMIF(asientos!$I$13:$I$1276,SYS_4_3_Digitos!A550,asientos!$J$13:$J$1276)</f>
        <v>0</v>
      </c>
      <c r="I550" s="1314">
        <f t="shared" si="58"/>
        <v>0</v>
      </c>
      <c r="J550" s="1315">
        <f t="shared" si="59"/>
        <v>0</v>
      </c>
      <c r="L550" s="1308">
        <f t="shared" si="60"/>
        <v>0</v>
      </c>
      <c r="M550" s="1296" t="str">
        <f t="shared" si="61"/>
        <v>0</v>
      </c>
      <c r="N550" s="1309">
        <f t="shared" si="62"/>
        <v>0</v>
      </c>
      <c r="O550" s="1296" t="str">
        <f t="shared" si="63"/>
        <v>0</v>
      </c>
    </row>
    <row r="551" spans="1:15" s="1296" customFormat="1" hidden="1">
      <c r="A551" s="1310"/>
      <c r="B551" s="1311"/>
      <c r="C551" s="1312">
        <v>0</v>
      </c>
      <c r="D551" s="1313">
        <v>0</v>
      </c>
      <c r="E551" s="1314"/>
      <c r="F551" s="1315"/>
      <c r="G551" s="1316">
        <f>+SUMIF(asientos!$C$13:$C$1276,SYS_4_3_Digitos!A551,asientos!$B$13:$B$1276)</f>
        <v>0</v>
      </c>
      <c r="H551" s="1317">
        <f>+SUMIF(asientos!$I$13:$I$1276,SYS_4_3_Digitos!A551,asientos!$J$13:$J$1276)</f>
        <v>0</v>
      </c>
      <c r="I551" s="1314">
        <f t="shared" si="58"/>
        <v>0</v>
      </c>
      <c r="J551" s="1315">
        <f t="shared" si="59"/>
        <v>0</v>
      </c>
      <c r="L551" s="1308">
        <f t="shared" si="60"/>
        <v>0</v>
      </c>
      <c r="M551" s="1296" t="str">
        <f t="shared" si="61"/>
        <v>0</v>
      </c>
      <c r="N551" s="1309">
        <f t="shared" si="62"/>
        <v>0</v>
      </c>
      <c r="O551" s="1296" t="str">
        <f t="shared" si="63"/>
        <v>0</v>
      </c>
    </row>
    <row r="552" spans="1:15" s="1296" customFormat="1" hidden="1">
      <c r="A552" s="1310"/>
      <c r="B552" s="1311"/>
      <c r="C552" s="1312">
        <v>0</v>
      </c>
      <c r="D552" s="1313">
        <v>0</v>
      </c>
      <c r="E552" s="1314"/>
      <c r="F552" s="1315"/>
      <c r="G552" s="1316">
        <f>+SUMIF(asientos!$C$13:$C$1276,SYS_4_3_Digitos!A552,asientos!$B$13:$B$1276)</f>
        <v>0</v>
      </c>
      <c r="H552" s="1317">
        <f>+SUMIF(asientos!$I$13:$I$1276,SYS_4_3_Digitos!A552,asientos!$J$13:$J$1276)</f>
        <v>0</v>
      </c>
      <c r="I552" s="1314">
        <f t="shared" si="58"/>
        <v>0</v>
      </c>
      <c r="J552" s="1315">
        <f t="shared" si="59"/>
        <v>0</v>
      </c>
      <c r="L552" s="1308">
        <f t="shared" si="60"/>
        <v>0</v>
      </c>
      <c r="M552" s="1296" t="str">
        <f t="shared" si="61"/>
        <v>0</v>
      </c>
      <c r="N552" s="1309">
        <f t="shared" si="62"/>
        <v>0</v>
      </c>
      <c r="O552" s="1296" t="str">
        <f t="shared" si="63"/>
        <v>0</v>
      </c>
    </row>
    <row r="553" spans="1:15" s="1296" customFormat="1" hidden="1">
      <c r="A553" s="1310"/>
      <c r="B553" s="1311"/>
      <c r="C553" s="1312">
        <v>0</v>
      </c>
      <c r="D553" s="1313">
        <v>0</v>
      </c>
      <c r="E553" s="1314"/>
      <c r="F553" s="1315"/>
      <c r="G553" s="1316">
        <f>+SUMIF(asientos!$C$13:$C$1276,SYS_4_3_Digitos!A553,asientos!$B$13:$B$1276)</f>
        <v>0</v>
      </c>
      <c r="H553" s="1317">
        <f>+SUMIF(asientos!$I$13:$I$1276,SYS_4_3_Digitos!A553,asientos!$J$13:$J$1276)</f>
        <v>0</v>
      </c>
      <c r="I553" s="1314">
        <f t="shared" si="58"/>
        <v>0</v>
      </c>
      <c r="J553" s="1315">
        <f t="shared" si="59"/>
        <v>0</v>
      </c>
      <c r="L553" s="1308">
        <f t="shared" si="60"/>
        <v>0</v>
      </c>
      <c r="M553" s="1296" t="str">
        <f t="shared" si="61"/>
        <v>0</v>
      </c>
      <c r="N553" s="1309">
        <f t="shared" si="62"/>
        <v>0</v>
      </c>
      <c r="O553" s="1296" t="str">
        <f t="shared" si="63"/>
        <v>0</v>
      </c>
    </row>
    <row r="554" spans="1:15" s="1296" customFormat="1" hidden="1">
      <c r="A554" s="1310"/>
      <c r="B554" s="1311"/>
      <c r="C554" s="1312">
        <v>0</v>
      </c>
      <c r="D554" s="1313">
        <v>0</v>
      </c>
      <c r="E554" s="1314"/>
      <c r="F554" s="1315"/>
      <c r="G554" s="1316">
        <f>+SUMIF(asientos!$C$13:$C$1276,SYS_4_3_Digitos!A554,asientos!$B$13:$B$1276)</f>
        <v>0</v>
      </c>
      <c r="H554" s="1317">
        <f>+SUMIF(asientos!$I$13:$I$1276,SYS_4_3_Digitos!A554,asientos!$J$13:$J$1276)</f>
        <v>0</v>
      </c>
      <c r="I554" s="1314">
        <f t="shared" si="58"/>
        <v>0</v>
      </c>
      <c r="J554" s="1315">
        <f t="shared" si="59"/>
        <v>0</v>
      </c>
      <c r="L554" s="1308">
        <f t="shared" si="60"/>
        <v>0</v>
      </c>
      <c r="M554" s="1296" t="str">
        <f t="shared" si="61"/>
        <v>0</v>
      </c>
      <c r="N554" s="1309">
        <f t="shared" si="62"/>
        <v>0</v>
      </c>
      <c r="O554" s="1296" t="str">
        <f t="shared" si="63"/>
        <v>0</v>
      </c>
    </row>
    <row r="555" spans="1:15" s="1296" customFormat="1" hidden="1">
      <c r="A555" s="1310"/>
      <c r="B555" s="1311"/>
      <c r="C555" s="1312">
        <v>0</v>
      </c>
      <c r="D555" s="1313">
        <v>0</v>
      </c>
      <c r="E555" s="1314"/>
      <c r="F555" s="1315"/>
      <c r="G555" s="1316">
        <f>+SUMIF(asientos!$C$13:$C$1276,SYS_4_3_Digitos!A555,asientos!$B$13:$B$1276)</f>
        <v>0</v>
      </c>
      <c r="H555" s="1317">
        <f>+SUMIF(asientos!$I$13:$I$1276,SYS_4_3_Digitos!A555,asientos!$J$13:$J$1276)</f>
        <v>0</v>
      </c>
      <c r="I555" s="1314">
        <f t="shared" si="58"/>
        <v>0</v>
      </c>
      <c r="J555" s="1315">
        <f t="shared" si="59"/>
        <v>0</v>
      </c>
      <c r="L555" s="1308">
        <f t="shared" si="60"/>
        <v>0</v>
      </c>
      <c r="M555" s="1296" t="str">
        <f t="shared" si="61"/>
        <v>0</v>
      </c>
      <c r="N555" s="1309">
        <f t="shared" si="62"/>
        <v>0</v>
      </c>
      <c r="O555" s="1296" t="str">
        <f t="shared" si="63"/>
        <v>0</v>
      </c>
    </row>
    <row r="556" spans="1:15" s="1296" customFormat="1" hidden="1">
      <c r="A556" s="1310"/>
      <c r="B556" s="1311"/>
      <c r="C556" s="1312">
        <v>0</v>
      </c>
      <c r="D556" s="1313">
        <v>0</v>
      </c>
      <c r="E556" s="1314"/>
      <c r="F556" s="1315"/>
      <c r="G556" s="1316">
        <f>+SUMIF(asientos!$C$13:$C$1276,SYS_4_3_Digitos!A556,asientos!$B$13:$B$1276)</f>
        <v>0</v>
      </c>
      <c r="H556" s="1317">
        <f>+SUMIF(asientos!$I$13:$I$1276,SYS_4_3_Digitos!A556,asientos!$J$13:$J$1276)</f>
        <v>0</v>
      </c>
      <c r="I556" s="1314">
        <f t="shared" si="58"/>
        <v>0</v>
      </c>
      <c r="J556" s="1315">
        <f t="shared" si="59"/>
        <v>0</v>
      </c>
      <c r="L556" s="1308">
        <f t="shared" si="60"/>
        <v>0</v>
      </c>
      <c r="M556" s="1296" t="str">
        <f t="shared" si="61"/>
        <v>0</v>
      </c>
      <c r="N556" s="1309">
        <f t="shared" si="62"/>
        <v>0</v>
      </c>
      <c r="O556" s="1296" t="str">
        <f t="shared" si="63"/>
        <v>0</v>
      </c>
    </row>
    <row r="557" spans="1:15" s="1296" customFormat="1" hidden="1">
      <c r="A557" s="1310"/>
      <c r="B557" s="1311"/>
      <c r="C557" s="1312">
        <v>0</v>
      </c>
      <c r="D557" s="1313">
        <v>0</v>
      </c>
      <c r="E557" s="1314"/>
      <c r="F557" s="1315"/>
      <c r="G557" s="1316">
        <f>+SUMIF(asientos!$C$13:$C$1276,SYS_4_3_Digitos!A557,asientos!$B$13:$B$1276)</f>
        <v>0</v>
      </c>
      <c r="H557" s="1317">
        <f>+SUMIF(asientos!$I$13:$I$1276,SYS_4_3_Digitos!A557,asientos!$J$13:$J$1276)</f>
        <v>0</v>
      </c>
      <c r="I557" s="1314">
        <f t="shared" si="58"/>
        <v>0</v>
      </c>
      <c r="J557" s="1315">
        <f t="shared" si="59"/>
        <v>0</v>
      </c>
      <c r="L557" s="1308">
        <f t="shared" si="60"/>
        <v>0</v>
      </c>
      <c r="M557" s="1296" t="str">
        <f t="shared" si="61"/>
        <v>0</v>
      </c>
      <c r="N557" s="1309">
        <f t="shared" si="62"/>
        <v>0</v>
      </c>
      <c r="O557" s="1296" t="str">
        <f t="shared" si="63"/>
        <v>0</v>
      </c>
    </row>
    <row r="558" spans="1:15" s="1296" customFormat="1" hidden="1">
      <c r="A558" s="1310"/>
      <c r="B558" s="1311"/>
      <c r="C558" s="1312">
        <v>0</v>
      </c>
      <c r="D558" s="1313">
        <v>0</v>
      </c>
      <c r="E558" s="1314"/>
      <c r="F558" s="1315"/>
      <c r="G558" s="1316">
        <f>+SUMIF(asientos!$C$13:$C$1276,SYS_4_3_Digitos!A558,asientos!$B$13:$B$1276)</f>
        <v>0</v>
      </c>
      <c r="H558" s="1317">
        <f>+SUMIF(asientos!$I$13:$I$1276,SYS_4_3_Digitos!A558,asientos!$J$13:$J$1276)</f>
        <v>0</v>
      </c>
      <c r="I558" s="1314">
        <f t="shared" si="58"/>
        <v>0</v>
      </c>
      <c r="J558" s="1315">
        <f t="shared" si="59"/>
        <v>0</v>
      </c>
      <c r="L558" s="1308">
        <f t="shared" si="60"/>
        <v>0</v>
      </c>
      <c r="M558" s="1296" t="str">
        <f t="shared" si="61"/>
        <v>0</v>
      </c>
      <c r="N558" s="1309">
        <f t="shared" si="62"/>
        <v>0</v>
      </c>
      <c r="O558" s="1296" t="str">
        <f t="shared" si="63"/>
        <v>0</v>
      </c>
    </row>
    <row r="559" spans="1:15" s="1296" customFormat="1" hidden="1">
      <c r="A559" s="1310"/>
      <c r="B559" s="1311"/>
      <c r="C559" s="1312">
        <v>0</v>
      </c>
      <c r="D559" s="1313">
        <v>0</v>
      </c>
      <c r="E559" s="1314"/>
      <c r="F559" s="1315"/>
      <c r="G559" s="1316">
        <f>+SUMIF(asientos!$C$13:$C$1276,SYS_4_3_Digitos!A559,asientos!$B$13:$B$1276)</f>
        <v>0</v>
      </c>
      <c r="H559" s="1317">
        <f>+SUMIF(asientos!$I$13:$I$1276,SYS_4_3_Digitos!A559,asientos!$J$13:$J$1276)</f>
        <v>0</v>
      </c>
      <c r="I559" s="1314">
        <f t="shared" si="58"/>
        <v>0</v>
      </c>
      <c r="J559" s="1315">
        <f t="shared" si="59"/>
        <v>0</v>
      </c>
      <c r="L559" s="1308">
        <f t="shared" si="60"/>
        <v>0</v>
      </c>
      <c r="M559" s="1296" t="str">
        <f t="shared" si="61"/>
        <v>0</v>
      </c>
      <c r="N559" s="1309">
        <f t="shared" si="62"/>
        <v>0</v>
      </c>
      <c r="O559" s="1296" t="str">
        <f t="shared" si="63"/>
        <v>0</v>
      </c>
    </row>
    <row r="560" spans="1:15" s="1296" customFormat="1" hidden="1">
      <c r="A560" s="1310"/>
      <c r="B560" s="1311"/>
      <c r="C560" s="1312">
        <v>0</v>
      </c>
      <c r="D560" s="1313">
        <v>0</v>
      </c>
      <c r="E560" s="1314"/>
      <c r="F560" s="1315"/>
      <c r="G560" s="1316">
        <f>+SUMIF(asientos!$C$13:$C$1276,SYS_4_3_Digitos!A560,asientos!$B$13:$B$1276)</f>
        <v>0</v>
      </c>
      <c r="H560" s="1317">
        <f>+SUMIF(asientos!$I$13:$I$1276,SYS_4_3_Digitos!A560,asientos!$J$13:$J$1276)</f>
        <v>0</v>
      </c>
      <c r="I560" s="1314">
        <f t="shared" si="58"/>
        <v>0</v>
      </c>
      <c r="J560" s="1315">
        <f t="shared" si="59"/>
        <v>0</v>
      </c>
      <c r="L560" s="1308">
        <f t="shared" si="60"/>
        <v>0</v>
      </c>
      <c r="M560" s="1296" t="str">
        <f t="shared" si="61"/>
        <v>0</v>
      </c>
      <c r="N560" s="1309">
        <f t="shared" si="62"/>
        <v>0</v>
      </c>
      <c r="O560" s="1296" t="str">
        <f t="shared" si="63"/>
        <v>0</v>
      </c>
    </row>
    <row r="561" spans="1:15" s="1296" customFormat="1" hidden="1">
      <c r="A561" s="1310"/>
      <c r="B561" s="1311"/>
      <c r="C561" s="1312">
        <v>0</v>
      </c>
      <c r="D561" s="1313">
        <v>0</v>
      </c>
      <c r="E561" s="1314"/>
      <c r="F561" s="1315"/>
      <c r="G561" s="1316">
        <f>+SUMIF(asientos!$C$13:$C$1276,SYS_4_3_Digitos!A561,asientos!$B$13:$B$1276)</f>
        <v>0</v>
      </c>
      <c r="H561" s="1317">
        <f>+SUMIF(asientos!$I$13:$I$1276,SYS_4_3_Digitos!A561,asientos!$J$13:$J$1276)</f>
        <v>0</v>
      </c>
      <c r="I561" s="1314">
        <f t="shared" si="58"/>
        <v>0</v>
      </c>
      <c r="J561" s="1315">
        <f t="shared" si="59"/>
        <v>0</v>
      </c>
      <c r="L561" s="1308">
        <f t="shared" si="60"/>
        <v>0</v>
      </c>
      <c r="M561" s="1296" t="str">
        <f t="shared" si="61"/>
        <v>0</v>
      </c>
      <c r="N561" s="1309">
        <f t="shared" si="62"/>
        <v>0</v>
      </c>
      <c r="O561" s="1296" t="str">
        <f t="shared" si="63"/>
        <v>0</v>
      </c>
    </row>
    <row r="562" spans="1:15" s="1296" customFormat="1" hidden="1">
      <c r="A562" s="1310"/>
      <c r="B562" s="1311"/>
      <c r="C562" s="1312">
        <v>0</v>
      </c>
      <c r="D562" s="1313">
        <v>0</v>
      </c>
      <c r="E562" s="1314"/>
      <c r="F562" s="1315"/>
      <c r="G562" s="1316">
        <f>+SUMIF(asientos!$C$13:$C$1276,SYS_4_3_Digitos!A562,asientos!$B$13:$B$1276)</f>
        <v>0</v>
      </c>
      <c r="H562" s="1317">
        <f>+SUMIF(asientos!$I$13:$I$1276,SYS_4_3_Digitos!A562,asientos!$J$13:$J$1276)</f>
        <v>0</v>
      </c>
      <c r="I562" s="1314">
        <f t="shared" si="58"/>
        <v>0</v>
      </c>
      <c r="J562" s="1315">
        <f t="shared" si="59"/>
        <v>0</v>
      </c>
      <c r="L562" s="1308">
        <f t="shared" si="60"/>
        <v>0</v>
      </c>
      <c r="M562" s="1296" t="str">
        <f t="shared" si="61"/>
        <v>0</v>
      </c>
      <c r="N562" s="1309">
        <f t="shared" si="62"/>
        <v>0</v>
      </c>
      <c r="O562" s="1296" t="str">
        <f t="shared" si="63"/>
        <v>0</v>
      </c>
    </row>
    <row r="563" spans="1:15" s="1296" customFormat="1" hidden="1">
      <c r="A563" s="1310"/>
      <c r="B563" s="1311"/>
      <c r="C563" s="1312">
        <v>0</v>
      </c>
      <c r="D563" s="1313">
        <v>0</v>
      </c>
      <c r="E563" s="1314"/>
      <c r="F563" s="1315"/>
      <c r="G563" s="1316">
        <f>+SUMIF(asientos!$C$13:$C$1276,SYS_4_3_Digitos!A563,asientos!$B$13:$B$1276)</f>
        <v>0</v>
      </c>
      <c r="H563" s="1317">
        <f>+SUMIF(asientos!$I$13:$I$1276,SYS_4_3_Digitos!A563,asientos!$J$13:$J$1276)</f>
        <v>0</v>
      </c>
      <c r="I563" s="1314">
        <f t="shared" si="58"/>
        <v>0</v>
      </c>
      <c r="J563" s="1315">
        <f t="shared" si="59"/>
        <v>0</v>
      </c>
      <c r="L563" s="1308">
        <f t="shared" si="60"/>
        <v>0</v>
      </c>
      <c r="M563" s="1296" t="str">
        <f t="shared" si="61"/>
        <v>0</v>
      </c>
      <c r="N563" s="1309">
        <f t="shared" si="62"/>
        <v>0</v>
      </c>
      <c r="O563" s="1296" t="str">
        <f t="shared" si="63"/>
        <v>0</v>
      </c>
    </row>
    <row r="564" spans="1:15" s="1296" customFormat="1" hidden="1">
      <c r="A564" s="1310"/>
      <c r="B564" s="1311"/>
      <c r="C564" s="1312">
        <v>0</v>
      </c>
      <c r="D564" s="1313">
        <v>0</v>
      </c>
      <c r="E564" s="1314"/>
      <c r="F564" s="1315"/>
      <c r="G564" s="1316">
        <f>+SUMIF(asientos!$C$13:$C$1276,SYS_4_3_Digitos!A564,asientos!$B$13:$B$1276)</f>
        <v>0</v>
      </c>
      <c r="H564" s="1317">
        <f>+SUMIF(asientos!$I$13:$I$1276,SYS_4_3_Digitos!A564,asientos!$J$13:$J$1276)</f>
        <v>0</v>
      </c>
      <c r="I564" s="1314">
        <f t="shared" si="58"/>
        <v>0</v>
      </c>
      <c r="J564" s="1315">
        <f t="shared" si="59"/>
        <v>0</v>
      </c>
      <c r="L564" s="1308">
        <f t="shared" si="60"/>
        <v>0</v>
      </c>
      <c r="M564" s="1296" t="str">
        <f t="shared" si="61"/>
        <v>0</v>
      </c>
      <c r="N564" s="1309">
        <f t="shared" si="62"/>
        <v>0</v>
      </c>
      <c r="O564" s="1296" t="str">
        <f t="shared" si="63"/>
        <v>0</v>
      </c>
    </row>
    <row r="565" spans="1:15" s="1296" customFormat="1" hidden="1">
      <c r="A565" s="1310"/>
      <c r="B565" s="1311"/>
      <c r="C565" s="1312">
        <v>0</v>
      </c>
      <c r="D565" s="1313">
        <v>0</v>
      </c>
      <c r="E565" s="1314"/>
      <c r="F565" s="1315"/>
      <c r="G565" s="1316">
        <f>+SUMIF(asientos!$C$13:$C$1276,SYS_4_3_Digitos!A565,asientos!$B$13:$B$1276)</f>
        <v>0</v>
      </c>
      <c r="H565" s="1317">
        <f>+SUMIF(asientos!$I$13:$I$1276,SYS_4_3_Digitos!A565,asientos!$J$13:$J$1276)</f>
        <v>0</v>
      </c>
      <c r="I565" s="1314">
        <f t="shared" si="58"/>
        <v>0</v>
      </c>
      <c r="J565" s="1315">
        <f t="shared" si="59"/>
        <v>0</v>
      </c>
      <c r="L565" s="1308">
        <f t="shared" si="60"/>
        <v>0</v>
      </c>
      <c r="M565" s="1296" t="str">
        <f t="shared" si="61"/>
        <v>0</v>
      </c>
      <c r="N565" s="1309">
        <f t="shared" si="62"/>
        <v>0</v>
      </c>
      <c r="O565" s="1296" t="str">
        <f t="shared" si="63"/>
        <v>0</v>
      </c>
    </row>
    <row r="566" spans="1:15" s="1296" customFormat="1" hidden="1">
      <c r="A566" s="1310"/>
      <c r="B566" s="1311"/>
      <c r="C566" s="1312">
        <v>0</v>
      </c>
      <c r="D566" s="1313">
        <v>0</v>
      </c>
      <c r="E566" s="1314"/>
      <c r="F566" s="1315"/>
      <c r="G566" s="1316">
        <f>+SUMIF(asientos!$C$13:$C$1276,SYS_4_3_Digitos!A566,asientos!$B$13:$B$1276)</f>
        <v>0</v>
      </c>
      <c r="H566" s="1317">
        <f>+SUMIF(asientos!$I$13:$I$1276,SYS_4_3_Digitos!A566,asientos!$J$13:$J$1276)</f>
        <v>0</v>
      </c>
      <c r="I566" s="1314">
        <f t="shared" si="58"/>
        <v>0</v>
      </c>
      <c r="J566" s="1315">
        <f t="shared" si="59"/>
        <v>0</v>
      </c>
      <c r="L566" s="1308">
        <f t="shared" si="60"/>
        <v>0</v>
      </c>
      <c r="M566" s="1296" t="str">
        <f t="shared" si="61"/>
        <v>0</v>
      </c>
      <c r="N566" s="1309">
        <f t="shared" si="62"/>
        <v>0</v>
      </c>
      <c r="O566" s="1296" t="str">
        <f t="shared" si="63"/>
        <v>0</v>
      </c>
    </row>
    <row r="567" spans="1:15" s="1296" customFormat="1" hidden="1">
      <c r="A567" s="1310"/>
      <c r="B567" s="1311"/>
      <c r="C567" s="1312">
        <v>0</v>
      </c>
      <c r="D567" s="1313">
        <v>0</v>
      </c>
      <c r="E567" s="1314"/>
      <c r="F567" s="1315"/>
      <c r="G567" s="1316">
        <f>+SUMIF(asientos!$C$13:$C$1276,SYS_4_3_Digitos!A567,asientos!$B$13:$B$1276)</f>
        <v>0</v>
      </c>
      <c r="H567" s="1317">
        <f>+SUMIF(asientos!$I$13:$I$1276,SYS_4_3_Digitos!A567,asientos!$J$13:$J$1276)</f>
        <v>0</v>
      </c>
      <c r="I567" s="1314">
        <f t="shared" si="58"/>
        <v>0</v>
      </c>
      <c r="J567" s="1315">
        <f t="shared" si="59"/>
        <v>0</v>
      </c>
      <c r="L567" s="1308">
        <f t="shared" si="60"/>
        <v>0</v>
      </c>
      <c r="M567" s="1296" t="str">
        <f t="shared" si="61"/>
        <v>0</v>
      </c>
      <c r="N567" s="1309">
        <f t="shared" si="62"/>
        <v>0</v>
      </c>
      <c r="O567" s="1296" t="str">
        <f t="shared" si="63"/>
        <v>0</v>
      </c>
    </row>
    <row r="568" spans="1:15" s="1296" customFormat="1" hidden="1">
      <c r="A568" s="1310"/>
      <c r="B568" s="1311"/>
      <c r="C568" s="1312">
        <v>0</v>
      </c>
      <c r="D568" s="1313">
        <v>0</v>
      </c>
      <c r="E568" s="1314"/>
      <c r="F568" s="1315"/>
      <c r="G568" s="1316">
        <f>+SUMIF(asientos!$C$13:$C$1276,SYS_4_3_Digitos!A568,asientos!$B$13:$B$1276)</f>
        <v>0</v>
      </c>
      <c r="H568" s="1317">
        <f>+SUMIF(asientos!$I$13:$I$1276,SYS_4_3_Digitos!A568,asientos!$J$13:$J$1276)</f>
        <v>0</v>
      </c>
      <c r="I568" s="1314">
        <f t="shared" si="58"/>
        <v>0</v>
      </c>
      <c r="J568" s="1315">
        <f t="shared" si="59"/>
        <v>0</v>
      </c>
      <c r="L568" s="1308">
        <f t="shared" si="60"/>
        <v>0</v>
      </c>
      <c r="M568" s="1296" t="str">
        <f t="shared" si="61"/>
        <v>0</v>
      </c>
      <c r="N568" s="1309">
        <f t="shared" si="62"/>
        <v>0</v>
      </c>
      <c r="O568" s="1296" t="str">
        <f t="shared" si="63"/>
        <v>0</v>
      </c>
    </row>
    <row r="569" spans="1:15" s="1296" customFormat="1" hidden="1">
      <c r="A569" s="1310"/>
      <c r="B569" s="1311"/>
      <c r="C569" s="1312">
        <v>0</v>
      </c>
      <c r="D569" s="1313">
        <v>0</v>
      </c>
      <c r="E569" s="1314"/>
      <c r="F569" s="1315"/>
      <c r="G569" s="1316">
        <f>+SUMIF(asientos!$C$13:$C$1276,SYS_4_3_Digitos!A569,asientos!$B$13:$B$1276)</f>
        <v>0</v>
      </c>
      <c r="H569" s="1317">
        <f>+SUMIF(asientos!$I$13:$I$1276,SYS_4_3_Digitos!A569,asientos!$J$13:$J$1276)</f>
        <v>0</v>
      </c>
      <c r="I569" s="1314">
        <f t="shared" si="58"/>
        <v>0</v>
      </c>
      <c r="J569" s="1315">
        <f t="shared" si="59"/>
        <v>0</v>
      </c>
      <c r="L569" s="1308">
        <f t="shared" si="60"/>
        <v>0</v>
      </c>
      <c r="M569" s="1296" t="str">
        <f t="shared" si="61"/>
        <v>0</v>
      </c>
      <c r="N569" s="1309">
        <f t="shared" si="62"/>
        <v>0</v>
      </c>
      <c r="O569" s="1296" t="str">
        <f t="shared" si="63"/>
        <v>0</v>
      </c>
    </row>
    <row r="570" spans="1:15" s="1296" customFormat="1" hidden="1">
      <c r="A570" s="1310"/>
      <c r="B570" s="1311"/>
      <c r="C570" s="1312">
        <v>0</v>
      </c>
      <c r="D570" s="1313">
        <v>0</v>
      </c>
      <c r="E570" s="1314"/>
      <c r="F570" s="1315"/>
      <c r="G570" s="1316">
        <f>+SUMIF(asientos!$C$13:$C$1276,SYS_4_3_Digitos!A570,asientos!$B$13:$B$1276)</f>
        <v>0</v>
      </c>
      <c r="H570" s="1317">
        <f>+SUMIF(asientos!$I$13:$I$1276,SYS_4_3_Digitos!A570,asientos!$J$13:$J$1276)</f>
        <v>0</v>
      </c>
      <c r="I570" s="1314">
        <f t="shared" si="58"/>
        <v>0</v>
      </c>
      <c r="J570" s="1315">
        <f t="shared" si="59"/>
        <v>0</v>
      </c>
      <c r="L570" s="1308">
        <f t="shared" si="60"/>
        <v>0</v>
      </c>
      <c r="M570" s="1296" t="str">
        <f t="shared" si="61"/>
        <v>0</v>
      </c>
      <c r="N570" s="1309">
        <f t="shared" si="62"/>
        <v>0</v>
      </c>
      <c r="O570" s="1296" t="str">
        <f t="shared" si="63"/>
        <v>0</v>
      </c>
    </row>
    <row r="571" spans="1:15" s="1296" customFormat="1" hidden="1">
      <c r="A571" s="1310"/>
      <c r="B571" s="1311"/>
      <c r="C571" s="1312">
        <v>0</v>
      </c>
      <c r="D571" s="1313">
        <v>0</v>
      </c>
      <c r="E571" s="1314"/>
      <c r="F571" s="1315"/>
      <c r="G571" s="1316">
        <f>+SUMIF(asientos!$C$13:$C$1276,SYS_4_3_Digitos!A571,asientos!$B$13:$B$1276)</f>
        <v>0</v>
      </c>
      <c r="H571" s="1317">
        <f>+SUMIF(asientos!$I$13:$I$1276,SYS_4_3_Digitos!A571,asientos!$J$13:$J$1276)</f>
        <v>0</v>
      </c>
      <c r="I571" s="1314">
        <f t="shared" si="58"/>
        <v>0</v>
      </c>
      <c r="J571" s="1315">
        <f t="shared" si="59"/>
        <v>0</v>
      </c>
      <c r="L571" s="1308">
        <f t="shared" si="60"/>
        <v>0</v>
      </c>
      <c r="M571" s="1296" t="str">
        <f t="shared" si="61"/>
        <v>0</v>
      </c>
      <c r="N571" s="1309">
        <f t="shared" si="62"/>
        <v>0</v>
      </c>
      <c r="O571" s="1296" t="str">
        <f t="shared" si="63"/>
        <v>0</v>
      </c>
    </row>
    <row r="572" spans="1:15" s="1296" customFormat="1" hidden="1">
      <c r="A572" s="1310"/>
      <c r="B572" s="1311"/>
      <c r="C572" s="1312">
        <v>0</v>
      </c>
      <c r="D572" s="1313">
        <v>0</v>
      </c>
      <c r="E572" s="1314"/>
      <c r="F572" s="1315"/>
      <c r="G572" s="1316">
        <f>+SUMIF(asientos!$C$13:$C$1276,SYS_4_3_Digitos!A572,asientos!$B$13:$B$1276)</f>
        <v>0</v>
      </c>
      <c r="H572" s="1317">
        <f>+SUMIF(asientos!$I$13:$I$1276,SYS_4_3_Digitos!A572,asientos!$J$13:$J$1276)</f>
        <v>0</v>
      </c>
      <c r="I572" s="1314">
        <f t="shared" si="58"/>
        <v>0</v>
      </c>
      <c r="J572" s="1315">
        <f t="shared" si="59"/>
        <v>0</v>
      </c>
      <c r="L572" s="1308">
        <f t="shared" si="60"/>
        <v>0</v>
      </c>
      <c r="M572" s="1296" t="str">
        <f t="shared" si="61"/>
        <v>0</v>
      </c>
      <c r="N572" s="1309">
        <f t="shared" si="62"/>
        <v>0</v>
      </c>
      <c r="O572" s="1296" t="str">
        <f t="shared" si="63"/>
        <v>0</v>
      </c>
    </row>
    <row r="573" spans="1:15" s="1296" customFormat="1" hidden="1">
      <c r="A573" s="1310"/>
      <c r="B573" s="1311"/>
      <c r="C573" s="1312">
        <v>0</v>
      </c>
      <c r="D573" s="1313">
        <v>0</v>
      </c>
      <c r="E573" s="1314"/>
      <c r="F573" s="1315"/>
      <c r="G573" s="1316">
        <f>+SUMIF(asientos!$C$13:$C$1276,SYS_4_3_Digitos!A573,asientos!$B$13:$B$1276)</f>
        <v>0</v>
      </c>
      <c r="H573" s="1317">
        <f>+SUMIF(asientos!$I$13:$I$1276,SYS_4_3_Digitos!A573,asientos!$J$13:$J$1276)</f>
        <v>0</v>
      </c>
      <c r="I573" s="1314">
        <f t="shared" si="58"/>
        <v>0</v>
      </c>
      <c r="J573" s="1315">
        <f t="shared" si="59"/>
        <v>0</v>
      </c>
      <c r="L573" s="1308">
        <f t="shared" si="60"/>
        <v>0</v>
      </c>
      <c r="M573" s="1296" t="str">
        <f t="shared" si="61"/>
        <v>0</v>
      </c>
      <c r="N573" s="1309">
        <f t="shared" si="62"/>
        <v>0</v>
      </c>
      <c r="O573" s="1296" t="str">
        <f t="shared" si="63"/>
        <v>0</v>
      </c>
    </row>
    <row r="574" spans="1:15" s="1296" customFormat="1" hidden="1">
      <c r="A574" s="1310"/>
      <c r="B574" s="1311"/>
      <c r="C574" s="1312">
        <v>0</v>
      </c>
      <c r="D574" s="1313">
        <v>0</v>
      </c>
      <c r="E574" s="1314"/>
      <c r="F574" s="1315"/>
      <c r="G574" s="1316">
        <f>+SUMIF(asientos!$C$13:$C$1276,SYS_4_3_Digitos!A574,asientos!$B$13:$B$1276)</f>
        <v>0</v>
      </c>
      <c r="H574" s="1317">
        <f>+SUMIF(asientos!$I$13:$I$1276,SYS_4_3_Digitos!A574,asientos!$J$13:$J$1276)</f>
        <v>0</v>
      </c>
      <c r="I574" s="1314">
        <f t="shared" si="58"/>
        <v>0</v>
      </c>
      <c r="J574" s="1315">
        <f t="shared" si="59"/>
        <v>0</v>
      </c>
      <c r="L574" s="1308">
        <f t="shared" si="60"/>
        <v>0</v>
      </c>
      <c r="M574" s="1296" t="str">
        <f t="shared" si="61"/>
        <v>0</v>
      </c>
      <c r="N574" s="1309">
        <f t="shared" si="62"/>
        <v>0</v>
      </c>
      <c r="O574" s="1296" t="str">
        <f t="shared" si="63"/>
        <v>0</v>
      </c>
    </row>
    <row r="575" spans="1:15" s="1296" customFormat="1" hidden="1">
      <c r="A575" s="1310"/>
      <c r="B575" s="1311"/>
      <c r="C575" s="1312">
        <v>0</v>
      </c>
      <c r="D575" s="1313">
        <v>0</v>
      </c>
      <c r="E575" s="1314"/>
      <c r="F575" s="1315"/>
      <c r="G575" s="1316">
        <f>+SUMIF(asientos!$C$13:$C$1276,SYS_4_3_Digitos!A575,asientos!$B$13:$B$1276)</f>
        <v>0</v>
      </c>
      <c r="H575" s="1317">
        <f>+SUMIF(asientos!$I$13:$I$1276,SYS_4_3_Digitos!A575,asientos!$J$13:$J$1276)</f>
        <v>0</v>
      </c>
      <c r="I575" s="1314">
        <f t="shared" si="58"/>
        <v>0</v>
      </c>
      <c r="J575" s="1315">
        <f t="shared" si="59"/>
        <v>0</v>
      </c>
      <c r="L575" s="1308">
        <f t="shared" si="60"/>
        <v>0</v>
      </c>
      <c r="M575" s="1296" t="str">
        <f t="shared" si="61"/>
        <v>0</v>
      </c>
      <c r="N575" s="1309">
        <f t="shared" si="62"/>
        <v>0</v>
      </c>
      <c r="O575" s="1296" t="str">
        <f t="shared" si="63"/>
        <v>0</v>
      </c>
    </row>
    <row r="576" spans="1:15" s="1296" customFormat="1" hidden="1">
      <c r="A576" s="1310"/>
      <c r="B576" s="1311"/>
      <c r="C576" s="1312">
        <v>0</v>
      </c>
      <c r="D576" s="1313">
        <v>0</v>
      </c>
      <c r="E576" s="1314"/>
      <c r="F576" s="1315"/>
      <c r="G576" s="1316">
        <f>+SUMIF(asientos!$C$13:$C$1276,SYS_4_3_Digitos!A576,asientos!$B$13:$B$1276)</f>
        <v>0</v>
      </c>
      <c r="H576" s="1317">
        <f>+SUMIF(asientos!$I$13:$I$1276,SYS_4_3_Digitos!A576,asientos!$J$13:$J$1276)</f>
        <v>0</v>
      </c>
      <c r="I576" s="1314">
        <f t="shared" si="58"/>
        <v>0</v>
      </c>
      <c r="J576" s="1315">
        <f t="shared" si="59"/>
        <v>0</v>
      </c>
      <c r="L576" s="1308">
        <f t="shared" si="60"/>
        <v>0</v>
      </c>
      <c r="M576" s="1296" t="str">
        <f t="shared" si="61"/>
        <v>0</v>
      </c>
      <c r="N576" s="1309">
        <f t="shared" si="62"/>
        <v>0</v>
      </c>
      <c r="O576" s="1296" t="str">
        <f t="shared" si="63"/>
        <v>0</v>
      </c>
    </row>
    <row r="577" spans="1:15" s="1296" customFormat="1" hidden="1">
      <c r="A577" s="1310"/>
      <c r="B577" s="1311"/>
      <c r="C577" s="1312">
        <v>0</v>
      </c>
      <c r="D577" s="1313">
        <v>0</v>
      </c>
      <c r="E577" s="1314"/>
      <c r="F577" s="1315"/>
      <c r="G577" s="1316">
        <f>+SUMIF(asientos!$C$13:$C$1276,SYS_4_3_Digitos!A577,asientos!$B$13:$B$1276)</f>
        <v>0</v>
      </c>
      <c r="H577" s="1317">
        <f>+SUMIF(asientos!$I$13:$I$1276,SYS_4_3_Digitos!A577,asientos!$J$13:$J$1276)</f>
        <v>0</v>
      </c>
      <c r="I577" s="1314">
        <f t="shared" si="58"/>
        <v>0</v>
      </c>
      <c r="J577" s="1315">
        <f t="shared" si="59"/>
        <v>0</v>
      </c>
      <c r="L577" s="1308">
        <f t="shared" si="60"/>
        <v>0</v>
      </c>
      <c r="M577" s="1296" t="str">
        <f t="shared" si="61"/>
        <v>0</v>
      </c>
      <c r="N577" s="1309">
        <f t="shared" si="62"/>
        <v>0</v>
      </c>
      <c r="O577" s="1296" t="str">
        <f t="shared" si="63"/>
        <v>0</v>
      </c>
    </row>
    <row r="578" spans="1:15" s="1296" customFormat="1" hidden="1">
      <c r="A578" s="1310"/>
      <c r="B578" s="1311"/>
      <c r="C578" s="1312">
        <v>0</v>
      </c>
      <c r="D578" s="1313">
        <v>0</v>
      </c>
      <c r="E578" s="1314"/>
      <c r="F578" s="1315"/>
      <c r="G578" s="1316">
        <f>+SUMIF(asientos!$C$13:$C$1276,SYS_4_3_Digitos!A578,asientos!$B$13:$B$1276)</f>
        <v>0</v>
      </c>
      <c r="H578" s="1317">
        <f>+SUMIF(asientos!$I$13:$I$1276,SYS_4_3_Digitos!A578,asientos!$J$13:$J$1276)</f>
        <v>0</v>
      </c>
      <c r="I578" s="1314">
        <f t="shared" si="58"/>
        <v>0</v>
      </c>
      <c r="J578" s="1315">
        <f t="shared" si="59"/>
        <v>0</v>
      </c>
      <c r="L578" s="1308">
        <f t="shared" si="60"/>
        <v>0</v>
      </c>
      <c r="M578" s="1296" t="str">
        <f t="shared" si="61"/>
        <v>0</v>
      </c>
      <c r="N578" s="1309">
        <f t="shared" si="62"/>
        <v>0</v>
      </c>
      <c r="O578" s="1296" t="str">
        <f t="shared" si="63"/>
        <v>0</v>
      </c>
    </row>
    <row r="579" spans="1:15" s="1296" customFormat="1" hidden="1">
      <c r="A579" s="1310"/>
      <c r="B579" s="1311"/>
      <c r="C579" s="1312">
        <v>0</v>
      </c>
      <c r="D579" s="1313">
        <v>0</v>
      </c>
      <c r="E579" s="1314"/>
      <c r="F579" s="1315"/>
      <c r="G579" s="1316">
        <f>+SUMIF(asientos!$C$13:$C$1276,SYS_4_3_Digitos!A579,asientos!$B$13:$B$1276)</f>
        <v>0</v>
      </c>
      <c r="H579" s="1317">
        <f>+SUMIF(asientos!$I$13:$I$1276,SYS_4_3_Digitos!A579,asientos!$J$13:$J$1276)</f>
        <v>0</v>
      </c>
      <c r="I579" s="1314">
        <f t="shared" si="58"/>
        <v>0</v>
      </c>
      <c r="J579" s="1315">
        <f t="shared" si="59"/>
        <v>0</v>
      </c>
      <c r="L579" s="1308">
        <f t="shared" si="60"/>
        <v>0</v>
      </c>
      <c r="M579" s="1296" t="str">
        <f t="shared" si="61"/>
        <v>0</v>
      </c>
      <c r="N579" s="1309">
        <f t="shared" si="62"/>
        <v>0</v>
      </c>
      <c r="O579" s="1296" t="str">
        <f t="shared" si="63"/>
        <v>0</v>
      </c>
    </row>
    <row r="580" spans="1:15" s="1296" customFormat="1" hidden="1">
      <c r="A580" s="1310"/>
      <c r="B580" s="1311"/>
      <c r="C580" s="1312">
        <v>0</v>
      </c>
      <c r="D580" s="1313">
        <v>0</v>
      </c>
      <c r="E580" s="1314"/>
      <c r="F580" s="1315"/>
      <c r="G580" s="1316">
        <f>+SUMIF(asientos!$C$13:$C$1276,SYS_4_3_Digitos!A580,asientos!$B$13:$B$1276)</f>
        <v>0</v>
      </c>
      <c r="H580" s="1317">
        <f>+SUMIF(asientos!$I$13:$I$1276,SYS_4_3_Digitos!A580,asientos!$J$13:$J$1276)</f>
        <v>0</v>
      </c>
      <c r="I580" s="1314">
        <f t="shared" si="58"/>
        <v>0</v>
      </c>
      <c r="J580" s="1315">
        <f t="shared" si="59"/>
        <v>0</v>
      </c>
      <c r="L580" s="1308">
        <f t="shared" si="60"/>
        <v>0</v>
      </c>
      <c r="M580" s="1296" t="str">
        <f t="shared" si="61"/>
        <v>0</v>
      </c>
      <c r="N580" s="1309">
        <f t="shared" si="62"/>
        <v>0</v>
      </c>
      <c r="O580" s="1296" t="str">
        <f t="shared" si="63"/>
        <v>0</v>
      </c>
    </row>
    <row r="581" spans="1:15" s="1296" customFormat="1" hidden="1">
      <c r="A581" s="1310"/>
      <c r="B581" s="1311"/>
      <c r="C581" s="1312">
        <v>0</v>
      </c>
      <c r="D581" s="1313">
        <v>0</v>
      </c>
      <c r="E581" s="1314"/>
      <c r="F581" s="1315"/>
      <c r="G581" s="1316">
        <f>+SUMIF(asientos!$C$13:$C$1276,SYS_4_3_Digitos!A581,asientos!$B$13:$B$1276)</f>
        <v>0</v>
      </c>
      <c r="H581" s="1317">
        <f>+SUMIF(asientos!$I$13:$I$1276,SYS_4_3_Digitos!A581,asientos!$J$13:$J$1276)</f>
        <v>0</v>
      </c>
      <c r="I581" s="1314">
        <f t="shared" si="58"/>
        <v>0</v>
      </c>
      <c r="J581" s="1315">
        <f t="shared" si="59"/>
        <v>0</v>
      </c>
      <c r="L581" s="1308">
        <f t="shared" si="60"/>
        <v>0</v>
      </c>
      <c r="M581" s="1296" t="str">
        <f t="shared" si="61"/>
        <v>0</v>
      </c>
      <c r="N581" s="1309">
        <f t="shared" si="62"/>
        <v>0</v>
      </c>
      <c r="O581" s="1296" t="str">
        <f t="shared" si="63"/>
        <v>0</v>
      </c>
    </row>
    <row r="582" spans="1:15" s="1296" customFormat="1" hidden="1">
      <c r="A582" s="1310"/>
      <c r="B582" s="1311"/>
      <c r="C582" s="1312">
        <v>0</v>
      </c>
      <c r="D582" s="1313">
        <v>0</v>
      </c>
      <c r="E582" s="1314"/>
      <c r="F582" s="1315"/>
      <c r="G582" s="1316">
        <f>+SUMIF(asientos!$C$13:$C$1276,SYS_4_3_Digitos!A582,asientos!$B$13:$B$1276)</f>
        <v>0</v>
      </c>
      <c r="H582" s="1317">
        <f>+SUMIF(asientos!$I$13:$I$1276,SYS_4_3_Digitos!A582,asientos!$J$13:$J$1276)</f>
        <v>0</v>
      </c>
      <c r="I582" s="1314">
        <f t="shared" si="58"/>
        <v>0</v>
      </c>
      <c r="J582" s="1315">
        <f t="shared" si="59"/>
        <v>0</v>
      </c>
      <c r="L582" s="1308">
        <f t="shared" si="60"/>
        <v>0</v>
      </c>
      <c r="M582" s="1296" t="str">
        <f t="shared" si="61"/>
        <v>0</v>
      </c>
      <c r="N582" s="1309">
        <f t="shared" si="62"/>
        <v>0</v>
      </c>
      <c r="O582" s="1296" t="str">
        <f t="shared" si="63"/>
        <v>0</v>
      </c>
    </row>
    <row r="583" spans="1:15" s="1296" customFormat="1" hidden="1">
      <c r="A583" s="1310"/>
      <c r="B583" s="1311"/>
      <c r="C583" s="1312">
        <v>0</v>
      </c>
      <c r="D583" s="1313">
        <v>0</v>
      </c>
      <c r="E583" s="1314"/>
      <c r="F583" s="1315"/>
      <c r="G583" s="1316">
        <f>+SUMIF(asientos!$C$13:$C$1276,SYS_4_3_Digitos!A583,asientos!$B$13:$B$1276)</f>
        <v>0</v>
      </c>
      <c r="H583" s="1317">
        <f>+SUMIF(asientos!$I$13:$I$1276,SYS_4_3_Digitos!A583,asientos!$J$13:$J$1276)</f>
        <v>0</v>
      </c>
      <c r="I583" s="1314">
        <f t="shared" si="58"/>
        <v>0</v>
      </c>
      <c r="J583" s="1315">
        <f t="shared" si="59"/>
        <v>0</v>
      </c>
      <c r="L583" s="1308">
        <f t="shared" si="60"/>
        <v>0</v>
      </c>
      <c r="M583" s="1296" t="str">
        <f t="shared" si="61"/>
        <v>0</v>
      </c>
      <c r="N583" s="1309">
        <f t="shared" si="62"/>
        <v>0</v>
      </c>
      <c r="O583" s="1296" t="str">
        <f t="shared" si="63"/>
        <v>0</v>
      </c>
    </row>
    <row r="584" spans="1:15" s="1296" customFormat="1" hidden="1">
      <c r="A584" s="1310"/>
      <c r="B584" s="1311"/>
      <c r="C584" s="1312">
        <v>0</v>
      </c>
      <c r="D584" s="1313">
        <v>0</v>
      </c>
      <c r="E584" s="1314"/>
      <c r="F584" s="1315"/>
      <c r="G584" s="1316">
        <f>+SUMIF(asientos!$C$13:$C$1276,SYS_4_3_Digitos!A584,asientos!$B$13:$B$1276)</f>
        <v>0</v>
      </c>
      <c r="H584" s="1317">
        <f>+SUMIF(asientos!$I$13:$I$1276,SYS_4_3_Digitos!A584,asientos!$J$13:$J$1276)</f>
        <v>0</v>
      </c>
      <c r="I584" s="1314">
        <f t="shared" si="58"/>
        <v>0</v>
      </c>
      <c r="J584" s="1315">
        <f t="shared" si="59"/>
        <v>0</v>
      </c>
      <c r="L584" s="1308">
        <f t="shared" si="60"/>
        <v>0</v>
      </c>
      <c r="M584" s="1296" t="str">
        <f t="shared" si="61"/>
        <v>0</v>
      </c>
      <c r="N584" s="1309">
        <f t="shared" si="62"/>
        <v>0</v>
      </c>
      <c r="O584" s="1296" t="str">
        <f t="shared" si="63"/>
        <v>0</v>
      </c>
    </row>
    <row r="585" spans="1:15" s="1296" customFormat="1" hidden="1">
      <c r="A585" s="1310"/>
      <c r="B585" s="1311"/>
      <c r="C585" s="1312">
        <v>0</v>
      </c>
      <c r="D585" s="1313">
        <v>0</v>
      </c>
      <c r="E585" s="1314"/>
      <c r="F585" s="1315"/>
      <c r="G585" s="1316">
        <f>+SUMIF(asientos!$C$13:$C$1276,SYS_4_3_Digitos!A585,asientos!$B$13:$B$1276)</f>
        <v>0</v>
      </c>
      <c r="H585" s="1317">
        <f>+SUMIF(asientos!$I$13:$I$1276,SYS_4_3_Digitos!A585,asientos!$J$13:$J$1276)</f>
        <v>0</v>
      </c>
      <c r="I585" s="1314">
        <f t="shared" si="58"/>
        <v>0</v>
      </c>
      <c r="J585" s="1315">
        <f t="shared" si="59"/>
        <v>0</v>
      </c>
      <c r="L585" s="1308">
        <f t="shared" si="60"/>
        <v>0</v>
      </c>
      <c r="M585" s="1296" t="str">
        <f t="shared" si="61"/>
        <v>0</v>
      </c>
      <c r="N585" s="1309">
        <f t="shared" si="62"/>
        <v>0</v>
      </c>
      <c r="O585" s="1296" t="str">
        <f t="shared" si="63"/>
        <v>0</v>
      </c>
    </row>
    <row r="586" spans="1:15" s="1296" customFormat="1" hidden="1">
      <c r="A586" s="1310"/>
      <c r="B586" s="1311"/>
      <c r="C586" s="1312">
        <v>0</v>
      </c>
      <c r="D586" s="1313">
        <v>0</v>
      </c>
      <c r="E586" s="1314"/>
      <c r="F586" s="1315"/>
      <c r="G586" s="1316">
        <f>+SUMIF(asientos!$C$13:$C$1276,SYS_4_3_Digitos!A586,asientos!$B$13:$B$1276)</f>
        <v>0</v>
      </c>
      <c r="H586" s="1317">
        <f>+SUMIF(asientos!$I$13:$I$1276,SYS_4_3_Digitos!A586,asientos!$J$13:$J$1276)</f>
        <v>0</v>
      </c>
      <c r="I586" s="1314">
        <f t="shared" si="58"/>
        <v>0</v>
      </c>
      <c r="J586" s="1315">
        <f t="shared" si="59"/>
        <v>0</v>
      </c>
      <c r="L586" s="1308">
        <f t="shared" si="60"/>
        <v>0</v>
      </c>
      <c r="M586" s="1296" t="str">
        <f t="shared" si="61"/>
        <v>0</v>
      </c>
      <c r="N586" s="1309">
        <f t="shared" si="62"/>
        <v>0</v>
      </c>
      <c r="O586" s="1296" t="str">
        <f t="shared" si="63"/>
        <v>0</v>
      </c>
    </row>
    <row r="587" spans="1:15" s="1296" customFormat="1" hidden="1">
      <c r="A587" s="1310"/>
      <c r="B587" s="1311"/>
      <c r="C587" s="1312">
        <v>0</v>
      </c>
      <c r="D587" s="1313">
        <v>0</v>
      </c>
      <c r="E587" s="1314"/>
      <c r="F587" s="1315"/>
      <c r="G587" s="1316">
        <f>+SUMIF(asientos!$C$13:$C$1276,SYS_4_3_Digitos!A587,asientos!$B$13:$B$1276)</f>
        <v>0</v>
      </c>
      <c r="H587" s="1317">
        <f>+SUMIF(asientos!$I$13:$I$1276,SYS_4_3_Digitos!A587,asientos!$J$13:$J$1276)</f>
        <v>0</v>
      </c>
      <c r="I587" s="1314">
        <f t="shared" si="58"/>
        <v>0</v>
      </c>
      <c r="J587" s="1315">
        <f t="shared" si="59"/>
        <v>0</v>
      </c>
      <c r="L587" s="1308">
        <f t="shared" si="60"/>
        <v>0</v>
      </c>
      <c r="M587" s="1296" t="str">
        <f t="shared" si="61"/>
        <v>0</v>
      </c>
      <c r="N587" s="1309">
        <f t="shared" si="62"/>
        <v>0</v>
      </c>
      <c r="O587" s="1296" t="str">
        <f t="shared" si="63"/>
        <v>0</v>
      </c>
    </row>
    <row r="588" spans="1:15" s="1296" customFormat="1" hidden="1">
      <c r="A588" s="1310"/>
      <c r="B588" s="1311"/>
      <c r="C588" s="1312">
        <v>0</v>
      </c>
      <c r="D588" s="1313">
        <v>0</v>
      </c>
      <c r="E588" s="1314"/>
      <c r="F588" s="1315"/>
      <c r="G588" s="1316">
        <f>+SUMIF(asientos!$C$13:$C$1276,SYS_4_3_Digitos!A588,asientos!$B$13:$B$1276)</f>
        <v>0</v>
      </c>
      <c r="H588" s="1317">
        <f>+SUMIF(asientos!$I$13:$I$1276,SYS_4_3_Digitos!A588,asientos!$J$13:$J$1276)</f>
        <v>0</v>
      </c>
      <c r="I588" s="1314">
        <f t="shared" si="58"/>
        <v>0</v>
      </c>
      <c r="J588" s="1315">
        <f t="shared" si="59"/>
        <v>0</v>
      </c>
      <c r="L588" s="1308">
        <f t="shared" si="60"/>
        <v>0</v>
      </c>
      <c r="M588" s="1296" t="str">
        <f t="shared" si="61"/>
        <v>0</v>
      </c>
      <c r="N588" s="1309">
        <f t="shared" si="62"/>
        <v>0</v>
      </c>
      <c r="O588" s="1296" t="str">
        <f t="shared" si="63"/>
        <v>0</v>
      </c>
    </row>
    <row r="589" spans="1:15" s="1296" customFormat="1" hidden="1">
      <c r="A589" s="1310"/>
      <c r="B589" s="1311"/>
      <c r="C589" s="1312">
        <v>0</v>
      </c>
      <c r="D589" s="1313">
        <v>0</v>
      </c>
      <c r="E589" s="1314"/>
      <c r="F589" s="1315"/>
      <c r="G589" s="1316">
        <f>+SUMIF(asientos!$C$13:$C$1276,SYS_4_3_Digitos!A589,asientos!$B$13:$B$1276)</f>
        <v>0</v>
      </c>
      <c r="H589" s="1317">
        <f>+SUMIF(asientos!$I$13:$I$1276,SYS_4_3_Digitos!A589,asientos!$J$13:$J$1276)</f>
        <v>0</v>
      </c>
      <c r="I589" s="1314">
        <f t="shared" si="58"/>
        <v>0</v>
      </c>
      <c r="J589" s="1315">
        <f t="shared" si="59"/>
        <v>0</v>
      </c>
      <c r="L589" s="1308">
        <f t="shared" si="60"/>
        <v>0</v>
      </c>
      <c r="M589" s="1296" t="str">
        <f t="shared" si="61"/>
        <v>0</v>
      </c>
      <c r="N589" s="1309">
        <f t="shared" si="62"/>
        <v>0</v>
      </c>
      <c r="O589" s="1296" t="str">
        <f t="shared" si="63"/>
        <v>0</v>
      </c>
    </row>
    <row r="590" spans="1:15" s="1296" customFormat="1" hidden="1">
      <c r="A590" s="1310"/>
      <c r="B590" s="1311"/>
      <c r="C590" s="1312">
        <v>0</v>
      </c>
      <c r="D590" s="1313">
        <v>0</v>
      </c>
      <c r="E590" s="1314"/>
      <c r="F590" s="1315"/>
      <c r="G590" s="1316">
        <f>+SUMIF(asientos!$C$13:$C$1276,SYS_4_3_Digitos!A590,asientos!$B$13:$B$1276)</f>
        <v>0</v>
      </c>
      <c r="H590" s="1317">
        <f>+SUMIF(asientos!$I$13:$I$1276,SYS_4_3_Digitos!A590,asientos!$J$13:$J$1276)</f>
        <v>0</v>
      </c>
      <c r="I590" s="1314">
        <f t="shared" si="58"/>
        <v>0</v>
      </c>
      <c r="J590" s="1315">
        <f t="shared" si="59"/>
        <v>0</v>
      </c>
      <c r="L590" s="1308">
        <f t="shared" si="60"/>
        <v>0</v>
      </c>
      <c r="M590" s="1296" t="str">
        <f t="shared" si="61"/>
        <v>0</v>
      </c>
      <c r="N590" s="1309">
        <f t="shared" si="62"/>
        <v>0</v>
      </c>
      <c r="O590" s="1296" t="str">
        <f t="shared" si="63"/>
        <v>0</v>
      </c>
    </row>
    <row r="591" spans="1:15" s="1296" customFormat="1" hidden="1">
      <c r="A591" s="1310"/>
      <c r="B591" s="1311"/>
      <c r="C591" s="1312">
        <v>0</v>
      </c>
      <c r="D591" s="1313">
        <v>0</v>
      </c>
      <c r="E591" s="1314"/>
      <c r="F591" s="1315"/>
      <c r="G591" s="1316">
        <f>+SUMIF(asientos!$C$13:$C$1276,SYS_4_3_Digitos!A591,asientos!$B$13:$B$1276)</f>
        <v>0</v>
      </c>
      <c r="H591" s="1317">
        <f>+SUMIF(asientos!$I$13:$I$1276,SYS_4_3_Digitos!A591,asientos!$J$13:$J$1276)</f>
        <v>0</v>
      </c>
      <c r="I591" s="1314">
        <f t="shared" si="58"/>
        <v>0</v>
      </c>
      <c r="J591" s="1315">
        <f t="shared" si="59"/>
        <v>0</v>
      </c>
      <c r="L591" s="1308">
        <f t="shared" si="60"/>
        <v>0</v>
      </c>
      <c r="M591" s="1296" t="str">
        <f t="shared" si="61"/>
        <v>0</v>
      </c>
      <c r="N591" s="1309">
        <f t="shared" si="62"/>
        <v>0</v>
      </c>
      <c r="O591" s="1296" t="str">
        <f t="shared" si="63"/>
        <v>0</v>
      </c>
    </row>
    <row r="592" spans="1:15" s="1296" customFormat="1" hidden="1">
      <c r="A592" s="1310"/>
      <c r="B592" s="1311"/>
      <c r="C592" s="1312">
        <v>0</v>
      </c>
      <c r="D592" s="1313">
        <v>0</v>
      </c>
      <c r="E592" s="1314"/>
      <c r="F592" s="1315"/>
      <c r="G592" s="1316">
        <f>+SUMIF(asientos!$C$13:$C$1276,SYS_4_3_Digitos!A592,asientos!$B$13:$B$1276)</f>
        <v>0</v>
      </c>
      <c r="H592" s="1317">
        <f>+SUMIF(asientos!$I$13:$I$1276,SYS_4_3_Digitos!A592,asientos!$J$13:$J$1276)</f>
        <v>0</v>
      </c>
      <c r="I592" s="1314">
        <f t="shared" si="58"/>
        <v>0</v>
      </c>
      <c r="J592" s="1315">
        <f t="shared" si="59"/>
        <v>0</v>
      </c>
      <c r="L592" s="1308">
        <f t="shared" si="60"/>
        <v>0</v>
      </c>
      <c r="M592" s="1296" t="str">
        <f t="shared" si="61"/>
        <v>0</v>
      </c>
      <c r="N592" s="1309">
        <f t="shared" si="62"/>
        <v>0</v>
      </c>
      <c r="O592" s="1296" t="str">
        <f t="shared" si="63"/>
        <v>0</v>
      </c>
    </row>
    <row r="593" spans="1:15" s="1296" customFormat="1" hidden="1">
      <c r="A593" s="1310"/>
      <c r="B593" s="1311"/>
      <c r="C593" s="1312">
        <v>0</v>
      </c>
      <c r="D593" s="1313">
        <v>0</v>
      </c>
      <c r="E593" s="1314"/>
      <c r="F593" s="1315"/>
      <c r="G593" s="1316">
        <f>+SUMIF(asientos!$C$13:$C$1276,SYS_4_3_Digitos!A593,asientos!$B$13:$B$1276)</f>
        <v>0</v>
      </c>
      <c r="H593" s="1317">
        <f>+SUMIF(asientos!$I$13:$I$1276,SYS_4_3_Digitos!A593,asientos!$J$13:$J$1276)</f>
        <v>0</v>
      </c>
      <c r="I593" s="1314">
        <f t="shared" si="58"/>
        <v>0</v>
      </c>
      <c r="J593" s="1315">
        <f t="shared" si="59"/>
        <v>0</v>
      </c>
      <c r="L593" s="1308">
        <f t="shared" si="60"/>
        <v>0</v>
      </c>
      <c r="M593" s="1296" t="str">
        <f t="shared" si="61"/>
        <v>0</v>
      </c>
      <c r="N593" s="1309">
        <f t="shared" si="62"/>
        <v>0</v>
      </c>
      <c r="O593" s="1296" t="str">
        <f t="shared" si="63"/>
        <v>0</v>
      </c>
    </row>
    <row r="594" spans="1:15" s="1296" customFormat="1" hidden="1">
      <c r="A594" s="1310"/>
      <c r="B594" s="1311"/>
      <c r="C594" s="1312">
        <v>0</v>
      </c>
      <c r="D594" s="1313">
        <v>0</v>
      </c>
      <c r="E594" s="1314"/>
      <c r="F594" s="1315"/>
      <c r="G594" s="1316">
        <f>+SUMIF(asientos!$C$13:$C$1276,SYS_4_3_Digitos!A594,asientos!$B$13:$B$1276)</f>
        <v>0</v>
      </c>
      <c r="H594" s="1317">
        <f>+SUMIF(asientos!$I$13:$I$1276,SYS_4_3_Digitos!A594,asientos!$J$13:$J$1276)</f>
        <v>0</v>
      </c>
      <c r="I594" s="1314">
        <f t="shared" si="58"/>
        <v>0</v>
      </c>
      <c r="J594" s="1315">
        <f t="shared" si="59"/>
        <v>0</v>
      </c>
      <c r="L594" s="1308">
        <f t="shared" si="60"/>
        <v>0</v>
      </c>
      <c r="M594" s="1296" t="str">
        <f t="shared" si="61"/>
        <v>0</v>
      </c>
      <c r="N594" s="1309">
        <f t="shared" si="62"/>
        <v>0</v>
      </c>
      <c r="O594" s="1296" t="str">
        <f t="shared" si="63"/>
        <v>0</v>
      </c>
    </row>
    <row r="595" spans="1:15" s="1296" customFormat="1" hidden="1">
      <c r="A595" s="1310"/>
      <c r="B595" s="1311"/>
      <c r="C595" s="1312">
        <v>0</v>
      </c>
      <c r="D595" s="1313">
        <v>0</v>
      </c>
      <c r="E595" s="1314"/>
      <c r="F595" s="1315"/>
      <c r="G595" s="1316">
        <f>+SUMIF(asientos!$C$13:$C$1276,SYS_4_3_Digitos!A595,asientos!$B$13:$B$1276)</f>
        <v>0</v>
      </c>
      <c r="H595" s="1317">
        <f>+SUMIF(asientos!$I$13:$I$1276,SYS_4_3_Digitos!A595,asientos!$J$13:$J$1276)</f>
        <v>0</v>
      </c>
      <c r="I595" s="1314">
        <f t="shared" si="58"/>
        <v>0</v>
      </c>
      <c r="J595" s="1315">
        <f t="shared" si="59"/>
        <v>0</v>
      </c>
      <c r="L595" s="1308">
        <f t="shared" si="60"/>
        <v>0</v>
      </c>
      <c r="M595" s="1296" t="str">
        <f t="shared" si="61"/>
        <v>0</v>
      </c>
      <c r="N595" s="1309">
        <f t="shared" si="62"/>
        <v>0</v>
      </c>
      <c r="O595" s="1296" t="str">
        <f t="shared" si="63"/>
        <v>0</v>
      </c>
    </row>
    <row r="596" spans="1:15" s="1296" customFormat="1" hidden="1">
      <c r="A596" s="1310"/>
      <c r="B596" s="1311"/>
      <c r="C596" s="1312">
        <v>0</v>
      </c>
      <c r="D596" s="1313">
        <v>0</v>
      </c>
      <c r="E596" s="1314"/>
      <c r="F596" s="1315"/>
      <c r="G596" s="1316">
        <f>+SUMIF(asientos!$C$13:$C$1276,SYS_4_3_Digitos!A596,asientos!$B$13:$B$1276)</f>
        <v>0</v>
      </c>
      <c r="H596" s="1317">
        <f>+SUMIF(asientos!$I$13:$I$1276,SYS_4_3_Digitos!A596,asientos!$J$13:$J$1276)</f>
        <v>0</v>
      </c>
      <c r="I596" s="1314">
        <f t="shared" si="58"/>
        <v>0</v>
      </c>
      <c r="J596" s="1315">
        <f t="shared" si="59"/>
        <v>0</v>
      </c>
      <c r="L596" s="1308">
        <f t="shared" si="60"/>
        <v>0</v>
      </c>
      <c r="M596" s="1296" t="str">
        <f t="shared" si="61"/>
        <v>0</v>
      </c>
      <c r="N596" s="1309">
        <f t="shared" si="62"/>
        <v>0</v>
      </c>
      <c r="O596" s="1296" t="str">
        <f t="shared" si="63"/>
        <v>0</v>
      </c>
    </row>
    <row r="597" spans="1:15" s="1296" customFormat="1" hidden="1">
      <c r="A597" s="1310"/>
      <c r="B597" s="1311"/>
      <c r="C597" s="1312">
        <v>0</v>
      </c>
      <c r="D597" s="1313">
        <v>0</v>
      </c>
      <c r="E597" s="1314"/>
      <c r="F597" s="1315"/>
      <c r="G597" s="1316">
        <f>+SUMIF(asientos!$C$13:$C$1276,SYS_4_3_Digitos!A597,asientos!$B$13:$B$1276)</f>
        <v>0</v>
      </c>
      <c r="H597" s="1317">
        <f>+SUMIF(asientos!$I$13:$I$1276,SYS_4_3_Digitos!A597,asientos!$J$13:$J$1276)</f>
        <v>0</v>
      </c>
      <c r="I597" s="1314">
        <f t="shared" si="58"/>
        <v>0</v>
      </c>
      <c r="J597" s="1315">
        <f t="shared" si="59"/>
        <v>0</v>
      </c>
      <c r="L597" s="1308">
        <f t="shared" si="60"/>
        <v>0</v>
      </c>
      <c r="M597" s="1296" t="str">
        <f t="shared" si="61"/>
        <v>0</v>
      </c>
      <c r="N597" s="1309">
        <f t="shared" si="62"/>
        <v>0</v>
      </c>
      <c r="O597" s="1296" t="str">
        <f t="shared" si="63"/>
        <v>0</v>
      </c>
    </row>
    <row r="598" spans="1:15" s="1296" customFormat="1" hidden="1">
      <c r="A598" s="1310"/>
      <c r="B598" s="1311"/>
      <c r="C598" s="1312">
        <v>0</v>
      </c>
      <c r="D598" s="1313">
        <v>0</v>
      </c>
      <c r="E598" s="1314"/>
      <c r="F598" s="1315"/>
      <c r="G598" s="1316">
        <f>+SUMIF(asientos!$C$13:$C$1276,SYS_4_3_Digitos!A598,asientos!$B$13:$B$1276)</f>
        <v>0</v>
      </c>
      <c r="H598" s="1317">
        <f>+SUMIF(asientos!$I$13:$I$1276,SYS_4_3_Digitos!A598,asientos!$J$13:$J$1276)</f>
        <v>0</v>
      </c>
      <c r="I598" s="1314">
        <f t="shared" si="58"/>
        <v>0</v>
      </c>
      <c r="J598" s="1315">
        <f t="shared" si="59"/>
        <v>0</v>
      </c>
      <c r="L598" s="1308">
        <f t="shared" si="60"/>
        <v>0</v>
      </c>
      <c r="M598" s="1296" t="str">
        <f t="shared" si="61"/>
        <v>0</v>
      </c>
      <c r="N598" s="1309">
        <f t="shared" si="62"/>
        <v>0</v>
      </c>
      <c r="O598" s="1296" t="str">
        <f t="shared" si="63"/>
        <v>0</v>
      </c>
    </row>
    <row r="599" spans="1:15" s="1296" customFormat="1" hidden="1">
      <c r="A599" s="1310"/>
      <c r="B599" s="1311"/>
      <c r="C599" s="1312">
        <v>0</v>
      </c>
      <c r="D599" s="1313">
        <v>0</v>
      </c>
      <c r="E599" s="1314"/>
      <c r="F599" s="1315"/>
      <c r="G599" s="1316">
        <f>+SUMIF(asientos!$C$13:$C$1276,SYS_4_3_Digitos!A599,asientos!$B$13:$B$1276)</f>
        <v>0</v>
      </c>
      <c r="H599" s="1317">
        <f>+SUMIF(asientos!$I$13:$I$1276,SYS_4_3_Digitos!A599,asientos!$J$13:$J$1276)</f>
        <v>0</v>
      </c>
      <c r="I599" s="1314">
        <f t="shared" si="58"/>
        <v>0</v>
      </c>
      <c r="J599" s="1315">
        <f t="shared" si="59"/>
        <v>0</v>
      </c>
      <c r="L599" s="1308">
        <f t="shared" si="60"/>
        <v>0</v>
      </c>
      <c r="M599" s="1296" t="str">
        <f t="shared" si="61"/>
        <v>0</v>
      </c>
      <c r="N599" s="1309">
        <f t="shared" si="62"/>
        <v>0</v>
      </c>
      <c r="O599" s="1296" t="str">
        <f t="shared" si="63"/>
        <v>0</v>
      </c>
    </row>
    <row r="600" spans="1:15" s="1296" customFormat="1" hidden="1">
      <c r="A600" s="1310"/>
      <c r="B600" s="1311"/>
      <c r="C600" s="1312">
        <v>0</v>
      </c>
      <c r="D600" s="1313">
        <v>0</v>
      </c>
      <c r="E600" s="1314"/>
      <c r="F600" s="1315"/>
      <c r="G600" s="1316">
        <f>+SUMIF(asientos!$C$13:$C$1276,SYS_4_3_Digitos!A600,asientos!$B$13:$B$1276)</f>
        <v>0</v>
      </c>
      <c r="H600" s="1317">
        <f>+SUMIF(asientos!$I$13:$I$1276,SYS_4_3_Digitos!A600,asientos!$J$13:$J$1276)</f>
        <v>0</v>
      </c>
      <c r="I600" s="1314">
        <f t="shared" si="58"/>
        <v>0</v>
      </c>
      <c r="J600" s="1315">
        <f t="shared" si="59"/>
        <v>0</v>
      </c>
      <c r="L600" s="1308">
        <f t="shared" si="60"/>
        <v>0</v>
      </c>
      <c r="M600" s="1296" t="str">
        <f t="shared" si="61"/>
        <v>0</v>
      </c>
      <c r="N600" s="1309">
        <f t="shared" si="62"/>
        <v>0</v>
      </c>
      <c r="O600" s="1296" t="str">
        <f t="shared" si="63"/>
        <v>0</v>
      </c>
    </row>
    <row r="601" spans="1:15" s="1296" customFormat="1" hidden="1">
      <c r="A601" s="1310"/>
      <c r="B601" s="1311"/>
      <c r="C601" s="1312">
        <v>0</v>
      </c>
      <c r="D601" s="1313">
        <v>0</v>
      </c>
      <c r="E601" s="1314"/>
      <c r="F601" s="1315"/>
      <c r="G601" s="1316">
        <f>+SUMIF(asientos!$C$13:$C$1276,SYS_4_3_Digitos!A601,asientos!$B$13:$B$1276)</f>
        <v>0</v>
      </c>
      <c r="H601" s="1317">
        <f>+SUMIF(asientos!$I$13:$I$1276,SYS_4_3_Digitos!A601,asientos!$J$13:$J$1276)</f>
        <v>0</v>
      </c>
      <c r="I601" s="1314">
        <f t="shared" si="58"/>
        <v>0</v>
      </c>
      <c r="J601" s="1315">
        <f t="shared" si="59"/>
        <v>0</v>
      </c>
      <c r="L601" s="1308">
        <f t="shared" si="60"/>
        <v>0</v>
      </c>
      <c r="M601" s="1296" t="str">
        <f t="shared" si="61"/>
        <v>0</v>
      </c>
      <c r="N601" s="1309">
        <f t="shared" si="62"/>
        <v>0</v>
      </c>
      <c r="O601" s="1296" t="str">
        <f t="shared" si="63"/>
        <v>0</v>
      </c>
    </row>
    <row r="602" spans="1:15" s="1296" customFormat="1" hidden="1">
      <c r="A602" s="1310"/>
      <c r="B602" s="1311"/>
      <c r="C602" s="1312">
        <v>0</v>
      </c>
      <c r="D602" s="1313">
        <v>0</v>
      </c>
      <c r="E602" s="1314"/>
      <c r="F602" s="1315"/>
      <c r="G602" s="1316">
        <f>+SUMIF(asientos!$C$13:$C$1276,SYS_4_3_Digitos!A602,asientos!$B$13:$B$1276)</f>
        <v>0</v>
      </c>
      <c r="H602" s="1317">
        <f>+SUMIF(asientos!$I$13:$I$1276,SYS_4_3_Digitos!A602,asientos!$J$13:$J$1276)</f>
        <v>0</v>
      </c>
      <c r="I602" s="1314">
        <f t="shared" si="58"/>
        <v>0</v>
      </c>
      <c r="J602" s="1315">
        <f t="shared" si="59"/>
        <v>0</v>
      </c>
      <c r="L602" s="1308">
        <f t="shared" si="60"/>
        <v>0</v>
      </c>
      <c r="M602" s="1296" t="str">
        <f t="shared" si="61"/>
        <v>0</v>
      </c>
      <c r="N602" s="1309">
        <f t="shared" si="62"/>
        <v>0</v>
      </c>
      <c r="O602" s="1296" t="str">
        <f t="shared" si="63"/>
        <v>0</v>
      </c>
    </row>
    <row r="603" spans="1:15" s="1296" customFormat="1" hidden="1">
      <c r="A603" s="1310"/>
      <c r="B603" s="1311"/>
      <c r="C603" s="1312">
        <v>0</v>
      </c>
      <c r="D603" s="1313">
        <v>0</v>
      </c>
      <c r="E603" s="1314"/>
      <c r="F603" s="1315"/>
      <c r="G603" s="1316">
        <f>+SUMIF(asientos!$C$13:$C$1276,SYS_4_3_Digitos!A603,asientos!$B$13:$B$1276)</f>
        <v>0</v>
      </c>
      <c r="H603" s="1317">
        <f>+SUMIF(asientos!$I$13:$I$1276,SYS_4_3_Digitos!A603,asientos!$J$13:$J$1276)</f>
        <v>0</v>
      </c>
      <c r="I603" s="1314">
        <f t="shared" si="58"/>
        <v>0</v>
      </c>
      <c r="J603" s="1315">
        <f t="shared" si="59"/>
        <v>0</v>
      </c>
      <c r="L603" s="1308">
        <f t="shared" si="60"/>
        <v>0</v>
      </c>
      <c r="M603" s="1296" t="str">
        <f t="shared" si="61"/>
        <v>0</v>
      </c>
      <c r="N603" s="1309">
        <f t="shared" si="62"/>
        <v>0</v>
      </c>
      <c r="O603" s="1296" t="str">
        <f t="shared" si="63"/>
        <v>0</v>
      </c>
    </row>
    <row r="604" spans="1:15" s="1296" customFormat="1" hidden="1">
      <c r="A604" s="1310"/>
      <c r="B604" s="1311"/>
      <c r="C604" s="1312">
        <v>0</v>
      </c>
      <c r="D604" s="1313">
        <v>0</v>
      </c>
      <c r="E604" s="1314"/>
      <c r="F604" s="1315"/>
      <c r="G604" s="1316">
        <f>+SUMIF(asientos!$C$13:$C$1276,SYS_4_3_Digitos!A604,asientos!$B$13:$B$1276)</f>
        <v>0</v>
      </c>
      <c r="H604" s="1317">
        <f>+SUMIF(asientos!$I$13:$I$1276,SYS_4_3_Digitos!A604,asientos!$J$13:$J$1276)</f>
        <v>0</v>
      </c>
      <c r="I604" s="1314">
        <f t="shared" si="58"/>
        <v>0</v>
      </c>
      <c r="J604" s="1315">
        <f t="shared" si="59"/>
        <v>0</v>
      </c>
      <c r="L604" s="1308">
        <f t="shared" si="60"/>
        <v>0</v>
      </c>
      <c r="M604" s="1296" t="str">
        <f t="shared" si="61"/>
        <v>0</v>
      </c>
      <c r="N604" s="1309">
        <f t="shared" si="62"/>
        <v>0</v>
      </c>
      <c r="O604" s="1296" t="str">
        <f t="shared" si="63"/>
        <v>0</v>
      </c>
    </row>
    <row r="605" spans="1:15" s="1296" customFormat="1" hidden="1">
      <c r="A605" s="1310"/>
      <c r="B605" s="1311"/>
      <c r="C605" s="1312">
        <v>0</v>
      </c>
      <c r="D605" s="1313">
        <v>0</v>
      </c>
      <c r="E605" s="1314"/>
      <c r="F605" s="1315"/>
      <c r="G605" s="1316">
        <f>+SUMIF(asientos!$C$13:$C$1276,SYS_4_3_Digitos!A605,asientos!$B$13:$B$1276)</f>
        <v>0</v>
      </c>
      <c r="H605" s="1317">
        <f>+SUMIF(asientos!$I$13:$I$1276,SYS_4_3_Digitos!A605,asientos!$J$13:$J$1276)</f>
        <v>0</v>
      </c>
      <c r="I605" s="1314">
        <f t="shared" si="58"/>
        <v>0</v>
      </c>
      <c r="J605" s="1315">
        <f t="shared" si="59"/>
        <v>0</v>
      </c>
      <c r="L605" s="1308">
        <f t="shared" si="60"/>
        <v>0</v>
      </c>
      <c r="M605" s="1296" t="str">
        <f t="shared" si="61"/>
        <v>0</v>
      </c>
      <c r="N605" s="1309">
        <f t="shared" si="62"/>
        <v>0</v>
      </c>
      <c r="O605" s="1296" t="str">
        <f t="shared" si="63"/>
        <v>0</v>
      </c>
    </row>
    <row r="606" spans="1:15" s="1296" customFormat="1" hidden="1">
      <c r="A606" s="1310"/>
      <c r="B606" s="1311"/>
      <c r="C606" s="1312">
        <v>0</v>
      </c>
      <c r="D606" s="1313">
        <v>0</v>
      </c>
      <c r="E606" s="1314"/>
      <c r="F606" s="1315"/>
      <c r="G606" s="1316">
        <f>+SUMIF(asientos!$C$13:$C$1276,SYS_4_3_Digitos!A606,asientos!$B$13:$B$1276)</f>
        <v>0</v>
      </c>
      <c r="H606" s="1317">
        <f>+SUMIF(asientos!$I$13:$I$1276,SYS_4_3_Digitos!A606,asientos!$J$13:$J$1276)</f>
        <v>0</v>
      </c>
      <c r="I606" s="1314">
        <f t="shared" si="58"/>
        <v>0</v>
      </c>
      <c r="J606" s="1315">
        <f t="shared" si="59"/>
        <v>0</v>
      </c>
      <c r="L606" s="1308">
        <f t="shared" si="60"/>
        <v>0</v>
      </c>
      <c r="M606" s="1296" t="str">
        <f t="shared" si="61"/>
        <v>0</v>
      </c>
      <c r="N606" s="1309">
        <f t="shared" si="62"/>
        <v>0</v>
      </c>
      <c r="O606" s="1296" t="str">
        <f t="shared" si="63"/>
        <v>0</v>
      </c>
    </row>
    <row r="607" spans="1:15" s="1296" customFormat="1" hidden="1">
      <c r="A607" s="1310"/>
      <c r="B607" s="1311"/>
      <c r="C607" s="1312">
        <v>0</v>
      </c>
      <c r="D607" s="1313">
        <v>0</v>
      </c>
      <c r="E607" s="1314"/>
      <c r="F607" s="1315"/>
      <c r="G607" s="1316">
        <f>+SUMIF(asientos!$C$13:$C$1276,SYS_4_3_Digitos!A607,asientos!$B$13:$B$1276)</f>
        <v>0</v>
      </c>
      <c r="H607" s="1317">
        <f>+SUMIF(asientos!$I$13:$I$1276,SYS_4_3_Digitos!A607,asientos!$J$13:$J$1276)</f>
        <v>0</v>
      </c>
      <c r="I607" s="1314">
        <f t="shared" si="58"/>
        <v>0</v>
      </c>
      <c r="J607" s="1315">
        <f t="shared" si="59"/>
        <v>0</v>
      </c>
      <c r="L607" s="1308">
        <f t="shared" si="60"/>
        <v>0</v>
      </c>
      <c r="M607" s="1296" t="str">
        <f t="shared" si="61"/>
        <v>0</v>
      </c>
      <c r="N607" s="1309">
        <f t="shared" si="62"/>
        <v>0</v>
      </c>
      <c r="O607" s="1296" t="str">
        <f t="shared" si="63"/>
        <v>0</v>
      </c>
    </row>
    <row r="608" spans="1:15" s="1296" customFormat="1" hidden="1">
      <c r="A608" s="1310"/>
      <c r="B608" s="1311"/>
      <c r="C608" s="1312">
        <v>0</v>
      </c>
      <c r="D608" s="1313">
        <v>0</v>
      </c>
      <c r="E608" s="1314"/>
      <c r="F608" s="1315"/>
      <c r="G608" s="1316">
        <f>+SUMIF(asientos!$C$13:$C$1276,SYS_4_3_Digitos!A608,asientos!$B$13:$B$1276)</f>
        <v>0</v>
      </c>
      <c r="H608" s="1317">
        <f>+SUMIF(asientos!$I$13:$I$1276,SYS_4_3_Digitos!A608,asientos!$J$13:$J$1276)</f>
        <v>0</v>
      </c>
      <c r="I608" s="1314">
        <f t="shared" si="58"/>
        <v>0</v>
      </c>
      <c r="J608" s="1315">
        <f t="shared" si="59"/>
        <v>0</v>
      </c>
      <c r="L608" s="1308">
        <f t="shared" si="60"/>
        <v>0</v>
      </c>
      <c r="M608" s="1296" t="str">
        <f t="shared" si="61"/>
        <v>0</v>
      </c>
      <c r="N608" s="1309">
        <f t="shared" si="62"/>
        <v>0</v>
      </c>
      <c r="O608" s="1296" t="str">
        <f t="shared" si="63"/>
        <v>0</v>
      </c>
    </row>
    <row r="609" spans="1:15" s="1296" customFormat="1" hidden="1">
      <c r="A609" s="1310"/>
      <c r="B609" s="1311"/>
      <c r="C609" s="1312">
        <v>0</v>
      </c>
      <c r="D609" s="1313">
        <v>0</v>
      </c>
      <c r="E609" s="1314"/>
      <c r="F609" s="1315"/>
      <c r="G609" s="1316">
        <f>+SUMIF(asientos!$C$13:$C$1276,SYS_4_3_Digitos!A609,asientos!$B$13:$B$1276)</f>
        <v>0</v>
      </c>
      <c r="H609" s="1317">
        <f>+SUMIF(asientos!$I$13:$I$1276,SYS_4_3_Digitos!A609,asientos!$J$13:$J$1276)</f>
        <v>0</v>
      </c>
      <c r="I609" s="1314">
        <f t="shared" si="58"/>
        <v>0</v>
      </c>
      <c r="J609" s="1315">
        <f t="shared" si="59"/>
        <v>0</v>
      </c>
      <c r="L609" s="1308">
        <f t="shared" si="60"/>
        <v>0</v>
      </c>
      <c r="M609" s="1296" t="str">
        <f t="shared" si="61"/>
        <v>0</v>
      </c>
      <c r="N609" s="1309">
        <f t="shared" si="62"/>
        <v>0</v>
      </c>
      <c r="O609" s="1296" t="str">
        <f t="shared" si="63"/>
        <v>0</v>
      </c>
    </row>
    <row r="610" spans="1:15" s="1296" customFormat="1" hidden="1">
      <c r="A610" s="1310"/>
      <c r="B610" s="1311"/>
      <c r="C610" s="1312">
        <v>0</v>
      </c>
      <c r="D610" s="1313">
        <v>0</v>
      </c>
      <c r="E610" s="1314"/>
      <c r="F610" s="1315"/>
      <c r="G610" s="1316">
        <f>+SUMIF(asientos!$C$13:$C$1276,SYS_4_3_Digitos!A610,asientos!$B$13:$B$1276)</f>
        <v>0</v>
      </c>
      <c r="H610" s="1317">
        <f>+SUMIF(asientos!$I$13:$I$1276,SYS_4_3_Digitos!A610,asientos!$J$13:$J$1276)</f>
        <v>0</v>
      </c>
      <c r="I610" s="1314">
        <f t="shared" si="58"/>
        <v>0</v>
      </c>
      <c r="J610" s="1315">
        <f t="shared" si="59"/>
        <v>0</v>
      </c>
      <c r="L610" s="1308">
        <f t="shared" si="60"/>
        <v>0</v>
      </c>
      <c r="M610" s="1296" t="str">
        <f t="shared" si="61"/>
        <v>0</v>
      </c>
      <c r="N610" s="1309">
        <f t="shared" si="62"/>
        <v>0</v>
      </c>
      <c r="O610" s="1296" t="str">
        <f t="shared" si="63"/>
        <v>0</v>
      </c>
    </row>
    <row r="611" spans="1:15" s="1296" customFormat="1" hidden="1">
      <c r="A611" s="1310"/>
      <c r="B611" s="1311"/>
      <c r="C611" s="1312">
        <v>0</v>
      </c>
      <c r="D611" s="1313">
        <v>0</v>
      </c>
      <c r="E611" s="1314"/>
      <c r="F611" s="1315"/>
      <c r="G611" s="1316">
        <f>+SUMIF(asientos!$C$13:$C$1276,SYS_4_3_Digitos!A611,asientos!$B$13:$B$1276)</f>
        <v>0</v>
      </c>
      <c r="H611" s="1317">
        <f>+SUMIF(asientos!$I$13:$I$1276,SYS_4_3_Digitos!A611,asientos!$J$13:$J$1276)</f>
        <v>0</v>
      </c>
      <c r="I611" s="1314">
        <f t="shared" si="58"/>
        <v>0</v>
      </c>
      <c r="J611" s="1315">
        <f t="shared" si="59"/>
        <v>0</v>
      </c>
      <c r="L611" s="1308">
        <f t="shared" si="60"/>
        <v>0</v>
      </c>
      <c r="M611" s="1296" t="str">
        <f t="shared" si="61"/>
        <v>0</v>
      </c>
      <c r="N611" s="1309">
        <f t="shared" si="62"/>
        <v>0</v>
      </c>
      <c r="O611" s="1296" t="str">
        <f t="shared" si="63"/>
        <v>0</v>
      </c>
    </row>
    <row r="612" spans="1:15" s="1296" customFormat="1" hidden="1">
      <c r="A612" s="1310"/>
      <c r="B612" s="1311"/>
      <c r="C612" s="1312">
        <v>0</v>
      </c>
      <c r="D612" s="1313">
        <v>0</v>
      </c>
      <c r="E612" s="1314"/>
      <c r="F612" s="1315"/>
      <c r="G612" s="1316">
        <f>+SUMIF(asientos!$C$13:$C$1276,SYS_4_3_Digitos!A612,asientos!$B$13:$B$1276)</f>
        <v>0</v>
      </c>
      <c r="H612" s="1317">
        <f>+SUMIF(asientos!$I$13:$I$1276,SYS_4_3_Digitos!A612,asientos!$J$13:$J$1276)</f>
        <v>0</v>
      </c>
      <c r="I612" s="1314">
        <f t="shared" si="58"/>
        <v>0</v>
      </c>
      <c r="J612" s="1315">
        <f t="shared" si="59"/>
        <v>0</v>
      </c>
      <c r="L612" s="1308">
        <f t="shared" si="60"/>
        <v>0</v>
      </c>
      <c r="M612" s="1296" t="str">
        <f t="shared" si="61"/>
        <v>0</v>
      </c>
      <c r="N612" s="1309">
        <f t="shared" si="62"/>
        <v>0</v>
      </c>
      <c r="O612" s="1296" t="str">
        <f t="shared" si="63"/>
        <v>0</v>
      </c>
    </row>
    <row r="613" spans="1:15" s="1296" customFormat="1" hidden="1">
      <c r="A613" s="1310"/>
      <c r="B613" s="1311"/>
      <c r="C613" s="1312">
        <v>0</v>
      </c>
      <c r="D613" s="1313">
        <v>0</v>
      </c>
      <c r="E613" s="1314"/>
      <c r="F613" s="1315"/>
      <c r="G613" s="1316">
        <f>+SUMIF(asientos!$C$13:$C$1276,SYS_4_3_Digitos!A613,asientos!$B$13:$B$1276)</f>
        <v>0</v>
      </c>
      <c r="H613" s="1317">
        <f>+SUMIF(asientos!$I$13:$I$1276,SYS_4_3_Digitos!A613,asientos!$J$13:$J$1276)</f>
        <v>0</v>
      </c>
      <c r="I613" s="1314">
        <f t="shared" ref="I613:I676" si="64">IF((E613+G613-F613-H613)&gt;0,E613+G613-F613-H613,0)</f>
        <v>0</v>
      </c>
      <c r="J613" s="1315">
        <f t="shared" ref="J613:J676" si="65">IF((F613+H613-E613-G613)&gt;0,F613+H613-E613-G613,0)</f>
        <v>0</v>
      </c>
      <c r="L613" s="1308">
        <f t="shared" ref="L613:L676" si="66">+A613*1000000</f>
        <v>0</v>
      </c>
      <c r="M613" s="1296" t="str">
        <f t="shared" ref="M613:M676" si="67">+LEFT(L613,4)</f>
        <v>0</v>
      </c>
      <c r="N613" s="1309">
        <f t="shared" ref="N613:N676" si="68">+I613-J613</f>
        <v>0</v>
      </c>
      <c r="O613" s="1296" t="str">
        <f t="shared" ref="O613:O676" si="69">+LEFT(M613,2)</f>
        <v>0</v>
      </c>
    </row>
    <row r="614" spans="1:15" s="1296" customFormat="1" hidden="1">
      <c r="A614" s="1310"/>
      <c r="B614" s="1311"/>
      <c r="C614" s="1312">
        <v>0</v>
      </c>
      <c r="D614" s="1313">
        <v>0</v>
      </c>
      <c r="E614" s="1314"/>
      <c r="F614" s="1315"/>
      <c r="G614" s="1316">
        <f>+SUMIF(asientos!$C$13:$C$1276,SYS_4_3_Digitos!A614,asientos!$B$13:$B$1276)</f>
        <v>0</v>
      </c>
      <c r="H614" s="1317">
        <f>+SUMIF(asientos!$I$13:$I$1276,SYS_4_3_Digitos!A614,asientos!$J$13:$J$1276)</f>
        <v>0</v>
      </c>
      <c r="I614" s="1314">
        <f t="shared" si="64"/>
        <v>0</v>
      </c>
      <c r="J614" s="1315">
        <f t="shared" si="65"/>
        <v>0</v>
      </c>
      <c r="L614" s="1308">
        <f t="shared" si="66"/>
        <v>0</v>
      </c>
      <c r="M614" s="1296" t="str">
        <f t="shared" si="67"/>
        <v>0</v>
      </c>
      <c r="N614" s="1309">
        <f t="shared" si="68"/>
        <v>0</v>
      </c>
      <c r="O614" s="1296" t="str">
        <f t="shared" si="69"/>
        <v>0</v>
      </c>
    </row>
    <row r="615" spans="1:15" s="1296" customFormat="1" hidden="1">
      <c r="A615" s="1310"/>
      <c r="B615" s="1311"/>
      <c r="C615" s="1312">
        <v>0</v>
      </c>
      <c r="D615" s="1313">
        <v>0</v>
      </c>
      <c r="E615" s="1314"/>
      <c r="F615" s="1315"/>
      <c r="G615" s="1316">
        <f>+SUMIF(asientos!$C$13:$C$1276,SYS_4_3_Digitos!A615,asientos!$B$13:$B$1276)</f>
        <v>0</v>
      </c>
      <c r="H615" s="1317">
        <f>+SUMIF(asientos!$I$13:$I$1276,SYS_4_3_Digitos!A615,asientos!$J$13:$J$1276)</f>
        <v>0</v>
      </c>
      <c r="I615" s="1314">
        <f t="shared" si="64"/>
        <v>0</v>
      </c>
      <c r="J615" s="1315">
        <f t="shared" si="65"/>
        <v>0</v>
      </c>
      <c r="L615" s="1308">
        <f t="shared" si="66"/>
        <v>0</v>
      </c>
      <c r="M615" s="1296" t="str">
        <f t="shared" si="67"/>
        <v>0</v>
      </c>
      <c r="N615" s="1309">
        <f t="shared" si="68"/>
        <v>0</v>
      </c>
      <c r="O615" s="1296" t="str">
        <f t="shared" si="69"/>
        <v>0</v>
      </c>
    </row>
    <row r="616" spans="1:15" s="1296" customFormat="1" hidden="1">
      <c r="A616" s="1310"/>
      <c r="B616" s="1311"/>
      <c r="C616" s="1312">
        <v>0</v>
      </c>
      <c r="D616" s="1313">
        <v>0</v>
      </c>
      <c r="E616" s="1314"/>
      <c r="F616" s="1315"/>
      <c r="G616" s="1316">
        <f>+SUMIF(asientos!$C$13:$C$1276,SYS_4_3_Digitos!A616,asientos!$B$13:$B$1276)</f>
        <v>0</v>
      </c>
      <c r="H616" s="1317">
        <f>+SUMIF(asientos!$I$13:$I$1276,SYS_4_3_Digitos!A616,asientos!$J$13:$J$1276)</f>
        <v>0</v>
      </c>
      <c r="I616" s="1314">
        <f t="shared" si="64"/>
        <v>0</v>
      </c>
      <c r="J616" s="1315">
        <f t="shared" si="65"/>
        <v>0</v>
      </c>
      <c r="L616" s="1308">
        <f t="shared" si="66"/>
        <v>0</v>
      </c>
      <c r="M616" s="1296" t="str">
        <f t="shared" si="67"/>
        <v>0</v>
      </c>
      <c r="N616" s="1309">
        <f t="shared" si="68"/>
        <v>0</v>
      </c>
      <c r="O616" s="1296" t="str">
        <f t="shared" si="69"/>
        <v>0</v>
      </c>
    </row>
    <row r="617" spans="1:15" s="1296" customFormat="1" hidden="1">
      <c r="A617" s="1310"/>
      <c r="B617" s="1311"/>
      <c r="C617" s="1312">
        <v>0</v>
      </c>
      <c r="D617" s="1313">
        <v>0</v>
      </c>
      <c r="E617" s="1314"/>
      <c r="F617" s="1315"/>
      <c r="G617" s="1316">
        <f>+SUMIF(asientos!$C$13:$C$1276,SYS_4_3_Digitos!A617,asientos!$B$13:$B$1276)</f>
        <v>0</v>
      </c>
      <c r="H617" s="1317">
        <f>+SUMIF(asientos!$I$13:$I$1276,SYS_4_3_Digitos!A617,asientos!$J$13:$J$1276)</f>
        <v>0</v>
      </c>
      <c r="I617" s="1314">
        <f t="shared" si="64"/>
        <v>0</v>
      </c>
      <c r="J617" s="1315">
        <f t="shared" si="65"/>
        <v>0</v>
      </c>
      <c r="L617" s="1308">
        <f t="shared" si="66"/>
        <v>0</v>
      </c>
      <c r="M617" s="1296" t="str">
        <f t="shared" si="67"/>
        <v>0</v>
      </c>
      <c r="N617" s="1309">
        <f t="shared" si="68"/>
        <v>0</v>
      </c>
      <c r="O617" s="1296" t="str">
        <f t="shared" si="69"/>
        <v>0</v>
      </c>
    </row>
    <row r="618" spans="1:15" s="1296" customFormat="1" hidden="1">
      <c r="A618" s="1310"/>
      <c r="B618" s="1311"/>
      <c r="C618" s="1312">
        <v>0</v>
      </c>
      <c r="D618" s="1313">
        <v>0</v>
      </c>
      <c r="E618" s="1314"/>
      <c r="F618" s="1315"/>
      <c r="G618" s="1316">
        <f>+SUMIF(asientos!$C$13:$C$1276,SYS_4_3_Digitos!A618,asientos!$B$13:$B$1276)</f>
        <v>0</v>
      </c>
      <c r="H618" s="1317">
        <f>+SUMIF(asientos!$I$13:$I$1276,SYS_4_3_Digitos!A618,asientos!$J$13:$J$1276)</f>
        <v>0</v>
      </c>
      <c r="I618" s="1314">
        <f t="shared" si="64"/>
        <v>0</v>
      </c>
      <c r="J618" s="1315">
        <f t="shared" si="65"/>
        <v>0</v>
      </c>
      <c r="L618" s="1308">
        <f t="shared" si="66"/>
        <v>0</v>
      </c>
      <c r="M618" s="1296" t="str">
        <f t="shared" si="67"/>
        <v>0</v>
      </c>
      <c r="N618" s="1309">
        <f t="shared" si="68"/>
        <v>0</v>
      </c>
      <c r="O618" s="1296" t="str">
        <f t="shared" si="69"/>
        <v>0</v>
      </c>
    </row>
    <row r="619" spans="1:15" s="1296" customFormat="1" hidden="1">
      <c r="A619" s="1310"/>
      <c r="B619" s="1311"/>
      <c r="C619" s="1312">
        <v>0</v>
      </c>
      <c r="D619" s="1313">
        <v>0</v>
      </c>
      <c r="E619" s="1314"/>
      <c r="F619" s="1315"/>
      <c r="G619" s="1316">
        <f>+SUMIF(asientos!$C$13:$C$1276,SYS_4_3_Digitos!A619,asientos!$B$13:$B$1276)</f>
        <v>0</v>
      </c>
      <c r="H619" s="1317">
        <f>+SUMIF(asientos!$I$13:$I$1276,SYS_4_3_Digitos!A619,asientos!$J$13:$J$1276)</f>
        <v>0</v>
      </c>
      <c r="I619" s="1314">
        <f t="shared" si="64"/>
        <v>0</v>
      </c>
      <c r="J619" s="1315">
        <f t="shared" si="65"/>
        <v>0</v>
      </c>
      <c r="L619" s="1308">
        <f t="shared" si="66"/>
        <v>0</v>
      </c>
      <c r="M619" s="1296" t="str">
        <f t="shared" si="67"/>
        <v>0</v>
      </c>
      <c r="N619" s="1309">
        <f t="shared" si="68"/>
        <v>0</v>
      </c>
      <c r="O619" s="1296" t="str">
        <f t="shared" si="69"/>
        <v>0</v>
      </c>
    </row>
    <row r="620" spans="1:15" s="1296" customFormat="1" hidden="1">
      <c r="A620" s="1310"/>
      <c r="B620" s="1311"/>
      <c r="C620" s="1312">
        <v>0</v>
      </c>
      <c r="D620" s="1313">
        <v>0</v>
      </c>
      <c r="E620" s="1314"/>
      <c r="F620" s="1315"/>
      <c r="G620" s="1316">
        <f>+SUMIF(asientos!$C$13:$C$1276,SYS_4_3_Digitos!A620,asientos!$B$13:$B$1276)</f>
        <v>0</v>
      </c>
      <c r="H620" s="1317">
        <f>+SUMIF(asientos!$I$13:$I$1276,SYS_4_3_Digitos!A620,asientos!$J$13:$J$1276)</f>
        <v>0</v>
      </c>
      <c r="I620" s="1314">
        <f t="shared" si="64"/>
        <v>0</v>
      </c>
      <c r="J620" s="1315">
        <f t="shared" si="65"/>
        <v>0</v>
      </c>
      <c r="L620" s="1308">
        <f t="shared" si="66"/>
        <v>0</v>
      </c>
      <c r="M620" s="1296" t="str">
        <f t="shared" si="67"/>
        <v>0</v>
      </c>
      <c r="N620" s="1309">
        <f t="shared" si="68"/>
        <v>0</v>
      </c>
      <c r="O620" s="1296" t="str">
        <f t="shared" si="69"/>
        <v>0</v>
      </c>
    </row>
    <row r="621" spans="1:15" s="1296" customFormat="1" hidden="1">
      <c r="A621" s="1310"/>
      <c r="B621" s="1311"/>
      <c r="C621" s="1312">
        <v>0</v>
      </c>
      <c r="D621" s="1313">
        <v>0</v>
      </c>
      <c r="E621" s="1314"/>
      <c r="F621" s="1315"/>
      <c r="G621" s="1316">
        <f>+SUMIF(asientos!$C$13:$C$1276,SYS_4_3_Digitos!A621,asientos!$B$13:$B$1276)</f>
        <v>0</v>
      </c>
      <c r="H621" s="1317">
        <f>+SUMIF(asientos!$I$13:$I$1276,SYS_4_3_Digitos!A621,asientos!$J$13:$J$1276)</f>
        <v>0</v>
      </c>
      <c r="I621" s="1314">
        <f t="shared" si="64"/>
        <v>0</v>
      </c>
      <c r="J621" s="1315">
        <f t="shared" si="65"/>
        <v>0</v>
      </c>
      <c r="L621" s="1308">
        <f t="shared" si="66"/>
        <v>0</v>
      </c>
      <c r="M621" s="1296" t="str">
        <f t="shared" si="67"/>
        <v>0</v>
      </c>
      <c r="N621" s="1309">
        <f t="shared" si="68"/>
        <v>0</v>
      </c>
      <c r="O621" s="1296" t="str">
        <f t="shared" si="69"/>
        <v>0</v>
      </c>
    </row>
    <row r="622" spans="1:15" s="1296" customFormat="1" hidden="1">
      <c r="A622" s="1310"/>
      <c r="B622" s="1311"/>
      <c r="C622" s="1312">
        <v>0</v>
      </c>
      <c r="D622" s="1313">
        <v>0</v>
      </c>
      <c r="E622" s="1314"/>
      <c r="F622" s="1315"/>
      <c r="G622" s="1316">
        <f>+SUMIF(asientos!$C$13:$C$1276,SYS_4_3_Digitos!A622,asientos!$B$13:$B$1276)</f>
        <v>0</v>
      </c>
      <c r="H622" s="1317">
        <f>+SUMIF(asientos!$I$13:$I$1276,SYS_4_3_Digitos!A622,asientos!$J$13:$J$1276)</f>
        <v>0</v>
      </c>
      <c r="I622" s="1314">
        <f t="shared" si="64"/>
        <v>0</v>
      </c>
      <c r="J622" s="1315">
        <f t="shared" si="65"/>
        <v>0</v>
      </c>
      <c r="L622" s="1308">
        <f t="shared" si="66"/>
        <v>0</v>
      </c>
      <c r="M622" s="1296" t="str">
        <f t="shared" si="67"/>
        <v>0</v>
      </c>
      <c r="N622" s="1309">
        <f t="shared" si="68"/>
        <v>0</v>
      </c>
      <c r="O622" s="1296" t="str">
        <f t="shared" si="69"/>
        <v>0</v>
      </c>
    </row>
    <row r="623" spans="1:15" s="1296" customFormat="1" hidden="1">
      <c r="A623" s="1310"/>
      <c r="B623" s="1311"/>
      <c r="C623" s="1312">
        <v>0</v>
      </c>
      <c r="D623" s="1313">
        <v>0</v>
      </c>
      <c r="E623" s="1314"/>
      <c r="F623" s="1315"/>
      <c r="G623" s="1316">
        <f>+SUMIF(asientos!$C$13:$C$1276,SYS_4_3_Digitos!A623,asientos!$B$13:$B$1276)</f>
        <v>0</v>
      </c>
      <c r="H623" s="1317">
        <f>+SUMIF(asientos!$I$13:$I$1276,SYS_4_3_Digitos!A623,asientos!$J$13:$J$1276)</f>
        <v>0</v>
      </c>
      <c r="I623" s="1314">
        <f t="shared" si="64"/>
        <v>0</v>
      </c>
      <c r="J623" s="1315">
        <f t="shared" si="65"/>
        <v>0</v>
      </c>
      <c r="L623" s="1308">
        <f t="shared" si="66"/>
        <v>0</v>
      </c>
      <c r="M623" s="1296" t="str">
        <f t="shared" si="67"/>
        <v>0</v>
      </c>
      <c r="N623" s="1309">
        <f t="shared" si="68"/>
        <v>0</v>
      </c>
      <c r="O623" s="1296" t="str">
        <f t="shared" si="69"/>
        <v>0</v>
      </c>
    </row>
    <row r="624" spans="1:15" s="1296" customFormat="1" hidden="1">
      <c r="A624" s="1310"/>
      <c r="B624" s="1311"/>
      <c r="C624" s="1312">
        <v>0</v>
      </c>
      <c r="D624" s="1313">
        <v>0</v>
      </c>
      <c r="E624" s="1314"/>
      <c r="F624" s="1315"/>
      <c r="G624" s="1316">
        <f>+SUMIF(asientos!$C$13:$C$1276,SYS_4_3_Digitos!A624,asientos!$B$13:$B$1276)</f>
        <v>0</v>
      </c>
      <c r="H624" s="1317">
        <f>+SUMIF(asientos!$I$13:$I$1276,SYS_4_3_Digitos!A624,asientos!$J$13:$J$1276)</f>
        <v>0</v>
      </c>
      <c r="I624" s="1314">
        <f t="shared" si="64"/>
        <v>0</v>
      </c>
      <c r="J624" s="1315">
        <f t="shared" si="65"/>
        <v>0</v>
      </c>
      <c r="L624" s="1308">
        <f t="shared" si="66"/>
        <v>0</v>
      </c>
      <c r="M624" s="1296" t="str">
        <f t="shared" si="67"/>
        <v>0</v>
      </c>
      <c r="N624" s="1309">
        <f t="shared" si="68"/>
        <v>0</v>
      </c>
      <c r="O624" s="1296" t="str">
        <f t="shared" si="69"/>
        <v>0</v>
      </c>
    </row>
    <row r="625" spans="1:15" s="1296" customFormat="1" hidden="1">
      <c r="A625" s="1310"/>
      <c r="B625" s="1311"/>
      <c r="C625" s="1312">
        <v>0</v>
      </c>
      <c r="D625" s="1313">
        <v>0</v>
      </c>
      <c r="E625" s="1314"/>
      <c r="F625" s="1315"/>
      <c r="G625" s="1316">
        <f>+SUMIF(asientos!$C$13:$C$1276,SYS_4_3_Digitos!A625,asientos!$B$13:$B$1276)</f>
        <v>0</v>
      </c>
      <c r="H625" s="1317">
        <f>+SUMIF(asientos!$I$13:$I$1276,SYS_4_3_Digitos!A625,asientos!$J$13:$J$1276)</f>
        <v>0</v>
      </c>
      <c r="I625" s="1314">
        <f t="shared" si="64"/>
        <v>0</v>
      </c>
      <c r="J625" s="1315">
        <f t="shared" si="65"/>
        <v>0</v>
      </c>
      <c r="L625" s="1308">
        <f t="shared" si="66"/>
        <v>0</v>
      </c>
      <c r="M625" s="1296" t="str">
        <f t="shared" si="67"/>
        <v>0</v>
      </c>
      <c r="N625" s="1309">
        <f t="shared" si="68"/>
        <v>0</v>
      </c>
      <c r="O625" s="1296" t="str">
        <f t="shared" si="69"/>
        <v>0</v>
      </c>
    </row>
    <row r="626" spans="1:15" s="1296" customFormat="1" hidden="1">
      <c r="A626" s="1310"/>
      <c r="B626" s="1311"/>
      <c r="C626" s="1312">
        <v>0</v>
      </c>
      <c r="D626" s="1313">
        <v>0</v>
      </c>
      <c r="E626" s="1314"/>
      <c r="F626" s="1315"/>
      <c r="G626" s="1316">
        <f>+SUMIF(asientos!$C$13:$C$1276,SYS_4_3_Digitos!A626,asientos!$B$13:$B$1276)</f>
        <v>0</v>
      </c>
      <c r="H626" s="1317">
        <f>+SUMIF(asientos!$I$13:$I$1276,SYS_4_3_Digitos!A626,asientos!$J$13:$J$1276)</f>
        <v>0</v>
      </c>
      <c r="I626" s="1314">
        <f t="shared" si="64"/>
        <v>0</v>
      </c>
      <c r="J626" s="1315">
        <f t="shared" si="65"/>
        <v>0</v>
      </c>
      <c r="L626" s="1308">
        <f t="shared" si="66"/>
        <v>0</v>
      </c>
      <c r="M626" s="1296" t="str">
        <f t="shared" si="67"/>
        <v>0</v>
      </c>
      <c r="N626" s="1309">
        <f t="shared" si="68"/>
        <v>0</v>
      </c>
      <c r="O626" s="1296" t="str">
        <f t="shared" si="69"/>
        <v>0</v>
      </c>
    </row>
    <row r="627" spans="1:15" s="1296" customFormat="1" hidden="1">
      <c r="A627" s="1310"/>
      <c r="B627" s="1311"/>
      <c r="C627" s="1312">
        <v>0</v>
      </c>
      <c r="D627" s="1313">
        <v>0</v>
      </c>
      <c r="E627" s="1314"/>
      <c r="F627" s="1315"/>
      <c r="G627" s="1316">
        <f>+SUMIF(asientos!$C$13:$C$1276,SYS_4_3_Digitos!A627,asientos!$B$13:$B$1276)</f>
        <v>0</v>
      </c>
      <c r="H627" s="1317">
        <f>+SUMIF(asientos!$I$13:$I$1276,SYS_4_3_Digitos!A627,asientos!$J$13:$J$1276)</f>
        <v>0</v>
      </c>
      <c r="I627" s="1314">
        <f t="shared" si="64"/>
        <v>0</v>
      </c>
      <c r="J627" s="1315">
        <f t="shared" si="65"/>
        <v>0</v>
      </c>
      <c r="L627" s="1308">
        <f t="shared" si="66"/>
        <v>0</v>
      </c>
      <c r="M627" s="1296" t="str">
        <f t="shared" si="67"/>
        <v>0</v>
      </c>
      <c r="N627" s="1309">
        <f t="shared" si="68"/>
        <v>0</v>
      </c>
      <c r="O627" s="1296" t="str">
        <f t="shared" si="69"/>
        <v>0</v>
      </c>
    </row>
    <row r="628" spans="1:15" s="1296" customFormat="1" hidden="1">
      <c r="A628" s="1310"/>
      <c r="B628" s="1311"/>
      <c r="C628" s="1312">
        <v>0</v>
      </c>
      <c r="D628" s="1313">
        <v>0</v>
      </c>
      <c r="E628" s="1314"/>
      <c r="F628" s="1315"/>
      <c r="G628" s="1316">
        <f>+SUMIF(asientos!$C$13:$C$1276,SYS_4_3_Digitos!A628,asientos!$B$13:$B$1276)</f>
        <v>0</v>
      </c>
      <c r="H628" s="1317">
        <f>+SUMIF(asientos!$I$13:$I$1276,SYS_4_3_Digitos!A628,asientos!$J$13:$J$1276)</f>
        <v>0</v>
      </c>
      <c r="I628" s="1314">
        <f t="shared" si="64"/>
        <v>0</v>
      </c>
      <c r="J628" s="1315">
        <f t="shared" si="65"/>
        <v>0</v>
      </c>
      <c r="L628" s="1308">
        <f t="shared" si="66"/>
        <v>0</v>
      </c>
      <c r="M628" s="1296" t="str">
        <f t="shared" si="67"/>
        <v>0</v>
      </c>
      <c r="N628" s="1309">
        <f t="shared" si="68"/>
        <v>0</v>
      </c>
      <c r="O628" s="1296" t="str">
        <f t="shared" si="69"/>
        <v>0</v>
      </c>
    </row>
    <row r="629" spans="1:15" s="1296" customFormat="1" hidden="1">
      <c r="A629" s="1310"/>
      <c r="B629" s="1311"/>
      <c r="C629" s="1312">
        <v>0</v>
      </c>
      <c r="D629" s="1313">
        <v>0</v>
      </c>
      <c r="E629" s="1314"/>
      <c r="F629" s="1315"/>
      <c r="G629" s="1316">
        <f>+SUMIF(asientos!$C$13:$C$1276,SYS_4_3_Digitos!A629,asientos!$B$13:$B$1276)</f>
        <v>0</v>
      </c>
      <c r="H629" s="1317">
        <f>+SUMIF(asientos!$I$13:$I$1276,SYS_4_3_Digitos!A629,asientos!$J$13:$J$1276)</f>
        <v>0</v>
      </c>
      <c r="I629" s="1314">
        <f t="shared" si="64"/>
        <v>0</v>
      </c>
      <c r="J629" s="1315">
        <f t="shared" si="65"/>
        <v>0</v>
      </c>
      <c r="L629" s="1308">
        <f t="shared" si="66"/>
        <v>0</v>
      </c>
      <c r="M629" s="1296" t="str">
        <f t="shared" si="67"/>
        <v>0</v>
      </c>
      <c r="N629" s="1309">
        <f t="shared" si="68"/>
        <v>0</v>
      </c>
      <c r="O629" s="1296" t="str">
        <f t="shared" si="69"/>
        <v>0</v>
      </c>
    </row>
    <row r="630" spans="1:15" s="1296" customFormat="1" hidden="1">
      <c r="A630" s="1310"/>
      <c r="B630" s="1311"/>
      <c r="C630" s="1312">
        <v>0</v>
      </c>
      <c r="D630" s="1313">
        <v>0</v>
      </c>
      <c r="E630" s="1314"/>
      <c r="F630" s="1315"/>
      <c r="G630" s="1316">
        <f>+SUMIF(asientos!$C$13:$C$1276,SYS_4_3_Digitos!A630,asientos!$B$13:$B$1276)</f>
        <v>0</v>
      </c>
      <c r="H630" s="1317">
        <f>+SUMIF(asientos!$I$13:$I$1276,SYS_4_3_Digitos!A630,asientos!$J$13:$J$1276)</f>
        <v>0</v>
      </c>
      <c r="I630" s="1314">
        <f t="shared" si="64"/>
        <v>0</v>
      </c>
      <c r="J630" s="1315">
        <f t="shared" si="65"/>
        <v>0</v>
      </c>
      <c r="L630" s="1308">
        <f t="shared" si="66"/>
        <v>0</v>
      </c>
      <c r="M630" s="1296" t="str">
        <f t="shared" si="67"/>
        <v>0</v>
      </c>
      <c r="N630" s="1309">
        <f t="shared" si="68"/>
        <v>0</v>
      </c>
      <c r="O630" s="1296" t="str">
        <f t="shared" si="69"/>
        <v>0</v>
      </c>
    </row>
    <row r="631" spans="1:15" s="1296" customFormat="1" hidden="1">
      <c r="A631" s="1310"/>
      <c r="B631" s="1311"/>
      <c r="C631" s="1312">
        <v>0</v>
      </c>
      <c r="D631" s="1313">
        <v>0</v>
      </c>
      <c r="E631" s="1314"/>
      <c r="F631" s="1315"/>
      <c r="G631" s="1316">
        <f>+SUMIF(asientos!$C$13:$C$1276,SYS_4_3_Digitos!A631,asientos!$B$13:$B$1276)</f>
        <v>0</v>
      </c>
      <c r="H631" s="1317">
        <f>+SUMIF(asientos!$I$13:$I$1276,SYS_4_3_Digitos!A631,asientos!$J$13:$J$1276)</f>
        <v>0</v>
      </c>
      <c r="I631" s="1314">
        <f t="shared" si="64"/>
        <v>0</v>
      </c>
      <c r="J631" s="1315">
        <f t="shared" si="65"/>
        <v>0</v>
      </c>
      <c r="L631" s="1308">
        <f t="shared" si="66"/>
        <v>0</v>
      </c>
      <c r="M631" s="1296" t="str">
        <f t="shared" si="67"/>
        <v>0</v>
      </c>
      <c r="N631" s="1309">
        <f t="shared" si="68"/>
        <v>0</v>
      </c>
      <c r="O631" s="1296" t="str">
        <f t="shared" si="69"/>
        <v>0</v>
      </c>
    </row>
    <row r="632" spans="1:15" s="1296" customFormat="1" hidden="1">
      <c r="A632" s="1310"/>
      <c r="B632" s="1311"/>
      <c r="C632" s="1312">
        <v>0</v>
      </c>
      <c r="D632" s="1313">
        <v>0</v>
      </c>
      <c r="E632" s="1314"/>
      <c r="F632" s="1315"/>
      <c r="G632" s="1316">
        <f>+SUMIF(asientos!$C$13:$C$1276,SYS_4_3_Digitos!A632,asientos!$B$13:$B$1276)</f>
        <v>0</v>
      </c>
      <c r="H632" s="1317">
        <f>+SUMIF(asientos!$I$13:$I$1276,SYS_4_3_Digitos!A632,asientos!$J$13:$J$1276)</f>
        <v>0</v>
      </c>
      <c r="I632" s="1314">
        <f t="shared" si="64"/>
        <v>0</v>
      </c>
      <c r="J632" s="1315">
        <f t="shared" si="65"/>
        <v>0</v>
      </c>
      <c r="L632" s="1308">
        <f t="shared" si="66"/>
        <v>0</v>
      </c>
      <c r="M632" s="1296" t="str">
        <f t="shared" si="67"/>
        <v>0</v>
      </c>
      <c r="N632" s="1309">
        <f t="shared" si="68"/>
        <v>0</v>
      </c>
      <c r="O632" s="1296" t="str">
        <f t="shared" si="69"/>
        <v>0</v>
      </c>
    </row>
    <row r="633" spans="1:15" s="1296" customFormat="1" hidden="1">
      <c r="A633" s="1310"/>
      <c r="B633" s="1311"/>
      <c r="C633" s="1312">
        <v>0</v>
      </c>
      <c r="D633" s="1313">
        <v>0</v>
      </c>
      <c r="E633" s="1314"/>
      <c r="F633" s="1315"/>
      <c r="G633" s="1316">
        <f>+SUMIF(asientos!$C$13:$C$1276,SYS_4_3_Digitos!A633,asientos!$B$13:$B$1276)</f>
        <v>0</v>
      </c>
      <c r="H633" s="1317">
        <f>+SUMIF(asientos!$I$13:$I$1276,SYS_4_3_Digitos!A633,asientos!$J$13:$J$1276)</f>
        <v>0</v>
      </c>
      <c r="I633" s="1314">
        <f t="shared" si="64"/>
        <v>0</v>
      </c>
      <c r="J633" s="1315">
        <f t="shared" si="65"/>
        <v>0</v>
      </c>
      <c r="L633" s="1308">
        <f t="shared" si="66"/>
        <v>0</v>
      </c>
      <c r="M633" s="1296" t="str">
        <f t="shared" si="67"/>
        <v>0</v>
      </c>
      <c r="N633" s="1309">
        <f t="shared" si="68"/>
        <v>0</v>
      </c>
      <c r="O633" s="1296" t="str">
        <f t="shared" si="69"/>
        <v>0</v>
      </c>
    </row>
    <row r="634" spans="1:15" s="1296" customFormat="1" hidden="1">
      <c r="A634" s="1310"/>
      <c r="B634" s="1311"/>
      <c r="C634" s="1312">
        <v>0</v>
      </c>
      <c r="D634" s="1313">
        <v>0</v>
      </c>
      <c r="E634" s="1314"/>
      <c r="F634" s="1315"/>
      <c r="G634" s="1316">
        <f>+SUMIF(asientos!$C$13:$C$1276,SYS_4_3_Digitos!A634,asientos!$B$13:$B$1276)</f>
        <v>0</v>
      </c>
      <c r="H634" s="1317">
        <f>+SUMIF(asientos!$I$13:$I$1276,SYS_4_3_Digitos!A634,asientos!$J$13:$J$1276)</f>
        <v>0</v>
      </c>
      <c r="I634" s="1314">
        <f t="shared" si="64"/>
        <v>0</v>
      </c>
      <c r="J634" s="1315">
        <f t="shared" si="65"/>
        <v>0</v>
      </c>
      <c r="L634" s="1308">
        <f t="shared" si="66"/>
        <v>0</v>
      </c>
      <c r="M634" s="1296" t="str">
        <f t="shared" si="67"/>
        <v>0</v>
      </c>
      <c r="N634" s="1309">
        <f t="shared" si="68"/>
        <v>0</v>
      </c>
      <c r="O634" s="1296" t="str">
        <f t="shared" si="69"/>
        <v>0</v>
      </c>
    </row>
    <row r="635" spans="1:15" s="1296" customFormat="1" hidden="1">
      <c r="A635" s="1310"/>
      <c r="B635" s="1311"/>
      <c r="C635" s="1312">
        <v>0</v>
      </c>
      <c r="D635" s="1313">
        <v>0</v>
      </c>
      <c r="E635" s="1314"/>
      <c r="F635" s="1315"/>
      <c r="G635" s="1316">
        <f>+SUMIF(asientos!$C$13:$C$1276,SYS_4_3_Digitos!A635,asientos!$B$13:$B$1276)</f>
        <v>0</v>
      </c>
      <c r="H635" s="1317">
        <f>+SUMIF(asientos!$I$13:$I$1276,SYS_4_3_Digitos!A635,asientos!$J$13:$J$1276)</f>
        <v>0</v>
      </c>
      <c r="I635" s="1314">
        <f t="shared" si="64"/>
        <v>0</v>
      </c>
      <c r="J635" s="1315">
        <f t="shared" si="65"/>
        <v>0</v>
      </c>
      <c r="L635" s="1308">
        <f t="shared" si="66"/>
        <v>0</v>
      </c>
      <c r="M635" s="1296" t="str">
        <f t="shared" si="67"/>
        <v>0</v>
      </c>
      <c r="N635" s="1309">
        <f t="shared" si="68"/>
        <v>0</v>
      </c>
      <c r="O635" s="1296" t="str">
        <f t="shared" si="69"/>
        <v>0</v>
      </c>
    </row>
    <row r="636" spans="1:15" s="1296" customFormat="1" hidden="1">
      <c r="A636" s="1310"/>
      <c r="B636" s="1311"/>
      <c r="C636" s="1312">
        <v>0</v>
      </c>
      <c r="D636" s="1313">
        <v>0</v>
      </c>
      <c r="E636" s="1314"/>
      <c r="F636" s="1315"/>
      <c r="G636" s="1316">
        <f>+SUMIF(asientos!$C$13:$C$1276,SYS_4_3_Digitos!A636,asientos!$B$13:$B$1276)</f>
        <v>0</v>
      </c>
      <c r="H636" s="1317">
        <f>+SUMIF(asientos!$I$13:$I$1276,SYS_4_3_Digitos!A636,asientos!$J$13:$J$1276)</f>
        <v>0</v>
      </c>
      <c r="I636" s="1314">
        <f t="shared" si="64"/>
        <v>0</v>
      </c>
      <c r="J636" s="1315">
        <f t="shared" si="65"/>
        <v>0</v>
      </c>
      <c r="L636" s="1308">
        <f t="shared" si="66"/>
        <v>0</v>
      </c>
      <c r="M636" s="1296" t="str">
        <f t="shared" si="67"/>
        <v>0</v>
      </c>
      <c r="N636" s="1309">
        <f t="shared" si="68"/>
        <v>0</v>
      </c>
      <c r="O636" s="1296" t="str">
        <f t="shared" si="69"/>
        <v>0</v>
      </c>
    </row>
    <row r="637" spans="1:15" s="1296" customFormat="1" hidden="1">
      <c r="A637" s="1310"/>
      <c r="B637" s="1311"/>
      <c r="C637" s="1312">
        <v>0</v>
      </c>
      <c r="D637" s="1313">
        <v>0</v>
      </c>
      <c r="E637" s="1314"/>
      <c r="F637" s="1315"/>
      <c r="G637" s="1316">
        <f>+SUMIF(asientos!$C$13:$C$1276,SYS_4_3_Digitos!A637,asientos!$B$13:$B$1276)</f>
        <v>0</v>
      </c>
      <c r="H637" s="1317">
        <f>+SUMIF(asientos!$I$13:$I$1276,SYS_4_3_Digitos!A637,asientos!$J$13:$J$1276)</f>
        <v>0</v>
      </c>
      <c r="I637" s="1314">
        <f t="shared" si="64"/>
        <v>0</v>
      </c>
      <c r="J637" s="1315">
        <f t="shared" si="65"/>
        <v>0</v>
      </c>
      <c r="L637" s="1308">
        <f t="shared" si="66"/>
        <v>0</v>
      </c>
      <c r="M637" s="1296" t="str">
        <f t="shared" si="67"/>
        <v>0</v>
      </c>
      <c r="N637" s="1309">
        <f t="shared" si="68"/>
        <v>0</v>
      </c>
      <c r="O637" s="1296" t="str">
        <f t="shared" si="69"/>
        <v>0</v>
      </c>
    </row>
    <row r="638" spans="1:15" s="1296" customFormat="1" hidden="1">
      <c r="A638" s="1310"/>
      <c r="B638" s="1311"/>
      <c r="C638" s="1312">
        <v>0</v>
      </c>
      <c r="D638" s="1313">
        <v>0</v>
      </c>
      <c r="E638" s="1314"/>
      <c r="F638" s="1315"/>
      <c r="G638" s="1316">
        <f>+SUMIF(asientos!$C$13:$C$1276,SYS_4_3_Digitos!A638,asientos!$B$13:$B$1276)</f>
        <v>0</v>
      </c>
      <c r="H638" s="1317">
        <f>+SUMIF(asientos!$I$13:$I$1276,SYS_4_3_Digitos!A638,asientos!$J$13:$J$1276)</f>
        <v>0</v>
      </c>
      <c r="I638" s="1314">
        <f t="shared" si="64"/>
        <v>0</v>
      </c>
      <c r="J638" s="1315">
        <f t="shared" si="65"/>
        <v>0</v>
      </c>
      <c r="L638" s="1308">
        <f t="shared" si="66"/>
        <v>0</v>
      </c>
      <c r="M638" s="1296" t="str">
        <f t="shared" si="67"/>
        <v>0</v>
      </c>
      <c r="N638" s="1309">
        <f t="shared" si="68"/>
        <v>0</v>
      </c>
      <c r="O638" s="1296" t="str">
        <f t="shared" si="69"/>
        <v>0</v>
      </c>
    </row>
    <row r="639" spans="1:15" s="1296" customFormat="1" hidden="1">
      <c r="A639" s="1310"/>
      <c r="B639" s="1311"/>
      <c r="C639" s="1312">
        <v>0</v>
      </c>
      <c r="D639" s="1313">
        <v>0</v>
      </c>
      <c r="E639" s="1314"/>
      <c r="F639" s="1315"/>
      <c r="G639" s="1316">
        <f>+SUMIF(asientos!$C$13:$C$1276,SYS_4_3_Digitos!A639,asientos!$B$13:$B$1276)</f>
        <v>0</v>
      </c>
      <c r="H639" s="1317">
        <f>+SUMIF(asientos!$I$13:$I$1276,SYS_4_3_Digitos!A639,asientos!$J$13:$J$1276)</f>
        <v>0</v>
      </c>
      <c r="I639" s="1314">
        <f t="shared" si="64"/>
        <v>0</v>
      </c>
      <c r="J639" s="1315">
        <f t="shared" si="65"/>
        <v>0</v>
      </c>
      <c r="L639" s="1308">
        <f t="shared" si="66"/>
        <v>0</v>
      </c>
      <c r="M639" s="1296" t="str">
        <f t="shared" si="67"/>
        <v>0</v>
      </c>
      <c r="N639" s="1309">
        <f t="shared" si="68"/>
        <v>0</v>
      </c>
      <c r="O639" s="1296" t="str">
        <f t="shared" si="69"/>
        <v>0</v>
      </c>
    </row>
    <row r="640" spans="1:15" s="1296" customFormat="1" hidden="1">
      <c r="A640" s="1310"/>
      <c r="B640" s="1311"/>
      <c r="C640" s="1312">
        <v>0</v>
      </c>
      <c r="D640" s="1313">
        <v>0</v>
      </c>
      <c r="E640" s="1314"/>
      <c r="F640" s="1315"/>
      <c r="G640" s="1316">
        <f>+SUMIF(asientos!$C$13:$C$1276,SYS_4_3_Digitos!A640,asientos!$B$13:$B$1276)</f>
        <v>0</v>
      </c>
      <c r="H640" s="1317">
        <f>+SUMIF(asientos!$I$13:$I$1276,SYS_4_3_Digitos!A640,asientos!$J$13:$J$1276)</f>
        <v>0</v>
      </c>
      <c r="I640" s="1314">
        <f t="shared" si="64"/>
        <v>0</v>
      </c>
      <c r="J640" s="1315">
        <f t="shared" si="65"/>
        <v>0</v>
      </c>
      <c r="L640" s="1308">
        <f t="shared" si="66"/>
        <v>0</v>
      </c>
      <c r="M640" s="1296" t="str">
        <f t="shared" si="67"/>
        <v>0</v>
      </c>
      <c r="N640" s="1309">
        <f t="shared" si="68"/>
        <v>0</v>
      </c>
      <c r="O640" s="1296" t="str">
        <f t="shared" si="69"/>
        <v>0</v>
      </c>
    </row>
    <row r="641" spans="1:15" s="1296" customFormat="1" hidden="1">
      <c r="A641" s="1310"/>
      <c r="B641" s="1311"/>
      <c r="C641" s="1312">
        <v>0</v>
      </c>
      <c r="D641" s="1313">
        <v>0</v>
      </c>
      <c r="E641" s="1314"/>
      <c r="F641" s="1315"/>
      <c r="G641" s="1316">
        <f>+SUMIF(asientos!$C$13:$C$1276,SYS_4_3_Digitos!A641,asientos!$B$13:$B$1276)</f>
        <v>0</v>
      </c>
      <c r="H641" s="1317">
        <f>+SUMIF(asientos!$I$13:$I$1276,SYS_4_3_Digitos!A641,asientos!$J$13:$J$1276)</f>
        <v>0</v>
      </c>
      <c r="I641" s="1314">
        <f t="shared" si="64"/>
        <v>0</v>
      </c>
      <c r="J641" s="1315">
        <f t="shared" si="65"/>
        <v>0</v>
      </c>
      <c r="L641" s="1308">
        <f t="shared" si="66"/>
        <v>0</v>
      </c>
      <c r="M641" s="1296" t="str">
        <f t="shared" si="67"/>
        <v>0</v>
      </c>
      <c r="N641" s="1309">
        <f t="shared" si="68"/>
        <v>0</v>
      </c>
      <c r="O641" s="1296" t="str">
        <f t="shared" si="69"/>
        <v>0</v>
      </c>
    </row>
    <row r="642" spans="1:15" s="1296" customFormat="1" hidden="1">
      <c r="A642" s="1310"/>
      <c r="B642" s="1311"/>
      <c r="C642" s="1312">
        <v>0</v>
      </c>
      <c r="D642" s="1313">
        <v>0</v>
      </c>
      <c r="E642" s="1314"/>
      <c r="F642" s="1315"/>
      <c r="G642" s="1316">
        <f>+SUMIF(asientos!$C$13:$C$1276,SYS_4_3_Digitos!A642,asientos!$B$13:$B$1276)</f>
        <v>0</v>
      </c>
      <c r="H642" s="1317">
        <f>+SUMIF(asientos!$I$13:$I$1276,SYS_4_3_Digitos!A642,asientos!$J$13:$J$1276)</f>
        <v>0</v>
      </c>
      <c r="I642" s="1314">
        <f t="shared" si="64"/>
        <v>0</v>
      </c>
      <c r="J642" s="1315">
        <f t="shared" si="65"/>
        <v>0</v>
      </c>
      <c r="L642" s="1308">
        <f t="shared" si="66"/>
        <v>0</v>
      </c>
      <c r="M642" s="1296" t="str">
        <f t="shared" si="67"/>
        <v>0</v>
      </c>
      <c r="N642" s="1309">
        <f t="shared" si="68"/>
        <v>0</v>
      </c>
      <c r="O642" s="1296" t="str">
        <f t="shared" si="69"/>
        <v>0</v>
      </c>
    </row>
    <row r="643" spans="1:15" s="1296" customFormat="1" hidden="1">
      <c r="A643" s="1310"/>
      <c r="B643" s="1311"/>
      <c r="C643" s="1312">
        <v>0</v>
      </c>
      <c r="D643" s="1313">
        <v>0</v>
      </c>
      <c r="E643" s="1314"/>
      <c r="F643" s="1315"/>
      <c r="G643" s="1316">
        <f>+SUMIF(asientos!$C$13:$C$1276,SYS_4_3_Digitos!A643,asientos!$B$13:$B$1276)</f>
        <v>0</v>
      </c>
      <c r="H643" s="1317">
        <f>+SUMIF(asientos!$I$13:$I$1276,SYS_4_3_Digitos!A643,asientos!$J$13:$J$1276)</f>
        <v>0</v>
      </c>
      <c r="I643" s="1314">
        <f t="shared" si="64"/>
        <v>0</v>
      </c>
      <c r="J643" s="1315">
        <f t="shared" si="65"/>
        <v>0</v>
      </c>
      <c r="L643" s="1308">
        <f t="shared" si="66"/>
        <v>0</v>
      </c>
      <c r="M643" s="1296" t="str">
        <f t="shared" si="67"/>
        <v>0</v>
      </c>
      <c r="N643" s="1309">
        <f t="shared" si="68"/>
        <v>0</v>
      </c>
      <c r="O643" s="1296" t="str">
        <f t="shared" si="69"/>
        <v>0</v>
      </c>
    </row>
    <row r="644" spans="1:15" s="1296" customFormat="1" hidden="1">
      <c r="A644" s="1310"/>
      <c r="B644" s="1311"/>
      <c r="C644" s="1312">
        <v>0</v>
      </c>
      <c r="D644" s="1313">
        <v>0</v>
      </c>
      <c r="E644" s="1314"/>
      <c r="F644" s="1315"/>
      <c r="G644" s="1316">
        <f>+SUMIF(asientos!$C$13:$C$1276,SYS_4_3_Digitos!A644,asientos!$B$13:$B$1276)</f>
        <v>0</v>
      </c>
      <c r="H644" s="1317">
        <f>+SUMIF(asientos!$I$13:$I$1276,SYS_4_3_Digitos!A644,asientos!$J$13:$J$1276)</f>
        <v>0</v>
      </c>
      <c r="I644" s="1314">
        <f t="shared" si="64"/>
        <v>0</v>
      </c>
      <c r="J644" s="1315">
        <f t="shared" si="65"/>
        <v>0</v>
      </c>
      <c r="L644" s="1308">
        <f t="shared" si="66"/>
        <v>0</v>
      </c>
      <c r="M644" s="1296" t="str">
        <f t="shared" si="67"/>
        <v>0</v>
      </c>
      <c r="N644" s="1309">
        <f t="shared" si="68"/>
        <v>0</v>
      </c>
      <c r="O644" s="1296" t="str">
        <f t="shared" si="69"/>
        <v>0</v>
      </c>
    </row>
    <row r="645" spans="1:15" s="1296" customFormat="1" hidden="1">
      <c r="A645" s="1310"/>
      <c r="B645" s="1311"/>
      <c r="C645" s="1312">
        <v>0</v>
      </c>
      <c r="D645" s="1313">
        <v>0</v>
      </c>
      <c r="E645" s="1314"/>
      <c r="F645" s="1315"/>
      <c r="G645" s="1316">
        <f>+SUMIF(asientos!$C$13:$C$1276,SYS_4_3_Digitos!A645,asientos!$B$13:$B$1276)</f>
        <v>0</v>
      </c>
      <c r="H645" s="1317">
        <f>+SUMIF(asientos!$I$13:$I$1276,SYS_4_3_Digitos!A645,asientos!$J$13:$J$1276)</f>
        <v>0</v>
      </c>
      <c r="I645" s="1314">
        <f t="shared" si="64"/>
        <v>0</v>
      </c>
      <c r="J645" s="1315">
        <f t="shared" si="65"/>
        <v>0</v>
      </c>
      <c r="L645" s="1308">
        <f t="shared" si="66"/>
        <v>0</v>
      </c>
      <c r="M645" s="1296" t="str">
        <f t="shared" si="67"/>
        <v>0</v>
      </c>
      <c r="N645" s="1309">
        <f t="shared" si="68"/>
        <v>0</v>
      </c>
      <c r="O645" s="1296" t="str">
        <f t="shared" si="69"/>
        <v>0</v>
      </c>
    </row>
    <row r="646" spans="1:15" s="1296" customFormat="1" hidden="1">
      <c r="A646" s="1310"/>
      <c r="B646" s="1311"/>
      <c r="C646" s="1312">
        <v>0</v>
      </c>
      <c r="D646" s="1313">
        <v>0</v>
      </c>
      <c r="E646" s="1314"/>
      <c r="F646" s="1315"/>
      <c r="G646" s="1316">
        <f>+SUMIF(asientos!$C$13:$C$1276,SYS_4_3_Digitos!A646,asientos!$B$13:$B$1276)</f>
        <v>0</v>
      </c>
      <c r="H646" s="1317">
        <f>+SUMIF(asientos!$I$13:$I$1276,SYS_4_3_Digitos!A646,asientos!$J$13:$J$1276)</f>
        <v>0</v>
      </c>
      <c r="I646" s="1314">
        <f t="shared" si="64"/>
        <v>0</v>
      </c>
      <c r="J646" s="1315">
        <f t="shared" si="65"/>
        <v>0</v>
      </c>
      <c r="L646" s="1308">
        <f t="shared" si="66"/>
        <v>0</v>
      </c>
      <c r="M646" s="1296" t="str">
        <f t="shared" si="67"/>
        <v>0</v>
      </c>
      <c r="N646" s="1309">
        <f t="shared" si="68"/>
        <v>0</v>
      </c>
      <c r="O646" s="1296" t="str">
        <f t="shared" si="69"/>
        <v>0</v>
      </c>
    </row>
    <row r="647" spans="1:15" s="1296" customFormat="1" hidden="1">
      <c r="A647" s="1310"/>
      <c r="B647" s="1311"/>
      <c r="C647" s="1312">
        <v>0</v>
      </c>
      <c r="D647" s="1313">
        <v>0</v>
      </c>
      <c r="E647" s="1314"/>
      <c r="F647" s="1315"/>
      <c r="G647" s="1316">
        <f>+SUMIF(asientos!$C$13:$C$1276,SYS_4_3_Digitos!A647,asientos!$B$13:$B$1276)</f>
        <v>0</v>
      </c>
      <c r="H647" s="1317">
        <f>+SUMIF(asientos!$I$13:$I$1276,SYS_4_3_Digitos!A647,asientos!$J$13:$J$1276)</f>
        <v>0</v>
      </c>
      <c r="I647" s="1314">
        <f t="shared" si="64"/>
        <v>0</v>
      </c>
      <c r="J647" s="1315">
        <f t="shared" si="65"/>
        <v>0</v>
      </c>
      <c r="L647" s="1308">
        <f t="shared" si="66"/>
        <v>0</v>
      </c>
      <c r="M647" s="1296" t="str">
        <f t="shared" si="67"/>
        <v>0</v>
      </c>
      <c r="N647" s="1309">
        <f t="shared" si="68"/>
        <v>0</v>
      </c>
      <c r="O647" s="1296" t="str">
        <f t="shared" si="69"/>
        <v>0</v>
      </c>
    </row>
    <row r="648" spans="1:15" s="1296" customFormat="1" hidden="1">
      <c r="A648" s="1310"/>
      <c r="B648" s="1311"/>
      <c r="C648" s="1312">
        <v>0</v>
      </c>
      <c r="D648" s="1313">
        <v>0</v>
      </c>
      <c r="E648" s="1314"/>
      <c r="F648" s="1315"/>
      <c r="G648" s="1316">
        <f>+SUMIF(asientos!$C$13:$C$1276,SYS_4_3_Digitos!A648,asientos!$B$13:$B$1276)</f>
        <v>0</v>
      </c>
      <c r="H648" s="1317">
        <f>+SUMIF(asientos!$I$13:$I$1276,SYS_4_3_Digitos!A648,asientos!$J$13:$J$1276)</f>
        <v>0</v>
      </c>
      <c r="I648" s="1314">
        <f t="shared" si="64"/>
        <v>0</v>
      </c>
      <c r="J648" s="1315">
        <f t="shared" si="65"/>
        <v>0</v>
      </c>
      <c r="L648" s="1308">
        <f t="shared" si="66"/>
        <v>0</v>
      </c>
      <c r="M648" s="1296" t="str">
        <f t="shared" si="67"/>
        <v>0</v>
      </c>
      <c r="N648" s="1309">
        <f t="shared" si="68"/>
        <v>0</v>
      </c>
      <c r="O648" s="1296" t="str">
        <f t="shared" si="69"/>
        <v>0</v>
      </c>
    </row>
    <row r="649" spans="1:15" s="1296" customFormat="1" hidden="1">
      <c r="A649" s="1310"/>
      <c r="B649" s="1311"/>
      <c r="C649" s="1312">
        <v>0</v>
      </c>
      <c r="D649" s="1313">
        <v>0</v>
      </c>
      <c r="E649" s="1314"/>
      <c r="F649" s="1315"/>
      <c r="G649" s="1316">
        <f>+SUMIF(asientos!$C$13:$C$1276,SYS_4_3_Digitos!A649,asientos!$B$13:$B$1276)</f>
        <v>0</v>
      </c>
      <c r="H649" s="1317">
        <f>+SUMIF(asientos!$I$13:$I$1276,SYS_4_3_Digitos!A649,asientos!$J$13:$J$1276)</f>
        <v>0</v>
      </c>
      <c r="I649" s="1314">
        <f t="shared" si="64"/>
        <v>0</v>
      </c>
      <c r="J649" s="1315">
        <f t="shared" si="65"/>
        <v>0</v>
      </c>
      <c r="L649" s="1308">
        <f t="shared" si="66"/>
        <v>0</v>
      </c>
      <c r="M649" s="1296" t="str">
        <f t="shared" si="67"/>
        <v>0</v>
      </c>
      <c r="N649" s="1309">
        <f t="shared" si="68"/>
        <v>0</v>
      </c>
      <c r="O649" s="1296" t="str">
        <f t="shared" si="69"/>
        <v>0</v>
      </c>
    </row>
    <row r="650" spans="1:15" s="1296" customFormat="1" hidden="1">
      <c r="A650" s="1310"/>
      <c r="B650" s="1311"/>
      <c r="C650" s="1312">
        <v>0</v>
      </c>
      <c r="D650" s="1313">
        <v>0</v>
      </c>
      <c r="E650" s="1314"/>
      <c r="F650" s="1315"/>
      <c r="G650" s="1316">
        <f>+SUMIF(asientos!$C$13:$C$1276,SYS_4_3_Digitos!A650,asientos!$B$13:$B$1276)</f>
        <v>0</v>
      </c>
      <c r="H650" s="1317">
        <f>+SUMIF(asientos!$I$13:$I$1276,SYS_4_3_Digitos!A650,asientos!$J$13:$J$1276)</f>
        <v>0</v>
      </c>
      <c r="I650" s="1314">
        <f t="shared" si="64"/>
        <v>0</v>
      </c>
      <c r="J650" s="1315">
        <f t="shared" si="65"/>
        <v>0</v>
      </c>
      <c r="L650" s="1308">
        <f t="shared" si="66"/>
        <v>0</v>
      </c>
      <c r="M650" s="1296" t="str">
        <f t="shared" si="67"/>
        <v>0</v>
      </c>
      <c r="N650" s="1309">
        <f t="shared" si="68"/>
        <v>0</v>
      </c>
      <c r="O650" s="1296" t="str">
        <f t="shared" si="69"/>
        <v>0</v>
      </c>
    </row>
    <row r="651" spans="1:15" s="1296" customFormat="1" hidden="1">
      <c r="A651" s="1310"/>
      <c r="B651" s="1311"/>
      <c r="C651" s="1312">
        <v>0</v>
      </c>
      <c r="D651" s="1313">
        <v>0</v>
      </c>
      <c r="E651" s="1314"/>
      <c r="F651" s="1315"/>
      <c r="G651" s="1316">
        <f>+SUMIF(asientos!$C$13:$C$1276,SYS_4_3_Digitos!A651,asientos!$B$13:$B$1276)</f>
        <v>0</v>
      </c>
      <c r="H651" s="1317">
        <f>+SUMIF(asientos!$I$13:$I$1276,SYS_4_3_Digitos!A651,asientos!$J$13:$J$1276)</f>
        <v>0</v>
      </c>
      <c r="I651" s="1314">
        <f t="shared" si="64"/>
        <v>0</v>
      </c>
      <c r="J651" s="1315">
        <f t="shared" si="65"/>
        <v>0</v>
      </c>
      <c r="L651" s="1308">
        <f t="shared" si="66"/>
        <v>0</v>
      </c>
      <c r="M651" s="1296" t="str">
        <f t="shared" si="67"/>
        <v>0</v>
      </c>
      <c r="N651" s="1309">
        <f t="shared" si="68"/>
        <v>0</v>
      </c>
      <c r="O651" s="1296" t="str">
        <f t="shared" si="69"/>
        <v>0</v>
      </c>
    </row>
    <row r="652" spans="1:15" s="1296" customFormat="1" hidden="1">
      <c r="A652" s="1310"/>
      <c r="B652" s="1311"/>
      <c r="C652" s="1312">
        <v>0</v>
      </c>
      <c r="D652" s="1313">
        <v>0</v>
      </c>
      <c r="E652" s="1314"/>
      <c r="F652" s="1315"/>
      <c r="G652" s="1316">
        <f>+SUMIF(asientos!$C$13:$C$1276,SYS_4_3_Digitos!A652,asientos!$B$13:$B$1276)</f>
        <v>0</v>
      </c>
      <c r="H652" s="1317">
        <f>+SUMIF(asientos!$I$13:$I$1276,SYS_4_3_Digitos!A652,asientos!$J$13:$J$1276)</f>
        <v>0</v>
      </c>
      <c r="I652" s="1314">
        <f t="shared" si="64"/>
        <v>0</v>
      </c>
      <c r="J652" s="1315">
        <f t="shared" si="65"/>
        <v>0</v>
      </c>
      <c r="L652" s="1308">
        <f t="shared" si="66"/>
        <v>0</v>
      </c>
      <c r="M652" s="1296" t="str">
        <f t="shared" si="67"/>
        <v>0</v>
      </c>
      <c r="N652" s="1309">
        <f t="shared" si="68"/>
        <v>0</v>
      </c>
      <c r="O652" s="1296" t="str">
        <f t="shared" si="69"/>
        <v>0</v>
      </c>
    </row>
    <row r="653" spans="1:15" s="1296" customFormat="1" hidden="1">
      <c r="A653" s="1310"/>
      <c r="B653" s="1311"/>
      <c r="C653" s="1312">
        <v>0</v>
      </c>
      <c r="D653" s="1313">
        <v>0</v>
      </c>
      <c r="E653" s="1314"/>
      <c r="F653" s="1315"/>
      <c r="G653" s="1316">
        <f>+SUMIF(asientos!$C$13:$C$1276,SYS_4_3_Digitos!A653,asientos!$B$13:$B$1276)</f>
        <v>0</v>
      </c>
      <c r="H653" s="1317">
        <f>+SUMIF(asientos!$I$13:$I$1276,SYS_4_3_Digitos!A653,asientos!$J$13:$J$1276)</f>
        <v>0</v>
      </c>
      <c r="I653" s="1314">
        <f t="shared" si="64"/>
        <v>0</v>
      </c>
      <c r="J653" s="1315">
        <f t="shared" si="65"/>
        <v>0</v>
      </c>
      <c r="L653" s="1308">
        <f t="shared" si="66"/>
        <v>0</v>
      </c>
      <c r="M653" s="1296" t="str">
        <f t="shared" si="67"/>
        <v>0</v>
      </c>
      <c r="N653" s="1309">
        <f t="shared" si="68"/>
        <v>0</v>
      </c>
      <c r="O653" s="1296" t="str">
        <f t="shared" si="69"/>
        <v>0</v>
      </c>
    </row>
    <row r="654" spans="1:15" s="1296" customFormat="1" hidden="1">
      <c r="A654" s="1310"/>
      <c r="B654" s="1311"/>
      <c r="C654" s="1312">
        <v>0</v>
      </c>
      <c r="D654" s="1313">
        <v>0</v>
      </c>
      <c r="E654" s="1314"/>
      <c r="F654" s="1315"/>
      <c r="G654" s="1316">
        <f>+SUMIF(asientos!$C$13:$C$1276,SYS_4_3_Digitos!A654,asientos!$B$13:$B$1276)</f>
        <v>0</v>
      </c>
      <c r="H654" s="1317">
        <f>+SUMIF(asientos!$I$13:$I$1276,SYS_4_3_Digitos!A654,asientos!$J$13:$J$1276)</f>
        <v>0</v>
      </c>
      <c r="I654" s="1314">
        <f t="shared" si="64"/>
        <v>0</v>
      </c>
      <c r="J654" s="1315">
        <f t="shared" si="65"/>
        <v>0</v>
      </c>
      <c r="L654" s="1308">
        <f t="shared" si="66"/>
        <v>0</v>
      </c>
      <c r="M654" s="1296" t="str">
        <f t="shared" si="67"/>
        <v>0</v>
      </c>
      <c r="N654" s="1309">
        <f t="shared" si="68"/>
        <v>0</v>
      </c>
      <c r="O654" s="1296" t="str">
        <f t="shared" si="69"/>
        <v>0</v>
      </c>
    </row>
    <row r="655" spans="1:15" s="1296" customFormat="1" hidden="1">
      <c r="A655" s="1310"/>
      <c r="B655" s="1311"/>
      <c r="C655" s="1312">
        <v>0</v>
      </c>
      <c r="D655" s="1313">
        <v>0</v>
      </c>
      <c r="E655" s="1314"/>
      <c r="F655" s="1315"/>
      <c r="G655" s="1316">
        <f>+SUMIF(asientos!$C$13:$C$1276,SYS_4_3_Digitos!A655,asientos!$B$13:$B$1276)</f>
        <v>0</v>
      </c>
      <c r="H655" s="1317">
        <f>+SUMIF(asientos!$I$13:$I$1276,SYS_4_3_Digitos!A655,asientos!$J$13:$J$1276)</f>
        <v>0</v>
      </c>
      <c r="I655" s="1314">
        <f t="shared" si="64"/>
        <v>0</v>
      </c>
      <c r="J655" s="1315">
        <f t="shared" si="65"/>
        <v>0</v>
      </c>
      <c r="L655" s="1308">
        <f t="shared" si="66"/>
        <v>0</v>
      </c>
      <c r="M655" s="1296" t="str">
        <f t="shared" si="67"/>
        <v>0</v>
      </c>
      <c r="N655" s="1309">
        <f t="shared" si="68"/>
        <v>0</v>
      </c>
      <c r="O655" s="1296" t="str">
        <f t="shared" si="69"/>
        <v>0</v>
      </c>
    </row>
    <row r="656" spans="1:15" s="1296" customFormat="1" hidden="1">
      <c r="A656" s="1310"/>
      <c r="B656" s="1311"/>
      <c r="C656" s="1312">
        <v>0</v>
      </c>
      <c r="D656" s="1313">
        <v>0</v>
      </c>
      <c r="E656" s="1314"/>
      <c r="F656" s="1315"/>
      <c r="G656" s="1316">
        <f>+SUMIF(asientos!$C$13:$C$1276,SYS_4_3_Digitos!A656,asientos!$B$13:$B$1276)</f>
        <v>0</v>
      </c>
      <c r="H656" s="1317">
        <f>+SUMIF(asientos!$I$13:$I$1276,SYS_4_3_Digitos!A656,asientos!$J$13:$J$1276)</f>
        <v>0</v>
      </c>
      <c r="I656" s="1314">
        <f t="shared" si="64"/>
        <v>0</v>
      </c>
      <c r="J656" s="1315">
        <f t="shared" si="65"/>
        <v>0</v>
      </c>
      <c r="L656" s="1308">
        <f t="shared" si="66"/>
        <v>0</v>
      </c>
      <c r="M656" s="1296" t="str">
        <f t="shared" si="67"/>
        <v>0</v>
      </c>
      <c r="N656" s="1309">
        <f t="shared" si="68"/>
        <v>0</v>
      </c>
      <c r="O656" s="1296" t="str">
        <f t="shared" si="69"/>
        <v>0</v>
      </c>
    </row>
    <row r="657" spans="1:15" s="1296" customFormat="1" hidden="1">
      <c r="A657" s="1310"/>
      <c r="B657" s="1311"/>
      <c r="C657" s="1312">
        <v>0</v>
      </c>
      <c r="D657" s="1313">
        <v>0</v>
      </c>
      <c r="E657" s="1314"/>
      <c r="F657" s="1315"/>
      <c r="G657" s="1316">
        <f>+SUMIF(asientos!$C$13:$C$1276,SYS_4_3_Digitos!A657,asientos!$B$13:$B$1276)</f>
        <v>0</v>
      </c>
      <c r="H657" s="1317">
        <f>+SUMIF(asientos!$I$13:$I$1276,SYS_4_3_Digitos!A657,asientos!$J$13:$J$1276)</f>
        <v>0</v>
      </c>
      <c r="I657" s="1314">
        <f t="shared" si="64"/>
        <v>0</v>
      </c>
      <c r="J657" s="1315">
        <f t="shared" si="65"/>
        <v>0</v>
      </c>
      <c r="L657" s="1308">
        <f t="shared" si="66"/>
        <v>0</v>
      </c>
      <c r="M657" s="1296" t="str">
        <f t="shared" si="67"/>
        <v>0</v>
      </c>
      <c r="N657" s="1309">
        <f t="shared" si="68"/>
        <v>0</v>
      </c>
      <c r="O657" s="1296" t="str">
        <f t="shared" si="69"/>
        <v>0</v>
      </c>
    </row>
    <row r="658" spans="1:15" s="1296" customFormat="1" hidden="1">
      <c r="A658" s="1310"/>
      <c r="B658" s="1311"/>
      <c r="C658" s="1312">
        <v>0</v>
      </c>
      <c r="D658" s="1313">
        <v>0</v>
      </c>
      <c r="E658" s="1314"/>
      <c r="F658" s="1315"/>
      <c r="G658" s="1316">
        <f>+SUMIF(asientos!$C$13:$C$1276,SYS_4_3_Digitos!A658,asientos!$B$13:$B$1276)</f>
        <v>0</v>
      </c>
      <c r="H658" s="1317">
        <f>+SUMIF(asientos!$I$13:$I$1276,SYS_4_3_Digitos!A658,asientos!$J$13:$J$1276)</f>
        <v>0</v>
      </c>
      <c r="I658" s="1314">
        <f t="shared" si="64"/>
        <v>0</v>
      </c>
      <c r="J658" s="1315">
        <f t="shared" si="65"/>
        <v>0</v>
      </c>
      <c r="L658" s="1308">
        <f t="shared" si="66"/>
        <v>0</v>
      </c>
      <c r="M658" s="1296" t="str">
        <f t="shared" si="67"/>
        <v>0</v>
      </c>
      <c r="N658" s="1309">
        <f t="shared" si="68"/>
        <v>0</v>
      </c>
      <c r="O658" s="1296" t="str">
        <f t="shared" si="69"/>
        <v>0</v>
      </c>
    </row>
    <row r="659" spans="1:15" s="1296" customFormat="1" hidden="1">
      <c r="A659" s="1310"/>
      <c r="B659" s="1311"/>
      <c r="C659" s="1312">
        <v>0</v>
      </c>
      <c r="D659" s="1313">
        <v>0</v>
      </c>
      <c r="E659" s="1314"/>
      <c r="F659" s="1315"/>
      <c r="G659" s="1316">
        <f>+SUMIF(asientos!$C$13:$C$1276,SYS_4_3_Digitos!A659,asientos!$B$13:$B$1276)</f>
        <v>0</v>
      </c>
      <c r="H659" s="1317">
        <f>+SUMIF(asientos!$I$13:$I$1276,SYS_4_3_Digitos!A659,asientos!$J$13:$J$1276)</f>
        <v>0</v>
      </c>
      <c r="I659" s="1314">
        <f t="shared" si="64"/>
        <v>0</v>
      </c>
      <c r="J659" s="1315">
        <f t="shared" si="65"/>
        <v>0</v>
      </c>
      <c r="L659" s="1308">
        <f t="shared" si="66"/>
        <v>0</v>
      </c>
      <c r="M659" s="1296" t="str">
        <f t="shared" si="67"/>
        <v>0</v>
      </c>
      <c r="N659" s="1309">
        <f t="shared" si="68"/>
        <v>0</v>
      </c>
      <c r="O659" s="1296" t="str">
        <f t="shared" si="69"/>
        <v>0</v>
      </c>
    </row>
    <row r="660" spans="1:15" s="1296" customFormat="1" hidden="1">
      <c r="A660" s="1310"/>
      <c r="B660" s="1311"/>
      <c r="C660" s="1312">
        <v>0</v>
      </c>
      <c r="D660" s="1313">
        <v>0</v>
      </c>
      <c r="E660" s="1314"/>
      <c r="F660" s="1315"/>
      <c r="G660" s="1316">
        <f>+SUMIF(asientos!$C$13:$C$1276,SYS_4_3_Digitos!A660,asientos!$B$13:$B$1276)</f>
        <v>0</v>
      </c>
      <c r="H660" s="1317">
        <f>+SUMIF(asientos!$I$13:$I$1276,SYS_4_3_Digitos!A660,asientos!$J$13:$J$1276)</f>
        <v>0</v>
      </c>
      <c r="I660" s="1314">
        <f t="shared" si="64"/>
        <v>0</v>
      </c>
      <c r="J660" s="1315">
        <f t="shared" si="65"/>
        <v>0</v>
      </c>
      <c r="L660" s="1308">
        <f t="shared" si="66"/>
        <v>0</v>
      </c>
      <c r="M660" s="1296" t="str">
        <f t="shared" si="67"/>
        <v>0</v>
      </c>
      <c r="N660" s="1309">
        <f t="shared" si="68"/>
        <v>0</v>
      </c>
      <c r="O660" s="1296" t="str">
        <f t="shared" si="69"/>
        <v>0</v>
      </c>
    </row>
    <row r="661" spans="1:15" s="1296" customFormat="1" hidden="1">
      <c r="A661" s="1310"/>
      <c r="B661" s="1311"/>
      <c r="C661" s="1312">
        <v>0</v>
      </c>
      <c r="D661" s="1313">
        <v>0</v>
      </c>
      <c r="E661" s="1314"/>
      <c r="F661" s="1315"/>
      <c r="G661" s="1316">
        <f>+SUMIF(asientos!$C$13:$C$1276,SYS_4_3_Digitos!A661,asientos!$B$13:$B$1276)</f>
        <v>0</v>
      </c>
      <c r="H661" s="1317">
        <f>+SUMIF(asientos!$I$13:$I$1276,SYS_4_3_Digitos!A661,asientos!$J$13:$J$1276)</f>
        <v>0</v>
      </c>
      <c r="I661" s="1314">
        <f t="shared" si="64"/>
        <v>0</v>
      </c>
      <c r="J661" s="1315">
        <f t="shared" si="65"/>
        <v>0</v>
      </c>
      <c r="L661" s="1308">
        <f t="shared" si="66"/>
        <v>0</v>
      </c>
      <c r="M661" s="1296" t="str">
        <f t="shared" si="67"/>
        <v>0</v>
      </c>
      <c r="N661" s="1309">
        <f t="shared" si="68"/>
        <v>0</v>
      </c>
      <c r="O661" s="1296" t="str">
        <f t="shared" si="69"/>
        <v>0</v>
      </c>
    </row>
    <row r="662" spans="1:15" s="1296" customFormat="1" hidden="1">
      <c r="A662" s="1310"/>
      <c r="B662" s="1311"/>
      <c r="C662" s="1312">
        <v>0</v>
      </c>
      <c r="D662" s="1313">
        <v>0</v>
      </c>
      <c r="E662" s="1314"/>
      <c r="F662" s="1315"/>
      <c r="G662" s="1316">
        <f>+SUMIF(asientos!$C$13:$C$1276,SYS_4_3_Digitos!A662,asientos!$B$13:$B$1276)</f>
        <v>0</v>
      </c>
      <c r="H662" s="1317">
        <f>+SUMIF(asientos!$I$13:$I$1276,SYS_4_3_Digitos!A662,asientos!$J$13:$J$1276)</f>
        <v>0</v>
      </c>
      <c r="I662" s="1314">
        <f t="shared" si="64"/>
        <v>0</v>
      </c>
      <c r="J662" s="1315">
        <f t="shared" si="65"/>
        <v>0</v>
      </c>
      <c r="L662" s="1308">
        <f t="shared" si="66"/>
        <v>0</v>
      </c>
      <c r="M662" s="1296" t="str">
        <f t="shared" si="67"/>
        <v>0</v>
      </c>
      <c r="N662" s="1309">
        <f t="shared" si="68"/>
        <v>0</v>
      </c>
      <c r="O662" s="1296" t="str">
        <f t="shared" si="69"/>
        <v>0</v>
      </c>
    </row>
    <row r="663" spans="1:15" s="1296" customFormat="1" hidden="1">
      <c r="A663" s="1310"/>
      <c r="B663" s="1311"/>
      <c r="C663" s="1312">
        <v>0</v>
      </c>
      <c r="D663" s="1313">
        <v>0</v>
      </c>
      <c r="E663" s="1314"/>
      <c r="F663" s="1315"/>
      <c r="G663" s="1316">
        <f>+SUMIF(asientos!$C$13:$C$1276,SYS_4_3_Digitos!A663,asientos!$B$13:$B$1276)</f>
        <v>0</v>
      </c>
      <c r="H663" s="1317">
        <f>+SUMIF(asientos!$I$13:$I$1276,SYS_4_3_Digitos!A663,asientos!$J$13:$J$1276)</f>
        <v>0</v>
      </c>
      <c r="I663" s="1314">
        <f t="shared" si="64"/>
        <v>0</v>
      </c>
      <c r="J663" s="1315">
        <f t="shared" si="65"/>
        <v>0</v>
      </c>
      <c r="L663" s="1308">
        <f t="shared" si="66"/>
        <v>0</v>
      </c>
      <c r="M663" s="1296" t="str">
        <f t="shared" si="67"/>
        <v>0</v>
      </c>
      <c r="N663" s="1309">
        <f t="shared" si="68"/>
        <v>0</v>
      </c>
      <c r="O663" s="1296" t="str">
        <f t="shared" si="69"/>
        <v>0</v>
      </c>
    </row>
    <row r="664" spans="1:15" s="1296" customFormat="1" hidden="1">
      <c r="A664" s="1310"/>
      <c r="B664" s="1311"/>
      <c r="C664" s="1312">
        <v>0</v>
      </c>
      <c r="D664" s="1313">
        <v>0</v>
      </c>
      <c r="E664" s="1314"/>
      <c r="F664" s="1315"/>
      <c r="G664" s="1316">
        <f>+SUMIF(asientos!$C$13:$C$1276,SYS_4_3_Digitos!A664,asientos!$B$13:$B$1276)</f>
        <v>0</v>
      </c>
      <c r="H664" s="1317">
        <f>+SUMIF(asientos!$I$13:$I$1276,SYS_4_3_Digitos!A664,asientos!$J$13:$J$1276)</f>
        <v>0</v>
      </c>
      <c r="I664" s="1314">
        <f t="shared" si="64"/>
        <v>0</v>
      </c>
      <c r="J664" s="1315">
        <f t="shared" si="65"/>
        <v>0</v>
      </c>
      <c r="L664" s="1308">
        <f t="shared" si="66"/>
        <v>0</v>
      </c>
      <c r="M664" s="1296" t="str">
        <f t="shared" si="67"/>
        <v>0</v>
      </c>
      <c r="N664" s="1309">
        <f t="shared" si="68"/>
        <v>0</v>
      </c>
      <c r="O664" s="1296" t="str">
        <f t="shared" si="69"/>
        <v>0</v>
      </c>
    </row>
    <row r="665" spans="1:15" s="1296" customFormat="1" hidden="1">
      <c r="A665" s="1310"/>
      <c r="B665" s="1311"/>
      <c r="C665" s="1312">
        <v>0</v>
      </c>
      <c r="D665" s="1313">
        <v>0</v>
      </c>
      <c r="E665" s="1314"/>
      <c r="F665" s="1315"/>
      <c r="G665" s="1316">
        <f>+SUMIF(asientos!$C$13:$C$1276,SYS_4_3_Digitos!A665,asientos!$B$13:$B$1276)</f>
        <v>0</v>
      </c>
      <c r="H665" s="1317">
        <f>+SUMIF(asientos!$I$13:$I$1276,SYS_4_3_Digitos!A665,asientos!$J$13:$J$1276)</f>
        <v>0</v>
      </c>
      <c r="I665" s="1314">
        <f t="shared" si="64"/>
        <v>0</v>
      </c>
      <c r="J665" s="1315">
        <f t="shared" si="65"/>
        <v>0</v>
      </c>
      <c r="L665" s="1308">
        <f t="shared" si="66"/>
        <v>0</v>
      </c>
      <c r="M665" s="1296" t="str">
        <f t="shared" si="67"/>
        <v>0</v>
      </c>
      <c r="N665" s="1309">
        <f t="shared" si="68"/>
        <v>0</v>
      </c>
      <c r="O665" s="1296" t="str">
        <f t="shared" si="69"/>
        <v>0</v>
      </c>
    </row>
    <row r="666" spans="1:15" s="1296" customFormat="1" hidden="1">
      <c r="A666" s="1310"/>
      <c r="B666" s="1311"/>
      <c r="C666" s="1312">
        <v>0</v>
      </c>
      <c r="D666" s="1313">
        <v>0</v>
      </c>
      <c r="E666" s="1314"/>
      <c r="F666" s="1315"/>
      <c r="G666" s="1316">
        <f>+SUMIF(asientos!$C$13:$C$1276,SYS_4_3_Digitos!A666,asientos!$B$13:$B$1276)</f>
        <v>0</v>
      </c>
      <c r="H666" s="1317">
        <f>+SUMIF(asientos!$I$13:$I$1276,SYS_4_3_Digitos!A666,asientos!$J$13:$J$1276)</f>
        <v>0</v>
      </c>
      <c r="I666" s="1314">
        <f t="shared" si="64"/>
        <v>0</v>
      </c>
      <c r="J666" s="1315">
        <f t="shared" si="65"/>
        <v>0</v>
      </c>
      <c r="L666" s="1308">
        <f t="shared" si="66"/>
        <v>0</v>
      </c>
      <c r="M666" s="1296" t="str">
        <f t="shared" si="67"/>
        <v>0</v>
      </c>
      <c r="N666" s="1309">
        <f t="shared" si="68"/>
        <v>0</v>
      </c>
      <c r="O666" s="1296" t="str">
        <f t="shared" si="69"/>
        <v>0</v>
      </c>
    </row>
    <row r="667" spans="1:15" s="1296" customFormat="1" hidden="1">
      <c r="A667" s="1310"/>
      <c r="B667" s="1311"/>
      <c r="C667" s="1312">
        <v>0</v>
      </c>
      <c r="D667" s="1313">
        <v>0</v>
      </c>
      <c r="E667" s="1314"/>
      <c r="F667" s="1315"/>
      <c r="G667" s="1316">
        <f>+SUMIF(asientos!$C$13:$C$1276,SYS_4_3_Digitos!A667,asientos!$B$13:$B$1276)</f>
        <v>0</v>
      </c>
      <c r="H667" s="1317">
        <f>+SUMIF(asientos!$I$13:$I$1276,SYS_4_3_Digitos!A667,asientos!$J$13:$J$1276)</f>
        <v>0</v>
      </c>
      <c r="I667" s="1314">
        <f t="shared" si="64"/>
        <v>0</v>
      </c>
      <c r="J667" s="1315">
        <f t="shared" si="65"/>
        <v>0</v>
      </c>
      <c r="L667" s="1308">
        <f t="shared" si="66"/>
        <v>0</v>
      </c>
      <c r="M667" s="1296" t="str">
        <f t="shared" si="67"/>
        <v>0</v>
      </c>
      <c r="N667" s="1309">
        <f t="shared" si="68"/>
        <v>0</v>
      </c>
      <c r="O667" s="1296" t="str">
        <f t="shared" si="69"/>
        <v>0</v>
      </c>
    </row>
    <row r="668" spans="1:15" s="1296" customFormat="1" hidden="1">
      <c r="A668" s="1310"/>
      <c r="B668" s="1311"/>
      <c r="C668" s="1312">
        <v>0</v>
      </c>
      <c r="D668" s="1313">
        <v>0</v>
      </c>
      <c r="E668" s="1314"/>
      <c r="F668" s="1315"/>
      <c r="G668" s="1316">
        <f>+SUMIF(asientos!$C$13:$C$1276,SYS_4_3_Digitos!A668,asientos!$B$13:$B$1276)</f>
        <v>0</v>
      </c>
      <c r="H668" s="1317">
        <f>+SUMIF(asientos!$I$13:$I$1276,SYS_4_3_Digitos!A668,asientos!$J$13:$J$1276)</f>
        <v>0</v>
      </c>
      <c r="I668" s="1314">
        <f t="shared" si="64"/>
        <v>0</v>
      </c>
      <c r="J668" s="1315">
        <f t="shared" si="65"/>
        <v>0</v>
      </c>
      <c r="L668" s="1308">
        <f t="shared" si="66"/>
        <v>0</v>
      </c>
      <c r="M668" s="1296" t="str">
        <f t="shared" si="67"/>
        <v>0</v>
      </c>
      <c r="N668" s="1309">
        <f t="shared" si="68"/>
        <v>0</v>
      </c>
      <c r="O668" s="1296" t="str">
        <f t="shared" si="69"/>
        <v>0</v>
      </c>
    </row>
    <row r="669" spans="1:15" s="1296" customFormat="1" hidden="1">
      <c r="A669" s="1310"/>
      <c r="B669" s="1311"/>
      <c r="C669" s="1312">
        <v>0</v>
      </c>
      <c r="D669" s="1313">
        <v>0</v>
      </c>
      <c r="E669" s="1314"/>
      <c r="F669" s="1315"/>
      <c r="G669" s="1316">
        <f>+SUMIF(asientos!$C$13:$C$1276,SYS_4_3_Digitos!A669,asientos!$B$13:$B$1276)</f>
        <v>0</v>
      </c>
      <c r="H669" s="1317">
        <f>+SUMIF(asientos!$I$13:$I$1276,SYS_4_3_Digitos!A669,asientos!$J$13:$J$1276)</f>
        <v>0</v>
      </c>
      <c r="I669" s="1314">
        <f t="shared" si="64"/>
        <v>0</v>
      </c>
      <c r="J669" s="1315">
        <f t="shared" si="65"/>
        <v>0</v>
      </c>
      <c r="L669" s="1308">
        <f t="shared" si="66"/>
        <v>0</v>
      </c>
      <c r="M669" s="1296" t="str">
        <f t="shared" si="67"/>
        <v>0</v>
      </c>
      <c r="N669" s="1309">
        <f t="shared" si="68"/>
        <v>0</v>
      </c>
      <c r="O669" s="1296" t="str">
        <f t="shared" si="69"/>
        <v>0</v>
      </c>
    </row>
    <row r="670" spans="1:15" s="1296" customFormat="1" hidden="1">
      <c r="A670" s="1310"/>
      <c r="B670" s="1311"/>
      <c r="C670" s="1312">
        <v>0</v>
      </c>
      <c r="D670" s="1313">
        <v>0</v>
      </c>
      <c r="E670" s="1314"/>
      <c r="F670" s="1315"/>
      <c r="G670" s="1316">
        <f>+SUMIF(asientos!$C$13:$C$1276,SYS_4_3_Digitos!A670,asientos!$B$13:$B$1276)</f>
        <v>0</v>
      </c>
      <c r="H670" s="1317">
        <f>+SUMIF(asientos!$I$13:$I$1276,SYS_4_3_Digitos!A670,asientos!$J$13:$J$1276)</f>
        <v>0</v>
      </c>
      <c r="I670" s="1314">
        <f t="shared" si="64"/>
        <v>0</v>
      </c>
      <c r="J670" s="1315">
        <f t="shared" si="65"/>
        <v>0</v>
      </c>
      <c r="L670" s="1308">
        <f t="shared" si="66"/>
        <v>0</v>
      </c>
      <c r="M670" s="1296" t="str">
        <f t="shared" si="67"/>
        <v>0</v>
      </c>
      <c r="N670" s="1309">
        <f t="shared" si="68"/>
        <v>0</v>
      </c>
      <c r="O670" s="1296" t="str">
        <f t="shared" si="69"/>
        <v>0</v>
      </c>
    </row>
    <row r="671" spans="1:15" s="1296" customFormat="1" hidden="1">
      <c r="A671" s="1310"/>
      <c r="B671" s="1311"/>
      <c r="C671" s="1312">
        <v>0</v>
      </c>
      <c r="D671" s="1313">
        <v>0</v>
      </c>
      <c r="E671" s="1314"/>
      <c r="F671" s="1315"/>
      <c r="G671" s="1316">
        <f>+SUMIF(asientos!$C$13:$C$1276,SYS_4_3_Digitos!A671,asientos!$B$13:$B$1276)</f>
        <v>0</v>
      </c>
      <c r="H671" s="1317">
        <f>+SUMIF(asientos!$I$13:$I$1276,SYS_4_3_Digitos!A671,asientos!$J$13:$J$1276)</f>
        <v>0</v>
      </c>
      <c r="I671" s="1314">
        <f t="shared" si="64"/>
        <v>0</v>
      </c>
      <c r="J671" s="1315">
        <f t="shared" si="65"/>
        <v>0</v>
      </c>
      <c r="L671" s="1308">
        <f t="shared" si="66"/>
        <v>0</v>
      </c>
      <c r="M671" s="1296" t="str">
        <f t="shared" si="67"/>
        <v>0</v>
      </c>
      <c r="N671" s="1309">
        <f t="shared" si="68"/>
        <v>0</v>
      </c>
      <c r="O671" s="1296" t="str">
        <f t="shared" si="69"/>
        <v>0</v>
      </c>
    </row>
    <row r="672" spans="1:15" s="1296" customFormat="1" hidden="1">
      <c r="A672" s="1310"/>
      <c r="B672" s="1311"/>
      <c r="C672" s="1312">
        <v>0</v>
      </c>
      <c r="D672" s="1313">
        <v>0</v>
      </c>
      <c r="E672" s="1314"/>
      <c r="F672" s="1315"/>
      <c r="G672" s="1316">
        <f>+SUMIF(asientos!$C$13:$C$1276,SYS_4_3_Digitos!A672,asientos!$B$13:$B$1276)</f>
        <v>0</v>
      </c>
      <c r="H672" s="1317">
        <f>+SUMIF(asientos!$I$13:$I$1276,SYS_4_3_Digitos!A672,asientos!$J$13:$J$1276)</f>
        <v>0</v>
      </c>
      <c r="I672" s="1314">
        <f t="shared" si="64"/>
        <v>0</v>
      </c>
      <c r="J672" s="1315">
        <f t="shared" si="65"/>
        <v>0</v>
      </c>
      <c r="L672" s="1308">
        <f t="shared" si="66"/>
        <v>0</v>
      </c>
      <c r="M672" s="1296" t="str">
        <f t="shared" si="67"/>
        <v>0</v>
      </c>
      <c r="N672" s="1309">
        <f t="shared" si="68"/>
        <v>0</v>
      </c>
      <c r="O672" s="1296" t="str">
        <f t="shared" si="69"/>
        <v>0</v>
      </c>
    </row>
    <row r="673" spans="1:15" s="1296" customFormat="1" hidden="1">
      <c r="A673" s="1310"/>
      <c r="B673" s="1311"/>
      <c r="C673" s="1312">
        <v>0</v>
      </c>
      <c r="D673" s="1313">
        <v>0</v>
      </c>
      <c r="E673" s="1314"/>
      <c r="F673" s="1315"/>
      <c r="G673" s="1316">
        <f>+SUMIF(asientos!$C$13:$C$1276,SYS_4_3_Digitos!A673,asientos!$B$13:$B$1276)</f>
        <v>0</v>
      </c>
      <c r="H673" s="1317">
        <f>+SUMIF(asientos!$I$13:$I$1276,SYS_4_3_Digitos!A673,asientos!$J$13:$J$1276)</f>
        <v>0</v>
      </c>
      <c r="I673" s="1314">
        <f t="shared" si="64"/>
        <v>0</v>
      </c>
      <c r="J673" s="1315">
        <f t="shared" si="65"/>
        <v>0</v>
      </c>
      <c r="L673" s="1308">
        <f t="shared" si="66"/>
        <v>0</v>
      </c>
      <c r="M673" s="1296" t="str">
        <f t="shared" si="67"/>
        <v>0</v>
      </c>
      <c r="N673" s="1309">
        <f t="shared" si="68"/>
        <v>0</v>
      </c>
      <c r="O673" s="1296" t="str">
        <f t="shared" si="69"/>
        <v>0</v>
      </c>
    </row>
    <row r="674" spans="1:15" s="1296" customFormat="1" hidden="1">
      <c r="A674" s="1310"/>
      <c r="B674" s="1311"/>
      <c r="C674" s="1312">
        <v>0</v>
      </c>
      <c r="D674" s="1313">
        <v>0</v>
      </c>
      <c r="E674" s="1314"/>
      <c r="F674" s="1315"/>
      <c r="G674" s="1316">
        <f>+SUMIF(asientos!$C$13:$C$1276,SYS_4_3_Digitos!A674,asientos!$B$13:$B$1276)</f>
        <v>0</v>
      </c>
      <c r="H674" s="1317">
        <f>+SUMIF(asientos!$I$13:$I$1276,SYS_4_3_Digitos!A674,asientos!$J$13:$J$1276)</f>
        <v>0</v>
      </c>
      <c r="I674" s="1314">
        <f t="shared" si="64"/>
        <v>0</v>
      </c>
      <c r="J674" s="1315">
        <f t="shared" si="65"/>
        <v>0</v>
      </c>
      <c r="L674" s="1308">
        <f t="shared" si="66"/>
        <v>0</v>
      </c>
      <c r="M674" s="1296" t="str">
        <f t="shared" si="67"/>
        <v>0</v>
      </c>
      <c r="N674" s="1309">
        <f t="shared" si="68"/>
        <v>0</v>
      </c>
      <c r="O674" s="1296" t="str">
        <f t="shared" si="69"/>
        <v>0</v>
      </c>
    </row>
    <row r="675" spans="1:15" s="1296" customFormat="1" hidden="1">
      <c r="A675" s="1310"/>
      <c r="B675" s="1311"/>
      <c r="C675" s="1312">
        <v>0</v>
      </c>
      <c r="D675" s="1313">
        <v>0</v>
      </c>
      <c r="E675" s="1314"/>
      <c r="F675" s="1315"/>
      <c r="G675" s="1316">
        <f>+SUMIF(asientos!$C$13:$C$1276,SYS_4_3_Digitos!A675,asientos!$B$13:$B$1276)</f>
        <v>0</v>
      </c>
      <c r="H675" s="1317">
        <f>+SUMIF(asientos!$I$13:$I$1276,SYS_4_3_Digitos!A675,asientos!$J$13:$J$1276)</f>
        <v>0</v>
      </c>
      <c r="I675" s="1314">
        <f t="shared" si="64"/>
        <v>0</v>
      </c>
      <c r="J675" s="1315">
        <f t="shared" si="65"/>
        <v>0</v>
      </c>
      <c r="L675" s="1308">
        <f t="shared" si="66"/>
        <v>0</v>
      </c>
      <c r="M675" s="1296" t="str">
        <f t="shared" si="67"/>
        <v>0</v>
      </c>
      <c r="N675" s="1309">
        <f t="shared" si="68"/>
        <v>0</v>
      </c>
      <c r="O675" s="1296" t="str">
        <f t="shared" si="69"/>
        <v>0</v>
      </c>
    </row>
    <row r="676" spans="1:15" s="1296" customFormat="1" hidden="1">
      <c r="A676" s="1310"/>
      <c r="B676" s="1311"/>
      <c r="C676" s="1312">
        <v>0</v>
      </c>
      <c r="D676" s="1313">
        <v>0</v>
      </c>
      <c r="E676" s="1314"/>
      <c r="F676" s="1315"/>
      <c r="G676" s="1316">
        <f>+SUMIF(asientos!$C$13:$C$1276,SYS_4_3_Digitos!A676,asientos!$B$13:$B$1276)</f>
        <v>0</v>
      </c>
      <c r="H676" s="1317">
        <f>+SUMIF(asientos!$I$13:$I$1276,SYS_4_3_Digitos!A676,asientos!$J$13:$J$1276)</f>
        <v>0</v>
      </c>
      <c r="I676" s="1314">
        <f t="shared" si="64"/>
        <v>0</v>
      </c>
      <c r="J676" s="1315">
        <f t="shared" si="65"/>
        <v>0</v>
      </c>
      <c r="L676" s="1308">
        <f t="shared" si="66"/>
        <v>0</v>
      </c>
      <c r="M676" s="1296" t="str">
        <f t="shared" si="67"/>
        <v>0</v>
      </c>
      <c r="N676" s="1309">
        <f t="shared" si="68"/>
        <v>0</v>
      </c>
      <c r="O676" s="1296" t="str">
        <f t="shared" si="69"/>
        <v>0</v>
      </c>
    </row>
    <row r="677" spans="1:15" s="1296" customFormat="1" hidden="1">
      <c r="A677" s="1310"/>
      <c r="B677" s="1311"/>
      <c r="C677" s="1312">
        <v>0</v>
      </c>
      <c r="D677" s="1313">
        <v>0</v>
      </c>
      <c r="E677" s="1314"/>
      <c r="F677" s="1315"/>
      <c r="G677" s="1316">
        <f>+SUMIF(asientos!$C$13:$C$1276,SYS_4_3_Digitos!A677,asientos!$B$13:$B$1276)</f>
        <v>0</v>
      </c>
      <c r="H677" s="1317">
        <f>+SUMIF(asientos!$I$13:$I$1276,SYS_4_3_Digitos!A677,asientos!$J$13:$J$1276)</f>
        <v>0</v>
      </c>
      <c r="I677" s="1314">
        <f t="shared" ref="I677:I740" si="70">IF((E677+G677-F677-H677)&gt;0,E677+G677-F677-H677,0)</f>
        <v>0</v>
      </c>
      <c r="J677" s="1315">
        <f t="shared" ref="J677:J740" si="71">IF((F677+H677-E677-G677)&gt;0,F677+H677-E677-G677,0)</f>
        <v>0</v>
      </c>
      <c r="L677" s="1308">
        <f t="shared" ref="L677:L740" si="72">+A677*1000000</f>
        <v>0</v>
      </c>
      <c r="M677" s="1296" t="str">
        <f t="shared" ref="M677:M740" si="73">+LEFT(L677,4)</f>
        <v>0</v>
      </c>
      <c r="N677" s="1309">
        <f t="shared" ref="N677:N740" si="74">+I677-J677</f>
        <v>0</v>
      </c>
      <c r="O677" s="1296" t="str">
        <f t="shared" ref="O677:O740" si="75">+LEFT(M677,2)</f>
        <v>0</v>
      </c>
    </row>
    <row r="678" spans="1:15" s="1296" customFormat="1" hidden="1">
      <c r="A678" s="1310"/>
      <c r="B678" s="1311"/>
      <c r="C678" s="1312">
        <v>0</v>
      </c>
      <c r="D678" s="1313">
        <v>0</v>
      </c>
      <c r="E678" s="1314"/>
      <c r="F678" s="1315"/>
      <c r="G678" s="1316">
        <f>+SUMIF(asientos!$C$13:$C$1276,SYS_4_3_Digitos!A678,asientos!$B$13:$B$1276)</f>
        <v>0</v>
      </c>
      <c r="H678" s="1317">
        <f>+SUMIF(asientos!$I$13:$I$1276,SYS_4_3_Digitos!A678,asientos!$J$13:$J$1276)</f>
        <v>0</v>
      </c>
      <c r="I678" s="1314">
        <f t="shared" si="70"/>
        <v>0</v>
      </c>
      <c r="J678" s="1315">
        <f t="shared" si="71"/>
        <v>0</v>
      </c>
      <c r="L678" s="1308">
        <f t="shared" si="72"/>
        <v>0</v>
      </c>
      <c r="M678" s="1296" t="str">
        <f t="shared" si="73"/>
        <v>0</v>
      </c>
      <c r="N678" s="1309">
        <f t="shared" si="74"/>
        <v>0</v>
      </c>
      <c r="O678" s="1296" t="str">
        <f t="shared" si="75"/>
        <v>0</v>
      </c>
    </row>
    <row r="679" spans="1:15" s="1296" customFormat="1" hidden="1">
      <c r="A679" s="1310"/>
      <c r="B679" s="1311"/>
      <c r="C679" s="1312">
        <v>0</v>
      </c>
      <c r="D679" s="1313">
        <v>0</v>
      </c>
      <c r="E679" s="1314"/>
      <c r="F679" s="1315"/>
      <c r="G679" s="1316">
        <f>+SUMIF(asientos!$C$13:$C$1276,SYS_4_3_Digitos!A679,asientos!$B$13:$B$1276)</f>
        <v>0</v>
      </c>
      <c r="H679" s="1317">
        <f>+SUMIF(asientos!$I$13:$I$1276,SYS_4_3_Digitos!A679,asientos!$J$13:$J$1276)</f>
        <v>0</v>
      </c>
      <c r="I679" s="1314">
        <f t="shared" si="70"/>
        <v>0</v>
      </c>
      <c r="J679" s="1315">
        <f t="shared" si="71"/>
        <v>0</v>
      </c>
      <c r="L679" s="1308">
        <f t="shared" si="72"/>
        <v>0</v>
      </c>
      <c r="M679" s="1296" t="str">
        <f t="shared" si="73"/>
        <v>0</v>
      </c>
      <c r="N679" s="1309">
        <f t="shared" si="74"/>
        <v>0</v>
      </c>
      <c r="O679" s="1296" t="str">
        <f t="shared" si="75"/>
        <v>0</v>
      </c>
    </row>
    <row r="680" spans="1:15" s="1296" customFormat="1" hidden="1">
      <c r="A680" s="1310"/>
      <c r="B680" s="1311"/>
      <c r="C680" s="1312">
        <v>0</v>
      </c>
      <c r="D680" s="1313">
        <v>0</v>
      </c>
      <c r="E680" s="1314"/>
      <c r="F680" s="1315"/>
      <c r="G680" s="1316">
        <f>+SUMIF(asientos!$C$13:$C$1276,SYS_4_3_Digitos!A680,asientos!$B$13:$B$1276)</f>
        <v>0</v>
      </c>
      <c r="H680" s="1317">
        <f>+SUMIF(asientos!$I$13:$I$1276,SYS_4_3_Digitos!A680,asientos!$J$13:$J$1276)</f>
        <v>0</v>
      </c>
      <c r="I680" s="1314">
        <f t="shared" si="70"/>
        <v>0</v>
      </c>
      <c r="J680" s="1315">
        <f t="shared" si="71"/>
        <v>0</v>
      </c>
      <c r="L680" s="1308">
        <f t="shared" si="72"/>
        <v>0</v>
      </c>
      <c r="M680" s="1296" t="str">
        <f t="shared" si="73"/>
        <v>0</v>
      </c>
      <c r="N680" s="1309">
        <f t="shared" si="74"/>
        <v>0</v>
      </c>
      <c r="O680" s="1296" t="str">
        <f t="shared" si="75"/>
        <v>0</v>
      </c>
    </row>
    <row r="681" spans="1:15" s="1296" customFormat="1" hidden="1">
      <c r="A681" s="1310"/>
      <c r="B681" s="1311"/>
      <c r="C681" s="1312">
        <v>0</v>
      </c>
      <c r="D681" s="1313">
        <v>0</v>
      </c>
      <c r="E681" s="1314"/>
      <c r="F681" s="1315"/>
      <c r="G681" s="1316">
        <f>+SUMIF(asientos!$C$13:$C$1276,SYS_4_3_Digitos!A681,asientos!$B$13:$B$1276)</f>
        <v>0</v>
      </c>
      <c r="H681" s="1317">
        <f>+SUMIF(asientos!$I$13:$I$1276,SYS_4_3_Digitos!A681,asientos!$J$13:$J$1276)</f>
        <v>0</v>
      </c>
      <c r="I681" s="1314">
        <f t="shared" si="70"/>
        <v>0</v>
      </c>
      <c r="J681" s="1315">
        <f t="shared" si="71"/>
        <v>0</v>
      </c>
      <c r="L681" s="1308">
        <f t="shared" si="72"/>
        <v>0</v>
      </c>
      <c r="M681" s="1296" t="str">
        <f t="shared" si="73"/>
        <v>0</v>
      </c>
      <c r="N681" s="1309">
        <f t="shared" si="74"/>
        <v>0</v>
      </c>
      <c r="O681" s="1296" t="str">
        <f t="shared" si="75"/>
        <v>0</v>
      </c>
    </row>
    <row r="682" spans="1:15" s="1296" customFormat="1" hidden="1">
      <c r="A682" s="1310"/>
      <c r="B682" s="1311"/>
      <c r="C682" s="1312">
        <v>0</v>
      </c>
      <c r="D682" s="1313">
        <v>0</v>
      </c>
      <c r="E682" s="1314"/>
      <c r="F682" s="1315"/>
      <c r="G682" s="1316">
        <f>+SUMIF(asientos!$C$13:$C$1276,SYS_4_3_Digitos!A682,asientos!$B$13:$B$1276)</f>
        <v>0</v>
      </c>
      <c r="H682" s="1317">
        <f>+SUMIF(asientos!$I$13:$I$1276,SYS_4_3_Digitos!A682,asientos!$J$13:$J$1276)</f>
        <v>0</v>
      </c>
      <c r="I682" s="1314">
        <f t="shared" si="70"/>
        <v>0</v>
      </c>
      <c r="J682" s="1315">
        <f t="shared" si="71"/>
        <v>0</v>
      </c>
      <c r="L682" s="1308">
        <f t="shared" si="72"/>
        <v>0</v>
      </c>
      <c r="M682" s="1296" t="str">
        <f t="shared" si="73"/>
        <v>0</v>
      </c>
      <c r="N682" s="1309">
        <f t="shared" si="74"/>
        <v>0</v>
      </c>
      <c r="O682" s="1296" t="str">
        <f t="shared" si="75"/>
        <v>0</v>
      </c>
    </row>
    <row r="683" spans="1:15" s="1296" customFormat="1" hidden="1">
      <c r="A683" s="1310"/>
      <c r="B683" s="1311"/>
      <c r="C683" s="1312">
        <v>0</v>
      </c>
      <c r="D683" s="1313">
        <v>0</v>
      </c>
      <c r="E683" s="1314"/>
      <c r="F683" s="1315"/>
      <c r="G683" s="1316">
        <f>+SUMIF(asientos!$C$13:$C$1276,SYS_4_3_Digitos!A683,asientos!$B$13:$B$1276)</f>
        <v>0</v>
      </c>
      <c r="H683" s="1317">
        <f>+SUMIF(asientos!$I$13:$I$1276,SYS_4_3_Digitos!A683,asientos!$J$13:$J$1276)</f>
        <v>0</v>
      </c>
      <c r="I683" s="1314">
        <f t="shared" si="70"/>
        <v>0</v>
      </c>
      <c r="J683" s="1315">
        <f t="shared" si="71"/>
        <v>0</v>
      </c>
      <c r="L683" s="1308">
        <f t="shared" si="72"/>
        <v>0</v>
      </c>
      <c r="M683" s="1296" t="str">
        <f t="shared" si="73"/>
        <v>0</v>
      </c>
      <c r="N683" s="1309">
        <f t="shared" si="74"/>
        <v>0</v>
      </c>
      <c r="O683" s="1296" t="str">
        <f t="shared" si="75"/>
        <v>0</v>
      </c>
    </row>
    <row r="684" spans="1:15" s="1296" customFormat="1" hidden="1">
      <c r="A684" s="1310"/>
      <c r="B684" s="1311"/>
      <c r="C684" s="1312">
        <v>0</v>
      </c>
      <c r="D684" s="1313">
        <v>0</v>
      </c>
      <c r="E684" s="1314"/>
      <c r="F684" s="1315"/>
      <c r="G684" s="1316">
        <f>+SUMIF(asientos!$C$13:$C$1276,SYS_4_3_Digitos!A684,asientos!$B$13:$B$1276)</f>
        <v>0</v>
      </c>
      <c r="H684" s="1317">
        <f>+SUMIF(asientos!$I$13:$I$1276,SYS_4_3_Digitos!A684,asientos!$J$13:$J$1276)</f>
        <v>0</v>
      </c>
      <c r="I684" s="1314">
        <f t="shared" si="70"/>
        <v>0</v>
      </c>
      <c r="J684" s="1315">
        <f t="shared" si="71"/>
        <v>0</v>
      </c>
      <c r="L684" s="1308">
        <f t="shared" si="72"/>
        <v>0</v>
      </c>
      <c r="M684" s="1296" t="str">
        <f t="shared" si="73"/>
        <v>0</v>
      </c>
      <c r="N684" s="1309">
        <f t="shared" si="74"/>
        <v>0</v>
      </c>
      <c r="O684" s="1296" t="str">
        <f t="shared" si="75"/>
        <v>0</v>
      </c>
    </row>
    <row r="685" spans="1:15" s="1296" customFormat="1" hidden="1">
      <c r="A685" s="1310"/>
      <c r="B685" s="1311"/>
      <c r="C685" s="1312">
        <v>0</v>
      </c>
      <c r="D685" s="1313">
        <v>0</v>
      </c>
      <c r="E685" s="1314"/>
      <c r="F685" s="1315"/>
      <c r="G685" s="1316">
        <f>+SUMIF(asientos!$C$13:$C$1276,SYS_4_3_Digitos!A685,asientos!$B$13:$B$1276)</f>
        <v>0</v>
      </c>
      <c r="H685" s="1317">
        <f>+SUMIF(asientos!$I$13:$I$1276,SYS_4_3_Digitos!A685,asientos!$J$13:$J$1276)</f>
        <v>0</v>
      </c>
      <c r="I685" s="1314">
        <f t="shared" si="70"/>
        <v>0</v>
      </c>
      <c r="J685" s="1315">
        <f t="shared" si="71"/>
        <v>0</v>
      </c>
      <c r="L685" s="1308">
        <f t="shared" si="72"/>
        <v>0</v>
      </c>
      <c r="M685" s="1296" t="str">
        <f t="shared" si="73"/>
        <v>0</v>
      </c>
      <c r="N685" s="1309">
        <f t="shared" si="74"/>
        <v>0</v>
      </c>
      <c r="O685" s="1296" t="str">
        <f t="shared" si="75"/>
        <v>0</v>
      </c>
    </row>
    <row r="686" spans="1:15" s="1296" customFormat="1" hidden="1">
      <c r="A686" s="1310"/>
      <c r="B686" s="1311"/>
      <c r="C686" s="1312">
        <v>0</v>
      </c>
      <c r="D686" s="1313">
        <v>0</v>
      </c>
      <c r="E686" s="1314"/>
      <c r="F686" s="1315"/>
      <c r="G686" s="1316">
        <f>+SUMIF(asientos!$C$13:$C$1276,SYS_4_3_Digitos!A686,asientos!$B$13:$B$1276)</f>
        <v>0</v>
      </c>
      <c r="H686" s="1317">
        <f>+SUMIF(asientos!$I$13:$I$1276,SYS_4_3_Digitos!A686,asientos!$J$13:$J$1276)</f>
        <v>0</v>
      </c>
      <c r="I686" s="1314">
        <f t="shared" si="70"/>
        <v>0</v>
      </c>
      <c r="J686" s="1315">
        <f t="shared" si="71"/>
        <v>0</v>
      </c>
      <c r="L686" s="1308">
        <f t="shared" si="72"/>
        <v>0</v>
      </c>
      <c r="M686" s="1296" t="str">
        <f t="shared" si="73"/>
        <v>0</v>
      </c>
      <c r="N686" s="1309">
        <f t="shared" si="74"/>
        <v>0</v>
      </c>
      <c r="O686" s="1296" t="str">
        <f t="shared" si="75"/>
        <v>0</v>
      </c>
    </row>
    <row r="687" spans="1:15" s="1296" customFormat="1" hidden="1">
      <c r="A687" s="1310"/>
      <c r="B687" s="1311"/>
      <c r="C687" s="1312">
        <v>0</v>
      </c>
      <c r="D687" s="1313">
        <v>0</v>
      </c>
      <c r="E687" s="1314"/>
      <c r="F687" s="1315"/>
      <c r="G687" s="1316">
        <f>+SUMIF(asientos!$C$13:$C$1276,SYS_4_3_Digitos!A687,asientos!$B$13:$B$1276)</f>
        <v>0</v>
      </c>
      <c r="H687" s="1317">
        <f>+SUMIF(asientos!$I$13:$I$1276,SYS_4_3_Digitos!A687,asientos!$J$13:$J$1276)</f>
        <v>0</v>
      </c>
      <c r="I687" s="1314">
        <f t="shared" si="70"/>
        <v>0</v>
      </c>
      <c r="J687" s="1315">
        <f t="shared" si="71"/>
        <v>0</v>
      </c>
      <c r="L687" s="1308">
        <f t="shared" si="72"/>
        <v>0</v>
      </c>
      <c r="M687" s="1296" t="str">
        <f t="shared" si="73"/>
        <v>0</v>
      </c>
      <c r="N687" s="1309">
        <f t="shared" si="74"/>
        <v>0</v>
      </c>
      <c r="O687" s="1296" t="str">
        <f t="shared" si="75"/>
        <v>0</v>
      </c>
    </row>
    <row r="688" spans="1:15" s="1296" customFormat="1" hidden="1">
      <c r="A688" s="1310"/>
      <c r="B688" s="1311"/>
      <c r="C688" s="1312">
        <v>0</v>
      </c>
      <c r="D688" s="1313">
        <v>0</v>
      </c>
      <c r="E688" s="1314"/>
      <c r="F688" s="1315"/>
      <c r="G688" s="1316">
        <f>+SUMIF(asientos!$C$13:$C$1276,SYS_4_3_Digitos!A688,asientos!$B$13:$B$1276)</f>
        <v>0</v>
      </c>
      <c r="H688" s="1317">
        <f>+SUMIF(asientos!$I$13:$I$1276,SYS_4_3_Digitos!A688,asientos!$J$13:$J$1276)</f>
        <v>0</v>
      </c>
      <c r="I688" s="1314">
        <f t="shared" si="70"/>
        <v>0</v>
      </c>
      <c r="J688" s="1315">
        <f t="shared" si="71"/>
        <v>0</v>
      </c>
      <c r="L688" s="1308">
        <f t="shared" si="72"/>
        <v>0</v>
      </c>
      <c r="M688" s="1296" t="str">
        <f t="shared" si="73"/>
        <v>0</v>
      </c>
      <c r="N688" s="1309">
        <f t="shared" si="74"/>
        <v>0</v>
      </c>
      <c r="O688" s="1296" t="str">
        <f t="shared" si="75"/>
        <v>0</v>
      </c>
    </row>
    <row r="689" spans="1:15" s="1296" customFormat="1" hidden="1">
      <c r="A689" s="1310"/>
      <c r="B689" s="1311"/>
      <c r="C689" s="1312">
        <v>0</v>
      </c>
      <c r="D689" s="1313">
        <v>0</v>
      </c>
      <c r="E689" s="1314"/>
      <c r="F689" s="1315"/>
      <c r="G689" s="1316">
        <f>+SUMIF(asientos!$C$13:$C$1276,SYS_4_3_Digitos!A689,asientos!$B$13:$B$1276)</f>
        <v>0</v>
      </c>
      <c r="H689" s="1317">
        <f>+SUMIF(asientos!$I$13:$I$1276,SYS_4_3_Digitos!A689,asientos!$J$13:$J$1276)</f>
        <v>0</v>
      </c>
      <c r="I689" s="1314">
        <f t="shared" si="70"/>
        <v>0</v>
      </c>
      <c r="J689" s="1315">
        <f t="shared" si="71"/>
        <v>0</v>
      </c>
      <c r="L689" s="1308">
        <f t="shared" si="72"/>
        <v>0</v>
      </c>
      <c r="M689" s="1296" t="str">
        <f t="shared" si="73"/>
        <v>0</v>
      </c>
      <c r="N689" s="1309">
        <f t="shared" si="74"/>
        <v>0</v>
      </c>
      <c r="O689" s="1296" t="str">
        <f t="shared" si="75"/>
        <v>0</v>
      </c>
    </row>
    <row r="690" spans="1:15" s="1296" customFormat="1" hidden="1">
      <c r="A690" s="1310"/>
      <c r="B690" s="1311"/>
      <c r="C690" s="1312">
        <v>0</v>
      </c>
      <c r="D690" s="1313">
        <v>0</v>
      </c>
      <c r="E690" s="1314"/>
      <c r="F690" s="1315"/>
      <c r="G690" s="1316">
        <f>+SUMIF(asientos!$C$13:$C$1276,SYS_4_3_Digitos!A690,asientos!$B$13:$B$1276)</f>
        <v>0</v>
      </c>
      <c r="H690" s="1317">
        <f>+SUMIF(asientos!$I$13:$I$1276,SYS_4_3_Digitos!A690,asientos!$J$13:$J$1276)</f>
        <v>0</v>
      </c>
      <c r="I690" s="1314">
        <f t="shared" si="70"/>
        <v>0</v>
      </c>
      <c r="J690" s="1315">
        <f t="shared" si="71"/>
        <v>0</v>
      </c>
      <c r="L690" s="1308">
        <f t="shared" si="72"/>
        <v>0</v>
      </c>
      <c r="M690" s="1296" t="str">
        <f t="shared" si="73"/>
        <v>0</v>
      </c>
      <c r="N690" s="1309">
        <f t="shared" si="74"/>
        <v>0</v>
      </c>
      <c r="O690" s="1296" t="str">
        <f t="shared" si="75"/>
        <v>0</v>
      </c>
    </row>
    <row r="691" spans="1:15" s="1296" customFormat="1" hidden="1">
      <c r="A691" s="1310"/>
      <c r="B691" s="1311"/>
      <c r="C691" s="1312">
        <v>0</v>
      </c>
      <c r="D691" s="1313">
        <v>0</v>
      </c>
      <c r="E691" s="1314"/>
      <c r="F691" s="1315"/>
      <c r="G691" s="1316">
        <f>+SUMIF(asientos!$C$13:$C$1276,SYS_4_3_Digitos!A691,asientos!$B$13:$B$1276)</f>
        <v>0</v>
      </c>
      <c r="H691" s="1317">
        <f>+SUMIF(asientos!$I$13:$I$1276,SYS_4_3_Digitos!A691,asientos!$J$13:$J$1276)</f>
        <v>0</v>
      </c>
      <c r="I691" s="1314">
        <f t="shared" si="70"/>
        <v>0</v>
      </c>
      <c r="J691" s="1315">
        <f t="shared" si="71"/>
        <v>0</v>
      </c>
      <c r="L691" s="1308">
        <f t="shared" si="72"/>
        <v>0</v>
      </c>
      <c r="M691" s="1296" t="str">
        <f t="shared" si="73"/>
        <v>0</v>
      </c>
      <c r="N691" s="1309">
        <f t="shared" si="74"/>
        <v>0</v>
      </c>
      <c r="O691" s="1296" t="str">
        <f t="shared" si="75"/>
        <v>0</v>
      </c>
    </row>
    <row r="692" spans="1:15" s="1296" customFormat="1" hidden="1">
      <c r="A692" s="1310"/>
      <c r="B692" s="1311"/>
      <c r="C692" s="1312">
        <v>0</v>
      </c>
      <c r="D692" s="1313">
        <v>0</v>
      </c>
      <c r="E692" s="1314"/>
      <c r="F692" s="1315"/>
      <c r="G692" s="1316">
        <f>+SUMIF(asientos!$C$13:$C$1276,SYS_4_3_Digitos!A692,asientos!$B$13:$B$1276)</f>
        <v>0</v>
      </c>
      <c r="H692" s="1317">
        <f>+SUMIF(asientos!$I$13:$I$1276,SYS_4_3_Digitos!A692,asientos!$J$13:$J$1276)</f>
        <v>0</v>
      </c>
      <c r="I692" s="1314">
        <f t="shared" si="70"/>
        <v>0</v>
      </c>
      <c r="J692" s="1315">
        <f t="shared" si="71"/>
        <v>0</v>
      </c>
      <c r="L692" s="1308">
        <f t="shared" si="72"/>
        <v>0</v>
      </c>
      <c r="M692" s="1296" t="str">
        <f t="shared" si="73"/>
        <v>0</v>
      </c>
      <c r="N692" s="1309">
        <f t="shared" si="74"/>
        <v>0</v>
      </c>
      <c r="O692" s="1296" t="str">
        <f t="shared" si="75"/>
        <v>0</v>
      </c>
    </row>
    <row r="693" spans="1:15" s="1296" customFormat="1" hidden="1">
      <c r="A693" s="1310"/>
      <c r="B693" s="1311"/>
      <c r="C693" s="1312">
        <v>0</v>
      </c>
      <c r="D693" s="1313">
        <v>0</v>
      </c>
      <c r="E693" s="1314"/>
      <c r="F693" s="1315"/>
      <c r="G693" s="1316">
        <f>+SUMIF(asientos!$C$13:$C$1276,SYS_4_3_Digitos!A693,asientos!$B$13:$B$1276)</f>
        <v>0</v>
      </c>
      <c r="H693" s="1317">
        <f>+SUMIF(asientos!$I$13:$I$1276,SYS_4_3_Digitos!A693,asientos!$J$13:$J$1276)</f>
        <v>0</v>
      </c>
      <c r="I693" s="1314">
        <f t="shared" si="70"/>
        <v>0</v>
      </c>
      <c r="J693" s="1315">
        <f t="shared" si="71"/>
        <v>0</v>
      </c>
      <c r="L693" s="1308">
        <f t="shared" si="72"/>
        <v>0</v>
      </c>
      <c r="M693" s="1296" t="str">
        <f t="shared" si="73"/>
        <v>0</v>
      </c>
      <c r="N693" s="1309">
        <f t="shared" si="74"/>
        <v>0</v>
      </c>
      <c r="O693" s="1296" t="str">
        <f t="shared" si="75"/>
        <v>0</v>
      </c>
    </row>
    <row r="694" spans="1:15" s="1296" customFormat="1" hidden="1">
      <c r="A694" s="1310"/>
      <c r="B694" s="1311"/>
      <c r="C694" s="1312">
        <v>0</v>
      </c>
      <c r="D694" s="1313">
        <v>0</v>
      </c>
      <c r="E694" s="1314"/>
      <c r="F694" s="1315"/>
      <c r="G694" s="1316">
        <f>+SUMIF(asientos!$C$13:$C$1276,SYS_4_3_Digitos!A694,asientos!$B$13:$B$1276)</f>
        <v>0</v>
      </c>
      <c r="H694" s="1317">
        <f>+SUMIF(asientos!$I$13:$I$1276,SYS_4_3_Digitos!A694,asientos!$J$13:$J$1276)</f>
        <v>0</v>
      </c>
      <c r="I694" s="1314">
        <f t="shared" si="70"/>
        <v>0</v>
      </c>
      <c r="J694" s="1315">
        <f t="shared" si="71"/>
        <v>0</v>
      </c>
      <c r="L694" s="1308">
        <f t="shared" si="72"/>
        <v>0</v>
      </c>
      <c r="M694" s="1296" t="str">
        <f t="shared" si="73"/>
        <v>0</v>
      </c>
      <c r="N694" s="1309">
        <f t="shared" si="74"/>
        <v>0</v>
      </c>
      <c r="O694" s="1296" t="str">
        <f t="shared" si="75"/>
        <v>0</v>
      </c>
    </row>
    <row r="695" spans="1:15" s="1296" customFormat="1" hidden="1">
      <c r="A695" s="1310"/>
      <c r="B695" s="1311"/>
      <c r="C695" s="1312">
        <v>0</v>
      </c>
      <c r="D695" s="1313">
        <v>0</v>
      </c>
      <c r="E695" s="1314"/>
      <c r="F695" s="1315"/>
      <c r="G695" s="1316">
        <f>+SUMIF(asientos!$C$13:$C$1276,SYS_4_3_Digitos!A695,asientos!$B$13:$B$1276)</f>
        <v>0</v>
      </c>
      <c r="H695" s="1317">
        <f>+SUMIF(asientos!$I$13:$I$1276,SYS_4_3_Digitos!A695,asientos!$J$13:$J$1276)</f>
        <v>0</v>
      </c>
      <c r="I695" s="1314">
        <f t="shared" si="70"/>
        <v>0</v>
      </c>
      <c r="J695" s="1315">
        <f t="shared" si="71"/>
        <v>0</v>
      </c>
      <c r="L695" s="1308">
        <f t="shared" si="72"/>
        <v>0</v>
      </c>
      <c r="M695" s="1296" t="str">
        <f t="shared" si="73"/>
        <v>0</v>
      </c>
      <c r="N695" s="1309">
        <f t="shared" si="74"/>
        <v>0</v>
      </c>
      <c r="O695" s="1296" t="str">
        <f t="shared" si="75"/>
        <v>0</v>
      </c>
    </row>
    <row r="696" spans="1:15" s="1296" customFormat="1" hidden="1">
      <c r="A696" s="1310"/>
      <c r="B696" s="1311"/>
      <c r="C696" s="1312">
        <v>0</v>
      </c>
      <c r="D696" s="1313">
        <v>0</v>
      </c>
      <c r="E696" s="1314"/>
      <c r="F696" s="1315"/>
      <c r="G696" s="1316">
        <f>+SUMIF(asientos!$C$13:$C$1276,SYS_4_3_Digitos!A696,asientos!$B$13:$B$1276)</f>
        <v>0</v>
      </c>
      <c r="H696" s="1317">
        <f>+SUMIF(asientos!$I$13:$I$1276,SYS_4_3_Digitos!A696,asientos!$J$13:$J$1276)</f>
        <v>0</v>
      </c>
      <c r="I696" s="1314">
        <f t="shared" si="70"/>
        <v>0</v>
      </c>
      <c r="J696" s="1315">
        <f t="shared" si="71"/>
        <v>0</v>
      </c>
      <c r="L696" s="1308">
        <f t="shared" si="72"/>
        <v>0</v>
      </c>
      <c r="M696" s="1296" t="str">
        <f t="shared" si="73"/>
        <v>0</v>
      </c>
      <c r="N696" s="1309">
        <f t="shared" si="74"/>
        <v>0</v>
      </c>
      <c r="O696" s="1296" t="str">
        <f t="shared" si="75"/>
        <v>0</v>
      </c>
    </row>
    <row r="697" spans="1:15" s="1296" customFormat="1" hidden="1">
      <c r="A697" s="1310"/>
      <c r="B697" s="1311"/>
      <c r="C697" s="1312">
        <v>0</v>
      </c>
      <c r="D697" s="1313">
        <v>0</v>
      </c>
      <c r="E697" s="1314"/>
      <c r="F697" s="1315"/>
      <c r="G697" s="1316">
        <f>+SUMIF(asientos!$C$13:$C$1276,SYS_4_3_Digitos!A697,asientos!$B$13:$B$1276)</f>
        <v>0</v>
      </c>
      <c r="H697" s="1317">
        <f>+SUMIF(asientos!$I$13:$I$1276,SYS_4_3_Digitos!A697,asientos!$J$13:$J$1276)</f>
        <v>0</v>
      </c>
      <c r="I697" s="1314">
        <f t="shared" si="70"/>
        <v>0</v>
      </c>
      <c r="J697" s="1315">
        <f t="shared" si="71"/>
        <v>0</v>
      </c>
      <c r="L697" s="1308">
        <f t="shared" si="72"/>
        <v>0</v>
      </c>
      <c r="M697" s="1296" t="str">
        <f t="shared" si="73"/>
        <v>0</v>
      </c>
      <c r="N697" s="1309">
        <f t="shared" si="74"/>
        <v>0</v>
      </c>
      <c r="O697" s="1296" t="str">
        <f t="shared" si="75"/>
        <v>0</v>
      </c>
    </row>
    <row r="698" spans="1:15" s="1296" customFormat="1" hidden="1">
      <c r="A698" s="1310"/>
      <c r="B698" s="1311"/>
      <c r="C698" s="1312">
        <v>0</v>
      </c>
      <c r="D698" s="1313">
        <v>0</v>
      </c>
      <c r="E698" s="1314"/>
      <c r="F698" s="1315"/>
      <c r="G698" s="1316">
        <f>+SUMIF(asientos!$C$13:$C$1276,SYS_4_3_Digitos!A698,asientos!$B$13:$B$1276)</f>
        <v>0</v>
      </c>
      <c r="H698" s="1317">
        <f>+SUMIF(asientos!$I$13:$I$1276,SYS_4_3_Digitos!A698,asientos!$J$13:$J$1276)</f>
        <v>0</v>
      </c>
      <c r="I698" s="1314">
        <f t="shared" si="70"/>
        <v>0</v>
      </c>
      <c r="J698" s="1315">
        <f t="shared" si="71"/>
        <v>0</v>
      </c>
      <c r="L698" s="1308">
        <f t="shared" si="72"/>
        <v>0</v>
      </c>
      <c r="M698" s="1296" t="str">
        <f t="shared" si="73"/>
        <v>0</v>
      </c>
      <c r="N698" s="1309">
        <f t="shared" si="74"/>
        <v>0</v>
      </c>
      <c r="O698" s="1296" t="str">
        <f t="shared" si="75"/>
        <v>0</v>
      </c>
    </row>
    <row r="699" spans="1:15" s="1296" customFormat="1" hidden="1">
      <c r="A699" s="1310"/>
      <c r="B699" s="1311"/>
      <c r="C699" s="1312">
        <v>0</v>
      </c>
      <c r="D699" s="1313">
        <v>0</v>
      </c>
      <c r="E699" s="1314"/>
      <c r="F699" s="1315"/>
      <c r="G699" s="1316">
        <f>+SUMIF(asientos!$C$13:$C$1276,SYS_4_3_Digitos!A699,asientos!$B$13:$B$1276)</f>
        <v>0</v>
      </c>
      <c r="H699" s="1317">
        <f>+SUMIF(asientos!$I$13:$I$1276,SYS_4_3_Digitos!A699,asientos!$J$13:$J$1276)</f>
        <v>0</v>
      </c>
      <c r="I699" s="1314">
        <f t="shared" si="70"/>
        <v>0</v>
      </c>
      <c r="J699" s="1315">
        <f t="shared" si="71"/>
        <v>0</v>
      </c>
      <c r="L699" s="1308">
        <f t="shared" si="72"/>
        <v>0</v>
      </c>
      <c r="M699" s="1296" t="str">
        <f t="shared" si="73"/>
        <v>0</v>
      </c>
      <c r="N699" s="1309">
        <f t="shared" si="74"/>
        <v>0</v>
      </c>
      <c r="O699" s="1296" t="str">
        <f t="shared" si="75"/>
        <v>0</v>
      </c>
    </row>
    <row r="700" spans="1:15" s="1296" customFormat="1" hidden="1">
      <c r="A700" s="1310"/>
      <c r="B700" s="1311"/>
      <c r="C700" s="1312">
        <v>0</v>
      </c>
      <c r="D700" s="1313">
        <v>0</v>
      </c>
      <c r="E700" s="1314"/>
      <c r="F700" s="1315"/>
      <c r="G700" s="1316">
        <f>+SUMIF(asientos!$C$13:$C$1276,SYS_4_3_Digitos!A700,asientos!$B$13:$B$1276)</f>
        <v>0</v>
      </c>
      <c r="H700" s="1317">
        <f>+SUMIF(asientos!$I$13:$I$1276,SYS_4_3_Digitos!A700,asientos!$J$13:$J$1276)</f>
        <v>0</v>
      </c>
      <c r="I700" s="1314">
        <f t="shared" si="70"/>
        <v>0</v>
      </c>
      <c r="J700" s="1315">
        <f t="shared" si="71"/>
        <v>0</v>
      </c>
      <c r="L700" s="1308">
        <f t="shared" si="72"/>
        <v>0</v>
      </c>
      <c r="M700" s="1296" t="str">
        <f t="shared" si="73"/>
        <v>0</v>
      </c>
      <c r="N700" s="1309">
        <f t="shared" si="74"/>
        <v>0</v>
      </c>
      <c r="O700" s="1296" t="str">
        <f t="shared" si="75"/>
        <v>0</v>
      </c>
    </row>
    <row r="701" spans="1:15" s="1296" customFormat="1" hidden="1">
      <c r="A701" s="1310"/>
      <c r="B701" s="1311"/>
      <c r="C701" s="1312">
        <v>0</v>
      </c>
      <c r="D701" s="1313">
        <v>0</v>
      </c>
      <c r="E701" s="1314"/>
      <c r="F701" s="1315"/>
      <c r="G701" s="1316">
        <f>+SUMIF(asientos!$C$13:$C$1276,SYS_4_3_Digitos!A701,asientos!$B$13:$B$1276)</f>
        <v>0</v>
      </c>
      <c r="H701" s="1317">
        <f>+SUMIF(asientos!$I$13:$I$1276,SYS_4_3_Digitos!A701,asientos!$J$13:$J$1276)</f>
        <v>0</v>
      </c>
      <c r="I701" s="1314">
        <f t="shared" si="70"/>
        <v>0</v>
      </c>
      <c r="J701" s="1315">
        <f t="shared" si="71"/>
        <v>0</v>
      </c>
      <c r="L701" s="1308">
        <f t="shared" si="72"/>
        <v>0</v>
      </c>
      <c r="M701" s="1296" t="str">
        <f t="shared" si="73"/>
        <v>0</v>
      </c>
      <c r="N701" s="1309">
        <f t="shared" si="74"/>
        <v>0</v>
      </c>
      <c r="O701" s="1296" t="str">
        <f t="shared" si="75"/>
        <v>0</v>
      </c>
    </row>
    <row r="702" spans="1:15" s="1296" customFormat="1" hidden="1">
      <c r="A702" s="1310"/>
      <c r="B702" s="1311"/>
      <c r="C702" s="1312">
        <v>0</v>
      </c>
      <c r="D702" s="1313">
        <v>0</v>
      </c>
      <c r="E702" s="1314"/>
      <c r="F702" s="1315"/>
      <c r="G702" s="1316">
        <f>+SUMIF(asientos!$C$13:$C$1276,SYS_4_3_Digitos!A702,asientos!$B$13:$B$1276)</f>
        <v>0</v>
      </c>
      <c r="H702" s="1317">
        <f>+SUMIF(asientos!$I$13:$I$1276,SYS_4_3_Digitos!A702,asientos!$J$13:$J$1276)</f>
        <v>0</v>
      </c>
      <c r="I702" s="1314">
        <f t="shared" si="70"/>
        <v>0</v>
      </c>
      <c r="J702" s="1315">
        <f t="shared" si="71"/>
        <v>0</v>
      </c>
      <c r="L702" s="1308">
        <f t="shared" si="72"/>
        <v>0</v>
      </c>
      <c r="M702" s="1296" t="str">
        <f t="shared" si="73"/>
        <v>0</v>
      </c>
      <c r="N702" s="1309">
        <f t="shared" si="74"/>
        <v>0</v>
      </c>
      <c r="O702" s="1296" t="str">
        <f t="shared" si="75"/>
        <v>0</v>
      </c>
    </row>
    <row r="703" spans="1:15" s="1296" customFormat="1" hidden="1">
      <c r="A703" s="1310"/>
      <c r="B703" s="1311"/>
      <c r="C703" s="1312">
        <v>0</v>
      </c>
      <c r="D703" s="1313">
        <v>0</v>
      </c>
      <c r="E703" s="1314"/>
      <c r="F703" s="1315"/>
      <c r="G703" s="1316">
        <f>+SUMIF(asientos!$C$13:$C$1276,SYS_4_3_Digitos!A703,asientos!$B$13:$B$1276)</f>
        <v>0</v>
      </c>
      <c r="H703" s="1317">
        <f>+SUMIF(asientos!$I$13:$I$1276,SYS_4_3_Digitos!A703,asientos!$J$13:$J$1276)</f>
        <v>0</v>
      </c>
      <c r="I703" s="1314">
        <f t="shared" si="70"/>
        <v>0</v>
      </c>
      <c r="J703" s="1315">
        <f t="shared" si="71"/>
        <v>0</v>
      </c>
      <c r="L703" s="1308">
        <f t="shared" si="72"/>
        <v>0</v>
      </c>
      <c r="M703" s="1296" t="str">
        <f t="shared" si="73"/>
        <v>0</v>
      </c>
      <c r="N703" s="1309">
        <f t="shared" si="74"/>
        <v>0</v>
      </c>
      <c r="O703" s="1296" t="str">
        <f t="shared" si="75"/>
        <v>0</v>
      </c>
    </row>
    <row r="704" spans="1:15" s="1296" customFormat="1" hidden="1">
      <c r="A704" s="1310"/>
      <c r="B704" s="1311"/>
      <c r="C704" s="1312">
        <v>0</v>
      </c>
      <c r="D704" s="1313">
        <v>0</v>
      </c>
      <c r="E704" s="1314"/>
      <c r="F704" s="1315"/>
      <c r="G704" s="1316">
        <f>+SUMIF(asientos!$C$13:$C$1276,SYS_4_3_Digitos!A704,asientos!$B$13:$B$1276)</f>
        <v>0</v>
      </c>
      <c r="H704" s="1317">
        <f>+SUMIF(asientos!$I$13:$I$1276,SYS_4_3_Digitos!A704,asientos!$J$13:$J$1276)</f>
        <v>0</v>
      </c>
      <c r="I704" s="1314">
        <f t="shared" si="70"/>
        <v>0</v>
      </c>
      <c r="J704" s="1315">
        <f t="shared" si="71"/>
        <v>0</v>
      </c>
      <c r="L704" s="1308">
        <f t="shared" si="72"/>
        <v>0</v>
      </c>
      <c r="M704" s="1296" t="str">
        <f t="shared" si="73"/>
        <v>0</v>
      </c>
      <c r="N704" s="1309">
        <f t="shared" si="74"/>
        <v>0</v>
      </c>
      <c r="O704" s="1296" t="str">
        <f t="shared" si="75"/>
        <v>0</v>
      </c>
    </row>
    <row r="705" spans="1:15" s="1296" customFormat="1" hidden="1">
      <c r="A705" s="1310"/>
      <c r="B705" s="1311"/>
      <c r="C705" s="1312">
        <v>0</v>
      </c>
      <c r="D705" s="1313">
        <v>0</v>
      </c>
      <c r="E705" s="1314"/>
      <c r="F705" s="1315"/>
      <c r="G705" s="1316">
        <f>+SUMIF(asientos!$C$13:$C$1276,SYS_4_3_Digitos!A705,asientos!$B$13:$B$1276)</f>
        <v>0</v>
      </c>
      <c r="H705" s="1317">
        <f>+SUMIF(asientos!$I$13:$I$1276,SYS_4_3_Digitos!A705,asientos!$J$13:$J$1276)</f>
        <v>0</v>
      </c>
      <c r="I705" s="1314">
        <f t="shared" si="70"/>
        <v>0</v>
      </c>
      <c r="J705" s="1315">
        <f t="shared" si="71"/>
        <v>0</v>
      </c>
      <c r="L705" s="1308">
        <f t="shared" si="72"/>
        <v>0</v>
      </c>
      <c r="M705" s="1296" t="str">
        <f t="shared" si="73"/>
        <v>0</v>
      </c>
      <c r="N705" s="1309">
        <f t="shared" si="74"/>
        <v>0</v>
      </c>
      <c r="O705" s="1296" t="str">
        <f t="shared" si="75"/>
        <v>0</v>
      </c>
    </row>
    <row r="706" spans="1:15" s="1296" customFormat="1" hidden="1">
      <c r="A706" s="1310"/>
      <c r="B706" s="1311"/>
      <c r="C706" s="1312">
        <v>0</v>
      </c>
      <c r="D706" s="1313">
        <v>0</v>
      </c>
      <c r="E706" s="1314"/>
      <c r="F706" s="1315"/>
      <c r="G706" s="1316">
        <f>+SUMIF(asientos!$C$13:$C$1276,SYS_4_3_Digitos!A706,asientos!$B$13:$B$1276)</f>
        <v>0</v>
      </c>
      <c r="H706" s="1317">
        <f>+SUMIF(asientos!$I$13:$I$1276,SYS_4_3_Digitos!A706,asientos!$J$13:$J$1276)</f>
        <v>0</v>
      </c>
      <c r="I706" s="1314">
        <f t="shared" si="70"/>
        <v>0</v>
      </c>
      <c r="J706" s="1315">
        <f t="shared" si="71"/>
        <v>0</v>
      </c>
      <c r="L706" s="1308">
        <f t="shared" si="72"/>
        <v>0</v>
      </c>
      <c r="M706" s="1296" t="str">
        <f t="shared" si="73"/>
        <v>0</v>
      </c>
      <c r="N706" s="1309">
        <f t="shared" si="74"/>
        <v>0</v>
      </c>
      <c r="O706" s="1296" t="str">
        <f t="shared" si="75"/>
        <v>0</v>
      </c>
    </row>
    <row r="707" spans="1:15" s="1296" customFormat="1" hidden="1">
      <c r="A707" s="1310"/>
      <c r="B707" s="1311"/>
      <c r="C707" s="1312">
        <v>0</v>
      </c>
      <c r="D707" s="1313">
        <v>0</v>
      </c>
      <c r="E707" s="1314"/>
      <c r="F707" s="1315"/>
      <c r="G707" s="1316">
        <f>+SUMIF(asientos!$C$13:$C$1276,SYS_4_3_Digitos!A707,asientos!$B$13:$B$1276)</f>
        <v>0</v>
      </c>
      <c r="H707" s="1317">
        <f>+SUMIF(asientos!$I$13:$I$1276,SYS_4_3_Digitos!A707,asientos!$J$13:$J$1276)</f>
        <v>0</v>
      </c>
      <c r="I707" s="1314">
        <f t="shared" si="70"/>
        <v>0</v>
      </c>
      <c r="J707" s="1315">
        <f t="shared" si="71"/>
        <v>0</v>
      </c>
      <c r="L707" s="1308">
        <f t="shared" si="72"/>
        <v>0</v>
      </c>
      <c r="M707" s="1296" t="str">
        <f t="shared" si="73"/>
        <v>0</v>
      </c>
      <c r="N707" s="1309">
        <f t="shared" si="74"/>
        <v>0</v>
      </c>
      <c r="O707" s="1296" t="str">
        <f t="shared" si="75"/>
        <v>0</v>
      </c>
    </row>
    <row r="708" spans="1:15" s="1296" customFormat="1" hidden="1">
      <c r="A708" s="1310"/>
      <c r="B708" s="1311"/>
      <c r="C708" s="1312">
        <v>0</v>
      </c>
      <c r="D708" s="1313">
        <v>0</v>
      </c>
      <c r="E708" s="1314"/>
      <c r="F708" s="1315"/>
      <c r="G708" s="1316">
        <f>+SUMIF(asientos!$C$13:$C$1276,SYS_4_3_Digitos!A708,asientos!$B$13:$B$1276)</f>
        <v>0</v>
      </c>
      <c r="H708" s="1317">
        <f>+SUMIF(asientos!$I$13:$I$1276,SYS_4_3_Digitos!A708,asientos!$J$13:$J$1276)</f>
        <v>0</v>
      </c>
      <c r="I708" s="1314">
        <f t="shared" si="70"/>
        <v>0</v>
      </c>
      <c r="J708" s="1315">
        <f t="shared" si="71"/>
        <v>0</v>
      </c>
      <c r="L708" s="1308">
        <f t="shared" si="72"/>
        <v>0</v>
      </c>
      <c r="M708" s="1296" t="str">
        <f t="shared" si="73"/>
        <v>0</v>
      </c>
      <c r="N708" s="1309">
        <f t="shared" si="74"/>
        <v>0</v>
      </c>
      <c r="O708" s="1296" t="str">
        <f t="shared" si="75"/>
        <v>0</v>
      </c>
    </row>
    <row r="709" spans="1:15" s="1296" customFormat="1" hidden="1">
      <c r="A709" s="1310"/>
      <c r="B709" s="1311"/>
      <c r="C709" s="1312">
        <v>0</v>
      </c>
      <c r="D709" s="1313">
        <v>0</v>
      </c>
      <c r="E709" s="1314"/>
      <c r="F709" s="1315"/>
      <c r="G709" s="1316">
        <f>+SUMIF(asientos!$C$13:$C$1276,SYS_4_3_Digitos!A709,asientos!$B$13:$B$1276)</f>
        <v>0</v>
      </c>
      <c r="H709" s="1317">
        <f>+SUMIF(asientos!$I$13:$I$1276,SYS_4_3_Digitos!A709,asientos!$J$13:$J$1276)</f>
        <v>0</v>
      </c>
      <c r="I709" s="1314">
        <f t="shared" si="70"/>
        <v>0</v>
      </c>
      <c r="J709" s="1315">
        <f t="shared" si="71"/>
        <v>0</v>
      </c>
      <c r="L709" s="1308">
        <f t="shared" si="72"/>
        <v>0</v>
      </c>
      <c r="M709" s="1296" t="str">
        <f t="shared" si="73"/>
        <v>0</v>
      </c>
      <c r="N709" s="1309">
        <f t="shared" si="74"/>
        <v>0</v>
      </c>
      <c r="O709" s="1296" t="str">
        <f t="shared" si="75"/>
        <v>0</v>
      </c>
    </row>
    <row r="710" spans="1:15" s="1296" customFormat="1" hidden="1">
      <c r="A710" s="1310"/>
      <c r="B710" s="1311"/>
      <c r="C710" s="1312">
        <v>0</v>
      </c>
      <c r="D710" s="1313">
        <v>0</v>
      </c>
      <c r="E710" s="1314"/>
      <c r="F710" s="1315"/>
      <c r="G710" s="1316">
        <f>+SUMIF(asientos!$C$13:$C$1276,SYS_4_3_Digitos!A710,asientos!$B$13:$B$1276)</f>
        <v>0</v>
      </c>
      <c r="H710" s="1317">
        <f>+SUMIF(asientos!$I$13:$I$1276,SYS_4_3_Digitos!A710,asientos!$J$13:$J$1276)</f>
        <v>0</v>
      </c>
      <c r="I710" s="1314">
        <f t="shared" si="70"/>
        <v>0</v>
      </c>
      <c r="J710" s="1315">
        <f t="shared" si="71"/>
        <v>0</v>
      </c>
      <c r="L710" s="1308">
        <f t="shared" si="72"/>
        <v>0</v>
      </c>
      <c r="M710" s="1296" t="str">
        <f t="shared" si="73"/>
        <v>0</v>
      </c>
      <c r="N710" s="1309">
        <f t="shared" si="74"/>
        <v>0</v>
      </c>
      <c r="O710" s="1296" t="str">
        <f t="shared" si="75"/>
        <v>0</v>
      </c>
    </row>
    <row r="711" spans="1:15" s="1296" customFormat="1" hidden="1">
      <c r="A711" s="1310"/>
      <c r="B711" s="1311"/>
      <c r="C711" s="1312">
        <v>0</v>
      </c>
      <c r="D711" s="1313">
        <v>0</v>
      </c>
      <c r="E711" s="1314"/>
      <c r="F711" s="1315"/>
      <c r="G711" s="1316">
        <f>+SUMIF(asientos!$C$13:$C$1276,SYS_4_3_Digitos!A711,asientos!$B$13:$B$1276)</f>
        <v>0</v>
      </c>
      <c r="H711" s="1317">
        <f>+SUMIF(asientos!$I$13:$I$1276,SYS_4_3_Digitos!A711,asientos!$J$13:$J$1276)</f>
        <v>0</v>
      </c>
      <c r="I711" s="1314">
        <f t="shared" si="70"/>
        <v>0</v>
      </c>
      <c r="J711" s="1315">
        <f t="shared" si="71"/>
        <v>0</v>
      </c>
      <c r="L711" s="1308">
        <f t="shared" si="72"/>
        <v>0</v>
      </c>
      <c r="M711" s="1296" t="str">
        <f t="shared" si="73"/>
        <v>0</v>
      </c>
      <c r="N711" s="1309">
        <f t="shared" si="74"/>
        <v>0</v>
      </c>
      <c r="O711" s="1296" t="str">
        <f t="shared" si="75"/>
        <v>0</v>
      </c>
    </row>
    <row r="712" spans="1:15" s="1296" customFormat="1" hidden="1">
      <c r="A712" s="1310"/>
      <c r="B712" s="1311"/>
      <c r="C712" s="1312">
        <v>0</v>
      </c>
      <c r="D712" s="1313">
        <v>0</v>
      </c>
      <c r="E712" s="1314"/>
      <c r="F712" s="1315"/>
      <c r="G712" s="1316">
        <f>+SUMIF(asientos!$C$13:$C$1276,SYS_4_3_Digitos!A712,asientos!$B$13:$B$1276)</f>
        <v>0</v>
      </c>
      <c r="H712" s="1317">
        <f>+SUMIF(asientos!$I$13:$I$1276,SYS_4_3_Digitos!A712,asientos!$J$13:$J$1276)</f>
        <v>0</v>
      </c>
      <c r="I712" s="1314">
        <f t="shared" si="70"/>
        <v>0</v>
      </c>
      <c r="J712" s="1315">
        <f t="shared" si="71"/>
        <v>0</v>
      </c>
      <c r="L712" s="1308">
        <f t="shared" si="72"/>
        <v>0</v>
      </c>
      <c r="M712" s="1296" t="str">
        <f t="shared" si="73"/>
        <v>0</v>
      </c>
      <c r="N712" s="1309">
        <f t="shared" si="74"/>
        <v>0</v>
      </c>
      <c r="O712" s="1296" t="str">
        <f t="shared" si="75"/>
        <v>0</v>
      </c>
    </row>
    <row r="713" spans="1:15" s="1296" customFormat="1" hidden="1">
      <c r="A713" s="1310"/>
      <c r="B713" s="1311"/>
      <c r="C713" s="1312">
        <v>0</v>
      </c>
      <c r="D713" s="1313">
        <v>0</v>
      </c>
      <c r="E713" s="1314"/>
      <c r="F713" s="1315"/>
      <c r="G713" s="1316">
        <f>+SUMIF(asientos!$C$13:$C$1276,SYS_4_3_Digitos!A713,asientos!$B$13:$B$1276)</f>
        <v>0</v>
      </c>
      <c r="H713" s="1317">
        <f>+SUMIF(asientos!$I$13:$I$1276,SYS_4_3_Digitos!A713,asientos!$J$13:$J$1276)</f>
        <v>0</v>
      </c>
      <c r="I713" s="1314">
        <f t="shared" si="70"/>
        <v>0</v>
      </c>
      <c r="J713" s="1315">
        <f t="shared" si="71"/>
        <v>0</v>
      </c>
      <c r="L713" s="1308">
        <f t="shared" si="72"/>
        <v>0</v>
      </c>
      <c r="M713" s="1296" t="str">
        <f t="shared" si="73"/>
        <v>0</v>
      </c>
      <c r="N713" s="1309">
        <f t="shared" si="74"/>
        <v>0</v>
      </c>
      <c r="O713" s="1296" t="str">
        <f t="shared" si="75"/>
        <v>0</v>
      </c>
    </row>
    <row r="714" spans="1:15" s="1296" customFormat="1" hidden="1">
      <c r="A714" s="1310"/>
      <c r="B714" s="1311"/>
      <c r="C714" s="1312">
        <v>0</v>
      </c>
      <c r="D714" s="1313">
        <v>0</v>
      </c>
      <c r="E714" s="1314"/>
      <c r="F714" s="1315"/>
      <c r="G714" s="1316">
        <f>+SUMIF(asientos!$C$13:$C$1276,SYS_4_3_Digitos!A714,asientos!$B$13:$B$1276)</f>
        <v>0</v>
      </c>
      <c r="H714" s="1317">
        <f>+SUMIF(asientos!$I$13:$I$1276,SYS_4_3_Digitos!A714,asientos!$J$13:$J$1276)</f>
        <v>0</v>
      </c>
      <c r="I714" s="1314">
        <f t="shared" si="70"/>
        <v>0</v>
      </c>
      <c r="J714" s="1315">
        <f t="shared" si="71"/>
        <v>0</v>
      </c>
      <c r="L714" s="1308">
        <f t="shared" si="72"/>
        <v>0</v>
      </c>
      <c r="M714" s="1296" t="str">
        <f t="shared" si="73"/>
        <v>0</v>
      </c>
      <c r="N714" s="1309">
        <f t="shared" si="74"/>
        <v>0</v>
      </c>
      <c r="O714" s="1296" t="str">
        <f t="shared" si="75"/>
        <v>0</v>
      </c>
    </row>
    <row r="715" spans="1:15" s="1296" customFormat="1" hidden="1">
      <c r="A715" s="1310"/>
      <c r="B715" s="1311"/>
      <c r="C715" s="1312">
        <v>0</v>
      </c>
      <c r="D715" s="1313">
        <v>0</v>
      </c>
      <c r="E715" s="1314"/>
      <c r="F715" s="1315"/>
      <c r="G715" s="1316">
        <f>+SUMIF(asientos!$C$13:$C$1276,SYS_4_3_Digitos!A715,asientos!$B$13:$B$1276)</f>
        <v>0</v>
      </c>
      <c r="H715" s="1317">
        <f>+SUMIF(asientos!$I$13:$I$1276,SYS_4_3_Digitos!A715,asientos!$J$13:$J$1276)</f>
        <v>0</v>
      </c>
      <c r="I715" s="1314">
        <f t="shared" si="70"/>
        <v>0</v>
      </c>
      <c r="J715" s="1315">
        <f t="shared" si="71"/>
        <v>0</v>
      </c>
      <c r="L715" s="1308">
        <f t="shared" si="72"/>
        <v>0</v>
      </c>
      <c r="M715" s="1296" t="str">
        <f t="shared" si="73"/>
        <v>0</v>
      </c>
      <c r="N715" s="1309">
        <f t="shared" si="74"/>
        <v>0</v>
      </c>
      <c r="O715" s="1296" t="str">
        <f t="shared" si="75"/>
        <v>0</v>
      </c>
    </row>
    <row r="716" spans="1:15" s="1296" customFormat="1" hidden="1">
      <c r="A716" s="1310"/>
      <c r="B716" s="1311"/>
      <c r="C716" s="1312">
        <v>0</v>
      </c>
      <c r="D716" s="1313">
        <v>0</v>
      </c>
      <c r="E716" s="1314"/>
      <c r="F716" s="1315"/>
      <c r="G716" s="1316">
        <f>+SUMIF(asientos!$C$13:$C$1276,SYS_4_3_Digitos!A716,asientos!$B$13:$B$1276)</f>
        <v>0</v>
      </c>
      <c r="H716" s="1317">
        <f>+SUMIF(asientos!$I$13:$I$1276,SYS_4_3_Digitos!A716,asientos!$J$13:$J$1276)</f>
        <v>0</v>
      </c>
      <c r="I716" s="1314">
        <f t="shared" si="70"/>
        <v>0</v>
      </c>
      <c r="J716" s="1315">
        <f t="shared" si="71"/>
        <v>0</v>
      </c>
      <c r="L716" s="1308">
        <f t="shared" si="72"/>
        <v>0</v>
      </c>
      <c r="M716" s="1296" t="str">
        <f t="shared" si="73"/>
        <v>0</v>
      </c>
      <c r="N716" s="1309">
        <f t="shared" si="74"/>
        <v>0</v>
      </c>
      <c r="O716" s="1296" t="str">
        <f t="shared" si="75"/>
        <v>0</v>
      </c>
    </row>
    <row r="717" spans="1:15" s="1296" customFormat="1" hidden="1">
      <c r="A717" s="1310"/>
      <c r="B717" s="1311"/>
      <c r="C717" s="1312">
        <v>0</v>
      </c>
      <c r="D717" s="1313">
        <v>0</v>
      </c>
      <c r="E717" s="1314"/>
      <c r="F717" s="1315"/>
      <c r="G717" s="1316">
        <f>+SUMIF(asientos!$C$13:$C$1276,SYS_4_3_Digitos!A717,asientos!$B$13:$B$1276)</f>
        <v>0</v>
      </c>
      <c r="H717" s="1317">
        <f>+SUMIF(asientos!$I$13:$I$1276,SYS_4_3_Digitos!A717,asientos!$J$13:$J$1276)</f>
        <v>0</v>
      </c>
      <c r="I717" s="1314">
        <f t="shared" si="70"/>
        <v>0</v>
      </c>
      <c r="J717" s="1315">
        <f t="shared" si="71"/>
        <v>0</v>
      </c>
      <c r="L717" s="1308">
        <f t="shared" si="72"/>
        <v>0</v>
      </c>
      <c r="M717" s="1296" t="str">
        <f t="shared" si="73"/>
        <v>0</v>
      </c>
      <c r="N717" s="1309">
        <f t="shared" si="74"/>
        <v>0</v>
      </c>
      <c r="O717" s="1296" t="str">
        <f t="shared" si="75"/>
        <v>0</v>
      </c>
    </row>
    <row r="718" spans="1:15" s="1296" customFormat="1" hidden="1">
      <c r="A718" s="1310"/>
      <c r="B718" s="1311"/>
      <c r="C718" s="1312">
        <v>0</v>
      </c>
      <c r="D718" s="1313">
        <v>0</v>
      </c>
      <c r="E718" s="1314"/>
      <c r="F718" s="1315"/>
      <c r="G718" s="1316">
        <f>+SUMIF(asientos!$C$13:$C$1276,SYS_4_3_Digitos!A718,asientos!$B$13:$B$1276)</f>
        <v>0</v>
      </c>
      <c r="H718" s="1317">
        <f>+SUMIF(asientos!$I$13:$I$1276,SYS_4_3_Digitos!A718,asientos!$J$13:$J$1276)</f>
        <v>0</v>
      </c>
      <c r="I718" s="1314">
        <f t="shared" si="70"/>
        <v>0</v>
      </c>
      <c r="J718" s="1315">
        <f t="shared" si="71"/>
        <v>0</v>
      </c>
      <c r="L718" s="1308">
        <f t="shared" si="72"/>
        <v>0</v>
      </c>
      <c r="M718" s="1296" t="str">
        <f t="shared" si="73"/>
        <v>0</v>
      </c>
      <c r="N718" s="1309">
        <f t="shared" si="74"/>
        <v>0</v>
      </c>
      <c r="O718" s="1296" t="str">
        <f t="shared" si="75"/>
        <v>0</v>
      </c>
    </row>
    <row r="719" spans="1:15" s="1296" customFormat="1" hidden="1">
      <c r="A719" s="1310"/>
      <c r="B719" s="1311"/>
      <c r="C719" s="1312">
        <v>0</v>
      </c>
      <c r="D719" s="1313">
        <v>0</v>
      </c>
      <c r="E719" s="1314"/>
      <c r="F719" s="1315"/>
      <c r="G719" s="1316">
        <f>+SUMIF(asientos!$C$13:$C$1276,SYS_4_3_Digitos!A719,asientos!$B$13:$B$1276)</f>
        <v>0</v>
      </c>
      <c r="H719" s="1317">
        <f>+SUMIF(asientos!$I$13:$I$1276,SYS_4_3_Digitos!A719,asientos!$J$13:$J$1276)</f>
        <v>0</v>
      </c>
      <c r="I719" s="1314">
        <f t="shared" si="70"/>
        <v>0</v>
      </c>
      <c r="J719" s="1315">
        <f t="shared" si="71"/>
        <v>0</v>
      </c>
      <c r="L719" s="1308">
        <f t="shared" si="72"/>
        <v>0</v>
      </c>
      <c r="M719" s="1296" t="str">
        <f t="shared" si="73"/>
        <v>0</v>
      </c>
      <c r="N719" s="1309">
        <f t="shared" si="74"/>
        <v>0</v>
      </c>
      <c r="O719" s="1296" t="str">
        <f t="shared" si="75"/>
        <v>0</v>
      </c>
    </row>
    <row r="720" spans="1:15" s="1296" customFormat="1" hidden="1">
      <c r="A720" s="1310"/>
      <c r="B720" s="1311"/>
      <c r="C720" s="1312">
        <v>0</v>
      </c>
      <c r="D720" s="1313">
        <v>0</v>
      </c>
      <c r="E720" s="1314"/>
      <c r="F720" s="1315"/>
      <c r="G720" s="1316">
        <f>+SUMIF(asientos!$C$13:$C$1276,SYS_4_3_Digitos!A720,asientos!$B$13:$B$1276)</f>
        <v>0</v>
      </c>
      <c r="H720" s="1317">
        <f>+SUMIF(asientos!$I$13:$I$1276,SYS_4_3_Digitos!A720,asientos!$J$13:$J$1276)</f>
        <v>0</v>
      </c>
      <c r="I720" s="1314">
        <f t="shared" si="70"/>
        <v>0</v>
      </c>
      <c r="J720" s="1315">
        <f t="shared" si="71"/>
        <v>0</v>
      </c>
      <c r="L720" s="1308">
        <f t="shared" si="72"/>
        <v>0</v>
      </c>
      <c r="M720" s="1296" t="str">
        <f t="shared" si="73"/>
        <v>0</v>
      </c>
      <c r="N720" s="1309">
        <f t="shared" si="74"/>
        <v>0</v>
      </c>
      <c r="O720" s="1296" t="str">
        <f t="shared" si="75"/>
        <v>0</v>
      </c>
    </row>
    <row r="721" spans="1:15" s="1296" customFormat="1" hidden="1">
      <c r="A721" s="1310"/>
      <c r="B721" s="1311"/>
      <c r="C721" s="1312">
        <v>0</v>
      </c>
      <c r="D721" s="1313">
        <v>0</v>
      </c>
      <c r="E721" s="1314"/>
      <c r="F721" s="1315"/>
      <c r="G721" s="1316">
        <f>+SUMIF(asientos!$C$13:$C$1276,SYS_4_3_Digitos!A721,asientos!$B$13:$B$1276)</f>
        <v>0</v>
      </c>
      <c r="H721" s="1317">
        <f>+SUMIF(asientos!$I$13:$I$1276,SYS_4_3_Digitos!A721,asientos!$J$13:$J$1276)</f>
        <v>0</v>
      </c>
      <c r="I721" s="1314">
        <f t="shared" si="70"/>
        <v>0</v>
      </c>
      <c r="J721" s="1315">
        <f t="shared" si="71"/>
        <v>0</v>
      </c>
      <c r="L721" s="1308">
        <f t="shared" si="72"/>
        <v>0</v>
      </c>
      <c r="M721" s="1296" t="str">
        <f t="shared" si="73"/>
        <v>0</v>
      </c>
      <c r="N721" s="1309">
        <f t="shared" si="74"/>
        <v>0</v>
      </c>
      <c r="O721" s="1296" t="str">
        <f t="shared" si="75"/>
        <v>0</v>
      </c>
    </row>
    <row r="722" spans="1:15" s="1296" customFormat="1" hidden="1">
      <c r="A722" s="1310"/>
      <c r="B722" s="1311"/>
      <c r="C722" s="1312">
        <v>0</v>
      </c>
      <c r="D722" s="1313">
        <v>0</v>
      </c>
      <c r="E722" s="1314"/>
      <c r="F722" s="1315"/>
      <c r="G722" s="1316">
        <f>+SUMIF(asientos!$C$13:$C$1276,SYS_4_3_Digitos!A722,asientos!$B$13:$B$1276)</f>
        <v>0</v>
      </c>
      <c r="H722" s="1317">
        <f>+SUMIF(asientos!$I$13:$I$1276,SYS_4_3_Digitos!A722,asientos!$J$13:$J$1276)</f>
        <v>0</v>
      </c>
      <c r="I722" s="1314">
        <f t="shared" si="70"/>
        <v>0</v>
      </c>
      <c r="J722" s="1315">
        <f t="shared" si="71"/>
        <v>0</v>
      </c>
      <c r="L722" s="1308">
        <f t="shared" si="72"/>
        <v>0</v>
      </c>
      <c r="M722" s="1296" t="str">
        <f t="shared" si="73"/>
        <v>0</v>
      </c>
      <c r="N722" s="1309">
        <f t="shared" si="74"/>
        <v>0</v>
      </c>
      <c r="O722" s="1296" t="str">
        <f t="shared" si="75"/>
        <v>0</v>
      </c>
    </row>
    <row r="723" spans="1:15" s="1296" customFormat="1" hidden="1">
      <c r="A723" s="1310"/>
      <c r="B723" s="1311"/>
      <c r="C723" s="1312">
        <v>0</v>
      </c>
      <c r="D723" s="1313">
        <v>0</v>
      </c>
      <c r="E723" s="1314"/>
      <c r="F723" s="1315"/>
      <c r="G723" s="1316">
        <f>+SUMIF(asientos!$C$13:$C$1276,SYS_4_3_Digitos!A723,asientos!$B$13:$B$1276)</f>
        <v>0</v>
      </c>
      <c r="H723" s="1317">
        <f>+SUMIF(asientos!$I$13:$I$1276,SYS_4_3_Digitos!A723,asientos!$J$13:$J$1276)</f>
        <v>0</v>
      </c>
      <c r="I723" s="1314">
        <f t="shared" si="70"/>
        <v>0</v>
      </c>
      <c r="J723" s="1315">
        <f t="shared" si="71"/>
        <v>0</v>
      </c>
      <c r="L723" s="1308">
        <f t="shared" si="72"/>
        <v>0</v>
      </c>
      <c r="M723" s="1296" t="str">
        <f t="shared" si="73"/>
        <v>0</v>
      </c>
      <c r="N723" s="1309">
        <f t="shared" si="74"/>
        <v>0</v>
      </c>
      <c r="O723" s="1296" t="str">
        <f t="shared" si="75"/>
        <v>0</v>
      </c>
    </row>
    <row r="724" spans="1:15" s="1296" customFormat="1" hidden="1">
      <c r="A724" s="1310"/>
      <c r="B724" s="1311"/>
      <c r="C724" s="1312">
        <v>0</v>
      </c>
      <c r="D724" s="1313">
        <v>0</v>
      </c>
      <c r="E724" s="1314"/>
      <c r="F724" s="1315"/>
      <c r="G724" s="1316">
        <f>+SUMIF(asientos!$C$13:$C$1276,SYS_4_3_Digitos!A724,asientos!$B$13:$B$1276)</f>
        <v>0</v>
      </c>
      <c r="H724" s="1317">
        <f>+SUMIF(asientos!$I$13:$I$1276,SYS_4_3_Digitos!A724,asientos!$J$13:$J$1276)</f>
        <v>0</v>
      </c>
      <c r="I724" s="1314">
        <f t="shared" si="70"/>
        <v>0</v>
      </c>
      <c r="J724" s="1315">
        <f t="shared" si="71"/>
        <v>0</v>
      </c>
      <c r="L724" s="1308">
        <f t="shared" si="72"/>
        <v>0</v>
      </c>
      <c r="M724" s="1296" t="str">
        <f t="shared" si="73"/>
        <v>0</v>
      </c>
      <c r="N724" s="1309">
        <f t="shared" si="74"/>
        <v>0</v>
      </c>
      <c r="O724" s="1296" t="str">
        <f t="shared" si="75"/>
        <v>0</v>
      </c>
    </row>
    <row r="725" spans="1:15" s="1296" customFormat="1" hidden="1">
      <c r="A725" s="1310"/>
      <c r="B725" s="1311"/>
      <c r="C725" s="1312">
        <v>0</v>
      </c>
      <c r="D725" s="1313">
        <v>0</v>
      </c>
      <c r="E725" s="1314"/>
      <c r="F725" s="1315"/>
      <c r="G725" s="1316">
        <f>+SUMIF(asientos!$C$13:$C$1276,SYS_4_3_Digitos!A725,asientos!$B$13:$B$1276)</f>
        <v>0</v>
      </c>
      <c r="H725" s="1317">
        <f>+SUMIF(asientos!$I$13:$I$1276,SYS_4_3_Digitos!A725,asientos!$J$13:$J$1276)</f>
        <v>0</v>
      </c>
      <c r="I725" s="1314">
        <f t="shared" si="70"/>
        <v>0</v>
      </c>
      <c r="J725" s="1315">
        <f t="shared" si="71"/>
        <v>0</v>
      </c>
      <c r="L725" s="1308">
        <f t="shared" si="72"/>
        <v>0</v>
      </c>
      <c r="M725" s="1296" t="str">
        <f t="shared" si="73"/>
        <v>0</v>
      </c>
      <c r="N725" s="1309">
        <f t="shared" si="74"/>
        <v>0</v>
      </c>
      <c r="O725" s="1296" t="str">
        <f t="shared" si="75"/>
        <v>0</v>
      </c>
    </row>
    <row r="726" spans="1:15" s="1296" customFormat="1" hidden="1">
      <c r="A726" s="1310"/>
      <c r="B726" s="1311"/>
      <c r="C726" s="1312">
        <v>0</v>
      </c>
      <c r="D726" s="1313">
        <v>0</v>
      </c>
      <c r="E726" s="1314"/>
      <c r="F726" s="1315"/>
      <c r="G726" s="1316">
        <f>+SUMIF(asientos!$C$13:$C$1276,SYS_4_3_Digitos!A726,asientos!$B$13:$B$1276)</f>
        <v>0</v>
      </c>
      <c r="H726" s="1317">
        <f>+SUMIF(asientos!$I$13:$I$1276,SYS_4_3_Digitos!A726,asientos!$J$13:$J$1276)</f>
        <v>0</v>
      </c>
      <c r="I726" s="1314">
        <f t="shared" si="70"/>
        <v>0</v>
      </c>
      <c r="J726" s="1315">
        <f t="shared" si="71"/>
        <v>0</v>
      </c>
      <c r="L726" s="1308">
        <f t="shared" si="72"/>
        <v>0</v>
      </c>
      <c r="M726" s="1296" t="str">
        <f t="shared" si="73"/>
        <v>0</v>
      </c>
      <c r="N726" s="1309">
        <f t="shared" si="74"/>
        <v>0</v>
      </c>
      <c r="O726" s="1296" t="str">
        <f t="shared" si="75"/>
        <v>0</v>
      </c>
    </row>
    <row r="727" spans="1:15" s="1296" customFormat="1" hidden="1">
      <c r="A727" s="1310"/>
      <c r="B727" s="1311"/>
      <c r="C727" s="1312">
        <v>0</v>
      </c>
      <c r="D727" s="1313">
        <v>0</v>
      </c>
      <c r="E727" s="1314"/>
      <c r="F727" s="1315"/>
      <c r="G727" s="1316">
        <f>+SUMIF(asientos!$C$13:$C$1276,SYS_4_3_Digitos!A727,asientos!$B$13:$B$1276)</f>
        <v>0</v>
      </c>
      <c r="H727" s="1317">
        <f>+SUMIF(asientos!$I$13:$I$1276,SYS_4_3_Digitos!A727,asientos!$J$13:$J$1276)</f>
        <v>0</v>
      </c>
      <c r="I727" s="1314">
        <f t="shared" si="70"/>
        <v>0</v>
      </c>
      <c r="J727" s="1315">
        <f t="shared" si="71"/>
        <v>0</v>
      </c>
      <c r="L727" s="1308">
        <f t="shared" si="72"/>
        <v>0</v>
      </c>
      <c r="M727" s="1296" t="str">
        <f t="shared" si="73"/>
        <v>0</v>
      </c>
      <c r="N727" s="1309">
        <f t="shared" si="74"/>
        <v>0</v>
      </c>
      <c r="O727" s="1296" t="str">
        <f t="shared" si="75"/>
        <v>0</v>
      </c>
    </row>
    <row r="728" spans="1:15" s="1296" customFormat="1" hidden="1">
      <c r="A728" s="1310"/>
      <c r="B728" s="1311"/>
      <c r="C728" s="1312">
        <v>0</v>
      </c>
      <c r="D728" s="1313">
        <v>0</v>
      </c>
      <c r="E728" s="1314"/>
      <c r="F728" s="1315"/>
      <c r="G728" s="1316">
        <f>+SUMIF(asientos!$C$13:$C$1276,SYS_4_3_Digitos!A728,asientos!$B$13:$B$1276)</f>
        <v>0</v>
      </c>
      <c r="H728" s="1317">
        <f>+SUMIF(asientos!$I$13:$I$1276,SYS_4_3_Digitos!A728,asientos!$J$13:$J$1276)</f>
        <v>0</v>
      </c>
      <c r="I728" s="1314">
        <f t="shared" si="70"/>
        <v>0</v>
      </c>
      <c r="J728" s="1315">
        <f t="shared" si="71"/>
        <v>0</v>
      </c>
      <c r="L728" s="1308">
        <f t="shared" si="72"/>
        <v>0</v>
      </c>
      <c r="M728" s="1296" t="str">
        <f t="shared" si="73"/>
        <v>0</v>
      </c>
      <c r="N728" s="1309">
        <f t="shared" si="74"/>
        <v>0</v>
      </c>
      <c r="O728" s="1296" t="str">
        <f t="shared" si="75"/>
        <v>0</v>
      </c>
    </row>
    <row r="729" spans="1:15" s="1296" customFormat="1" hidden="1">
      <c r="A729" s="1310"/>
      <c r="B729" s="1311"/>
      <c r="C729" s="1312">
        <v>0</v>
      </c>
      <c r="D729" s="1313">
        <v>0</v>
      </c>
      <c r="E729" s="1314"/>
      <c r="F729" s="1315"/>
      <c r="G729" s="1316">
        <f>+SUMIF(asientos!$C$13:$C$1276,SYS_4_3_Digitos!A729,asientos!$B$13:$B$1276)</f>
        <v>0</v>
      </c>
      <c r="H729" s="1317">
        <f>+SUMIF(asientos!$I$13:$I$1276,SYS_4_3_Digitos!A729,asientos!$J$13:$J$1276)</f>
        <v>0</v>
      </c>
      <c r="I729" s="1314">
        <f t="shared" si="70"/>
        <v>0</v>
      </c>
      <c r="J729" s="1315">
        <f t="shared" si="71"/>
        <v>0</v>
      </c>
      <c r="L729" s="1308">
        <f t="shared" si="72"/>
        <v>0</v>
      </c>
      <c r="M729" s="1296" t="str">
        <f t="shared" si="73"/>
        <v>0</v>
      </c>
      <c r="N729" s="1309">
        <f t="shared" si="74"/>
        <v>0</v>
      </c>
      <c r="O729" s="1296" t="str">
        <f t="shared" si="75"/>
        <v>0</v>
      </c>
    </row>
    <row r="730" spans="1:15" s="1296" customFormat="1" hidden="1">
      <c r="A730" s="1310"/>
      <c r="B730" s="1311"/>
      <c r="C730" s="1312">
        <v>0</v>
      </c>
      <c r="D730" s="1313">
        <v>0</v>
      </c>
      <c r="E730" s="1314"/>
      <c r="F730" s="1315"/>
      <c r="G730" s="1316">
        <f>+SUMIF(asientos!$C$13:$C$1276,SYS_4_3_Digitos!A730,asientos!$B$13:$B$1276)</f>
        <v>0</v>
      </c>
      <c r="H730" s="1317">
        <f>+SUMIF(asientos!$I$13:$I$1276,SYS_4_3_Digitos!A730,asientos!$J$13:$J$1276)</f>
        <v>0</v>
      </c>
      <c r="I730" s="1314">
        <f t="shared" si="70"/>
        <v>0</v>
      </c>
      <c r="J730" s="1315">
        <f t="shared" si="71"/>
        <v>0</v>
      </c>
      <c r="L730" s="1308">
        <f t="shared" si="72"/>
        <v>0</v>
      </c>
      <c r="M730" s="1296" t="str">
        <f t="shared" si="73"/>
        <v>0</v>
      </c>
      <c r="N730" s="1309">
        <f t="shared" si="74"/>
        <v>0</v>
      </c>
      <c r="O730" s="1296" t="str">
        <f t="shared" si="75"/>
        <v>0</v>
      </c>
    </row>
    <row r="731" spans="1:15" s="1296" customFormat="1" hidden="1">
      <c r="A731" s="1310"/>
      <c r="B731" s="1311"/>
      <c r="C731" s="1312">
        <v>0</v>
      </c>
      <c r="D731" s="1313">
        <v>0</v>
      </c>
      <c r="E731" s="1314"/>
      <c r="F731" s="1315"/>
      <c r="G731" s="1316">
        <f>+SUMIF(asientos!$C$13:$C$1276,SYS_4_3_Digitos!A731,asientos!$B$13:$B$1276)</f>
        <v>0</v>
      </c>
      <c r="H731" s="1317">
        <f>+SUMIF(asientos!$I$13:$I$1276,SYS_4_3_Digitos!A731,asientos!$J$13:$J$1276)</f>
        <v>0</v>
      </c>
      <c r="I731" s="1314">
        <f t="shared" si="70"/>
        <v>0</v>
      </c>
      <c r="J731" s="1315">
        <f t="shared" si="71"/>
        <v>0</v>
      </c>
      <c r="L731" s="1308">
        <f t="shared" si="72"/>
        <v>0</v>
      </c>
      <c r="M731" s="1296" t="str">
        <f t="shared" si="73"/>
        <v>0</v>
      </c>
      <c r="N731" s="1309">
        <f t="shared" si="74"/>
        <v>0</v>
      </c>
      <c r="O731" s="1296" t="str">
        <f t="shared" si="75"/>
        <v>0</v>
      </c>
    </row>
    <row r="732" spans="1:15" s="1296" customFormat="1" hidden="1">
      <c r="A732" s="1310"/>
      <c r="B732" s="1311"/>
      <c r="C732" s="1312">
        <v>0</v>
      </c>
      <c r="D732" s="1313">
        <v>0</v>
      </c>
      <c r="E732" s="1314"/>
      <c r="F732" s="1315"/>
      <c r="G732" s="1316">
        <f>+SUMIF(asientos!$C$13:$C$1276,SYS_4_3_Digitos!A732,asientos!$B$13:$B$1276)</f>
        <v>0</v>
      </c>
      <c r="H732" s="1317">
        <f>+SUMIF(asientos!$I$13:$I$1276,SYS_4_3_Digitos!A732,asientos!$J$13:$J$1276)</f>
        <v>0</v>
      </c>
      <c r="I732" s="1314">
        <f t="shared" si="70"/>
        <v>0</v>
      </c>
      <c r="J732" s="1315">
        <f t="shared" si="71"/>
        <v>0</v>
      </c>
      <c r="L732" s="1308">
        <f t="shared" si="72"/>
        <v>0</v>
      </c>
      <c r="M732" s="1296" t="str">
        <f t="shared" si="73"/>
        <v>0</v>
      </c>
      <c r="N732" s="1309">
        <f t="shared" si="74"/>
        <v>0</v>
      </c>
      <c r="O732" s="1296" t="str">
        <f t="shared" si="75"/>
        <v>0</v>
      </c>
    </row>
    <row r="733" spans="1:15" s="1296" customFormat="1" hidden="1">
      <c r="A733" s="1310"/>
      <c r="B733" s="1311"/>
      <c r="C733" s="1312">
        <v>0</v>
      </c>
      <c r="D733" s="1313">
        <v>0</v>
      </c>
      <c r="E733" s="1314"/>
      <c r="F733" s="1315"/>
      <c r="G733" s="1316">
        <f>+SUMIF(asientos!$C$13:$C$1276,SYS_4_3_Digitos!A733,asientos!$B$13:$B$1276)</f>
        <v>0</v>
      </c>
      <c r="H733" s="1317">
        <f>+SUMIF(asientos!$I$13:$I$1276,SYS_4_3_Digitos!A733,asientos!$J$13:$J$1276)</f>
        <v>0</v>
      </c>
      <c r="I733" s="1314">
        <f t="shared" si="70"/>
        <v>0</v>
      </c>
      <c r="J733" s="1315">
        <f t="shared" si="71"/>
        <v>0</v>
      </c>
      <c r="L733" s="1308">
        <f t="shared" si="72"/>
        <v>0</v>
      </c>
      <c r="M733" s="1296" t="str">
        <f t="shared" si="73"/>
        <v>0</v>
      </c>
      <c r="N733" s="1309">
        <f t="shared" si="74"/>
        <v>0</v>
      </c>
      <c r="O733" s="1296" t="str">
        <f t="shared" si="75"/>
        <v>0</v>
      </c>
    </row>
    <row r="734" spans="1:15" s="1296" customFormat="1" hidden="1">
      <c r="A734" s="1310"/>
      <c r="B734" s="1311"/>
      <c r="C734" s="1312">
        <v>0</v>
      </c>
      <c r="D734" s="1313">
        <v>0</v>
      </c>
      <c r="E734" s="1314"/>
      <c r="F734" s="1315"/>
      <c r="G734" s="1316">
        <f>+SUMIF(asientos!$C$13:$C$1276,SYS_4_3_Digitos!A734,asientos!$B$13:$B$1276)</f>
        <v>0</v>
      </c>
      <c r="H734" s="1317">
        <f>+SUMIF(asientos!$I$13:$I$1276,SYS_4_3_Digitos!A734,asientos!$J$13:$J$1276)</f>
        <v>0</v>
      </c>
      <c r="I734" s="1314">
        <f t="shared" si="70"/>
        <v>0</v>
      </c>
      <c r="J734" s="1315">
        <f t="shared" si="71"/>
        <v>0</v>
      </c>
      <c r="L734" s="1308">
        <f t="shared" si="72"/>
        <v>0</v>
      </c>
      <c r="M734" s="1296" t="str">
        <f t="shared" si="73"/>
        <v>0</v>
      </c>
      <c r="N734" s="1309">
        <f t="shared" si="74"/>
        <v>0</v>
      </c>
      <c r="O734" s="1296" t="str">
        <f t="shared" si="75"/>
        <v>0</v>
      </c>
    </row>
    <row r="735" spans="1:15" s="1296" customFormat="1" hidden="1">
      <c r="A735" s="1310"/>
      <c r="B735" s="1311"/>
      <c r="C735" s="1312">
        <v>0</v>
      </c>
      <c r="D735" s="1313">
        <v>0</v>
      </c>
      <c r="E735" s="1314"/>
      <c r="F735" s="1315"/>
      <c r="G735" s="1316">
        <f>+SUMIF(asientos!$C$13:$C$1276,SYS_4_3_Digitos!A735,asientos!$B$13:$B$1276)</f>
        <v>0</v>
      </c>
      <c r="H735" s="1317">
        <f>+SUMIF(asientos!$I$13:$I$1276,SYS_4_3_Digitos!A735,asientos!$J$13:$J$1276)</f>
        <v>0</v>
      </c>
      <c r="I735" s="1314">
        <f t="shared" si="70"/>
        <v>0</v>
      </c>
      <c r="J735" s="1315">
        <f t="shared" si="71"/>
        <v>0</v>
      </c>
      <c r="L735" s="1308">
        <f t="shared" si="72"/>
        <v>0</v>
      </c>
      <c r="M735" s="1296" t="str">
        <f t="shared" si="73"/>
        <v>0</v>
      </c>
      <c r="N735" s="1309">
        <f t="shared" si="74"/>
        <v>0</v>
      </c>
      <c r="O735" s="1296" t="str">
        <f t="shared" si="75"/>
        <v>0</v>
      </c>
    </row>
    <row r="736" spans="1:15" s="1296" customFormat="1" hidden="1">
      <c r="A736" s="1310"/>
      <c r="B736" s="1311"/>
      <c r="C736" s="1312">
        <v>0</v>
      </c>
      <c r="D736" s="1313">
        <v>0</v>
      </c>
      <c r="E736" s="1314"/>
      <c r="F736" s="1315"/>
      <c r="G736" s="1316">
        <f>+SUMIF(asientos!$C$13:$C$1276,SYS_4_3_Digitos!A736,asientos!$B$13:$B$1276)</f>
        <v>0</v>
      </c>
      <c r="H736" s="1317">
        <f>+SUMIF(asientos!$I$13:$I$1276,SYS_4_3_Digitos!A736,asientos!$J$13:$J$1276)</f>
        <v>0</v>
      </c>
      <c r="I736" s="1314">
        <f t="shared" si="70"/>
        <v>0</v>
      </c>
      <c r="J736" s="1315">
        <f t="shared" si="71"/>
        <v>0</v>
      </c>
      <c r="L736" s="1308">
        <f t="shared" si="72"/>
        <v>0</v>
      </c>
      <c r="M736" s="1296" t="str">
        <f t="shared" si="73"/>
        <v>0</v>
      </c>
      <c r="N736" s="1309">
        <f t="shared" si="74"/>
        <v>0</v>
      </c>
      <c r="O736" s="1296" t="str">
        <f t="shared" si="75"/>
        <v>0</v>
      </c>
    </row>
    <row r="737" spans="1:15" s="1296" customFormat="1" hidden="1">
      <c r="A737" s="1310"/>
      <c r="B737" s="1311"/>
      <c r="C737" s="1312">
        <v>0</v>
      </c>
      <c r="D737" s="1313">
        <v>0</v>
      </c>
      <c r="E737" s="1314"/>
      <c r="F737" s="1315"/>
      <c r="G737" s="1316">
        <f>+SUMIF(asientos!$C$13:$C$1276,SYS_4_3_Digitos!A737,asientos!$B$13:$B$1276)</f>
        <v>0</v>
      </c>
      <c r="H737" s="1317">
        <f>+SUMIF(asientos!$I$13:$I$1276,SYS_4_3_Digitos!A737,asientos!$J$13:$J$1276)</f>
        <v>0</v>
      </c>
      <c r="I737" s="1314">
        <f t="shared" si="70"/>
        <v>0</v>
      </c>
      <c r="J737" s="1315">
        <f t="shared" si="71"/>
        <v>0</v>
      </c>
      <c r="L737" s="1308">
        <f t="shared" si="72"/>
        <v>0</v>
      </c>
      <c r="M737" s="1296" t="str">
        <f t="shared" si="73"/>
        <v>0</v>
      </c>
      <c r="N737" s="1309">
        <f t="shared" si="74"/>
        <v>0</v>
      </c>
      <c r="O737" s="1296" t="str">
        <f t="shared" si="75"/>
        <v>0</v>
      </c>
    </row>
    <row r="738" spans="1:15" s="1296" customFormat="1" hidden="1">
      <c r="A738" s="1310"/>
      <c r="B738" s="1311"/>
      <c r="C738" s="1312">
        <v>0</v>
      </c>
      <c r="D738" s="1313">
        <v>0</v>
      </c>
      <c r="E738" s="1314"/>
      <c r="F738" s="1315"/>
      <c r="G738" s="1316">
        <f>+SUMIF(asientos!$C$13:$C$1276,SYS_4_3_Digitos!A738,asientos!$B$13:$B$1276)</f>
        <v>0</v>
      </c>
      <c r="H738" s="1317">
        <f>+SUMIF(asientos!$I$13:$I$1276,SYS_4_3_Digitos!A738,asientos!$J$13:$J$1276)</f>
        <v>0</v>
      </c>
      <c r="I738" s="1314">
        <f t="shared" si="70"/>
        <v>0</v>
      </c>
      <c r="J738" s="1315">
        <f t="shared" si="71"/>
        <v>0</v>
      </c>
      <c r="L738" s="1308">
        <f t="shared" si="72"/>
        <v>0</v>
      </c>
      <c r="M738" s="1296" t="str">
        <f t="shared" si="73"/>
        <v>0</v>
      </c>
      <c r="N738" s="1309">
        <f t="shared" si="74"/>
        <v>0</v>
      </c>
      <c r="O738" s="1296" t="str">
        <f t="shared" si="75"/>
        <v>0</v>
      </c>
    </row>
    <row r="739" spans="1:15" s="1296" customFormat="1" hidden="1">
      <c r="A739" s="1310"/>
      <c r="B739" s="1311"/>
      <c r="C739" s="1312">
        <v>0</v>
      </c>
      <c r="D739" s="1313">
        <v>0</v>
      </c>
      <c r="E739" s="1314"/>
      <c r="F739" s="1315"/>
      <c r="G739" s="1316">
        <f>+SUMIF(asientos!$C$13:$C$1276,SYS_4_3_Digitos!A739,asientos!$B$13:$B$1276)</f>
        <v>0</v>
      </c>
      <c r="H739" s="1317">
        <f>+SUMIF(asientos!$I$13:$I$1276,SYS_4_3_Digitos!A739,asientos!$J$13:$J$1276)</f>
        <v>0</v>
      </c>
      <c r="I739" s="1314">
        <f t="shared" si="70"/>
        <v>0</v>
      </c>
      <c r="J739" s="1315">
        <f t="shared" si="71"/>
        <v>0</v>
      </c>
      <c r="L739" s="1308">
        <f t="shared" si="72"/>
        <v>0</v>
      </c>
      <c r="M739" s="1296" t="str">
        <f t="shared" si="73"/>
        <v>0</v>
      </c>
      <c r="N739" s="1309">
        <f t="shared" si="74"/>
        <v>0</v>
      </c>
      <c r="O739" s="1296" t="str">
        <f t="shared" si="75"/>
        <v>0</v>
      </c>
    </row>
    <row r="740" spans="1:15" s="1296" customFormat="1" hidden="1">
      <c r="A740" s="1310"/>
      <c r="B740" s="1311"/>
      <c r="C740" s="1312">
        <v>0</v>
      </c>
      <c r="D740" s="1313">
        <v>0</v>
      </c>
      <c r="E740" s="1314"/>
      <c r="F740" s="1315"/>
      <c r="G740" s="1316">
        <f>+SUMIF(asientos!$C$13:$C$1276,SYS_4_3_Digitos!A740,asientos!$B$13:$B$1276)</f>
        <v>0</v>
      </c>
      <c r="H740" s="1317">
        <f>+SUMIF(asientos!$I$13:$I$1276,SYS_4_3_Digitos!A740,asientos!$J$13:$J$1276)</f>
        <v>0</v>
      </c>
      <c r="I740" s="1314">
        <f t="shared" si="70"/>
        <v>0</v>
      </c>
      <c r="J740" s="1315">
        <f t="shared" si="71"/>
        <v>0</v>
      </c>
      <c r="L740" s="1308">
        <f t="shared" si="72"/>
        <v>0</v>
      </c>
      <c r="M740" s="1296" t="str">
        <f t="shared" si="73"/>
        <v>0</v>
      </c>
      <c r="N740" s="1309">
        <f t="shared" si="74"/>
        <v>0</v>
      </c>
      <c r="O740" s="1296" t="str">
        <f t="shared" si="75"/>
        <v>0</v>
      </c>
    </row>
    <row r="741" spans="1:15" s="1296" customFormat="1" hidden="1">
      <c r="A741" s="1310"/>
      <c r="B741" s="1311"/>
      <c r="C741" s="1312">
        <v>0</v>
      </c>
      <c r="D741" s="1313">
        <v>0</v>
      </c>
      <c r="E741" s="1314"/>
      <c r="F741" s="1315"/>
      <c r="G741" s="1316">
        <f>+SUMIF(asientos!$C$13:$C$1276,SYS_4_3_Digitos!A741,asientos!$B$13:$B$1276)</f>
        <v>0</v>
      </c>
      <c r="H741" s="1317">
        <f>+SUMIF(asientos!$I$13:$I$1276,SYS_4_3_Digitos!A741,asientos!$J$13:$J$1276)</f>
        <v>0</v>
      </c>
      <c r="I741" s="1314">
        <f t="shared" ref="I741:I804" si="76">IF((E741+G741-F741-H741)&gt;0,E741+G741-F741-H741,0)</f>
        <v>0</v>
      </c>
      <c r="J741" s="1315">
        <f t="shared" ref="J741:J804" si="77">IF((F741+H741-E741-G741)&gt;0,F741+H741-E741-G741,0)</f>
        <v>0</v>
      </c>
      <c r="L741" s="1308">
        <f t="shared" ref="L741:L804" si="78">+A741*1000000</f>
        <v>0</v>
      </c>
      <c r="M741" s="1296" t="str">
        <f t="shared" ref="M741:M804" si="79">+LEFT(L741,4)</f>
        <v>0</v>
      </c>
      <c r="N741" s="1309">
        <f t="shared" ref="N741:N804" si="80">+I741-J741</f>
        <v>0</v>
      </c>
      <c r="O741" s="1296" t="str">
        <f t="shared" ref="O741:O804" si="81">+LEFT(M741,2)</f>
        <v>0</v>
      </c>
    </row>
    <row r="742" spans="1:15" s="1296" customFormat="1" hidden="1">
      <c r="A742" s="1310"/>
      <c r="B742" s="1311"/>
      <c r="C742" s="1312">
        <v>0</v>
      </c>
      <c r="D742" s="1313">
        <v>0</v>
      </c>
      <c r="E742" s="1314"/>
      <c r="F742" s="1315"/>
      <c r="G742" s="1316">
        <f>+SUMIF(asientos!$C$13:$C$1276,SYS_4_3_Digitos!A742,asientos!$B$13:$B$1276)</f>
        <v>0</v>
      </c>
      <c r="H742" s="1317">
        <f>+SUMIF(asientos!$I$13:$I$1276,SYS_4_3_Digitos!A742,asientos!$J$13:$J$1276)</f>
        <v>0</v>
      </c>
      <c r="I742" s="1314">
        <f t="shared" si="76"/>
        <v>0</v>
      </c>
      <c r="J742" s="1315">
        <f t="shared" si="77"/>
        <v>0</v>
      </c>
      <c r="L742" s="1308">
        <f t="shared" si="78"/>
        <v>0</v>
      </c>
      <c r="M742" s="1296" t="str">
        <f t="shared" si="79"/>
        <v>0</v>
      </c>
      <c r="N742" s="1309">
        <f t="shared" si="80"/>
        <v>0</v>
      </c>
      <c r="O742" s="1296" t="str">
        <f t="shared" si="81"/>
        <v>0</v>
      </c>
    </row>
    <row r="743" spans="1:15" s="1296" customFormat="1" hidden="1">
      <c r="A743" s="1310"/>
      <c r="B743" s="1311"/>
      <c r="C743" s="1312">
        <v>0</v>
      </c>
      <c r="D743" s="1313">
        <v>0</v>
      </c>
      <c r="E743" s="1314"/>
      <c r="F743" s="1315"/>
      <c r="G743" s="1316">
        <f>+SUMIF(asientos!$C$13:$C$1276,SYS_4_3_Digitos!A743,asientos!$B$13:$B$1276)</f>
        <v>0</v>
      </c>
      <c r="H743" s="1317">
        <f>+SUMIF(asientos!$I$13:$I$1276,SYS_4_3_Digitos!A743,asientos!$J$13:$J$1276)</f>
        <v>0</v>
      </c>
      <c r="I743" s="1314">
        <f t="shared" si="76"/>
        <v>0</v>
      </c>
      <c r="J743" s="1315">
        <f t="shared" si="77"/>
        <v>0</v>
      </c>
      <c r="L743" s="1308">
        <f t="shared" si="78"/>
        <v>0</v>
      </c>
      <c r="M743" s="1296" t="str">
        <f t="shared" si="79"/>
        <v>0</v>
      </c>
      <c r="N743" s="1309">
        <f t="shared" si="80"/>
        <v>0</v>
      </c>
      <c r="O743" s="1296" t="str">
        <f t="shared" si="81"/>
        <v>0</v>
      </c>
    </row>
    <row r="744" spans="1:15" s="1296" customFormat="1" hidden="1">
      <c r="A744" s="1310"/>
      <c r="B744" s="1311"/>
      <c r="C744" s="1312">
        <v>0</v>
      </c>
      <c r="D744" s="1313">
        <v>0</v>
      </c>
      <c r="E744" s="1314"/>
      <c r="F744" s="1315"/>
      <c r="G744" s="1316">
        <f>+SUMIF(asientos!$C$13:$C$1276,SYS_4_3_Digitos!A744,asientos!$B$13:$B$1276)</f>
        <v>0</v>
      </c>
      <c r="H744" s="1317">
        <f>+SUMIF(asientos!$I$13:$I$1276,SYS_4_3_Digitos!A744,asientos!$J$13:$J$1276)</f>
        <v>0</v>
      </c>
      <c r="I744" s="1314">
        <f t="shared" si="76"/>
        <v>0</v>
      </c>
      <c r="J744" s="1315">
        <f t="shared" si="77"/>
        <v>0</v>
      </c>
      <c r="L744" s="1308">
        <f t="shared" si="78"/>
        <v>0</v>
      </c>
      <c r="M744" s="1296" t="str">
        <f t="shared" si="79"/>
        <v>0</v>
      </c>
      <c r="N744" s="1309">
        <f t="shared" si="80"/>
        <v>0</v>
      </c>
      <c r="O744" s="1296" t="str">
        <f t="shared" si="81"/>
        <v>0</v>
      </c>
    </row>
    <row r="745" spans="1:15" s="1296" customFormat="1" hidden="1">
      <c r="A745" s="1310"/>
      <c r="B745" s="1311"/>
      <c r="C745" s="1312">
        <v>0</v>
      </c>
      <c r="D745" s="1313">
        <v>0</v>
      </c>
      <c r="E745" s="1314"/>
      <c r="F745" s="1315"/>
      <c r="G745" s="1316">
        <f>+SUMIF(asientos!$C$13:$C$1276,SYS_4_3_Digitos!A745,asientos!$B$13:$B$1276)</f>
        <v>0</v>
      </c>
      <c r="H745" s="1317">
        <f>+SUMIF(asientos!$I$13:$I$1276,SYS_4_3_Digitos!A745,asientos!$J$13:$J$1276)</f>
        <v>0</v>
      </c>
      <c r="I745" s="1314">
        <f t="shared" si="76"/>
        <v>0</v>
      </c>
      <c r="J745" s="1315">
        <f t="shared" si="77"/>
        <v>0</v>
      </c>
      <c r="L745" s="1308">
        <f t="shared" si="78"/>
        <v>0</v>
      </c>
      <c r="M745" s="1296" t="str">
        <f t="shared" si="79"/>
        <v>0</v>
      </c>
      <c r="N745" s="1309">
        <f t="shared" si="80"/>
        <v>0</v>
      </c>
      <c r="O745" s="1296" t="str">
        <f t="shared" si="81"/>
        <v>0</v>
      </c>
    </row>
    <row r="746" spans="1:15" s="1296" customFormat="1" hidden="1">
      <c r="A746" s="1310"/>
      <c r="B746" s="1311"/>
      <c r="C746" s="1312">
        <v>0</v>
      </c>
      <c r="D746" s="1313">
        <v>0</v>
      </c>
      <c r="E746" s="1314"/>
      <c r="F746" s="1315"/>
      <c r="G746" s="1316">
        <f>+SUMIF(asientos!$C$13:$C$1276,SYS_4_3_Digitos!A746,asientos!$B$13:$B$1276)</f>
        <v>0</v>
      </c>
      <c r="H746" s="1317">
        <f>+SUMIF(asientos!$I$13:$I$1276,SYS_4_3_Digitos!A746,asientos!$J$13:$J$1276)</f>
        <v>0</v>
      </c>
      <c r="I746" s="1314">
        <f t="shared" si="76"/>
        <v>0</v>
      </c>
      <c r="J746" s="1315">
        <f t="shared" si="77"/>
        <v>0</v>
      </c>
      <c r="L746" s="1308">
        <f t="shared" si="78"/>
        <v>0</v>
      </c>
      <c r="M746" s="1296" t="str">
        <f t="shared" si="79"/>
        <v>0</v>
      </c>
      <c r="N746" s="1309">
        <f t="shared" si="80"/>
        <v>0</v>
      </c>
      <c r="O746" s="1296" t="str">
        <f t="shared" si="81"/>
        <v>0</v>
      </c>
    </row>
    <row r="747" spans="1:15" s="1296" customFormat="1" hidden="1">
      <c r="A747" s="1310"/>
      <c r="B747" s="1311"/>
      <c r="C747" s="1312">
        <v>0</v>
      </c>
      <c r="D747" s="1313">
        <v>0</v>
      </c>
      <c r="E747" s="1314"/>
      <c r="F747" s="1315"/>
      <c r="G747" s="1316">
        <f>+SUMIF(asientos!$C$13:$C$1276,SYS_4_3_Digitos!A747,asientos!$B$13:$B$1276)</f>
        <v>0</v>
      </c>
      <c r="H747" s="1317">
        <f>+SUMIF(asientos!$I$13:$I$1276,SYS_4_3_Digitos!A747,asientos!$J$13:$J$1276)</f>
        <v>0</v>
      </c>
      <c r="I747" s="1314">
        <f t="shared" si="76"/>
        <v>0</v>
      </c>
      <c r="J747" s="1315">
        <f t="shared" si="77"/>
        <v>0</v>
      </c>
      <c r="L747" s="1308">
        <f t="shared" si="78"/>
        <v>0</v>
      </c>
      <c r="M747" s="1296" t="str">
        <f t="shared" si="79"/>
        <v>0</v>
      </c>
      <c r="N747" s="1309">
        <f t="shared" si="80"/>
        <v>0</v>
      </c>
      <c r="O747" s="1296" t="str">
        <f t="shared" si="81"/>
        <v>0</v>
      </c>
    </row>
    <row r="748" spans="1:15" s="1296" customFormat="1" hidden="1">
      <c r="A748" s="1310"/>
      <c r="B748" s="1311"/>
      <c r="C748" s="1312">
        <v>0</v>
      </c>
      <c r="D748" s="1313">
        <v>0</v>
      </c>
      <c r="E748" s="1314"/>
      <c r="F748" s="1315"/>
      <c r="G748" s="1316">
        <f>+SUMIF(asientos!$C$13:$C$1276,SYS_4_3_Digitos!A748,asientos!$B$13:$B$1276)</f>
        <v>0</v>
      </c>
      <c r="H748" s="1317">
        <f>+SUMIF(asientos!$I$13:$I$1276,SYS_4_3_Digitos!A748,asientos!$J$13:$J$1276)</f>
        <v>0</v>
      </c>
      <c r="I748" s="1314">
        <f t="shared" si="76"/>
        <v>0</v>
      </c>
      <c r="J748" s="1315">
        <f t="shared" si="77"/>
        <v>0</v>
      </c>
      <c r="L748" s="1308">
        <f t="shared" si="78"/>
        <v>0</v>
      </c>
      <c r="M748" s="1296" t="str">
        <f t="shared" si="79"/>
        <v>0</v>
      </c>
      <c r="N748" s="1309">
        <f t="shared" si="80"/>
        <v>0</v>
      </c>
      <c r="O748" s="1296" t="str">
        <f t="shared" si="81"/>
        <v>0</v>
      </c>
    </row>
    <row r="749" spans="1:15" s="1296" customFormat="1" hidden="1">
      <c r="A749" s="1310"/>
      <c r="B749" s="1311"/>
      <c r="C749" s="1312">
        <v>0</v>
      </c>
      <c r="D749" s="1313">
        <v>0</v>
      </c>
      <c r="E749" s="1314"/>
      <c r="F749" s="1315"/>
      <c r="G749" s="1316">
        <f>+SUMIF(asientos!$C$13:$C$1276,SYS_4_3_Digitos!A749,asientos!$B$13:$B$1276)</f>
        <v>0</v>
      </c>
      <c r="H749" s="1317">
        <f>+SUMIF(asientos!$I$13:$I$1276,SYS_4_3_Digitos!A749,asientos!$J$13:$J$1276)</f>
        <v>0</v>
      </c>
      <c r="I749" s="1314">
        <f t="shared" si="76"/>
        <v>0</v>
      </c>
      <c r="J749" s="1315">
        <f t="shared" si="77"/>
        <v>0</v>
      </c>
      <c r="L749" s="1308">
        <f t="shared" si="78"/>
        <v>0</v>
      </c>
      <c r="M749" s="1296" t="str">
        <f t="shared" si="79"/>
        <v>0</v>
      </c>
      <c r="N749" s="1309">
        <f t="shared" si="80"/>
        <v>0</v>
      </c>
      <c r="O749" s="1296" t="str">
        <f t="shared" si="81"/>
        <v>0</v>
      </c>
    </row>
    <row r="750" spans="1:15" s="1296" customFormat="1" hidden="1">
      <c r="A750" s="1310"/>
      <c r="B750" s="1311"/>
      <c r="C750" s="1312">
        <v>0</v>
      </c>
      <c r="D750" s="1313">
        <v>0</v>
      </c>
      <c r="E750" s="1314"/>
      <c r="F750" s="1315"/>
      <c r="G750" s="1316">
        <f>+SUMIF(asientos!$C$13:$C$1276,SYS_4_3_Digitos!A750,asientos!$B$13:$B$1276)</f>
        <v>0</v>
      </c>
      <c r="H750" s="1317">
        <f>+SUMIF(asientos!$I$13:$I$1276,SYS_4_3_Digitos!A750,asientos!$J$13:$J$1276)</f>
        <v>0</v>
      </c>
      <c r="I750" s="1314">
        <f t="shared" si="76"/>
        <v>0</v>
      </c>
      <c r="J750" s="1315">
        <f t="shared" si="77"/>
        <v>0</v>
      </c>
      <c r="L750" s="1308">
        <f t="shared" si="78"/>
        <v>0</v>
      </c>
      <c r="M750" s="1296" t="str">
        <f t="shared" si="79"/>
        <v>0</v>
      </c>
      <c r="N750" s="1309">
        <f t="shared" si="80"/>
        <v>0</v>
      </c>
      <c r="O750" s="1296" t="str">
        <f t="shared" si="81"/>
        <v>0</v>
      </c>
    </row>
    <row r="751" spans="1:15" s="1296" customFormat="1" hidden="1">
      <c r="A751" s="1310"/>
      <c r="B751" s="1311"/>
      <c r="C751" s="1312">
        <v>0</v>
      </c>
      <c r="D751" s="1313">
        <v>0</v>
      </c>
      <c r="E751" s="1314"/>
      <c r="F751" s="1315"/>
      <c r="G751" s="1316">
        <f>+SUMIF(asientos!$C$13:$C$1276,SYS_4_3_Digitos!A751,asientos!$B$13:$B$1276)</f>
        <v>0</v>
      </c>
      <c r="H751" s="1317">
        <f>+SUMIF(asientos!$I$13:$I$1276,SYS_4_3_Digitos!A751,asientos!$J$13:$J$1276)</f>
        <v>0</v>
      </c>
      <c r="I751" s="1314">
        <f t="shared" si="76"/>
        <v>0</v>
      </c>
      <c r="J751" s="1315">
        <f t="shared" si="77"/>
        <v>0</v>
      </c>
      <c r="L751" s="1308">
        <f t="shared" si="78"/>
        <v>0</v>
      </c>
      <c r="M751" s="1296" t="str">
        <f t="shared" si="79"/>
        <v>0</v>
      </c>
      <c r="N751" s="1309">
        <f t="shared" si="80"/>
        <v>0</v>
      </c>
      <c r="O751" s="1296" t="str">
        <f t="shared" si="81"/>
        <v>0</v>
      </c>
    </row>
    <row r="752" spans="1:15" s="1296" customFormat="1" hidden="1">
      <c r="A752" s="1310"/>
      <c r="B752" s="1311"/>
      <c r="C752" s="1312">
        <v>0</v>
      </c>
      <c r="D752" s="1313">
        <v>0</v>
      </c>
      <c r="E752" s="1314"/>
      <c r="F752" s="1315"/>
      <c r="G752" s="1316">
        <f>+SUMIF(asientos!$C$13:$C$1276,SYS_4_3_Digitos!A752,asientos!$B$13:$B$1276)</f>
        <v>0</v>
      </c>
      <c r="H752" s="1317">
        <f>+SUMIF(asientos!$I$13:$I$1276,SYS_4_3_Digitos!A752,asientos!$J$13:$J$1276)</f>
        <v>0</v>
      </c>
      <c r="I752" s="1314">
        <f t="shared" si="76"/>
        <v>0</v>
      </c>
      <c r="J752" s="1315">
        <f t="shared" si="77"/>
        <v>0</v>
      </c>
      <c r="L752" s="1308">
        <f t="shared" si="78"/>
        <v>0</v>
      </c>
      <c r="M752" s="1296" t="str">
        <f t="shared" si="79"/>
        <v>0</v>
      </c>
      <c r="N752" s="1309">
        <f t="shared" si="80"/>
        <v>0</v>
      </c>
      <c r="O752" s="1296" t="str">
        <f t="shared" si="81"/>
        <v>0</v>
      </c>
    </row>
    <row r="753" spans="1:15" s="1296" customFormat="1" hidden="1">
      <c r="A753" s="1310"/>
      <c r="B753" s="1311"/>
      <c r="C753" s="1312">
        <v>0</v>
      </c>
      <c r="D753" s="1313">
        <v>0</v>
      </c>
      <c r="E753" s="1314"/>
      <c r="F753" s="1315"/>
      <c r="G753" s="1316">
        <f>+SUMIF(asientos!$C$13:$C$1276,SYS_4_3_Digitos!A753,asientos!$B$13:$B$1276)</f>
        <v>0</v>
      </c>
      <c r="H753" s="1317">
        <f>+SUMIF(asientos!$I$13:$I$1276,SYS_4_3_Digitos!A753,asientos!$J$13:$J$1276)</f>
        <v>0</v>
      </c>
      <c r="I753" s="1314">
        <f t="shared" si="76"/>
        <v>0</v>
      </c>
      <c r="J753" s="1315">
        <f t="shared" si="77"/>
        <v>0</v>
      </c>
      <c r="L753" s="1308">
        <f t="shared" si="78"/>
        <v>0</v>
      </c>
      <c r="M753" s="1296" t="str">
        <f t="shared" si="79"/>
        <v>0</v>
      </c>
      <c r="N753" s="1309">
        <f t="shared" si="80"/>
        <v>0</v>
      </c>
      <c r="O753" s="1296" t="str">
        <f t="shared" si="81"/>
        <v>0</v>
      </c>
    </row>
    <row r="754" spans="1:15" s="1296" customFormat="1" hidden="1">
      <c r="A754" s="1310"/>
      <c r="B754" s="1311"/>
      <c r="C754" s="1312">
        <v>0</v>
      </c>
      <c r="D754" s="1313">
        <v>0</v>
      </c>
      <c r="E754" s="1314"/>
      <c r="F754" s="1315"/>
      <c r="G754" s="1316">
        <f>+SUMIF(asientos!$C$13:$C$1276,SYS_4_3_Digitos!A754,asientos!$B$13:$B$1276)</f>
        <v>0</v>
      </c>
      <c r="H754" s="1317">
        <f>+SUMIF(asientos!$I$13:$I$1276,SYS_4_3_Digitos!A754,asientos!$J$13:$J$1276)</f>
        <v>0</v>
      </c>
      <c r="I754" s="1314">
        <f t="shared" si="76"/>
        <v>0</v>
      </c>
      <c r="J754" s="1315">
        <f t="shared" si="77"/>
        <v>0</v>
      </c>
      <c r="L754" s="1308">
        <f t="shared" si="78"/>
        <v>0</v>
      </c>
      <c r="M754" s="1296" t="str">
        <f t="shared" si="79"/>
        <v>0</v>
      </c>
      <c r="N754" s="1309">
        <f t="shared" si="80"/>
        <v>0</v>
      </c>
      <c r="O754" s="1296" t="str">
        <f t="shared" si="81"/>
        <v>0</v>
      </c>
    </row>
    <row r="755" spans="1:15" s="1296" customFormat="1" hidden="1">
      <c r="A755" s="1310"/>
      <c r="B755" s="1311"/>
      <c r="C755" s="1312">
        <v>0</v>
      </c>
      <c r="D755" s="1313">
        <v>0</v>
      </c>
      <c r="E755" s="1314"/>
      <c r="F755" s="1315"/>
      <c r="G755" s="1316">
        <f>+SUMIF(asientos!$C$13:$C$1276,SYS_4_3_Digitos!A755,asientos!$B$13:$B$1276)</f>
        <v>0</v>
      </c>
      <c r="H755" s="1317">
        <f>+SUMIF(asientos!$I$13:$I$1276,SYS_4_3_Digitos!A755,asientos!$J$13:$J$1276)</f>
        <v>0</v>
      </c>
      <c r="I755" s="1314">
        <f t="shared" si="76"/>
        <v>0</v>
      </c>
      <c r="J755" s="1315">
        <f t="shared" si="77"/>
        <v>0</v>
      </c>
      <c r="L755" s="1308">
        <f t="shared" si="78"/>
        <v>0</v>
      </c>
      <c r="M755" s="1296" t="str">
        <f t="shared" si="79"/>
        <v>0</v>
      </c>
      <c r="N755" s="1309">
        <f t="shared" si="80"/>
        <v>0</v>
      </c>
      <c r="O755" s="1296" t="str">
        <f t="shared" si="81"/>
        <v>0</v>
      </c>
    </row>
    <row r="756" spans="1:15" s="1296" customFormat="1" hidden="1">
      <c r="A756" s="1310"/>
      <c r="B756" s="1311"/>
      <c r="C756" s="1312">
        <v>0</v>
      </c>
      <c r="D756" s="1313">
        <v>0</v>
      </c>
      <c r="E756" s="1314"/>
      <c r="F756" s="1315"/>
      <c r="G756" s="1316">
        <f>+SUMIF(asientos!$C$13:$C$1276,SYS_4_3_Digitos!A756,asientos!$B$13:$B$1276)</f>
        <v>0</v>
      </c>
      <c r="H756" s="1317">
        <f>+SUMIF(asientos!$I$13:$I$1276,SYS_4_3_Digitos!A756,asientos!$J$13:$J$1276)</f>
        <v>0</v>
      </c>
      <c r="I756" s="1314">
        <f t="shared" si="76"/>
        <v>0</v>
      </c>
      <c r="J756" s="1315">
        <f t="shared" si="77"/>
        <v>0</v>
      </c>
      <c r="L756" s="1308">
        <f t="shared" si="78"/>
        <v>0</v>
      </c>
      <c r="M756" s="1296" t="str">
        <f t="shared" si="79"/>
        <v>0</v>
      </c>
      <c r="N756" s="1309">
        <f t="shared" si="80"/>
        <v>0</v>
      </c>
      <c r="O756" s="1296" t="str">
        <f t="shared" si="81"/>
        <v>0</v>
      </c>
    </row>
    <row r="757" spans="1:15" s="1296" customFormat="1" hidden="1">
      <c r="A757" s="1310"/>
      <c r="B757" s="1311"/>
      <c r="C757" s="1312">
        <v>0</v>
      </c>
      <c r="D757" s="1313">
        <v>0</v>
      </c>
      <c r="E757" s="1314"/>
      <c r="F757" s="1315"/>
      <c r="G757" s="1316">
        <f>+SUMIF(asientos!$C$13:$C$1276,SYS_4_3_Digitos!A757,asientos!$B$13:$B$1276)</f>
        <v>0</v>
      </c>
      <c r="H757" s="1317">
        <f>+SUMIF(asientos!$I$13:$I$1276,SYS_4_3_Digitos!A757,asientos!$J$13:$J$1276)</f>
        <v>0</v>
      </c>
      <c r="I757" s="1314">
        <f t="shared" si="76"/>
        <v>0</v>
      </c>
      <c r="J757" s="1315">
        <f t="shared" si="77"/>
        <v>0</v>
      </c>
      <c r="L757" s="1308">
        <f t="shared" si="78"/>
        <v>0</v>
      </c>
      <c r="M757" s="1296" t="str">
        <f t="shared" si="79"/>
        <v>0</v>
      </c>
      <c r="N757" s="1309">
        <f t="shared" si="80"/>
        <v>0</v>
      </c>
      <c r="O757" s="1296" t="str">
        <f t="shared" si="81"/>
        <v>0</v>
      </c>
    </row>
    <row r="758" spans="1:15" s="1296" customFormat="1" hidden="1">
      <c r="A758" s="1310"/>
      <c r="B758" s="1311"/>
      <c r="C758" s="1312">
        <v>0</v>
      </c>
      <c r="D758" s="1313">
        <v>0</v>
      </c>
      <c r="E758" s="1314"/>
      <c r="F758" s="1315"/>
      <c r="G758" s="1316">
        <f>+SUMIF(asientos!$C$13:$C$1276,SYS_4_3_Digitos!A758,asientos!$B$13:$B$1276)</f>
        <v>0</v>
      </c>
      <c r="H758" s="1317">
        <f>+SUMIF(asientos!$I$13:$I$1276,SYS_4_3_Digitos!A758,asientos!$J$13:$J$1276)</f>
        <v>0</v>
      </c>
      <c r="I758" s="1314">
        <f t="shared" si="76"/>
        <v>0</v>
      </c>
      <c r="J758" s="1315">
        <f t="shared" si="77"/>
        <v>0</v>
      </c>
      <c r="L758" s="1308">
        <f t="shared" si="78"/>
        <v>0</v>
      </c>
      <c r="M758" s="1296" t="str">
        <f t="shared" si="79"/>
        <v>0</v>
      </c>
      <c r="N758" s="1309">
        <f t="shared" si="80"/>
        <v>0</v>
      </c>
      <c r="O758" s="1296" t="str">
        <f t="shared" si="81"/>
        <v>0</v>
      </c>
    </row>
    <row r="759" spans="1:15" s="1296" customFormat="1" hidden="1">
      <c r="A759" s="1310"/>
      <c r="B759" s="1311"/>
      <c r="C759" s="1312">
        <v>0</v>
      </c>
      <c r="D759" s="1313">
        <v>0</v>
      </c>
      <c r="E759" s="1314"/>
      <c r="F759" s="1315"/>
      <c r="G759" s="1316">
        <f>+SUMIF(asientos!$C$13:$C$1276,SYS_4_3_Digitos!A759,asientos!$B$13:$B$1276)</f>
        <v>0</v>
      </c>
      <c r="H759" s="1317">
        <f>+SUMIF(asientos!$I$13:$I$1276,SYS_4_3_Digitos!A759,asientos!$J$13:$J$1276)</f>
        <v>0</v>
      </c>
      <c r="I759" s="1314">
        <f t="shared" si="76"/>
        <v>0</v>
      </c>
      <c r="J759" s="1315">
        <f t="shared" si="77"/>
        <v>0</v>
      </c>
      <c r="L759" s="1308">
        <f t="shared" si="78"/>
        <v>0</v>
      </c>
      <c r="M759" s="1296" t="str">
        <f t="shared" si="79"/>
        <v>0</v>
      </c>
      <c r="N759" s="1309">
        <f t="shared" si="80"/>
        <v>0</v>
      </c>
      <c r="O759" s="1296" t="str">
        <f t="shared" si="81"/>
        <v>0</v>
      </c>
    </row>
    <row r="760" spans="1:15" s="1296" customFormat="1" hidden="1">
      <c r="A760" s="1310"/>
      <c r="B760" s="1311"/>
      <c r="C760" s="1312">
        <v>0</v>
      </c>
      <c r="D760" s="1313">
        <v>0</v>
      </c>
      <c r="E760" s="1314"/>
      <c r="F760" s="1315"/>
      <c r="G760" s="1316">
        <f>+SUMIF(asientos!$C$13:$C$1276,SYS_4_3_Digitos!A760,asientos!$B$13:$B$1276)</f>
        <v>0</v>
      </c>
      <c r="H760" s="1317">
        <f>+SUMIF(asientos!$I$13:$I$1276,SYS_4_3_Digitos!A760,asientos!$J$13:$J$1276)</f>
        <v>0</v>
      </c>
      <c r="I760" s="1314">
        <f t="shared" si="76"/>
        <v>0</v>
      </c>
      <c r="J760" s="1315">
        <f t="shared" si="77"/>
        <v>0</v>
      </c>
      <c r="L760" s="1308">
        <f t="shared" si="78"/>
        <v>0</v>
      </c>
      <c r="M760" s="1296" t="str">
        <f t="shared" si="79"/>
        <v>0</v>
      </c>
      <c r="N760" s="1309">
        <f t="shared" si="80"/>
        <v>0</v>
      </c>
      <c r="O760" s="1296" t="str">
        <f t="shared" si="81"/>
        <v>0</v>
      </c>
    </row>
    <row r="761" spans="1:15" s="1296" customFormat="1" hidden="1">
      <c r="A761" s="1310"/>
      <c r="B761" s="1311"/>
      <c r="C761" s="1312">
        <v>0</v>
      </c>
      <c r="D761" s="1313">
        <v>0</v>
      </c>
      <c r="E761" s="1314"/>
      <c r="F761" s="1315"/>
      <c r="G761" s="1316">
        <f>+SUMIF(asientos!$C$13:$C$1276,SYS_4_3_Digitos!A761,asientos!$B$13:$B$1276)</f>
        <v>0</v>
      </c>
      <c r="H761" s="1317">
        <f>+SUMIF(asientos!$I$13:$I$1276,SYS_4_3_Digitos!A761,asientos!$J$13:$J$1276)</f>
        <v>0</v>
      </c>
      <c r="I761" s="1314">
        <f t="shared" si="76"/>
        <v>0</v>
      </c>
      <c r="J761" s="1315">
        <f t="shared" si="77"/>
        <v>0</v>
      </c>
      <c r="L761" s="1308">
        <f t="shared" si="78"/>
        <v>0</v>
      </c>
      <c r="M761" s="1296" t="str">
        <f t="shared" si="79"/>
        <v>0</v>
      </c>
      <c r="N761" s="1309">
        <f t="shared" si="80"/>
        <v>0</v>
      </c>
      <c r="O761" s="1296" t="str">
        <f t="shared" si="81"/>
        <v>0</v>
      </c>
    </row>
    <row r="762" spans="1:15" s="1296" customFormat="1" hidden="1">
      <c r="A762" s="1310"/>
      <c r="B762" s="1311"/>
      <c r="C762" s="1312">
        <v>0</v>
      </c>
      <c r="D762" s="1313">
        <v>0</v>
      </c>
      <c r="E762" s="1314"/>
      <c r="F762" s="1315"/>
      <c r="G762" s="1316">
        <f>+SUMIF(asientos!$C$13:$C$1276,SYS_4_3_Digitos!A762,asientos!$B$13:$B$1276)</f>
        <v>0</v>
      </c>
      <c r="H762" s="1317">
        <f>+SUMIF(asientos!$I$13:$I$1276,SYS_4_3_Digitos!A762,asientos!$J$13:$J$1276)</f>
        <v>0</v>
      </c>
      <c r="I762" s="1314">
        <f t="shared" si="76"/>
        <v>0</v>
      </c>
      <c r="J762" s="1315">
        <f t="shared" si="77"/>
        <v>0</v>
      </c>
      <c r="L762" s="1308">
        <f t="shared" si="78"/>
        <v>0</v>
      </c>
      <c r="M762" s="1296" t="str">
        <f t="shared" si="79"/>
        <v>0</v>
      </c>
      <c r="N762" s="1309">
        <f t="shared" si="80"/>
        <v>0</v>
      </c>
      <c r="O762" s="1296" t="str">
        <f t="shared" si="81"/>
        <v>0</v>
      </c>
    </row>
    <row r="763" spans="1:15" s="1296" customFormat="1" hidden="1">
      <c r="A763" s="1310"/>
      <c r="B763" s="1311"/>
      <c r="C763" s="1312">
        <v>0</v>
      </c>
      <c r="D763" s="1313">
        <v>0</v>
      </c>
      <c r="E763" s="1314"/>
      <c r="F763" s="1315"/>
      <c r="G763" s="1316">
        <f>+SUMIF(asientos!$C$13:$C$1276,SYS_4_3_Digitos!A763,asientos!$B$13:$B$1276)</f>
        <v>0</v>
      </c>
      <c r="H763" s="1317">
        <f>+SUMIF(asientos!$I$13:$I$1276,SYS_4_3_Digitos!A763,asientos!$J$13:$J$1276)</f>
        <v>0</v>
      </c>
      <c r="I763" s="1314">
        <f t="shared" si="76"/>
        <v>0</v>
      </c>
      <c r="J763" s="1315">
        <f t="shared" si="77"/>
        <v>0</v>
      </c>
      <c r="L763" s="1308">
        <f t="shared" si="78"/>
        <v>0</v>
      </c>
      <c r="M763" s="1296" t="str">
        <f t="shared" si="79"/>
        <v>0</v>
      </c>
      <c r="N763" s="1309">
        <f t="shared" si="80"/>
        <v>0</v>
      </c>
      <c r="O763" s="1296" t="str">
        <f t="shared" si="81"/>
        <v>0</v>
      </c>
    </row>
    <row r="764" spans="1:15" s="1296" customFormat="1" hidden="1">
      <c r="A764" s="1310"/>
      <c r="B764" s="1311"/>
      <c r="C764" s="1312">
        <v>0</v>
      </c>
      <c r="D764" s="1313">
        <v>0</v>
      </c>
      <c r="E764" s="1314"/>
      <c r="F764" s="1315"/>
      <c r="G764" s="1316">
        <f>+SUMIF(asientos!$C$13:$C$1276,SYS_4_3_Digitos!A764,asientos!$B$13:$B$1276)</f>
        <v>0</v>
      </c>
      <c r="H764" s="1317">
        <f>+SUMIF(asientos!$I$13:$I$1276,SYS_4_3_Digitos!A764,asientos!$J$13:$J$1276)</f>
        <v>0</v>
      </c>
      <c r="I764" s="1314">
        <f t="shared" si="76"/>
        <v>0</v>
      </c>
      <c r="J764" s="1315">
        <f t="shared" si="77"/>
        <v>0</v>
      </c>
      <c r="L764" s="1308">
        <f t="shared" si="78"/>
        <v>0</v>
      </c>
      <c r="M764" s="1296" t="str">
        <f t="shared" si="79"/>
        <v>0</v>
      </c>
      <c r="N764" s="1309">
        <f t="shared" si="80"/>
        <v>0</v>
      </c>
      <c r="O764" s="1296" t="str">
        <f t="shared" si="81"/>
        <v>0</v>
      </c>
    </row>
    <row r="765" spans="1:15" s="1296" customFormat="1" hidden="1">
      <c r="A765" s="1310"/>
      <c r="B765" s="1311"/>
      <c r="C765" s="1312">
        <v>0</v>
      </c>
      <c r="D765" s="1313">
        <v>0</v>
      </c>
      <c r="E765" s="1314"/>
      <c r="F765" s="1315"/>
      <c r="G765" s="1316">
        <f>+SUMIF(asientos!$C$13:$C$1276,SYS_4_3_Digitos!A765,asientos!$B$13:$B$1276)</f>
        <v>0</v>
      </c>
      <c r="H765" s="1317">
        <f>+SUMIF(asientos!$I$13:$I$1276,SYS_4_3_Digitos!A765,asientos!$J$13:$J$1276)</f>
        <v>0</v>
      </c>
      <c r="I765" s="1314">
        <f t="shared" si="76"/>
        <v>0</v>
      </c>
      <c r="J765" s="1315">
        <f t="shared" si="77"/>
        <v>0</v>
      </c>
      <c r="L765" s="1308">
        <f t="shared" si="78"/>
        <v>0</v>
      </c>
      <c r="M765" s="1296" t="str">
        <f t="shared" si="79"/>
        <v>0</v>
      </c>
      <c r="N765" s="1309">
        <f t="shared" si="80"/>
        <v>0</v>
      </c>
      <c r="O765" s="1296" t="str">
        <f t="shared" si="81"/>
        <v>0</v>
      </c>
    </row>
    <row r="766" spans="1:15" s="1296" customFormat="1" hidden="1">
      <c r="A766" s="1310"/>
      <c r="B766" s="1311"/>
      <c r="C766" s="1312">
        <v>0</v>
      </c>
      <c r="D766" s="1313">
        <v>0</v>
      </c>
      <c r="E766" s="1314"/>
      <c r="F766" s="1315"/>
      <c r="G766" s="1316">
        <f>+SUMIF(asientos!$C$13:$C$1276,SYS_4_3_Digitos!A766,asientos!$B$13:$B$1276)</f>
        <v>0</v>
      </c>
      <c r="H766" s="1317">
        <f>+SUMIF(asientos!$I$13:$I$1276,SYS_4_3_Digitos!A766,asientos!$J$13:$J$1276)</f>
        <v>0</v>
      </c>
      <c r="I766" s="1314">
        <f t="shared" si="76"/>
        <v>0</v>
      </c>
      <c r="J766" s="1315">
        <f t="shared" si="77"/>
        <v>0</v>
      </c>
      <c r="L766" s="1308">
        <f t="shared" si="78"/>
        <v>0</v>
      </c>
      <c r="M766" s="1296" t="str">
        <f t="shared" si="79"/>
        <v>0</v>
      </c>
      <c r="N766" s="1309">
        <f t="shared" si="80"/>
        <v>0</v>
      </c>
      <c r="O766" s="1296" t="str">
        <f t="shared" si="81"/>
        <v>0</v>
      </c>
    </row>
    <row r="767" spans="1:15" s="1296" customFormat="1" hidden="1">
      <c r="A767" s="1310"/>
      <c r="B767" s="1311"/>
      <c r="C767" s="1312">
        <v>0</v>
      </c>
      <c r="D767" s="1313">
        <v>0</v>
      </c>
      <c r="E767" s="1314"/>
      <c r="F767" s="1315"/>
      <c r="G767" s="1316">
        <f>+SUMIF(asientos!$C$13:$C$1276,SYS_4_3_Digitos!A767,asientos!$B$13:$B$1276)</f>
        <v>0</v>
      </c>
      <c r="H767" s="1317">
        <f>+SUMIF(asientos!$I$13:$I$1276,SYS_4_3_Digitos!A767,asientos!$J$13:$J$1276)</f>
        <v>0</v>
      </c>
      <c r="I767" s="1314">
        <f t="shared" si="76"/>
        <v>0</v>
      </c>
      <c r="J767" s="1315">
        <f t="shared" si="77"/>
        <v>0</v>
      </c>
      <c r="L767" s="1308">
        <f t="shared" si="78"/>
        <v>0</v>
      </c>
      <c r="M767" s="1296" t="str">
        <f t="shared" si="79"/>
        <v>0</v>
      </c>
      <c r="N767" s="1309">
        <f t="shared" si="80"/>
        <v>0</v>
      </c>
      <c r="O767" s="1296" t="str">
        <f t="shared" si="81"/>
        <v>0</v>
      </c>
    </row>
    <row r="768" spans="1:15" s="1296" customFormat="1" hidden="1">
      <c r="A768" s="1310"/>
      <c r="B768" s="1311"/>
      <c r="C768" s="1312">
        <v>0</v>
      </c>
      <c r="D768" s="1313">
        <v>0</v>
      </c>
      <c r="E768" s="1314"/>
      <c r="F768" s="1315"/>
      <c r="G768" s="1316">
        <f>+SUMIF(asientos!$C$13:$C$1276,SYS_4_3_Digitos!A768,asientos!$B$13:$B$1276)</f>
        <v>0</v>
      </c>
      <c r="H768" s="1317">
        <f>+SUMIF(asientos!$I$13:$I$1276,SYS_4_3_Digitos!A768,asientos!$J$13:$J$1276)</f>
        <v>0</v>
      </c>
      <c r="I768" s="1314">
        <f t="shared" si="76"/>
        <v>0</v>
      </c>
      <c r="J768" s="1315">
        <f t="shared" si="77"/>
        <v>0</v>
      </c>
      <c r="L768" s="1308">
        <f t="shared" si="78"/>
        <v>0</v>
      </c>
      <c r="M768" s="1296" t="str">
        <f t="shared" si="79"/>
        <v>0</v>
      </c>
      <c r="N768" s="1309">
        <f t="shared" si="80"/>
        <v>0</v>
      </c>
      <c r="O768" s="1296" t="str">
        <f t="shared" si="81"/>
        <v>0</v>
      </c>
    </row>
    <row r="769" spans="1:15" s="1296" customFormat="1" hidden="1">
      <c r="A769" s="1310"/>
      <c r="B769" s="1311"/>
      <c r="C769" s="1312">
        <v>0</v>
      </c>
      <c r="D769" s="1313">
        <v>0</v>
      </c>
      <c r="E769" s="1314"/>
      <c r="F769" s="1315"/>
      <c r="G769" s="1316">
        <f>+SUMIF(asientos!$C$13:$C$1276,SYS_4_3_Digitos!A769,asientos!$B$13:$B$1276)</f>
        <v>0</v>
      </c>
      <c r="H769" s="1317">
        <f>+SUMIF(asientos!$I$13:$I$1276,SYS_4_3_Digitos!A769,asientos!$J$13:$J$1276)</f>
        <v>0</v>
      </c>
      <c r="I769" s="1314">
        <f t="shared" si="76"/>
        <v>0</v>
      </c>
      <c r="J769" s="1315">
        <f t="shared" si="77"/>
        <v>0</v>
      </c>
      <c r="L769" s="1308">
        <f t="shared" si="78"/>
        <v>0</v>
      </c>
      <c r="M769" s="1296" t="str">
        <f t="shared" si="79"/>
        <v>0</v>
      </c>
      <c r="N769" s="1309">
        <f t="shared" si="80"/>
        <v>0</v>
      </c>
      <c r="O769" s="1296" t="str">
        <f t="shared" si="81"/>
        <v>0</v>
      </c>
    </row>
    <row r="770" spans="1:15" s="1296" customFormat="1" hidden="1">
      <c r="A770" s="1310"/>
      <c r="B770" s="1311"/>
      <c r="C770" s="1312">
        <v>0</v>
      </c>
      <c r="D770" s="1313">
        <v>0</v>
      </c>
      <c r="E770" s="1314"/>
      <c r="F770" s="1315"/>
      <c r="G770" s="1316">
        <f>+SUMIF(asientos!$C$13:$C$1276,SYS_4_3_Digitos!A770,asientos!$B$13:$B$1276)</f>
        <v>0</v>
      </c>
      <c r="H770" s="1317">
        <f>+SUMIF(asientos!$I$13:$I$1276,SYS_4_3_Digitos!A770,asientos!$J$13:$J$1276)</f>
        <v>0</v>
      </c>
      <c r="I770" s="1314">
        <f t="shared" si="76"/>
        <v>0</v>
      </c>
      <c r="J770" s="1315">
        <f t="shared" si="77"/>
        <v>0</v>
      </c>
      <c r="L770" s="1308">
        <f t="shared" si="78"/>
        <v>0</v>
      </c>
      <c r="M770" s="1296" t="str">
        <f t="shared" si="79"/>
        <v>0</v>
      </c>
      <c r="N770" s="1309">
        <f t="shared" si="80"/>
        <v>0</v>
      </c>
      <c r="O770" s="1296" t="str">
        <f t="shared" si="81"/>
        <v>0</v>
      </c>
    </row>
    <row r="771" spans="1:15" s="1296" customFormat="1" hidden="1">
      <c r="A771" s="1310"/>
      <c r="B771" s="1311"/>
      <c r="C771" s="1312">
        <v>0</v>
      </c>
      <c r="D771" s="1313">
        <v>0</v>
      </c>
      <c r="E771" s="1314"/>
      <c r="F771" s="1315"/>
      <c r="G771" s="1316">
        <f>+SUMIF(asientos!$C$13:$C$1276,SYS_4_3_Digitos!A771,asientos!$B$13:$B$1276)</f>
        <v>0</v>
      </c>
      <c r="H771" s="1317">
        <f>+SUMIF(asientos!$I$13:$I$1276,SYS_4_3_Digitos!A771,asientos!$J$13:$J$1276)</f>
        <v>0</v>
      </c>
      <c r="I771" s="1314">
        <f t="shared" si="76"/>
        <v>0</v>
      </c>
      <c r="J771" s="1315">
        <f t="shared" si="77"/>
        <v>0</v>
      </c>
      <c r="L771" s="1308">
        <f t="shared" si="78"/>
        <v>0</v>
      </c>
      <c r="M771" s="1296" t="str">
        <f t="shared" si="79"/>
        <v>0</v>
      </c>
      <c r="N771" s="1309">
        <f t="shared" si="80"/>
        <v>0</v>
      </c>
      <c r="O771" s="1296" t="str">
        <f t="shared" si="81"/>
        <v>0</v>
      </c>
    </row>
    <row r="772" spans="1:15" s="1296" customFormat="1" hidden="1">
      <c r="A772" s="1310"/>
      <c r="B772" s="1311"/>
      <c r="C772" s="1312">
        <v>0</v>
      </c>
      <c r="D772" s="1313">
        <v>0</v>
      </c>
      <c r="E772" s="1314"/>
      <c r="F772" s="1315"/>
      <c r="G772" s="1316">
        <f>+SUMIF(asientos!$C$13:$C$1276,SYS_4_3_Digitos!A772,asientos!$B$13:$B$1276)</f>
        <v>0</v>
      </c>
      <c r="H772" s="1317">
        <f>+SUMIF(asientos!$I$13:$I$1276,SYS_4_3_Digitos!A772,asientos!$J$13:$J$1276)</f>
        <v>0</v>
      </c>
      <c r="I772" s="1314">
        <f t="shared" si="76"/>
        <v>0</v>
      </c>
      <c r="J772" s="1315">
        <f t="shared" si="77"/>
        <v>0</v>
      </c>
      <c r="L772" s="1308">
        <f t="shared" si="78"/>
        <v>0</v>
      </c>
      <c r="M772" s="1296" t="str">
        <f t="shared" si="79"/>
        <v>0</v>
      </c>
      <c r="N772" s="1309">
        <f t="shared" si="80"/>
        <v>0</v>
      </c>
      <c r="O772" s="1296" t="str">
        <f t="shared" si="81"/>
        <v>0</v>
      </c>
    </row>
    <row r="773" spans="1:15" s="1296" customFormat="1" hidden="1">
      <c r="A773" s="1310"/>
      <c r="B773" s="1311"/>
      <c r="C773" s="1312">
        <v>0</v>
      </c>
      <c r="D773" s="1313">
        <v>0</v>
      </c>
      <c r="E773" s="1314"/>
      <c r="F773" s="1315"/>
      <c r="G773" s="1316">
        <f>+SUMIF(asientos!$C$13:$C$1276,SYS_4_3_Digitos!A773,asientos!$B$13:$B$1276)</f>
        <v>0</v>
      </c>
      <c r="H773" s="1317">
        <f>+SUMIF(asientos!$I$13:$I$1276,SYS_4_3_Digitos!A773,asientos!$J$13:$J$1276)</f>
        <v>0</v>
      </c>
      <c r="I773" s="1314">
        <f t="shared" si="76"/>
        <v>0</v>
      </c>
      <c r="J773" s="1315">
        <f t="shared" si="77"/>
        <v>0</v>
      </c>
      <c r="L773" s="1308">
        <f t="shared" si="78"/>
        <v>0</v>
      </c>
      <c r="M773" s="1296" t="str">
        <f t="shared" si="79"/>
        <v>0</v>
      </c>
      <c r="N773" s="1309">
        <f t="shared" si="80"/>
        <v>0</v>
      </c>
      <c r="O773" s="1296" t="str">
        <f t="shared" si="81"/>
        <v>0</v>
      </c>
    </row>
    <row r="774" spans="1:15" s="1296" customFormat="1" hidden="1">
      <c r="A774" s="1310"/>
      <c r="B774" s="1311"/>
      <c r="C774" s="1312">
        <v>0</v>
      </c>
      <c r="D774" s="1313">
        <v>0</v>
      </c>
      <c r="E774" s="1314"/>
      <c r="F774" s="1315"/>
      <c r="G774" s="1316">
        <f>+SUMIF(asientos!$C$13:$C$1276,SYS_4_3_Digitos!A774,asientos!$B$13:$B$1276)</f>
        <v>0</v>
      </c>
      <c r="H774" s="1317">
        <f>+SUMIF(asientos!$I$13:$I$1276,SYS_4_3_Digitos!A774,asientos!$J$13:$J$1276)</f>
        <v>0</v>
      </c>
      <c r="I774" s="1314">
        <f t="shared" si="76"/>
        <v>0</v>
      </c>
      <c r="J774" s="1315">
        <f t="shared" si="77"/>
        <v>0</v>
      </c>
      <c r="L774" s="1308">
        <f t="shared" si="78"/>
        <v>0</v>
      </c>
      <c r="M774" s="1296" t="str">
        <f t="shared" si="79"/>
        <v>0</v>
      </c>
      <c r="N774" s="1309">
        <f t="shared" si="80"/>
        <v>0</v>
      </c>
      <c r="O774" s="1296" t="str">
        <f t="shared" si="81"/>
        <v>0</v>
      </c>
    </row>
    <row r="775" spans="1:15" s="1296" customFormat="1" hidden="1">
      <c r="A775" s="1310"/>
      <c r="B775" s="1311"/>
      <c r="C775" s="1312">
        <v>0</v>
      </c>
      <c r="D775" s="1313">
        <v>0</v>
      </c>
      <c r="E775" s="1314"/>
      <c r="F775" s="1315"/>
      <c r="G775" s="1316">
        <f>+SUMIF(asientos!$C$13:$C$1276,SYS_4_3_Digitos!A775,asientos!$B$13:$B$1276)</f>
        <v>0</v>
      </c>
      <c r="H775" s="1317">
        <f>+SUMIF(asientos!$I$13:$I$1276,SYS_4_3_Digitos!A775,asientos!$J$13:$J$1276)</f>
        <v>0</v>
      </c>
      <c r="I775" s="1314">
        <f t="shared" si="76"/>
        <v>0</v>
      </c>
      <c r="J775" s="1315">
        <f t="shared" si="77"/>
        <v>0</v>
      </c>
      <c r="L775" s="1308">
        <f t="shared" si="78"/>
        <v>0</v>
      </c>
      <c r="M775" s="1296" t="str">
        <f t="shared" si="79"/>
        <v>0</v>
      </c>
      <c r="N775" s="1309">
        <f t="shared" si="80"/>
        <v>0</v>
      </c>
      <c r="O775" s="1296" t="str">
        <f t="shared" si="81"/>
        <v>0</v>
      </c>
    </row>
    <row r="776" spans="1:15" s="1296" customFormat="1" hidden="1">
      <c r="A776" s="1310"/>
      <c r="B776" s="1311"/>
      <c r="C776" s="1312">
        <v>0</v>
      </c>
      <c r="D776" s="1313">
        <v>0</v>
      </c>
      <c r="E776" s="1314"/>
      <c r="F776" s="1315"/>
      <c r="G776" s="1316">
        <f>+SUMIF(asientos!$C$13:$C$1276,SYS_4_3_Digitos!A776,asientos!$B$13:$B$1276)</f>
        <v>0</v>
      </c>
      <c r="H776" s="1317">
        <f>+SUMIF(asientos!$I$13:$I$1276,SYS_4_3_Digitos!A776,asientos!$J$13:$J$1276)</f>
        <v>0</v>
      </c>
      <c r="I776" s="1314">
        <f t="shared" si="76"/>
        <v>0</v>
      </c>
      <c r="J776" s="1315">
        <f t="shared" si="77"/>
        <v>0</v>
      </c>
      <c r="L776" s="1308">
        <f t="shared" si="78"/>
        <v>0</v>
      </c>
      <c r="M776" s="1296" t="str">
        <f t="shared" si="79"/>
        <v>0</v>
      </c>
      <c r="N776" s="1309">
        <f t="shared" si="80"/>
        <v>0</v>
      </c>
      <c r="O776" s="1296" t="str">
        <f t="shared" si="81"/>
        <v>0</v>
      </c>
    </row>
    <row r="777" spans="1:15" s="1296" customFormat="1" hidden="1">
      <c r="A777" s="1310"/>
      <c r="B777" s="1311"/>
      <c r="C777" s="1312">
        <v>0</v>
      </c>
      <c r="D777" s="1313">
        <v>0</v>
      </c>
      <c r="E777" s="1314"/>
      <c r="F777" s="1315"/>
      <c r="G777" s="1316">
        <f>+SUMIF(asientos!$C$13:$C$1276,SYS_4_3_Digitos!A777,asientos!$B$13:$B$1276)</f>
        <v>0</v>
      </c>
      <c r="H777" s="1317">
        <f>+SUMIF(asientos!$I$13:$I$1276,SYS_4_3_Digitos!A777,asientos!$J$13:$J$1276)</f>
        <v>0</v>
      </c>
      <c r="I777" s="1314">
        <f t="shared" si="76"/>
        <v>0</v>
      </c>
      <c r="J777" s="1315">
        <f t="shared" si="77"/>
        <v>0</v>
      </c>
      <c r="L777" s="1308">
        <f t="shared" si="78"/>
        <v>0</v>
      </c>
      <c r="M777" s="1296" t="str">
        <f t="shared" si="79"/>
        <v>0</v>
      </c>
      <c r="N777" s="1309">
        <f t="shared" si="80"/>
        <v>0</v>
      </c>
      <c r="O777" s="1296" t="str">
        <f t="shared" si="81"/>
        <v>0</v>
      </c>
    </row>
    <row r="778" spans="1:15" s="1296" customFormat="1" hidden="1">
      <c r="A778" s="1310"/>
      <c r="B778" s="1311"/>
      <c r="C778" s="1312">
        <v>0</v>
      </c>
      <c r="D778" s="1313">
        <v>0</v>
      </c>
      <c r="E778" s="1314"/>
      <c r="F778" s="1315"/>
      <c r="G778" s="1316">
        <f>+SUMIF(asientos!$C$13:$C$1276,SYS_4_3_Digitos!A778,asientos!$B$13:$B$1276)</f>
        <v>0</v>
      </c>
      <c r="H778" s="1317">
        <f>+SUMIF(asientos!$I$13:$I$1276,SYS_4_3_Digitos!A778,asientos!$J$13:$J$1276)</f>
        <v>0</v>
      </c>
      <c r="I778" s="1314">
        <f t="shared" si="76"/>
        <v>0</v>
      </c>
      <c r="J778" s="1315">
        <f t="shared" si="77"/>
        <v>0</v>
      </c>
      <c r="L778" s="1308">
        <f t="shared" si="78"/>
        <v>0</v>
      </c>
      <c r="M778" s="1296" t="str">
        <f t="shared" si="79"/>
        <v>0</v>
      </c>
      <c r="N778" s="1309">
        <f t="shared" si="80"/>
        <v>0</v>
      </c>
      <c r="O778" s="1296" t="str">
        <f t="shared" si="81"/>
        <v>0</v>
      </c>
    </row>
    <row r="779" spans="1:15" s="1296" customFormat="1" hidden="1">
      <c r="A779" s="1310"/>
      <c r="B779" s="1311"/>
      <c r="C779" s="1312">
        <v>0</v>
      </c>
      <c r="D779" s="1313">
        <v>0</v>
      </c>
      <c r="E779" s="1314"/>
      <c r="F779" s="1315"/>
      <c r="G779" s="1316">
        <f>+SUMIF(asientos!$C$13:$C$1276,SYS_4_3_Digitos!A779,asientos!$B$13:$B$1276)</f>
        <v>0</v>
      </c>
      <c r="H779" s="1317">
        <f>+SUMIF(asientos!$I$13:$I$1276,SYS_4_3_Digitos!A779,asientos!$J$13:$J$1276)</f>
        <v>0</v>
      </c>
      <c r="I779" s="1314">
        <f t="shared" si="76"/>
        <v>0</v>
      </c>
      <c r="J779" s="1315">
        <f t="shared" si="77"/>
        <v>0</v>
      </c>
      <c r="L779" s="1308">
        <f t="shared" si="78"/>
        <v>0</v>
      </c>
      <c r="M779" s="1296" t="str">
        <f t="shared" si="79"/>
        <v>0</v>
      </c>
      <c r="N779" s="1309">
        <f t="shared" si="80"/>
        <v>0</v>
      </c>
      <c r="O779" s="1296" t="str">
        <f t="shared" si="81"/>
        <v>0</v>
      </c>
    </row>
    <row r="780" spans="1:15" s="1296" customFormat="1" hidden="1">
      <c r="A780" s="1310"/>
      <c r="B780" s="1311"/>
      <c r="C780" s="1312">
        <v>0</v>
      </c>
      <c r="D780" s="1313">
        <v>0</v>
      </c>
      <c r="E780" s="1314"/>
      <c r="F780" s="1315"/>
      <c r="G780" s="1316">
        <f>+SUMIF(asientos!$C$13:$C$1276,SYS_4_3_Digitos!A780,asientos!$B$13:$B$1276)</f>
        <v>0</v>
      </c>
      <c r="H780" s="1317">
        <f>+SUMIF(asientos!$I$13:$I$1276,SYS_4_3_Digitos!A780,asientos!$J$13:$J$1276)</f>
        <v>0</v>
      </c>
      <c r="I780" s="1314">
        <f t="shared" si="76"/>
        <v>0</v>
      </c>
      <c r="J780" s="1315">
        <f t="shared" si="77"/>
        <v>0</v>
      </c>
      <c r="L780" s="1308">
        <f t="shared" si="78"/>
        <v>0</v>
      </c>
      <c r="M780" s="1296" t="str">
        <f t="shared" si="79"/>
        <v>0</v>
      </c>
      <c r="N780" s="1309">
        <f t="shared" si="80"/>
        <v>0</v>
      </c>
      <c r="O780" s="1296" t="str">
        <f t="shared" si="81"/>
        <v>0</v>
      </c>
    </row>
    <row r="781" spans="1:15" s="1296" customFormat="1" hidden="1">
      <c r="A781" s="1310"/>
      <c r="B781" s="1311"/>
      <c r="C781" s="1312">
        <v>0</v>
      </c>
      <c r="D781" s="1313">
        <v>0</v>
      </c>
      <c r="E781" s="1314"/>
      <c r="F781" s="1315"/>
      <c r="G781" s="1316">
        <f>+SUMIF(asientos!$C$13:$C$1276,SYS_4_3_Digitos!A781,asientos!$B$13:$B$1276)</f>
        <v>0</v>
      </c>
      <c r="H781" s="1317">
        <f>+SUMIF(asientos!$I$13:$I$1276,SYS_4_3_Digitos!A781,asientos!$J$13:$J$1276)</f>
        <v>0</v>
      </c>
      <c r="I781" s="1314">
        <f t="shared" si="76"/>
        <v>0</v>
      </c>
      <c r="J781" s="1315">
        <f t="shared" si="77"/>
        <v>0</v>
      </c>
      <c r="L781" s="1308">
        <f t="shared" si="78"/>
        <v>0</v>
      </c>
      <c r="M781" s="1296" t="str">
        <f t="shared" si="79"/>
        <v>0</v>
      </c>
      <c r="N781" s="1309">
        <f t="shared" si="80"/>
        <v>0</v>
      </c>
      <c r="O781" s="1296" t="str">
        <f t="shared" si="81"/>
        <v>0</v>
      </c>
    </row>
    <row r="782" spans="1:15" s="1296" customFormat="1" hidden="1">
      <c r="A782" s="1310"/>
      <c r="B782" s="1311"/>
      <c r="C782" s="1312">
        <v>0</v>
      </c>
      <c r="D782" s="1313">
        <v>0</v>
      </c>
      <c r="E782" s="1314"/>
      <c r="F782" s="1315"/>
      <c r="G782" s="1316">
        <f>+SUMIF(asientos!$C$13:$C$1276,SYS_4_3_Digitos!A782,asientos!$B$13:$B$1276)</f>
        <v>0</v>
      </c>
      <c r="H782" s="1317">
        <f>+SUMIF(asientos!$I$13:$I$1276,SYS_4_3_Digitos!A782,asientos!$J$13:$J$1276)</f>
        <v>0</v>
      </c>
      <c r="I782" s="1314">
        <f t="shared" si="76"/>
        <v>0</v>
      </c>
      <c r="J782" s="1315">
        <f t="shared" si="77"/>
        <v>0</v>
      </c>
      <c r="L782" s="1308">
        <f t="shared" si="78"/>
        <v>0</v>
      </c>
      <c r="M782" s="1296" t="str">
        <f t="shared" si="79"/>
        <v>0</v>
      </c>
      <c r="N782" s="1309">
        <f t="shared" si="80"/>
        <v>0</v>
      </c>
      <c r="O782" s="1296" t="str">
        <f t="shared" si="81"/>
        <v>0</v>
      </c>
    </row>
    <row r="783" spans="1:15" s="1296" customFormat="1" hidden="1">
      <c r="A783" s="1310"/>
      <c r="B783" s="1311"/>
      <c r="C783" s="1312">
        <v>0</v>
      </c>
      <c r="D783" s="1313">
        <v>0</v>
      </c>
      <c r="E783" s="1314"/>
      <c r="F783" s="1315"/>
      <c r="G783" s="1316">
        <f>+SUMIF(asientos!$C$13:$C$1276,SYS_4_3_Digitos!A783,asientos!$B$13:$B$1276)</f>
        <v>0</v>
      </c>
      <c r="H783" s="1317">
        <f>+SUMIF(asientos!$I$13:$I$1276,SYS_4_3_Digitos!A783,asientos!$J$13:$J$1276)</f>
        <v>0</v>
      </c>
      <c r="I783" s="1314">
        <f t="shared" si="76"/>
        <v>0</v>
      </c>
      <c r="J783" s="1315">
        <f t="shared" si="77"/>
        <v>0</v>
      </c>
      <c r="L783" s="1308">
        <f t="shared" si="78"/>
        <v>0</v>
      </c>
      <c r="M783" s="1296" t="str">
        <f t="shared" si="79"/>
        <v>0</v>
      </c>
      <c r="N783" s="1309">
        <f t="shared" si="80"/>
        <v>0</v>
      </c>
      <c r="O783" s="1296" t="str">
        <f t="shared" si="81"/>
        <v>0</v>
      </c>
    </row>
    <row r="784" spans="1:15" s="1296" customFormat="1" hidden="1">
      <c r="A784" s="1310"/>
      <c r="B784" s="1311"/>
      <c r="C784" s="1312">
        <v>0</v>
      </c>
      <c r="D784" s="1313">
        <v>0</v>
      </c>
      <c r="E784" s="1314"/>
      <c r="F784" s="1315"/>
      <c r="G784" s="1316">
        <f>+SUMIF(asientos!$C$13:$C$1276,SYS_4_3_Digitos!A784,asientos!$B$13:$B$1276)</f>
        <v>0</v>
      </c>
      <c r="H784" s="1317">
        <f>+SUMIF(asientos!$I$13:$I$1276,SYS_4_3_Digitos!A784,asientos!$J$13:$J$1276)</f>
        <v>0</v>
      </c>
      <c r="I784" s="1314">
        <f t="shared" si="76"/>
        <v>0</v>
      </c>
      <c r="J784" s="1315">
        <f t="shared" si="77"/>
        <v>0</v>
      </c>
      <c r="L784" s="1308">
        <f t="shared" si="78"/>
        <v>0</v>
      </c>
      <c r="M784" s="1296" t="str">
        <f t="shared" si="79"/>
        <v>0</v>
      </c>
      <c r="N784" s="1309">
        <f t="shared" si="80"/>
        <v>0</v>
      </c>
      <c r="O784" s="1296" t="str">
        <f t="shared" si="81"/>
        <v>0</v>
      </c>
    </row>
    <row r="785" spans="1:15" s="1296" customFormat="1" hidden="1">
      <c r="A785" s="1310"/>
      <c r="B785" s="1311"/>
      <c r="C785" s="1312">
        <v>0</v>
      </c>
      <c r="D785" s="1313">
        <v>0</v>
      </c>
      <c r="E785" s="1314"/>
      <c r="F785" s="1315"/>
      <c r="G785" s="1316">
        <f>+SUMIF(asientos!$C$13:$C$1276,SYS_4_3_Digitos!A785,asientos!$B$13:$B$1276)</f>
        <v>0</v>
      </c>
      <c r="H785" s="1317">
        <f>+SUMIF(asientos!$I$13:$I$1276,SYS_4_3_Digitos!A785,asientos!$J$13:$J$1276)</f>
        <v>0</v>
      </c>
      <c r="I785" s="1314">
        <f t="shared" si="76"/>
        <v>0</v>
      </c>
      <c r="J785" s="1315">
        <f t="shared" si="77"/>
        <v>0</v>
      </c>
      <c r="L785" s="1308">
        <f t="shared" si="78"/>
        <v>0</v>
      </c>
      <c r="M785" s="1296" t="str">
        <f t="shared" si="79"/>
        <v>0</v>
      </c>
      <c r="N785" s="1309">
        <f t="shared" si="80"/>
        <v>0</v>
      </c>
      <c r="O785" s="1296" t="str">
        <f t="shared" si="81"/>
        <v>0</v>
      </c>
    </row>
    <row r="786" spans="1:15" s="1296" customFormat="1" hidden="1">
      <c r="A786" s="1310"/>
      <c r="B786" s="1311"/>
      <c r="C786" s="1312">
        <v>0</v>
      </c>
      <c r="D786" s="1313">
        <v>0</v>
      </c>
      <c r="E786" s="1314"/>
      <c r="F786" s="1315"/>
      <c r="G786" s="1316">
        <f>+SUMIF(asientos!$C$13:$C$1276,SYS_4_3_Digitos!A786,asientos!$B$13:$B$1276)</f>
        <v>0</v>
      </c>
      <c r="H786" s="1317">
        <f>+SUMIF(asientos!$I$13:$I$1276,SYS_4_3_Digitos!A786,asientos!$J$13:$J$1276)</f>
        <v>0</v>
      </c>
      <c r="I786" s="1314">
        <f t="shared" si="76"/>
        <v>0</v>
      </c>
      <c r="J786" s="1315">
        <f t="shared" si="77"/>
        <v>0</v>
      </c>
      <c r="L786" s="1308">
        <f t="shared" si="78"/>
        <v>0</v>
      </c>
      <c r="M786" s="1296" t="str">
        <f t="shared" si="79"/>
        <v>0</v>
      </c>
      <c r="N786" s="1309">
        <f t="shared" si="80"/>
        <v>0</v>
      </c>
      <c r="O786" s="1296" t="str">
        <f t="shared" si="81"/>
        <v>0</v>
      </c>
    </row>
    <row r="787" spans="1:15" s="1296" customFormat="1" hidden="1">
      <c r="A787" s="1310"/>
      <c r="B787" s="1311"/>
      <c r="C787" s="1312">
        <v>0</v>
      </c>
      <c r="D787" s="1313">
        <v>0</v>
      </c>
      <c r="E787" s="1314"/>
      <c r="F787" s="1315"/>
      <c r="G787" s="1316">
        <f>+SUMIF(asientos!$C$13:$C$1276,SYS_4_3_Digitos!A787,asientos!$B$13:$B$1276)</f>
        <v>0</v>
      </c>
      <c r="H787" s="1317">
        <f>+SUMIF(asientos!$I$13:$I$1276,SYS_4_3_Digitos!A787,asientos!$J$13:$J$1276)</f>
        <v>0</v>
      </c>
      <c r="I787" s="1314">
        <f t="shared" si="76"/>
        <v>0</v>
      </c>
      <c r="J787" s="1315">
        <f t="shared" si="77"/>
        <v>0</v>
      </c>
      <c r="L787" s="1308">
        <f t="shared" si="78"/>
        <v>0</v>
      </c>
      <c r="M787" s="1296" t="str">
        <f t="shared" si="79"/>
        <v>0</v>
      </c>
      <c r="N787" s="1309">
        <f t="shared" si="80"/>
        <v>0</v>
      </c>
      <c r="O787" s="1296" t="str">
        <f t="shared" si="81"/>
        <v>0</v>
      </c>
    </row>
    <row r="788" spans="1:15" s="1296" customFormat="1" hidden="1">
      <c r="A788" s="1310"/>
      <c r="B788" s="1311"/>
      <c r="C788" s="1312">
        <v>0</v>
      </c>
      <c r="D788" s="1313">
        <v>0</v>
      </c>
      <c r="E788" s="1314"/>
      <c r="F788" s="1315"/>
      <c r="G788" s="1316">
        <f>+SUMIF(asientos!$C$13:$C$1276,SYS_4_3_Digitos!A788,asientos!$B$13:$B$1276)</f>
        <v>0</v>
      </c>
      <c r="H788" s="1317">
        <f>+SUMIF(asientos!$I$13:$I$1276,SYS_4_3_Digitos!A788,asientos!$J$13:$J$1276)</f>
        <v>0</v>
      </c>
      <c r="I788" s="1314">
        <f t="shared" si="76"/>
        <v>0</v>
      </c>
      <c r="J788" s="1315">
        <f t="shared" si="77"/>
        <v>0</v>
      </c>
      <c r="L788" s="1308">
        <f t="shared" si="78"/>
        <v>0</v>
      </c>
      <c r="M788" s="1296" t="str">
        <f t="shared" si="79"/>
        <v>0</v>
      </c>
      <c r="N788" s="1309">
        <f t="shared" si="80"/>
        <v>0</v>
      </c>
      <c r="O788" s="1296" t="str">
        <f t="shared" si="81"/>
        <v>0</v>
      </c>
    </row>
    <row r="789" spans="1:15" s="1296" customFormat="1" hidden="1">
      <c r="A789" s="1310"/>
      <c r="B789" s="1311"/>
      <c r="C789" s="1312">
        <v>0</v>
      </c>
      <c r="D789" s="1313">
        <v>0</v>
      </c>
      <c r="E789" s="1314"/>
      <c r="F789" s="1315"/>
      <c r="G789" s="1316">
        <f>+SUMIF(asientos!$C$13:$C$1276,SYS_4_3_Digitos!A789,asientos!$B$13:$B$1276)</f>
        <v>0</v>
      </c>
      <c r="H789" s="1317">
        <f>+SUMIF(asientos!$I$13:$I$1276,SYS_4_3_Digitos!A789,asientos!$J$13:$J$1276)</f>
        <v>0</v>
      </c>
      <c r="I789" s="1314">
        <f t="shared" si="76"/>
        <v>0</v>
      </c>
      <c r="J789" s="1315">
        <f t="shared" si="77"/>
        <v>0</v>
      </c>
      <c r="L789" s="1308">
        <f t="shared" si="78"/>
        <v>0</v>
      </c>
      <c r="M789" s="1296" t="str">
        <f t="shared" si="79"/>
        <v>0</v>
      </c>
      <c r="N789" s="1309">
        <f t="shared" si="80"/>
        <v>0</v>
      </c>
      <c r="O789" s="1296" t="str">
        <f t="shared" si="81"/>
        <v>0</v>
      </c>
    </row>
    <row r="790" spans="1:15" s="1296" customFormat="1" hidden="1">
      <c r="A790" s="1310"/>
      <c r="B790" s="1311"/>
      <c r="C790" s="1312">
        <v>0</v>
      </c>
      <c r="D790" s="1313">
        <v>0</v>
      </c>
      <c r="E790" s="1314"/>
      <c r="F790" s="1315"/>
      <c r="G790" s="1316">
        <f>+SUMIF(asientos!$C$13:$C$1276,SYS_4_3_Digitos!A790,asientos!$B$13:$B$1276)</f>
        <v>0</v>
      </c>
      <c r="H790" s="1317">
        <f>+SUMIF(asientos!$I$13:$I$1276,SYS_4_3_Digitos!A790,asientos!$J$13:$J$1276)</f>
        <v>0</v>
      </c>
      <c r="I790" s="1314">
        <f t="shared" si="76"/>
        <v>0</v>
      </c>
      <c r="J790" s="1315">
        <f t="shared" si="77"/>
        <v>0</v>
      </c>
      <c r="L790" s="1308">
        <f t="shared" si="78"/>
        <v>0</v>
      </c>
      <c r="M790" s="1296" t="str">
        <f t="shared" si="79"/>
        <v>0</v>
      </c>
      <c r="N790" s="1309">
        <f t="shared" si="80"/>
        <v>0</v>
      </c>
      <c r="O790" s="1296" t="str">
        <f t="shared" si="81"/>
        <v>0</v>
      </c>
    </row>
    <row r="791" spans="1:15" s="1296" customFormat="1" hidden="1">
      <c r="A791" s="1310"/>
      <c r="B791" s="1311"/>
      <c r="C791" s="1312">
        <v>0</v>
      </c>
      <c r="D791" s="1313">
        <v>0</v>
      </c>
      <c r="E791" s="1314"/>
      <c r="F791" s="1315"/>
      <c r="G791" s="1316">
        <f>+SUMIF(asientos!$C$13:$C$1276,SYS_4_3_Digitos!A791,asientos!$B$13:$B$1276)</f>
        <v>0</v>
      </c>
      <c r="H791" s="1317">
        <f>+SUMIF(asientos!$I$13:$I$1276,SYS_4_3_Digitos!A791,asientos!$J$13:$J$1276)</f>
        <v>0</v>
      </c>
      <c r="I791" s="1314">
        <f t="shared" si="76"/>
        <v>0</v>
      </c>
      <c r="J791" s="1315">
        <f t="shared" si="77"/>
        <v>0</v>
      </c>
      <c r="L791" s="1308">
        <f t="shared" si="78"/>
        <v>0</v>
      </c>
      <c r="M791" s="1296" t="str">
        <f t="shared" si="79"/>
        <v>0</v>
      </c>
      <c r="N791" s="1309">
        <f t="shared" si="80"/>
        <v>0</v>
      </c>
      <c r="O791" s="1296" t="str">
        <f t="shared" si="81"/>
        <v>0</v>
      </c>
    </row>
    <row r="792" spans="1:15" s="1296" customFormat="1" hidden="1">
      <c r="A792" s="1310"/>
      <c r="B792" s="1311"/>
      <c r="C792" s="1312">
        <v>0</v>
      </c>
      <c r="D792" s="1313">
        <v>0</v>
      </c>
      <c r="E792" s="1314"/>
      <c r="F792" s="1315"/>
      <c r="G792" s="1316">
        <f>+SUMIF(asientos!$C$13:$C$1276,SYS_4_3_Digitos!A792,asientos!$B$13:$B$1276)</f>
        <v>0</v>
      </c>
      <c r="H792" s="1317">
        <f>+SUMIF(asientos!$I$13:$I$1276,SYS_4_3_Digitos!A792,asientos!$J$13:$J$1276)</f>
        <v>0</v>
      </c>
      <c r="I792" s="1314">
        <f t="shared" si="76"/>
        <v>0</v>
      </c>
      <c r="J792" s="1315">
        <f t="shared" si="77"/>
        <v>0</v>
      </c>
      <c r="L792" s="1308">
        <f t="shared" si="78"/>
        <v>0</v>
      </c>
      <c r="M792" s="1296" t="str">
        <f t="shared" si="79"/>
        <v>0</v>
      </c>
      <c r="N792" s="1309">
        <f t="shared" si="80"/>
        <v>0</v>
      </c>
      <c r="O792" s="1296" t="str">
        <f t="shared" si="81"/>
        <v>0</v>
      </c>
    </row>
    <row r="793" spans="1:15" s="1296" customFormat="1" hidden="1">
      <c r="A793" s="1310"/>
      <c r="B793" s="1311"/>
      <c r="C793" s="1312">
        <v>0</v>
      </c>
      <c r="D793" s="1313">
        <v>0</v>
      </c>
      <c r="E793" s="1314"/>
      <c r="F793" s="1315"/>
      <c r="G793" s="1316">
        <f>+SUMIF(asientos!$C$13:$C$1276,SYS_4_3_Digitos!A793,asientos!$B$13:$B$1276)</f>
        <v>0</v>
      </c>
      <c r="H793" s="1317">
        <f>+SUMIF(asientos!$I$13:$I$1276,SYS_4_3_Digitos!A793,asientos!$J$13:$J$1276)</f>
        <v>0</v>
      </c>
      <c r="I793" s="1314">
        <f t="shared" si="76"/>
        <v>0</v>
      </c>
      <c r="J793" s="1315">
        <f t="shared" si="77"/>
        <v>0</v>
      </c>
      <c r="L793" s="1308">
        <f t="shared" si="78"/>
        <v>0</v>
      </c>
      <c r="M793" s="1296" t="str">
        <f t="shared" si="79"/>
        <v>0</v>
      </c>
      <c r="N793" s="1309">
        <f t="shared" si="80"/>
        <v>0</v>
      </c>
      <c r="O793" s="1296" t="str">
        <f t="shared" si="81"/>
        <v>0</v>
      </c>
    </row>
    <row r="794" spans="1:15" s="1296" customFormat="1" hidden="1">
      <c r="A794" s="1310"/>
      <c r="B794" s="1311"/>
      <c r="C794" s="1312">
        <v>0</v>
      </c>
      <c r="D794" s="1313">
        <v>0</v>
      </c>
      <c r="E794" s="1314"/>
      <c r="F794" s="1315"/>
      <c r="G794" s="1316">
        <f>+SUMIF(asientos!$C$13:$C$1276,SYS_4_3_Digitos!A794,asientos!$B$13:$B$1276)</f>
        <v>0</v>
      </c>
      <c r="H794" s="1317">
        <f>+SUMIF(asientos!$I$13:$I$1276,SYS_4_3_Digitos!A794,asientos!$J$13:$J$1276)</f>
        <v>0</v>
      </c>
      <c r="I794" s="1314">
        <f t="shared" si="76"/>
        <v>0</v>
      </c>
      <c r="J794" s="1315">
        <f t="shared" si="77"/>
        <v>0</v>
      </c>
      <c r="L794" s="1308">
        <f t="shared" si="78"/>
        <v>0</v>
      </c>
      <c r="M794" s="1296" t="str">
        <f t="shared" si="79"/>
        <v>0</v>
      </c>
      <c r="N794" s="1309">
        <f t="shared" si="80"/>
        <v>0</v>
      </c>
      <c r="O794" s="1296" t="str">
        <f t="shared" si="81"/>
        <v>0</v>
      </c>
    </row>
    <row r="795" spans="1:15" s="1296" customFormat="1" hidden="1">
      <c r="A795" s="1310"/>
      <c r="B795" s="1311"/>
      <c r="C795" s="1312">
        <v>0</v>
      </c>
      <c r="D795" s="1313">
        <v>0</v>
      </c>
      <c r="E795" s="1314"/>
      <c r="F795" s="1315"/>
      <c r="G795" s="1316">
        <f>+SUMIF(asientos!$C$13:$C$1276,SYS_4_3_Digitos!A795,asientos!$B$13:$B$1276)</f>
        <v>0</v>
      </c>
      <c r="H795" s="1317">
        <f>+SUMIF(asientos!$I$13:$I$1276,SYS_4_3_Digitos!A795,asientos!$J$13:$J$1276)</f>
        <v>0</v>
      </c>
      <c r="I795" s="1314">
        <f t="shared" si="76"/>
        <v>0</v>
      </c>
      <c r="J795" s="1315">
        <f t="shared" si="77"/>
        <v>0</v>
      </c>
      <c r="L795" s="1308">
        <f t="shared" si="78"/>
        <v>0</v>
      </c>
      <c r="M795" s="1296" t="str">
        <f t="shared" si="79"/>
        <v>0</v>
      </c>
      <c r="N795" s="1309">
        <f t="shared" si="80"/>
        <v>0</v>
      </c>
      <c r="O795" s="1296" t="str">
        <f t="shared" si="81"/>
        <v>0</v>
      </c>
    </row>
    <row r="796" spans="1:15" s="1296" customFormat="1" hidden="1">
      <c r="A796" s="1310"/>
      <c r="B796" s="1311"/>
      <c r="C796" s="1312">
        <v>0</v>
      </c>
      <c r="D796" s="1313">
        <v>0</v>
      </c>
      <c r="E796" s="1314"/>
      <c r="F796" s="1315"/>
      <c r="G796" s="1316">
        <f>+SUMIF(asientos!$C$13:$C$1276,SYS_4_3_Digitos!A796,asientos!$B$13:$B$1276)</f>
        <v>0</v>
      </c>
      <c r="H796" s="1317">
        <f>+SUMIF(asientos!$I$13:$I$1276,SYS_4_3_Digitos!A796,asientos!$J$13:$J$1276)</f>
        <v>0</v>
      </c>
      <c r="I796" s="1314">
        <f t="shared" si="76"/>
        <v>0</v>
      </c>
      <c r="J796" s="1315">
        <f t="shared" si="77"/>
        <v>0</v>
      </c>
      <c r="L796" s="1308">
        <f t="shared" si="78"/>
        <v>0</v>
      </c>
      <c r="M796" s="1296" t="str">
        <f t="shared" si="79"/>
        <v>0</v>
      </c>
      <c r="N796" s="1309">
        <f t="shared" si="80"/>
        <v>0</v>
      </c>
      <c r="O796" s="1296" t="str">
        <f t="shared" si="81"/>
        <v>0</v>
      </c>
    </row>
    <row r="797" spans="1:15" s="1296" customFormat="1" hidden="1">
      <c r="A797" s="1310"/>
      <c r="B797" s="1311"/>
      <c r="C797" s="1312">
        <v>0</v>
      </c>
      <c r="D797" s="1313">
        <v>0</v>
      </c>
      <c r="E797" s="1314"/>
      <c r="F797" s="1315"/>
      <c r="G797" s="1316">
        <f>+SUMIF(asientos!$C$13:$C$1276,SYS_4_3_Digitos!A797,asientos!$B$13:$B$1276)</f>
        <v>0</v>
      </c>
      <c r="H797" s="1317">
        <f>+SUMIF(asientos!$I$13:$I$1276,SYS_4_3_Digitos!A797,asientos!$J$13:$J$1276)</f>
        <v>0</v>
      </c>
      <c r="I797" s="1314">
        <f t="shared" si="76"/>
        <v>0</v>
      </c>
      <c r="J797" s="1315">
        <f t="shared" si="77"/>
        <v>0</v>
      </c>
      <c r="L797" s="1308">
        <f t="shared" si="78"/>
        <v>0</v>
      </c>
      <c r="M797" s="1296" t="str">
        <f t="shared" si="79"/>
        <v>0</v>
      </c>
      <c r="N797" s="1309">
        <f t="shared" si="80"/>
        <v>0</v>
      </c>
      <c r="O797" s="1296" t="str">
        <f t="shared" si="81"/>
        <v>0</v>
      </c>
    </row>
    <row r="798" spans="1:15" s="1296" customFormat="1" hidden="1">
      <c r="A798" s="1310"/>
      <c r="B798" s="1311"/>
      <c r="C798" s="1312">
        <v>0</v>
      </c>
      <c r="D798" s="1313">
        <v>0</v>
      </c>
      <c r="E798" s="1314"/>
      <c r="F798" s="1315"/>
      <c r="G798" s="1316">
        <f>+SUMIF(asientos!$C$13:$C$1276,SYS_4_3_Digitos!A798,asientos!$B$13:$B$1276)</f>
        <v>0</v>
      </c>
      <c r="H798" s="1317">
        <f>+SUMIF(asientos!$I$13:$I$1276,SYS_4_3_Digitos!A798,asientos!$J$13:$J$1276)</f>
        <v>0</v>
      </c>
      <c r="I798" s="1314">
        <f t="shared" si="76"/>
        <v>0</v>
      </c>
      <c r="J798" s="1315">
        <f t="shared" si="77"/>
        <v>0</v>
      </c>
      <c r="L798" s="1308">
        <f t="shared" si="78"/>
        <v>0</v>
      </c>
      <c r="M798" s="1296" t="str">
        <f t="shared" si="79"/>
        <v>0</v>
      </c>
      <c r="N798" s="1309">
        <f t="shared" si="80"/>
        <v>0</v>
      </c>
      <c r="O798" s="1296" t="str">
        <f t="shared" si="81"/>
        <v>0</v>
      </c>
    </row>
    <row r="799" spans="1:15" s="1296" customFormat="1" hidden="1">
      <c r="A799" s="1310"/>
      <c r="B799" s="1311"/>
      <c r="C799" s="1312">
        <v>0</v>
      </c>
      <c r="D799" s="1313">
        <v>0</v>
      </c>
      <c r="E799" s="1314"/>
      <c r="F799" s="1315"/>
      <c r="G799" s="1316">
        <f>+SUMIF(asientos!$C$13:$C$1276,SYS_4_3_Digitos!A799,asientos!$B$13:$B$1276)</f>
        <v>0</v>
      </c>
      <c r="H799" s="1317">
        <f>+SUMIF(asientos!$I$13:$I$1276,SYS_4_3_Digitos!A799,asientos!$J$13:$J$1276)</f>
        <v>0</v>
      </c>
      <c r="I799" s="1314">
        <f t="shared" si="76"/>
        <v>0</v>
      </c>
      <c r="J799" s="1315">
        <f t="shared" si="77"/>
        <v>0</v>
      </c>
      <c r="L799" s="1308">
        <f t="shared" si="78"/>
        <v>0</v>
      </c>
      <c r="M799" s="1296" t="str">
        <f t="shared" si="79"/>
        <v>0</v>
      </c>
      <c r="N799" s="1309">
        <f t="shared" si="80"/>
        <v>0</v>
      </c>
      <c r="O799" s="1296" t="str">
        <f t="shared" si="81"/>
        <v>0</v>
      </c>
    </row>
    <row r="800" spans="1:15" s="1296" customFormat="1" hidden="1">
      <c r="A800" s="1310"/>
      <c r="B800" s="1311"/>
      <c r="C800" s="1312">
        <v>0</v>
      </c>
      <c r="D800" s="1313">
        <v>0</v>
      </c>
      <c r="E800" s="1314"/>
      <c r="F800" s="1315"/>
      <c r="G800" s="1316">
        <f>+SUMIF(asientos!$C$13:$C$1276,SYS_4_3_Digitos!A800,asientos!$B$13:$B$1276)</f>
        <v>0</v>
      </c>
      <c r="H800" s="1317">
        <f>+SUMIF(asientos!$I$13:$I$1276,SYS_4_3_Digitos!A800,asientos!$J$13:$J$1276)</f>
        <v>0</v>
      </c>
      <c r="I800" s="1314">
        <f t="shared" si="76"/>
        <v>0</v>
      </c>
      <c r="J800" s="1315">
        <f t="shared" si="77"/>
        <v>0</v>
      </c>
      <c r="L800" s="1308">
        <f t="shared" si="78"/>
        <v>0</v>
      </c>
      <c r="M800" s="1296" t="str">
        <f t="shared" si="79"/>
        <v>0</v>
      </c>
      <c r="N800" s="1309">
        <f t="shared" si="80"/>
        <v>0</v>
      </c>
      <c r="O800" s="1296" t="str">
        <f t="shared" si="81"/>
        <v>0</v>
      </c>
    </row>
    <row r="801" spans="1:15" s="1296" customFormat="1" hidden="1">
      <c r="A801" s="1310"/>
      <c r="B801" s="1311"/>
      <c r="C801" s="1312">
        <v>0</v>
      </c>
      <c r="D801" s="1313">
        <v>0</v>
      </c>
      <c r="E801" s="1314"/>
      <c r="F801" s="1315"/>
      <c r="G801" s="1316">
        <f>+SUMIF(asientos!$C$13:$C$1276,SYS_4_3_Digitos!A801,asientos!$B$13:$B$1276)</f>
        <v>0</v>
      </c>
      <c r="H801" s="1317">
        <f>+SUMIF(asientos!$I$13:$I$1276,SYS_4_3_Digitos!A801,asientos!$J$13:$J$1276)</f>
        <v>0</v>
      </c>
      <c r="I801" s="1314">
        <f t="shared" si="76"/>
        <v>0</v>
      </c>
      <c r="J801" s="1315">
        <f t="shared" si="77"/>
        <v>0</v>
      </c>
      <c r="L801" s="1308">
        <f t="shared" si="78"/>
        <v>0</v>
      </c>
      <c r="M801" s="1296" t="str">
        <f t="shared" si="79"/>
        <v>0</v>
      </c>
      <c r="N801" s="1309">
        <f t="shared" si="80"/>
        <v>0</v>
      </c>
      <c r="O801" s="1296" t="str">
        <f t="shared" si="81"/>
        <v>0</v>
      </c>
    </row>
    <row r="802" spans="1:15" s="1296" customFormat="1" hidden="1">
      <c r="A802" s="1310"/>
      <c r="B802" s="1311"/>
      <c r="C802" s="1312">
        <v>0</v>
      </c>
      <c r="D802" s="1313">
        <v>0</v>
      </c>
      <c r="E802" s="1314"/>
      <c r="F802" s="1315"/>
      <c r="G802" s="1316">
        <f>+SUMIF(asientos!$C$13:$C$1276,SYS_4_3_Digitos!A802,asientos!$B$13:$B$1276)</f>
        <v>0</v>
      </c>
      <c r="H802" s="1317">
        <f>+SUMIF(asientos!$I$13:$I$1276,SYS_4_3_Digitos!A802,asientos!$J$13:$J$1276)</f>
        <v>0</v>
      </c>
      <c r="I802" s="1314">
        <f t="shared" si="76"/>
        <v>0</v>
      </c>
      <c r="J802" s="1315">
        <f t="shared" si="77"/>
        <v>0</v>
      </c>
      <c r="L802" s="1308">
        <f t="shared" si="78"/>
        <v>0</v>
      </c>
      <c r="M802" s="1296" t="str">
        <f t="shared" si="79"/>
        <v>0</v>
      </c>
      <c r="N802" s="1309">
        <f t="shared" si="80"/>
        <v>0</v>
      </c>
      <c r="O802" s="1296" t="str">
        <f t="shared" si="81"/>
        <v>0</v>
      </c>
    </row>
    <row r="803" spans="1:15" s="1296" customFormat="1" hidden="1">
      <c r="A803" s="1310"/>
      <c r="B803" s="1311"/>
      <c r="C803" s="1312">
        <v>0</v>
      </c>
      <c r="D803" s="1313">
        <v>0</v>
      </c>
      <c r="E803" s="1314"/>
      <c r="F803" s="1315"/>
      <c r="G803" s="1316">
        <f>+SUMIF(asientos!$C$13:$C$1276,SYS_4_3_Digitos!A803,asientos!$B$13:$B$1276)</f>
        <v>0</v>
      </c>
      <c r="H803" s="1317">
        <f>+SUMIF(asientos!$I$13:$I$1276,SYS_4_3_Digitos!A803,asientos!$J$13:$J$1276)</f>
        <v>0</v>
      </c>
      <c r="I803" s="1314">
        <f t="shared" si="76"/>
        <v>0</v>
      </c>
      <c r="J803" s="1315">
        <f t="shared" si="77"/>
        <v>0</v>
      </c>
      <c r="L803" s="1308">
        <f t="shared" si="78"/>
        <v>0</v>
      </c>
      <c r="M803" s="1296" t="str">
        <f t="shared" si="79"/>
        <v>0</v>
      </c>
      <c r="N803" s="1309">
        <f t="shared" si="80"/>
        <v>0</v>
      </c>
      <c r="O803" s="1296" t="str">
        <f t="shared" si="81"/>
        <v>0</v>
      </c>
    </row>
    <row r="804" spans="1:15" s="1296" customFormat="1" hidden="1">
      <c r="A804" s="1310"/>
      <c r="B804" s="1311"/>
      <c r="C804" s="1312">
        <v>0</v>
      </c>
      <c r="D804" s="1313">
        <v>0</v>
      </c>
      <c r="E804" s="1314"/>
      <c r="F804" s="1315"/>
      <c r="G804" s="1316">
        <f>+SUMIF(asientos!$C$13:$C$1276,SYS_4_3_Digitos!A804,asientos!$B$13:$B$1276)</f>
        <v>0</v>
      </c>
      <c r="H804" s="1317">
        <f>+SUMIF(asientos!$I$13:$I$1276,SYS_4_3_Digitos!A804,asientos!$J$13:$J$1276)</f>
        <v>0</v>
      </c>
      <c r="I804" s="1314">
        <f t="shared" si="76"/>
        <v>0</v>
      </c>
      <c r="J804" s="1315">
        <f t="shared" si="77"/>
        <v>0</v>
      </c>
      <c r="L804" s="1308">
        <f t="shared" si="78"/>
        <v>0</v>
      </c>
      <c r="M804" s="1296" t="str">
        <f t="shared" si="79"/>
        <v>0</v>
      </c>
      <c r="N804" s="1309">
        <f t="shared" si="80"/>
        <v>0</v>
      </c>
      <c r="O804" s="1296" t="str">
        <f t="shared" si="81"/>
        <v>0</v>
      </c>
    </row>
    <row r="805" spans="1:15" s="1296" customFormat="1" hidden="1">
      <c r="A805" s="1310"/>
      <c r="B805" s="1311"/>
      <c r="C805" s="1312">
        <v>0</v>
      </c>
      <c r="D805" s="1313">
        <v>0</v>
      </c>
      <c r="E805" s="1314"/>
      <c r="F805" s="1315"/>
      <c r="G805" s="1316">
        <f>+SUMIF(asientos!$C$13:$C$1276,SYS_4_3_Digitos!A805,asientos!$B$13:$B$1276)</f>
        <v>0</v>
      </c>
      <c r="H805" s="1317">
        <f>+SUMIF(asientos!$I$13:$I$1276,SYS_4_3_Digitos!A805,asientos!$J$13:$J$1276)</f>
        <v>0</v>
      </c>
      <c r="I805" s="1314">
        <f t="shared" ref="I805:I868" si="82">IF((E805+G805-F805-H805)&gt;0,E805+G805-F805-H805,0)</f>
        <v>0</v>
      </c>
      <c r="J805" s="1315">
        <f t="shared" ref="J805:J868" si="83">IF((F805+H805-E805-G805)&gt;0,F805+H805-E805-G805,0)</f>
        <v>0</v>
      </c>
      <c r="L805" s="1308">
        <f t="shared" ref="L805:L868" si="84">+A805*1000000</f>
        <v>0</v>
      </c>
      <c r="M805" s="1296" t="str">
        <f t="shared" ref="M805:M868" si="85">+LEFT(L805,4)</f>
        <v>0</v>
      </c>
      <c r="N805" s="1309">
        <f t="shared" ref="N805:N868" si="86">+I805-J805</f>
        <v>0</v>
      </c>
      <c r="O805" s="1296" t="str">
        <f t="shared" ref="O805:O868" si="87">+LEFT(M805,2)</f>
        <v>0</v>
      </c>
    </row>
    <row r="806" spans="1:15" s="1296" customFormat="1" hidden="1">
      <c r="A806" s="1310"/>
      <c r="B806" s="1311"/>
      <c r="C806" s="1312">
        <v>0</v>
      </c>
      <c r="D806" s="1313">
        <v>0</v>
      </c>
      <c r="E806" s="1314"/>
      <c r="F806" s="1315"/>
      <c r="G806" s="1316">
        <f>+SUMIF(asientos!$C$13:$C$1276,SYS_4_3_Digitos!A806,asientos!$B$13:$B$1276)</f>
        <v>0</v>
      </c>
      <c r="H806" s="1317">
        <f>+SUMIF(asientos!$I$13:$I$1276,SYS_4_3_Digitos!A806,asientos!$J$13:$J$1276)</f>
        <v>0</v>
      </c>
      <c r="I806" s="1314">
        <f t="shared" si="82"/>
        <v>0</v>
      </c>
      <c r="J806" s="1315">
        <f t="shared" si="83"/>
        <v>0</v>
      </c>
      <c r="L806" s="1308">
        <f t="shared" si="84"/>
        <v>0</v>
      </c>
      <c r="M806" s="1296" t="str">
        <f t="shared" si="85"/>
        <v>0</v>
      </c>
      <c r="N806" s="1309">
        <f t="shared" si="86"/>
        <v>0</v>
      </c>
      <c r="O806" s="1296" t="str">
        <f t="shared" si="87"/>
        <v>0</v>
      </c>
    </row>
    <row r="807" spans="1:15" s="1296" customFormat="1" hidden="1">
      <c r="A807" s="1310"/>
      <c r="B807" s="1311"/>
      <c r="C807" s="1312">
        <v>0</v>
      </c>
      <c r="D807" s="1313">
        <v>0</v>
      </c>
      <c r="E807" s="1314"/>
      <c r="F807" s="1315"/>
      <c r="G807" s="1316">
        <f>+SUMIF(asientos!$C$13:$C$1276,SYS_4_3_Digitos!A807,asientos!$B$13:$B$1276)</f>
        <v>0</v>
      </c>
      <c r="H807" s="1317">
        <f>+SUMIF(asientos!$I$13:$I$1276,SYS_4_3_Digitos!A807,asientos!$J$13:$J$1276)</f>
        <v>0</v>
      </c>
      <c r="I807" s="1314">
        <f t="shared" si="82"/>
        <v>0</v>
      </c>
      <c r="J807" s="1315">
        <f t="shared" si="83"/>
        <v>0</v>
      </c>
      <c r="L807" s="1308">
        <f t="shared" si="84"/>
        <v>0</v>
      </c>
      <c r="M807" s="1296" t="str">
        <f t="shared" si="85"/>
        <v>0</v>
      </c>
      <c r="N807" s="1309">
        <f t="shared" si="86"/>
        <v>0</v>
      </c>
      <c r="O807" s="1296" t="str">
        <f t="shared" si="87"/>
        <v>0</v>
      </c>
    </row>
    <row r="808" spans="1:15" s="1296" customFormat="1" hidden="1">
      <c r="A808" s="1310"/>
      <c r="B808" s="1311"/>
      <c r="C808" s="1312">
        <v>0</v>
      </c>
      <c r="D808" s="1313">
        <v>0</v>
      </c>
      <c r="E808" s="1314"/>
      <c r="F808" s="1315"/>
      <c r="G808" s="1316">
        <f>+SUMIF(asientos!$C$13:$C$1276,SYS_4_3_Digitos!A808,asientos!$B$13:$B$1276)</f>
        <v>0</v>
      </c>
      <c r="H808" s="1317">
        <f>+SUMIF(asientos!$I$13:$I$1276,SYS_4_3_Digitos!A808,asientos!$J$13:$J$1276)</f>
        <v>0</v>
      </c>
      <c r="I808" s="1314">
        <f t="shared" si="82"/>
        <v>0</v>
      </c>
      <c r="J808" s="1315">
        <f t="shared" si="83"/>
        <v>0</v>
      </c>
      <c r="L808" s="1308">
        <f t="shared" si="84"/>
        <v>0</v>
      </c>
      <c r="M808" s="1296" t="str">
        <f t="shared" si="85"/>
        <v>0</v>
      </c>
      <c r="N808" s="1309">
        <f t="shared" si="86"/>
        <v>0</v>
      </c>
      <c r="O808" s="1296" t="str">
        <f t="shared" si="87"/>
        <v>0</v>
      </c>
    </row>
    <row r="809" spans="1:15" s="1296" customFormat="1" hidden="1">
      <c r="A809" s="1310"/>
      <c r="B809" s="1311"/>
      <c r="C809" s="1312">
        <v>0</v>
      </c>
      <c r="D809" s="1313">
        <v>0</v>
      </c>
      <c r="E809" s="1314"/>
      <c r="F809" s="1315"/>
      <c r="G809" s="1316">
        <f>+SUMIF(asientos!$C$13:$C$1276,SYS_4_3_Digitos!A809,asientos!$B$13:$B$1276)</f>
        <v>0</v>
      </c>
      <c r="H809" s="1317">
        <f>+SUMIF(asientos!$I$13:$I$1276,SYS_4_3_Digitos!A809,asientos!$J$13:$J$1276)</f>
        <v>0</v>
      </c>
      <c r="I809" s="1314">
        <f t="shared" si="82"/>
        <v>0</v>
      </c>
      <c r="J809" s="1315">
        <f t="shared" si="83"/>
        <v>0</v>
      </c>
      <c r="L809" s="1308">
        <f t="shared" si="84"/>
        <v>0</v>
      </c>
      <c r="M809" s="1296" t="str">
        <f t="shared" si="85"/>
        <v>0</v>
      </c>
      <c r="N809" s="1309">
        <f t="shared" si="86"/>
        <v>0</v>
      </c>
      <c r="O809" s="1296" t="str">
        <f t="shared" si="87"/>
        <v>0</v>
      </c>
    </row>
    <row r="810" spans="1:15" s="1296" customFormat="1" hidden="1">
      <c r="A810" s="1310"/>
      <c r="B810" s="1311"/>
      <c r="C810" s="1312">
        <v>0</v>
      </c>
      <c r="D810" s="1313">
        <v>0</v>
      </c>
      <c r="E810" s="1314"/>
      <c r="F810" s="1315"/>
      <c r="G810" s="1316">
        <f>+SUMIF(asientos!$C$13:$C$1276,SYS_4_3_Digitos!A810,asientos!$B$13:$B$1276)</f>
        <v>0</v>
      </c>
      <c r="H810" s="1317">
        <f>+SUMIF(asientos!$I$13:$I$1276,SYS_4_3_Digitos!A810,asientos!$J$13:$J$1276)</f>
        <v>0</v>
      </c>
      <c r="I810" s="1314">
        <f t="shared" si="82"/>
        <v>0</v>
      </c>
      <c r="J810" s="1315">
        <f t="shared" si="83"/>
        <v>0</v>
      </c>
      <c r="L810" s="1308">
        <f t="shared" si="84"/>
        <v>0</v>
      </c>
      <c r="M810" s="1296" t="str">
        <f t="shared" si="85"/>
        <v>0</v>
      </c>
      <c r="N810" s="1309">
        <f t="shared" si="86"/>
        <v>0</v>
      </c>
      <c r="O810" s="1296" t="str">
        <f t="shared" si="87"/>
        <v>0</v>
      </c>
    </row>
    <row r="811" spans="1:15" s="1296" customFormat="1" hidden="1">
      <c r="A811" s="1310"/>
      <c r="B811" s="1311"/>
      <c r="C811" s="1312">
        <v>0</v>
      </c>
      <c r="D811" s="1313">
        <v>0</v>
      </c>
      <c r="E811" s="1314"/>
      <c r="F811" s="1315"/>
      <c r="G811" s="1316">
        <f>+SUMIF(asientos!$C$13:$C$1276,SYS_4_3_Digitos!A811,asientos!$B$13:$B$1276)</f>
        <v>0</v>
      </c>
      <c r="H811" s="1317">
        <f>+SUMIF(asientos!$I$13:$I$1276,SYS_4_3_Digitos!A811,asientos!$J$13:$J$1276)</f>
        <v>0</v>
      </c>
      <c r="I811" s="1314">
        <f t="shared" si="82"/>
        <v>0</v>
      </c>
      <c r="J811" s="1315">
        <f t="shared" si="83"/>
        <v>0</v>
      </c>
      <c r="L811" s="1308">
        <f t="shared" si="84"/>
        <v>0</v>
      </c>
      <c r="M811" s="1296" t="str">
        <f t="shared" si="85"/>
        <v>0</v>
      </c>
      <c r="N811" s="1309">
        <f t="shared" si="86"/>
        <v>0</v>
      </c>
      <c r="O811" s="1296" t="str">
        <f t="shared" si="87"/>
        <v>0</v>
      </c>
    </row>
    <row r="812" spans="1:15" s="1296" customFormat="1" hidden="1">
      <c r="A812" s="1310"/>
      <c r="B812" s="1311"/>
      <c r="C812" s="1312">
        <v>0</v>
      </c>
      <c r="D812" s="1313">
        <v>0</v>
      </c>
      <c r="E812" s="1314"/>
      <c r="F812" s="1315"/>
      <c r="G812" s="1316">
        <f>+SUMIF(asientos!$C$13:$C$1276,SYS_4_3_Digitos!A812,asientos!$B$13:$B$1276)</f>
        <v>0</v>
      </c>
      <c r="H812" s="1317">
        <f>+SUMIF(asientos!$I$13:$I$1276,SYS_4_3_Digitos!A812,asientos!$J$13:$J$1276)</f>
        <v>0</v>
      </c>
      <c r="I812" s="1314">
        <f t="shared" si="82"/>
        <v>0</v>
      </c>
      <c r="J812" s="1315">
        <f t="shared" si="83"/>
        <v>0</v>
      </c>
      <c r="L812" s="1308">
        <f t="shared" si="84"/>
        <v>0</v>
      </c>
      <c r="M812" s="1296" t="str">
        <f t="shared" si="85"/>
        <v>0</v>
      </c>
      <c r="N812" s="1309">
        <f t="shared" si="86"/>
        <v>0</v>
      </c>
      <c r="O812" s="1296" t="str">
        <f t="shared" si="87"/>
        <v>0</v>
      </c>
    </row>
    <row r="813" spans="1:15" s="1296" customFormat="1" hidden="1">
      <c r="A813" s="1310"/>
      <c r="B813" s="1311"/>
      <c r="C813" s="1312">
        <v>0</v>
      </c>
      <c r="D813" s="1313">
        <v>0</v>
      </c>
      <c r="E813" s="1314"/>
      <c r="F813" s="1315"/>
      <c r="G813" s="1316">
        <f>+SUMIF(asientos!$C$13:$C$1276,SYS_4_3_Digitos!A813,asientos!$B$13:$B$1276)</f>
        <v>0</v>
      </c>
      <c r="H813" s="1317">
        <f>+SUMIF(asientos!$I$13:$I$1276,SYS_4_3_Digitos!A813,asientos!$J$13:$J$1276)</f>
        <v>0</v>
      </c>
      <c r="I813" s="1314">
        <f t="shared" si="82"/>
        <v>0</v>
      </c>
      <c r="J813" s="1315">
        <f t="shared" si="83"/>
        <v>0</v>
      </c>
      <c r="L813" s="1308">
        <f t="shared" si="84"/>
        <v>0</v>
      </c>
      <c r="M813" s="1296" t="str">
        <f t="shared" si="85"/>
        <v>0</v>
      </c>
      <c r="N813" s="1309">
        <f t="shared" si="86"/>
        <v>0</v>
      </c>
      <c r="O813" s="1296" t="str">
        <f t="shared" si="87"/>
        <v>0</v>
      </c>
    </row>
    <row r="814" spans="1:15" s="1296" customFormat="1" hidden="1">
      <c r="A814" s="1310"/>
      <c r="B814" s="1311"/>
      <c r="C814" s="1312">
        <v>0</v>
      </c>
      <c r="D814" s="1313">
        <v>0</v>
      </c>
      <c r="E814" s="1314"/>
      <c r="F814" s="1315"/>
      <c r="G814" s="1316">
        <f>+SUMIF(asientos!$C$13:$C$1276,SYS_4_3_Digitos!A814,asientos!$B$13:$B$1276)</f>
        <v>0</v>
      </c>
      <c r="H814" s="1317">
        <f>+SUMIF(asientos!$I$13:$I$1276,SYS_4_3_Digitos!A814,asientos!$J$13:$J$1276)</f>
        <v>0</v>
      </c>
      <c r="I814" s="1314">
        <f t="shared" si="82"/>
        <v>0</v>
      </c>
      <c r="J814" s="1315">
        <f t="shared" si="83"/>
        <v>0</v>
      </c>
      <c r="L814" s="1308">
        <f t="shared" si="84"/>
        <v>0</v>
      </c>
      <c r="M814" s="1296" t="str">
        <f t="shared" si="85"/>
        <v>0</v>
      </c>
      <c r="N814" s="1309">
        <f t="shared" si="86"/>
        <v>0</v>
      </c>
      <c r="O814" s="1296" t="str">
        <f t="shared" si="87"/>
        <v>0</v>
      </c>
    </row>
    <row r="815" spans="1:15" s="1296" customFormat="1" hidden="1">
      <c r="A815" s="1310"/>
      <c r="B815" s="1311"/>
      <c r="C815" s="1312">
        <v>0</v>
      </c>
      <c r="D815" s="1313">
        <v>0</v>
      </c>
      <c r="E815" s="1314"/>
      <c r="F815" s="1315"/>
      <c r="G815" s="1316">
        <f>+SUMIF(asientos!$C$13:$C$1276,SYS_4_3_Digitos!A815,asientos!$B$13:$B$1276)</f>
        <v>0</v>
      </c>
      <c r="H815" s="1317">
        <f>+SUMIF(asientos!$I$13:$I$1276,SYS_4_3_Digitos!A815,asientos!$J$13:$J$1276)</f>
        <v>0</v>
      </c>
      <c r="I815" s="1314">
        <f t="shared" si="82"/>
        <v>0</v>
      </c>
      <c r="J815" s="1315">
        <f t="shared" si="83"/>
        <v>0</v>
      </c>
      <c r="L815" s="1308">
        <f t="shared" si="84"/>
        <v>0</v>
      </c>
      <c r="M815" s="1296" t="str">
        <f t="shared" si="85"/>
        <v>0</v>
      </c>
      <c r="N815" s="1309">
        <f t="shared" si="86"/>
        <v>0</v>
      </c>
      <c r="O815" s="1296" t="str">
        <f t="shared" si="87"/>
        <v>0</v>
      </c>
    </row>
    <row r="816" spans="1:15" s="1296" customFormat="1" hidden="1">
      <c r="A816" s="1310"/>
      <c r="B816" s="1311"/>
      <c r="C816" s="1312">
        <v>0</v>
      </c>
      <c r="D816" s="1313">
        <v>0</v>
      </c>
      <c r="E816" s="1314"/>
      <c r="F816" s="1315"/>
      <c r="G816" s="1316">
        <f>+SUMIF(asientos!$C$13:$C$1276,SYS_4_3_Digitos!A816,asientos!$B$13:$B$1276)</f>
        <v>0</v>
      </c>
      <c r="H816" s="1317">
        <f>+SUMIF(asientos!$I$13:$I$1276,SYS_4_3_Digitos!A816,asientos!$J$13:$J$1276)</f>
        <v>0</v>
      </c>
      <c r="I816" s="1314">
        <f t="shared" si="82"/>
        <v>0</v>
      </c>
      <c r="J816" s="1315">
        <f t="shared" si="83"/>
        <v>0</v>
      </c>
      <c r="L816" s="1308">
        <f t="shared" si="84"/>
        <v>0</v>
      </c>
      <c r="M816" s="1296" t="str">
        <f t="shared" si="85"/>
        <v>0</v>
      </c>
      <c r="N816" s="1309">
        <f t="shared" si="86"/>
        <v>0</v>
      </c>
      <c r="O816" s="1296" t="str">
        <f t="shared" si="87"/>
        <v>0</v>
      </c>
    </row>
    <row r="817" spans="1:15" s="1296" customFormat="1" hidden="1">
      <c r="A817" s="1310"/>
      <c r="B817" s="1311"/>
      <c r="C817" s="1312">
        <v>0</v>
      </c>
      <c r="D817" s="1313">
        <v>0</v>
      </c>
      <c r="E817" s="1314"/>
      <c r="F817" s="1315"/>
      <c r="G817" s="1316">
        <f>+SUMIF(asientos!$C$13:$C$1276,SYS_4_3_Digitos!A817,asientos!$B$13:$B$1276)</f>
        <v>0</v>
      </c>
      <c r="H817" s="1317">
        <f>+SUMIF(asientos!$I$13:$I$1276,SYS_4_3_Digitos!A817,asientos!$J$13:$J$1276)</f>
        <v>0</v>
      </c>
      <c r="I817" s="1314">
        <f t="shared" si="82"/>
        <v>0</v>
      </c>
      <c r="J817" s="1315">
        <f t="shared" si="83"/>
        <v>0</v>
      </c>
      <c r="L817" s="1308">
        <f t="shared" si="84"/>
        <v>0</v>
      </c>
      <c r="M817" s="1296" t="str">
        <f t="shared" si="85"/>
        <v>0</v>
      </c>
      <c r="N817" s="1309">
        <f t="shared" si="86"/>
        <v>0</v>
      </c>
      <c r="O817" s="1296" t="str">
        <f t="shared" si="87"/>
        <v>0</v>
      </c>
    </row>
    <row r="818" spans="1:15" s="1296" customFormat="1" hidden="1">
      <c r="A818" s="1310"/>
      <c r="B818" s="1311"/>
      <c r="C818" s="1312">
        <v>0</v>
      </c>
      <c r="D818" s="1313">
        <v>0</v>
      </c>
      <c r="E818" s="1314"/>
      <c r="F818" s="1315"/>
      <c r="G818" s="1316">
        <f>+SUMIF(asientos!$C$13:$C$1276,SYS_4_3_Digitos!A818,asientos!$B$13:$B$1276)</f>
        <v>0</v>
      </c>
      <c r="H818" s="1317">
        <f>+SUMIF(asientos!$I$13:$I$1276,SYS_4_3_Digitos!A818,asientos!$J$13:$J$1276)</f>
        <v>0</v>
      </c>
      <c r="I818" s="1314">
        <f t="shared" si="82"/>
        <v>0</v>
      </c>
      <c r="J818" s="1315">
        <f t="shared" si="83"/>
        <v>0</v>
      </c>
      <c r="L818" s="1308">
        <f t="shared" si="84"/>
        <v>0</v>
      </c>
      <c r="M818" s="1296" t="str">
        <f t="shared" si="85"/>
        <v>0</v>
      </c>
      <c r="N818" s="1309">
        <f t="shared" si="86"/>
        <v>0</v>
      </c>
      <c r="O818" s="1296" t="str">
        <f t="shared" si="87"/>
        <v>0</v>
      </c>
    </row>
    <row r="819" spans="1:15" s="1296" customFormat="1" hidden="1">
      <c r="A819" s="1310"/>
      <c r="B819" s="1311"/>
      <c r="C819" s="1312">
        <v>0</v>
      </c>
      <c r="D819" s="1313">
        <v>0</v>
      </c>
      <c r="E819" s="1314"/>
      <c r="F819" s="1315"/>
      <c r="G819" s="1316">
        <f>+SUMIF(asientos!$C$13:$C$1276,SYS_4_3_Digitos!A819,asientos!$B$13:$B$1276)</f>
        <v>0</v>
      </c>
      <c r="H819" s="1317">
        <f>+SUMIF(asientos!$I$13:$I$1276,SYS_4_3_Digitos!A819,asientos!$J$13:$J$1276)</f>
        <v>0</v>
      </c>
      <c r="I819" s="1314">
        <f t="shared" si="82"/>
        <v>0</v>
      </c>
      <c r="J819" s="1315">
        <f t="shared" si="83"/>
        <v>0</v>
      </c>
      <c r="L819" s="1308">
        <f t="shared" si="84"/>
        <v>0</v>
      </c>
      <c r="M819" s="1296" t="str">
        <f t="shared" si="85"/>
        <v>0</v>
      </c>
      <c r="N819" s="1309">
        <f t="shared" si="86"/>
        <v>0</v>
      </c>
      <c r="O819" s="1296" t="str">
        <f t="shared" si="87"/>
        <v>0</v>
      </c>
    </row>
    <row r="820" spans="1:15" s="1296" customFormat="1" hidden="1">
      <c r="A820" s="1310"/>
      <c r="B820" s="1311"/>
      <c r="C820" s="1312">
        <v>0</v>
      </c>
      <c r="D820" s="1313">
        <v>0</v>
      </c>
      <c r="E820" s="1314"/>
      <c r="F820" s="1315"/>
      <c r="G820" s="1316">
        <f>+SUMIF(asientos!$C$13:$C$1276,SYS_4_3_Digitos!A820,asientos!$B$13:$B$1276)</f>
        <v>0</v>
      </c>
      <c r="H820" s="1317">
        <f>+SUMIF(asientos!$I$13:$I$1276,SYS_4_3_Digitos!A820,asientos!$J$13:$J$1276)</f>
        <v>0</v>
      </c>
      <c r="I820" s="1314">
        <f t="shared" si="82"/>
        <v>0</v>
      </c>
      <c r="J820" s="1315">
        <f t="shared" si="83"/>
        <v>0</v>
      </c>
      <c r="L820" s="1308">
        <f t="shared" si="84"/>
        <v>0</v>
      </c>
      <c r="M820" s="1296" t="str">
        <f t="shared" si="85"/>
        <v>0</v>
      </c>
      <c r="N820" s="1309">
        <f t="shared" si="86"/>
        <v>0</v>
      </c>
      <c r="O820" s="1296" t="str">
        <f t="shared" si="87"/>
        <v>0</v>
      </c>
    </row>
    <row r="821" spans="1:15" s="1296" customFormat="1" hidden="1">
      <c r="A821" s="1310"/>
      <c r="B821" s="1311"/>
      <c r="C821" s="1312">
        <v>0</v>
      </c>
      <c r="D821" s="1313">
        <v>0</v>
      </c>
      <c r="E821" s="1314"/>
      <c r="F821" s="1315"/>
      <c r="G821" s="1316">
        <f>+SUMIF(asientos!$C$13:$C$1276,SYS_4_3_Digitos!A821,asientos!$B$13:$B$1276)</f>
        <v>0</v>
      </c>
      <c r="H821" s="1317">
        <f>+SUMIF(asientos!$I$13:$I$1276,SYS_4_3_Digitos!A821,asientos!$J$13:$J$1276)</f>
        <v>0</v>
      </c>
      <c r="I821" s="1314">
        <f t="shared" si="82"/>
        <v>0</v>
      </c>
      <c r="J821" s="1315">
        <f t="shared" si="83"/>
        <v>0</v>
      </c>
      <c r="L821" s="1308">
        <f t="shared" si="84"/>
        <v>0</v>
      </c>
      <c r="M821" s="1296" t="str">
        <f t="shared" si="85"/>
        <v>0</v>
      </c>
      <c r="N821" s="1309">
        <f t="shared" si="86"/>
        <v>0</v>
      </c>
      <c r="O821" s="1296" t="str">
        <f t="shared" si="87"/>
        <v>0</v>
      </c>
    </row>
    <row r="822" spans="1:15" s="1296" customFormat="1" hidden="1">
      <c r="A822" s="1310"/>
      <c r="B822" s="1311"/>
      <c r="C822" s="1312">
        <v>0</v>
      </c>
      <c r="D822" s="1313">
        <v>0</v>
      </c>
      <c r="E822" s="1314"/>
      <c r="F822" s="1315"/>
      <c r="G822" s="1316">
        <f>+SUMIF(asientos!$C$13:$C$1276,SYS_4_3_Digitos!A822,asientos!$B$13:$B$1276)</f>
        <v>0</v>
      </c>
      <c r="H822" s="1317">
        <f>+SUMIF(asientos!$I$13:$I$1276,SYS_4_3_Digitos!A822,asientos!$J$13:$J$1276)</f>
        <v>0</v>
      </c>
      <c r="I822" s="1314">
        <f t="shared" si="82"/>
        <v>0</v>
      </c>
      <c r="J822" s="1315">
        <f t="shared" si="83"/>
        <v>0</v>
      </c>
      <c r="L822" s="1308">
        <f t="shared" si="84"/>
        <v>0</v>
      </c>
      <c r="M822" s="1296" t="str">
        <f t="shared" si="85"/>
        <v>0</v>
      </c>
      <c r="N822" s="1309">
        <f t="shared" si="86"/>
        <v>0</v>
      </c>
      <c r="O822" s="1296" t="str">
        <f t="shared" si="87"/>
        <v>0</v>
      </c>
    </row>
    <row r="823" spans="1:15" s="1296" customFormat="1" hidden="1">
      <c r="A823" s="1310"/>
      <c r="B823" s="1311"/>
      <c r="C823" s="1312">
        <v>0</v>
      </c>
      <c r="D823" s="1313">
        <v>0</v>
      </c>
      <c r="E823" s="1314"/>
      <c r="F823" s="1315"/>
      <c r="G823" s="1316">
        <f>+SUMIF(asientos!$C$13:$C$1276,SYS_4_3_Digitos!A823,asientos!$B$13:$B$1276)</f>
        <v>0</v>
      </c>
      <c r="H823" s="1317">
        <f>+SUMIF(asientos!$I$13:$I$1276,SYS_4_3_Digitos!A823,asientos!$J$13:$J$1276)</f>
        <v>0</v>
      </c>
      <c r="I823" s="1314">
        <f t="shared" si="82"/>
        <v>0</v>
      </c>
      <c r="J823" s="1315">
        <f t="shared" si="83"/>
        <v>0</v>
      </c>
      <c r="L823" s="1308">
        <f t="shared" si="84"/>
        <v>0</v>
      </c>
      <c r="M823" s="1296" t="str">
        <f t="shared" si="85"/>
        <v>0</v>
      </c>
      <c r="N823" s="1309">
        <f t="shared" si="86"/>
        <v>0</v>
      </c>
      <c r="O823" s="1296" t="str">
        <f t="shared" si="87"/>
        <v>0</v>
      </c>
    </row>
    <row r="824" spans="1:15" s="1296" customFormat="1" hidden="1">
      <c r="A824" s="1310"/>
      <c r="B824" s="1311"/>
      <c r="C824" s="1312">
        <v>0</v>
      </c>
      <c r="D824" s="1313">
        <v>0</v>
      </c>
      <c r="E824" s="1314"/>
      <c r="F824" s="1315"/>
      <c r="G824" s="1316">
        <f>+SUMIF(asientos!$C$13:$C$1276,SYS_4_3_Digitos!A824,asientos!$B$13:$B$1276)</f>
        <v>0</v>
      </c>
      <c r="H824" s="1317">
        <f>+SUMIF(asientos!$I$13:$I$1276,SYS_4_3_Digitos!A824,asientos!$J$13:$J$1276)</f>
        <v>0</v>
      </c>
      <c r="I824" s="1314">
        <f t="shared" si="82"/>
        <v>0</v>
      </c>
      <c r="J824" s="1315">
        <f t="shared" si="83"/>
        <v>0</v>
      </c>
      <c r="L824" s="1308">
        <f t="shared" si="84"/>
        <v>0</v>
      </c>
      <c r="M824" s="1296" t="str">
        <f t="shared" si="85"/>
        <v>0</v>
      </c>
      <c r="N824" s="1309">
        <f t="shared" si="86"/>
        <v>0</v>
      </c>
      <c r="O824" s="1296" t="str">
        <f t="shared" si="87"/>
        <v>0</v>
      </c>
    </row>
    <row r="825" spans="1:15" s="1296" customFormat="1" hidden="1">
      <c r="A825" s="1310"/>
      <c r="B825" s="1311"/>
      <c r="C825" s="1312">
        <v>0</v>
      </c>
      <c r="D825" s="1313">
        <v>0</v>
      </c>
      <c r="E825" s="1314"/>
      <c r="F825" s="1315"/>
      <c r="G825" s="1316">
        <f>+SUMIF(asientos!$C$13:$C$1276,SYS_4_3_Digitos!A825,asientos!$B$13:$B$1276)</f>
        <v>0</v>
      </c>
      <c r="H825" s="1317">
        <f>+SUMIF(asientos!$I$13:$I$1276,SYS_4_3_Digitos!A825,asientos!$J$13:$J$1276)</f>
        <v>0</v>
      </c>
      <c r="I825" s="1314">
        <f t="shared" si="82"/>
        <v>0</v>
      </c>
      <c r="J825" s="1315">
        <f t="shared" si="83"/>
        <v>0</v>
      </c>
      <c r="L825" s="1308">
        <f t="shared" si="84"/>
        <v>0</v>
      </c>
      <c r="M825" s="1296" t="str">
        <f t="shared" si="85"/>
        <v>0</v>
      </c>
      <c r="N825" s="1309">
        <f t="shared" si="86"/>
        <v>0</v>
      </c>
      <c r="O825" s="1296" t="str">
        <f t="shared" si="87"/>
        <v>0</v>
      </c>
    </row>
    <row r="826" spans="1:15" s="1296" customFormat="1" hidden="1">
      <c r="A826" s="1310"/>
      <c r="B826" s="1311"/>
      <c r="C826" s="1312">
        <v>0</v>
      </c>
      <c r="D826" s="1313">
        <v>0</v>
      </c>
      <c r="E826" s="1314"/>
      <c r="F826" s="1315"/>
      <c r="G826" s="1316">
        <f>+SUMIF(asientos!$C$13:$C$1276,SYS_4_3_Digitos!A826,asientos!$B$13:$B$1276)</f>
        <v>0</v>
      </c>
      <c r="H826" s="1317">
        <f>+SUMIF(asientos!$I$13:$I$1276,SYS_4_3_Digitos!A826,asientos!$J$13:$J$1276)</f>
        <v>0</v>
      </c>
      <c r="I826" s="1314">
        <f t="shared" si="82"/>
        <v>0</v>
      </c>
      <c r="J826" s="1315">
        <f t="shared" si="83"/>
        <v>0</v>
      </c>
      <c r="L826" s="1308">
        <f t="shared" si="84"/>
        <v>0</v>
      </c>
      <c r="M826" s="1296" t="str">
        <f t="shared" si="85"/>
        <v>0</v>
      </c>
      <c r="N826" s="1309">
        <f t="shared" si="86"/>
        <v>0</v>
      </c>
      <c r="O826" s="1296" t="str">
        <f t="shared" si="87"/>
        <v>0</v>
      </c>
    </row>
    <row r="827" spans="1:15" s="1296" customFormat="1" hidden="1">
      <c r="A827" s="1310"/>
      <c r="B827" s="1311"/>
      <c r="C827" s="1312">
        <v>0</v>
      </c>
      <c r="D827" s="1313">
        <v>0</v>
      </c>
      <c r="E827" s="1314"/>
      <c r="F827" s="1315"/>
      <c r="G827" s="1316">
        <f>+SUMIF(asientos!$C$13:$C$1276,SYS_4_3_Digitos!A827,asientos!$B$13:$B$1276)</f>
        <v>0</v>
      </c>
      <c r="H827" s="1317">
        <f>+SUMIF(asientos!$I$13:$I$1276,SYS_4_3_Digitos!A827,asientos!$J$13:$J$1276)</f>
        <v>0</v>
      </c>
      <c r="I827" s="1314">
        <f t="shared" si="82"/>
        <v>0</v>
      </c>
      <c r="J827" s="1315">
        <f t="shared" si="83"/>
        <v>0</v>
      </c>
      <c r="L827" s="1308">
        <f t="shared" si="84"/>
        <v>0</v>
      </c>
      <c r="M827" s="1296" t="str">
        <f t="shared" si="85"/>
        <v>0</v>
      </c>
      <c r="N827" s="1309">
        <f t="shared" si="86"/>
        <v>0</v>
      </c>
      <c r="O827" s="1296" t="str">
        <f t="shared" si="87"/>
        <v>0</v>
      </c>
    </row>
    <row r="828" spans="1:15" s="1296" customFormat="1" hidden="1">
      <c r="A828" s="1310"/>
      <c r="B828" s="1311"/>
      <c r="C828" s="1312">
        <v>0</v>
      </c>
      <c r="D828" s="1313">
        <v>0</v>
      </c>
      <c r="E828" s="1314"/>
      <c r="F828" s="1315"/>
      <c r="G828" s="1316">
        <f>+SUMIF(asientos!$C$13:$C$1276,SYS_4_3_Digitos!A828,asientos!$B$13:$B$1276)</f>
        <v>0</v>
      </c>
      <c r="H828" s="1317">
        <f>+SUMIF(asientos!$I$13:$I$1276,SYS_4_3_Digitos!A828,asientos!$J$13:$J$1276)</f>
        <v>0</v>
      </c>
      <c r="I828" s="1314">
        <f t="shared" si="82"/>
        <v>0</v>
      </c>
      <c r="J828" s="1315">
        <f t="shared" si="83"/>
        <v>0</v>
      </c>
      <c r="L828" s="1308">
        <f t="shared" si="84"/>
        <v>0</v>
      </c>
      <c r="M828" s="1296" t="str">
        <f t="shared" si="85"/>
        <v>0</v>
      </c>
      <c r="N828" s="1309">
        <f t="shared" si="86"/>
        <v>0</v>
      </c>
      <c r="O828" s="1296" t="str">
        <f t="shared" si="87"/>
        <v>0</v>
      </c>
    </row>
    <row r="829" spans="1:15" s="1296" customFormat="1" hidden="1">
      <c r="A829" s="1310"/>
      <c r="B829" s="1311"/>
      <c r="C829" s="1312">
        <v>0</v>
      </c>
      <c r="D829" s="1313">
        <v>0</v>
      </c>
      <c r="E829" s="1314"/>
      <c r="F829" s="1315"/>
      <c r="G829" s="1316">
        <f>+SUMIF(asientos!$C$13:$C$1276,SYS_4_3_Digitos!A829,asientos!$B$13:$B$1276)</f>
        <v>0</v>
      </c>
      <c r="H829" s="1317">
        <f>+SUMIF(asientos!$I$13:$I$1276,SYS_4_3_Digitos!A829,asientos!$J$13:$J$1276)</f>
        <v>0</v>
      </c>
      <c r="I829" s="1314">
        <f t="shared" si="82"/>
        <v>0</v>
      </c>
      <c r="J829" s="1315">
        <f t="shared" si="83"/>
        <v>0</v>
      </c>
      <c r="L829" s="1308">
        <f t="shared" si="84"/>
        <v>0</v>
      </c>
      <c r="M829" s="1296" t="str">
        <f t="shared" si="85"/>
        <v>0</v>
      </c>
      <c r="N829" s="1309">
        <f t="shared" si="86"/>
        <v>0</v>
      </c>
      <c r="O829" s="1296" t="str">
        <f t="shared" si="87"/>
        <v>0</v>
      </c>
    </row>
    <row r="830" spans="1:15" s="1296" customFormat="1" hidden="1">
      <c r="A830" s="1310"/>
      <c r="B830" s="1311"/>
      <c r="C830" s="1312">
        <v>0</v>
      </c>
      <c r="D830" s="1313">
        <v>0</v>
      </c>
      <c r="E830" s="1314"/>
      <c r="F830" s="1315"/>
      <c r="G830" s="1316">
        <f>+SUMIF(asientos!$C$13:$C$1276,SYS_4_3_Digitos!A830,asientos!$B$13:$B$1276)</f>
        <v>0</v>
      </c>
      <c r="H830" s="1317">
        <f>+SUMIF(asientos!$I$13:$I$1276,SYS_4_3_Digitos!A830,asientos!$J$13:$J$1276)</f>
        <v>0</v>
      </c>
      <c r="I830" s="1314">
        <f t="shared" si="82"/>
        <v>0</v>
      </c>
      <c r="J830" s="1315">
        <f t="shared" si="83"/>
        <v>0</v>
      </c>
      <c r="L830" s="1308">
        <f t="shared" si="84"/>
        <v>0</v>
      </c>
      <c r="M830" s="1296" t="str">
        <f t="shared" si="85"/>
        <v>0</v>
      </c>
      <c r="N830" s="1309">
        <f t="shared" si="86"/>
        <v>0</v>
      </c>
      <c r="O830" s="1296" t="str">
        <f t="shared" si="87"/>
        <v>0</v>
      </c>
    </row>
    <row r="831" spans="1:15" s="1296" customFormat="1" hidden="1">
      <c r="A831" s="1310"/>
      <c r="B831" s="1311"/>
      <c r="C831" s="1312">
        <v>0</v>
      </c>
      <c r="D831" s="1313">
        <v>0</v>
      </c>
      <c r="E831" s="1314"/>
      <c r="F831" s="1315"/>
      <c r="G831" s="1316">
        <f>+SUMIF(asientos!$C$13:$C$1276,SYS_4_3_Digitos!A831,asientos!$B$13:$B$1276)</f>
        <v>0</v>
      </c>
      <c r="H831" s="1317">
        <f>+SUMIF(asientos!$I$13:$I$1276,SYS_4_3_Digitos!A831,asientos!$J$13:$J$1276)</f>
        <v>0</v>
      </c>
      <c r="I831" s="1314">
        <f t="shared" si="82"/>
        <v>0</v>
      </c>
      <c r="J831" s="1315">
        <f t="shared" si="83"/>
        <v>0</v>
      </c>
      <c r="L831" s="1308">
        <f t="shared" si="84"/>
        <v>0</v>
      </c>
      <c r="M831" s="1296" t="str">
        <f t="shared" si="85"/>
        <v>0</v>
      </c>
      <c r="N831" s="1309">
        <f t="shared" si="86"/>
        <v>0</v>
      </c>
      <c r="O831" s="1296" t="str">
        <f t="shared" si="87"/>
        <v>0</v>
      </c>
    </row>
    <row r="832" spans="1:15" s="1296" customFormat="1" hidden="1">
      <c r="A832" s="1310"/>
      <c r="B832" s="1311"/>
      <c r="C832" s="1312">
        <v>0</v>
      </c>
      <c r="D832" s="1313">
        <v>0</v>
      </c>
      <c r="E832" s="1314"/>
      <c r="F832" s="1315"/>
      <c r="G832" s="1316">
        <f>+SUMIF(asientos!$C$13:$C$1276,SYS_4_3_Digitos!A832,asientos!$B$13:$B$1276)</f>
        <v>0</v>
      </c>
      <c r="H832" s="1317">
        <f>+SUMIF(asientos!$I$13:$I$1276,SYS_4_3_Digitos!A832,asientos!$J$13:$J$1276)</f>
        <v>0</v>
      </c>
      <c r="I832" s="1314">
        <f t="shared" si="82"/>
        <v>0</v>
      </c>
      <c r="J832" s="1315">
        <f t="shared" si="83"/>
        <v>0</v>
      </c>
      <c r="L832" s="1308">
        <f t="shared" si="84"/>
        <v>0</v>
      </c>
      <c r="M832" s="1296" t="str">
        <f t="shared" si="85"/>
        <v>0</v>
      </c>
      <c r="N832" s="1309">
        <f t="shared" si="86"/>
        <v>0</v>
      </c>
      <c r="O832" s="1296" t="str">
        <f t="shared" si="87"/>
        <v>0</v>
      </c>
    </row>
    <row r="833" spans="1:15" s="1296" customFormat="1" hidden="1">
      <c r="A833" s="1310"/>
      <c r="B833" s="1311"/>
      <c r="C833" s="1312">
        <v>0</v>
      </c>
      <c r="D833" s="1313">
        <v>0</v>
      </c>
      <c r="E833" s="1314"/>
      <c r="F833" s="1315"/>
      <c r="G833" s="1316">
        <f>+SUMIF(asientos!$C$13:$C$1276,SYS_4_3_Digitos!A833,asientos!$B$13:$B$1276)</f>
        <v>0</v>
      </c>
      <c r="H833" s="1317">
        <f>+SUMIF(asientos!$I$13:$I$1276,SYS_4_3_Digitos!A833,asientos!$J$13:$J$1276)</f>
        <v>0</v>
      </c>
      <c r="I833" s="1314">
        <f t="shared" si="82"/>
        <v>0</v>
      </c>
      <c r="J833" s="1315">
        <f t="shared" si="83"/>
        <v>0</v>
      </c>
      <c r="L833" s="1308">
        <f t="shared" si="84"/>
        <v>0</v>
      </c>
      <c r="M833" s="1296" t="str">
        <f t="shared" si="85"/>
        <v>0</v>
      </c>
      <c r="N833" s="1309">
        <f t="shared" si="86"/>
        <v>0</v>
      </c>
      <c r="O833" s="1296" t="str">
        <f t="shared" si="87"/>
        <v>0</v>
      </c>
    </row>
    <row r="834" spans="1:15" s="1296" customFormat="1" hidden="1">
      <c r="A834" s="1310"/>
      <c r="B834" s="1311"/>
      <c r="C834" s="1312">
        <v>0</v>
      </c>
      <c r="D834" s="1313">
        <v>0</v>
      </c>
      <c r="E834" s="1314"/>
      <c r="F834" s="1315"/>
      <c r="G834" s="1316">
        <f>+SUMIF(asientos!$C$13:$C$1276,SYS_4_3_Digitos!A834,asientos!$B$13:$B$1276)</f>
        <v>0</v>
      </c>
      <c r="H834" s="1317">
        <f>+SUMIF(asientos!$I$13:$I$1276,SYS_4_3_Digitos!A834,asientos!$J$13:$J$1276)</f>
        <v>0</v>
      </c>
      <c r="I834" s="1314">
        <f t="shared" si="82"/>
        <v>0</v>
      </c>
      <c r="J834" s="1315">
        <f t="shared" si="83"/>
        <v>0</v>
      </c>
      <c r="L834" s="1308">
        <f t="shared" si="84"/>
        <v>0</v>
      </c>
      <c r="M834" s="1296" t="str">
        <f t="shared" si="85"/>
        <v>0</v>
      </c>
      <c r="N834" s="1309">
        <f t="shared" si="86"/>
        <v>0</v>
      </c>
      <c r="O834" s="1296" t="str">
        <f t="shared" si="87"/>
        <v>0</v>
      </c>
    </row>
    <row r="835" spans="1:15" s="1296" customFormat="1" hidden="1">
      <c r="A835" s="1310"/>
      <c r="B835" s="1311"/>
      <c r="C835" s="1312">
        <v>0</v>
      </c>
      <c r="D835" s="1313">
        <v>0</v>
      </c>
      <c r="E835" s="1314"/>
      <c r="F835" s="1315"/>
      <c r="G835" s="1316">
        <f>+SUMIF(asientos!$C$13:$C$1276,SYS_4_3_Digitos!A835,asientos!$B$13:$B$1276)</f>
        <v>0</v>
      </c>
      <c r="H835" s="1317">
        <f>+SUMIF(asientos!$I$13:$I$1276,SYS_4_3_Digitos!A835,asientos!$J$13:$J$1276)</f>
        <v>0</v>
      </c>
      <c r="I835" s="1314">
        <f t="shared" si="82"/>
        <v>0</v>
      </c>
      <c r="J835" s="1315">
        <f t="shared" si="83"/>
        <v>0</v>
      </c>
      <c r="L835" s="1308">
        <f t="shared" si="84"/>
        <v>0</v>
      </c>
      <c r="M835" s="1296" t="str">
        <f t="shared" si="85"/>
        <v>0</v>
      </c>
      <c r="N835" s="1309">
        <f t="shared" si="86"/>
        <v>0</v>
      </c>
      <c r="O835" s="1296" t="str">
        <f t="shared" si="87"/>
        <v>0</v>
      </c>
    </row>
    <row r="836" spans="1:15" s="1296" customFormat="1" hidden="1">
      <c r="A836" s="1310"/>
      <c r="B836" s="1311"/>
      <c r="C836" s="1312">
        <v>0</v>
      </c>
      <c r="D836" s="1313">
        <v>0</v>
      </c>
      <c r="E836" s="1314"/>
      <c r="F836" s="1315"/>
      <c r="G836" s="1316">
        <f>+SUMIF(asientos!$C$13:$C$1276,SYS_4_3_Digitos!A836,asientos!$B$13:$B$1276)</f>
        <v>0</v>
      </c>
      <c r="H836" s="1317">
        <f>+SUMIF(asientos!$I$13:$I$1276,SYS_4_3_Digitos!A836,asientos!$J$13:$J$1276)</f>
        <v>0</v>
      </c>
      <c r="I836" s="1314">
        <f t="shared" si="82"/>
        <v>0</v>
      </c>
      <c r="J836" s="1315">
        <f t="shared" si="83"/>
        <v>0</v>
      </c>
      <c r="L836" s="1308">
        <f t="shared" si="84"/>
        <v>0</v>
      </c>
      <c r="M836" s="1296" t="str">
        <f t="shared" si="85"/>
        <v>0</v>
      </c>
      <c r="N836" s="1309">
        <f t="shared" si="86"/>
        <v>0</v>
      </c>
      <c r="O836" s="1296" t="str">
        <f t="shared" si="87"/>
        <v>0</v>
      </c>
    </row>
    <row r="837" spans="1:15" s="1296" customFormat="1" hidden="1">
      <c r="A837" s="1310"/>
      <c r="B837" s="1311"/>
      <c r="C837" s="1312">
        <v>0</v>
      </c>
      <c r="D837" s="1313">
        <v>0</v>
      </c>
      <c r="E837" s="1314"/>
      <c r="F837" s="1315"/>
      <c r="G837" s="1316">
        <f>+SUMIF(asientos!$C$13:$C$1276,SYS_4_3_Digitos!A837,asientos!$B$13:$B$1276)</f>
        <v>0</v>
      </c>
      <c r="H837" s="1317">
        <f>+SUMIF(asientos!$I$13:$I$1276,SYS_4_3_Digitos!A837,asientos!$J$13:$J$1276)</f>
        <v>0</v>
      </c>
      <c r="I837" s="1314">
        <f t="shared" si="82"/>
        <v>0</v>
      </c>
      <c r="J837" s="1315">
        <f t="shared" si="83"/>
        <v>0</v>
      </c>
      <c r="L837" s="1308">
        <f t="shared" si="84"/>
        <v>0</v>
      </c>
      <c r="M837" s="1296" t="str">
        <f t="shared" si="85"/>
        <v>0</v>
      </c>
      <c r="N837" s="1309">
        <f t="shared" si="86"/>
        <v>0</v>
      </c>
      <c r="O837" s="1296" t="str">
        <f t="shared" si="87"/>
        <v>0</v>
      </c>
    </row>
    <row r="838" spans="1:15" s="1296" customFormat="1" hidden="1">
      <c r="A838" s="1310"/>
      <c r="B838" s="1311"/>
      <c r="C838" s="1312">
        <v>0</v>
      </c>
      <c r="D838" s="1313">
        <v>0</v>
      </c>
      <c r="E838" s="1314"/>
      <c r="F838" s="1315"/>
      <c r="G838" s="1316">
        <f>+SUMIF(asientos!$C$13:$C$1276,SYS_4_3_Digitos!A838,asientos!$B$13:$B$1276)</f>
        <v>0</v>
      </c>
      <c r="H838" s="1317">
        <f>+SUMIF(asientos!$I$13:$I$1276,SYS_4_3_Digitos!A838,asientos!$J$13:$J$1276)</f>
        <v>0</v>
      </c>
      <c r="I838" s="1314">
        <f t="shared" si="82"/>
        <v>0</v>
      </c>
      <c r="J838" s="1315">
        <f t="shared" si="83"/>
        <v>0</v>
      </c>
      <c r="L838" s="1308">
        <f t="shared" si="84"/>
        <v>0</v>
      </c>
      <c r="M838" s="1296" t="str">
        <f t="shared" si="85"/>
        <v>0</v>
      </c>
      <c r="N838" s="1309">
        <f t="shared" si="86"/>
        <v>0</v>
      </c>
      <c r="O838" s="1296" t="str">
        <f t="shared" si="87"/>
        <v>0</v>
      </c>
    </row>
    <row r="839" spans="1:15" s="1296" customFormat="1" hidden="1">
      <c r="A839" s="1310"/>
      <c r="B839" s="1311"/>
      <c r="C839" s="1312">
        <v>0</v>
      </c>
      <c r="D839" s="1313">
        <v>0</v>
      </c>
      <c r="E839" s="1314"/>
      <c r="F839" s="1315"/>
      <c r="G839" s="1316">
        <f>+SUMIF(asientos!$C$13:$C$1276,SYS_4_3_Digitos!A839,asientos!$B$13:$B$1276)</f>
        <v>0</v>
      </c>
      <c r="H839" s="1317">
        <f>+SUMIF(asientos!$I$13:$I$1276,SYS_4_3_Digitos!A839,asientos!$J$13:$J$1276)</f>
        <v>0</v>
      </c>
      <c r="I839" s="1314">
        <f t="shared" si="82"/>
        <v>0</v>
      </c>
      <c r="J839" s="1315">
        <f t="shared" si="83"/>
        <v>0</v>
      </c>
      <c r="L839" s="1308">
        <f t="shared" si="84"/>
        <v>0</v>
      </c>
      <c r="M839" s="1296" t="str">
        <f t="shared" si="85"/>
        <v>0</v>
      </c>
      <c r="N839" s="1309">
        <f t="shared" si="86"/>
        <v>0</v>
      </c>
      <c r="O839" s="1296" t="str">
        <f t="shared" si="87"/>
        <v>0</v>
      </c>
    </row>
    <row r="840" spans="1:15" s="1296" customFormat="1" hidden="1">
      <c r="A840" s="1310"/>
      <c r="B840" s="1311"/>
      <c r="C840" s="1312">
        <v>0</v>
      </c>
      <c r="D840" s="1313">
        <v>0</v>
      </c>
      <c r="E840" s="1314"/>
      <c r="F840" s="1315"/>
      <c r="G840" s="1316">
        <f>+SUMIF(asientos!$C$13:$C$1276,SYS_4_3_Digitos!A840,asientos!$B$13:$B$1276)</f>
        <v>0</v>
      </c>
      <c r="H840" s="1317">
        <f>+SUMIF(asientos!$I$13:$I$1276,SYS_4_3_Digitos!A840,asientos!$J$13:$J$1276)</f>
        <v>0</v>
      </c>
      <c r="I840" s="1314">
        <f t="shared" si="82"/>
        <v>0</v>
      </c>
      <c r="J840" s="1315">
        <f t="shared" si="83"/>
        <v>0</v>
      </c>
      <c r="L840" s="1308">
        <f t="shared" si="84"/>
        <v>0</v>
      </c>
      <c r="M840" s="1296" t="str">
        <f t="shared" si="85"/>
        <v>0</v>
      </c>
      <c r="N840" s="1309">
        <f t="shared" si="86"/>
        <v>0</v>
      </c>
      <c r="O840" s="1296" t="str">
        <f t="shared" si="87"/>
        <v>0</v>
      </c>
    </row>
    <row r="841" spans="1:15" s="1296" customFormat="1" hidden="1">
      <c r="A841" s="1310"/>
      <c r="B841" s="1311"/>
      <c r="C841" s="1312">
        <v>0</v>
      </c>
      <c r="D841" s="1313">
        <v>0</v>
      </c>
      <c r="E841" s="1314"/>
      <c r="F841" s="1315"/>
      <c r="G841" s="1316">
        <f>+SUMIF(asientos!$C$13:$C$1276,SYS_4_3_Digitos!A841,asientos!$B$13:$B$1276)</f>
        <v>0</v>
      </c>
      <c r="H841" s="1317">
        <f>+SUMIF(asientos!$I$13:$I$1276,SYS_4_3_Digitos!A841,asientos!$J$13:$J$1276)</f>
        <v>0</v>
      </c>
      <c r="I841" s="1314">
        <f t="shared" si="82"/>
        <v>0</v>
      </c>
      <c r="J841" s="1315">
        <f t="shared" si="83"/>
        <v>0</v>
      </c>
      <c r="L841" s="1308">
        <f t="shared" si="84"/>
        <v>0</v>
      </c>
      <c r="M841" s="1296" t="str">
        <f t="shared" si="85"/>
        <v>0</v>
      </c>
      <c r="N841" s="1309">
        <f t="shared" si="86"/>
        <v>0</v>
      </c>
      <c r="O841" s="1296" t="str">
        <f t="shared" si="87"/>
        <v>0</v>
      </c>
    </row>
    <row r="842" spans="1:15" s="1296" customFormat="1" hidden="1">
      <c r="A842" s="1310"/>
      <c r="B842" s="1311"/>
      <c r="C842" s="1312">
        <v>0</v>
      </c>
      <c r="D842" s="1313">
        <v>0</v>
      </c>
      <c r="E842" s="1314"/>
      <c r="F842" s="1315"/>
      <c r="G842" s="1316">
        <f>+SUMIF(asientos!$C$13:$C$1276,SYS_4_3_Digitos!A842,asientos!$B$13:$B$1276)</f>
        <v>0</v>
      </c>
      <c r="H842" s="1317">
        <f>+SUMIF(asientos!$I$13:$I$1276,SYS_4_3_Digitos!A842,asientos!$J$13:$J$1276)</f>
        <v>0</v>
      </c>
      <c r="I842" s="1314">
        <f t="shared" si="82"/>
        <v>0</v>
      </c>
      <c r="J842" s="1315">
        <f t="shared" si="83"/>
        <v>0</v>
      </c>
      <c r="L842" s="1308">
        <f t="shared" si="84"/>
        <v>0</v>
      </c>
      <c r="M842" s="1296" t="str">
        <f t="shared" si="85"/>
        <v>0</v>
      </c>
      <c r="N842" s="1309">
        <f t="shared" si="86"/>
        <v>0</v>
      </c>
      <c r="O842" s="1296" t="str">
        <f t="shared" si="87"/>
        <v>0</v>
      </c>
    </row>
    <row r="843" spans="1:15" s="1296" customFormat="1" hidden="1">
      <c r="A843" s="1310"/>
      <c r="B843" s="1311"/>
      <c r="C843" s="1312">
        <v>0</v>
      </c>
      <c r="D843" s="1313">
        <v>0</v>
      </c>
      <c r="E843" s="1314"/>
      <c r="F843" s="1315"/>
      <c r="G843" s="1316">
        <f>+SUMIF(asientos!$C$13:$C$1276,SYS_4_3_Digitos!A843,asientos!$B$13:$B$1276)</f>
        <v>0</v>
      </c>
      <c r="H843" s="1317">
        <f>+SUMIF(asientos!$I$13:$I$1276,SYS_4_3_Digitos!A843,asientos!$J$13:$J$1276)</f>
        <v>0</v>
      </c>
      <c r="I843" s="1314">
        <f t="shared" si="82"/>
        <v>0</v>
      </c>
      <c r="J843" s="1315">
        <f t="shared" si="83"/>
        <v>0</v>
      </c>
      <c r="L843" s="1308">
        <f t="shared" si="84"/>
        <v>0</v>
      </c>
      <c r="M843" s="1296" t="str">
        <f t="shared" si="85"/>
        <v>0</v>
      </c>
      <c r="N843" s="1309">
        <f t="shared" si="86"/>
        <v>0</v>
      </c>
      <c r="O843" s="1296" t="str">
        <f t="shared" si="87"/>
        <v>0</v>
      </c>
    </row>
    <row r="844" spans="1:15" s="1296" customFormat="1" hidden="1">
      <c r="A844" s="1310"/>
      <c r="B844" s="1311"/>
      <c r="C844" s="1312">
        <v>0</v>
      </c>
      <c r="D844" s="1313">
        <v>0</v>
      </c>
      <c r="E844" s="1314"/>
      <c r="F844" s="1315"/>
      <c r="G844" s="1316">
        <f>+SUMIF(asientos!$C$13:$C$1276,SYS_4_3_Digitos!A844,asientos!$B$13:$B$1276)</f>
        <v>0</v>
      </c>
      <c r="H844" s="1317">
        <f>+SUMIF(asientos!$I$13:$I$1276,SYS_4_3_Digitos!A844,asientos!$J$13:$J$1276)</f>
        <v>0</v>
      </c>
      <c r="I844" s="1314">
        <f t="shared" si="82"/>
        <v>0</v>
      </c>
      <c r="J844" s="1315">
        <f t="shared" si="83"/>
        <v>0</v>
      </c>
      <c r="L844" s="1308">
        <f t="shared" si="84"/>
        <v>0</v>
      </c>
      <c r="M844" s="1296" t="str">
        <f t="shared" si="85"/>
        <v>0</v>
      </c>
      <c r="N844" s="1309">
        <f t="shared" si="86"/>
        <v>0</v>
      </c>
      <c r="O844" s="1296" t="str">
        <f t="shared" si="87"/>
        <v>0</v>
      </c>
    </row>
    <row r="845" spans="1:15" s="1296" customFormat="1" hidden="1">
      <c r="A845" s="1310"/>
      <c r="B845" s="1311"/>
      <c r="C845" s="1312">
        <v>0</v>
      </c>
      <c r="D845" s="1313">
        <v>0</v>
      </c>
      <c r="E845" s="1314"/>
      <c r="F845" s="1315"/>
      <c r="G845" s="1316">
        <f>+SUMIF(asientos!$C$13:$C$1276,SYS_4_3_Digitos!A845,asientos!$B$13:$B$1276)</f>
        <v>0</v>
      </c>
      <c r="H845" s="1317">
        <f>+SUMIF(asientos!$I$13:$I$1276,SYS_4_3_Digitos!A845,asientos!$J$13:$J$1276)</f>
        <v>0</v>
      </c>
      <c r="I845" s="1314">
        <f t="shared" si="82"/>
        <v>0</v>
      </c>
      <c r="J845" s="1315">
        <f t="shared" si="83"/>
        <v>0</v>
      </c>
      <c r="L845" s="1308">
        <f t="shared" si="84"/>
        <v>0</v>
      </c>
      <c r="M845" s="1296" t="str">
        <f t="shared" si="85"/>
        <v>0</v>
      </c>
      <c r="N845" s="1309">
        <f t="shared" si="86"/>
        <v>0</v>
      </c>
      <c r="O845" s="1296" t="str">
        <f t="shared" si="87"/>
        <v>0</v>
      </c>
    </row>
    <row r="846" spans="1:15" s="1296" customFormat="1" hidden="1">
      <c r="A846" s="1310"/>
      <c r="B846" s="1311"/>
      <c r="C846" s="1312">
        <v>0</v>
      </c>
      <c r="D846" s="1313">
        <v>0</v>
      </c>
      <c r="E846" s="1314"/>
      <c r="F846" s="1315"/>
      <c r="G846" s="1316">
        <f>+SUMIF(asientos!$C$13:$C$1276,SYS_4_3_Digitos!A846,asientos!$B$13:$B$1276)</f>
        <v>0</v>
      </c>
      <c r="H846" s="1317">
        <f>+SUMIF(asientos!$I$13:$I$1276,SYS_4_3_Digitos!A846,asientos!$J$13:$J$1276)</f>
        <v>0</v>
      </c>
      <c r="I846" s="1314">
        <f t="shared" si="82"/>
        <v>0</v>
      </c>
      <c r="J846" s="1315">
        <f t="shared" si="83"/>
        <v>0</v>
      </c>
      <c r="L846" s="1308">
        <f t="shared" si="84"/>
        <v>0</v>
      </c>
      <c r="M846" s="1296" t="str">
        <f t="shared" si="85"/>
        <v>0</v>
      </c>
      <c r="N846" s="1309">
        <f t="shared" si="86"/>
        <v>0</v>
      </c>
      <c r="O846" s="1296" t="str">
        <f t="shared" si="87"/>
        <v>0</v>
      </c>
    </row>
    <row r="847" spans="1:15" s="1296" customFormat="1" hidden="1">
      <c r="A847" s="1310"/>
      <c r="B847" s="1311"/>
      <c r="C847" s="1312">
        <v>0</v>
      </c>
      <c r="D847" s="1313">
        <v>0</v>
      </c>
      <c r="E847" s="1314"/>
      <c r="F847" s="1315"/>
      <c r="G847" s="1316">
        <f>+SUMIF(asientos!$C$13:$C$1276,SYS_4_3_Digitos!A847,asientos!$B$13:$B$1276)</f>
        <v>0</v>
      </c>
      <c r="H847" s="1317">
        <f>+SUMIF(asientos!$I$13:$I$1276,SYS_4_3_Digitos!A847,asientos!$J$13:$J$1276)</f>
        <v>0</v>
      </c>
      <c r="I847" s="1314">
        <f t="shared" si="82"/>
        <v>0</v>
      </c>
      <c r="J847" s="1315">
        <f t="shared" si="83"/>
        <v>0</v>
      </c>
      <c r="L847" s="1308">
        <f t="shared" si="84"/>
        <v>0</v>
      </c>
      <c r="M847" s="1296" t="str">
        <f t="shared" si="85"/>
        <v>0</v>
      </c>
      <c r="N847" s="1309">
        <f t="shared" si="86"/>
        <v>0</v>
      </c>
      <c r="O847" s="1296" t="str">
        <f t="shared" si="87"/>
        <v>0</v>
      </c>
    </row>
    <row r="848" spans="1:15" s="1296" customFormat="1" hidden="1">
      <c r="A848" s="1310"/>
      <c r="B848" s="1311"/>
      <c r="C848" s="1312">
        <v>0</v>
      </c>
      <c r="D848" s="1313">
        <v>0</v>
      </c>
      <c r="E848" s="1314"/>
      <c r="F848" s="1315"/>
      <c r="G848" s="1316">
        <f>+SUMIF(asientos!$C$13:$C$1276,SYS_4_3_Digitos!A848,asientos!$B$13:$B$1276)</f>
        <v>0</v>
      </c>
      <c r="H848" s="1317">
        <f>+SUMIF(asientos!$I$13:$I$1276,SYS_4_3_Digitos!A848,asientos!$J$13:$J$1276)</f>
        <v>0</v>
      </c>
      <c r="I848" s="1314">
        <f t="shared" si="82"/>
        <v>0</v>
      </c>
      <c r="J848" s="1315">
        <f t="shared" si="83"/>
        <v>0</v>
      </c>
      <c r="L848" s="1308">
        <f t="shared" si="84"/>
        <v>0</v>
      </c>
      <c r="M848" s="1296" t="str">
        <f t="shared" si="85"/>
        <v>0</v>
      </c>
      <c r="N848" s="1309">
        <f t="shared" si="86"/>
        <v>0</v>
      </c>
      <c r="O848" s="1296" t="str">
        <f t="shared" si="87"/>
        <v>0</v>
      </c>
    </row>
    <row r="849" spans="1:15" s="1296" customFormat="1" hidden="1">
      <c r="A849" s="1310"/>
      <c r="B849" s="1311"/>
      <c r="C849" s="1312">
        <v>0</v>
      </c>
      <c r="D849" s="1313">
        <v>0</v>
      </c>
      <c r="E849" s="1314"/>
      <c r="F849" s="1315"/>
      <c r="G849" s="1316">
        <f>+SUMIF(asientos!$C$13:$C$1276,SYS_4_3_Digitos!A849,asientos!$B$13:$B$1276)</f>
        <v>0</v>
      </c>
      <c r="H849" s="1317">
        <f>+SUMIF(asientos!$I$13:$I$1276,SYS_4_3_Digitos!A849,asientos!$J$13:$J$1276)</f>
        <v>0</v>
      </c>
      <c r="I849" s="1314">
        <f t="shared" si="82"/>
        <v>0</v>
      </c>
      <c r="J849" s="1315">
        <f t="shared" si="83"/>
        <v>0</v>
      </c>
      <c r="L849" s="1308">
        <f t="shared" si="84"/>
        <v>0</v>
      </c>
      <c r="M849" s="1296" t="str">
        <f t="shared" si="85"/>
        <v>0</v>
      </c>
      <c r="N849" s="1309">
        <f t="shared" si="86"/>
        <v>0</v>
      </c>
      <c r="O849" s="1296" t="str">
        <f t="shared" si="87"/>
        <v>0</v>
      </c>
    </row>
    <row r="850" spans="1:15" s="1296" customFormat="1" hidden="1">
      <c r="A850" s="1310"/>
      <c r="B850" s="1311"/>
      <c r="C850" s="1312">
        <v>0</v>
      </c>
      <c r="D850" s="1313">
        <v>0</v>
      </c>
      <c r="E850" s="1314"/>
      <c r="F850" s="1315"/>
      <c r="G850" s="1316">
        <f>+SUMIF(asientos!$C$13:$C$1276,SYS_4_3_Digitos!A850,asientos!$B$13:$B$1276)</f>
        <v>0</v>
      </c>
      <c r="H850" s="1317">
        <f>+SUMIF(asientos!$I$13:$I$1276,SYS_4_3_Digitos!A850,asientos!$J$13:$J$1276)</f>
        <v>0</v>
      </c>
      <c r="I850" s="1314">
        <f t="shared" si="82"/>
        <v>0</v>
      </c>
      <c r="J850" s="1315">
        <f t="shared" si="83"/>
        <v>0</v>
      </c>
      <c r="L850" s="1308">
        <f t="shared" si="84"/>
        <v>0</v>
      </c>
      <c r="M850" s="1296" t="str">
        <f t="shared" si="85"/>
        <v>0</v>
      </c>
      <c r="N850" s="1309">
        <f t="shared" si="86"/>
        <v>0</v>
      </c>
      <c r="O850" s="1296" t="str">
        <f t="shared" si="87"/>
        <v>0</v>
      </c>
    </row>
    <row r="851" spans="1:15" s="1296" customFormat="1" hidden="1">
      <c r="A851" s="1310"/>
      <c r="B851" s="1311"/>
      <c r="C851" s="1312">
        <v>0</v>
      </c>
      <c r="D851" s="1313">
        <v>0</v>
      </c>
      <c r="E851" s="1314"/>
      <c r="F851" s="1315"/>
      <c r="G851" s="1316">
        <f>+SUMIF(asientos!$C$13:$C$1276,SYS_4_3_Digitos!A851,asientos!$B$13:$B$1276)</f>
        <v>0</v>
      </c>
      <c r="H851" s="1317">
        <f>+SUMIF(asientos!$I$13:$I$1276,SYS_4_3_Digitos!A851,asientos!$J$13:$J$1276)</f>
        <v>0</v>
      </c>
      <c r="I851" s="1314">
        <f t="shared" si="82"/>
        <v>0</v>
      </c>
      <c r="J851" s="1315">
        <f t="shared" si="83"/>
        <v>0</v>
      </c>
      <c r="L851" s="1308">
        <f t="shared" si="84"/>
        <v>0</v>
      </c>
      <c r="M851" s="1296" t="str">
        <f t="shared" si="85"/>
        <v>0</v>
      </c>
      <c r="N851" s="1309">
        <f t="shared" si="86"/>
        <v>0</v>
      </c>
      <c r="O851" s="1296" t="str">
        <f t="shared" si="87"/>
        <v>0</v>
      </c>
    </row>
    <row r="852" spans="1:15" s="1296" customFormat="1" hidden="1">
      <c r="A852" s="1310"/>
      <c r="B852" s="1311"/>
      <c r="C852" s="1312">
        <v>0</v>
      </c>
      <c r="D852" s="1313">
        <v>0</v>
      </c>
      <c r="E852" s="1314"/>
      <c r="F852" s="1315"/>
      <c r="G852" s="1316">
        <f>+SUMIF(asientos!$C$13:$C$1276,SYS_4_3_Digitos!A852,asientos!$B$13:$B$1276)</f>
        <v>0</v>
      </c>
      <c r="H852" s="1317">
        <f>+SUMIF(asientos!$I$13:$I$1276,SYS_4_3_Digitos!A852,asientos!$J$13:$J$1276)</f>
        <v>0</v>
      </c>
      <c r="I852" s="1314">
        <f t="shared" si="82"/>
        <v>0</v>
      </c>
      <c r="J852" s="1315">
        <f t="shared" si="83"/>
        <v>0</v>
      </c>
      <c r="L852" s="1308">
        <f t="shared" si="84"/>
        <v>0</v>
      </c>
      <c r="M852" s="1296" t="str">
        <f t="shared" si="85"/>
        <v>0</v>
      </c>
      <c r="N852" s="1309">
        <f t="shared" si="86"/>
        <v>0</v>
      </c>
      <c r="O852" s="1296" t="str">
        <f t="shared" si="87"/>
        <v>0</v>
      </c>
    </row>
    <row r="853" spans="1:15" s="1296" customFormat="1" hidden="1">
      <c r="A853" s="1310"/>
      <c r="B853" s="1311"/>
      <c r="C853" s="1312">
        <v>0</v>
      </c>
      <c r="D853" s="1313">
        <v>0</v>
      </c>
      <c r="E853" s="1314"/>
      <c r="F853" s="1315"/>
      <c r="G853" s="1316">
        <f>+SUMIF(asientos!$C$13:$C$1276,SYS_4_3_Digitos!A853,asientos!$B$13:$B$1276)</f>
        <v>0</v>
      </c>
      <c r="H853" s="1317">
        <f>+SUMIF(asientos!$I$13:$I$1276,SYS_4_3_Digitos!A853,asientos!$J$13:$J$1276)</f>
        <v>0</v>
      </c>
      <c r="I853" s="1314">
        <f t="shared" si="82"/>
        <v>0</v>
      </c>
      <c r="J853" s="1315">
        <f t="shared" si="83"/>
        <v>0</v>
      </c>
      <c r="L853" s="1308">
        <f t="shared" si="84"/>
        <v>0</v>
      </c>
      <c r="M853" s="1296" t="str">
        <f t="shared" si="85"/>
        <v>0</v>
      </c>
      <c r="N853" s="1309">
        <f t="shared" si="86"/>
        <v>0</v>
      </c>
      <c r="O853" s="1296" t="str">
        <f t="shared" si="87"/>
        <v>0</v>
      </c>
    </row>
    <row r="854" spans="1:15" s="1296" customFormat="1" hidden="1">
      <c r="A854" s="1310"/>
      <c r="B854" s="1311"/>
      <c r="C854" s="1312">
        <v>0</v>
      </c>
      <c r="D854" s="1313">
        <v>0</v>
      </c>
      <c r="E854" s="1314"/>
      <c r="F854" s="1315"/>
      <c r="G854" s="1316">
        <f>+SUMIF(asientos!$C$13:$C$1276,SYS_4_3_Digitos!A854,asientos!$B$13:$B$1276)</f>
        <v>0</v>
      </c>
      <c r="H854" s="1317">
        <f>+SUMIF(asientos!$I$13:$I$1276,SYS_4_3_Digitos!A854,asientos!$J$13:$J$1276)</f>
        <v>0</v>
      </c>
      <c r="I854" s="1314">
        <f t="shared" si="82"/>
        <v>0</v>
      </c>
      <c r="J854" s="1315">
        <f t="shared" si="83"/>
        <v>0</v>
      </c>
      <c r="L854" s="1308">
        <f t="shared" si="84"/>
        <v>0</v>
      </c>
      <c r="M854" s="1296" t="str">
        <f t="shared" si="85"/>
        <v>0</v>
      </c>
      <c r="N854" s="1309">
        <f t="shared" si="86"/>
        <v>0</v>
      </c>
      <c r="O854" s="1296" t="str">
        <f t="shared" si="87"/>
        <v>0</v>
      </c>
    </row>
    <row r="855" spans="1:15" s="1296" customFormat="1" hidden="1">
      <c r="A855" s="1310"/>
      <c r="B855" s="1311"/>
      <c r="C855" s="1312">
        <v>0</v>
      </c>
      <c r="D855" s="1313">
        <v>0</v>
      </c>
      <c r="E855" s="1314"/>
      <c r="F855" s="1315"/>
      <c r="G855" s="1316">
        <f>+SUMIF(asientos!$C$13:$C$1276,SYS_4_3_Digitos!A855,asientos!$B$13:$B$1276)</f>
        <v>0</v>
      </c>
      <c r="H855" s="1317">
        <f>+SUMIF(asientos!$I$13:$I$1276,SYS_4_3_Digitos!A855,asientos!$J$13:$J$1276)</f>
        <v>0</v>
      </c>
      <c r="I855" s="1314">
        <f t="shared" si="82"/>
        <v>0</v>
      </c>
      <c r="J855" s="1315">
        <f t="shared" si="83"/>
        <v>0</v>
      </c>
      <c r="L855" s="1308">
        <f t="shared" si="84"/>
        <v>0</v>
      </c>
      <c r="M855" s="1296" t="str">
        <f t="shared" si="85"/>
        <v>0</v>
      </c>
      <c r="N855" s="1309">
        <f t="shared" si="86"/>
        <v>0</v>
      </c>
      <c r="O855" s="1296" t="str">
        <f t="shared" si="87"/>
        <v>0</v>
      </c>
    </row>
    <row r="856" spans="1:15" s="1296" customFormat="1" hidden="1">
      <c r="A856" s="1310"/>
      <c r="B856" s="1311"/>
      <c r="C856" s="1312">
        <v>0</v>
      </c>
      <c r="D856" s="1313">
        <v>0</v>
      </c>
      <c r="E856" s="1314"/>
      <c r="F856" s="1315"/>
      <c r="G856" s="1316">
        <f>+SUMIF(asientos!$C$13:$C$1276,SYS_4_3_Digitos!A856,asientos!$B$13:$B$1276)</f>
        <v>0</v>
      </c>
      <c r="H856" s="1317">
        <f>+SUMIF(asientos!$I$13:$I$1276,SYS_4_3_Digitos!A856,asientos!$J$13:$J$1276)</f>
        <v>0</v>
      </c>
      <c r="I856" s="1314">
        <f t="shared" si="82"/>
        <v>0</v>
      </c>
      <c r="J856" s="1315">
        <f t="shared" si="83"/>
        <v>0</v>
      </c>
      <c r="L856" s="1308">
        <f t="shared" si="84"/>
        <v>0</v>
      </c>
      <c r="M856" s="1296" t="str">
        <f t="shared" si="85"/>
        <v>0</v>
      </c>
      <c r="N856" s="1309">
        <f t="shared" si="86"/>
        <v>0</v>
      </c>
      <c r="O856" s="1296" t="str">
        <f t="shared" si="87"/>
        <v>0</v>
      </c>
    </row>
    <row r="857" spans="1:15" s="1296" customFormat="1" hidden="1">
      <c r="A857" s="1310"/>
      <c r="B857" s="1311"/>
      <c r="C857" s="1312">
        <v>0</v>
      </c>
      <c r="D857" s="1313">
        <v>0</v>
      </c>
      <c r="E857" s="1314"/>
      <c r="F857" s="1315"/>
      <c r="G857" s="1316">
        <f>+SUMIF(asientos!$C$13:$C$1276,SYS_4_3_Digitos!A857,asientos!$B$13:$B$1276)</f>
        <v>0</v>
      </c>
      <c r="H857" s="1317">
        <f>+SUMIF(asientos!$I$13:$I$1276,SYS_4_3_Digitos!A857,asientos!$J$13:$J$1276)</f>
        <v>0</v>
      </c>
      <c r="I857" s="1314">
        <f t="shared" si="82"/>
        <v>0</v>
      </c>
      <c r="J857" s="1315">
        <f t="shared" si="83"/>
        <v>0</v>
      </c>
      <c r="L857" s="1308">
        <f t="shared" si="84"/>
        <v>0</v>
      </c>
      <c r="M857" s="1296" t="str">
        <f t="shared" si="85"/>
        <v>0</v>
      </c>
      <c r="N857" s="1309">
        <f t="shared" si="86"/>
        <v>0</v>
      </c>
      <c r="O857" s="1296" t="str">
        <f t="shared" si="87"/>
        <v>0</v>
      </c>
    </row>
    <row r="858" spans="1:15" s="1296" customFormat="1" hidden="1">
      <c r="A858" s="1310"/>
      <c r="B858" s="1311"/>
      <c r="C858" s="1312">
        <v>0</v>
      </c>
      <c r="D858" s="1313">
        <v>0</v>
      </c>
      <c r="E858" s="1314"/>
      <c r="F858" s="1315"/>
      <c r="G858" s="1316">
        <f>+SUMIF(asientos!$C$13:$C$1276,SYS_4_3_Digitos!A858,asientos!$B$13:$B$1276)</f>
        <v>0</v>
      </c>
      <c r="H858" s="1317">
        <f>+SUMIF(asientos!$I$13:$I$1276,SYS_4_3_Digitos!A858,asientos!$J$13:$J$1276)</f>
        <v>0</v>
      </c>
      <c r="I858" s="1314">
        <f t="shared" si="82"/>
        <v>0</v>
      </c>
      <c r="J858" s="1315">
        <f t="shared" si="83"/>
        <v>0</v>
      </c>
      <c r="L858" s="1308">
        <f t="shared" si="84"/>
        <v>0</v>
      </c>
      <c r="M858" s="1296" t="str">
        <f t="shared" si="85"/>
        <v>0</v>
      </c>
      <c r="N858" s="1309">
        <f t="shared" si="86"/>
        <v>0</v>
      </c>
      <c r="O858" s="1296" t="str">
        <f t="shared" si="87"/>
        <v>0</v>
      </c>
    </row>
    <row r="859" spans="1:15" s="1296" customFormat="1" hidden="1">
      <c r="A859" s="1310"/>
      <c r="B859" s="1311"/>
      <c r="C859" s="1312">
        <v>0</v>
      </c>
      <c r="D859" s="1313">
        <v>0</v>
      </c>
      <c r="E859" s="1314"/>
      <c r="F859" s="1315"/>
      <c r="G859" s="1316">
        <f>+SUMIF(asientos!$C$13:$C$1276,SYS_4_3_Digitos!A859,asientos!$B$13:$B$1276)</f>
        <v>0</v>
      </c>
      <c r="H859" s="1317">
        <f>+SUMIF(asientos!$I$13:$I$1276,SYS_4_3_Digitos!A859,asientos!$J$13:$J$1276)</f>
        <v>0</v>
      </c>
      <c r="I859" s="1314">
        <f t="shared" si="82"/>
        <v>0</v>
      </c>
      <c r="J859" s="1315">
        <f t="shared" si="83"/>
        <v>0</v>
      </c>
      <c r="L859" s="1308">
        <f t="shared" si="84"/>
        <v>0</v>
      </c>
      <c r="M859" s="1296" t="str">
        <f t="shared" si="85"/>
        <v>0</v>
      </c>
      <c r="N859" s="1309">
        <f t="shared" si="86"/>
        <v>0</v>
      </c>
      <c r="O859" s="1296" t="str">
        <f t="shared" si="87"/>
        <v>0</v>
      </c>
    </row>
    <row r="860" spans="1:15" s="1296" customFormat="1" hidden="1">
      <c r="A860" s="1310"/>
      <c r="B860" s="1311"/>
      <c r="C860" s="1312">
        <v>0</v>
      </c>
      <c r="D860" s="1313">
        <v>0</v>
      </c>
      <c r="E860" s="1314"/>
      <c r="F860" s="1315"/>
      <c r="G860" s="1316">
        <f>+SUMIF(asientos!$C$13:$C$1276,SYS_4_3_Digitos!A860,asientos!$B$13:$B$1276)</f>
        <v>0</v>
      </c>
      <c r="H860" s="1317">
        <f>+SUMIF(asientos!$I$13:$I$1276,SYS_4_3_Digitos!A860,asientos!$J$13:$J$1276)</f>
        <v>0</v>
      </c>
      <c r="I860" s="1314">
        <f t="shared" si="82"/>
        <v>0</v>
      </c>
      <c r="J860" s="1315">
        <f t="shared" si="83"/>
        <v>0</v>
      </c>
      <c r="L860" s="1308">
        <f t="shared" si="84"/>
        <v>0</v>
      </c>
      <c r="M860" s="1296" t="str">
        <f t="shared" si="85"/>
        <v>0</v>
      </c>
      <c r="N860" s="1309">
        <f t="shared" si="86"/>
        <v>0</v>
      </c>
      <c r="O860" s="1296" t="str">
        <f t="shared" si="87"/>
        <v>0</v>
      </c>
    </row>
    <row r="861" spans="1:15" s="1296" customFormat="1" hidden="1">
      <c r="A861" s="1310"/>
      <c r="B861" s="1311"/>
      <c r="C861" s="1312">
        <v>0</v>
      </c>
      <c r="D861" s="1313">
        <v>0</v>
      </c>
      <c r="E861" s="1314"/>
      <c r="F861" s="1315"/>
      <c r="G861" s="1316">
        <f>+SUMIF(asientos!$C$13:$C$1276,SYS_4_3_Digitos!A861,asientos!$B$13:$B$1276)</f>
        <v>0</v>
      </c>
      <c r="H861" s="1317">
        <f>+SUMIF(asientos!$I$13:$I$1276,SYS_4_3_Digitos!A861,asientos!$J$13:$J$1276)</f>
        <v>0</v>
      </c>
      <c r="I861" s="1314">
        <f t="shared" si="82"/>
        <v>0</v>
      </c>
      <c r="J861" s="1315">
        <f t="shared" si="83"/>
        <v>0</v>
      </c>
      <c r="L861" s="1308">
        <f t="shared" si="84"/>
        <v>0</v>
      </c>
      <c r="M861" s="1296" t="str">
        <f t="shared" si="85"/>
        <v>0</v>
      </c>
      <c r="N861" s="1309">
        <f t="shared" si="86"/>
        <v>0</v>
      </c>
      <c r="O861" s="1296" t="str">
        <f t="shared" si="87"/>
        <v>0</v>
      </c>
    </row>
    <row r="862" spans="1:15" s="1296" customFormat="1" hidden="1">
      <c r="A862" s="1310"/>
      <c r="B862" s="1311"/>
      <c r="C862" s="1312">
        <v>0</v>
      </c>
      <c r="D862" s="1313">
        <v>0</v>
      </c>
      <c r="E862" s="1314"/>
      <c r="F862" s="1315"/>
      <c r="G862" s="1316">
        <f>+SUMIF(asientos!$C$13:$C$1276,SYS_4_3_Digitos!A862,asientos!$B$13:$B$1276)</f>
        <v>0</v>
      </c>
      <c r="H862" s="1317">
        <f>+SUMIF(asientos!$I$13:$I$1276,SYS_4_3_Digitos!A862,asientos!$J$13:$J$1276)</f>
        <v>0</v>
      </c>
      <c r="I862" s="1314">
        <f t="shared" si="82"/>
        <v>0</v>
      </c>
      <c r="J862" s="1315">
        <f t="shared" si="83"/>
        <v>0</v>
      </c>
      <c r="L862" s="1308">
        <f t="shared" si="84"/>
        <v>0</v>
      </c>
      <c r="M862" s="1296" t="str">
        <f t="shared" si="85"/>
        <v>0</v>
      </c>
      <c r="N862" s="1309">
        <f t="shared" si="86"/>
        <v>0</v>
      </c>
      <c r="O862" s="1296" t="str">
        <f t="shared" si="87"/>
        <v>0</v>
      </c>
    </row>
    <row r="863" spans="1:15" s="1296" customFormat="1" hidden="1">
      <c r="A863" s="1310"/>
      <c r="B863" s="1311"/>
      <c r="C863" s="1312">
        <v>0</v>
      </c>
      <c r="D863" s="1313">
        <v>0</v>
      </c>
      <c r="E863" s="1314"/>
      <c r="F863" s="1315"/>
      <c r="G863" s="1316">
        <f>+SUMIF(asientos!$C$13:$C$1276,SYS_4_3_Digitos!A863,asientos!$B$13:$B$1276)</f>
        <v>0</v>
      </c>
      <c r="H863" s="1317">
        <f>+SUMIF(asientos!$I$13:$I$1276,SYS_4_3_Digitos!A863,asientos!$J$13:$J$1276)</f>
        <v>0</v>
      </c>
      <c r="I863" s="1314">
        <f t="shared" si="82"/>
        <v>0</v>
      </c>
      <c r="J863" s="1315">
        <f t="shared" si="83"/>
        <v>0</v>
      </c>
      <c r="L863" s="1308">
        <f t="shared" si="84"/>
        <v>0</v>
      </c>
      <c r="M863" s="1296" t="str">
        <f t="shared" si="85"/>
        <v>0</v>
      </c>
      <c r="N863" s="1309">
        <f t="shared" si="86"/>
        <v>0</v>
      </c>
      <c r="O863" s="1296" t="str">
        <f t="shared" si="87"/>
        <v>0</v>
      </c>
    </row>
    <row r="864" spans="1:15" s="1296" customFormat="1" hidden="1">
      <c r="A864" s="1310"/>
      <c r="B864" s="1311"/>
      <c r="C864" s="1312">
        <v>0</v>
      </c>
      <c r="D864" s="1313">
        <v>0</v>
      </c>
      <c r="E864" s="1314"/>
      <c r="F864" s="1315"/>
      <c r="G864" s="1316">
        <f>+SUMIF(asientos!$C$13:$C$1276,SYS_4_3_Digitos!A864,asientos!$B$13:$B$1276)</f>
        <v>0</v>
      </c>
      <c r="H864" s="1317">
        <f>+SUMIF(asientos!$I$13:$I$1276,SYS_4_3_Digitos!A864,asientos!$J$13:$J$1276)</f>
        <v>0</v>
      </c>
      <c r="I864" s="1314">
        <f t="shared" si="82"/>
        <v>0</v>
      </c>
      <c r="J864" s="1315">
        <f t="shared" si="83"/>
        <v>0</v>
      </c>
      <c r="L864" s="1308">
        <f t="shared" si="84"/>
        <v>0</v>
      </c>
      <c r="M864" s="1296" t="str">
        <f t="shared" si="85"/>
        <v>0</v>
      </c>
      <c r="N864" s="1309">
        <f t="shared" si="86"/>
        <v>0</v>
      </c>
      <c r="O864" s="1296" t="str">
        <f t="shared" si="87"/>
        <v>0</v>
      </c>
    </row>
    <row r="865" spans="1:15" s="1296" customFormat="1" hidden="1">
      <c r="A865" s="1310"/>
      <c r="B865" s="1311"/>
      <c r="C865" s="1312">
        <v>0</v>
      </c>
      <c r="D865" s="1313">
        <v>0</v>
      </c>
      <c r="E865" s="1314"/>
      <c r="F865" s="1315"/>
      <c r="G865" s="1316">
        <f>+SUMIF(asientos!$C$13:$C$1276,SYS_4_3_Digitos!A865,asientos!$B$13:$B$1276)</f>
        <v>0</v>
      </c>
      <c r="H865" s="1317">
        <f>+SUMIF(asientos!$I$13:$I$1276,SYS_4_3_Digitos!A865,asientos!$J$13:$J$1276)</f>
        <v>0</v>
      </c>
      <c r="I865" s="1314">
        <f t="shared" si="82"/>
        <v>0</v>
      </c>
      <c r="J865" s="1315">
        <f t="shared" si="83"/>
        <v>0</v>
      </c>
      <c r="L865" s="1308">
        <f t="shared" si="84"/>
        <v>0</v>
      </c>
      <c r="M865" s="1296" t="str">
        <f t="shared" si="85"/>
        <v>0</v>
      </c>
      <c r="N865" s="1309">
        <f t="shared" si="86"/>
        <v>0</v>
      </c>
      <c r="O865" s="1296" t="str">
        <f t="shared" si="87"/>
        <v>0</v>
      </c>
    </row>
    <row r="866" spans="1:15" s="1296" customFormat="1" hidden="1">
      <c r="A866" s="1310"/>
      <c r="B866" s="1311"/>
      <c r="C866" s="1312">
        <v>0</v>
      </c>
      <c r="D866" s="1313">
        <v>0</v>
      </c>
      <c r="E866" s="1314"/>
      <c r="F866" s="1315"/>
      <c r="G866" s="1316">
        <f>+SUMIF(asientos!$C$13:$C$1276,SYS_4_3_Digitos!A866,asientos!$B$13:$B$1276)</f>
        <v>0</v>
      </c>
      <c r="H866" s="1317">
        <f>+SUMIF(asientos!$I$13:$I$1276,SYS_4_3_Digitos!A866,asientos!$J$13:$J$1276)</f>
        <v>0</v>
      </c>
      <c r="I866" s="1314">
        <f t="shared" si="82"/>
        <v>0</v>
      </c>
      <c r="J866" s="1315">
        <f t="shared" si="83"/>
        <v>0</v>
      </c>
      <c r="L866" s="1308">
        <f t="shared" si="84"/>
        <v>0</v>
      </c>
      <c r="M866" s="1296" t="str">
        <f t="shared" si="85"/>
        <v>0</v>
      </c>
      <c r="N866" s="1309">
        <f t="shared" si="86"/>
        <v>0</v>
      </c>
      <c r="O866" s="1296" t="str">
        <f t="shared" si="87"/>
        <v>0</v>
      </c>
    </row>
    <row r="867" spans="1:15" s="1296" customFormat="1" hidden="1">
      <c r="A867" s="1310"/>
      <c r="B867" s="1311"/>
      <c r="C867" s="1312">
        <v>0</v>
      </c>
      <c r="D867" s="1313">
        <v>0</v>
      </c>
      <c r="E867" s="1314"/>
      <c r="F867" s="1315"/>
      <c r="G867" s="1316">
        <f>+SUMIF(asientos!$C$13:$C$1276,SYS_4_3_Digitos!A867,asientos!$B$13:$B$1276)</f>
        <v>0</v>
      </c>
      <c r="H867" s="1317">
        <f>+SUMIF(asientos!$I$13:$I$1276,SYS_4_3_Digitos!A867,asientos!$J$13:$J$1276)</f>
        <v>0</v>
      </c>
      <c r="I867" s="1314">
        <f t="shared" si="82"/>
        <v>0</v>
      </c>
      <c r="J867" s="1315">
        <f t="shared" si="83"/>
        <v>0</v>
      </c>
      <c r="L867" s="1308">
        <f t="shared" si="84"/>
        <v>0</v>
      </c>
      <c r="M867" s="1296" t="str">
        <f t="shared" si="85"/>
        <v>0</v>
      </c>
      <c r="N867" s="1309">
        <f t="shared" si="86"/>
        <v>0</v>
      </c>
      <c r="O867" s="1296" t="str">
        <f t="shared" si="87"/>
        <v>0</v>
      </c>
    </row>
    <row r="868" spans="1:15" s="1296" customFormat="1" hidden="1">
      <c r="A868" s="1310"/>
      <c r="B868" s="1311"/>
      <c r="C868" s="1312">
        <v>0</v>
      </c>
      <c r="D868" s="1313">
        <v>0</v>
      </c>
      <c r="E868" s="1314"/>
      <c r="F868" s="1315"/>
      <c r="G868" s="1316">
        <f>+SUMIF(asientos!$C$13:$C$1276,SYS_4_3_Digitos!A868,asientos!$B$13:$B$1276)</f>
        <v>0</v>
      </c>
      <c r="H868" s="1317">
        <f>+SUMIF(asientos!$I$13:$I$1276,SYS_4_3_Digitos!A868,asientos!$J$13:$J$1276)</f>
        <v>0</v>
      </c>
      <c r="I868" s="1314">
        <f t="shared" si="82"/>
        <v>0</v>
      </c>
      <c r="J868" s="1315">
        <f t="shared" si="83"/>
        <v>0</v>
      </c>
      <c r="L868" s="1308">
        <f t="shared" si="84"/>
        <v>0</v>
      </c>
      <c r="M868" s="1296" t="str">
        <f t="shared" si="85"/>
        <v>0</v>
      </c>
      <c r="N868" s="1309">
        <f t="shared" si="86"/>
        <v>0</v>
      </c>
      <c r="O868" s="1296" t="str">
        <f t="shared" si="87"/>
        <v>0</v>
      </c>
    </row>
    <row r="869" spans="1:15" s="1296" customFormat="1" hidden="1">
      <c r="A869" s="1310"/>
      <c r="B869" s="1311"/>
      <c r="C869" s="1312">
        <v>0</v>
      </c>
      <c r="D869" s="1313">
        <v>0</v>
      </c>
      <c r="E869" s="1314"/>
      <c r="F869" s="1315"/>
      <c r="G869" s="1316">
        <f>+SUMIF(asientos!$C$13:$C$1276,SYS_4_3_Digitos!A869,asientos!$B$13:$B$1276)</f>
        <v>0</v>
      </c>
      <c r="H869" s="1317">
        <f>+SUMIF(asientos!$I$13:$I$1276,SYS_4_3_Digitos!A869,asientos!$J$13:$J$1276)</f>
        <v>0</v>
      </c>
      <c r="I869" s="1314">
        <f t="shared" ref="I869:I932" si="88">IF((E869+G869-F869-H869)&gt;0,E869+G869-F869-H869,0)</f>
        <v>0</v>
      </c>
      <c r="J869" s="1315">
        <f t="shared" ref="J869:J932" si="89">IF((F869+H869-E869-G869)&gt;0,F869+H869-E869-G869,0)</f>
        <v>0</v>
      </c>
      <c r="L869" s="1308">
        <f t="shared" ref="L869:L932" si="90">+A869*1000000</f>
        <v>0</v>
      </c>
      <c r="M869" s="1296" t="str">
        <f t="shared" ref="M869:M932" si="91">+LEFT(L869,4)</f>
        <v>0</v>
      </c>
      <c r="N869" s="1309">
        <f t="shared" ref="N869:N932" si="92">+I869-J869</f>
        <v>0</v>
      </c>
      <c r="O869" s="1296" t="str">
        <f t="shared" ref="O869:O932" si="93">+LEFT(M869,2)</f>
        <v>0</v>
      </c>
    </row>
    <row r="870" spans="1:15" s="1296" customFormat="1" hidden="1">
      <c r="A870" s="1310"/>
      <c r="B870" s="1311"/>
      <c r="C870" s="1312">
        <v>0</v>
      </c>
      <c r="D870" s="1313">
        <v>0</v>
      </c>
      <c r="E870" s="1314"/>
      <c r="F870" s="1315"/>
      <c r="G870" s="1316">
        <f>+SUMIF(asientos!$C$13:$C$1276,SYS_4_3_Digitos!A870,asientos!$B$13:$B$1276)</f>
        <v>0</v>
      </c>
      <c r="H870" s="1317">
        <f>+SUMIF(asientos!$I$13:$I$1276,SYS_4_3_Digitos!A870,asientos!$J$13:$J$1276)</f>
        <v>0</v>
      </c>
      <c r="I870" s="1314">
        <f t="shared" si="88"/>
        <v>0</v>
      </c>
      <c r="J870" s="1315">
        <f t="shared" si="89"/>
        <v>0</v>
      </c>
      <c r="L870" s="1308">
        <f t="shared" si="90"/>
        <v>0</v>
      </c>
      <c r="M870" s="1296" t="str">
        <f t="shared" si="91"/>
        <v>0</v>
      </c>
      <c r="N870" s="1309">
        <f t="shared" si="92"/>
        <v>0</v>
      </c>
      <c r="O870" s="1296" t="str">
        <f t="shared" si="93"/>
        <v>0</v>
      </c>
    </row>
    <row r="871" spans="1:15" s="1296" customFormat="1" hidden="1">
      <c r="A871" s="1310"/>
      <c r="B871" s="1311"/>
      <c r="C871" s="1312">
        <v>0</v>
      </c>
      <c r="D871" s="1313">
        <v>0</v>
      </c>
      <c r="E871" s="1314"/>
      <c r="F871" s="1315"/>
      <c r="G871" s="1316">
        <f>+SUMIF(asientos!$C$13:$C$1276,SYS_4_3_Digitos!A871,asientos!$B$13:$B$1276)</f>
        <v>0</v>
      </c>
      <c r="H871" s="1317">
        <f>+SUMIF(asientos!$I$13:$I$1276,SYS_4_3_Digitos!A871,asientos!$J$13:$J$1276)</f>
        <v>0</v>
      </c>
      <c r="I871" s="1314">
        <f t="shared" si="88"/>
        <v>0</v>
      </c>
      <c r="J871" s="1315">
        <f t="shared" si="89"/>
        <v>0</v>
      </c>
      <c r="L871" s="1308">
        <f t="shared" si="90"/>
        <v>0</v>
      </c>
      <c r="M871" s="1296" t="str">
        <f t="shared" si="91"/>
        <v>0</v>
      </c>
      <c r="N871" s="1309">
        <f t="shared" si="92"/>
        <v>0</v>
      </c>
      <c r="O871" s="1296" t="str">
        <f t="shared" si="93"/>
        <v>0</v>
      </c>
    </row>
    <row r="872" spans="1:15" s="1296" customFormat="1" hidden="1">
      <c r="A872" s="1310"/>
      <c r="B872" s="1311"/>
      <c r="C872" s="1312">
        <v>0</v>
      </c>
      <c r="D872" s="1313">
        <v>0</v>
      </c>
      <c r="E872" s="1314"/>
      <c r="F872" s="1315"/>
      <c r="G872" s="1316">
        <f>+SUMIF(asientos!$C$13:$C$1276,SYS_4_3_Digitos!A872,asientos!$B$13:$B$1276)</f>
        <v>0</v>
      </c>
      <c r="H872" s="1317">
        <f>+SUMIF(asientos!$I$13:$I$1276,SYS_4_3_Digitos!A872,asientos!$J$13:$J$1276)</f>
        <v>0</v>
      </c>
      <c r="I872" s="1314">
        <f t="shared" si="88"/>
        <v>0</v>
      </c>
      <c r="J872" s="1315">
        <f t="shared" si="89"/>
        <v>0</v>
      </c>
      <c r="L872" s="1308">
        <f t="shared" si="90"/>
        <v>0</v>
      </c>
      <c r="M872" s="1296" t="str">
        <f t="shared" si="91"/>
        <v>0</v>
      </c>
      <c r="N872" s="1309">
        <f t="shared" si="92"/>
        <v>0</v>
      </c>
      <c r="O872" s="1296" t="str">
        <f t="shared" si="93"/>
        <v>0</v>
      </c>
    </row>
    <row r="873" spans="1:15" s="1296" customFormat="1" hidden="1">
      <c r="A873" s="1310"/>
      <c r="B873" s="1311"/>
      <c r="C873" s="1312">
        <v>0</v>
      </c>
      <c r="D873" s="1313">
        <v>0</v>
      </c>
      <c r="E873" s="1314"/>
      <c r="F873" s="1315"/>
      <c r="G873" s="1316">
        <f>+SUMIF(asientos!$C$13:$C$1276,SYS_4_3_Digitos!A873,asientos!$B$13:$B$1276)</f>
        <v>0</v>
      </c>
      <c r="H873" s="1317">
        <f>+SUMIF(asientos!$I$13:$I$1276,SYS_4_3_Digitos!A873,asientos!$J$13:$J$1276)</f>
        <v>0</v>
      </c>
      <c r="I873" s="1314">
        <f t="shared" si="88"/>
        <v>0</v>
      </c>
      <c r="J873" s="1315">
        <f t="shared" si="89"/>
        <v>0</v>
      </c>
      <c r="L873" s="1308">
        <f t="shared" si="90"/>
        <v>0</v>
      </c>
      <c r="M873" s="1296" t="str">
        <f t="shared" si="91"/>
        <v>0</v>
      </c>
      <c r="N873" s="1309">
        <f t="shared" si="92"/>
        <v>0</v>
      </c>
      <c r="O873" s="1296" t="str">
        <f t="shared" si="93"/>
        <v>0</v>
      </c>
    </row>
    <row r="874" spans="1:15" s="1296" customFormat="1" hidden="1">
      <c r="A874" s="1310"/>
      <c r="B874" s="1311"/>
      <c r="C874" s="1312">
        <v>0</v>
      </c>
      <c r="D874" s="1313">
        <v>0</v>
      </c>
      <c r="E874" s="1314"/>
      <c r="F874" s="1315"/>
      <c r="G874" s="1316">
        <f>+SUMIF(asientos!$C$13:$C$1276,SYS_4_3_Digitos!A874,asientos!$B$13:$B$1276)</f>
        <v>0</v>
      </c>
      <c r="H874" s="1317">
        <f>+SUMIF(asientos!$I$13:$I$1276,SYS_4_3_Digitos!A874,asientos!$J$13:$J$1276)</f>
        <v>0</v>
      </c>
      <c r="I874" s="1314">
        <f t="shared" si="88"/>
        <v>0</v>
      </c>
      <c r="J874" s="1315">
        <f t="shared" si="89"/>
        <v>0</v>
      </c>
      <c r="L874" s="1308">
        <f t="shared" si="90"/>
        <v>0</v>
      </c>
      <c r="M874" s="1296" t="str">
        <f t="shared" si="91"/>
        <v>0</v>
      </c>
      <c r="N874" s="1309">
        <f t="shared" si="92"/>
        <v>0</v>
      </c>
      <c r="O874" s="1296" t="str">
        <f t="shared" si="93"/>
        <v>0</v>
      </c>
    </row>
    <row r="875" spans="1:15" s="1296" customFormat="1" hidden="1">
      <c r="A875" s="1310"/>
      <c r="B875" s="1311"/>
      <c r="C875" s="1312">
        <v>0</v>
      </c>
      <c r="D875" s="1313">
        <v>0</v>
      </c>
      <c r="E875" s="1314"/>
      <c r="F875" s="1315"/>
      <c r="G875" s="1316">
        <f>+SUMIF(asientos!$C$13:$C$1276,SYS_4_3_Digitos!A875,asientos!$B$13:$B$1276)</f>
        <v>0</v>
      </c>
      <c r="H875" s="1317">
        <f>+SUMIF(asientos!$I$13:$I$1276,SYS_4_3_Digitos!A875,asientos!$J$13:$J$1276)</f>
        <v>0</v>
      </c>
      <c r="I875" s="1314">
        <f t="shared" si="88"/>
        <v>0</v>
      </c>
      <c r="J875" s="1315">
        <f t="shared" si="89"/>
        <v>0</v>
      </c>
      <c r="L875" s="1308">
        <f t="shared" si="90"/>
        <v>0</v>
      </c>
      <c r="M875" s="1296" t="str">
        <f t="shared" si="91"/>
        <v>0</v>
      </c>
      <c r="N875" s="1309">
        <f t="shared" si="92"/>
        <v>0</v>
      </c>
      <c r="O875" s="1296" t="str">
        <f t="shared" si="93"/>
        <v>0</v>
      </c>
    </row>
    <row r="876" spans="1:15" s="1296" customFormat="1" hidden="1">
      <c r="A876" s="1310"/>
      <c r="B876" s="1311"/>
      <c r="C876" s="1312">
        <v>0</v>
      </c>
      <c r="D876" s="1313">
        <v>0</v>
      </c>
      <c r="E876" s="1314"/>
      <c r="F876" s="1315"/>
      <c r="G876" s="1316">
        <f>+SUMIF(asientos!$C$13:$C$1276,SYS_4_3_Digitos!A876,asientos!$B$13:$B$1276)</f>
        <v>0</v>
      </c>
      <c r="H876" s="1317">
        <f>+SUMIF(asientos!$I$13:$I$1276,SYS_4_3_Digitos!A876,asientos!$J$13:$J$1276)</f>
        <v>0</v>
      </c>
      <c r="I876" s="1314">
        <f t="shared" si="88"/>
        <v>0</v>
      </c>
      <c r="J876" s="1315">
        <f t="shared" si="89"/>
        <v>0</v>
      </c>
      <c r="L876" s="1308">
        <f t="shared" si="90"/>
        <v>0</v>
      </c>
      <c r="M876" s="1296" t="str">
        <f t="shared" si="91"/>
        <v>0</v>
      </c>
      <c r="N876" s="1309">
        <f t="shared" si="92"/>
        <v>0</v>
      </c>
      <c r="O876" s="1296" t="str">
        <f t="shared" si="93"/>
        <v>0</v>
      </c>
    </row>
    <row r="877" spans="1:15" s="1296" customFormat="1" hidden="1">
      <c r="A877" s="1310"/>
      <c r="B877" s="1311"/>
      <c r="C877" s="1312">
        <v>0</v>
      </c>
      <c r="D877" s="1313">
        <v>0</v>
      </c>
      <c r="E877" s="1314"/>
      <c r="F877" s="1315"/>
      <c r="G877" s="1316">
        <f>+SUMIF(asientos!$C$13:$C$1276,SYS_4_3_Digitos!A877,asientos!$B$13:$B$1276)</f>
        <v>0</v>
      </c>
      <c r="H877" s="1317">
        <f>+SUMIF(asientos!$I$13:$I$1276,SYS_4_3_Digitos!A877,asientos!$J$13:$J$1276)</f>
        <v>0</v>
      </c>
      <c r="I877" s="1314">
        <f t="shared" si="88"/>
        <v>0</v>
      </c>
      <c r="J877" s="1315">
        <f t="shared" si="89"/>
        <v>0</v>
      </c>
      <c r="L877" s="1308">
        <f t="shared" si="90"/>
        <v>0</v>
      </c>
      <c r="M877" s="1296" t="str">
        <f t="shared" si="91"/>
        <v>0</v>
      </c>
      <c r="N877" s="1309">
        <f t="shared" si="92"/>
        <v>0</v>
      </c>
      <c r="O877" s="1296" t="str">
        <f t="shared" si="93"/>
        <v>0</v>
      </c>
    </row>
    <row r="878" spans="1:15" s="1296" customFormat="1" hidden="1">
      <c r="A878" s="1310"/>
      <c r="B878" s="1311"/>
      <c r="C878" s="1312">
        <v>0</v>
      </c>
      <c r="D878" s="1313">
        <v>0</v>
      </c>
      <c r="E878" s="1314"/>
      <c r="F878" s="1315"/>
      <c r="G878" s="1316">
        <f>+SUMIF(asientos!$C$13:$C$1276,SYS_4_3_Digitos!A878,asientos!$B$13:$B$1276)</f>
        <v>0</v>
      </c>
      <c r="H878" s="1317">
        <f>+SUMIF(asientos!$I$13:$I$1276,SYS_4_3_Digitos!A878,asientos!$J$13:$J$1276)</f>
        <v>0</v>
      </c>
      <c r="I878" s="1314">
        <f t="shared" si="88"/>
        <v>0</v>
      </c>
      <c r="J878" s="1315">
        <f t="shared" si="89"/>
        <v>0</v>
      </c>
      <c r="L878" s="1308">
        <f t="shared" si="90"/>
        <v>0</v>
      </c>
      <c r="M878" s="1296" t="str">
        <f t="shared" si="91"/>
        <v>0</v>
      </c>
      <c r="N878" s="1309">
        <f t="shared" si="92"/>
        <v>0</v>
      </c>
      <c r="O878" s="1296" t="str">
        <f t="shared" si="93"/>
        <v>0</v>
      </c>
    </row>
    <row r="879" spans="1:15" s="1296" customFormat="1" hidden="1">
      <c r="A879" s="1310"/>
      <c r="B879" s="1311"/>
      <c r="C879" s="1312">
        <v>0</v>
      </c>
      <c r="D879" s="1313">
        <v>0</v>
      </c>
      <c r="E879" s="1314"/>
      <c r="F879" s="1315"/>
      <c r="G879" s="1316">
        <f>+SUMIF(asientos!$C$13:$C$1276,SYS_4_3_Digitos!A879,asientos!$B$13:$B$1276)</f>
        <v>0</v>
      </c>
      <c r="H879" s="1317">
        <f>+SUMIF(asientos!$I$13:$I$1276,SYS_4_3_Digitos!A879,asientos!$J$13:$J$1276)</f>
        <v>0</v>
      </c>
      <c r="I879" s="1314">
        <f t="shared" si="88"/>
        <v>0</v>
      </c>
      <c r="J879" s="1315">
        <f t="shared" si="89"/>
        <v>0</v>
      </c>
      <c r="L879" s="1308">
        <f t="shared" si="90"/>
        <v>0</v>
      </c>
      <c r="M879" s="1296" t="str">
        <f t="shared" si="91"/>
        <v>0</v>
      </c>
      <c r="N879" s="1309">
        <f t="shared" si="92"/>
        <v>0</v>
      </c>
      <c r="O879" s="1296" t="str">
        <f t="shared" si="93"/>
        <v>0</v>
      </c>
    </row>
    <row r="880" spans="1:15" s="1296" customFormat="1" hidden="1">
      <c r="A880" s="1310"/>
      <c r="B880" s="1311"/>
      <c r="C880" s="1312">
        <v>0</v>
      </c>
      <c r="D880" s="1313">
        <v>0</v>
      </c>
      <c r="E880" s="1314"/>
      <c r="F880" s="1315"/>
      <c r="G880" s="1316">
        <f>+SUMIF(asientos!$C$13:$C$1276,SYS_4_3_Digitos!A880,asientos!$B$13:$B$1276)</f>
        <v>0</v>
      </c>
      <c r="H880" s="1317">
        <f>+SUMIF(asientos!$I$13:$I$1276,SYS_4_3_Digitos!A880,asientos!$J$13:$J$1276)</f>
        <v>0</v>
      </c>
      <c r="I880" s="1314">
        <f t="shared" si="88"/>
        <v>0</v>
      </c>
      <c r="J880" s="1315">
        <f t="shared" si="89"/>
        <v>0</v>
      </c>
      <c r="L880" s="1308">
        <f t="shared" si="90"/>
        <v>0</v>
      </c>
      <c r="M880" s="1296" t="str">
        <f t="shared" si="91"/>
        <v>0</v>
      </c>
      <c r="N880" s="1309">
        <f t="shared" si="92"/>
        <v>0</v>
      </c>
      <c r="O880" s="1296" t="str">
        <f t="shared" si="93"/>
        <v>0</v>
      </c>
    </row>
    <row r="881" spans="1:15" s="1296" customFormat="1" hidden="1">
      <c r="A881" s="1310"/>
      <c r="B881" s="1311"/>
      <c r="C881" s="1312">
        <v>0</v>
      </c>
      <c r="D881" s="1313">
        <v>0</v>
      </c>
      <c r="E881" s="1314"/>
      <c r="F881" s="1315"/>
      <c r="G881" s="1316">
        <f>+SUMIF(asientos!$C$13:$C$1276,SYS_4_3_Digitos!A881,asientos!$B$13:$B$1276)</f>
        <v>0</v>
      </c>
      <c r="H881" s="1317">
        <f>+SUMIF(asientos!$I$13:$I$1276,SYS_4_3_Digitos!A881,asientos!$J$13:$J$1276)</f>
        <v>0</v>
      </c>
      <c r="I881" s="1314">
        <f t="shared" si="88"/>
        <v>0</v>
      </c>
      <c r="J881" s="1315">
        <f t="shared" si="89"/>
        <v>0</v>
      </c>
      <c r="L881" s="1308">
        <f t="shared" si="90"/>
        <v>0</v>
      </c>
      <c r="M881" s="1296" t="str">
        <f t="shared" si="91"/>
        <v>0</v>
      </c>
      <c r="N881" s="1309">
        <f t="shared" si="92"/>
        <v>0</v>
      </c>
      <c r="O881" s="1296" t="str">
        <f t="shared" si="93"/>
        <v>0</v>
      </c>
    </row>
    <row r="882" spans="1:15" s="1296" customFormat="1" hidden="1">
      <c r="A882" s="1310"/>
      <c r="B882" s="1311"/>
      <c r="C882" s="1312">
        <v>0</v>
      </c>
      <c r="D882" s="1313">
        <v>0</v>
      </c>
      <c r="E882" s="1314"/>
      <c r="F882" s="1315"/>
      <c r="G882" s="1316">
        <f>+SUMIF(asientos!$C$13:$C$1276,SYS_4_3_Digitos!A882,asientos!$B$13:$B$1276)</f>
        <v>0</v>
      </c>
      <c r="H882" s="1317">
        <f>+SUMIF(asientos!$I$13:$I$1276,SYS_4_3_Digitos!A882,asientos!$J$13:$J$1276)</f>
        <v>0</v>
      </c>
      <c r="I882" s="1314">
        <f t="shared" si="88"/>
        <v>0</v>
      </c>
      <c r="J882" s="1315">
        <f t="shared" si="89"/>
        <v>0</v>
      </c>
      <c r="L882" s="1308">
        <f t="shared" si="90"/>
        <v>0</v>
      </c>
      <c r="M882" s="1296" t="str">
        <f t="shared" si="91"/>
        <v>0</v>
      </c>
      <c r="N882" s="1309">
        <f t="shared" si="92"/>
        <v>0</v>
      </c>
      <c r="O882" s="1296" t="str">
        <f t="shared" si="93"/>
        <v>0</v>
      </c>
    </row>
    <row r="883" spans="1:15" s="1296" customFormat="1" hidden="1">
      <c r="A883" s="1310"/>
      <c r="B883" s="1311"/>
      <c r="C883" s="1312">
        <v>0</v>
      </c>
      <c r="D883" s="1313">
        <v>0</v>
      </c>
      <c r="E883" s="1314"/>
      <c r="F883" s="1315"/>
      <c r="G883" s="1316">
        <f>+SUMIF(asientos!$C$13:$C$1276,SYS_4_3_Digitos!A883,asientos!$B$13:$B$1276)</f>
        <v>0</v>
      </c>
      <c r="H883" s="1317">
        <f>+SUMIF(asientos!$I$13:$I$1276,SYS_4_3_Digitos!A883,asientos!$J$13:$J$1276)</f>
        <v>0</v>
      </c>
      <c r="I883" s="1314">
        <f t="shared" si="88"/>
        <v>0</v>
      </c>
      <c r="J883" s="1315">
        <f t="shared" si="89"/>
        <v>0</v>
      </c>
      <c r="L883" s="1308">
        <f t="shared" si="90"/>
        <v>0</v>
      </c>
      <c r="M883" s="1296" t="str">
        <f t="shared" si="91"/>
        <v>0</v>
      </c>
      <c r="N883" s="1309">
        <f t="shared" si="92"/>
        <v>0</v>
      </c>
      <c r="O883" s="1296" t="str">
        <f t="shared" si="93"/>
        <v>0</v>
      </c>
    </row>
    <row r="884" spans="1:15" s="1296" customFormat="1" hidden="1">
      <c r="A884" s="1310"/>
      <c r="B884" s="1311"/>
      <c r="C884" s="1312">
        <v>0</v>
      </c>
      <c r="D884" s="1313">
        <v>0</v>
      </c>
      <c r="E884" s="1314"/>
      <c r="F884" s="1315"/>
      <c r="G884" s="1316">
        <f>+SUMIF(asientos!$C$13:$C$1276,SYS_4_3_Digitos!A884,asientos!$B$13:$B$1276)</f>
        <v>0</v>
      </c>
      <c r="H884" s="1317">
        <f>+SUMIF(asientos!$I$13:$I$1276,SYS_4_3_Digitos!A884,asientos!$J$13:$J$1276)</f>
        <v>0</v>
      </c>
      <c r="I884" s="1314">
        <f t="shared" si="88"/>
        <v>0</v>
      </c>
      <c r="J884" s="1315">
        <f t="shared" si="89"/>
        <v>0</v>
      </c>
      <c r="L884" s="1308">
        <f t="shared" si="90"/>
        <v>0</v>
      </c>
      <c r="M884" s="1296" t="str">
        <f t="shared" si="91"/>
        <v>0</v>
      </c>
      <c r="N884" s="1309">
        <f t="shared" si="92"/>
        <v>0</v>
      </c>
      <c r="O884" s="1296" t="str">
        <f t="shared" si="93"/>
        <v>0</v>
      </c>
    </row>
    <row r="885" spans="1:15" s="1296" customFormat="1" hidden="1">
      <c r="A885" s="1310"/>
      <c r="B885" s="1311"/>
      <c r="C885" s="1312">
        <v>0</v>
      </c>
      <c r="D885" s="1313">
        <v>0</v>
      </c>
      <c r="E885" s="1314"/>
      <c r="F885" s="1315"/>
      <c r="G885" s="1316">
        <f>+SUMIF(asientos!$C$13:$C$1276,SYS_4_3_Digitos!A885,asientos!$B$13:$B$1276)</f>
        <v>0</v>
      </c>
      <c r="H885" s="1317">
        <f>+SUMIF(asientos!$I$13:$I$1276,SYS_4_3_Digitos!A885,asientos!$J$13:$J$1276)</f>
        <v>0</v>
      </c>
      <c r="I885" s="1314">
        <f t="shared" si="88"/>
        <v>0</v>
      </c>
      <c r="J885" s="1315">
        <f t="shared" si="89"/>
        <v>0</v>
      </c>
      <c r="L885" s="1308">
        <f t="shared" si="90"/>
        <v>0</v>
      </c>
      <c r="M885" s="1296" t="str">
        <f t="shared" si="91"/>
        <v>0</v>
      </c>
      <c r="N885" s="1309">
        <f t="shared" si="92"/>
        <v>0</v>
      </c>
      <c r="O885" s="1296" t="str">
        <f t="shared" si="93"/>
        <v>0</v>
      </c>
    </row>
    <row r="886" spans="1:15" s="1296" customFormat="1" hidden="1">
      <c r="A886" s="1310"/>
      <c r="B886" s="1311"/>
      <c r="C886" s="1312">
        <v>0</v>
      </c>
      <c r="D886" s="1313">
        <v>0</v>
      </c>
      <c r="E886" s="1314"/>
      <c r="F886" s="1315"/>
      <c r="G886" s="1316">
        <f>+SUMIF(asientos!$C$13:$C$1276,SYS_4_3_Digitos!A886,asientos!$B$13:$B$1276)</f>
        <v>0</v>
      </c>
      <c r="H886" s="1317">
        <f>+SUMIF(asientos!$I$13:$I$1276,SYS_4_3_Digitos!A886,asientos!$J$13:$J$1276)</f>
        <v>0</v>
      </c>
      <c r="I886" s="1314">
        <f t="shared" si="88"/>
        <v>0</v>
      </c>
      <c r="J886" s="1315">
        <f t="shared" si="89"/>
        <v>0</v>
      </c>
      <c r="L886" s="1308">
        <f t="shared" si="90"/>
        <v>0</v>
      </c>
      <c r="M886" s="1296" t="str">
        <f t="shared" si="91"/>
        <v>0</v>
      </c>
      <c r="N886" s="1309">
        <f t="shared" si="92"/>
        <v>0</v>
      </c>
      <c r="O886" s="1296" t="str">
        <f t="shared" si="93"/>
        <v>0</v>
      </c>
    </row>
    <row r="887" spans="1:15" s="1296" customFormat="1" hidden="1">
      <c r="A887" s="1310"/>
      <c r="B887" s="1311"/>
      <c r="C887" s="1312">
        <v>0</v>
      </c>
      <c r="D887" s="1313">
        <v>0</v>
      </c>
      <c r="E887" s="1314"/>
      <c r="F887" s="1315"/>
      <c r="G887" s="1316">
        <f>+SUMIF(asientos!$C$13:$C$1276,SYS_4_3_Digitos!A887,asientos!$B$13:$B$1276)</f>
        <v>0</v>
      </c>
      <c r="H887" s="1317">
        <f>+SUMIF(asientos!$I$13:$I$1276,SYS_4_3_Digitos!A887,asientos!$J$13:$J$1276)</f>
        <v>0</v>
      </c>
      <c r="I887" s="1314">
        <f t="shared" si="88"/>
        <v>0</v>
      </c>
      <c r="J887" s="1315">
        <f t="shared" si="89"/>
        <v>0</v>
      </c>
      <c r="L887" s="1308">
        <f t="shared" si="90"/>
        <v>0</v>
      </c>
      <c r="M887" s="1296" t="str">
        <f t="shared" si="91"/>
        <v>0</v>
      </c>
      <c r="N887" s="1309">
        <f t="shared" si="92"/>
        <v>0</v>
      </c>
      <c r="O887" s="1296" t="str">
        <f t="shared" si="93"/>
        <v>0</v>
      </c>
    </row>
    <row r="888" spans="1:15" s="1296" customFormat="1" hidden="1">
      <c r="A888" s="1310"/>
      <c r="B888" s="1311"/>
      <c r="C888" s="1312">
        <v>0</v>
      </c>
      <c r="D888" s="1313">
        <v>0</v>
      </c>
      <c r="E888" s="1314"/>
      <c r="F888" s="1315"/>
      <c r="G888" s="1316">
        <f>+SUMIF(asientos!$C$13:$C$1276,SYS_4_3_Digitos!A888,asientos!$B$13:$B$1276)</f>
        <v>0</v>
      </c>
      <c r="H888" s="1317">
        <f>+SUMIF(asientos!$I$13:$I$1276,SYS_4_3_Digitos!A888,asientos!$J$13:$J$1276)</f>
        <v>0</v>
      </c>
      <c r="I888" s="1314">
        <f t="shared" si="88"/>
        <v>0</v>
      </c>
      <c r="J888" s="1315">
        <f t="shared" si="89"/>
        <v>0</v>
      </c>
      <c r="L888" s="1308">
        <f t="shared" si="90"/>
        <v>0</v>
      </c>
      <c r="M888" s="1296" t="str">
        <f t="shared" si="91"/>
        <v>0</v>
      </c>
      <c r="N888" s="1309">
        <f t="shared" si="92"/>
        <v>0</v>
      </c>
      <c r="O888" s="1296" t="str">
        <f t="shared" si="93"/>
        <v>0</v>
      </c>
    </row>
    <row r="889" spans="1:15" s="1296" customFormat="1" hidden="1">
      <c r="A889" s="1310"/>
      <c r="B889" s="1311"/>
      <c r="C889" s="1312">
        <v>0</v>
      </c>
      <c r="D889" s="1313">
        <v>0</v>
      </c>
      <c r="E889" s="1314"/>
      <c r="F889" s="1315"/>
      <c r="G889" s="1316">
        <f>+SUMIF(asientos!$C$13:$C$1276,SYS_4_3_Digitos!A889,asientos!$B$13:$B$1276)</f>
        <v>0</v>
      </c>
      <c r="H889" s="1317">
        <f>+SUMIF(asientos!$I$13:$I$1276,SYS_4_3_Digitos!A889,asientos!$J$13:$J$1276)</f>
        <v>0</v>
      </c>
      <c r="I889" s="1314">
        <f t="shared" si="88"/>
        <v>0</v>
      </c>
      <c r="J889" s="1315">
        <f t="shared" si="89"/>
        <v>0</v>
      </c>
      <c r="L889" s="1308">
        <f t="shared" si="90"/>
        <v>0</v>
      </c>
      <c r="M889" s="1296" t="str">
        <f t="shared" si="91"/>
        <v>0</v>
      </c>
      <c r="N889" s="1309">
        <f t="shared" si="92"/>
        <v>0</v>
      </c>
      <c r="O889" s="1296" t="str">
        <f t="shared" si="93"/>
        <v>0</v>
      </c>
    </row>
    <row r="890" spans="1:15" s="1296" customFormat="1" hidden="1">
      <c r="A890" s="1310"/>
      <c r="B890" s="1311"/>
      <c r="C890" s="1312">
        <v>0</v>
      </c>
      <c r="D890" s="1313">
        <v>0</v>
      </c>
      <c r="E890" s="1314"/>
      <c r="F890" s="1315"/>
      <c r="G890" s="1316">
        <f>+SUMIF(asientos!$C$13:$C$1276,SYS_4_3_Digitos!A890,asientos!$B$13:$B$1276)</f>
        <v>0</v>
      </c>
      <c r="H890" s="1317">
        <f>+SUMIF(asientos!$I$13:$I$1276,SYS_4_3_Digitos!A890,asientos!$J$13:$J$1276)</f>
        <v>0</v>
      </c>
      <c r="I890" s="1314">
        <f t="shared" si="88"/>
        <v>0</v>
      </c>
      <c r="J890" s="1315">
        <f t="shared" si="89"/>
        <v>0</v>
      </c>
      <c r="L890" s="1308">
        <f t="shared" si="90"/>
        <v>0</v>
      </c>
      <c r="M890" s="1296" t="str">
        <f t="shared" si="91"/>
        <v>0</v>
      </c>
      <c r="N890" s="1309">
        <f t="shared" si="92"/>
        <v>0</v>
      </c>
      <c r="O890" s="1296" t="str">
        <f t="shared" si="93"/>
        <v>0</v>
      </c>
    </row>
    <row r="891" spans="1:15" s="1296" customFormat="1" hidden="1">
      <c r="A891" s="1310"/>
      <c r="B891" s="1311"/>
      <c r="C891" s="1312">
        <v>0</v>
      </c>
      <c r="D891" s="1313">
        <v>0</v>
      </c>
      <c r="E891" s="1314"/>
      <c r="F891" s="1315"/>
      <c r="G891" s="1316">
        <f>+SUMIF(asientos!$C$13:$C$1276,SYS_4_3_Digitos!A891,asientos!$B$13:$B$1276)</f>
        <v>0</v>
      </c>
      <c r="H891" s="1317">
        <f>+SUMIF(asientos!$I$13:$I$1276,SYS_4_3_Digitos!A891,asientos!$J$13:$J$1276)</f>
        <v>0</v>
      </c>
      <c r="I891" s="1314">
        <f t="shared" si="88"/>
        <v>0</v>
      </c>
      <c r="J891" s="1315">
        <f t="shared" si="89"/>
        <v>0</v>
      </c>
      <c r="L891" s="1308">
        <f t="shared" si="90"/>
        <v>0</v>
      </c>
      <c r="M891" s="1296" t="str">
        <f t="shared" si="91"/>
        <v>0</v>
      </c>
      <c r="N891" s="1309">
        <f t="shared" si="92"/>
        <v>0</v>
      </c>
      <c r="O891" s="1296" t="str">
        <f t="shared" si="93"/>
        <v>0</v>
      </c>
    </row>
    <row r="892" spans="1:15" s="1296" customFormat="1" hidden="1">
      <c r="A892" s="1310"/>
      <c r="B892" s="1311"/>
      <c r="C892" s="1312">
        <v>0</v>
      </c>
      <c r="D892" s="1313">
        <v>0</v>
      </c>
      <c r="E892" s="1314"/>
      <c r="F892" s="1315"/>
      <c r="G892" s="1316">
        <f>+SUMIF(asientos!$C$13:$C$1276,SYS_4_3_Digitos!A892,asientos!$B$13:$B$1276)</f>
        <v>0</v>
      </c>
      <c r="H892" s="1317">
        <f>+SUMIF(asientos!$I$13:$I$1276,SYS_4_3_Digitos!A892,asientos!$J$13:$J$1276)</f>
        <v>0</v>
      </c>
      <c r="I892" s="1314">
        <f t="shared" si="88"/>
        <v>0</v>
      </c>
      <c r="J892" s="1315">
        <f t="shared" si="89"/>
        <v>0</v>
      </c>
      <c r="L892" s="1308">
        <f t="shared" si="90"/>
        <v>0</v>
      </c>
      <c r="M892" s="1296" t="str">
        <f t="shared" si="91"/>
        <v>0</v>
      </c>
      <c r="N892" s="1309">
        <f t="shared" si="92"/>
        <v>0</v>
      </c>
      <c r="O892" s="1296" t="str">
        <f t="shared" si="93"/>
        <v>0</v>
      </c>
    </row>
    <row r="893" spans="1:15" s="1296" customFormat="1" hidden="1">
      <c r="A893" s="1310"/>
      <c r="B893" s="1311"/>
      <c r="C893" s="1312">
        <v>0</v>
      </c>
      <c r="D893" s="1313">
        <v>0</v>
      </c>
      <c r="E893" s="1314"/>
      <c r="F893" s="1315"/>
      <c r="G893" s="1316">
        <f>+SUMIF(asientos!$C$13:$C$1276,SYS_4_3_Digitos!A893,asientos!$B$13:$B$1276)</f>
        <v>0</v>
      </c>
      <c r="H893" s="1317">
        <f>+SUMIF(asientos!$I$13:$I$1276,SYS_4_3_Digitos!A893,asientos!$J$13:$J$1276)</f>
        <v>0</v>
      </c>
      <c r="I893" s="1314">
        <f t="shared" si="88"/>
        <v>0</v>
      </c>
      <c r="J893" s="1315">
        <f t="shared" si="89"/>
        <v>0</v>
      </c>
      <c r="L893" s="1308">
        <f t="shared" si="90"/>
        <v>0</v>
      </c>
      <c r="M893" s="1296" t="str">
        <f t="shared" si="91"/>
        <v>0</v>
      </c>
      <c r="N893" s="1309">
        <f t="shared" si="92"/>
        <v>0</v>
      </c>
      <c r="O893" s="1296" t="str">
        <f t="shared" si="93"/>
        <v>0</v>
      </c>
    </row>
    <row r="894" spans="1:15" s="1296" customFormat="1" hidden="1">
      <c r="A894" s="1310"/>
      <c r="B894" s="1311"/>
      <c r="C894" s="1312">
        <v>0</v>
      </c>
      <c r="D894" s="1313">
        <v>0</v>
      </c>
      <c r="E894" s="1314"/>
      <c r="F894" s="1315"/>
      <c r="G894" s="1316">
        <f>+SUMIF(asientos!$C$13:$C$1276,SYS_4_3_Digitos!A894,asientos!$B$13:$B$1276)</f>
        <v>0</v>
      </c>
      <c r="H894" s="1317">
        <f>+SUMIF(asientos!$I$13:$I$1276,SYS_4_3_Digitos!A894,asientos!$J$13:$J$1276)</f>
        <v>0</v>
      </c>
      <c r="I894" s="1314">
        <f t="shared" si="88"/>
        <v>0</v>
      </c>
      <c r="J894" s="1315">
        <f t="shared" si="89"/>
        <v>0</v>
      </c>
      <c r="L894" s="1308">
        <f t="shared" si="90"/>
        <v>0</v>
      </c>
      <c r="M894" s="1296" t="str">
        <f t="shared" si="91"/>
        <v>0</v>
      </c>
      <c r="N894" s="1309">
        <f t="shared" si="92"/>
        <v>0</v>
      </c>
      <c r="O894" s="1296" t="str">
        <f t="shared" si="93"/>
        <v>0</v>
      </c>
    </row>
    <row r="895" spans="1:15" s="1296" customFormat="1" hidden="1">
      <c r="A895" s="1310"/>
      <c r="B895" s="1311"/>
      <c r="C895" s="1312">
        <v>0</v>
      </c>
      <c r="D895" s="1313">
        <v>0</v>
      </c>
      <c r="E895" s="1314"/>
      <c r="F895" s="1315"/>
      <c r="G895" s="1316">
        <f>+SUMIF(asientos!$C$13:$C$1276,SYS_4_3_Digitos!A895,asientos!$B$13:$B$1276)</f>
        <v>0</v>
      </c>
      <c r="H895" s="1317">
        <f>+SUMIF(asientos!$I$13:$I$1276,SYS_4_3_Digitos!A895,asientos!$J$13:$J$1276)</f>
        <v>0</v>
      </c>
      <c r="I895" s="1314">
        <f t="shared" si="88"/>
        <v>0</v>
      </c>
      <c r="J895" s="1315">
        <f t="shared" si="89"/>
        <v>0</v>
      </c>
      <c r="L895" s="1308">
        <f t="shared" si="90"/>
        <v>0</v>
      </c>
      <c r="M895" s="1296" t="str">
        <f t="shared" si="91"/>
        <v>0</v>
      </c>
      <c r="N895" s="1309">
        <f t="shared" si="92"/>
        <v>0</v>
      </c>
      <c r="O895" s="1296" t="str">
        <f t="shared" si="93"/>
        <v>0</v>
      </c>
    </row>
    <row r="896" spans="1:15" s="1296" customFormat="1" hidden="1">
      <c r="A896" s="1310"/>
      <c r="B896" s="1311"/>
      <c r="C896" s="1312">
        <v>0</v>
      </c>
      <c r="D896" s="1313">
        <v>0</v>
      </c>
      <c r="E896" s="1314"/>
      <c r="F896" s="1315"/>
      <c r="G896" s="1316">
        <f>+SUMIF(asientos!$C$13:$C$1276,SYS_4_3_Digitos!A896,asientos!$B$13:$B$1276)</f>
        <v>0</v>
      </c>
      <c r="H896" s="1317">
        <f>+SUMIF(asientos!$I$13:$I$1276,SYS_4_3_Digitos!A896,asientos!$J$13:$J$1276)</f>
        <v>0</v>
      </c>
      <c r="I896" s="1314">
        <f t="shared" si="88"/>
        <v>0</v>
      </c>
      <c r="J896" s="1315">
        <f t="shared" si="89"/>
        <v>0</v>
      </c>
      <c r="L896" s="1308">
        <f t="shared" si="90"/>
        <v>0</v>
      </c>
      <c r="M896" s="1296" t="str">
        <f t="shared" si="91"/>
        <v>0</v>
      </c>
      <c r="N896" s="1309">
        <f t="shared" si="92"/>
        <v>0</v>
      </c>
      <c r="O896" s="1296" t="str">
        <f t="shared" si="93"/>
        <v>0</v>
      </c>
    </row>
    <row r="897" spans="1:15" s="1296" customFormat="1" hidden="1">
      <c r="A897" s="1310"/>
      <c r="B897" s="1311"/>
      <c r="C897" s="1312">
        <v>0</v>
      </c>
      <c r="D897" s="1313">
        <v>0</v>
      </c>
      <c r="E897" s="1314"/>
      <c r="F897" s="1315"/>
      <c r="G897" s="1316">
        <f>+SUMIF(asientos!$C$13:$C$1276,SYS_4_3_Digitos!A897,asientos!$B$13:$B$1276)</f>
        <v>0</v>
      </c>
      <c r="H897" s="1317">
        <f>+SUMIF(asientos!$I$13:$I$1276,SYS_4_3_Digitos!A897,asientos!$J$13:$J$1276)</f>
        <v>0</v>
      </c>
      <c r="I897" s="1314">
        <f t="shared" si="88"/>
        <v>0</v>
      </c>
      <c r="J897" s="1315">
        <f t="shared" si="89"/>
        <v>0</v>
      </c>
      <c r="L897" s="1308">
        <f t="shared" si="90"/>
        <v>0</v>
      </c>
      <c r="M897" s="1296" t="str">
        <f t="shared" si="91"/>
        <v>0</v>
      </c>
      <c r="N897" s="1309">
        <f t="shared" si="92"/>
        <v>0</v>
      </c>
      <c r="O897" s="1296" t="str">
        <f t="shared" si="93"/>
        <v>0</v>
      </c>
    </row>
    <row r="898" spans="1:15" s="1296" customFormat="1" hidden="1">
      <c r="A898" s="1310"/>
      <c r="B898" s="1311"/>
      <c r="C898" s="1312">
        <v>0</v>
      </c>
      <c r="D898" s="1313">
        <v>0</v>
      </c>
      <c r="E898" s="1314"/>
      <c r="F898" s="1315"/>
      <c r="G898" s="1316">
        <f>+SUMIF(asientos!$C$13:$C$1276,SYS_4_3_Digitos!A898,asientos!$B$13:$B$1276)</f>
        <v>0</v>
      </c>
      <c r="H898" s="1317">
        <f>+SUMIF(asientos!$I$13:$I$1276,SYS_4_3_Digitos!A898,asientos!$J$13:$J$1276)</f>
        <v>0</v>
      </c>
      <c r="I898" s="1314">
        <f t="shared" si="88"/>
        <v>0</v>
      </c>
      <c r="J898" s="1315">
        <f t="shared" si="89"/>
        <v>0</v>
      </c>
      <c r="L898" s="1308">
        <f t="shared" si="90"/>
        <v>0</v>
      </c>
      <c r="M898" s="1296" t="str">
        <f t="shared" si="91"/>
        <v>0</v>
      </c>
      <c r="N898" s="1309">
        <f t="shared" si="92"/>
        <v>0</v>
      </c>
      <c r="O898" s="1296" t="str">
        <f t="shared" si="93"/>
        <v>0</v>
      </c>
    </row>
    <row r="899" spans="1:15" s="1296" customFormat="1" hidden="1">
      <c r="A899" s="1310"/>
      <c r="B899" s="1311"/>
      <c r="C899" s="1312">
        <v>0</v>
      </c>
      <c r="D899" s="1313">
        <v>0</v>
      </c>
      <c r="E899" s="1314"/>
      <c r="F899" s="1315"/>
      <c r="G899" s="1316">
        <f>+SUMIF(asientos!$C$13:$C$1276,SYS_4_3_Digitos!A899,asientos!$B$13:$B$1276)</f>
        <v>0</v>
      </c>
      <c r="H899" s="1317">
        <f>+SUMIF(asientos!$I$13:$I$1276,SYS_4_3_Digitos!A899,asientos!$J$13:$J$1276)</f>
        <v>0</v>
      </c>
      <c r="I899" s="1314">
        <f t="shared" si="88"/>
        <v>0</v>
      </c>
      <c r="J899" s="1315">
        <f t="shared" si="89"/>
        <v>0</v>
      </c>
      <c r="L899" s="1308">
        <f t="shared" si="90"/>
        <v>0</v>
      </c>
      <c r="M899" s="1296" t="str">
        <f t="shared" si="91"/>
        <v>0</v>
      </c>
      <c r="N899" s="1309">
        <f t="shared" si="92"/>
        <v>0</v>
      </c>
      <c r="O899" s="1296" t="str">
        <f t="shared" si="93"/>
        <v>0</v>
      </c>
    </row>
    <row r="900" spans="1:15" s="1296" customFormat="1" hidden="1">
      <c r="A900" s="1310"/>
      <c r="B900" s="1311"/>
      <c r="C900" s="1312">
        <v>0</v>
      </c>
      <c r="D900" s="1313">
        <v>0</v>
      </c>
      <c r="E900" s="1314"/>
      <c r="F900" s="1315"/>
      <c r="G900" s="1316">
        <f>+SUMIF(asientos!$C$13:$C$1276,SYS_4_3_Digitos!A900,asientos!$B$13:$B$1276)</f>
        <v>0</v>
      </c>
      <c r="H900" s="1317">
        <f>+SUMIF(asientos!$I$13:$I$1276,SYS_4_3_Digitos!A900,asientos!$J$13:$J$1276)</f>
        <v>0</v>
      </c>
      <c r="I900" s="1314">
        <f t="shared" si="88"/>
        <v>0</v>
      </c>
      <c r="J900" s="1315">
        <f t="shared" si="89"/>
        <v>0</v>
      </c>
      <c r="L900" s="1308">
        <f t="shared" si="90"/>
        <v>0</v>
      </c>
      <c r="M900" s="1296" t="str">
        <f t="shared" si="91"/>
        <v>0</v>
      </c>
      <c r="N900" s="1309">
        <f t="shared" si="92"/>
        <v>0</v>
      </c>
      <c r="O900" s="1296" t="str">
        <f t="shared" si="93"/>
        <v>0</v>
      </c>
    </row>
    <row r="901" spans="1:15" s="1296" customFormat="1" hidden="1">
      <c r="A901" s="1310"/>
      <c r="B901" s="1311"/>
      <c r="C901" s="1312">
        <v>0</v>
      </c>
      <c r="D901" s="1313">
        <v>0</v>
      </c>
      <c r="E901" s="1314"/>
      <c r="F901" s="1315"/>
      <c r="G901" s="1316">
        <f>+SUMIF(asientos!$C$13:$C$1276,SYS_4_3_Digitos!A901,asientos!$B$13:$B$1276)</f>
        <v>0</v>
      </c>
      <c r="H901" s="1317">
        <f>+SUMIF(asientos!$I$13:$I$1276,SYS_4_3_Digitos!A901,asientos!$J$13:$J$1276)</f>
        <v>0</v>
      </c>
      <c r="I901" s="1314">
        <f t="shared" si="88"/>
        <v>0</v>
      </c>
      <c r="J901" s="1315">
        <f t="shared" si="89"/>
        <v>0</v>
      </c>
      <c r="L901" s="1308">
        <f t="shared" si="90"/>
        <v>0</v>
      </c>
      <c r="M901" s="1296" t="str">
        <f t="shared" si="91"/>
        <v>0</v>
      </c>
      <c r="N901" s="1309">
        <f t="shared" si="92"/>
        <v>0</v>
      </c>
      <c r="O901" s="1296" t="str">
        <f t="shared" si="93"/>
        <v>0</v>
      </c>
    </row>
    <row r="902" spans="1:15" s="1296" customFormat="1" hidden="1">
      <c r="A902" s="1310"/>
      <c r="B902" s="1311"/>
      <c r="C902" s="1312">
        <v>0</v>
      </c>
      <c r="D902" s="1313">
        <v>0</v>
      </c>
      <c r="E902" s="1314"/>
      <c r="F902" s="1315"/>
      <c r="G902" s="1316">
        <f>+SUMIF(asientos!$C$13:$C$1276,SYS_4_3_Digitos!A902,asientos!$B$13:$B$1276)</f>
        <v>0</v>
      </c>
      <c r="H902" s="1317">
        <f>+SUMIF(asientos!$I$13:$I$1276,SYS_4_3_Digitos!A902,asientos!$J$13:$J$1276)</f>
        <v>0</v>
      </c>
      <c r="I902" s="1314">
        <f t="shared" si="88"/>
        <v>0</v>
      </c>
      <c r="J902" s="1315">
        <f t="shared" si="89"/>
        <v>0</v>
      </c>
      <c r="L902" s="1308">
        <f t="shared" si="90"/>
        <v>0</v>
      </c>
      <c r="M902" s="1296" t="str">
        <f t="shared" si="91"/>
        <v>0</v>
      </c>
      <c r="N902" s="1309">
        <f t="shared" si="92"/>
        <v>0</v>
      </c>
      <c r="O902" s="1296" t="str">
        <f t="shared" si="93"/>
        <v>0</v>
      </c>
    </row>
    <row r="903" spans="1:15" s="1296" customFormat="1" hidden="1">
      <c r="A903" s="1310"/>
      <c r="B903" s="1311"/>
      <c r="C903" s="1312">
        <v>0</v>
      </c>
      <c r="D903" s="1313">
        <v>0</v>
      </c>
      <c r="E903" s="1314"/>
      <c r="F903" s="1315"/>
      <c r="G903" s="1316">
        <f>+SUMIF(asientos!$C$13:$C$1276,SYS_4_3_Digitos!A903,asientos!$B$13:$B$1276)</f>
        <v>0</v>
      </c>
      <c r="H903" s="1317">
        <f>+SUMIF(asientos!$I$13:$I$1276,SYS_4_3_Digitos!A903,asientos!$J$13:$J$1276)</f>
        <v>0</v>
      </c>
      <c r="I903" s="1314">
        <f t="shared" si="88"/>
        <v>0</v>
      </c>
      <c r="J903" s="1315">
        <f t="shared" si="89"/>
        <v>0</v>
      </c>
      <c r="L903" s="1308">
        <f t="shared" si="90"/>
        <v>0</v>
      </c>
      <c r="M903" s="1296" t="str">
        <f t="shared" si="91"/>
        <v>0</v>
      </c>
      <c r="N903" s="1309">
        <f t="shared" si="92"/>
        <v>0</v>
      </c>
      <c r="O903" s="1296" t="str">
        <f t="shared" si="93"/>
        <v>0</v>
      </c>
    </row>
    <row r="904" spans="1:15" s="1296" customFormat="1" hidden="1">
      <c r="A904" s="1310"/>
      <c r="B904" s="1311"/>
      <c r="C904" s="1312">
        <v>0</v>
      </c>
      <c r="D904" s="1313">
        <v>0</v>
      </c>
      <c r="E904" s="1314"/>
      <c r="F904" s="1315"/>
      <c r="G904" s="1316">
        <f>+SUMIF(asientos!$C$13:$C$1276,SYS_4_3_Digitos!A904,asientos!$B$13:$B$1276)</f>
        <v>0</v>
      </c>
      <c r="H904" s="1317">
        <f>+SUMIF(asientos!$I$13:$I$1276,SYS_4_3_Digitos!A904,asientos!$J$13:$J$1276)</f>
        <v>0</v>
      </c>
      <c r="I904" s="1314">
        <f t="shared" si="88"/>
        <v>0</v>
      </c>
      <c r="J904" s="1315">
        <f t="shared" si="89"/>
        <v>0</v>
      </c>
      <c r="L904" s="1308">
        <f t="shared" si="90"/>
        <v>0</v>
      </c>
      <c r="M904" s="1296" t="str">
        <f t="shared" si="91"/>
        <v>0</v>
      </c>
      <c r="N904" s="1309">
        <f t="shared" si="92"/>
        <v>0</v>
      </c>
      <c r="O904" s="1296" t="str">
        <f t="shared" si="93"/>
        <v>0</v>
      </c>
    </row>
    <row r="905" spans="1:15" s="1296" customFormat="1" hidden="1">
      <c r="A905" s="1310"/>
      <c r="B905" s="1311"/>
      <c r="C905" s="1312">
        <v>0</v>
      </c>
      <c r="D905" s="1313">
        <v>0</v>
      </c>
      <c r="E905" s="1314"/>
      <c r="F905" s="1315"/>
      <c r="G905" s="1316">
        <f>+SUMIF(asientos!$C$13:$C$1276,SYS_4_3_Digitos!A905,asientos!$B$13:$B$1276)</f>
        <v>0</v>
      </c>
      <c r="H905" s="1317">
        <f>+SUMIF(asientos!$I$13:$I$1276,SYS_4_3_Digitos!A905,asientos!$J$13:$J$1276)</f>
        <v>0</v>
      </c>
      <c r="I905" s="1314">
        <f t="shared" si="88"/>
        <v>0</v>
      </c>
      <c r="J905" s="1315">
        <f t="shared" si="89"/>
        <v>0</v>
      </c>
      <c r="L905" s="1308">
        <f t="shared" si="90"/>
        <v>0</v>
      </c>
      <c r="M905" s="1296" t="str">
        <f t="shared" si="91"/>
        <v>0</v>
      </c>
      <c r="N905" s="1309">
        <f t="shared" si="92"/>
        <v>0</v>
      </c>
      <c r="O905" s="1296" t="str">
        <f t="shared" si="93"/>
        <v>0</v>
      </c>
    </row>
    <row r="906" spans="1:15" s="1296" customFormat="1" hidden="1">
      <c r="A906" s="1310"/>
      <c r="B906" s="1311"/>
      <c r="C906" s="1312">
        <v>0</v>
      </c>
      <c r="D906" s="1313">
        <v>0</v>
      </c>
      <c r="E906" s="1314"/>
      <c r="F906" s="1315"/>
      <c r="G906" s="1316">
        <f>+SUMIF(asientos!$C$13:$C$1276,SYS_4_3_Digitos!A906,asientos!$B$13:$B$1276)</f>
        <v>0</v>
      </c>
      <c r="H906" s="1317">
        <f>+SUMIF(asientos!$I$13:$I$1276,SYS_4_3_Digitos!A906,asientos!$J$13:$J$1276)</f>
        <v>0</v>
      </c>
      <c r="I906" s="1314">
        <f t="shared" si="88"/>
        <v>0</v>
      </c>
      <c r="J906" s="1315">
        <f t="shared" si="89"/>
        <v>0</v>
      </c>
      <c r="L906" s="1308">
        <f t="shared" si="90"/>
        <v>0</v>
      </c>
      <c r="M906" s="1296" t="str">
        <f t="shared" si="91"/>
        <v>0</v>
      </c>
      <c r="N906" s="1309">
        <f t="shared" si="92"/>
        <v>0</v>
      </c>
      <c r="O906" s="1296" t="str">
        <f t="shared" si="93"/>
        <v>0</v>
      </c>
    </row>
    <row r="907" spans="1:15" s="1296" customFormat="1" hidden="1">
      <c r="A907" s="1310"/>
      <c r="B907" s="1311"/>
      <c r="C907" s="1312">
        <v>0</v>
      </c>
      <c r="D907" s="1313">
        <v>0</v>
      </c>
      <c r="E907" s="1314"/>
      <c r="F907" s="1315"/>
      <c r="G907" s="1316">
        <f>+SUMIF(asientos!$C$13:$C$1276,SYS_4_3_Digitos!A907,asientos!$B$13:$B$1276)</f>
        <v>0</v>
      </c>
      <c r="H907" s="1317">
        <f>+SUMIF(asientos!$I$13:$I$1276,SYS_4_3_Digitos!A907,asientos!$J$13:$J$1276)</f>
        <v>0</v>
      </c>
      <c r="I907" s="1314">
        <f t="shared" si="88"/>
        <v>0</v>
      </c>
      <c r="J907" s="1315">
        <f t="shared" si="89"/>
        <v>0</v>
      </c>
      <c r="L907" s="1308">
        <f t="shared" si="90"/>
        <v>0</v>
      </c>
      <c r="M907" s="1296" t="str">
        <f t="shared" si="91"/>
        <v>0</v>
      </c>
      <c r="N907" s="1309">
        <f t="shared" si="92"/>
        <v>0</v>
      </c>
      <c r="O907" s="1296" t="str">
        <f t="shared" si="93"/>
        <v>0</v>
      </c>
    </row>
    <row r="908" spans="1:15" s="1296" customFormat="1" hidden="1">
      <c r="A908" s="1310"/>
      <c r="B908" s="1311"/>
      <c r="C908" s="1312">
        <v>0</v>
      </c>
      <c r="D908" s="1313">
        <v>0</v>
      </c>
      <c r="E908" s="1314"/>
      <c r="F908" s="1315"/>
      <c r="G908" s="1316">
        <f>+SUMIF(asientos!$C$13:$C$1276,SYS_4_3_Digitos!A908,asientos!$B$13:$B$1276)</f>
        <v>0</v>
      </c>
      <c r="H908" s="1317">
        <f>+SUMIF(asientos!$I$13:$I$1276,SYS_4_3_Digitos!A908,asientos!$J$13:$J$1276)</f>
        <v>0</v>
      </c>
      <c r="I908" s="1314">
        <f t="shared" si="88"/>
        <v>0</v>
      </c>
      <c r="J908" s="1315">
        <f t="shared" si="89"/>
        <v>0</v>
      </c>
      <c r="L908" s="1308">
        <f t="shared" si="90"/>
        <v>0</v>
      </c>
      <c r="M908" s="1296" t="str">
        <f t="shared" si="91"/>
        <v>0</v>
      </c>
      <c r="N908" s="1309">
        <f t="shared" si="92"/>
        <v>0</v>
      </c>
      <c r="O908" s="1296" t="str">
        <f t="shared" si="93"/>
        <v>0</v>
      </c>
    </row>
    <row r="909" spans="1:15" s="1296" customFormat="1" hidden="1">
      <c r="A909" s="1310"/>
      <c r="B909" s="1311"/>
      <c r="C909" s="1312">
        <v>0</v>
      </c>
      <c r="D909" s="1313">
        <v>0</v>
      </c>
      <c r="E909" s="1314"/>
      <c r="F909" s="1315"/>
      <c r="G909" s="1316">
        <f>+SUMIF(asientos!$C$13:$C$1276,SYS_4_3_Digitos!A909,asientos!$B$13:$B$1276)</f>
        <v>0</v>
      </c>
      <c r="H909" s="1317">
        <f>+SUMIF(asientos!$I$13:$I$1276,SYS_4_3_Digitos!A909,asientos!$J$13:$J$1276)</f>
        <v>0</v>
      </c>
      <c r="I909" s="1314">
        <f t="shared" si="88"/>
        <v>0</v>
      </c>
      <c r="J909" s="1315">
        <f t="shared" si="89"/>
        <v>0</v>
      </c>
      <c r="L909" s="1308">
        <f t="shared" si="90"/>
        <v>0</v>
      </c>
      <c r="M909" s="1296" t="str">
        <f t="shared" si="91"/>
        <v>0</v>
      </c>
      <c r="N909" s="1309">
        <f t="shared" si="92"/>
        <v>0</v>
      </c>
      <c r="O909" s="1296" t="str">
        <f t="shared" si="93"/>
        <v>0</v>
      </c>
    </row>
    <row r="910" spans="1:15" s="1296" customFormat="1" hidden="1">
      <c r="A910" s="1310"/>
      <c r="B910" s="1311"/>
      <c r="C910" s="1312">
        <v>0</v>
      </c>
      <c r="D910" s="1313">
        <v>0</v>
      </c>
      <c r="E910" s="1314"/>
      <c r="F910" s="1315"/>
      <c r="G910" s="1316">
        <f>+SUMIF(asientos!$C$13:$C$1276,SYS_4_3_Digitos!A910,asientos!$B$13:$B$1276)</f>
        <v>0</v>
      </c>
      <c r="H910" s="1317">
        <f>+SUMIF(asientos!$I$13:$I$1276,SYS_4_3_Digitos!A910,asientos!$J$13:$J$1276)</f>
        <v>0</v>
      </c>
      <c r="I910" s="1314">
        <f t="shared" si="88"/>
        <v>0</v>
      </c>
      <c r="J910" s="1315">
        <f t="shared" si="89"/>
        <v>0</v>
      </c>
      <c r="L910" s="1308">
        <f t="shared" si="90"/>
        <v>0</v>
      </c>
      <c r="M910" s="1296" t="str">
        <f t="shared" si="91"/>
        <v>0</v>
      </c>
      <c r="N910" s="1309">
        <f t="shared" si="92"/>
        <v>0</v>
      </c>
      <c r="O910" s="1296" t="str">
        <f t="shared" si="93"/>
        <v>0</v>
      </c>
    </row>
    <row r="911" spans="1:15" s="1296" customFormat="1" hidden="1">
      <c r="A911" s="1310"/>
      <c r="B911" s="1311"/>
      <c r="C911" s="1312">
        <v>0</v>
      </c>
      <c r="D911" s="1313">
        <v>0</v>
      </c>
      <c r="E911" s="1314"/>
      <c r="F911" s="1315"/>
      <c r="G911" s="1316">
        <f>+SUMIF(asientos!$C$13:$C$1276,SYS_4_3_Digitos!A911,asientos!$B$13:$B$1276)</f>
        <v>0</v>
      </c>
      <c r="H911" s="1317">
        <f>+SUMIF(asientos!$I$13:$I$1276,SYS_4_3_Digitos!A911,asientos!$J$13:$J$1276)</f>
        <v>0</v>
      </c>
      <c r="I911" s="1314">
        <f t="shared" si="88"/>
        <v>0</v>
      </c>
      <c r="J911" s="1315">
        <f t="shared" si="89"/>
        <v>0</v>
      </c>
      <c r="L911" s="1308">
        <f t="shared" si="90"/>
        <v>0</v>
      </c>
      <c r="M911" s="1296" t="str">
        <f t="shared" si="91"/>
        <v>0</v>
      </c>
      <c r="N911" s="1309">
        <f t="shared" si="92"/>
        <v>0</v>
      </c>
      <c r="O911" s="1296" t="str">
        <f t="shared" si="93"/>
        <v>0</v>
      </c>
    </row>
    <row r="912" spans="1:15" s="1296" customFormat="1" hidden="1">
      <c r="A912" s="1310"/>
      <c r="B912" s="1311"/>
      <c r="C912" s="1312">
        <v>0</v>
      </c>
      <c r="D912" s="1313">
        <v>0</v>
      </c>
      <c r="E912" s="1314"/>
      <c r="F912" s="1315"/>
      <c r="G912" s="1316">
        <f>+SUMIF(asientos!$C$13:$C$1276,SYS_4_3_Digitos!A912,asientos!$B$13:$B$1276)</f>
        <v>0</v>
      </c>
      <c r="H912" s="1317">
        <f>+SUMIF(asientos!$I$13:$I$1276,SYS_4_3_Digitos!A912,asientos!$J$13:$J$1276)</f>
        <v>0</v>
      </c>
      <c r="I912" s="1314">
        <f t="shared" si="88"/>
        <v>0</v>
      </c>
      <c r="J912" s="1315">
        <f t="shared" si="89"/>
        <v>0</v>
      </c>
      <c r="L912" s="1308">
        <f t="shared" si="90"/>
        <v>0</v>
      </c>
      <c r="M912" s="1296" t="str">
        <f t="shared" si="91"/>
        <v>0</v>
      </c>
      <c r="N912" s="1309">
        <f t="shared" si="92"/>
        <v>0</v>
      </c>
      <c r="O912" s="1296" t="str">
        <f t="shared" si="93"/>
        <v>0</v>
      </c>
    </row>
    <row r="913" spans="1:15" s="1296" customFormat="1" hidden="1">
      <c r="A913" s="1310"/>
      <c r="B913" s="1311"/>
      <c r="C913" s="1312">
        <v>0</v>
      </c>
      <c r="D913" s="1313">
        <v>0</v>
      </c>
      <c r="E913" s="1314"/>
      <c r="F913" s="1315"/>
      <c r="G913" s="1316">
        <f>+SUMIF(asientos!$C$13:$C$1276,SYS_4_3_Digitos!A913,asientos!$B$13:$B$1276)</f>
        <v>0</v>
      </c>
      <c r="H913" s="1317">
        <f>+SUMIF(asientos!$I$13:$I$1276,SYS_4_3_Digitos!A913,asientos!$J$13:$J$1276)</f>
        <v>0</v>
      </c>
      <c r="I913" s="1314">
        <f t="shared" si="88"/>
        <v>0</v>
      </c>
      <c r="J913" s="1315">
        <f t="shared" si="89"/>
        <v>0</v>
      </c>
      <c r="L913" s="1308">
        <f t="shared" si="90"/>
        <v>0</v>
      </c>
      <c r="M913" s="1296" t="str">
        <f t="shared" si="91"/>
        <v>0</v>
      </c>
      <c r="N913" s="1309">
        <f t="shared" si="92"/>
        <v>0</v>
      </c>
      <c r="O913" s="1296" t="str">
        <f t="shared" si="93"/>
        <v>0</v>
      </c>
    </row>
    <row r="914" spans="1:15" s="1296" customFormat="1" hidden="1">
      <c r="A914" s="1310"/>
      <c r="B914" s="1311"/>
      <c r="C914" s="1312">
        <v>0</v>
      </c>
      <c r="D914" s="1313">
        <v>0</v>
      </c>
      <c r="E914" s="1314"/>
      <c r="F914" s="1315"/>
      <c r="G914" s="1316">
        <f>+SUMIF(asientos!$C$13:$C$1276,SYS_4_3_Digitos!A914,asientos!$B$13:$B$1276)</f>
        <v>0</v>
      </c>
      <c r="H914" s="1317">
        <f>+SUMIF(asientos!$I$13:$I$1276,SYS_4_3_Digitos!A914,asientos!$J$13:$J$1276)</f>
        <v>0</v>
      </c>
      <c r="I914" s="1314">
        <f t="shared" si="88"/>
        <v>0</v>
      </c>
      <c r="J914" s="1315">
        <f t="shared" si="89"/>
        <v>0</v>
      </c>
      <c r="L914" s="1308">
        <f t="shared" si="90"/>
        <v>0</v>
      </c>
      <c r="M914" s="1296" t="str">
        <f t="shared" si="91"/>
        <v>0</v>
      </c>
      <c r="N914" s="1309">
        <f t="shared" si="92"/>
        <v>0</v>
      </c>
      <c r="O914" s="1296" t="str">
        <f t="shared" si="93"/>
        <v>0</v>
      </c>
    </row>
    <row r="915" spans="1:15" s="1296" customFormat="1" hidden="1">
      <c r="A915" s="1310"/>
      <c r="B915" s="1311"/>
      <c r="C915" s="1312">
        <v>0</v>
      </c>
      <c r="D915" s="1313">
        <v>0</v>
      </c>
      <c r="E915" s="1314"/>
      <c r="F915" s="1315"/>
      <c r="G915" s="1316">
        <f>+SUMIF(asientos!$C$13:$C$1276,SYS_4_3_Digitos!A915,asientos!$B$13:$B$1276)</f>
        <v>0</v>
      </c>
      <c r="H915" s="1317">
        <f>+SUMIF(asientos!$I$13:$I$1276,SYS_4_3_Digitos!A915,asientos!$J$13:$J$1276)</f>
        <v>0</v>
      </c>
      <c r="I915" s="1314">
        <f t="shared" si="88"/>
        <v>0</v>
      </c>
      <c r="J915" s="1315">
        <f t="shared" si="89"/>
        <v>0</v>
      </c>
      <c r="L915" s="1308">
        <f t="shared" si="90"/>
        <v>0</v>
      </c>
      <c r="M915" s="1296" t="str">
        <f t="shared" si="91"/>
        <v>0</v>
      </c>
      <c r="N915" s="1309">
        <f t="shared" si="92"/>
        <v>0</v>
      </c>
      <c r="O915" s="1296" t="str">
        <f t="shared" si="93"/>
        <v>0</v>
      </c>
    </row>
    <row r="916" spans="1:15" s="1296" customFormat="1" hidden="1">
      <c r="A916" s="1310"/>
      <c r="B916" s="1311"/>
      <c r="C916" s="1312">
        <v>0</v>
      </c>
      <c r="D916" s="1313">
        <v>0</v>
      </c>
      <c r="E916" s="1314"/>
      <c r="F916" s="1315"/>
      <c r="G916" s="1316">
        <f>+SUMIF(asientos!$C$13:$C$1276,SYS_4_3_Digitos!A916,asientos!$B$13:$B$1276)</f>
        <v>0</v>
      </c>
      <c r="H916" s="1317">
        <f>+SUMIF(asientos!$I$13:$I$1276,SYS_4_3_Digitos!A916,asientos!$J$13:$J$1276)</f>
        <v>0</v>
      </c>
      <c r="I916" s="1314">
        <f t="shared" si="88"/>
        <v>0</v>
      </c>
      <c r="J916" s="1315">
        <f t="shared" si="89"/>
        <v>0</v>
      </c>
      <c r="L916" s="1308">
        <f t="shared" si="90"/>
        <v>0</v>
      </c>
      <c r="M916" s="1296" t="str">
        <f t="shared" si="91"/>
        <v>0</v>
      </c>
      <c r="N916" s="1309">
        <f t="shared" si="92"/>
        <v>0</v>
      </c>
      <c r="O916" s="1296" t="str">
        <f t="shared" si="93"/>
        <v>0</v>
      </c>
    </row>
    <row r="917" spans="1:15" s="1296" customFormat="1" hidden="1">
      <c r="A917" s="1310"/>
      <c r="B917" s="1311"/>
      <c r="C917" s="1312">
        <v>0</v>
      </c>
      <c r="D917" s="1313">
        <v>0</v>
      </c>
      <c r="E917" s="1314"/>
      <c r="F917" s="1315"/>
      <c r="G917" s="1316">
        <f>+SUMIF(asientos!$C$13:$C$1276,SYS_4_3_Digitos!A917,asientos!$B$13:$B$1276)</f>
        <v>0</v>
      </c>
      <c r="H917" s="1317">
        <f>+SUMIF(asientos!$I$13:$I$1276,SYS_4_3_Digitos!A917,asientos!$J$13:$J$1276)</f>
        <v>0</v>
      </c>
      <c r="I917" s="1314">
        <f t="shared" si="88"/>
        <v>0</v>
      </c>
      <c r="J917" s="1315">
        <f t="shared" si="89"/>
        <v>0</v>
      </c>
      <c r="L917" s="1308">
        <f t="shared" si="90"/>
        <v>0</v>
      </c>
      <c r="M917" s="1296" t="str">
        <f t="shared" si="91"/>
        <v>0</v>
      </c>
      <c r="N917" s="1309">
        <f t="shared" si="92"/>
        <v>0</v>
      </c>
      <c r="O917" s="1296" t="str">
        <f t="shared" si="93"/>
        <v>0</v>
      </c>
    </row>
    <row r="918" spans="1:15" s="1296" customFormat="1" hidden="1">
      <c r="A918" s="1310"/>
      <c r="B918" s="1311"/>
      <c r="C918" s="1312">
        <v>0</v>
      </c>
      <c r="D918" s="1313">
        <v>0</v>
      </c>
      <c r="E918" s="1314"/>
      <c r="F918" s="1315"/>
      <c r="G918" s="1316">
        <f>+SUMIF(asientos!$C$13:$C$1276,SYS_4_3_Digitos!A918,asientos!$B$13:$B$1276)</f>
        <v>0</v>
      </c>
      <c r="H918" s="1317">
        <f>+SUMIF(asientos!$I$13:$I$1276,SYS_4_3_Digitos!A918,asientos!$J$13:$J$1276)</f>
        <v>0</v>
      </c>
      <c r="I918" s="1314">
        <f t="shared" si="88"/>
        <v>0</v>
      </c>
      <c r="J918" s="1315">
        <f t="shared" si="89"/>
        <v>0</v>
      </c>
      <c r="L918" s="1308">
        <f t="shared" si="90"/>
        <v>0</v>
      </c>
      <c r="M918" s="1296" t="str">
        <f t="shared" si="91"/>
        <v>0</v>
      </c>
      <c r="N918" s="1309">
        <f t="shared" si="92"/>
        <v>0</v>
      </c>
      <c r="O918" s="1296" t="str">
        <f t="shared" si="93"/>
        <v>0</v>
      </c>
    </row>
    <row r="919" spans="1:15" s="1296" customFormat="1" hidden="1">
      <c r="A919" s="1310"/>
      <c r="B919" s="1311"/>
      <c r="C919" s="1312">
        <v>0</v>
      </c>
      <c r="D919" s="1313">
        <v>0</v>
      </c>
      <c r="E919" s="1314"/>
      <c r="F919" s="1315"/>
      <c r="G919" s="1316">
        <f>+SUMIF(asientos!$C$13:$C$1276,SYS_4_3_Digitos!A919,asientos!$B$13:$B$1276)</f>
        <v>0</v>
      </c>
      <c r="H919" s="1317">
        <f>+SUMIF(asientos!$I$13:$I$1276,SYS_4_3_Digitos!A919,asientos!$J$13:$J$1276)</f>
        <v>0</v>
      </c>
      <c r="I919" s="1314">
        <f t="shared" si="88"/>
        <v>0</v>
      </c>
      <c r="J919" s="1315">
        <f t="shared" si="89"/>
        <v>0</v>
      </c>
      <c r="L919" s="1308">
        <f t="shared" si="90"/>
        <v>0</v>
      </c>
      <c r="M919" s="1296" t="str">
        <f t="shared" si="91"/>
        <v>0</v>
      </c>
      <c r="N919" s="1309">
        <f t="shared" si="92"/>
        <v>0</v>
      </c>
      <c r="O919" s="1296" t="str">
        <f t="shared" si="93"/>
        <v>0</v>
      </c>
    </row>
    <row r="920" spans="1:15" s="1296" customFormat="1" hidden="1">
      <c r="A920" s="1310"/>
      <c r="B920" s="1311"/>
      <c r="C920" s="1312">
        <v>0</v>
      </c>
      <c r="D920" s="1313">
        <v>0</v>
      </c>
      <c r="E920" s="1314"/>
      <c r="F920" s="1315"/>
      <c r="G920" s="1316">
        <f>+SUMIF(asientos!$C$13:$C$1276,SYS_4_3_Digitos!A920,asientos!$B$13:$B$1276)</f>
        <v>0</v>
      </c>
      <c r="H920" s="1317">
        <f>+SUMIF(asientos!$I$13:$I$1276,SYS_4_3_Digitos!A920,asientos!$J$13:$J$1276)</f>
        <v>0</v>
      </c>
      <c r="I920" s="1314">
        <f t="shared" si="88"/>
        <v>0</v>
      </c>
      <c r="J920" s="1315">
        <f t="shared" si="89"/>
        <v>0</v>
      </c>
      <c r="L920" s="1308">
        <f t="shared" si="90"/>
        <v>0</v>
      </c>
      <c r="M920" s="1296" t="str">
        <f t="shared" si="91"/>
        <v>0</v>
      </c>
      <c r="N920" s="1309">
        <f t="shared" si="92"/>
        <v>0</v>
      </c>
      <c r="O920" s="1296" t="str">
        <f t="shared" si="93"/>
        <v>0</v>
      </c>
    </row>
    <row r="921" spans="1:15" s="1296" customFormat="1" hidden="1">
      <c r="A921" s="1310"/>
      <c r="B921" s="1311"/>
      <c r="C921" s="1312">
        <v>0</v>
      </c>
      <c r="D921" s="1313">
        <v>0</v>
      </c>
      <c r="E921" s="1314"/>
      <c r="F921" s="1315"/>
      <c r="G921" s="1316">
        <f>+SUMIF(asientos!$C$13:$C$1276,SYS_4_3_Digitos!A921,asientos!$B$13:$B$1276)</f>
        <v>0</v>
      </c>
      <c r="H921" s="1317">
        <f>+SUMIF(asientos!$I$13:$I$1276,SYS_4_3_Digitos!A921,asientos!$J$13:$J$1276)</f>
        <v>0</v>
      </c>
      <c r="I921" s="1314">
        <f t="shared" si="88"/>
        <v>0</v>
      </c>
      <c r="J921" s="1315">
        <f t="shared" si="89"/>
        <v>0</v>
      </c>
      <c r="L921" s="1308">
        <f t="shared" si="90"/>
        <v>0</v>
      </c>
      <c r="M921" s="1296" t="str">
        <f t="shared" si="91"/>
        <v>0</v>
      </c>
      <c r="N921" s="1309">
        <f t="shared" si="92"/>
        <v>0</v>
      </c>
      <c r="O921" s="1296" t="str">
        <f t="shared" si="93"/>
        <v>0</v>
      </c>
    </row>
    <row r="922" spans="1:15" s="1296" customFormat="1" hidden="1">
      <c r="A922" s="1310"/>
      <c r="B922" s="1311"/>
      <c r="C922" s="1312">
        <v>0</v>
      </c>
      <c r="D922" s="1313">
        <v>0</v>
      </c>
      <c r="E922" s="1314"/>
      <c r="F922" s="1315"/>
      <c r="G922" s="1316">
        <f>+SUMIF(asientos!$C$13:$C$1276,SYS_4_3_Digitos!A922,asientos!$B$13:$B$1276)</f>
        <v>0</v>
      </c>
      <c r="H922" s="1317">
        <f>+SUMIF(asientos!$I$13:$I$1276,SYS_4_3_Digitos!A922,asientos!$J$13:$J$1276)</f>
        <v>0</v>
      </c>
      <c r="I922" s="1314">
        <f t="shared" si="88"/>
        <v>0</v>
      </c>
      <c r="J922" s="1315">
        <f t="shared" si="89"/>
        <v>0</v>
      </c>
      <c r="L922" s="1308">
        <f t="shared" si="90"/>
        <v>0</v>
      </c>
      <c r="M922" s="1296" t="str">
        <f t="shared" si="91"/>
        <v>0</v>
      </c>
      <c r="N922" s="1309">
        <f t="shared" si="92"/>
        <v>0</v>
      </c>
      <c r="O922" s="1296" t="str">
        <f t="shared" si="93"/>
        <v>0</v>
      </c>
    </row>
    <row r="923" spans="1:15" s="1296" customFormat="1" hidden="1">
      <c r="A923" s="1310"/>
      <c r="B923" s="1311"/>
      <c r="C923" s="1312">
        <v>0</v>
      </c>
      <c r="D923" s="1313">
        <v>0</v>
      </c>
      <c r="E923" s="1314"/>
      <c r="F923" s="1315"/>
      <c r="G923" s="1316">
        <f>+SUMIF(asientos!$C$13:$C$1276,SYS_4_3_Digitos!A923,asientos!$B$13:$B$1276)</f>
        <v>0</v>
      </c>
      <c r="H923" s="1317">
        <f>+SUMIF(asientos!$I$13:$I$1276,SYS_4_3_Digitos!A923,asientos!$J$13:$J$1276)</f>
        <v>0</v>
      </c>
      <c r="I923" s="1314">
        <f t="shared" si="88"/>
        <v>0</v>
      </c>
      <c r="J923" s="1315">
        <f t="shared" si="89"/>
        <v>0</v>
      </c>
      <c r="L923" s="1308">
        <f t="shared" si="90"/>
        <v>0</v>
      </c>
      <c r="M923" s="1296" t="str">
        <f t="shared" si="91"/>
        <v>0</v>
      </c>
      <c r="N923" s="1309">
        <f t="shared" si="92"/>
        <v>0</v>
      </c>
      <c r="O923" s="1296" t="str">
        <f t="shared" si="93"/>
        <v>0</v>
      </c>
    </row>
    <row r="924" spans="1:15" s="1296" customFormat="1" hidden="1">
      <c r="A924" s="1310"/>
      <c r="B924" s="1311"/>
      <c r="C924" s="1312">
        <v>0</v>
      </c>
      <c r="D924" s="1313">
        <v>0</v>
      </c>
      <c r="E924" s="1314"/>
      <c r="F924" s="1315"/>
      <c r="G924" s="1316">
        <f>+SUMIF(asientos!$C$13:$C$1276,SYS_4_3_Digitos!A924,asientos!$B$13:$B$1276)</f>
        <v>0</v>
      </c>
      <c r="H924" s="1317">
        <f>+SUMIF(asientos!$I$13:$I$1276,SYS_4_3_Digitos!A924,asientos!$J$13:$J$1276)</f>
        <v>0</v>
      </c>
      <c r="I924" s="1314">
        <f t="shared" si="88"/>
        <v>0</v>
      </c>
      <c r="J924" s="1315">
        <f t="shared" si="89"/>
        <v>0</v>
      </c>
      <c r="L924" s="1308">
        <f t="shared" si="90"/>
        <v>0</v>
      </c>
      <c r="M924" s="1296" t="str">
        <f t="shared" si="91"/>
        <v>0</v>
      </c>
      <c r="N924" s="1309">
        <f t="shared" si="92"/>
        <v>0</v>
      </c>
      <c r="O924" s="1296" t="str">
        <f t="shared" si="93"/>
        <v>0</v>
      </c>
    </row>
    <row r="925" spans="1:15" s="1296" customFormat="1" hidden="1">
      <c r="A925" s="1310"/>
      <c r="B925" s="1311"/>
      <c r="C925" s="1312">
        <v>0</v>
      </c>
      <c r="D925" s="1313">
        <v>0</v>
      </c>
      <c r="E925" s="1314"/>
      <c r="F925" s="1315"/>
      <c r="G925" s="1316">
        <f>+SUMIF(asientos!$C$13:$C$1276,SYS_4_3_Digitos!A925,asientos!$B$13:$B$1276)</f>
        <v>0</v>
      </c>
      <c r="H925" s="1317">
        <f>+SUMIF(asientos!$I$13:$I$1276,SYS_4_3_Digitos!A925,asientos!$J$13:$J$1276)</f>
        <v>0</v>
      </c>
      <c r="I925" s="1314">
        <f t="shared" si="88"/>
        <v>0</v>
      </c>
      <c r="J925" s="1315">
        <f t="shared" si="89"/>
        <v>0</v>
      </c>
      <c r="L925" s="1308">
        <f t="shared" si="90"/>
        <v>0</v>
      </c>
      <c r="M925" s="1296" t="str">
        <f t="shared" si="91"/>
        <v>0</v>
      </c>
      <c r="N925" s="1309">
        <f t="shared" si="92"/>
        <v>0</v>
      </c>
      <c r="O925" s="1296" t="str">
        <f t="shared" si="93"/>
        <v>0</v>
      </c>
    </row>
    <row r="926" spans="1:15" s="1296" customFormat="1" hidden="1">
      <c r="A926" s="1310"/>
      <c r="B926" s="1311"/>
      <c r="C926" s="1312">
        <v>0</v>
      </c>
      <c r="D926" s="1313">
        <v>0</v>
      </c>
      <c r="E926" s="1314"/>
      <c r="F926" s="1315"/>
      <c r="G926" s="1316">
        <f>+SUMIF(asientos!$C$13:$C$1276,SYS_4_3_Digitos!A926,asientos!$B$13:$B$1276)</f>
        <v>0</v>
      </c>
      <c r="H926" s="1317">
        <f>+SUMIF(asientos!$I$13:$I$1276,SYS_4_3_Digitos!A926,asientos!$J$13:$J$1276)</f>
        <v>0</v>
      </c>
      <c r="I926" s="1314">
        <f t="shared" si="88"/>
        <v>0</v>
      </c>
      <c r="J926" s="1315">
        <f t="shared" si="89"/>
        <v>0</v>
      </c>
      <c r="L926" s="1308">
        <f t="shared" si="90"/>
        <v>0</v>
      </c>
      <c r="M926" s="1296" t="str">
        <f t="shared" si="91"/>
        <v>0</v>
      </c>
      <c r="N926" s="1309">
        <f t="shared" si="92"/>
        <v>0</v>
      </c>
      <c r="O926" s="1296" t="str">
        <f t="shared" si="93"/>
        <v>0</v>
      </c>
    </row>
    <row r="927" spans="1:15" s="1296" customFormat="1" hidden="1">
      <c r="A927" s="1310"/>
      <c r="B927" s="1311"/>
      <c r="C927" s="1312">
        <v>0</v>
      </c>
      <c r="D927" s="1313">
        <v>0</v>
      </c>
      <c r="E927" s="1314"/>
      <c r="F927" s="1315"/>
      <c r="G927" s="1316">
        <f>+SUMIF(asientos!$C$13:$C$1276,SYS_4_3_Digitos!A927,asientos!$B$13:$B$1276)</f>
        <v>0</v>
      </c>
      <c r="H927" s="1317">
        <f>+SUMIF(asientos!$I$13:$I$1276,SYS_4_3_Digitos!A927,asientos!$J$13:$J$1276)</f>
        <v>0</v>
      </c>
      <c r="I927" s="1314">
        <f t="shared" si="88"/>
        <v>0</v>
      </c>
      <c r="J927" s="1315">
        <f t="shared" si="89"/>
        <v>0</v>
      </c>
      <c r="L927" s="1308">
        <f t="shared" si="90"/>
        <v>0</v>
      </c>
      <c r="M927" s="1296" t="str">
        <f t="shared" si="91"/>
        <v>0</v>
      </c>
      <c r="N927" s="1309">
        <f t="shared" si="92"/>
        <v>0</v>
      </c>
      <c r="O927" s="1296" t="str">
        <f t="shared" si="93"/>
        <v>0</v>
      </c>
    </row>
    <row r="928" spans="1:15" s="1296" customFormat="1" hidden="1">
      <c r="A928" s="1310"/>
      <c r="B928" s="1311"/>
      <c r="C928" s="1312">
        <v>0</v>
      </c>
      <c r="D928" s="1313">
        <v>0</v>
      </c>
      <c r="E928" s="1314"/>
      <c r="F928" s="1315"/>
      <c r="G928" s="1316">
        <f>+SUMIF(asientos!$C$13:$C$1276,SYS_4_3_Digitos!A928,asientos!$B$13:$B$1276)</f>
        <v>0</v>
      </c>
      <c r="H928" s="1317">
        <f>+SUMIF(asientos!$I$13:$I$1276,SYS_4_3_Digitos!A928,asientos!$J$13:$J$1276)</f>
        <v>0</v>
      </c>
      <c r="I928" s="1314">
        <f t="shared" si="88"/>
        <v>0</v>
      </c>
      <c r="J928" s="1315">
        <f t="shared" si="89"/>
        <v>0</v>
      </c>
      <c r="L928" s="1308">
        <f t="shared" si="90"/>
        <v>0</v>
      </c>
      <c r="M928" s="1296" t="str">
        <f t="shared" si="91"/>
        <v>0</v>
      </c>
      <c r="N928" s="1309">
        <f t="shared" si="92"/>
        <v>0</v>
      </c>
      <c r="O928" s="1296" t="str">
        <f t="shared" si="93"/>
        <v>0</v>
      </c>
    </row>
    <row r="929" spans="1:15" s="1296" customFormat="1" hidden="1">
      <c r="A929" s="1310"/>
      <c r="B929" s="1311"/>
      <c r="C929" s="1312">
        <v>0</v>
      </c>
      <c r="D929" s="1313">
        <v>0</v>
      </c>
      <c r="E929" s="1314"/>
      <c r="F929" s="1315"/>
      <c r="G929" s="1316">
        <f>+SUMIF(asientos!$C$13:$C$1276,SYS_4_3_Digitos!A929,asientos!$B$13:$B$1276)</f>
        <v>0</v>
      </c>
      <c r="H929" s="1317">
        <f>+SUMIF(asientos!$I$13:$I$1276,SYS_4_3_Digitos!A929,asientos!$J$13:$J$1276)</f>
        <v>0</v>
      </c>
      <c r="I929" s="1314">
        <f t="shared" si="88"/>
        <v>0</v>
      </c>
      <c r="J929" s="1315">
        <f t="shared" si="89"/>
        <v>0</v>
      </c>
      <c r="L929" s="1308">
        <f t="shared" si="90"/>
        <v>0</v>
      </c>
      <c r="M929" s="1296" t="str">
        <f t="shared" si="91"/>
        <v>0</v>
      </c>
      <c r="N929" s="1309">
        <f t="shared" si="92"/>
        <v>0</v>
      </c>
      <c r="O929" s="1296" t="str">
        <f t="shared" si="93"/>
        <v>0</v>
      </c>
    </row>
    <row r="930" spans="1:15" s="1296" customFormat="1" hidden="1">
      <c r="A930" s="1310"/>
      <c r="B930" s="1311"/>
      <c r="C930" s="1312">
        <v>0</v>
      </c>
      <c r="D930" s="1313">
        <v>0</v>
      </c>
      <c r="E930" s="1314"/>
      <c r="F930" s="1315"/>
      <c r="G930" s="1316">
        <f>+SUMIF(asientos!$C$13:$C$1276,SYS_4_3_Digitos!A930,asientos!$B$13:$B$1276)</f>
        <v>0</v>
      </c>
      <c r="H930" s="1317">
        <f>+SUMIF(asientos!$I$13:$I$1276,SYS_4_3_Digitos!A930,asientos!$J$13:$J$1276)</f>
        <v>0</v>
      </c>
      <c r="I930" s="1314">
        <f t="shared" si="88"/>
        <v>0</v>
      </c>
      <c r="J930" s="1315">
        <f t="shared" si="89"/>
        <v>0</v>
      </c>
      <c r="L930" s="1308">
        <f t="shared" si="90"/>
        <v>0</v>
      </c>
      <c r="M930" s="1296" t="str">
        <f t="shared" si="91"/>
        <v>0</v>
      </c>
      <c r="N930" s="1309">
        <f t="shared" si="92"/>
        <v>0</v>
      </c>
      <c r="O930" s="1296" t="str">
        <f t="shared" si="93"/>
        <v>0</v>
      </c>
    </row>
    <row r="931" spans="1:15" s="1296" customFormat="1" hidden="1">
      <c r="A931" s="1310"/>
      <c r="B931" s="1311"/>
      <c r="C931" s="1312">
        <v>0</v>
      </c>
      <c r="D931" s="1313">
        <v>0</v>
      </c>
      <c r="E931" s="1314"/>
      <c r="F931" s="1315"/>
      <c r="G931" s="1316">
        <f>+SUMIF(asientos!$C$13:$C$1276,SYS_4_3_Digitos!A931,asientos!$B$13:$B$1276)</f>
        <v>0</v>
      </c>
      <c r="H931" s="1317">
        <f>+SUMIF(asientos!$I$13:$I$1276,SYS_4_3_Digitos!A931,asientos!$J$13:$J$1276)</f>
        <v>0</v>
      </c>
      <c r="I931" s="1314">
        <f t="shared" si="88"/>
        <v>0</v>
      </c>
      <c r="J931" s="1315">
        <f t="shared" si="89"/>
        <v>0</v>
      </c>
      <c r="L931" s="1308">
        <f t="shared" si="90"/>
        <v>0</v>
      </c>
      <c r="M931" s="1296" t="str">
        <f t="shared" si="91"/>
        <v>0</v>
      </c>
      <c r="N931" s="1309">
        <f t="shared" si="92"/>
        <v>0</v>
      </c>
      <c r="O931" s="1296" t="str">
        <f t="shared" si="93"/>
        <v>0</v>
      </c>
    </row>
    <row r="932" spans="1:15" s="1296" customFormat="1" hidden="1">
      <c r="A932" s="1310"/>
      <c r="B932" s="1311"/>
      <c r="C932" s="1312">
        <v>0</v>
      </c>
      <c r="D932" s="1313">
        <v>0</v>
      </c>
      <c r="E932" s="1314"/>
      <c r="F932" s="1315"/>
      <c r="G932" s="1316">
        <f>+SUMIF(asientos!$C$13:$C$1276,SYS_4_3_Digitos!A932,asientos!$B$13:$B$1276)</f>
        <v>0</v>
      </c>
      <c r="H932" s="1317">
        <f>+SUMIF(asientos!$I$13:$I$1276,SYS_4_3_Digitos!A932,asientos!$J$13:$J$1276)</f>
        <v>0</v>
      </c>
      <c r="I932" s="1314">
        <f t="shared" si="88"/>
        <v>0</v>
      </c>
      <c r="J932" s="1315">
        <f t="shared" si="89"/>
        <v>0</v>
      </c>
      <c r="L932" s="1308">
        <f t="shared" si="90"/>
        <v>0</v>
      </c>
      <c r="M932" s="1296" t="str">
        <f t="shared" si="91"/>
        <v>0</v>
      </c>
      <c r="N932" s="1309">
        <f t="shared" si="92"/>
        <v>0</v>
      </c>
      <c r="O932" s="1296" t="str">
        <f t="shared" si="93"/>
        <v>0</v>
      </c>
    </row>
    <row r="933" spans="1:15" s="1296" customFormat="1" hidden="1">
      <c r="A933" s="1310"/>
      <c r="B933" s="1311"/>
      <c r="C933" s="1312">
        <v>0</v>
      </c>
      <c r="D933" s="1313">
        <v>0</v>
      </c>
      <c r="E933" s="1314"/>
      <c r="F933" s="1315"/>
      <c r="G933" s="1316">
        <f>+SUMIF(asientos!$C$13:$C$1276,SYS_4_3_Digitos!A933,asientos!$B$13:$B$1276)</f>
        <v>0</v>
      </c>
      <c r="H933" s="1317">
        <f>+SUMIF(asientos!$I$13:$I$1276,SYS_4_3_Digitos!A933,asientos!$J$13:$J$1276)</f>
        <v>0</v>
      </c>
      <c r="I933" s="1314">
        <f t="shared" ref="I933:I996" si="94">IF((E933+G933-F933-H933)&gt;0,E933+G933-F933-H933,0)</f>
        <v>0</v>
      </c>
      <c r="J933" s="1315">
        <f t="shared" ref="J933:J996" si="95">IF((F933+H933-E933-G933)&gt;0,F933+H933-E933-G933,0)</f>
        <v>0</v>
      </c>
      <c r="L933" s="1308">
        <f t="shared" ref="L933:L996" si="96">+A933*1000000</f>
        <v>0</v>
      </c>
      <c r="M933" s="1296" t="str">
        <f t="shared" ref="M933:M996" si="97">+LEFT(L933,4)</f>
        <v>0</v>
      </c>
      <c r="N933" s="1309">
        <f t="shared" ref="N933:N996" si="98">+I933-J933</f>
        <v>0</v>
      </c>
      <c r="O933" s="1296" t="str">
        <f t="shared" ref="O933:O996" si="99">+LEFT(M933,2)</f>
        <v>0</v>
      </c>
    </row>
    <row r="934" spans="1:15" s="1296" customFormat="1" hidden="1">
      <c r="A934" s="1310"/>
      <c r="B934" s="1311"/>
      <c r="C934" s="1312">
        <v>0</v>
      </c>
      <c r="D934" s="1313">
        <v>0</v>
      </c>
      <c r="E934" s="1314"/>
      <c r="F934" s="1315"/>
      <c r="G934" s="1316">
        <f>+SUMIF(asientos!$C$13:$C$1276,SYS_4_3_Digitos!A934,asientos!$B$13:$B$1276)</f>
        <v>0</v>
      </c>
      <c r="H934" s="1317">
        <f>+SUMIF(asientos!$I$13:$I$1276,SYS_4_3_Digitos!A934,asientos!$J$13:$J$1276)</f>
        <v>0</v>
      </c>
      <c r="I934" s="1314">
        <f t="shared" si="94"/>
        <v>0</v>
      </c>
      <c r="J934" s="1315">
        <f t="shared" si="95"/>
        <v>0</v>
      </c>
      <c r="L934" s="1308">
        <f t="shared" si="96"/>
        <v>0</v>
      </c>
      <c r="M934" s="1296" t="str">
        <f t="shared" si="97"/>
        <v>0</v>
      </c>
      <c r="N934" s="1309">
        <f t="shared" si="98"/>
        <v>0</v>
      </c>
      <c r="O934" s="1296" t="str">
        <f t="shared" si="99"/>
        <v>0</v>
      </c>
    </row>
    <row r="935" spans="1:15" s="1296" customFormat="1" hidden="1">
      <c r="A935" s="1310"/>
      <c r="B935" s="1311"/>
      <c r="C935" s="1312">
        <v>0</v>
      </c>
      <c r="D935" s="1313">
        <v>0</v>
      </c>
      <c r="E935" s="1314"/>
      <c r="F935" s="1315"/>
      <c r="G935" s="1316">
        <f>+SUMIF(asientos!$C$13:$C$1276,SYS_4_3_Digitos!A935,asientos!$B$13:$B$1276)</f>
        <v>0</v>
      </c>
      <c r="H935" s="1317">
        <f>+SUMIF(asientos!$I$13:$I$1276,SYS_4_3_Digitos!A935,asientos!$J$13:$J$1276)</f>
        <v>0</v>
      </c>
      <c r="I935" s="1314">
        <f t="shared" si="94"/>
        <v>0</v>
      </c>
      <c r="J935" s="1315">
        <f t="shared" si="95"/>
        <v>0</v>
      </c>
      <c r="L935" s="1308">
        <f t="shared" si="96"/>
        <v>0</v>
      </c>
      <c r="M935" s="1296" t="str">
        <f t="shared" si="97"/>
        <v>0</v>
      </c>
      <c r="N935" s="1309">
        <f t="shared" si="98"/>
        <v>0</v>
      </c>
      <c r="O935" s="1296" t="str">
        <f t="shared" si="99"/>
        <v>0</v>
      </c>
    </row>
    <row r="936" spans="1:15" s="1296" customFormat="1" hidden="1">
      <c r="A936" s="1310"/>
      <c r="B936" s="1311"/>
      <c r="C936" s="1312">
        <v>0</v>
      </c>
      <c r="D936" s="1313">
        <v>0</v>
      </c>
      <c r="E936" s="1314"/>
      <c r="F936" s="1315"/>
      <c r="G936" s="1316">
        <f>+SUMIF(asientos!$C$13:$C$1276,SYS_4_3_Digitos!A936,asientos!$B$13:$B$1276)</f>
        <v>0</v>
      </c>
      <c r="H936" s="1317">
        <f>+SUMIF(asientos!$I$13:$I$1276,SYS_4_3_Digitos!A936,asientos!$J$13:$J$1276)</f>
        <v>0</v>
      </c>
      <c r="I936" s="1314">
        <f t="shared" si="94"/>
        <v>0</v>
      </c>
      <c r="J936" s="1315">
        <f t="shared" si="95"/>
        <v>0</v>
      </c>
      <c r="L936" s="1308">
        <f t="shared" si="96"/>
        <v>0</v>
      </c>
      <c r="M936" s="1296" t="str">
        <f t="shared" si="97"/>
        <v>0</v>
      </c>
      <c r="N936" s="1309">
        <f t="shared" si="98"/>
        <v>0</v>
      </c>
      <c r="O936" s="1296" t="str">
        <f t="shared" si="99"/>
        <v>0</v>
      </c>
    </row>
    <row r="937" spans="1:15" s="1296" customFormat="1" hidden="1">
      <c r="A937" s="1310"/>
      <c r="B937" s="1311"/>
      <c r="C937" s="1312">
        <v>0</v>
      </c>
      <c r="D937" s="1313">
        <v>0</v>
      </c>
      <c r="E937" s="1314"/>
      <c r="F937" s="1315"/>
      <c r="G937" s="1316">
        <f>+SUMIF(asientos!$C$13:$C$1276,SYS_4_3_Digitos!A937,asientos!$B$13:$B$1276)</f>
        <v>0</v>
      </c>
      <c r="H937" s="1317">
        <f>+SUMIF(asientos!$I$13:$I$1276,SYS_4_3_Digitos!A937,asientos!$J$13:$J$1276)</f>
        <v>0</v>
      </c>
      <c r="I937" s="1314">
        <f t="shared" si="94"/>
        <v>0</v>
      </c>
      <c r="J937" s="1315">
        <f t="shared" si="95"/>
        <v>0</v>
      </c>
      <c r="L937" s="1308">
        <f t="shared" si="96"/>
        <v>0</v>
      </c>
      <c r="M937" s="1296" t="str">
        <f t="shared" si="97"/>
        <v>0</v>
      </c>
      <c r="N937" s="1309">
        <f t="shared" si="98"/>
        <v>0</v>
      </c>
      <c r="O937" s="1296" t="str">
        <f t="shared" si="99"/>
        <v>0</v>
      </c>
    </row>
    <row r="938" spans="1:15" s="1296" customFormat="1" hidden="1">
      <c r="A938" s="1310"/>
      <c r="B938" s="1311"/>
      <c r="C938" s="1312">
        <v>0</v>
      </c>
      <c r="D938" s="1313">
        <v>0</v>
      </c>
      <c r="E938" s="1314"/>
      <c r="F938" s="1315"/>
      <c r="G938" s="1316">
        <f>+SUMIF(asientos!$C$13:$C$1276,SYS_4_3_Digitos!A938,asientos!$B$13:$B$1276)</f>
        <v>0</v>
      </c>
      <c r="H938" s="1317">
        <f>+SUMIF(asientos!$I$13:$I$1276,SYS_4_3_Digitos!A938,asientos!$J$13:$J$1276)</f>
        <v>0</v>
      </c>
      <c r="I938" s="1314">
        <f t="shared" si="94"/>
        <v>0</v>
      </c>
      <c r="J938" s="1315">
        <f t="shared" si="95"/>
        <v>0</v>
      </c>
      <c r="L938" s="1308">
        <f t="shared" si="96"/>
        <v>0</v>
      </c>
      <c r="M938" s="1296" t="str">
        <f t="shared" si="97"/>
        <v>0</v>
      </c>
      <c r="N938" s="1309">
        <f t="shared" si="98"/>
        <v>0</v>
      </c>
      <c r="O938" s="1296" t="str">
        <f t="shared" si="99"/>
        <v>0</v>
      </c>
    </row>
    <row r="939" spans="1:15" s="1296" customFormat="1" hidden="1">
      <c r="A939" s="1310"/>
      <c r="B939" s="1311"/>
      <c r="C939" s="1312">
        <v>0</v>
      </c>
      <c r="D939" s="1313">
        <v>0</v>
      </c>
      <c r="E939" s="1314"/>
      <c r="F939" s="1315"/>
      <c r="G939" s="1316">
        <f>+SUMIF(asientos!$C$13:$C$1276,SYS_4_3_Digitos!A939,asientos!$B$13:$B$1276)</f>
        <v>0</v>
      </c>
      <c r="H939" s="1317">
        <f>+SUMIF(asientos!$I$13:$I$1276,SYS_4_3_Digitos!A939,asientos!$J$13:$J$1276)</f>
        <v>0</v>
      </c>
      <c r="I939" s="1314">
        <f t="shared" si="94"/>
        <v>0</v>
      </c>
      <c r="J939" s="1315">
        <f t="shared" si="95"/>
        <v>0</v>
      </c>
      <c r="L939" s="1308">
        <f t="shared" si="96"/>
        <v>0</v>
      </c>
      <c r="M939" s="1296" t="str">
        <f t="shared" si="97"/>
        <v>0</v>
      </c>
      <c r="N939" s="1309">
        <f t="shared" si="98"/>
        <v>0</v>
      </c>
      <c r="O939" s="1296" t="str">
        <f t="shared" si="99"/>
        <v>0</v>
      </c>
    </row>
    <row r="940" spans="1:15" s="1296" customFormat="1" hidden="1">
      <c r="A940" s="1310"/>
      <c r="B940" s="1311"/>
      <c r="C940" s="1312">
        <v>0</v>
      </c>
      <c r="D940" s="1313">
        <v>0</v>
      </c>
      <c r="E940" s="1314"/>
      <c r="F940" s="1315"/>
      <c r="G940" s="1316">
        <f>+SUMIF(asientos!$C$13:$C$1276,SYS_4_3_Digitos!A940,asientos!$B$13:$B$1276)</f>
        <v>0</v>
      </c>
      <c r="H940" s="1317">
        <f>+SUMIF(asientos!$I$13:$I$1276,SYS_4_3_Digitos!A940,asientos!$J$13:$J$1276)</f>
        <v>0</v>
      </c>
      <c r="I940" s="1314">
        <f t="shared" si="94"/>
        <v>0</v>
      </c>
      <c r="J940" s="1315">
        <f t="shared" si="95"/>
        <v>0</v>
      </c>
      <c r="L940" s="1308">
        <f t="shared" si="96"/>
        <v>0</v>
      </c>
      <c r="M940" s="1296" t="str">
        <f t="shared" si="97"/>
        <v>0</v>
      </c>
      <c r="N940" s="1309">
        <f t="shared" si="98"/>
        <v>0</v>
      </c>
      <c r="O940" s="1296" t="str">
        <f t="shared" si="99"/>
        <v>0</v>
      </c>
    </row>
    <row r="941" spans="1:15" s="1296" customFormat="1" hidden="1">
      <c r="A941" s="1310"/>
      <c r="B941" s="1311"/>
      <c r="C941" s="1312">
        <v>0</v>
      </c>
      <c r="D941" s="1313">
        <v>0</v>
      </c>
      <c r="E941" s="1314"/>
      <c r="F941" s="1315"/>
      <c r="G941" s="1316">
        <f>+SUMIF(asientos!$C$13:$C$1276,SYS_4_3_Digitos!A941,asientos!$B$13:$B$1276)</f>
        <v>0</v>
      </c>
      <c r="H941" s="1317">
        <f>+SUMIF(asientos!$I$13:$I$1276,SYS_4_3_Digitos!A941,asientos!$J$13:$J$1276)</f>
        <v>0</v>
      </c>
      <c r="I941" s="1314">
        <f t="shared" si="94"/>
        <v>0</v>
      </c>
      <c r="J941" s="1315">
        <f t="shared" si="95"/>
        <v>0</v>
      </c>
      <c r="L941" s="1308">
        <f t="shared" si="96"/>
        <v>0</v>
      </c>
      <c r="M941" s="1296" t="str">
        <f t="shared" si="97"/>
        <v>0</v>
      </c>
      <c r="N941" s="1309">
        <f t="shared" si="98"/>
        <v>0</v>
      </c>
      <c r="O941" s="1296" t="str">
        <f t="shared" si="99"/>
        <v>0</v>
      </c>
    </row>
    <row r="942" spans="1:15" s="1296" customFormat="1" hidden="1">
      <c r="A942" s="1310"/>
      <c r="B942" s="1311"/>
      <c r="C942" s="1312">
        <v>0</v>
      </c>
      <c r="D942" s="1313">
        <v>0</v>
      </c>
      <c r="E942" s="1314"/>
      <c r="F942" s="1315"/>
      <c r="G942" s="1316">
        <f>+SUMIF(asientos!$C$13:$C$1276,SYS_4_3_Digitos!A942,asientos!$B$13:$B$1276)</f>
        <v>0</v>
      </c>
      <c r="H942" s="1317">
        <f>+SUMIF(asientos!$I$13:$I$1276,SYS_4_3_Digitos!A942,asientos!$J$13:$J$1276)</f>
        <v>0</v>
      </c>
      <c r="I942" s="1314">
        <f t="shared" si="94"/>
        <v>0</v>
      </c>
      <c r="J942" s="1315">
        <f t="shared" si="95"/>
        <v>0</v>
      </c>
      <c r="L942" s="1308">
        <f t="shared" si="96"/>
        <v>0</v>
      </c>
      <c r="M942" s="1296" t="str">
        <f t="shared" si="97"/>
        <v>0</v>
      </c>
      <c r="N942" s="1309">
        <f t="shared" si="98"/>
        <v>0</v>
      </c>
      <c r="O942" s="1296" t="str">
        <f t="shared" si="99"/>
        <v>0</v>
      </c>
    </row>
    <row r="943" spans="1:15" s="1296" customFormat="1" hidden="1">
      <c r="A943" s="1310"/>
      <c r="B943" s="1311"/>
      <c r="C943" s="1312">
        <v>0</v>
      </c>
      <c r="D943" s="1313">
        <v>0</v>
      </c>
      <c r="E943" s="1314"/>
      <c r="F943" s="1315"/>
      <c r="G943" s="1316">
        <f>+SUMIF(asientos!$C$13:$C$1276,SYS_4_3_Digitos!A943,asientos!$B$13:$B$1276)</f>
        <v>0</v>
      </c>
      <c r="H943" s="1317">
        <f>+SUMIF(asientos!$I$13:$I$1276,SYS_4_3_Digitos!A943,asientos!$J$13:$J$1276)</f>
        <v>0</v>
      </c>
      <c r="I943" s="1314">
        <f t="shared" si="94"/>
        <v>0</v>
      </c>
      <c r="J943" s="1315">
        <f t="shared" si="95"/>
        <v>0</v>
      </c>
      <c r="L943" s="1308">
        <f t="shared" si="96"/>
        <v>0</v>
      </c>
      <c r="M943" s="1296" t="str">
        <f t="shared" si="97"/>
        <v>0</v>
      </c>
      <c r="N943" s="1309">
        <f t="shared" si="98"/>
        <v>0</v>
      </c>
      <c r="O943" s="1296" t="str">
        <f t="shared" si="99"/>
        <v>0</v>
      </c>
    </row>
    <row r="944" spans="1:15" s="1296" customFormat="1" hidden="1">
      <c r="A944" s="1310"/>
      <c r="B944" s="1311"/>
      <c r="C944" s="1312">
        <v>0</v>
      </c>
      <c r="D944" s="1313">
        <v>0</v>
      </c>
      <c r="E944" s="1314"/>
      <c r="F944" s="1315"/>
      <c r="G944" s="1316">
        <f>+SUMIF(asientos!$C$13:$C$1276,SYS_4_3_Digitos!A944,asientos!$B$13:$B$1276)</f>
        <v>0</v>
      </c>
      <c r="H944" s="1317">
        <f>+SUMIF(asientos!$I$13:$I$1276,SYS_4_3_Digitos!A944,asientos!$J$13:$J$1276)</f>
        <v>0</v>
      </c>
      <c r="I944" s="1314">
        <f t="shared" si="94"/>
        <v>0</v>
      </c>
      <c r="J944" s="1315">
        <f t="shared" si="95"/>
        <v>0</v>
      </c>
      <c r="L944" s="1308">
        <f t="shared" si="96"/>
        <v>0</v>
      </c>
      <c r="M944" s="1296" t="str">
        <f t="shared" si="97"/>
        <v>0</v>
      </c>
      <c r="N944" s="1309">
        <f t="shared" si="98"/>
        <v>0</v>
      </c>
      <c r="O944" s="1296" t="str">
        <f t="shared" si="99"/>
        <v>0</v>
      </c>
    </row>
    <row r="945" spans="1:15" s="1296" customFormat="1" hidden="1">
      <c r="A945" s="1310"/>
      <c r="B945" s="1311"/>
      <c r="C945" s="1312">
        <v>0</v>
      </c>
      <c r="D945" s="1313">
        <v>0</v>
      </c>
      <c r="E945" s="1314"/>
      <c r="F945" s="1315"/>
      <c r="G945" s="1316">
        <f>+SUMIF(asientos!$C$13:$C$1276,SYS_4_3_Digitos!A945,asientos!$B$13:$B$1276)</f>
        <v>0</v>
      </c>
      <c r="H945" s="1317">
        <f>+SUMIF(asientos!$I$13:$I$1276,SYS_4_3_Digitos!A945,asientos!$J$13:$J$1276)</f>
        <v>0</v>
      </c>
      <c r="I945" s="1314">
        <f t="shared" si="94"/>
        <v>0</v>
      </c>
      <c r="J945" s="1315">
        <f t="shared" si="95"/>
        <v>0</v>
      </c>
      <c r="L945" s="1308">
        <f t="shared" si="96"/>
        <v>0</v>
      </c>
      <c r="M945" s="1296" t="str">
        <f t="shared" si="97"/>
        <v>0</v>
      </c>
      <c r="N945" s="1309">
        <f t="shared" si="98"/>
        <v>0</v>
      </c>
      <c r="O945" s="1296" t="str">
        <f t="shared" si="99"/>
        <v>0</v>
      </c>
    </row>
    <row r="946" spans="1:15" s="1296" customFormat="1" hidden="1">
      <c r="A946" s="1310"/>
      <c r="B946" s="1311"/>
      <c r="C946" s="1312">
        <v>0</v>
      </c>
      <c r="D946" s="1313">
        <v>0</v>
      </c>
      <c r="E946" s="1314"/>
      <c r="F946" s="1315"/>
      <c r="G946" s="1316">
        <f>+SUMIF(asientos!$C$13:$C$1276,SYS_4_3_Digitos!A946,asientos!$B$13:$B$1276)</f>
        <v>0</v>
      </c>
      <c r="H946" s="1317">
        <f>+SUMIF(asientos!$I$13:$I$1276,SYS_4_3_Digitos!A946,asientos!$J$13:$J$1276)</f>
        <v>0</v>
      </c>
      <c r="I946" s="1314">
        <f t="shared" si="94"/>
        <v>0</v>
      </c>
      <c r="J946" s="1315">
        <f t="shared" si="95"/>
        <v>0</v>
      </c>
      <c r="L946" s="1308">
        <f t="shared" si="96"/>
        <v>0</v>
      </c>
      <c r="M946" s="1296" t="str">
        <f t="shared" si="97"/>
        <v>0</v>
      </c>
      <c r="N946" s="1309">
        <f t="shared" si="98"/>
        <v>0</v>
      </c>
      <c r="O946" s="1296" t="str">
        <f t="shared" si="99"/>
        <v>0</v>
      </c>
    </row>
    <row r="947" spans="1:15" s="1296" customFormat="1" hidden="1">
      <c r="A947" s="1310"/>
      <c r="B947" s="1311"/>
      <c r="C947" s="1312">
        <v>0</v>
      </c>
      <c r="D947" s="1313">
        <v>0</v>
      </c>
      <c r="E947" s="1314"/>
      <c r="F947" s="1315"/>
      <c r="G947" s="1316">
        <f>+SUMIF(asientos!$C$13:$C$1276,SYS_4_3_Digitos!A947,asientos!$B$13:$B$1276)</f>
        <v>0</v>
      </c>
      <c r="H947" s="1317">
        <f>+SUMIF(asientos!$I$13:$I$1276,SYS_4_3_Digitos!A947,asientos!$J$13:$J$1276)</f>
        <v>0</v>
      </c>
      <c r="I947" s="1314">
        <f t="shared" si="94"/>
        <v>0</v>
      </c>
      <c r="J947" s="1315">
        <f t="shared" si="95"/>
        <v>0</v>
      </c>
      <c r="L947" s="1308">
        <f t="shared" si="96"/>
        <v>0</v>
      </c>
      <c r="M947" s="1296" t="str">
        <f t="shared" si="97"/>
        <v>0</v>
      </c>
      <c r="N947" s="1309">
        <f t="shared" si="98"/>
        <v>0</v>
      </c>
      <c r="O947" s="1296" t="str">
        <f t="shared" si="99"/>
        <v>0</v>
      </c>
    </row>
    <row r="948" spans="1:15" s="1296" customFormat="1" hidden="1">
      <c r="A948" s="1310"/>
      <c r="B948" s="1311"/>
      <c r="C948" s="1312">
        <v>0</v>
      </c>
      <c r="D948" s="1313">
        <v>0</v>
      </c>
      <c r="E948" s="1314"/>
      <c r="F948" s="1315"/>
      <c r="G948" s="1316">
        <f>+SUMIF(asientos!$C$13:$C$1276,SYS_4_3_Digitos!A948,asientos!$B$13:$B$1276)</f>
        <v>0</v>
      </c>
      <c r="H948" s="1317">
        <f>+SUMIF(asientos!$I$13:$I$1276,SYS_4_3_Digitos!A948,asientos!$J$13:$J$1276)</f>
        <v>0</v>
      </c>
      <c r="I948" s="1314">
        <f t="shared" si="94"/>
        <v>0</v>
      </c>
      <c r="J948" s="1315">
        <f t="shared" si="95"/>
        <v>0</v>
      </c>
      <c r="L948" s="1308">
        <f t="shared" si="96"/>
        <v>0</v>
      </c>
      <c r="M948" s="1296" t="str">
        <f t="shared" si="97"/>
        <v>0</v>
      </c>
      <c r="N948" s="1309">
        <f t="shared" si="98"/>
        <v>0</v>
      </c>
      <c r="O948" s="1296" t="str">
        <f t="shared" si="99"/>
        <v>0</v>
      </c>
    </row>
    <row r="949" spans="1:15" s="1296" customFormat="1" hidden="1">
      <c r="A949" s="1310"/>
      <c r="B949" s="1311"/>
      <c r="C949" s="1312">
        <v>0</v>
      </c>
      <c r="D949" s="1313">
        <v>0</v>
      </c>
      <c r="E949" s="1314"/>
      <c r="F949" s="1315"/>
      <c r="G949" s="1316">
        <f>+SUMIF(asientos!$C$13:$C$1276,SYS_4_3_Digitos!A949,asientos!$B$13:$B$1276)</f>
        <v>0</v>
      </c>
      <c r="H949" s="1317">
        <f>+SUMIF(asientos!$I$13:$I$1276,SYS_4_3_Digitos!A949,asientos!$J$13:$J$1276)</f>
        <v>0</v>
      </c>
      <c r="I949" s="1314">
        <f t="shared" si="94"/>
        <v>0</v>
      </c>
      <c r="J949" s="1315">
        <f t="shared" si="95"/>
        <v>0</v>
      </c>
      <c r="L949" s="1308">
        <f t="shared" si="96"/>
        <v>0</v>
      </c>
      <c r="M949" s="1296" t="str">
        <f t="shared" si="97"/>
        <v>0</v>
      </c>
      <c r="N949" s="1309">
        <f t="shared" si="98"/>
        <v>0</v>
      </c>
      <c r="O949" s="1296" t="str">
        <f t="shared" si="99"/>
        <v>0</v>
      </c>
    </row>
    <row r="950" spans="1:15" s="1296" customFormat="1" hidden="1">
      <c r="A950" s="1310"/>
      <c r="B950" s="1311"/>
      <c r="C950" s="1312">
        <v>0</v>
      </c>
      <c r="D950" s="1313">
        <v>0</v>
      </c>
      <c r="E950" s="1314"/>
      <c r="F950" s="1315"/>
      <c r="G950" s="1316">
        <f>+SUMIF(asientos!$C$13:$C$1276,SYS_4_3_Digitos!A950,asientos!$B$13:$B$1276)</f>
        <v>0</v>
      </c>
      <c r="H950" s="1317">
        <f>+SUMIF(asientos!$I$13:$I$1276,SYS_4_3_Digitos!A950,asientos!$J$13:$J$1276)</f>
        <v>0</v>
      </c>
      <c r="I950" s="1314">
        <f t="shared" si="94"/>
        <v>0</v>
      </c>
      <c r="J950" s="1315">
        <f t="shared" si="95"/>
        <v>0</v>
      </c>
      <c r="L950" s="1308">
        <f t="shared" si="96"/>
        <v>0</v>
      </c>
      <c r="M950" s="1296" t="str">
        <f t="shared" si="97"/>
        <v>0</v>
      </c>
      <c r="N950" s="1309">
        <f t="shared" si="98"/>
        <v>0</v>
      </c>
      <c r="O950" s="1296" t="str">
        <f t="shared" si="99"/>
        <v>0</v>
      </c>
    </row>
    <row r="951" spans="1:15" s="1296" customFormat="1" hidden="1">
      <c r="A951" s="1310"/>
      <c r="B951" s="1311"/>
      <c r="C951" s="1312">
        <v>0</v>
      </c>
      <c r="D951" s="1313">
        <v>0</v>
      </c>
      <c r="E951" s="1314"/>
      <c r="F951" s="1315"/>
      <c r="G951" s="1316">
        <f>+SUMIF(asientos!$C$13:$C$1276,SYS_4_3_Digitos!A951,asientos!$B$13:$B$1276)</f>
        <v>0</v>
      </c>
      <c r="H951" s="1317">
        <f>+SUMIF(asientos!$I$13:$I$1276,SYS_4_3_Digitos!A951,asientos!$J$13:$J$1276)</f>
        <v>0</v>
      </c>
      <c r="I951" s="1314">
        <f t="shared" si="94"/>
        <v>0</v>
      </c>
      <c r="J951" s="1315">
        <f t="shared" si="95"/>
        <v>0</v>
      </c>
      <c r="L951" s="1308">
        <f t="shared" si="96"/>
        <v>0</v>
      </c>
      <c r="M951" s="1296" t="str">
        <f t="shared" si="97"/>
        <v>0</v>
      </c>
      <c r="N951" s="1309">
        <f t="shared" si="98"/>
        <v>0</v>
      </c>
      <c r="O951" s="1296" t="str">
        <f t="shared" si="99"/>
        <v>0</v>
      </c>
    </row>
    <row r="952" spans="1:15" s="1296" customFormat="1" hidden="1">
      <c r="A952" s="1310"/>
      <c r="B952" s="1311"/>
      <c r="C952" s="1312">
        <v>0</v>
      </c>
      <c r="D952" s="1313">
        <v>0</v>
      </c>
      <c r="E952" s="1314"/>
      <c r="F952" s="1315"/>
      <c r="G952" s="1316">
        <f>+SUMIF(asientos!$C$13:$C$1276,SYS_4_3_Digitos!A952,asientos!$B$13:$B$1276)</f>
        <v>0</v>
      </c>
      <c r="H952" s="1317">
        <f>+SUMIF(asientos!$I$13:$I$1276,SYS_4_3_Digitos!A952,asientos!$J$13:$J$1276)</f>
        <v>0</v>
      </c>
      <c r="I952" s="1314">
        <f t="shared" si="94"/>
        <v>0</v>
      </c>
      <c r="J952" s="1315">
        <f t="shared" si="95"/>
        <v>0</v>
      </c>
      <c r="L952" s="1308">
        <f t="shared" si="96"/>
        <v>0</v>
      </c>
      <c r="M952" s="1296" t="str">
        <f t="shared" si="97"/>
        <v>0</v>
      </c>
      <c r="N952" s="1309">
        <f t="shared" si="98"/>
        <v>0</v>
      </c>
      <c r="O952" s="1296" t="str">
        <f t="shared" si="99"/>
        <v>0</v>
      </c>
    </row>
    <row r="953" spans="1:15" s="1296" customFormat="1" hidden="1">
      <c r="A953" s="1310"/>
      <c r="B953" s="1311"/>
      <c r="C953" s="1312">
        <v>0</v>
      </c>
      <c r="D953" s="1313">
        <v>0</v>
      </c>
      <c r="E953" s="1314"/>
      <c r="F953" s="1315"/>
      <c r="G953" s="1316">
        <f>+SUMIF(asientos!$C$13:$C$1276,SYS_4_3_Digitos!A953,asientos!$B$13:$B$1276)</f>
        <v>0</v>
      </c>
      <c r="H953" s="1317">
        <f>+SUMIF(asientos!$I$13:$I$1276,SYS_4_3_Digitos!A953,asientos!$J$13:$J$1276)</f>
        <v>0</v>
      </c>
      <c r="I953" s="1314">
        <f t="shared" si="94"/>
        <v>0</v>
      </c>
      <c r="J953" s="1315">
        <f t="shared" si="95"/>
        <v>0</v>
      </c>
      <c r="L953" s="1308">
        <f t="shared" si="96"/>
        <v>0</v>
      </c>
      <c r="M953" s="1296" t="str">
        <f t="shared" si="97"/>
        <v>0</v>
      </c>
      <c r="N953" s="1309">
        <f t="shared" si="98"/>
        <v>0</v>
      </c>
      <c r="O953" s="1296" t="str">
        <f t="shared" si="99"/>
        <v>0</v>
      </c>
    </row>
    <row r="954" spans="1:15" s="1296" customFormat="1" hidden="1">
      <c r="A954" s="1310"/>
      <c r="B954" s="1311"/>
      <c r="C954" s="1312">
        <v>0</v>
      </c>
      <c r="D954" s="1313">
        <v>0</v>
      </c>
      <c r="E954" s="1314"/>
      <c r="F954" s="1315"/>
      <c r="G954" s="1316">
        <f>+SUMIF(asientos!$C$13:$C$1276,SYS_4_3_Digitos!A954,asientos!$B$13:$B$1276)</f>
        <v>0</v>
      </c>
      <c r="H954" s="1317">
        <f>+SUMIF(asientos!$I$13:$I$1276,SYS_4_3_Digitos!A954,asientos!$J$13:$J$1276)</f>
        <v>0</v>
      </c>
      <c r="I954" s="1314">
        <f t="shared" si="94"/>
        <v>0</v>
      </c>
      <c r="J954" s="1315">
        <f t="shared" si="95"/>
        <v>0</v>
      </c>
      <c r="L954" s="1308">
        <f t="shared" si="96"/>
        <v>0</v>
      </c>
      <c r="M954" s="1296" t="str">
        <f t="shared" si="97"/>
        <v>0</v>
      </c>
      <c r="N954" s="1309">
        <f t="shared" si="98"/>
        <v>0</v>
      </c>
      <c r="O954" s="1296" t="str">
        <f t="shared" si="99"/>
        <v>0</v>
      </c>
    </row>
    <row r="955" spans="1:15" s="1296" customFormat="1" hidden="1">
      <c r="A955" s="1310"/>
      <c r="B955" s="1311"/>
      <c r="C955" s="1312">
        <v>0</v>
      </c>
      <c r="D955" s="1313">
        <v>0</v>
      </c>
      <c r="E955" s="1314"/>
      <c r="F955" s="1315"/>
      <c r="G955" s="1316">
        <f>+SUMIF(asientos!$C$13:$C$1276,SYS_4_3_Digitos!A955,asientos!$B$13:$B$1276)</f>
        <v>0</v>
      </c>
      <c r="H955" s="1317">
        <f>+SUMIF(asientos!$I$13:$I$1276,SYS_4_3_Digitos!A955,asientos!$J$13:$J$1276)</f>
        <v>0</v>
      </c>
      <c r="I955" s="1314">
        <f t="shared" si="94"/>
        <v>0</v>
      </c>
      <c r="J955" s="1315">
        <f t="shared" si="95"/>
        <v>0</v>
      </c>
      <c r="L955" s="1308">
        <f t="shared" si="96"/>
        <v>0</v>
      </c>
      <c r="M955" s="1296" t="str">
        <f t="shared" si="97"/>
        <v>0</v>
      </c>
      <c r="N955" s="1309">
        <f t="shared" si="98"/>
        <v>0</v>
      </c>
      <c r="O955" s="1296" t="str">
        <f t="shared" si="99"/>
        <v>0</v>
      </c>
    </row>
    <row r="956" spans="1:15" s="1296" customFormat="1" hidden="1">
      <c r="A956" s="1310"/>
      <c r="B956" s="1311"/>
      <c r="C956" s="1312">
        <v>0</v>
      </c>
      <c r="D956" s="1313">
        <v>0</v>
      </c>
      <c r="E956" s="1314"/>
      <c r="F956" s="1315"/>
      <c r="G956" s="1316">
        <f>+SUMIF(asientos!$C$13:$C$1276,SYS_4_3_Digitos!A956,asientos!$B$13:$B$1276)</f>
        <v>0</v>
      </c>
      <c r="H956" s="1317">
        <f>+SUMIF(asientos!$I$13:$I$1276,SYS_4_3_Digitos!A956,asientos!$J$13:$J$1276)</f>
        <v>0</v>
      </c>
      <c r="I956" s="1314">
        <f t="shared" si="94"/>
        <v>0</v>
      </c>
      <c r="J956" s="1315">
        <f t="shared" si="95"/>
        <v>0</v>
      </c>
      <c r="L956" s="1308">
        <f t="shared" si="96"/>
        <v>0</v>
      </c>
      <c r="M956" s="1296" t="str">
        <f t="shared" si="97"/>
        <v>0</v>
      </c>
      <c r="N956" s="1309">
        <f t="shared" si="98"/>
        <v>0</v>
      </c>
      <c r="O956" s="1296" t="str">
        <f t="shared" si="99"/>
        <v>0</v>
      </c>
    </row>
    <row r="957" spans="1:15" s="1296" customFormat="1" hidden="1">
      <c r="A957" s="1310"/>
      <c r="B957" s="1311"/>
      <c r="C957" s="1312">
        <v>0</v>
      </c>
      <c r="D957" s="1313">
        <v>0</v>
      </c>
      <c r="E957" s="1314"/>
      <c r="F957" s="1315"/>
      <c r="G957" s="1316">
        <f>+SUMIF(asientos!$C$13:$C$1276,SYS_4_3_Digitos!A957,asientos!$B$13:$B$1276)</f>
        <v>0</v>
      </c>
      <c r="H957" s="1317">
        <f>+SUMIF(asientos!$I$13:$I$1276,SYS_4_3_Digitos!A957,asientos!$J$13:$J$1276)</f>
        <v>0</v>
      </c>
      <c r="I957" s="1314">
        <f t="shared" si="94"/>
        <v>0</v>
      </c>
      <c r="J957" s="1315">
        <f t="shared" si="95"/>
        <v>0</v>
      </c>
      <c r="L957" s="1308">
        <f t="shared" si="96"/>
        <v>0</v>
      </c>
      <c r="M957" s="1296" t="str">
        <f t="shared" si="97"/>
        <v>0</v>
      </c>
      <c r="N957" s="1309">
        <f t="shared" si="98"/>
        <v>0</v>
      </c>
      <c r="O957" s="1296" t="str">
        <f t="shared" si="99"/>
        <v>0</v>
      </c>
    </row>
    <row r="958" spans="1:15" s="1296" customFormat="1" hidden="1">
      <c r="A958" s="1310"/>
      <c r="B958" s="1311"/>
      <c r="C958" s="1312">
        <v>0</v>
      </c>
      <c r="D958" s="1313">
        <v>0</v>
      </c>
      <c r="E958" s="1314"/>
      <c r="F958" s="1315"/>
      <c r="G958" s="1316">
        <f>+SUMIF(asientos!$C$13:$C$1276,SYS_4_3_Digitos!A958,asientos!$B$13:$B$1276)</f>
        <v>0</v>
      </c>
      <c r="H958" s="1317">
        <f>+SUMIF(asientos!$I$13:$I$1276,SYS_4_3_Digitos!A958,asientos!$J$13:$J$1276)</f>
        <v>0</v>
      </c>
      <c r="I958" s="1314">
        <f t="shared" si="94"/>
        <v>0</v>
      </c>
      <c r="J958" s="1315">
        <f t="shared" si="95"/>
        <v>0</v>
      </c>
      <c r="L958" s="1308">
        <f t="shared" si="96"/>
        <v>0</v>
      </c>
      <c r="M958" s="1296" t="str">
        <f t="shared" si="97"/>
        <v>0</v>
      </c>
      <c r="N958" s="1309">
        <f t="shared" si="98"/>
        <v>0</v>
      </c>
      <c r="O958" s="1296" t="str">
        <f t="shared" si="99"/>
        <v>0</v>
      </c>
    </row>
    <row r="959" spans="1:15" s="1296" customFormat="1" hidden="1">
      <c r="A959" s="1310"/>
      <c r="B959" s="1311"/>
      <c r="C959" s="1312">
        <v>0</v>
      </c>
      <c r="D959" s="1313">
        <v>0</v>
      </c>
      <c r="E959" s="1314"/>
      <c r="F959" s="1315"/>
      <c r="G959" s="1316">
        <f>+SUMIF(asientos!$C$13:$C$1276,SYS_4_3_Digitos!A959,asientos!$B$13:$B$1276)</f>
        <v>0</v>
      </c>
      <c r="H959" s="1317">
        <f>+SUMIF(asientos!$I$13:$I$1276,SYS_4_3_Digitos!A959,asientos!$J$13:$J$1276)</f>
        <v>0</v>
      </c>
      <c r="I959" s="1314">
        <f t="shared" si="94"/>
        <v>0</v>
      </c>
      <c r="J959" s="1315">
        <f t="shared" si="95"/>
        <v>0</v>
      </c>
      <c r="L959" s="1308">
        <f t="shared" si="96"/>
        <v>0</v>
      </c>
      <c r="M959" s="1296" t="str">
        <f t="shared" si="97"/>
        <v>0</v>
      </c>
      <c r="N959" s="1309">
        <f t="shared" si="98"/>
        <v>0</v>
      </c>
      <c r="O959" s="1296" t="str">
        <f t="shared" si="99"/>
        <v>0</v>
      </c>
    </row>
    <row r="960" spans="1:15" s="1296" customFormat="1" hidden="1">
      <c r="A960" s="1310"/>
      <c r="B960" s="1311"/>
      <c r="C960" s="1312">
        <v>0</v>
      </c>
      <c r="D960" s="1313">
        <v>0</v>
      </c>
      <c r="E960" s="1314"/>
      <c r="F960" s="1315"/>
      <c r="G960" s="1316">
        <f>+SUMIF(asientos!$C$13:$C$1276,SYS_4_3_Digitos!A960,asientos!$B$13:$B$1276)</f>
        <v>0</v>
      </c>
      <c r="H960" s="1317">
        <f>+SUMIF(asientos!$I$13:$I$1276,SYS_4_3_Digitos!A960,asientos!$J$13:$J$1276)</f>
        <v>0</v>
      </c>
      <c r="I960" s="1314">
        <f t="shared" si="94"/>
        <v>0</v>
      </c>
      <c r="J960" s="1315">
        <f t="shared" si="95"/>
        <v>0</v>
      </c>
      <c r="L960" s="1308">
        <f t="shared" si="96"/>
        <v>0</v>
      </c>
      <c r="M960" s="1296" t="str">
        <f t="shared" si="97"/>
        <v>0</v>
      </c>
      <c r="N960" s="1309">
        <f t="shared" si="98"/>
        <v>0</v>
      </c>
      <c r="O960" s="1296" t="str">
        <f t="shared" si="99"/>
        <v>0</v>
      </c>
    </row>
    <row r="961" spans="1:15" s="1296" customFormat="1" hidden="1">
      <c r="A961" s="1310"/>
      <c r="B961" s="1311"/>
      <c r="C961" s="1312">
        <v>0</v>
      </c>
      <c r="D961" s="1313">
        <v>0</v>
      </c>
      <c r="E961" s="1314"/>
      <c r="F961" s="1315"/>
      <c r="G961" s="1316">
        <f>+SUMIF(asientos!$C$13:$C$1276,SYS_4_3_Digitos!A961,asientos!$B$13:$B$1276)</f>
        <v>0</v>
      </c>
      <c r="H961" s="1317">
        <f>+SUMIF(asientos!$I$13:$I$1276,SYS_4_3_Digitos!A961,asientos!$J$13:$J$1276)</f>
        <v>0</v>
      </c>
      <c r="I961" s="1314">
        <f t="shared" si="94"/>
        <v>0</v>
      </c>
      <c r="J961" s="1315">
        <f t="shared" si="95"/>
        <v>0</v>
      </c>
      <c r="L961" s="1308">
        <f t="shared" si="96"/>
        <v>0</v>
      </c>
      <c r="M961" s="1296" t="str">
        <f t="shared" si="97"/>
        <v>0</v>
      </c>
      <c r="N961" s="1309">
        <f t="shared" si="98"/>
        <v>0</v>
      </c>
      <c r="O961" s="1296" t="str">
        <f t="shared" si="99"/>
        <v>0</v>
      </c>
    </row>
    <row r="962" spans="1:15" s="1296" customFormat="1" hidden="1">
      <c r="A962" s="1310"/>
      <c r="B962" s="1311"/>
      <c r="C962" s="1312">
        <v>0</v>
      </c>
      <c r="D962" s="1313">
        <v>0</v>
      </c>
      <c r="E962" s="1314"/>
      <c r="F962" s="1315"/>
      <c r="G962" s="1316">
        <f>+SUMIF(asientos!$C$13:$C$1276,SYS_4_3_Digitos!A962,asientos!$B$13:$B$1276)</f>
        <v>0</v>
      </c>
      <c r="H962" s="1317">
        <f>+SUMIF(asientos!$I$13:$I$1276,SYS_4_3_Digitos!A962,asientos!$J$13:$J$1276)</f>
        <v>0</v>
      </c>
      <c r="I962" s="1314">
        <f t="shared" si="94"/>
        <v>0</v>
      </c>
      <c r="J962" s="1315">
        <f t="shared" si="95"/>
        <v>0</v>
      </c>
      <c r="L962" s="1308">
        <f t="shared" si="96"/>
        <v>0</v>
      </c>
      <c r="M962" s="1296" t="str">
        <f t="shared" si="97"/>
        <v>0</v>
      </c>
      <c r="N962" s="1309">
        <f t="shared" si="98"/>
        <v>0</v>
      </c>
      <c r="O962" s="1296" t="str">
        <f t="shared" si="99"/>
        <v>0</v>
      </c>
    </row>
    <row r="963" spans="1:15" s="1296" customFormat="1" hidden="1">
      <c r="A963" s="1310"/>
      <c r="B963" s="1311"/>
      <c r="C963" s="1312">
        <v>0</v>
      </c>
      <c r="D963" s="1313">
        <v>0</v>
      </c>
      <c r="E963" s="1314"/>
      <c r="F963" s="1315"/>
      <c r="G963" s="1316">
        <f>+SUMIF(asientos!$C$13:$C$1276,SYS_4_3_Digitos!A963,asientos!$B$13:$B$1276)</f>
        <v>0</v>
      </c>
      <c r="H963" s="1317">
        <f>+SUMIF(asientos!$I$13:$I$1276,SYS_4_3_Digitos!A963,asientos!$J$13:$J$1276)</f>
        <v>0</v>
      </c>
      <c r="I963" s="1314">
        <f t="shared" si="94"/>
        <v>0</v>
      </c>
      <c r="J963" s="1315">
        <f t="shared" si="95"/>
        <v>0</v>
      </c>
      <c r="L963" s="1308">
        <f t="shared" si="96"/>
        <v>0</v>
      </c>
      <c r="M963" s="1296" t="str">
        <f t="shared" si="97"/>
        <v>0</v>
      </c>
      <c r="N963" s="1309">
        <f t="shared" si="98"/>
        <v>0</v>
      </c>
      <c r="O963" s="1296" t="str">
        <f t="shared" si="99"/>
        <v>0</v>
      </c>
    </row>
    <row r="964" spans="1:15" s="1296" customFormat="1" hidden="1">
      <c r="A964" s="1310"/>
      <c r="B964" s="1311"/>
      <c r="C964" s="1312">
        <v>0</v>
      </c>
      <c r="D964" s="1313">
        <v>0</v>
      </c>
      <c r="E964" s="1314"/>
      <c r="F964" s="1315"/>
      <c r="G964" s="1316">
        <f>+SUMIF(asientos!$C$13:$C$1276,SYS_4_3_Digitos!A964,asientos!$B$13:$B$1276)</f>
        <v>0</v>
      </c>
      <c r="H964" s="1317">
        <f>+SUMIF(asientos!$I$13:$I$1276,SYS_4_3_Digitos!A964,asientos!$J$13:$J$1276)</f>
        <v>0</v>
      </c>
      <c r="I964" s="1314">
        <f t="shared" si="94"/>
        <v>0</v>
      </c>
      <c r="J964" s="1315">
        <f t="shared" si="95"/>
        <v>0</v>
      </c>
      <c r="L964" s="1308">
        <f t="shared" si="96"/>
        <v>0</v>
      </c>
      <c r="M964" s="1296" t="str">
        <f t="shared" si="97"/>
        <v>0</v>
      </c>
      <c r="N964" s="1309">
        <f t="shared" si="98"/>
        <v>0</v>
      </c>
      <c r="O964" s="1296" t="str">
        <f t="shared" si="99"/>
        <v>0</v>
      </c>
    </row>
    <row r="965" spans="1:15" s="1296" customFormat="1" hidden="1">
      <c r="A965" s="1310"/>
      <c r="B965" s="1311"/>
      <c r="C965" s="1312">
        <v>0</v>
      </c>
      <c r="D965" s="1313">
        <v>0</v>
      </c>
      <c r="E965" s="1314"/>
      <c r="F965" s="1315"/>
      <c r="G965" s="1316">
        <f>+SUMIF(asientos!$C$13:$C$1276,SYS_4_3_Digitos!A965,asientos!$B$13:$B$1276)</f>
        <v>0</v>
      </c>
      <c r="H965" s="1317">
        <f>+SUMIF(asientos!$I$13:$I$1276,SYS_4_3_Digitos!A965,asientos!$J$13:$J$1276)</f>
        <v>0</v>
      </c>
      <c r="I965" s="1314">
        <f t="shared" si="94"/>
        <v>0</v>
      </c>
      <c r="J965" s="1315">
        <f t="shared" si="95"/>
        <v>0</v>
      </c>
      <c r="L965" s="1308">
        <f t="shared" si="96"/>
        <v>0</v>
      </c>
      <c r="M965" s="1296" t="str">
        <f t="shared" si="97"/>
        <v>0</v>
      </c>
      <c r="N965" s="1309">
        <f t="shared" si="98"/>
        <v>0</v>
      </c>
      <c r="O965" s="1296" t="str">
        <f t="shared" si="99"/>
        <v>0</v>
      </c>
    </row>
    <row r="966" spans="1:15" s="1296" customFormat="1" hidden="1">
      <c r="A966" s="1310"/>
      <c r="B966" s="1311"/>
      <c r="C966" s="1312">
        <v>0</v>
      </c>
      <c r="D966" s="1313">
        <v>0</v>
      </c>
      <c r="E966" s="1314"/>
      <c r="F966" s="1315"/>
      <c r="G966" s="1316">
        <f>+SUMIF(asientos!$C$13:$C$1276,SYS_4_3_Digitos!A966,asientos!$B$13:$B$1276)</f>
        <v>0</v>
      </c>
      <c r="H966" s="1317">
        <f>+SUMIF(asientos!$I$13:$I$1276,SYS_4_3_Digitos!A966,asientos!$J$13:$J$1276)</f>
        <v>0</v>
      </c>
      <c r="I966" s="1314">
        <f t="shared" si="94"/>
        <v>0</v>
      </c>
      <c r="J966" s="1315">
        <f t="shared" si="95"/>
        <v>0</v>
      </c>
      <c r="L966" s="1308">
        <f t="shared" si="96"/>
        <v>0</v>
      </c>
      <c r="M966" s="1296" t="str">
        <f t="shared" si="97"/>
        <v>0</v>
      </c>
      <c r="N966" s="1309">
        <f t="shared" si="98"/>
        <v>0</v>
      </c>
      <c r="O966" s="1296" t="str">
        <f t="shared" si="99"/>
        <v>0</v>
      </c>
    </row>
    <row r="967" spans="1:15" s="1296" customFormat="1" hidden="1">
      <c r="A967" s="1310"/>
      <c r="B967" s="1311"/>
      <c r="C967" s="1312">
        <v>0</v>
      </c>
      <c r="D967" s="1313">
        <v>0</v>
      </c>
      <c r="E967" s="1314"/>
      <c r="F967" s="1315"/>
      <c r="G967" s="1316">
        <f>+SUMIF(asientos!$C$13:$C$1276,SYS_4_3_Digitos!A967,asientos!$B$13:$B$1276)</f>
        <v>0</v>
      </c>
      <c r="H967" s="1317">
        <f>+SUMIF(asientos!$I$13:$I$1276,SYS_4_3_Digitos!A967,asientos!$J$13:$J$1276)</f>
        <v>0</v>
      </c>
      <c r="I967" s="1314">
        <f t="shared" si="94"/>
        <v>0</v>
      </c>
      <c r="J967" s="1315">
        <f t="shared" si="95"/>
        <v>0</v>
      </c>
      <c r="L967" s="1308">
        <f t="shared" si="96"/>
        <v>0</v>
      </c>
      <c r="M967" s="1296" t="str">
        <f t="shared" si="97"/>
        <v>0</v>
      </c>
      <c r="N967" s="1309">
        <f t="shared" si="98"/>
        <v>0</v>
      </c>
      <c r="O967" s="1296" t="str">
        <f t="shared" si="99"/>
        <v>0</v>
      </c>
    </row>
    <row r="968" spans="1:15" s="1296" customFormat="1" hidden="1">
      <c r="A968" s="1310"/>
      <c r="B968" s="1311"/>
      <c r="C968" s="1312">
        <v>0</v>
      </c>
      <c r="D968" s="1313">
        <v>0</v>
      </c>
      <c r="E968" s="1314"/>
      <c r="F968" s="1315"/>
      <c r="G968" s="1316">
        <f>+SUMIF(asientos!$C$13:$C$1276,SYS_4_3_Digitos!A968,asientos!$B$13:$B$1276)</f>
        <v>0</v>
      </c>
      <c r="H968" s="1317">
        <f>+SUMIF(asientos!$I$13:$I$1276,SYS_4_3_Digitos!A968,asientos!$J$13:$J$1276)</f>
        <v>0</v>
      </c>
      <c r="I968" s="1314">
        <f t="shared" si="94"/>
        <v>0</v>
      </c>
      <c r="J968" s="1315">
        <f t="shared" si="95"/>
        <v>0</v>
      </c>
      <c r="L968" s="1308">
        <f t="shared" si="96"/>
        <v>0</v>
      </c>
      <c r="M968" s="1296" t="str">
        <f t="shared" si="97"/>
        <v>0</v>
      </c>
      <c r="N968" s="1309">
        <f t="shared" si="98"/>
        <v>0</v>
      </c>
      <c r="O968" s="1296" t="str">
        <f t="shared" si="99"/>
        <v>0</v>
      </c>
    </row>
    <row r="969" spans="1:15" s="1296" customFormat="1" hidden="1">
      <c r="A969" s="1310"/>
      <c r="B969" s="1311"/>
      <c r="C969" s="1312">
        <v>0</v>
      </c>
      <c r="D969" s="1313">
        <v>0</v>
      </c>
      <c r="E969" s="1314"/>
      <c r="F969" s="1315"/>
      <c r="G969" s="1316">
        <f>+SUMIF(asientos!$C$13:$C$1276,SYS_4_3_Digitos!A969,asientos!$B$13:$B$1276)</f>
        <v>0</v>
      </c>
      <c r="H969" s="1317">
        <f>+SUMIF(asientos!$I$13:$I$1276,SYS_4_3_Digitos!A969,asientos!$J$13:$J$1276)</f>
        <v>0</v>
      </c>
      <c r="I969" s="1314">
        <f t="shared" si="94"/>
        <v>0</v>
      </c>
      <c r="J969" s="1315">
        <f t="shared" si="95"/>
        <v>0</v>
      </c>
      <c r="L969" s="1308">
        <f t="shared" si="96"/>
        <v>0</v>
      </c>
      <c r="M969" s="1296" t="str">
        <f t="shared" si="97"/>
        <v>0</v>
      </c>
      <c r="N969" s="1309">
        <f t="shared" si="98"/>
        <v>0</v>
      </c>
      <c r="O969" s="1296" t="str">
        <f t="shared" si="99"/>
        <v>0</v>
      </c>
    </row>
    <row r="970" spans="1:15" s="1296" customFormat="1" hidden="1">
      <c r="A970" s="1310"/>
      <c r="B970" s="1311"/>
      <c r="C970" s="1312">
        <v>0</v>
      </c>
      <c r="D970" s="1313">
        <v>0</v>
      </c>
      <c r="E970" s="1314"/>
      <c r="F970" s="1315"/>
      <c r="G970" s="1316">
        <f>+SUMIF(asientos!$C$13:$C$1276,SYS_4_3_Digitos!A970,asientos!$B$13:$B$1276)</f>
        <v>0</v>
      </c>
      <c r="H970" s="1317">
        <f>+SUMIF(asientos!$I$13:$I$1276,SYS_4_3_Digitos!A970,asientos!$J$13:$J$1276)</f>
        <v>0</v>
      </c>
      <c r="I970" s="1314">
        <f t="shared" si="94"/>
        <v>0</v>
      </c>
      <c r="J970" s="1315">
        <f t="shared" si="95"/>
        <v>0</v>
      </c>
      <c r="L970" s="1308">
        <f t="shared" si="96"/>
        <v>0</v>
      </c>
      <c r="M970" s="1296" t="str">
        <f t="shared" si="97"/>
        <v>0</v>
      </c>
      <c r="N970" s="1309">
        <f t="shared" si="98"/>
        <v>0</v>
      </c>
      <c r="O970" s="1296" t="str">
        <f t="shared" si="99"/>
        <v>0</v>
      </c>
    </row>
    <row r="971" spans="1:15" s="1296" customFormat="1" hidden="1">
      <c r="A971" s="1310"/>
      <c r="B971" s="1311"/>
      <c r="C971" s="1312">
        <v>0</v>
      </c>
      <c r="D971" s="1313">
        <v>0</v>
      </c>
      <c r="E971" s="1314"/>
      <c r="F971" s="1315"/>
      <c r="G971" s="1316">
        <f>+SUMIF(asientos!$C$13:$C$1276,SYS_4_3_Digitos!A971,asientos!$B$13:$B$1276)</f>
        <v>0</v>
      </c>
      <c r="H971" s="1317">
        <f>+SUMIF(asientos!$I$13:$I$1276,SYS_4_3_Digitos!A971,asientos!$J$13:$J$1276)</f>
        <v>0</v>
      </c>
      <c r="I971" s="1314">
        <f t="shared" si="94"/>
        <v>0</v>
      </c>
      <c r="J971" s="1315">
        <f t="shared" si="95"/>
        <v>0</v>
      </c>
      <c r="L971" s="1308">
        <f t="shared" si="96"/>
        <v>0</v>
      </c>
      <c r="M971" s="1296" t="str">
        <f t="shared" si="97"/>
        <v>0</v>
      </c>
      <c r="N971" s="1309">
        <f t="shared" si="98"/>
        <v>0</v>
      </c>
      <c r="O971" s="1296" t="str">
        <f t="shared" si="99"/>
        <v>0</v>
      </c>
    </row>
    <row r="972" spans="1:15" s="1296" customFormat="1" hidden="1">
      <c r="A972" s="1310"/>
      <c r="B972" s="1311"/>
      <c r="C972" s="1312">
        <v>0</v>
      </c>
      <c r="D972" s="1313">
        <v>0</v>
      </c>
      <c r="E972" s="1314"/>
      <c r="F972" s="1315"/>
      <c r="G972" s="1316">
        <f>+SUMIF(asientos!$C$13:$C$1276,SYS_4_3_Digitos!A972,asientos!$B$13:$B$1276)</f>
        <v>0</v>
      </c>
      <c r="H972" s="1317">
        <f>+SUMIF(asientos!$I$13:$I$1276,SYS_4_3_Digitos!A972,asientos!$J$13:$J$1276)</f>
        <v>0</v>
      </c>
      <c r="I972" s="1314">
        <f t="shared" si="94"/>
        <v>0</v>
      </c>
      <c r="J972" s="1315">
        <f t="shared" si="95"/>
        <v>0</v>
      </c>
      <c r="L972" s="1308">
        <f t="shared" si="96"/>
        <v>0</v>
      </c>
      <c r="M972" s="1296" t="str">
        <f t="shared" si="97"/>
        <v>0</v>
      </c>
      <c r="N972" s="1309">
        <f t="shared" si="98"/>
        <v>0</v>
      </c>
      <c r="O972" s="1296" t="str">
        <f t="shared" si="99"/>
        <v>0</v>
      </c>
    </row>
    <row r="973" spans="1:15" s="1296" customFormat="1" hidden="1">
      <c r="A973" s="1310"/>
      <c r="B973" s="1311"/>
      <c r="C973" s="1312">
        <v>0</v>
      </c>
      <c r="D973" s="1313">
        <v>0</v>
      </c>
      <c r="E973" s="1314"/>
      <c r="F973" s="1315"/>
      <c r="G973" s="1316">
        <f>+SUMIF(asientos!$C$13:$C$1276,SYS_4_3_Digitos!A973,asientos!$B$13:$B$1276)</f>
        <v>0</v>
      </c>
      <c r="H973" s="1317">
        <f>+SUMIF(asientos!$I$13:$I$1276,SYS_4_3_Digitos!A973,asientos!$J$13:$J$1276)</f>
        <v>0</v>
      </c>
      <c r="I973" s="1314">
        <f t="shared" si="94"/>
        <v>0</v>
      </c>
      <c r="J973" s="1315">
        <f t="shared" si="95"/>
        <v>0</v>
      </c>
      <c r="L973" s="1308">
        <f t="shared" si="96"/>
        <v>0</v>
      </c>
      <c r="M973" s="1296" t="str">
        <f t="shared" si="97"/>
        <v>0</v>
      </c>
      <c r="N973" s="1309">
        <f t="shared" si="98"/>
        <v>0</v>
      </c>
      <c r="O973" s="1296" t="str">
        <f t="shared" si="99"/>
        <v>0</v>
      </c>
    </row>
    <row r="974" spans="1:15" s="1296" customFormat="1" hidden="1">
      <c r="A974" s="1310"/>
      <c r="B974" s="1311"/>
      <c r="C974" s="1312">
        <v>0</v>
      </c>
      <c r="D974" s="1313">
        <v>0</v>
      </c>
      <c r="E974" s="1314"/>
      <c r="F974" s="1315"/>
      <c r="G974" s="1316">
        <f>+SUMIF(asientos!$C$13:$C$1276,SYS_4_3_Digitos!A974,asientos!$B$13:$B$1276)</f>
        <v>0</v>
      </c>
      <c r="H974" s="1317">
        <f>+SUMIF(asientos!$I$13:$I$1276,SYS_4_3_Digitos!A974,asientos!$J$13:$J$1276)</f>
        <v>0</v>
      </c>
      <c r="I974" s="1314">
        <f t="shared" si="94"/>
        <v>0</v>
      </c>
      <c r="J974" s="1315">
        <f t="shared" si="95"/>
        <v>0</v>
      </c>
      <c r="L974" s="1308">
        <f t="shared" si="96"/>
        <v>0</v>
      </c>
      <c r="M974" s="1296" t="str">
        <f t="shared" si="97"/>
        <v>0</v>
      </c>
      <c r="N974" s="1309">
        <f t="shared" si="98"/>
        <v>0</v>
      </c>
      <c r="O974" s="1296" t="str">
        <f t="shared" si="99"/>
        <v>0</v>
      </c>
    </row>
    <row r="975" spans="1:15" s="1296" customFormat="1" hidden="1">
      <c r="A975" s="1310"/>
      <c r="B975" s="1311"/>
      <c r="C975" s="1312">
        <v>0</v>
      </c>
      <c r="D975" s="1313">
        <v>0</v>
      </c>
      <c r="E975" s="1314"/>
      <c r="F975" s="1315"/>
      <c r="G975" s="1316">
        <f>+SUMIF(asientos!$C$13:$C$1276,SYS_4_3_Digitos!A975,asientos!$B$13:$B$1276)</f>
        <v>0</v>
      </c>
      <c r="H975" s="1317">
        <f>+SUMIF(asientos!$I$13:$I$1276,SYS_4_3_Digitos!A975,asientos!$J$13:$J$1276)</f>
        <v>0</v>
      </c>
      <c r="I975" s="1314">
        <f t="shared" si="94"/>
        <v>0</v>
      </c>
      <c r="J975" s="1315">
        <f t="shared" si="95"/>
        <v>0</v>
      </c>
      <c r="L975" s="1308">
        <f t="shared" si="96"/>
        <v>0</v>
      </c>
      <c r="M975" s="1296" t="str">
        <f t="shared" si="97"/>
        <v>0</v>
      </c>
      <c r="N975" s="1309">
        <f t="shared" si="98"/>
        <v>0</v>
      </c>
      <c r="O975" s="1296" t="str">
        <f t="shared" si="99"/>
        <v>0</v>
      </c>
    </row>
    <row r="976" spans="1:15" s="1296" customFormat="1" hidden="1">
      <c r="A976" s="1310"/>
      <c r="B976" s="1311"/>
      <c r="C976" s="1312">
        <v>0</v>
      </c>
      <c r="D976" s="1313">
        <v>0</v>
      </c>
      <c r="E976" s="1314"/>
      <c r="F976" s="1315"/>
      <c r="G976" s="1316">
        <f>+SUMIF(asientos!$C$13:$C$1276,SYS_4_3_Digitos!A976,asientos!$B$13:$B$1276)</f>
        <v>0</v>
      </c>
      <c r="H976" s="1317">
        <f>+SUMIF(asientos!$I$13:$I$1276,SYS_4_3_Digitos!A976,asientos!$J$13:$J$1276)</f>
        <v>0</v>
      </c>
      <c r="I976" s="1314">
        <f t="shared" si="94"/>
        <v>0</v>
      </c>
      <c r="J976" s="1315">
        <f t="shared" si="95"/>
        <v>0</v>
      </c>
      <c r="L976" s="1308">
        <f t="shared" si="96"/>
        <v>0</v>
      </c>
      <c r="M976" s="1296" t="str">
        <f t="shared" si="97"/>
        <v>0</v>
      </c>
      <c r="N976" s="1309">
        <f t="shared" si="98"/>
        <v>0</v>
      </c>
      <c r="O976" s="1296" t="str">
        <f t="shared" si="99"/>
        <v>0</v>
      </c>
    </row>
    <row r="977" spans="1:15" s="1296" customFormat="1" hidden="1">
      <c r="A977" s="1310"/>
      <c r="B977" s="1311"/>
      <c r="C977" s="1312">
        <v>0</v>
      </c>
      <c r="D977" s="1313">
        <v>0</v>
      </c>
      <c r="E977" s="1314"/>
      <c r="F977" s="1315"/>
      <c r="G977" s="1316">
        <f>+SUMIF(asientos!$C$13:$C$1276,SYS_4_3_Digitos!A977,asientos!$B$13:$B$1276)</f>
        <v>0</v>
      </c>
      <c r="H977" s="1317">
        <f>+SUMIF(asientos!$I$13:$I$1276,SYS_4_3_Digitos!A977,asientos!$J$13:$J$1276)</f>
        <v>0</v>
      </c>
      <c r="I977" s="1314">
        <f t="shared" si="94"/>
        <v>0</v>
      </c>
      <c r="J977" s="1315">
        <f t="shared" si="95"/>
        <v>0</v>
      </c>
      <c r="L977" s="1308">
        <f t="shared" si="96"/>
        <v>0</v>
      </c>
      <c r="M977" s="1296" t="str">
        <f t="shared" si="97"/>
        <v>0</v>
      </c>
      <c r="N977" s="1309">
        <f t="shared" si="98"/>
        <v>0</v>
      </c>
      <c r="O977" s="1296" t="str">
        <f t="shared" si="99"/>
        <v>0</v>
      </c>
    </row>
    <row r="978" spans="1:15" s="1296" customFormat="1" hidden="1">
      <c r="A978" s="1310"/>
      <c r="B978" s="1311"/>
      <c r="C978" s="1312">
        <v>0</v>
      </c>
      <c r="D978" s="1313">
        <v>0</v>
      </c>
      <c r="E978" s="1314"/>
      <c r="F978" s="1315"/>
      <c r="G978" s="1316">
        <f>+SUMIF(asientos!$C$13:$C$1276,SYS_4_3_Digitos!A978,asientos!$B$13:$B$1276)</f>
        <v>0</v>
      </c>
      <c r="H978" s="1317">
        <f>+SUMIF(asientos!$I$13:$I$1276,SYS_4_3_Digitos!A978,asientos!$J$13:$J$1276)</f>
        <v>0</v>
      </c>
      <c r="I978" s="1314">
        <f t="shared" si="94"/>
        <v>0</v>
      </c>
      <c r="J978" s="1315">
        <f t="shared" si="95"/>
        <v>0</v>
      </c>
      <c r="L978" s="1308">
        <f t="shared" si="96"/>
        <v>0</v>
      </c>
      <c r="M978" s="1296" t="str">
        <f t="shared" si="97"/>
        <v>0</v>
      </c>
      <c r="N978" s="1309">
        <f t="shared" si="98"/>
        <v>0</v>
      </c>
      <c r="O978" s="1296" t="str">
        <f t="shared" si="99"/>
        <v>0</v>
      </c>
    </row>
    <row r="979" spans="1:15" s="1296" customFormat="1" hidden="1">
      <c r="A979" s="1310"/>
      <c r="B979" s="1311"/>
      <c r="C979" s="1312">
        <v>0</v>
      </c>
      <c r="D979" s="1313">
        <v>0</v>
      </c>
      <c r="E979" s="1314"/>
      <c r="F979" s="1315"/>
      <c r="G979" s="1316">
        <f>+SUMIF(asientos!$C$13:$C$1276,SYS_4_3_Digitos!A979,asientos!$B$13:$B$1276)</f>
        <v>0</v>
      </c>
      <c r="H979" s="1317">
        <f>+SUMIF(asientos!$I$13:$I$1276,SYS_4_3_Digitos!A979,asientos!$J$13:$J$1276)</f>
        <v>0</v>
      </c>
      <c r="I979" s="1314">
        <f t="shared" si="94"/>
        <v>0</v>
      </c>
      <c r="J979" s="1315">
        <f t="shared" si="95"/>
        <v>0</v>
      </c>
      <c r="L979" s="1308">
        <f t="shared" si="96"/>
        <v>0</v>
      </c>
      <c r="M979" s="1296" t="str">
        <f t="shared" si="97"/>
        <v>0</v>
      </c>
      <c r="N979" s="1309">
        <f t="shared" si="98"/>
        <v>0</v>
      </c>
      <c r="O979" s="1296" t="str">
        <f t="shared" si="99"/>
        <v>0</v>
      </c>
    </row>
    <row r="980" spans="1:15" s="1296" customFormat="1" hidden="1">
      <c r="A980" s="1310"/>
      <c r="B980" s="1311"/>
      <c r="C980" s="1312">
        <v>0</v>
      </c>
      <c r="D980" s="1313">
        <v>0</v>
      </c>
      <c r="E980" s="1314"/>
      <c r="F980" s="1315"/>
      <c r="G980" s="1316">
        <f>+SUMIF(asientos!$C$13:$C$1276,SYS_4_3_Digitos!A980,asientos!$B$13:$B$1276)</f>
        <v>0</v>
      </c>
      <c r="H980" s="1317">
        <f>+SUMIF(asientos!$I$13:$I$1276,SYS_4_3_Digitos!A980,asientos!$J$13:$J$1276)</f>
        <v>0</v>
      </c>
      <c r="I980" s="1314">
        <f t="shared" si="94"/>
        <v>0</v>
      </c>
      <c r="J980" s="1315">
        <f t="shared" si="95"/>
        <v>0</v>
      </c>
      <c r="L980" s="1308">
        <f t="shared" si="96"/>
        <v>0</v>
      </c>
      <c r="M980" s="1296" t="str">
        <f t="shared" si="97"/>
        <v>0</v>
      </c>
      <c r="N980" s="1309">
        <f t="shared" si="98"/>
        <v>0</v>
      </c>
      <c r="O980" s="1296" t="str">
        <f t="shared" si="99"/>
        <v>0</v>
      </c>
    </row>
    <row r="981" spans="1:15" s="1296" customFormat="1" hidden="1">
      <c r="A981" s="1310"/>
      <c r="B981" s="1311"/>
      <c r="C981" s="1312">
        <v>0</v>
      </c>
      <c r="D981" s="1313">
        <v>0</v>
      </c>
      <c r="E981" s="1314"/>
      <c r="F981" s="1315"/>
      <c r="G981" s="1316">
        <f>+SUMIF(asientos!$C$13:$C$1276,SYS_4_3_Digitos!A981,asientos!$B$13:$B$1276)</f>
        <v>0</v>
      </c>
      <c r="H981" s="1317">
        <f>+SUMIF(asientos!$I$13:$I$1276,SYS_4_3_Digitos!A981,asientos!$J$13:$J$1276)</f>
        <v>0</v>
      </c>
      <c r="I981" s="1314">
        <f t="shared" si="94"/>
        <v>0</v>
      </c>
      <c r="J981" s="1315">
        <f t="shared" si="95"/>
        <v>0</v>
      </c>
      <c r="L981" s="1308">
        <f t="shared" si="96"/>
        <v>0</v>
      </c>
      <c r="M981" s="1296" t="str">
        <f t="shared" si="97"/>
        <v>0</v>
      </c>
      <c r="N981" s="1309">
        <f t="shared" si="98"/>
        <v>0</v>
      </c>
      <c r="O981" s="1296" t="str">
        <f t="shared" si="99"/>
        <v>0</v>
      </c>
    </row>
    <row r="982" spans="1:15" s="1296" customFormat="1" hidden="1">
      <c r="A982" s="1310"/>
      <c r="B982" s="1311"/>
      <c r="C982" s="1312">
        <v>0</v>
      </c>
      <c r="D982" s="1313">
        <v>0</v>
      </c>
      <c r="E982" s="1314"/>
      <c r="F982" s="1315"/>
      <c r="G982" s="1316">
        <f>+SUMIF(asientos!$C$13:$C$1276,SYS_4_3_Digitos!A982,asientos!$B$13:$B$1276)</f>
        <v>0</v>
      </c>
      <c r="H982" s="1317">
        <f>+SUMIF(asientos!$I$13:$I$1276,SYS_4_3_Digitos!A982,asientos!$J$13:$J$1276)</f>
        <v>0</v>
      </c>
      <c r="I982" s="1314">
        <f t="shared" si="94"/>
        <v>0</v>
      </c>
      <c r="J982" s="1315">
        <f t="shared" si="95"/>
        <v>0</v>
      </c>
      <c r="L982" s="1308">
        <f t="shared" si="96"/>
        <v>0</v>
      </c>
      <c r="M982" s="1296" t="str">
        <f t="shared" si="97"/>
        <v>0</v>
      </c>
      <c r="N982" s="1309">
        <f t="shared" si="98"/>
        <v>0</v>
      </c>
      <c r="O982" s="1296" t="str">
        <f t="shared" si="99"/>
        <v>0</v>
      </c>
    </row>
    <row r="983" spans="1:15" s="1296" customFormat="1" hidden="1">
      <c r="A983" s="1310"/>
      <c r="B983" s="1311"/>
      <c r="C983" s="1312">
        <v>0</v>
      </c>
      <c r="D983" s="1313">
        <v>0</v>
      </c>
      <c r="E983" s="1314"/>
      <c r="F983" s="1315"/>
      <c r="G983" s="1316">
        <f>+SUMIF(asientos!$C$13:$C$1276,SYS_4_3_Digitos!A983,asientos!$B$13:$B$1276)</f>
        <v>0</v>
      </c>
      <c r="H983" s="1317">
        <f>+SUMIF(asientos!$I$13:$I$1276,SYS_4_3_Digitos!A983,asientos!$J$13:$J$1276)</f>
        <v>0</v>
      </c>
      <c r="I983" s="1314">
        <f t="shared" si="94"/>
        <v>0</v>
      </c>
      <c r="J983" s="1315">
        <f t="shared" si="95"/>
        <v>0</v>
      </c>
      <c r="L983" s="1308">
        <f t="shared" si="96"/>
        <v>0</v>
      </c>
      <c r="M983" s="1296" t="str">
        <f t="shared" si="97"/>
        <v>0</v>
      </c>
      <c r="N983" s="1309">
        <f t="shared" si="98"/>
        <v>0</v>
      </c>
      <c r="O983" s="1296" t="str">
        <f t="shared" si="99"/>
        <v>0</v>
      </c>
    </row>
    <row r="984" spans="1:15" s="1296" customFormat="1" hidden="1">
      <c r="A984" s="1310"/>
      <c r="B984" s="1311"/>
      <c r="C984" s="1312">
        <v>0</v>
      </c>
      <c r="D984" s="1313">
        <v>0</v>
      </c>
      <c r="E984" s="1314"/>
      <c r="F984" s="1315"/>
      <c r="G984" s="1316">
        <f>+SUMIF(asientos!$C$13:$C$1276,SYS_4_3_Digitos!A984,asientos!$B$13:$B$1276)</f>
        <v>0</v>
      </c>
      <c r="H984" s="1317">
        <f>+SUMIF(asientos!$I$13:$I$1276,SYS_4_3_Digitos!A984,asientos!$J$13:$J$1276)</f>
        <v>0</v>
      </c>
      <c r="I984" s="1314">
        <f t="shared" si="94"/>
        <v>0</v>
      </c>
      <c r="J984" s="1315">
        <f t="shared" si="95"/>
        <v>0</v>
      </c>
      <c r="L984" s="1308">
        <f t="shared" si="96"/>
        <v>0</v>
      </c>
      <c r="M984" s="1296" t="str">
        <f t="shared" si="97"/>
        <v>0</v>
      </c>
      <c r="N984" s="1309">
        <f t="shared" si="98"/>
        <v>0</v>
      </c>
      <c r="O984" s="1296" t="str">
        <f t="shared" si="99"/>
        <v>0</v>
      </c>
    </row>
    <row r="985" spans="1:15" s="1296" customFormat="1" hidden="1">
      <c r="A985" s="1310"/>
      <c r="B985" s="1311"/>
      <c r="C985" s="1312">
        <v>0</v>
      </c>
      <c r="D985" s="1313">
        <v>0</v>
      </c>
      <c r="E985" s="1314"/>
      <c r="F985" s="1315"/>
      <c r="G985" s="1316">
        <f>+SUMIF(asientos!$C$13:$C$1276,SYS_4_3_Digitos!A985,asientos!$B$13:$B$1276)</f>
        <v>0</v>
      </c>
      <c r="H985" s="1317">
        <f>+SUMIF(asientos!$I$13:$I$1276,SYS_4_3_Digitos!A985,asientos!$J$13:$J$1276)</f>
        <v>0</v>
      </c>
      <c r="I985" s="1314">
        <f t="shared" si="94"/>
        <v>0</v>
      </c>
      <c r="J985" s="1315">
        <f t="shared" si="95"/>
        <v>0</v>
      </c>
      <c r="L985" s="1308">
        <f t="shared" si="96"/>
        <v>0</v>
      </c>
      <c r="M985" s="1296" t="str">
        <f t="shared" si="97"/>
        <v>0</v>
      </c>
      <c r="N985" s="1309">
        <f t="shared" si="98"/>
        <v>0</v>
      </c>
      <c r="O985" s="1296" t="str">
        <f t="shared" si="99"/>
        <v>0</v>
      </c>
    </row>
    <row r="986" spans="1:15" s="1296" customFormat="1" hidden="1">
      <c r="A986" s="1310"/>
      <c r="B986" s="1311"/>
      <c r="C986" s="1312">
        <v>0</v>
      </c>
      <c r="D986" s="1313">
        <v>0</v>
      </c>
      <c r="E986" s="1314"/>
      <c r="F986" s="1315"/>
      <c r="G986" s="1316">
        <f>+SUMIF(asientos!$C$13:$C$1276,SYS_4_3_Digitos!A986,asientos!$B$13:$B$1276)</f>
        <v>0</v>
      </c>
      <c r="H986" s="1317">
        <f>+SUMIF(asientos!$I$13:$I$1276,SYS_4_3_Digitos!A986,asientos!$J$13:$J$1276)</f>
        <v>0</v>
      </c>
      <c r="I986" s="1314">
        <f t="shared" si="94"/>
        <v>0</v>
      </c>
      <c r="J986" s="1315">
        <f t="shared" si="95"/>
        <v>0</v>
      </c>
      <c r="L986" s="1308">
        <f t="shared" si="96"/>
        <v>0</v>
      </c>
      <c r="M986" s="1296" t="str">
        <f t="shared" si="97"/>
        <v>0</v>
      </c>
      <c r="N986" s="1309">
        <f t="shared" si="98"/>
        <v>0</v>
      </c>
      <c r="O986" s="1296" t="str">
        <f t="shared" si="99"/>
        <v>0</v>
      </c>
    </row>
    <row r="987" spans="1:15" s="1296" customFormat="1" hidden="1">
      <c r="A987" s="1310"/>
      <c r="B987" s="1311"/>
      <c r="C987" s="1312">
        <v>0</v>
      </c>
      <c r="D987" s="1313">
        <v>0</v>
      </c>
      <c r="E987" s="1314"/>
      <c r="F987" s="1315"/>
      <c r="G987" s="1316">
        <f>+SUMIF(asientos!$C$13:$C$1276,SYS_4_3_Digitos!A987,asientos!$B$13:$B$1276)</f>
        <v>0</v>
      </c>
      <c r="H987" s="1317">
        <f>+SUMIF(asientos!$I$13:$I$1276,SYS_4_3_Digitos!A987,asientos!$J$13:$J$1276)</f>
        <v>0</v>
      </c>
      <c r="I987" s="1314">
        <f t="shared" si="94"/>
        <v>0</v>
      </c>
      <c r="J987" s="1315">
        <f t="shared" si="95"/>
        <v>0</v>
      </c>
      <c r="L987" s="1308">
        <f t="shared" si="96"/>
        <v>0</v>
      </c>
      <c r="M987" s="1296" t="str">
        <f t="shared" si="97"/>
        <v>0</v>
      </c>
      <c r="N987" s="1309">
        <f t="shared" si="98"/>
        <v>0</v>
      </c>
      <c r="O987" s="1296" t="str">
        <f t="shared" si="99"/>
        <v>0</v>
      </c>
    </row>
    <row r="988" spans="1:15" s="1296" customFormat="1" hidden="1">
      <c r="A988" s="1310"/>
      <c r="B988" s="1311"/>
      <c r="C988" s="1312">
        <v>0</v>
      </c>
      <c r="D988" s="1313">
        <v>0</v>
      </c>
      <c r="E988" s="1314"/>
      <c r="F988" s="1315"/>
      <c r="G988" s="1316">
        <f>+SUMIF(asientos!$C$13:$C$1276,SYS_4_3_Digitos!A988,asientos!$B$13:$B$1276)</f>
        <v>0</v>
      </c>
      <c r="H988" s="1317">
        <f>+SUMIF(asientos!$I$13:$I$1276,SYS_4_3_Digitos!A988,asientos!$J$13:$J$1276)</f>
        <v>0</v>
      </c>
      <c r="I988" s="1314">
        <f t="shared" si="94"/>
        <v>0</v>
      </c>
      <c r="J988" s="1315">
        <f t="shared" si="95"/>
        <v>0</v>
      </c>
      <c r="L988" s="1308">
        <f t="shared" si="96"/>
        <v>0</v>
      </c>
      <c r="M988" s="1296" t="str">
        <f t="shared" si="97"/>
        <v>0</v>
      </c>
      <c r="N988" s="1309">
        <f t="shared" si="98"/>
        <v>0</v>
      </c>
      <c r="O988" s="1296" t="str">
        <f t="shared" si="99"/>
        <v>0</v>
      </c>
    </row>
    <row r="989" spans="1:15" s="1296" customFormat="1" hidden="1">
      <c r="A989" s="1310"/>
      <c r="B989" s="1311"/>
      <c r="C989" s="1312">
        <v>0</v>
      </c>
      <c r="D989" s="1313">
        <v>0</v>
      </c>
      <c r="E989" s="1314"/>
      <c r="F989" s="1315"/>
      <c r="G989" s="1316">
        <f>+SUMIF(asientos!$C$13:$C$1276,SYS_4_3_Digitos!A989,asientos!$B$13:$B$1276)</f>
        <v>0</v>
      </c>
      <c r="H989" s="1317">
        <f>+SUMIF(asientos!$I$13:$I$1276,SYS_4_3_Digitos!A989,asientos!$J$13:$J$1276)</f>
        <v>0</v>
      </c>
      <c r="I989" s="1314">
        <f t="shared" si="94"/>
        <v>0</v>
      </c>
      <c r="J989" s="1315">
        <f t="shared" si="95"/>
        <v>0</v>
      </c>
      <c r="L989" s="1308">
        <f t="shared" si="96"/>
        <v>0</v>
      </c>
      <c r="M989" s="1296" t="str">
        <f t="shared" si="97"/>
        <v>0</v>
      </c>
      <c r="N989" s="1309">
        <f t="shared" si="98"/>
        <v>0</v>
      </c>
      <c r="O989" s="1296" t="str">
        <f t="shared" si="99"/>
        <v>0</v>
      </c>
    </row>
    <row r="990" spans="1:15" s="1296" customFormat="1" hidden="1">
      <c r="A990" s="1310"/>
      <c r="B990" s="1311"/>
      <c r="C990" s="1312">
        <v>0</v>
      </c>
      <c r="D990" s="1313">
        <v>0</v>
      </c>
      <c r="E990" s="1314"/>
      <c r="F990" s="1315"/>
      <c r="G990" s="1316">
        <f>+SUMIF(asientos!$C$13:$C$1276,SYS_4_3_Digitos!A990,asientos!$B$13:$B$1276)</f>
        <v>0</v>
      </c>
      <c r="H990" s="1317">
        <f>+SUMIF(asientos!$I$13:$I$1276,SYS_4_3_Digitos!A990,asientos!$J$13:$J$1276)</f>
        <v>0</v>
      </c>
      <c r="I990" s="1314">
        <f t="shared" si="94"/>
        <v>0</v>
      </c>
      <c r="J990" s="1315">
        <f t="shared" si="95"/>
        <v>0</v>
      </c>
      <c r="L990" s="1308">
        <f t="shared" si="96"/>
        <v>0</v>
      </c>
      <c r="M990" s="1296" t="str">
        <f t="shared" si="97"/>
        <v>0</v>
      </c>
      <c r="N990" s="1309">
        <f t="shared" si="98"/>
        <v>0</v>
      </c>
      <c r="O990" s="1296" t="str">
        <f t="shared" si="99"/>
        <v>0</v>
      </c>
    </row>
    <row r="991" spans="1:15" s="1296" customFormat="1" hidden="1">
      <c r="A991" s="1310"/>
      <c r="B991" s="1311"/>
      <c r="C991" s="1312">
        <v>0</v>
      </c>
      <c r="D991" s="1313">
        <v>0</v>
      </c>
      <c r="E991" s="1314"/>
      <c r="F991" s="1315"/>
      <c r="G991" s="1316">
        <f>+SUMIF(asientos!$C$13:$C$1276,SYS_4_3_Digitos!A991,asientos!$B$13:$B$1276)</f>
        <v>0</v>
      </c>
      <c r="H991" s="1317">
        <f>+SUMIF(asientos!$I$13:$I$1276,SYS_4_3_Digitos!A991,asientos!$J$13:$J$1276)</f>
        <v>0</v>
      </c>
      <c r="I991" s="1314">
        <f t="shared" si="94"/>
        <v>0</v>
      </c>
      <c r="J991" s="1315">
        <f t="shared" si="95"/>
        <v>0</v>
      </c>
      <c r="L991" s="1308">
        <f t="shared" si="96"/>
        <v>0</v>
      </c>
      <c r="M991" s="1296" t="str">
        <f t="shared" si="97"/>
        <v>0</v>
      </c>
      <c r="N991" s="1309">
        <f t="shared" si="98"/>
        <v>0</v>
      </c>
      <c r="O991" s="1296" t="str">
        <f t="shared" si="99"/>
        <v>0</v>
      </c>
    </row>
    <row r="992" spans="1:15" s="1296" customFormat="1" hidden="1">
      <c r="A992" s="1310"/>
      <c r="B992" s="1311"/>
      <c r="C992" s="1312">
        <v>0</v>
      </c>
      <c r="D992" s="1313">
        <v>0</v>
      </c>
      <c r="E992" s="1314"/>
      <c r="F992" s="1315"/>
      <c r="G992" s="1316">
        <f>+SUMIF(asientos!$C$13:$C$1276,SYS_4_3_Digitos!A992,asientos!$B$13:$B$1276)</f>
        <v>0</v>
      </c>
      <c r="H992" s="1317">
        <f>+SUMIF(asientos!$I$13:$I$1276,SYS_4_3_Digitos!A992,asientos!$J$13:$J$1276)</f>
        <v>0</v>
      </c>
      <c r="I992" s="1314">
        <f t="shared" si="94"/>
        <v>0</v>
      </c>
      <c r="J992" s="1315">
        <f t="shared" si="95"/>
        <v>0</v>
      </c>
      <c r="L992" s="1308">
        <f t="shared" si="96"/>
        <v>0</v>
      </c>
      <c r="M992" s="1296" t="str">
        <f t="shared" si="97"/>
        <v>0</v>
      </c>
      <c r="N992" s="1309">
        <f t="shared" si="98"/>
        <v>0</v>
      </c>
      <c r="O992" s="1296" t="str">
        <f t="shared" si="99"/>
        <v>0</v>
      </c>
    </row>
    <row r="993" spans="1:15" s="1296" customFormat="1" hidden="1">
      <c r="A993" s="1310"/>
      <c r="B993" s="1311"/>
      <c r="C993" s="1312">
        <v>0</v>
      </c>
      <c r="D993" s="1313">
        <v>0</v>
      </c>
      <c r="E993" s="1314"/>
      <c r="F993" s="1315"/>
      <c r="G993" s="1316">
        <f>+SUMIF(asientos!$C$13:$C$1276,SYS_4_3_Digitos!A993,asientos!$B$13:$B$1276)</f>
        <v>0</v>
      </c>
      <c r="H993" s="1317">
        <f>+SUMIF(asientos!$I$13:$I$1276,SYS_4_3_Digitos!A993,asientos!$J$13:$J$1276)</f>
        <v>0</v>
      </c>
      <c r="I993" s="1314">
        <f t="shared" si="94"/>
        <v>0</v>
      </c>
      <c r="J993" s="1315">
        <f t="shared" si="95"/>
        <v>0</v>
      </c>
      <c r="L993" s="1308">
        <f t="shared" si="96"/>
        <v>0</v>
      </c>
      <c r="M993" s="1296" t="str">
        <f t="shared" si="97"/>
        <v>0</v>
      </c>
      <c r="N993" s="1309">
        <f t="shared" si="98"/>
        <v>0</v>
      </c>
      <c r="O993" s="1296" t="str">
        <f t="shared" si="99"/>
        <v>0</v>
      </c>
    </row>
    <row r="994" spans="1:15" s="1296" customFormat="1" hidden="1">
      <c r="A994" s="1310"/>
      <c r="B994" s="1311"/>
      <c r="C994" s="1312">
        <v>0</v>
      </c>
      <c r="D994" s="1313">
        <v>0</v>
      </c>
      <c r="E994" s="1314"/>
      <c r="F994" s="1315"/>
      <c r="G994" s="1316">
        <f>+SUMIF(asientos!$C$13:$C$1276,SYS_4_3_Digitos!A994,asientos!$B$13:$B$1276)</f>
        <v>0</v>
      </c>
      <c r="H994" s="1317">
        <f>+SUMIF(asientos!$I$13:$I$1276,SYS_4_3_Digitos!A994,asientos!$J$13:$J$1276)</f>
        <v>0</v>
      </c>
      <c r="I994" s="1314">
        <f t="shared" si="94"/>
        <v>0</v>
      </c>
      <c r="J994" s="1315">
        <f t="shared" si="95"/>
        <v>0</v>
      </c>
      <c r="L994" s="1308">
        <f t="shared" si="96"/>
        <v>0</v>
      </c>
      <c r="M994" s="1296" t="str">
        <f t="shared" si="97"/>
        <v>0</v>
      </c>
      <c r="N994" s="1309">
        <f t="shared" si="98"/>
        <v>0</v>
      </c>
      <c r="O994" s="1296" t="str">
        <f t="shared" si="99"/>
        <v>0</v>
      </c>
    </row>
    <row r="995" spans="1:15" s="1296" customFormat="1" hidden="1">
      <c r="A995" s="1310"/>
      <c r="B995" s="1311"/>
      <c r="C995" s="1312">
        <v>0</v>
      </c>
      <c r="D995" s="1313">
        <v>0</v>
      </c>
      <c r="E995" s="1314"/>
      <c r="F995" s="1315"/>
      <c r="G995" s="1316">
        <f>+SUMIF(asientos!$C$13:$C$1276,SYS_4_3_Digitos!A995,asientos!$B$13:$B$1276)</f>
        <v>0</v>
      </c>
      <c r="H995" s="1317">
        <f>+SUMIF(asientos!$I$13:$I$1276,SYS_4_3_Digitos!A995,asientos!$J$13:$J$1276)</f>
        <v>0</v>
      </c>
      <c r="I995" s="1314">
        <f t="shared" si="94"/>
        <v>0</v>
      </c>
      <c r="J995" s="1315">
        <f t="shared" si="95"/>
        <v>0</v>
      </c>
      <c r="L995" s="1308">
        <f t="shared" si="96"/>
        <v>0</v>
      </c>
      <c r="M995" s="1296" t="str">
        <f t="shared" si="97"/>
        <v>0</v>
      </c>
      <c r="N995" s="1309">
        <f t="shared" si="98"/>
        <v>0</v>
      </c>
      <c r="O995" s="1296" t="str">
        <f t="shared" si="99"/>
        <v>0</v>
      </c>
    </row>
    <row r="996" spans="1:15" s="1296" customFormat="1" hidden="1">
      <c r="A996" s="1310"/>
      <c r="B996" s="1311"/>
      <c r="C996" s="1312">
        <v>0</v>
      </c>
      <c r="D996" s="1313">
        <v>0</v>
      </c>
      <c r="E996" s="1314"/>
      <c r="F996" s="1315"/>
      <c r="G996" s="1316">
        <f>+SUMIF(asientos!$C$13:$C$1276,SYS_4_3_Digitos!A996,asientos!$B$13:$B$1276)</f>
        <v>0</v>
      </c>
      <c r="H996" s="1317">
        <f>+SUMIF(asientos!$I$13:$I$1276,SYS_4_3_Digitos!A996,asientos!$J$13:$J$1276)</f>
        <v>0</v>
      </c>
      <c r="I996" s="1314">
        <f t="shared" si="94"/>
        <v>0</v>
      </c>
      <c r="J996" s="1315">
        <f t="shared" si="95"/>
        <v>0</v>
      </c>
      <c r="L996" s="1308">
        <f t="shared" si="96"/>
        <v>0</v>
      </c>
      <c r="M996" s="1296" t="str">
        <f t="shared" si="97"/>
        <v>0</v>
      </c>
      <c r="N996" s="1309">
        <f t="shared" si="98"/>
        <v>0</v>
      </c>
      <c r="O996" s="1296" t="str">
        <f t="shared" si="99"/>
        <v>0</v>
      </c>
    </row>
    <row r="997" spans="1:15" s="1296" customFormat="1" hidden="1">
      <c r="A997" s="1310"/>
      <c r="B997" s="1311"/>
      <c r="C997" s="1312">
        <v>0</v>
      </c>
      <c r="D997" s="1313">
        <v>0</v>
      </c>
      <c r="E997" s="1314"/>
      <c r="F997" s="1315"/>
      <c r="G997" s="1316">
        <f>+SUMIF(asientos!$C$13:$C$1276,SYS_4_3_Digitos!A997,asientos!$B$13:$B$1276)</f>
        <v>0</v>
      </c>
      <c r="H997" s="1317">
        <f>+SUMIF(asientos!$I$13:$I$1276,SYS_4_3_Digitos!A997,asientos!$J$13:$J$1276)</f>
        <v>0</v>
      </c>
      <c r="I997" s="1314">
        <f t="shared" ref="I997:I1060" si="100">IF((E997+G997-F997-H997)&gt;0,E997+G997-F997-H997,0)</f>
        <v>0</v>
      </c>
      <c r="J997" s="1315">
        <f t="shared" ref="J997:J1060" si="101">IF((F997+H997-E997-G997)&gt;0,F997+H997-E997-G997,0)</f>
        <v>0</v>
      </c>
      <c r="L997" s="1308">
        <f t="shared" ref="L997:L1060" si="102">+A997*1000000</f>
        <v>0</v>
      </c>
      <c r="M997" s="1296" t="str">
        <f t="shared" ref="M997:M1060" si="103">+LEFT(L997,4)</f>
        <v>0</v>
      </c>
      <c r="N997" s="1309">
        <f t="shared" ref="N997:N1060" si="104">+I997-J997</f>
        <v>0</v>
      </c>
      <c r="O997" s="1296" t="str">
        <f t="shared" ref="O997:O1060" si="105">+LEFT(M997,2)</f>
        <v>0</v>
      </c>
    </row>
    <row r="998" spans="1:15" s="1296" customFormat="1" hidden="1">
      <c r="A998" s="1310"/>
      <c r="B998" s="1311"/>
      <c r="C998" s="1312">
        <v>0</v>
      </c>
      <c r="D998" s="1313">
        <v>0</v>
      </c>
      <c r="E998" s="1314"/>
      <c r="F998" s="1315"/>
      <c r="G998" s="1316">
        <f>+SUMIF(asientos!$C$13:$C$1276,SYS_4_3_Digitos!A998,asientos!$B$13:$B$1276)</f>
        <v>0</v>
      </c>
      <c r="H998" s="1317">
        <f>+SUMIF(asientos!$I$13:$I$1276,SYS_4_3_Digitos!A998,asientos!$J$13:$J$1276)</f>
        <v>0</v>
      </c>
      <c r="I998" s="1314">
        <f t="shared" si="100"/>
        <v>0</v>
      </c>
      <c r="J998" s="1315">
        <f t="shared" si="101"/>
        <v>0</v>
      </c>
      <c r="L998" s="1308">
        <f t="shared" si="102"/>
        <v>0</v>
      </c>
      <c r="M998" s="1296" t="str">
        <f t="shared" si="103"/>
        <v>0</v>
      </c>
      <c r="N998" s="1309">
        <f t="shared" si="104"/>
        <v>0</v>
      </c>
      <c r="O998" s="1296" t="str">
        <f t="shared" si="105"/>
        <v>0</v>
      </c>
    </row>
    <row r="999" spans="1:15" s="1296" customFormat="1" hidden="1">
      <c r="A999" s="1310"/>
      <c r="B999" s="1311"/>
      <c r="C999" s="1312">
        <v>0</v>
      </c>
      <c r="D999" s="1313">
        <v>0</v>
      </c>
      <c r="E999" s="1314"/>
      <c r="F999" s="1315"/>
      <c r="G999" s="1316">
        <f>+SUMIF(asientos!$C$13:$C$1276,SYS_4_3_Digitos!A999,asientos!$B$13:$B$1276)</f>
        <v>0</v>
      </c>
      <c r="H999" s="1317">
        <f>+SUMIF(asientos!$I$13:$I$1276,SYS_4_3_Digitos!A999,asientos!$J$13:$J$1276)</f>
        <v>0</v>
      </c>
      <c r="I999" s="1314">
        <f t="shared" si="100"/>
        <v>0</v>
      </c>
      <c r="J999" s="1315">
        <f t="shared" si="101"/>
        <v>0</v>
      </c>
      <c r="L999" s="1308">
        <f t="shared" si="102"/>
        <v>0</v>
      </c>
      <c r="M999" s="1296" t="str">
        <f t="shared" si="103"/>
        <v>0</v>
      </c>
      <c r="N999" s="1309">
        <f t="shared" si="104"/>
        <v>0</v>
      </c>
      <c r="O999" s="1296" t="str">
        <f t="shared" si="105"/>
        <v>0</v>
      </c>
    </row>
    <row r="1000" spans="1:15" s="1296" customFormat="1" hidden="1">
      <c r="A1000" s="1310"/>
      <c r="B1000" s="1311"/>
      <c r="C1000" s="1312">
        <v>0</v>
      </c>
      <c r="D1000" s="1313">
        <v>0</v>
      </c>
      <c r="E1000" s="1314"/>
      <c r="F1000" s="1315"/>
      <c r="G1000" s="1316">
        <f>+SUMIF(asientos!$C$13:$C$1276,SYS_4_3_Digitos!A1000,asientos!$B$13:$B$1276)</f>
        <v>0</v>
      </c>
      <c r="H1000" s="1317">
        <f>+SUMIF(asientos!$I$13:$I$1276,SYS_4_3_Digitos!A1000,asientos!$J$13:$J$1276)</f>
        <v>0</v>
      </c>
      <c r="I1000" s="1314">
        <f t="shared" si="100"/>
        <v>0</v>
      </c>
      <c r="J1000" s="1315">
        <f t="shared" si="101"/>
        <v>0</v>
      </c>
      <c r="L1000" s="1308">
        <f t="shared" si="102"/>
        <v>0</v>
      </c>
      <c r="M1000" s="1296" t="str">
        <f t="shared" si="103"/>
        <v>0</v>
      </c>
      <c r="N1000" s="1309">
        <f t="shared" si="104"/>
        <v>0</v>
      </c>
      <c r="O1000" s="1296" t="str">
        <f t="shared" si="105"/>
        <v>0</v>
      </c>
    </row>
    <row r="1001" spans="1:15" s="1296" customFormat="1" hidden="1">
      <c r="A1001" s="1310"/>
      <c r="B1001" s="1311"/>
      <c r="C1001" s="1312">
        <v>0</v>
      </c>
      <c r="D1001" s="1313">
        <v>0</v>
      </c>
      <c r="E1001" s="1314"/>
      <c r="F1001" s="1315"/>
      <c r="G1001" s="1316">
        <f>+SUMIF(asientos!$C$13:$C$1276,SYS_4_3_Digitos!A1001,asientos!$B$13:$B$1276)</f>
        <v>0</v>
      </c>
      <c r="H1001" s="1317">
        <f>+SUMIF(asientos!$I$13:$I$1276,SYS_4_3_Digitos!A1001,asientos!$J$13:$J$1276)</f>
        <v>0</v>
      </c>
      <c r="I1001" s="1314">
        <f t="shared" si="100"/>
        <v>0</v>
      </c>
      <c r="J1001" s="1315">
        <f t="shared" si="101"/>
        <v>0</v>
      </c>
      <c r="L1001" s="1308">
        <f t="shared" si="102"/>
        <v>0</v>
      </c>
      <c r="M1001" s="1296" t="str">
        <f t="shared" si="103"/>
        <v>0</v>
      </c>
      <c r="N1001" s="1309">
        <f t="shared" si="104"/>
        <v>0</v>
      </c>
      <c r="O1001" s="1296" t="str">
        <f t="shared" si="105"/>
        <v>0</v>
      </c>
    </row>
    <row r="1002" spans="1:15" s="1296" customFormat="1" hidden="1">
      <c r="A1002" s="1310"/>
      <c r="B1002" s="1311"/>
      <c r="C1002" s="1312">
        <v>0</v>
      </c>
      <c r="D1002" s="1313">
        <v>0</v>
      </c>
      <c r="E1002" s="1314"/>
      <c r="F1002" s="1315"/>
      <c r="G1002" s="1316">
        <f>+SUMIF(asientos!$C$13:$C$1276,SYS_4_3_Digitos!A1002,asientos!$B$13:$B$1276)</f>
        <v>0</v>
      </c>
      <c r="H1002" s="1317">
        <f>+SUMIF(asientos!$I$13:$I$1276,SYS_4_3_Digitos!A1002,asientos!$J$13:$J$1276)</f>
        <v>0</v>
      </c>
      <c r="I1002" s="1314">
        <f t="shared" si="100"/>
        <v>0</v>
      </c>
      <c r="J1002" s="1315">
        <f t="shared" si="101"/>
        <v>0</v>
      </c>
      <c r="L1002" s="1308">
        <f t="shared" si="102"/>
        <v>0</v>
      </c>
      <c r="M1002" s="1296" t="str">
        <f t="shared" si="103"/>
        <v>0</v>
      </c>
      <c r="N1002" s="1309">
        <f t="shared" si="104"/>
        <v>0</v>
      </c>
      <c r="O1002" s="1296" t="str">
        <f t="shared" si="105"/>
        <v>0</v>
      </c>
    </row>
    <row r="1003" spans="1:15" s="1296" customFormat="1" hidden="1">
      <c r="A1003" s="1310"/>
      <c r="B1003" s="1311"/>
      <c r="C1003" s="1312">
        <v>0</v>
      </c>
      <c r="D1003" s="1313">
        <v>0</v>
      </c>
      <c r="E1003" s="1314"/>
      <c r="F1003" s="1315"/>
      <c r="G1003" s="1316">
        <f>+SUMIF(asientos!$C$13:$C$1276,SYS_4_3_Digitos!A1003,asientos!$B$13:$B$1276)</f>
        <v>0</v>
      </c>
      <c r="H1003" s="1317">
        <f>+SUMIF(asientos!$I$13:$I$1276,SYS_4_3_Digitos!A1003,asientos!$J$13:$J$1276)</f>
        <v>0</v>
      </c>
      <c r="I1003" s="1314">
        <f t="shared" si="100"/>
        <v>0</v>
      </c>
      <c r="J1003" s="1315">
        <f t="shared" si="101"/>
        <v>0</v>
      </c>
      <c r="L1003" s="1308">
        <f t="shared" si="102"/>
        <v>0</v>
      </c>
      <c r="M1003" s="1296" t="str">
        <f t="shared" si="103"/>
        <v>0</v>
      </c>
      <c r="N1003" s="1309">
        <f t="shared" si="104"/>
        <v>0</v>
      </c>
      <c r="O1003" s="1296" t="str">
        <f t="shared" si="105"/>
        <v>0</v>
      </c>
    </row>
    <row r="1004" spans="1:15" s="1296" customFormat="1" hidden="1">
      <c r="A1004" s="1310"/>
      <c r="B1004" s="1311"/>
      <c r="C1004" s="1312">
        <v>0</v>
      </c>
      <c r="D1004" s="1313">
        <v>0</v>
      </c>
      <c r="E1004" s="1314"/>
      <c r="F1004" s="1315"/>
      <c r="G1004" s="1316">
        <f>+SUMIF(asientos!$C$13:$C$1276,SYS_4_3_Digitos!A1004,asientos!$B$13:$B$1276)</f>
        <v>0</v>
      </c>
      <c r="H1004" s="1317">
        <f>+SUMIF(asientos!$I$13:$I$1276,SYS_4_3_Digitos!A1004,asientos!$J$13:$J$1276)</f>
        <v>0</v>
      </c>
      <c r="I1004" s="1314">
        <f t="shared" si="100"/>
        <v>0</v>
      </c>
      <c r="J1004" s="1315">
        <f t="shared" si="101"/>
        <v>0</v>
      </c>
      <c r="L1004" s="1308">
        <f t="shared" si="102"/>
        <v>0</v>
      </c>
      <c r="M1004" s="1296" t="str">
        <f t="shared" si="103"/>
        <v>0</v>
      </c>
      <c r="N1004" s="1309">
        <f t="shared" si="104"/>
        <v>0</v>
      </c>
      <c r="O1004" s="1296" t="str">
        <f t="shared" si="105"/>
        <v>0</v>
      </c>
    </row>
    <row r="1005" spans="1:15" s="1296" customFormat="1" hidden="1">
      <c r="A1005" s="1310"/>
      <c r="B1005" s="1311"/>
      <c r="C1005" s="1312">
        <v>0</v>
      </c>
      <c r="D1005" s="1313">
        <v>0</v>
      </c>
      <c r="E1005" s="1314"/>
      <c r="F1005" s="1315"/>
      <c r="G1005" s="1316">
        <f>+SUMIF(asientos!$C$13:$C$1276,SYS_4_3_Digitos!A1005,asientos!$B$13:$B$1276)</f>
        <v>0</v>
      </c>
      <c r="H1005" s="1317">
        <f>+SUMIF(asientos!$I$13:$I$1276,SYS_4_3_Digitos!A1005,asientos!$J$13:$J$1276)</f>
        <v>0</v>
      </c>
      <c r="I1005" s="1314">
        <f t="shared" si="100"/>
        <v>0</v>
      </c>
      <c r="J1005" s="1315">
        <f t="shared" si="101"/>
        <v>0</v>
      </c>
      <c r="L1005" s="1308">
        <f t="shared" si="102"/>
        <v>0</v>
      </c>
      <c r="M1005" s="1296" t="str">
        <f t="shared" si="103"/>
        <v>0</v>
      </c>
      <c r="N1005" s="1309">
        <f t="shared" si="104"/>
        <v>0</v>
      </c>
      <c r="O1005" s="1296" t="str">
        <f t="shared" si="105"/>
        <v>0</v>
      </c>
    </row>
    <row r="1006" spans="1:15" s="1296" customFormat="1" hidden="1">
      <c r="A1006" s="1310"/>
      <c r="B1006" s="1311"/>
      <c r="C1006" s="1312">
        <v>0</v>
      </c>
      <c r="D1006" s="1313">
        <v>0</v>
      </c>
      <c r="E1006" s="1314"/>
      <c r="F1006" s="1315"/>
      <c r="G1006" s="1316">
        <f>+SUMIF(asientos!$C$13:$C$1276,SYS_4_3_Digitos!A1006,asientos!$B$13:$B$1276)</f>
        <v>0</v>
      </c>
      <c r="H1006" s="1317">
        <f>+SUMIF(asientos!$I$13:$I$1276,SYS_4_3_Digitos!A1006,asientos!$J$13:$J$1276)</f>
        <v>0</v>
      </c>
      <c r="I1006" s="1314">
        <f t="shared" si="100"/>
        <v>0</v>
      </c>
      <c r="J1006" s="1315">
        <f t="shared" si="101"/>
        <v>0</v>
      </c>
      <c r="L1006" s="1308">
        <f t="shared" si="102"/>
        <v>0</v>
      </c>
      <c r="M1006" s="1296" t="str">
        <f t="shared" si="103"/>
        <v>0</v>
      </c>
      <c r="N1006" s="1309">
        <f t="shared" si="104"/>
        <v>0</v>
      </c>
      <c r="O1006" s="1296" t="str">
        <f t="shared" si="105"/>
        <v>0</v>
      </c>
    </row>
    <row r="1007" spans="1:15" s="1296" customFormat="1" hidden="1">
      <c r="A1007" s="1310"/>
      <c r="B1007" s="1311"/>
      <c r="C1007" s="1312">
        <v>0</v>
      </c>
      <c r="D1007" s="1313">
        <v>0</v>
      </c>
      <c r="E1007" s="1314"/>
      <c r="F1007" s="1315"/>
      <c r="G1007" s="1316">
        <f>+SUMIF(asientos!$C$13:$C$1276,SYS_4_3_Digitos!A1007,asientos!$B$13:$B$1276)</f>
        <v>0</v>
      </c>
      <c r="H1007" s="1317">
        <f>+SUMIF(asientos!$I$13:$I$1276,SYS_4_3_Digitos!A1007,asientos!$J$13:$J$1276)</f>
        <v>0</v>
      </c>
      <c r="I1007" s="1314">
        <f t="shared" si="100"/>
        <v>0</v>
      </c>
      <c r="J1007" s="1315">
        <f t="shared" si="101"/>
        <v>0</v>
      </c>
      <c r="L1007" s="1308">
        <f t="shared" si="102"/>
        <v>0</v>
      </c>
      <c r="M1007" s="1296" t="str">
        <f t="shared" si="103"/>
        <v>0</v>
      </c>
      <c r="N1007" s="1309">
        <f t="shared" si="104"/>
        <v>0</v>
      </c>
      <c r="O1007" s="1296" t="str">
        <f t="shared" si="105"/>
        <v>0</v>
      </c>
    </row>
    <row r="1008" spans="1:15" s="1296" customFormat="1" hidden="1">
      <c r="A1008" s="1310"/>
      <c r="B1008" s="1311"/>
      <c r="C1008" s="1312">
        <v>0</v>
      </c>
      <c r="D1008" s="1313">
        <v>0</v>
      </c>
      <c r="E1008" s="1314"/>
      <c r="F1008" s="1315"/>
      <c r="G1008" s="1316">
        <f>+SUMIF(asientos!$C$13:$C$1276,SYS_4_3_Digitos!A1008,asientos!$B$13:$B$1276)</f>
        <v>0</v>
      </c>
      <c r="H1008" s="1317">
        <f>+SUMIF(asientos!$I$13:$I$1276,SYS_4_3_Digitos!A1008,asientos!$J$13:$J$1276)</f>
        <v>0</v>
      </c>
      <c r="I1008" s="1314">
        <f t="shared" si="100"/>
        <v>0</v>
      </c>
      <c r="J1008" s="1315">
        <f t="shared" si="101"/>
        <v>0</v>
      </c>
      <c r="L1008" s="1308">
        <f t="shared" si="102"/>
        <v>0</v>
      </c>
      <c r="M1008" s="1296" t="str">
        <f t="shared" si="103"/>
        <v>0</v>
      </c>
      <c r="N1008" s="1309">
        <f t="shared" si="104"/>
        <v>0</v>
      </c>
      <c r="O1008" s="1296" t="str">
        <f t="shared" si="105"/>
        <v>0</v>
      </c>
    </row>
    <row r="1009" spans="1:15" s="1296" customFormat="1" hidden="1">
      <c r="A1009" s="1310"/>
      <c r="B1009" s="1311"/>
      <c r="C1009" s="1312">
        <v>0</v>
      </c>
      <c r="D1009" s="1313">
        <v>0</v>
      </c>
      <c r="E1009" s="1314"/>
      <c r="F1009" s="1315"/>
      <c r="G1009" s="1316">
        <f>+SUMIF(asientos!$C$13:$C$1276,SYS_4_3_Digitos!A1009,asientos!$B$13:$B$1276)</f>
        <v>0</v>
      </c>
      <c r="H1009" s="1317">
        <f>+SUMIF(asientos!$I$13:$I$1276,SYS_4_3_Digitos!A1009,asientos!$J$13:$J$1276)</f>
        <v>0</v>
      </c>
      <c r="I1009" s="1314">
        <f t="shared" si="100"/>
        <v>0</v>
      </c>
      <c r="J1009" s="1315">
        <f t="shared" si="101"/>
        <v>0</v>
      </c>
      <c r="L1009" s="1308">
        <f t="shared" si="102"/>
        <v>0</v>
      </c>
      <c r="M1009" s="1296" t="str">
        <f t="shared" si="103"/>
        <v>0</v>
      </c>
      <c r="N1009" s="1309">
        <f t="shared" si="104"/>
        <v>0</v>
      </c>
      <c r="O1009" s="1296" t="str">
        <f t="shared" si="105"/>
        <v>0</v>
      </c>
    </row>
    <row r="1010" spans="1:15" s="1296" customFormat="1" hidden="1">
      <c r="A1010" s="1310"/>
      <c r="B1010" s="1311"/>
      <c r="C1010" s="1312">
        <v>0</v>
      </c>
      <c r="D1010" s="1313">
        <v>0</v>
      </c>
      <c r="E1010" s="1314"/>
      <c r="F1010" s="1315"/>
      <c r="G1010" s="1316">
        <f>+SUMIF(asientos!$C$13:$C$1276,SYS_4_3_Digitos!A1010,asientos!$B$13:$B$1276)</f>
        <v>0</v>
      </c>
      <c r="H1010" s="1317">
        <f>+SUMIF(asientos!$I$13:$I$1276,SYS_4_3_Digitos!A1010,asientos!$J$13:$J$1276)</f>
        <v>0</v>
      </c>
      <c r="I1010" s="1314">
        <f t="shared" si="100"/>
        <v>0</v>
      </c>
      <c r="J1010" s="1315">
        <f t="shared" si="101"/>
        <v>0</v>
      </c>
      <c r="L1010" s="1308">
        <f t="shared" si="102"/>
        <v>0</v>
      </c>
      <c r="M1010" s="1296" t="str">
        <f t="shared" si="103"/>
        <v>0</v>
      </c>
      <c r="N1010" s="1309">
        <f t="shared" si="104"/>
        <v>0</v>
      </c>
      <c r="O1010" s="1296" t="str">
        <f t="shared" si="105"/>
        <v>0</v>
      </c>
    </row>
    <row r="1011" spans="1:15" s="1296" customFormat="1" hidden="1">
      <c r="A1011" s="1310"/>
      <c r="B1011" s="1311"/>
      <c r="C1011" s="1312">
        <v>0</v>
      </c>
      <c r="D1011" s="1313">
        <v>0</v>
      </c>
      <c r="E1011" s="1314"/>
      <c r="F1011" s="1315"/>
      <c r="G1011" s="1316">
        <f>+SUMIF(asientos!$C$13:$C$1276,SYS_4_3_Digitos!A1011,asientos!$B$13:$B$1276)</f>
        <v>0</v>
      </c>
      <c r="H1011" s="1317">
        <f>+SUMIF(asientos!$I$13:$I$1276,SYS_4_3_Digitos!A1011,asientos!$J$13:$J$1276)</f>
        <v>0</v>
      </c>
      <c r="I1011" s="1314">
        <f t="shared" si="100"/>
        <v>0</v>
      </c>
      <c r="J1011" s="1315">
        <f t="shared" si="101"/>
        <v>0</v>
      </c>
      <c r="L1011" s="1308">
        <f t="shared" si="102"/>
        <v>0</v>
      </c>
      <c r="M1011" s="1296" t="str">
        <f t="shared" si="103"/>
        <v>0</v>
      </c>
      <c r="N1011" s="1309">
        <f t="shared" si="104"/>
        <v>0</v>
      </c>
      <c r="O1011" s="1296" t="str">
        <f t="shared" si="105"/>
        <v>0</v>
      </c>
    </row>
    <row r="1012" spans="1:15" s="1296" customFormat="1" hidden="1">
      <c r="A1012" s="1310"/>
      <c r="B1012" s="1311"/>
      <c r="C1012" s="1312">
        <v>0</v>
      </c>
      <c r="D1012" s="1313">
        <v>0</v>
      </c>
      <c r="E1012" s="1314"/>
      <c r="F1012" s="1315"/>
      <c r="G1012" s="1316">
        <f>+SUMIF(asientos!$C$13:$C$1276,SYS_4_3_Digitos!A1012,asientos!$B$13:$B$1276)</f>
        <v>0</v>
      </c>
      <c r="H1012" s="1317">
        <f>+SUMIF(asientos!$I$13:$I$1276,SYS_4_3_Digitos!A1012,asientos!$J$13:$J$1276)</f>
        <v>0</v>
      </c>
      <c r="I1012" s="1314">
        <f t="shared" si="100"/>
        <v>0</v>
      </c>
      <c r="J1012" s="1315">
        <f t="shared" si="101"/>
        <v>0</v>
      </c>
      <c r="L1012" s="1308">
        <f t="shared" si="102"/>
        <v>0</v>
      </c>
      <c r="M1012" s="1296" t="str">
        <f t="shared" si="103"/>
        <v>0</v>
      </c>
      <c r="N1012" s="1309">
        <f t="shared" si="104"/>
        <v>0</v>
      </c>
      <c r="O1012" s="1296" t="str">
        <f t="shared" si="105"/>
        <v>0</v>
      </c>
    </row>
    <row r="1013" spans="1:15" s="1296" customFormat="1" hidden="1">
      <c r="A1013" s="1310"/>
      <c r="B1013" s="1311"/>
      <c r="C1013" s="1312">
        <v>0</v>
      </c>
      <c r="D1013" s="1313">
        <v>0</v>
      </c>
      <c r="E1013" s="1314"/>
      <c r="F1013" s="1315"/>
      <c r="G1013" s="1316">
        <f>+SUMIF(asientos!$C$13:$C$1276,SYS_4_3_Digitos!A1013,asientos!$B$13:$B$1276)</f>
        <v>0</v>
      </c>
      <c r="H1013" s="1317">
        <f>+SUMIF(asientos!$I$13:$I$1276,SYS_4_3_Digitos!A1013,asientos!$J$13:$J$1276)</f>
        <v>0</v>
      </c>
      <c r="I1013" s="1314">
        <f t="shared" si="100"/>
        <v>0</v>
      </c>
      <c r="J1013" s="1315">
        <f t="shared" si="101"/>
        <v>0</v>
      </c>
      <c r="L1013" s="1308">
        <f t="shared" si="102"/>
        <v>0</v>
      </c>
      <c r="M1013" s="1296" t="str">
        <f t="shared" si="103"/>
        <v>0</v>
      </c>
      <c r="N1013" s="1309">
        <f t="shared" si="104"/>
        <v>0</v>
      </c>
      <c r="O1013" s="1296" t="str">
        <f t="shared" si="105"/>
        <v>0</v>
      </c>
    </row>
    <row r="1014" spans="1:15" s="1296" customFormat="1" hidden="1">
      <c r="A1014" s="1310"/>
      <c r="B1014" s="1311"/>
      <c r="C1014" s="1312">
        <v>0</v>
      </c>
      <c r="D1014" s="1313">
        <v>0</v>
      </c>
      <c r="E1014" s="1314"/>
      <c r="F1014" s="1315"/>
      <c r="G1014" s="1316">
        <f>+SUMIF(asientos!$C$13:$C$1276,SYS_4_3_Digitos!A1014,asientos!$B$13:$B$1276)</f>
        <v>0</v>
      </c>
      <c r="H1014" s="1317">
        <f>+SUMIF(asientos!$I$13:$I$1276,SYS_4_3_Digitos!A1014,asientos!$J$13:$J$1276)</f>
        <v>0</v>
      </c>
      <c r="I1014" s="1314">
        <f t="shared" si="100"/>
        <v>0</v>
      </c>
      <c r="J1014" s="1315">
        <f t="shared" si="101"/>
        <v>0</v>
      </c>
      <c r="L1014" s="1308">
        <f t="shared" si="102"/>
        <v>0</v>
      </c>
      <c r="M1014" s="1296" t="str">
        <f t="shared" si="103"/>
        <v>0</v>
      </c>
      <c r="N1014" s="1309">
        <f t="shared" si="104"/>
        <v>0</v>
      </c>
      <c r="O1014" s="1296" t="str">
        <f t="shared" si="105"/>
        <v>0</v>
      </c>
    </row>
    <row r="1015" spans="1:15" s="1296" customFormat="1" hidden="1">
      <c r="A1015" s="1310"/>
      <c r="B1015" s="1311"/>
      <c r="C1015" s="1312">
        <v>0</v>
      </c>
      <c r="D1015" s="1313">
        <v>0</v>
      </c>
      <c r="E1015" s="1314"/>
      <c r="F1015" s="1315"/>
      <c r="G1015" s="1316">
        <f>+SUMIF(asientos!$C$13:$C$1276,SYS_4_3_Digitos!A1015,asientos!$B$13:$B$1276)</f>
        <v>0</v>
      </c>
      <c r="H1015" s="1317">
        <f>+SUMIF(asientos!$I$13:$I$1276,SYS_4_3_Digitos!A1015,asientos!$J$13:$J$1276)</f>
        <v>0</v>
      </c>
      <c r="I1015" s="1314">
        <f t="shared" si="100"/>
        <v>0</v>
      </c>
      <c r="J1015" s="1315">
        <f t="shared" si="101"/>
        <v>0</v>
      </c>
      <c r="L1015" s="1308">
        <f t="shared" si="102"/>
        <v>0</v>
      </c>
      <c r="M1015" s="1296" t="str">
        <f t="shared" si="103"/>
        <v>0</v>
      </c>
      <c r="N1015" s="1309">
        <f t="shared" si="104"/>
        <v>0</v>
      </c>
      <c r="O1015" s="1296" t="str">
        <f t="shared" si="105"/>
        <v>0</v>
      </c>
    </row>
    <row r="1016" spans="1:15" s="1296" customFormat="1" hidden="1">
      <c r="A1016" s="1310"/>
      <c r="B1016" s="1311"/>
      <c r="C1016" s="1312">
        <v>0</v>
      </c>
      <c r="D1016" s="1313">
        <v>0</v>
      </c>
      <c r="E1016" s="1314"/>
      <c r="F1016" s="1315"/>
      <c r="G1016" s="1316">
        <f>+SUMIF(asientos!$C$13:$C$1276,SYS_4_3_Digitos!A1016,asientos!$B$13:$B$1276)</f>
        <v>0</v>
      </c>
      <c r="H1016" s="1317">
        <f>+SUMIF(asientos!$I$13:$I$1276,SYS_4_3_Digitos!A1016,asientos!$J$13:$J$1276)</f>
        <v>0</v>
      </c>
      <c r="I1016" s="1314">
        <f t="shared" si="100"/>
        <v>0</v>
      </c>
      <c r="J1016" s="1315">
        <f t="shared" si="101"/>
        <v>0</v>
      </c>
      <c r="L1016" s="1308">
        <f t="shared" si="102"/>
        <v>0</v>
      </c>
      <c r="M1016" s="1296" t="str">
        <f t="shared" si="103"/>
        <v>0</v>
      </c>
      <c r="N1016" s="1309">
        <f t="shared" si="104"/>
        <v>0</v>
      </c>
      <c r="O1016" s="1296" t="str">
        <f t="shared" si="105"/>
        <v>0</v>
      </c>
    </row>
    <row r="1017" spans="1:15" s="1296" customFormat="1" hidden="1">
      <c r="A1017" s="1310"/>
      <c r="B1017" s="1311"/>
      <c r="C1017" s="1312">
        <v>0</v>
      </c>
      <c r="D1017" s="1313">
        <v>0</v>
      </c>
      <c r="E1017" s="1314"/>
      <c r="F1017" s="1315"/>
      <c r="G1017" s="1316">
        <f>+SUMIF(asientos!$C$13:$C$1276,SYS_4_3_Digitos!A1017,asientos!$B$13:$B$1276)</f>
        <v>0</v>
      </c>
      <c r="H1017" s="1317">
        <f>+SUMIF(asientos!$I$13:$I$1276,SYS_4_3_Digitos!A1017,asientos!$J$13:$J$1276)</f>
        <v>0</v>
      </c>
      <c r="I1017" s="1314">
        <f t="shared" si="100"/>
        <v>0</v>
      </c>
      <c r="J1017" s="1315">
        <f t="shared" si="101"/>
        <v>0</v>
      </c>
      <c r="L1017" s="1308">
        <f t="shared" si="102"/>
        <v>0</v>
      </c>
      <c r="M1017" s="1296" t="str">
        <f t="shared" si="103"/>
        <v>0</v>
      </c>
      <c r="N1017" s="1309">
        <f t="shared" si="104"/>
        <v>0</v>
      </c>
      <c r="O1017" s="1296" t="str">
        <f t="shared" si="105"/>
        <v>0</v>
      </c>
    </row>
    <row r="1018" spans="1:15" s="1296" customFormat="1" hidden="1">
      <c r="A1018" s="1310"/>
      <c r="B1018" s="1311"/>
      <c r="C1018" s="1312">
        <v>0</v>
      </c>
      <c r="D1018" s="1313">
        <v>0</v>
      </c>
      <c r="E1018" s="1314"/>
      <c r="F1018" s="1315"/>
      <c r="G1018" s="1316">
        <f>+SUMIF(asientos!$C$13:$C$1276,SYS_4_3_Digitos!A1018,asientos!$B$13:$B$1276)</f>
        <v>0</v>
      </c>
      <c r="H1018" s="1317">
        <f>+SUMIF(asientos!$I$13:$I$1276,SYS_4_3_Digitos!A1018,asientos!$J$13:$J$1276)</f>
        <v>0</v>
      </c>
      <c r="I1018" s="1314">
        <f t="shared" si="100"/>
        <v>0</v>
      </c>
      <c r="J1018" s="1315">
        <f t="shared" si="101"/>
        <v>0</v>
      </c>
      <c r="L1018" s="1308">
        <f t="shared" si="102"/>
        <v>0</v>
      </c>
      <c r="M1018" s="1296" t="str">
        <f t="shared" si="103"/>
        <v>0</v>
      </c>
      <c r="N1018" s="1309">
        <f t="shared" si="104"/>
        <v>0</v>
      </c>
      <c r="O1018" s="1296" t="str">
        <f t="shared" si="105"/>
        <v>0</v>
      </c>
    </row>
    <row r="1019" spans="1:15" s="1296" customFormat="1" hidden="1">
      <c r="A1019" s="1310"/>
      <c r="B1019" s="1311"/>
      <c r="C1019" s="1312">
        <v>0</v>
      </c>
      <c r="D1019" s="1313">
        <v>0</v>
      </c>
      <c r="E1019" s="1314"/>
      <c r="F1019" s="1315"/>
      <c r="G1019" s="1316">
        <f>+SUMIF(asientos!$C$13:$C$1276,SYS_4_3_Digitos!A1019,asientos!$B$13:$B$1276)</f>
        <v>0</v>
      </c>
      <c r="H1019" s="1317">
        <f>+SUMIF(asientos!$I$13:$I$1276,SYS_4_3_Digitos!A1019,asientos!$J$13:$J$1276)</f>
        <v>0</v>
      </c>
      <c r="I1019" s="1314">
        <f t="shared" si="100"/>
        <v>0</v>
      </c>
      <c r="J1019" s="1315">
        <f t="shared" si="101"/>
        <v>0</v>
      </c>
      <c r="L1019" s="1308">
        <f t="shared" si="102"/>
        <v>0</v>
      </c>
      <c r="M1019" s="1296" t="str">
        <f t="shared" si="103"/>
        <v>0</v>
      </c>
      <c r="N1019" s="1309">
        <f t="shared" si="104"/>
        <v>0</v>
      </c>
      <c r="O1019" s="1296" t="str">
        <f t="shared" si="105"/>
        <v>0</v>
      </c>
    </row>
    <row r="1020" spans="1:15" s="1296" customFormat="1" hidden="1">
      <c r="A1020" s="1310"/>
      <c r="B1020" s="1311"/>
      <c r="C1020" s="1312">
        <v>0</v>
      </c>
      <c r="D1020" s="1313">
        <v>0</v>
      </c>
      <c r="E1020" s="1314"/>
      <c r="F1020" s="1315"/>
      <c r="G1020" s="1316">
        <f>+SUMIF(asientos!$C$13:$C$1276,SYS_4_3_Digitos!A1020,asientos!$B$13:$B$1276)</f>
        <v>0</v>
      </c>
      <c r="H1020" s="1317">
        <f>+SUMIF(asientos!$I$13:$I$1276,SYS_4_3_Digitos!A1020,asientos!$J$13:$J$1276)</f>
        <v>0</v>
      </c>
      <c r="I1020" s="1314">
        <f t="shared" si="100"/>
        <v>0</v>
      </c>
      <c r="J1020" s="1315">
        <f t="shared" si="101"/>
        <v>0</v>
      </c>
      <c r="L1020" s="1308">
        <f t="shared" si="102"/>
        <v>0</v>
      </c>
      <c r="M1020" s="1296" t="str">
        <f t="shared" si="103"/>
        <v>0</v>
      </c>
      <c r="N1020" s="1309">
        <f t="shared" si="104"/>
        <v>0</v>
      </c>
      <c r="O1020" s="1296" t="str">
        <f t="shared" si="105"/>
        <v>0</v>
      </c>
    </row>
    <row r="1021" spans="1:15" s="1296" customFormat="1" hidden="1">
      <c r="A1021" s="1310"/>
      <c r="B1021" s="1311"/>
      <c r="C1021" s="1312">
        <v>0</v>
      </c>
      <c r="D1021" s="1313">
        <v>0</v>
      </c>
      <c r="E1021" s="1314"/>
      <c r="F1021" s="1315"/>
      <c r="G1021" s="1316">
        <f>+SUMIF(asientos!$C$13:$C$1276,SYS_4_3_Digitos!A1021,asientos!$B$13:$B$1276)</f>
        <v>0</v>
      </c>
      <c r="H1021" s="1317">
        <f>+SUMIF(asientos!$I$13:$I$1276,SYS_4_3_Digitos!A1021,asientos!$J$13:$J$1276)</f>
        <v>0</v>
      </c>
      <c r="I1021" s="1314">
        <f t="shared" si="100"/>
        <v>0</v>
      </c>
      <c r="J1021" s="1315">
        <f t="shared" si="101"/>
        <v>0</v>
      </c>
      <c r="L1021" s="1308">
        <f t="shared" si="102"/>
        <v>0</v>
      </c>
      <c r="M1021" s="1296" t="str">
        <f t="shared" si="103"/>
        <v>0</v>
      </c>
      <c r="N1021" s="1309">
        <f t="shared" si="104"/>
        <v>0</v>
      </c>
      <c r="O1021" s="1296" t="str">
        <f t="shared" si="105"/>
        <v>0</v>
      </c>
    </row>
    <row r="1022" spans="1:15" s="1296" customFormat="1" hidden="1">
      <c r="A1022" s="1310"/>
      <c r="B1022" s="1311"/>
      <c r="C1022" s="1312">
        <v>0</v>
      </c>
      <c r="D1022" s="1313">
        <v>0</v>
      </c>
      <c r="E1022" s="1314"/>
      <c r="F1022" s="1315"/>
      <c r="G1022" s="1316">
        <f>+SUMIF(asientos!$C$13:$C$1276,SYS_4_3_Digitos!A1022,asientos!$B$13:$B$1276)</f>
        <v>0</v>
      </c>
      <c r="H1022" s="1317">
        <f>+SUMIF(asientos!$I$13:$I$1276,SYS_4_3_Digitos!A1022,asientos!$J$13:$J$1276)</f>
        <v>0</v>
      </c>
      <c r="I1022" s="1314">
        <f t="shared" si="100"/>
        <v>0</v>
      </c>
      <c r="J1022" s="1315">
        <f t="shared" si="101"/>
        <v>0</v>
      </c>
      <c r="L1022" s="1308">
        <f t="shared" si="102"/>
        <v>0</v>
      </c>
      <c r="M1022" s="1296" t="str">
        <f t="shared" si="103"/>
        <v>0</v>
      </c>
      <c r="N1022" s="1309">
        <f t="shared" si="104"/>
        <v>0</v>
      </c>
      <c r="O1022" s="1296" t="str">
        <f t="shared" si="105"/>
        <v>0</v>
      </c>
    </row>
    <row r="1023" spans="1:15" s="1296" customFormat="1" hidden="1">
      <c r="A1023" s="1310"/>
      <c r="B1023" s="1311"/>
      <c r="C1023" s="1312">
        <v>0</v>
      </c>
      <c r="D1023" s="1313">
        <v>0</v>
      </c>
      <c r="E1023" s="1314"/>
      <c r="F1023" s="1315"/>
      <c r="G1023" s="1316">
        <f>+SUMIF(asientos!$C$13:$C$1276,SYS_4_3_Digitos!A1023,asientos!$B$13:$B$1276)</f>
        <v>0</v>
      </c>
      <c r="H1023" s="1317">
        <f>+SUMIF(asientos!$I$13:$I$1276,SYS_4_3_Digitos!A1023,asientos!$J$13:$J$1276)</f>
        <v>0</v>
      </c>
      <c r="I1023" s="1314">
        <f t="shared" si="100"/>
        <v>0</v>
      </c>
      <c r="J1023" s="1315">
        <f t="shared" si="101"/>
        <v>0</v>
      </c>
      <c r="L1023" s="1308">
        <f t="shared" si="102"/>
        <v>0</v>
      </c>
      <c r="M1023" s="1296" t="str">
        <f t="shared" si="103"/>
        <v>0</v>
      </c>
      <c r="N1023" s="1309">
        <f t="shared" si="104"/>
        <v>0</v>
      </c>
      <c r="O1023" s="1296" t="str">
        <f t="shared" si="105"/>
        <v>0</v>
      </c>
    </row>
    <row r="1024" spans="1:15" s="1296" customFormat="1" hidden="1">
      <c r="A1024" s="1310"/>
      <c r="B1024" s="1311"/>
      <c r="C1024" s="1312">
        <v>0</v>
      </c>
      <c r="D1024" s="1313">
        <v>0</v>
      </c>
      <c r="E1024" s="1314"/>
      <c r="F1024" s="1315"/>
      <c r="G1024" s="1316">
        <f>+SUMIF(asientos!$C$13:$C$1276,SYS_4_3_Digitos!A1024,asientos!$B$13:$B$1276)</f>
        <v>0</v>
      </c>
      <c r="H1024" s="1317">
        <f>+SUMIF(asientos!$I$13:$I$1276,SYS_4_3_Digitos!A1024,asientos!$J$13:$J$1276)</f>
        <v>0</v>
      </c>
      <c r="I1024" s="1314">
        <f t="shared" si="100"/>
        <v>0</v>
      </c>
      <c r="J1024" s="1315">
        <f t="shared" si="101"/>
        <v>0</v>
      </c>
      <c r="L1024" s="1308">
        <f t="shared" si="102"/>
        <v>0</v>
      </c>
      <c r="M1024" s="1296" t="str">
        <f t="shared" si="103"/>
        <v>0</v>
      </c>
      <c r="N1024" s="1309">
        <f t="shared" si="104"/>
        <v>0</v>
      </c>
      <c r="O1024" s="1296" t="str">
        <f t="shared" si="105"/>
        <v>0</v>
      </c>
    </row>
    <row r="1025" spans="1:15" s="1296" customFormat="1" hidden="1">
      <c r="A1025" s="1310"/>
      <c r="B1025" s="1311"/>
      <c r="C1025" s="1312">
        <v>0</v>
      </c>
      <c r="D1025" s="1313">
        <v>0</v>
      </c>
      <c r="E1025" s="1314"/>
      <c r="F1025" s="1315"/>
      <c r="G1025" s="1316">
        <f>+SUMIF(asientos!$C$13:$C$1276,SYS_4_3_Digitos!A1025,asientos!$B$13:$B$1276)</f>
        <v>0</v>
      </c>
      <c r="H1025" s="1317">
        <f>+SUMIF(asientos!$I$13:$I$1276,SYS_4_3_Digitos!A1025,asientos!$J$13:$J$1276)</f>
        <v>0</v>
      </c>
      <c r="I1025" s="1314">
        <f t="shared" si="100"/>
        <v>0</v>
      </c>
      <c r="J1025" s="1315">
        <f t="shared" si="101"/>
        <v>0</v>
      </c>
      <c r="L1025" s="1308">
        <f t="shared" si="102"/>
        <v>0</v>
      </c>
      <c r="M1025" s="1296" t="str">
        <f t="shared" si="103"/>
        <v>0</v>
      </c>
      <c r="N1025" s="1309">
        <f t="shared" si="104"/>
        <v>0</v>
      </c>
      <c r="O1025" s="1296" t="str">
        <f t="shared" si="105"/>
        <v>0</v>
      </c>
    </row>
    <row r="1026" spans="1:15" s="1296" customFormat="1" hidden="1">
      <c r="A1026" s="1310"/>
      <c r="B1026" s="1311"/>
      <c r="C1026" s="1312">
        <v>0</v>
      </c>
      <c r="D1026" s="1313">
        <v>0</v>
      </c>
      <c r="E1026" s="1314"/>
      <c r="F1026" s="1315"/>
      <c r="G1026" s="1316">
        <f>+SUMIF(asientos!$C$13:$C$1276,SYS_4_3_Digitos!A1026,asientos!$B$13:$B$1276)</f>
        <v>0</v>
      </c>
      <c r="H1026" s="1317">
        <f>+SUMIF(asientos!$I$13:$I$1276,SYS_4_3_Digitos!A1026,asientos!$J$13:$J$1276)</f>
        <v>0</v>
      </c>
      <c r="I1026" s="1314">
        <f t="shared" si="100"/>
        <v>0</v>
      </c>
      <c r="J1026" s="1315">
        <f t="shared" si="101"/>
        <v>0</v>
      </c>
      <c r="L1026" s="1308">
        <f t="shared" si="102"/>
        <v>0</v>
      </c>
      <c r="M1026" s="1296" t="str">
        <f t="shared" si="103"/>
        <v>0</v>
      </c>
      <c r="N1026" s="1309">
        <f t="shared" si="104"/>
        <v>0</v>
      </c>
      <c r="O1026" s="1296" t="str">
        <f t="shared" si="105"/>
        <v>0</v>
      </c>
    </row>
    <row r="1027" spans="1:15" s="1296" customFormat="1" hidden="1">
      <c r="A1027" s="1310"/>
      <c r="B1027" s="1311"/>
      <c r="C1027" s="1312">
        <v>0</v>
      </c>
      <c r="D1027" s="1313">
        <v>0</v>
      </c>
      <c r="E1027" s="1314"/>
      <c r="F1027" s="1315"/>
      <c r="G1027" s="1316">
        <f>+SUMIF(asientos!$C$13:$C$1276,SYS_4_3_Digitos!A1027,asientos!$B$13:$B$1276)</f>
        <v>0</v>
      </c>
      <c r="H1027" s="1317">
        <f>+SUMIF(asientos!$I$13:$I$1276,SYS_4_3_Digitos!A1027,asientos!$J$13:$J$1276)</f>
        <v>0</v>
      </c>
      <c r="I1027" s="1314">
        <f t="shared" si="100"/>
        <v>0</v>
      </c>
      <c r="J1027" s="1315">
        <f t="shared" si="101"/>
        <v>0</v>
      </c>
      <c r="L1027" s="1308">
        <f t="shared" si="102"/>
        <v>0</v>
      </c>
      <c r="M1027" s="1296" t="str">
        <f t="shared" si="103"/>
        <v>0</v>
      </c>
      <c r="N1027" s="1309">
        <f t="shared" si="104"/>
        <v>0</v>
      </c>
      <c r="O1027" s="1296" t="str">
        <f t="shared" si="105"/>
        <v>0</v>
      </c>
    </row>
    <row r="1028" spans="1:15" s="1296" customFormat="1" hidden="1">
      <c r="A1028" s="1310"/>
      <c r="B1028" s="1311"/>
      <c r="C1028" s="1312">
        <v>0</v>
      </c>
      <c r="D1028" s="1313">
        <v>0</v>
      </c>
      <c r="E1028" s="1314"/>
      <c r="F1028" s="1315"/>
      <c r="G1028" s="1316">
        <f>+SUMIF(asientos!$C$13:$C$1276,SYS_4_3_Digitos!A1028,asientos!$B$13:$B$1276)</f>
        <v>0</v>
      </c>
      <c r="H1028" s="1317">
        <f>+SUMIF(asientos!$I$13:$I$1276,SYS_4_3_Digitos!A1028,asientos!$J$13:$J$1276)</f>
        <v>0</v>
      </c>
      <c r="I1028" s="1314">
        <f t="shared" si="100"/>
        <v>0</v>
      </c>
      <c r="J1028" s="1315">
        <f t="shared" si="101"/>
        <v>0</v>
      </c>
      <c r="L1028" s="1308">
        <f t="shared" si="102"/>
        <v>0</v>
      </c>
      <c r="M1028" s="1296" t="str">
        <f t="shared" si="103"/>
        <v>0</v>
      </c>
      <c r="N1028" s="1309">
        <f t="shared" si="104"/>
        <v>0</v>
      </c>
      <c r="O1028" s="1296" t="str">
        <f t="shared" si="105"/>
        <v>0</v>
      </c>
    </row>
    <row r="1029" spans="1:15" s="1296" customFormat="1" hidden="1">
      <c r="A1029" s="1310"/>
      <c r="B1029" s="1311"/>
      <c r="C1029" s="1312">
        <v>0</v>
      </c>
      <c r="D1029" s="1313">
        <v>0</v>
      </c>
      <c r="E1029" s="1314"/>
      <c r="F1029" s="1315"/>
      <c r="G1029" s="1316">
        <f>+SUMIF(asientos!$C$13:$C$1276,SYS_4_3_Digitos!A1029,asientos!$B$13:$B$1276)</f>
        <v>0</v>
      </c>
      <c r="H1029" s="1317">
        <f>+SUMIF(asientos!$I$13:$I$1276,SYS_4_3_Digitos!A1029,asientos!$J$13:$J$1276)</f>
        <v>0</v>
      </c>
      <c r="I1029" s="1314">
        <f t="shared" si="100"/>
        <v>0</v>
      </c>
      <c r="J1029" s="1315">
        <f t="shared" si="101"/>
        <v>0</v>
      </c>
      <c r="L1029" s="1308">
        <f t="shared" si="102"/>
        <v>0</v>
      </c>
      <c r="M1029" s="1296" t="str">
        <f t="shared" si="103"/>
        <v>0</v>
      </c>
      <c r="N1029" s="1309">
        <f t="shared" si="104"/>
        <v>0</v>
      </c>
      <c r="O1029" s="1296" t="str">
        <f t="shared" si="105"/>
        <v>0</v>
      </c>
    </row>
    <row r="1030" spans="1:15" s="1296" customFormat="1" hidden="1">
      <c r="A1030" s="1310"/>
      <c r="B1030" s="1311"/>
      <c r="C1030" s="1312">
        <v>0</v>
      </c>
      <c r="D1030" s="1313">
        <v>0</v>
      </c>
      <c r="E1030" s="1314"/>
      <c r="F1030" s="1315"/>
      <c r="G1030" s="1316">
        <f>+SUMIF(asientos!$C$13:$C$1276,SYS_4_3_Digitos!A1030,asientos!$B$13:$B$1276)</f>
        <v>0</v>
      </c>
      <c r="H1030" s="1317">
        <f>+SUMIF(asientos!$I$13:$I$1276,SYS_4_3_Digitos!A1030,asientos!$J$13:$J$1276)</f>
        <v>0</v>
      </c>
      <c r="I1030" s="1314">
        <f t="shared" si="100"/>
        <v>0</v>
      </c>
      <c r="J1030" s="1315">
        <f t="shared" si="101"/>
        <v>0</v>
      </c>
      <c r="L1030" s="1308">
        <f t="shared" si="102"/>
        <v>0</v>
      </c>
      <c r="M1030" s="1296" t="str">
        <f t="shared" si="103"/>
        <v>0</v>
      </c>
      <c r="N1030" s="1309">
        <f t="shared" si="104"/>
        <v>0</v>
      </c>
      <c r="O1030" s="1296" t="str">
        <f t="shared" si="105"/>
        <v>0</v>
      </c>
    </row>
    <row r="1031" spans="1:15" s="1296" customFormat="1" hidden="1">
      <c r="A1031" s="1310"/>
      <c r="B1031" s="1311"/>
      <c r="C1031" s="1312">
        <v>0</v>
      </c>
      <c r="D1031" s="1313">
        <v>0</v>
      </c>
      <c r="E1031" s="1314"/>
      <c r="F1031" s="1315"/>
      <c r="G1031" s="1316">
        <f>+SUMIF(asientos!$C$13:$C$1276,SYS_4_3_Digitos!A1031,asientos!$B$13:$B$1276)</f>
        <v>0</v>
      </c>
      <c r="H1031" s="1317">
        <f>+SUMIF(asientos!$I$13:$I$1276,SYS_4_3_Digitos!A1031,asientos!$J$13:$J$1276)</f>
        <v>0</v>
      </c>
      <c r="I1031" s="1314">
        <f t="shared" si="100"/>
        <v>0</v>
      </c>
      <c r="J1031" s="1315">
        <f t="shared" si="101"/>
        <v>0</v>
      </c>
      <c r="L1031" s="1308">
        <f t="shared" si="102"/>
        <v>0</v>
      </c>
      <c r="M1031" s="1296" t="str">
        <f t="shared" si="103"/>
        <v>0</v>
      </c>
      <c r="N1031" s="1309">
        <f t="shared" si="104"/>
        <v>0</v>
      </c>
      <c r="O1031" s="1296" t="str">
        <f t="shared" si="105"/>
        <v>0</v>
      </c>
    </row>
    <row r="1032" spans="1:15" s="1296" customFormat="1" hidden="1">
      <c r="A1032" s="1310"/>
      <c r="B1032" s="1311"/>
      <c r="C1032" s="1312">
        <v>0</v>
      </c>
      <c r="D1032" s="1313">
        <v>0</v>
      </c>
      <c r="E1032" s="1314"/>
      <c r="F1032" s="1315"/>
      <c r="G1032" s="1316">
        <f>+SUMIF(asientos!$C$13:$C$1276,SYS_4_3_Digitos!A1032,asientos!$B$13:$B$1276)</f>
        <v>0</v>
      </c>
      <c r="H1032" s="1317">
        <f>+SUMIF(asientos!$I$13:$I$1276,SYS_4_3_Digitos!A1032,asientos!$J$13:$J$1276)</f>
        <v>0</v>
      </c>
      <c r="I1032" s="1314">
        <f t="shared" si="100"/>
        <v>0</v>
      </c>
      <c r="J1032" s="1315">
        <f t="shared" si="101"/>
        <v>0</v>
      </c>
      <c r="L1032" s="1308">
        <f t="shared" si="102"/>
        <v>0</v>
      </c>
      <c r="M1032" s="1296" t="str">
        <f t="shared" si="103"/>
        <v>0</v>
      </c>
      <c r="N1032" s="1309">
        <f t="shared" si="104"/>
        <v>0</v>
      </c>
      <c r="O1032" s="1296" t="str">
        <f t="shared" si="105"/>
        <v>0</v>
      </c>
    </row>
    <row r="1033" spans="1:15" s="1296" customFormat="1" hidden="1">
      <c r="A1033" s="1310"/>
      <c r="B1033" s="1311"/>
      <c r="C1033" s="1312">
        <v>0</v>
      </c>
      <c r="D1033" s="1313">
        <v>0</v>
      </c>
      <c r="E1033" s="1314"/>
      <c r="F1033" s="1315"/>
      <c r="G1033" s="1316">
        <f>+SUMIF(asientos!$C$13:$C$1276,SYS_4_3_Digitos!A1033,asientos!$B$13:$B$1276)</f>
        <v>0</v>
      </c>
      <c r="H1033" s="1317">
        <f>+SUMIF(asientos!$I$13:$I$1276,SYS_4_3_Digitos!A1033,asientos!$J$13:$J$1276)</f>
        <v>0</v>
      </c>
      <c r="I1033" s="1314">
        <f t="shared" si="100"/>
        <v>0</v>
      </c>
      <c r="J1033" s="1315">
        <f t="shared" si="101"/>
        <v>0</v>
      </c>
      <c r="L1033" s="1308">
        <f t="shared" si="102"/>
        <v>0</v>
      </c>
      <c r="M1033" s="1296" t="str">
        <f t="shared" si="103"/>
        <v>0</v>
      </c>
      <c r="N1033" s="1309">
        <f t="shared" si="104"/>
        <v>0</v>
      </c>
      <c r="O1033" s="1296" t="str">
        <f t="shared" si="105"/>
        <v>0</v>
      </c>
    </row>
    <row r="1034" spans="1:15" s="1296" customFormat="1" hidden="1">
      <c r="A1034" s="1310"/>
      <c r="B1034" s="1311"/>
      <c r="C1034" s="1312">
        <v>0</v>
      </c>
      <c r="D1034" s="1313">
        <v>0</v>
      </c>
      <c r="E1034" s="1314"/>
      <c r="F1034" s="1315"/>
      <c r="G1034" s="1316">
        <f>+SUMIF(asientos!$C$13:$C$1276,SYS_4_3_Digitos!A1034,asientos!$B$13:$B$1276)</f>
        <v>0</v>
      </c>
      <c r="H1034" s="1317">
        <f>+SUMIF(asientos!$I$13:$I$1276,SYS_4_3_Digitos!A1034,asientos!$J$13:$J$1276)</f>
        <v>0</v>
      </c>
      <c r="I1034" s="1314">
        <f t="shared" si="100"/>
        <v>0</v>
      </c>
      <c r="J1034" s="1315">
        <f t="shared" si="101"/>
        <v>0</v>
      </c>
      <c r="L1034" s="1308">
        <f t="shared" si="102"/>
        <v>0</v>
      </c>
      <c r="M1034" s="1296" t="str">
        <f t="shared" si="103"/>
        <v>0</v>
      </c>
      <c r="N1034" s="1309">
        <f t="shared" si="104"/>
        <v>0</v>
      </c>
      <c r="O1034" s="1296" t="str">
        <f t="shared" si="105"/>
        <v>0</v>
      </c>
    </row>
    <row r="1035" spans="1:15" s="1296" customFormat="1" hidden="1">
      <c r="A1035" s="1310"/>
      <c r="B1035" s="1311"/>
      <c r="C1035" s="1312">
        <v>0</v>
      </c>
      <c r="D1035" s="1313">
        <v>0</v>
      </c>
      <c r="E1035" s="1314"/>
      <c r="F1035" s="1315"/>
      <c r="G1035" s="1316">
        <f>+SUMIF(asientos!$C$13:$C$1276,SYS_4_3_Digitos!A1035,asientos!$B$13:$B$1276)</f>
        <v>0</v>
      </c>
      <c r="H1035" s="1317">
        <f>+SUMIF(asientos!$I$13:$I$1276,SYS_4_3_Digitos!A1035,asientos!$J$13:$J$1276)</f>
        <v>0</v>
      </c>
      <c r="I1035" s="1314">
        <f t="shared" si="100"/>
        <v>0</v>
      </c>
      <c r="J1035" s="1315">
        <f t="shared" si="101"/>
        <v>0</v>
      </c>
      <c r="L1035" s="1308">
        <f t="shared" si="102"/>
        <v>0</v>
      </c>
      <c r="M1035" s="1296" t="str">
        <f t="shared" si="103"/>
        <v>0</v>
      </c>
      <c r="N1035" s="1309">
        <f t="shared" si="104"/>
        <v>0</v>
      </c>
      <c r="O1035" s="1296" t="str">
        <f t="shared" si="105"/>
        <v>0</v>
      </c>
    </row>
    <row r="1036" spans="1:15" s="1296" customFormat="1" hidden="1">
      <c r="A1036" s="1310"/>
      <c r="B1036" s="1311"/>
      <c r="C1036" s="1312">
        <v>0</v>
      </c>
      <c r="D1036" s="1313">
        <v>0</v>
      </c>
      <c r="E1036" s="1314"/>
      <c r="F1036" s="1315"/>
      <c r="G1036" s="1316">
        <f>+SUMIF(asientos!$C$13:$C$1276,SYS_4_3_Digitos!A1036,asientos!$B$13:$B$1276)</f>
        <v>0</v>
      </c>
      <c r="H1036" s="1317">
        <f>+SUMIF(asientos!$I$13:$I$1276,SYS_4_3_Digitos!A1036,asientos!$J$13:$J$1276)</f>
        <v>0</v>
      </c>
      <c r="I1036" s="1314">
        <f t="shared" si="100"/>
        <v>0</v>
      </c>
      <c r="J1036" s="1315">
        <f t="shared" si="101"/>
        <v>0</v>
      </c>
      <c r="L1036" s="1308">
        <f t="shared" si="102"/>
        <v>0</v>
      </c>
      <c r="M1036" s="1296" t="str">
        <f t="shared" si="103"/>
        <v>0</v>
      </c>
      <c r="N1036" s="1309">
        <f t="shared" si="104"/>
        <v>0</v>
      </c>
      <c r="O1036" s="1296" t="str">
        <f t="shared" si="105"/>
        <v>0</v>
      </c>
    </row>
    <row r="1037" spans="1:15" s="1296" customFormat="1" hidden="1">
      <c r="A1037" s="1310"/>
      <c r="B1037" s="1311"/>
      <c r="C1037" s="1312">
        <v>0</v>
      </c>
      <c r="D1037" s="1313">
        <v>0</v>
      </c>
      <c r="E1037" s="1314"/>
      <c r="F1037" s="1315"/>
      <c r="G1037" s="1316">
        <f>+SUMIF(asientos!$C$13:$C$1276,SYS_4_3_Digitos!A1037,asientos!$B$13:$B$1276)</f>
        <v>0</v>
      </c>
      <c r="H1037" s="1317">
        <f>+SUMIF(asientos!$I$13:$I$1276,SYS_4_3_Digitos!A1037,asientos!$J$13:$J$1276)</f>
        <v>0</v>
      </c>
      <c r="I1037" s="1314">
        <f t="shared" si="100"/>
        <v>0</v>
      </c>
      <c r="J1037" s="1315">
        <f t="shared" si="101"/>
        <v>0</v>
      </c>
      <c r="L1037" s="1308">
        <f t="shared" si="102"/>
        <v>0</v>
      </c>
      <c r="M1037" s="1296" t="str">
        <f t="shared" si="103"/>
        <v>0</v>
      </c>
      <c r="N1037" s="1309">
        <f t="shared" si="104"/>
        <v>0</v>
      </c>
      <c r="O1037" s="1296" t="str">
        <f t="shared" si="105"/>
        <v>0</v>
      </c>
    </row>
    <row r="1038" spans="1:15" s="1296" customFormat="1" hidden="1">
      <c r="A1038" s="1310"/>
      <c r="B1038" s="1311"/>
      <c r="C1038" s="1312">
        <v>0</v>
      </c>
      <c r="D1038" s="1313">
        <v>0</v>
      </c>
      <c r="E1038" s="1314"/>
      <c r="F1038" s="1315"/>
      <c r="G1038" s="1316">
        <f>+SUMIF(asientos!$C$13:$C$1276,SYS_4_3_Digitos!A1038,asientos!$B$13:$B$1276)</f>
        <v>0</v>
      </c>
      <c r="H1038" s="1317">
        <f>+SUMIF(asientos!$I$13:$I$1276,SYS_4_3_Digitos!A1038,asientos!$J$13:$J$1276)</f>
        <v>0</v>
      </c>
      <c r="I1038" s="1314">
        <f t="shared" si="100"/>
        <v>0</v>
      </c>
      <c r="J1038" s="1315">
        <f t="shared" si="101"/>
        <v>0</v>
      </c>
      <c r="L1038" s="1308">
        <f t="shared" si="102"/>
        <v>0</v>
      </c>
      <c r="M1038" s="1296" t="str">
        <f t="shared" si="103"/>
        <v>0</v>
      </c>
      <c r="N1038" s="1309">
        <f t="shared" si="104"/>
        <v>0</v>
      </c>
      <c r="O1038" s="1296" t="str">
        <f t="shared" si="105"/>
        <v>0</v>
      </c>
    </row>
    <row r="1039" spans="1:15" s="1296" customFormat="1" hidden="1">
      <c r="A1039" s="1310"/>
      <c r="B1039" s="1311"/>
      <c r="C1039" s="1312">
        <v>0</v>
      </c>
      <c r="D1039" s="1313">
        <v>0</v>
      </c>
      <c r="E1039" s="1314"/>
      <c r="F1039" s="1315"/>
      <c r="G1039" s="1316">
        <f>+SUMIF(asientos!$C$13:$C$1276,SYS_4_3_Digitos!A1039,asientos!$B$13:$B$1276)</f>
        <v>0</v>
      </c>
      <c r="H1039" s="1317">
        <f>+SUMIF(asientos!$I$13:$I$1276,SYS_4_3_Digitos!A1039,asientos!$J$13:$J$1276)</f>
        <v>0</v>
      </c>
      <c r="I1039" s="1314">
        <f t="shared" si="100"/>
        <v>0</v>
      </c>
      <c r="J1039" s="1315">
        <f t="shared" si="101"/>
        <v>0</v>
      </c>
      <c r="L1039" s="1308">
        <f t="shared" si="102"/>
        <v>0</v>
      </c>
      <c r="M1039" s="1296" t="str">
        <f t="shared" si="103"/>
        <v>0</v>
      </c>
      <c r="N1039" s="1309">
        <f t="shared" si="104"/>
        <v>0</v>
      </c>
      <c r="O1039" s="1296" t="str">
        <f t="shared" si="105"/>
        <v>0</v>
      </c>
    </row>
    <row r="1040" spans="1:15" s="1296" customFormat="1" hidden="1">
      <c r="A1040" s="1310"/>
      <c r="B1040" s="1311"/>
      <c r="C1040" s="1312">
        <v>0</v>
      </c>
      <c r="D1040" s="1313">
        <v>0</v>
      </c>
      <c r="E1040" s="1314"/>
      <c r="F1040" s="1315"/>
      <c r="G1040" s="1316">
        <f>+SUMIF(asientos!$C$13:$C$1276,SYS_4_3_Digitos!A1040,asientos!$B$13:$B$1276)</f>
        <v>0</v>
      </c>
      <c r="H1040" s="1317">
        <f>+SUMIF(asientos!$I$13:$I$1276,SYS_4_3_Digitos!A1040,asientos!$J$13:$J$1276)</f>
        <v>0</v>
      </c>
      <c r="I1040" s="1314">
        <f t="shared" si="100"/>
        <v>0</v>
      </c>
      <c r="J1040" s="1315">
        <f t="shared" si="101"/>
        <v>0</v>
      </c>
      <c r="L1040" s="1308">
        <f t="shared" si="102"/>
        <v>0</v>
      </c>
      <c r="M1040" s="1296" t="str">
        <f t="shared" si="103"/>
        <v>0</v>
      </c>
      <c r="N1040" s="1309">
        <f t="shared" si="104"/>
        <v>0</v>
      </c>
      <c r="O1040" s="1296" t="str">
        <f t="shared" si="105"/>
        <v>0</v>
      </c>
    </row>
    <row r="1041" spans="1:15" s="1296" customFormat="1" hidden="1">
      <c r="A1041" s="1310"/>
      <c r="B1041" s="1311"/>
      <c r="C1041" s="1312">
        <v>0</v>
      </c>
      <c r="D1041" s="1313">
        <v>0</v>
      </c>
      <c r="E1041" s="1314"/>
      <c r="F1041" s="1315"/>
      <c r="G1041" s="1316">
        <f>+SUMIF(asientos!$C$13:$C$1276,SYS_4_3_Digitos!A1041,asientos!$B$13:$B$1276)</f>
        <v>0</v>
      </c>
      <c r="H1041" s="1317">
        <f>+SUMIF(asientos!$I$13:$I$1276,SYS_4_3_Digitos!A1041,asientos!$J$13:$J$1276)</f>
        <v>0</v>
      </c>
      <c r="I1041" s="1314">
        <f t="shared" si="100"/>
        <v>0</v>
      </c>
      <c r="J1041" s="1315">
        <f t="shared" si="101"/>
        <v>0</v>
      </c>
      <c r="L1041" s="1308">
        <f t="shared" si="102"/>
        <v>0</v>
      </c>
      <c r="M1041" s="1296" t="str">
        <f t="shared" si="103"/>
        <v>0</v>
      </c>
      <c r="N1041" s="1309">
        <f t="shared" si="104"/>
        <v>0</v>
      </c>
      <c r="O1041" s="1296" t="str">
        <f t="shared" si="105"/>
        <v>0</v>
      </c>
    </row>
    <row r="1042" spans="1:15" s="1296" customFormat="1" hidden="1">
      <c r="A1042" s="1310"/>
      <c r="B1042" s="1311"/>
      <c r="C1042" s="1312">
        <v>0</v>
      </c>
      <c r="D1042" s="1313">
        <v>0</v>
      </c>
      <c r="E1042" s="1314"/>
      <c r="F1042" s="1315"/>
      <c r="G1042" s="1316">
        <f>+SUMIF(asientos!$C$13:$C$1276,SYS_4_3_Digitos!A1042,asientos!$B$13:$B$1276)</f>
        <v>0</v>
      </c>
      <c r="H1042" s="1317">
        <f>+SUMIF(asientos!$I$13:$I$1276,SYS_4_3_Digitos!A1042,asientos!$J$13:$J$1276)</f>
        <v>0</v>
      </c>
      <c r="I1042" s="1314">
        <f t="shared" si="100"/>
        <v>0</v>
      </c>
      <c r="J1042" s="1315">
        <f t="shared" si="101"/>
        <v>0</v>
      </c>
      <c r="L1042" s="1308">
        <f t="shared" si="102"/>
        <v>0</v>
      </c>
      <c r="M1042" s="1296" t="str">
        <f t="shared" si="103"/>
        <v>0</v>
      </c>
      <c r="N1042" s="1309">
        <f t="shared" si="104"/>
        <v>0</v>
      </c>
      <c r="O1042" s="1296" t="str">
        <f t="shared" si="105"/>
        <v>0</v>
      </c>
    </row>
    <row r="1043" spans="1:15" s="1296" customFormat="1" hidden="1">
      <c r="A1043" s="1310"/>
      <c r="B1043" s="1311"/>
      <c r="C1043" s="1312">
        <v>0</v>
      </c>
      <c r="D1043" s="1313">
        <v>0</v>
      </c>
      <c r="E1043" s="1314"/>
      <c r="F1043" s="1315"/>
      <c r="G1043" s="1316">
        <f>+SUMIF(asientos!$C$13:$C$1276,SYS_4_3_Digitos!A1043,asientos!$B$13:$B$1276)</f>
        <v>0</v>
      </c>
      <c r="H1043" s="1317">
        <f>+SUMIF(asientos!$I$13:$I$1276,SYS_4_3_Digitos!A1043,asientos!$J$13:$J$1276)</f>
        <v>0</v>
      </c>
      <c r="I1043" s="1314">
        <f t="shared" si="100"/>
        <v>0</v>
      </c>
      <c r="J1043" s="1315">
        <f t="shared" si="101"/>
        <v>0</v>
      </c>
      <c r="L1043" s="1308">
        <f t="shared" si="102"/>
        <v>0</v>
      </c>
      <c r="M1043" s="1296" t="str">
        <f t="shared" si="103"/>
        <v>0</v>
      </c>
      <c r="N1043" s="1309">
        <f t="shared" si="104"/>
        <v>0</v>
      </c>
      <c r="O1043" s="1296" t="str">
        <f t="shared" si="105"/>
        <v>0</v>
      </c>
    </row>
    <row r="1044" spans="1:15" s="1296" customFormat="1" hidden="1">
      <c r="A1044" s="1310"/>
      <c r="B1044" s="1311"/>
      <c r="C1044" s="1312">
        <v>0</v>
      </c>
      <c r="D1044" s="1313">
        <v>0</v>
      </c>
      <c r="E1044" s="1314"/>
      <c r="F1044" s="1315"/>
      <c r="G1044" s="1316">
        <f>+SUMIF(asientos!$C$13:$C$1276,SYS_4_3_Digitos!A1044,asientos!$B$13:$B$1276)</f>
        <v>0</v>
      </c>
      <c r="H1044" s="1317">
        <f>+SUMIF(asientos!$I$13:$I$1276,SYS_4_3_Digitos!A1044,asientos!$J$13:$J$1276)</f>
        <v>0</v>
      </c>
      <c r="I1044" s="1314">
        <f t="shared" si="100"/>
        <v>0</v>
      </c>
      <c r="J1044" s="1315">
        <f t="shared" si="101"/>
        <v>0</v>
      </c>
      <c r="L1044" s="1308">
        <f t="shared" si="102"/>
        <v>0</v>
      </c>
      <c r="M1044" s="1296" t="str">
        <f t="shared" si="103"/>
        <v>0</v>
      </c>
      <c r="N1044" s="1309">
        <f t="shared" si="104"/>
        <v>0</v>
      </c>
      <c r="O1044" s="1296" t="str">
        <f t="shared" si="105"/>
        <v>0</v>
      </c>
    </row>
    <row r="1045" spans="1:15" s="1296" customFormat="1" hidden="1">
      <c r="A1045" s="1310"/>
      <c r="B1045" s="1311"/>
      <c r="C1045" s="1312">
        <v>0</v>
      </c>
      <c r="D1045" s="1313">
        <v>0</v>
      </c>
      <c r="E1045" s="1314"/>
      <c r="F1045" s="1315"/>
      <c r="G1045" s="1316">
        <f>+SUMIF(asientos!$C$13:$C$1276,SYS_4_3_Digitos!A1045,asientos!$B$13:$B$1276)</f>
        <v>0</v>
      </c>
      <c r="H1045" s="1317">
        <f>+SUMIF(asientos!$I$13:$I$1276,SYS_4_3_Digitos!A1045,asientos!$J$13:$J$1276)</f>
        <v>0</v>
      </c>
      <c r="I1045" s="1314">
        <f t="shared" si="100"/>
        <v>0</v>
      </c>
      <c r="J1045" s="1315">
        <f t="shared" si="101"/>
        <v>0</v>
      </c>
      <c r="L1045" s="1308">
        <f t="shared" si="102"/>
        <v>0</v>
      </c>
      <c r="M1045" s="1296" t="str">
        <f t="shared" si="103"/>
        <v>0</v>
      </c>
      <c r="N1045" s="1309">
        <f t="shared" si="104"/>
        <v>0</v>
      </c>
      <c r="O1045" s="1296" t="str">
        <f t="shared" si="105"/>
        <v>0</v>
      </c>
    </row>
    <row r="1046" spans="1:15" s="1296" customFormat="1" hidden="1">
      <c r="A1046" s="1310"/>
      <c r="B1046" s="1311"/>
      <c r="C1046" s="1312">
        <v>0</v>
      </c>
      <c r="D1046" s="1313">
        <v>0</v>
      </c>
      <c r="E1046" s="1314"/>
      <c r="F1046" s="1315"/>
      <c r="G1046" s="1316">
        <f>+SUMIF(asientos!$C$13:$C$1276,SYS_4_3_Digitos!A1046,asientos!$B$13:$B$1276)</f>
        <v>0</v>
      </c>
      <c r="H1046" s="1317">
        <f>+SUMIF(asientos!$I$13:$I$1276,SYS_4_3_Digitos!A1046,asientos!$J$13:$J$1276)</f>
        <v>0</v>
      </c>
      <c r="I1046" s="1314">
        <f t="shared" si="100"/>
        <v>0</v>
      </c>
      <c r="J1046" s="1315">
        <f t="shared" si="101"/>
        <v>0</v>
      </c>
      <c r="L1046" s="1308">
        <f t="shared" si="102"/>
        <v>0</v>
      </c>
      <c r="M1046" s="1296" t="str">
        <f t="shared" si="103"/>
        <v>0</v>
      </c>
      <c r="N1046" s="1309">
        <f t="shared" si="104"/>
        <v>0</v>
      </c>
      <c r="O1046" s="1296" t="str">
        <f t="shared" si="105"/>
        <v>0</v>
      </c>
    </row>
    <row r="1047" spans="1:15" s="1296" customFormat="1" hidden="1">
      <c r="A1047" s="1310"/>
      <c r="B1047" s="1311"/>
      <c r="C1047" s="1312">
        <v>0</v>
      </c>
      <c r="D1047" s="1313">
        <v>0</v>
      </c>
      <c r="E1047" s="1314"/>
      <c r="F1047" s="1315"/>
      <c r="G1047" s="1316">
        <f>+SUMIF(asientos!$C$13:$C$1276,SYS_4_3_Digitos!A1047,asientos!$B$13:$B$1276)</f>
        <v>0</v>
      </c>
      <c r="H1047" s="1317">
        <f>+SUMIF(asientos!$I$13:$I$1276,SYS_4_3_Digitos!A1047,asientos!$J$13:$J$1276)</f>
        <v>0</v>
      </c>
      <c r="I1047" s="1314">
        <f t="shared" si="100"/>
        <v>0</v>
      </c>
      <c r="J1047" s="1315">
        <f t="shared" si="101"/>
        <v>0</v>
      </c>
      <c r="L1047" s="1308">
        <f t="shared" si="102"/>
        <v>0</v>
      </c>
      <c r="M1047" s="1296" t="str">
        <f t="shared" si="103"/>
        <v>0</v>
      </c>
      <c r="N1047" s="1309">
        <f t="shared" si="104"/>
        <v>0</v>
      </c>
      <c r="O1047" s="1296" t="str">
        <f t="shared" si="105"/>
        <v>0</v>
      </c>
    </row>
    <row r="1048" spans="1:15" s="1296" customFormat="1" hidden="1">
      <c r="A1048" s="1310"/>
      <c r="B1048" s="1311"/>
      <c r="C1048" s="1312">
        <v>0</v>
      </c>
      <c r="D1048" s="1313">
        <v>0</v>
      </c>
      <c r="E1048" s="1314"/>
      <c r="F1048" s="1315"/>
      <c r="G1048" s="1316">
        <f>+SUMIF(asientos!$C$13:$C$1276,SYS_4_3_Digitos!A1048,asientos!$B$13:$B$1276)</f>
        <v>0</v>
      </c>
      <c r="H1048" s="1317">
        <f>+SUMIF(asientos!$I$13:$I$1276,SYS_4_3_Digitos!A1048,asientos!$J$13:$J$1276)</f>
        <v>0</v>
      </c>
      <c r="I1048" s="1314">
        <f t="shared" si="100"/>
        <v>0</v>
      </c>
      <c r="J1048" s="1315">
        <f t="shared" si="101"/>
        <v>0</v>
      </c>
      <c r="L1048" s="1308">
        <f t="shared" si="102"/>
        <v>0</v>
      </c>
      <c r="M1048" s="1296" t="str">
        <f t="shared" si="103"/>
        <v>0</v>
      </c>
      <c r="N1048" s="1309">
        <f t="shared" si="104"/>
        <v>0</v>
      </c>
      <c r="O1048" s="1296" t="str">
        <f t="shared" si="105"/>
        <v>0</v>
      </c>
    </row>
    <row r="1049" spans="1:15" s="1296" customFormat="1" hidden="1">
      <c r="A1049" s="1310"/>
      <c r="B1049" s="1311"/>
      <c r="C1049" s="1312">
        <v>0</v>
      </c>
      <c r="D1049" s="1313">
        <v>0</v>
      </c>
      <c r="E1049" s="1314"/>
      <c r="F1049" s="1315"/>
      <c r="G1049" s="1316">
        <f>+SUMIF(asientos!$C$13:$C$1276,SYS_4_3_Digitos!A1049,asientos!$B$13:$B$1276)</f>
        <v>0</v>
      </c>
      <c r="H1049" s="1317">
        <f>+SUMIF(asientos!$I$13:$I$1276,SYS_4_3_Digitos!A1049,asientos!$J$13:$J$1276)</f>
        <v>0</v>
      </c>
      <c r="I1049" s="1314">
        <f t="shared" si="100"/>
        <v>0</v>
      </c>
      <c r="J1049" s="1315">
        <f t="shared" si="101"/>
        <v>0</v>
      </c>
      <c r="L1049" s="1308">
        <f t="shared" si="102"/>
        <v>0</v>
      </c>
      <c r="M1049" s="1296" t="str">
        <f t="shared" si="103"/>
        <v>0</v>
      </c>
      <c r="N1049" s="1309">
        <f t="shared" si="104"/>
        <v>0</v>
      </c>
      <c r="O1049" s="1296" t="str">
        <f t="shared" si="105"/>
        <v>0</v>
      </c>
    </row>
    <row r="1050" spans="1:15" s="1296" customFormat="1" hidden="1">
      <c r="A1050" s="1310"/>
      <c r="B1050" s="1311"/>
      <c r="C1050" s="1312">
        <v>0</v>
      </c>
      <c r="D1050" s="1313">
        <v>0</v>
      </c>
      <c r="E1050" s="1314"/>
      <c r="F1050" s="1315"/>
      <c r="G1050" s="1316">
        <f>+SUMIF(asientos!$C$13:$C$1276,SYS_4_3_Digitos!A1050,asientos!$B$13:$B$1276)</f>
        <v>0</v>
      </c>
      <c r="H1050" s="1317">
        <f>+SUMIF(asientos!$I$13:$I$1276,SYS_4_3_Digitos!A1050,asientos!$J$13:$J$1276)</f>
        <v>0</v>
      </c>
      <c r="I1050" s="1314">
        <f t="shared" si="100"/>
        <v>0</v>
      </c>
      <c r="J1050" s="1315">
        <f t="shared" si="101"/>
        <v>0</v>
      </c>
      <c r="L1050" s="1308">
        <f t="shared" si="102"/>
        <v>0</v>
      </c>
      <c r="M1050" s="1296" t="str">
        <f t="shared" si="103"/>
        <v>0</v>
      </c>
      <c r="N1050" s="1309">
        <f t="shared" si="104"/>
        <v>0</v>
      </c>
      <c r="O1050" s="1296" t="str">
        <f t="shared" si="105"/>
        <v>0</v>
      </c>
    </row>
    <row r="1051" spans="1:15" s="1296" customFormat="1" hidden="1">
      <c r="A1051" s="1310"/>
      <c r="B1051" s="1311"/>
      <c r="C1051" s="1312">
        <v>0</v>
      </c>
      <c r="D1051" s="1313">
        <v>0</v>
      </c>
      <c r="E1051" s="1314"/>
      <c r="F1051" s="1315"/>
      <c r="G1051" s="1316">
        <f>+SUMIF(asientos!$C$13:$C$1276,SYS_4_3_Digitos!A1051,asientos!$B$13:$B$1276)</f>
        <v>0</v>
      </c>
      <c r="H1051" s="1317">
        <f>+SUMIF(asientos!$I$13:$I$1276,SYS_4_3_Digitos!A1051,asientos!$J$13:$J$1276)</f>
        <v>0</v>
      </c>
      <c r="I1051" s="1314">
        <f t="shared" si="100"/>
        <v>0</v>
      </c>
      <c r="J1051" s="1315">
        <f t="shared" si="101"/>
        <v>0</v>
      </c>
      <c r="L1051" s="1308">
        <f t="shared" si="102"/>
        <v>0</v>
      </c>
      <c r="M1051" s="1296" t="str">
        <f t="shared" si="103"/>
        <v>0</v>
      </c>
      <c r="N1051" s="1309">
        <f t="shared" si="104"/>
        <v>0</v>
      </c>
      <c r="O1051" s="1296" t="str">
        <f t="shared" si="105"/>
        <v>0</v>
      </c>
    </row>
    <row r="1052" spans="1:15" s="1296" customFormat="1" hidden="1">
      <c r="A1052" s="1310"/>
      <c r="B1052" s="1311"/>
      <c r="C1052" s="1312">
        <v>0</v>
      </c>
      <c r="D1052" s="1313">
        <v>0</v>
      </c>
      <c r="E1052" s="1314"/>
      <c r="F1052" s="1315"/>
      <c r="G1052" s="1316">
        <f>+SUMIF(asientos!$C$13:$C$1276,SYS_4_3_Digitos!A1052,asientos!$B$13:$B$1276)</f>
        <v>0</v>
      </c>
      <c r="H1052" s="1317">
        <f>+SUMIF(asientos!$I$13:$I$1276,SYS_4_3_Digitos!A1052,asientos!$J$13:$J$1276)</f>
        <v>0</v>
      </c>
      <c r="I1052" s="1314">
        <f t="shared" si="100"/>
        <v>0</v>
      </c>
      <c r="J1052" s="1315">
        <f t="shared" si="101"/>
        <v>0</v>
      </c>
      <c r="L1052" s="1308">
        <f t="shared" si="102"/>
        <v>0</v>
      </c>
      <c r="M1052" s="1296" t="str">
        <f t="shared" si="103"/>
        <v>0</v>
      </c>
      <c r="N1052" s="1309">
        <f t="shared" si="104"/>
        <v>0</v>
      </c>
      <c r="O1052" s="1296" t="str">
        <f t="shared" si="105"/>
        <v>0</v>
      </c>
    </row>
    <row r="1053" spans="1:15" s="1296" customFormat="1" hidden="1">
      <c r="A1053" s="1310"/>
      <c r="B1053" s="1311"/>
      <c r="C1053" s="1312">
        <v>0</v>
      </c>
      <c r="D1053" s="1313">
        <v>0</v>
      </c>
      <c r="E1053" s="1314"/>
      <c r="F1053" s="1315"/>
      <c r="G1053" s="1316">
        <f>+SUMIF(asientos!$C$13:$C$1276,SYS_4_3_Digitos!A1053,asientos!$B$13:$B$1276)</f>
        <v>0</v>
      </c>
      <c r="H1053" s="1317">
        <f>+SUMIF(asientos!$I$13:$I$1276,SYS_4_3_Digitos!A1053,asientos!$J$13:$J$1276)</f>
        <v>0</v>
      </c>
      <c r="I1053" s="1314">
        <f t="shared" si="100"/>
        <v>0</v>
      </c>
      <c r="J1053" s="1315">
        <f t="shared" si="101"/>
        <v>0</v>
      </c>
      <c r="L1053" s="1308">
        <f t="shared" si="102"/>
        <v>0</v>
      </c>
      <c r="M1053" s="1296" t="str">
        <f t="shared" si="103"/>
        <v>0</v>
      </c>
      <c r="N1053" s="1309">
        <f t="shared" si="104"/>
        <v>0</v>
      </c>
      <c r="O1053" s="1296" t="str">
        <f t="shared" si="105"/>
        <v>0</v>
      </c>
    </row>
    <row r="1054" spans="1:15" s="1296" customFormat="1" hidden="1">
      <c r="A1054" s="1310"/>
      <c r="B1054" s="1311"/>
      <c r="C1054" s="1312">
        <v>0</v>
      </c>
      <c r="D1054" s="1313">
        <v>0</v>
      </c>
      <c r="E1054" s="1314"/>
      <c r="F1054" s="1315"/>
      <c r="G1054" s="1316">
        <f>+SUMIF(asientos!$C$13:$C$1276,SYS_4_3_Digitos!A1054,asientos!$B$13:$B$1276)</f>
        <v>0</v>
      </c>
      <c r="H1054" s="1317">
        <f>+SUMIF(asientos!$I$13:$I$1276,SYS_4_3_Digitos!A1054,asientos!$J$13:$J$1276)</f>
        <v>0</v>
      </c>
      <c r="I1054" s="1314">
        <f t="shared" si="100"/>
        <v>0</v>
      </c>
      <c r="J1054" s="1315">
        <f t="shared" si="101"/>
        <v>0</v>
      </c>
      <c r="L1054" s="1308">
        <f t="shared" si="102"/>
        <v>0</v>
      </c>
      <c r="M1054" s="1296" t="str">
        <f t="shared" si="103"/>
        <v>0</v>
      </c>
      <c r="N1054" s="1309">
        <f t="shared" si="104"/>
        <v>0</v>
      </c>
      <c r="O1054" s="1296" t="str">
        <f t="shared" si="105"/>
        <v>0</v>
      </c>
    </row>
    <row r="1055" spans="1:15" s="1296" customFormat="1" hidden="1">
      <c r="A1055" s="1310"/>
      <c r="B1055" s="1311"/>
      <c r="C1055" s="1312">
        <v>0</v>
      </c>
      <c r="D1055" s="1313">
        <v>0</v>
      </c>
      <c r="E1055" s="1314"/>
      <c r="F1055" s="1315"/>
      <c r="G1055" s="1316">
        <f>+SUMIF(asientos!$C$13:$C$1276,SYS_4_3_Digitos!A1055,asientos!$B$13:$B$1276)</f>
        <v>0</v>
      </c>
      <c r="H1055" s="1317">
        <f>+SUMIF(asientos!$I$13:$I$1276,SYS_4_3_Digitos!A1055,asientos!$J$13:$J$1276)</f>
        <v>0</v>
      </c>
      <c r="I1055" s="1314">
        <f t="shared" si="100"/>
        <v>0</v>
      </c>
      <c r="J1055" s="1315">
        <f t="shared" si="101"/>
        <v>0</v>
      </c>
      <c r="L1055" s="1308">
        <f t="shared" si="102"/>
        <v>0</v>
      </c>
      <c r="M1055" s="1296" t="str">
        <f t="shared" si="103"/>
        <v>0</v>
      </c>
      <c r="N1055" s="1309">
        <f t="shared" si="104"/>
        <v>0</v>
      </c>
      <c r="O1055" s="1296" t="str">
        <f t="shared" si="105"/>
        <v>0</v>
      </c>
    </row>
    <row r="1056" spans="1:15" s="1296" customFormat="1" hidden="1">
      <c r="A1056" s="1310"/>
      <c r="B1056" s="1311"/>
      <c r="C1056" s="1312">
        <v>0</v>
      </c>
      <c r="D1056" s="1313">
        <v>0</v>
      </c>
      <c r="E1056" s="1314"/>
      <c r="F1056" s="1315"/>
      <c r="G1056" s="1316">
        <f>+SUMIF(asientos!$C$13:$C$1276,SYS_4_3_Digitos!A1056,asientos!$B$13:$B$1276)</f>
        <v>0</v>
      </c>
      <c r="H1056" s="1317">
        <f>+SUMIF(asientos!$I$13:$I$1276,SYS_4_3_Digitos!A1056,asientos!$J$13:$J$1276)</f>
        <v>0</v>
      </c>
      <c r="I1056" s="1314">
        <f t="shared" si="100"/>
        <v>0</v>
      </c>
      <c r="J1056" s="1315">
        <f t="shared" si="101"/>
        <v>0</v>
      </c>
      <c r="L1056" s="1308">
        <f t="shared" si="102"/>
        <v>0</v>
      </c>
      <c r="M1056" s="1296" t="str">
        <f t="shared" si="103"/>
        <v>0</v>
      </c>
      <c r="N1056" s="1309">
        <f t="shared" si="104"/>
        <v>0</v>
      </c>
      <c r="O1056" s="1296" t="str">
        <f t="shared" si="105"/>
        <v>0</v>
      </c>
    </row>
    <row r="1057" spans="1:15" s="1296" customFormat="1" hidden="1">
      <c r="A1057" s="1310"/>
      <c r="B1057" s="1311"/>
      <c r="C1057" s="1312">
        <v>0</v>
      </c>
      <c r="D1057" s="1313">
        <v>0</v>
      </c>
      <c r="E1057" s="1314"/>
      <c r="F1057" s="1315"/>
      <c r="G1057" s="1316">
        <f>+SUMIF(asientos!$C$13:$C$1276,SYS_4_3_Digitos!A1057,asientos!$B$13:$B$1276)</f>
        <v>0</v>
      </c>
      <c r="H1057" s="1317">
        <f>+SUMIF(asientos!$I$13:$I$1276,SYS_4_3_Digitos!A1057,asientos!$J$13:$J$1276)</f>
        <v>0</v>
      </c>
      <c r="I1057" s="1314">
        <f t="shared" si="100"/>
        <v>0</v>
      </c>
      <c r="J1057" s="1315">
        <f t="shared" si="101"/>
        <v>0</v>
      </c>
      <c r="L1057" s="1308">
        <f t="shared" si="102"/>
        <v>0</v>
      </c>
      <c r="M1057" s="1296" t="str">
        <f t="shared" si="103"/>
        <v>0</v>
      </c>
      <c r="N1057" s="1309">
        <f t="shared" si="104"/>
        <v>0</v>
      </c>
      <c r="O1057" s="1296" t="str">
        <f t="shared" si="105"/>
        <v>0</v>
      </c>
    </row>
    <row r="1058" spans="1:15" s="1296" customFormat="1" hidden="1">
      <c r="A1058" s="1310"/>
      <c r="B1058" s="1311"/>
      <c r="C1058" s="1312">
        <v>0</v>
      </c>
      <c r="D1058" s="1313">
        <v>0</v>
      </c>
      <c r="E1058" s="1314"/>
      <c r="F1058" s="1315"/>
      <c r="G1058" s="1316">
        <f>+SUMIF(asientos!$C$13:$C$1276,SYS_4_3_Digitos!A1058,asientos!$B$13:$B$1276)</f>
        <v>0</v>
      </c>
      <c r="H1058" s="1317">
        <f>+SUMIF(asientos!$I$13:$I$1276,SYS_4_3_Digitos!A1058,asientos!$J$13:$J$1276)</f>
        <v>0</v>
      </c>
      <c r="I1058" s="1314">
        <f t="shared" si="100"/>
        <v>0</v>
      </c>
      <c r="J1058" s="1315">
        <f t="shared" si="101"/>
        <v>0</v>
      </c>
      <c r="L1058" s="1308">
        <f t="shared" si="102"/>
        <v>0</v>
      </c>
      <c r="M1058" s="1296" t="str">
        <f t="shared" si="103"/>
        <v>0</v>
      </c>
      <c r="N1058" s="1309">
        <f t="shared" si="104"/>
        <v>0</v>
      </c>
      <c r="O1058" s="1296" t="str">
        <f t="shared" si="105"/>
        <v>0</v>
      </c>
    </row>
    <row r="1059" spans="1:15" s="1296" customFormat="1" hidden="1">
      <c r="A1059" s="1310"/>
      <c r="B1059" s="1311"/>
      <c r="C1059" s="1312">
        <v>0</v>
      </c>
      <c r="D1059" s="1313">
        <v>0</v>
      </c>
      <c r="E1059" s="1314"/>
      <c r="F1059" s="1315"/>
      <c r="G1059" s="1316">
        <f>+SUMIF(asientos!$C$13:$C$1276,SYS_4_3_Digitos!A1059,asientos!$B$13:$B$1276)</f>
        <v>0</v>
      </c>
      <c r="H1059" s="1317">
        <f>+SUMIF(asientos!$I$13:$I$1276,SYS_4_3_Digitos!A1059,asientos!$J$13:$J$1276)</f>
        <v>0</v>
      </c>
      <c r="I1059" s="1314">
        <f t="shared" si="100"/>
        <v>0</v>
      </c>
      <c r="J1059" s="1315">
        <f t="shared" si="101"/>
        <v>0</v>
      </c>
      <c r="L1059" s="1308">
        <f t="shared" si="102"/>
        <v>0</v>
      </c>
      <c r="M1059" s="1296" t="str">
        <f t="shared" si="103"/>
        <v>0</v>
      </c>
      <c r="N1059" s="1309">
        <f t="shared" si="104"/>
        <v>0</v>
      </c>
      <c r="O1059" s="1296" t="str">
        <f t="shared" si="105"/>
        <v>0</v>
      </c>
    </row>
    <row r="1060" spans="1:15" s="1296" customFormat="1" hidden="1">
      <c r="A1060" s="1310"/>
      <c r="B1060" s="1311"/>
      <c r="C1060" s="1312">
        <v>0</v>
      </c>
      <c r="D1060" s="1313">
        <v>0</v>
      </c>
      <c r="E1060" s="1314"/>
      <c r="F1060" s="1315"/>
      <c r="G1060" s="1316">
        <f>+SUMIF(asientos!$C$13:$C$1276,SYS_4_3_Digitos!A1060,asientos!$B$13:$B$1276)</f>
        <v>0</v>
      </c>
      <c r="H1060" s="1317">
        <f>+SUMIF(asientos!$I$13:$I$1276,SYS_4_3_Digitos!A1060,asientos!$J$13:$J$1276)</f>
        <v>0</v>
      </c>
      <c r="I1060" s="1314">
        <f t="shared" si="100"/>
        <v>0</v>
      </c>
      <c r="J1060" s="1315">
        <f t="shared" si="101"/>
        <v>0</v>
      </c>
      <c r="L1060" s="1308">
        <f t="shared" si="102"/>
        <v>0</v>
      </c>
      <c r="M1060" s="1296" t="str">
        <f t="shared" si="103"/>
        <v>0</v>
      </c>
      <c r="N1060" s="1309">
        <f t="shared" si="104"/>
        <v>0</v>
      </c>
      <c r="O1060" s="1296" t="str">
        <f t="shared" si="105"/>
        <v>0</v>
      </c>
    </row>
    <row r="1061" spans="1:15" s="1296" customFormat="1" hidden="1">
      <c r="A1061" s="1310"/>
      <c r="B1061" s="1311"/>
      <c r="C1061" s="1312">
        <v>0</v>
      </c>
      <c r="D1061" s="1313">
        <v>0</v>
      </c>
      <c r="E1061" s="1314"/>
      <c r="F1061" s="1315"/>
      <c r="G1061" s="1316">
        <f>+SUMIF(asientos!$C$13:$C$1276,SYS_4_3_Digitos!A1061,asientos!$B$13:$B$1276)</f>
        <v>0</v>
      </c>
      <c r="H1061" s="1317">
        <f>+SUMIF(asientos!$I$13:$I$1276,SYS_4_3_Digitos!A1061,asientos!$J$13:$J$1276)</f>
        <v>0</v>
      </c>
      <c r="I1061" s="1314">
        <f t="shared" ref="I1061:I1124" si="106">IF((E1061+G1061-F1061-H1061)&gt;0,E1061+G1061-F1061-H1061,0)</f>
        <v>0</v>
      </c>
      <c r="J1061" s="1315">
        <f t="shared" ref="J1061:J1124" si="107">IF((F1061+H1061-E1061-G1061)&gt;0,F1061+H1061-E1061-G1061,0)</f>
        <v>0</v>
      </c>
      <c r="L1061" s="1308">
        <f t="shared" ref="L1061:L1124" si="108">+A1061*1000000</f>
        <v>0</v>
      </c>
      <c r="M1061" s="1296" t="str">
        <f t="shared" ref="M1061:M1124" si="109">+LEFT(L1061,4)</f>
        <v>0</v>
      </c>
      <c r="N1061" s="1309">
        <f t="shared" ref="N1061:N1124" si="110">+I1061-J1061</f>
        <v>0</v>
      </c>
      <c r="O1061" s="1296" t="str">
        <f t="shared" ref="O1061:O1124" si="111">+LEFT(M1061,2)</f>
        <v>0</v>
      </c>
    </row>
    <row r="1062" spans="1:15" s="1296" customFormat="1" hidden="1">
      <c r="A1062" s="1310"/>
      <c r="B1062" s="1311"/>
      <c r="C1062" s="1312">
        <v>0</v>
      </c>
      <c r="D1062" s="1313">
        <v>0</v>
      </c>
      <c r="E1062" s="1314"/>
      <c r="F1062" s="1315"/>
      <c r="G1062" s="1316">
        <f>+SUMIF(asientos!$C$13:$C$1276,SYS_4_3_Digitos!A1062,asientos!$B$13:$B$1276)</f>
        <v>0</v>
      </c>
      <c r="H1062" s="1317">
        <f>+SUMIF(asientos!$I$13:$I$1276,SYS_4_3_Digitos!A1062,asientos!$J$13:$J$1276)</f>
        <v>0</v>
      </c>
      <c r="I1062" s="1314">
        <f t="shared" si="106"/>
        <v>0</v>
      </c>
      <c r="J1062" s="1315">
        <f t="shared" si="107"/>
        <v>0</v>
      </c>
      <c r="L1062" s="1308">
        <f t="shared" si="108"/>
        <v>0</v>
      </c>
      <c r="M1062" s="1296" t="str">
        <f t="shared" si="109"/>
        <v>0</v>
      </c>
      <c r="N1062" s="1309">
        <f t="shared" si="110"/>
        <v>0</v>
      </c>
      <c r="O1062" s="1296" t="str">
        <f t="shared" si="111"/>
        <v>0</v>
      </c>
    </row>
    <row r="1063" spans="1:15" s="1296" customFormat="1" hidden="1">
      <c r="A1063" s="1310"/>
      <c r="B1063" s="1311"/>
      <c r="C1063" s="1312">
        <v>0</v>
      </c>
      <c r="D1063" s="1313">
        <v>0</v>
      </c>
      <c r="E1063" s="1314"/>
      <c r="F1063" s="1315"/>
      <c r="G1063" s="1316">
        <f>+SUMIF(asientos!$C$13:$C$1276,SYS_4_3_Digitos!A1063,asientos!$B$13:$B$1276)</f>
        <v>0</v>
      </c>
      <c r="H1063" s="1317">
        <f>+SUMIF(asientos!$I$13:$I$1276,SYS_4_3_Digitos!A1063,asientos!$J$13:$J$1276)</f>
        <v>0</v>
      </c>
      <c r="I1063" s="1314">
        <f t="shared" si="106"/>
        <v>0</v>
      </c>
      <c r="J1063" s="1315">
        <f t="shared" si="107"/>
        <v>0</v>
      </c>
      <c r="L1063" s="1308">
        <f t="shared" si="108"/>
        <v>0</v>
      </c>
      <c r="M1063" s="1296" t="str">
        <f t="shared" si="109"/>
        <v>0</v>
      </c>
      <c r="N1063" s="1309">
        <f t="shared" si="110"/>
        <v>0</v>
      </c>
      <c r="O1063" s="1296" t="str">
        <f t="shared" si="111"/>
        <v>0</v>
      </c>
    </row>
    <row r="1064" spans="1:15" s="1296" customFormat="1" hidden="1">
      <c r="A1064" s="1310"/>
      <c r="B1064" s="1311"/>
      <c r="C1064" s="1312">
        <v>0</v>
      </c>
      <c r="D1064" s="1313">
        <v>0</v>
      </c>
      <c r="E1064" s="1314"/>
      <c r="F1064" s="1315"/>
      <c r="G1064" s="1316">
        <f>+SUMIF(asientos!$C$13:$C$1276,SYS_4_3_Digitos!A1064,asientos!$B$13:$B$1276)</f>
        <v>0</v>
      </c>
      <c r="H1064" s="1317">
        <f>+SUMIF(asientos!$I$13:$I$1276,SYS_4_3_Digitos!A1064,asientos!$J$13:$J$1276)</f>
        <v>0</v>
      </c>
      <c r="I1064" s="1314">
        <f t="shared" si="106"/>
        <v>0</v>
      </c>
      <c r="J1064" s="1315">
        <f t="shared" si="107"/>
        <v>0</v>
      </c>
      <c r="L1064" s="1308">
        <f t="shared" si="108"/>
        <v>0</v>
      </c>
      <c r="M1064" s="1296" t="str">
        <f t="shared" si="109"/>
        <v>0</v>
      </c>
      <c r="N1064" s="1309">
        <f t="shared" si="110"/>
        <v>0</v>
      </c>
      <c r="O1064" s="1296" t="str">
        <f t="shared" si="111"/>
        <v>0</v>
      </c>
    </row>
    <row r="1065" spans="1:15" s="1296" customFormat="1" hidden="1">
      <c r="A1065" s="1310"/>
      <c r="B1065" s="1311"/>
      <c r="C1065" s="1312">
        <v>0</v>
      </c>
      <c r="D1065" s="1313">
        <v>0</v>
      </c>
      <c r="E1065" s="1314"/>
      <c r="F1065" s="1315"/>
      <c r="G1065" s="1316">
        <f>+SUMIF(asientos!$C$13:$C$1276,SYS_4_3_Digitos!A1065,asientos!$B$13:$B$1276)</f>
        <v>0</v>
      </c>
      <c r="H1065" s="1317">
        <f>+SUMIF(asientos!$I$13:$I$1276,SYS_4_3_Digitos!A1065,asientos!$J$13:$J$1276)</f>
        <v>0</v>
      </c>
      <c r="I1065" s="1314">
        <f t="shared" si="106"/>
        <v>0</v>
      </c>
      <c r="J1065" s="1315">
        <f t="shared" si="107"/>
        <v>0</v>
      </c>
      <c r="L1065" s="1308">
        <f t="shared" si="108"/>
        <v>0</v>
      </c>
      <c r="M1065" s="1296" t="str">
        <f t="shared" si="109"/>
        <v>0</v>
      </c>
      <c r="N1065" s="1309">
        <f t="shared" si="110"/>
        <v>0</v>
      </c>
      <c r="O1065" s="1296" t="str">
        <f t="shared" si="111"/>
        <v>0</v>
      </c>
    </row>
    <row r="1066" spans="1:15" s="1296" customFormat="1" hidden="1">
      <c r="A1066" s="1310"/>
      <c r="B1066" s="1311"/>
      <c r="C1066" s="1312">
        <v>0</v>
      </c>
      <c r="D1066" s="1313">
        <v>0</v>
      </c>
      <c r="E1066" s="1314"/>
      <c r="F1066" s="1315"/>
      <c r="G1066" s="1316">
        <f>+SUMIF(asientos!$C$13:$C$1276,SYS_4_3_Digitos!A1066,asientos!$B$13:$B$1276)</f>
        <v>0</v>
      </c>
      <c r="H1066" s="1317">
        <f>+SUMIF(asientos!$I$13:$I$1276,SYS_4_3_Digitos!A1066,asientos!$J$13:$J$1276)</f>
        <v>0</v>
      </c>
      <c r="I1066" s="1314">
        <f t="shared" si="106"/>
        <v>0</v>
      </c>
      <c r="J1066" s="1315">
        <f t="shared" si="107"/>
        <v>0</v>
      </c>
      <c r="L1066" s="1308">
        <f t="shared" si="108"/>
        <v>0</v>
      </c>
      <c r="M1066" s="1296" t="str">
        <f t="shared" si="109"/>
        <v>0</v>
      </c>
      <c r="N1066" s="1309">
        <f t="shared" si="110"/>
        <v>0</v>
      </c>
      <c r="O1066" s="1296" t="str">
        <f t="shared" si="111"/>
        <v>0</v>
      </c>
    </row>
    <row r="1067" spans="1:15" s="1296" customFormat="1" hidden="1">
      <c r="A1067" s="1310"/>
      <c r="B1067" s="1311"/>
      <c r="C1067" s="1312">
        <v>0</v>
      </c>
      <c r="D1067" s="1313">
        <v>0</v>
      </c>
      <c r="E1067" s="1314"/>
      <c r="F1067" s="1315"/>
      <c r="G1067" s="1316">
        <f>+SUMIF(asientos!$C$13:$C$1276,SYS_4_3_Digitos!A1067,asientos!$B$13:$B$1276)</f>
        <v>0</v>
      </c>
      <c r="H1067" s="1317">
        <f>+SUMIF(asientos!$I$13:$I$1276,SYS_4_3_Digitos!A1067,asientos!$J$13:$J$1276)</f>
        <v>0</v>
      </c>
      <c r="I1067" s="1314">
        <f t="shared" si="106"/>
        <v>0</v>
      </c>
      <c r="J1067" s="1315">
        <f t="shared" si="107"/>
        <v>0</v>
      </c>
      <c r="L1067" s="1308">
        <f t="shared" si="108"/>
        <v>0</v>
      </c>
      <c r="M1067" s="1296" t="str">
        <f t="shared" si="109"/>
        <v>0</v>
      </c>
      <c r="N1067" s="1309">
        <f t="shared" si="110"/>
        <v>0</v>
      </c>
      <c r="O1067" s="1296" t="str">
        <f t="shared" si="111"/>
        <v>0</v>
      </c>
    </row>
    <row r="1068" spans="1:15" s="1296" customFormat="1" hidden="1">
      <c r="A1068" s="1310"/>
      <c r="B1068" s="1311"/>
      <c r="C1068" s="1312">
        <v>0</v>
      </c>
      <c r="D1068" s="1313">
        <v>0</v>
      </c>
      <c r="E1068" s="1314"/>
      <c r="F1068" s="1315"/>
      <c r="G1068" s="1316">
        <f>+SUMIF(asientos!$C$13:$C$1276,SYS_4_3_Digitos!A1068,asientos!$B$13:$B$1276)</f>
        <v>0</v>
      </c>
      <c r="H1068" s="1317">
        <f>+SUMIF(asientos!$I$13:$I$1276,SYS_4_3_Digitos!A1068,asientos!$J$13:$J$1276)</f>
        <v>0</v>
      </c>
      <c r="I1068" s="1314">
        <f t="shared" si="106"/>
        <v>0</v>
      </c>
      <c r="J1068" s="1315">
        <f t="shared" si="107"/>
        <v>0</v>
      </c>
      <c r="L1068" s="1308">
        <f t="shared" si="108"/>
        <v>0</v>
      </c>
      <c r="M1068" s="1296" t="str">
        <f t="shared" si="109"/>
        <v>0</v>
      </c>
      <c r="N1068" s="1309">
        <f t="shared" si="110"/>
        <v>0</v>
      </c>
      <c r="O1068" s="1296" t="str">
        <f t="shared" si="111"/>
        <v>0</v>
      </c>
    </row>
    <row r="1069" spans="1:15" s="1296" customFormat="1" hidden="1">
      <c r="A1069" s="1310"/>
      <c r="B1069" s="1311"/>
      <c r="C1069" s="1312">
        <v>0</v>
      </c>
      <c r="D1069" s="1313">
        <v>0</v>
      </c>
      <c r="E1069" s="1314"/>
      <c r="F1069" s="1315"/>
      <c r="G1069" s="1316">
        <f>+SUMIF(asientos!$C$13:$C$1276,SYS_4_3_Digitos!A1069,asientos!$B$13:$B$1276)</f>
        <v>0</v>
      </c>
      <c r="H1069" s="1317">
        <f>+SUMIF(asientos!$I$13:$I$1276,SYS_4_3_Digitos!A1069,asientos!$J$13:$J$1276)</f>
        <v>0</v>
      </c>
      <c r="I1069" s="1314">
        <f t="shared" si="106"/>
        <v>0</v>
      </c>
      <c r="J1069" s="1315">
        <f t="shared" si="107"/>
        <v>0</v>
      </c>
      <c r="L1069" s="1308">
        <f t="shared" si="108"/>
        <v>0</v>
      </c>
      <c r="M1069" s="1296" t="str">
        <f t="shared" si="109"/>
        <v>0</v>
      </c>
      <c r="N1069" s="1309">
        <f t="shared" si="110"/>
        <v>0</v>
      </c>
      <c r="O1069" s="1296" t="str">
        <f t="shared" si="111"/>
        <v>0</v>
      </c>
    </row>
    <row r="1070" spans="1:15" s="1296" customFormat="1" hidden="1">
      <c r="A1070" s="1310"/>
      <c r="B1070" s="1311"/>
      <c r="C1070" s="1312">
        <v>0</v>
      </c>
      <c r="D1070" s="1313">
        <v>0</v>
      </c>
      <c r="E1070" s="1314"/>
      <c r="F1070" s="1315"/>
      <c r="G1070" s="1316">
        <f>+SUMIF(asientos!$C$13:$C$1276,SYS_4_3_Digitos!A1070,asientos!$B$13:$B$1276)</f>
        <v>0</v>
      </c>
      <c r="H1070" s="1317">
        <f>+SUMIF(asientos!$I$13:$I$1276,SYS_4_3_Digitos!A1070,asientos!$J$13:$J$1276)</f>
        <v>0</v>
      </c>
      <c r="I1070" s="1314">
        <f t="shared" si="106"/>
        <v>0</v>
      </c>
      <c r="J1070" s="1315">
        <f t="shared" si="107"/>
        <v>0</v>
      </c>
      <c r="L1070" s="1308">
        <f t="shared" si="108"/>
        <v>0</v>
      </c>
      <c r="M1070" s="1296" t="str">
        <f t="shared" si="109"/>
        <v>0</v>
      </c>
      <c r="N1070" s="1309">
        <f t="shared" si="110"/>
        <v>0</v>
      </c>
      <c r="O1070" s="1296" t="str">
        <f t="shared" si="111"/>
        <v>0</v>
      </c>
    </row>
    <row r="1071" spans="1:15" s="1296" customFormat="1" hidden="1">
      <c r="A1071" s="1310"/>
      <c r="B1071" s="1311"/>
      <c r="C1071" s="1312">
        <v>0</v>
      </c>
      <c r="D1071" s="1313">
        <v>0</v>
      </c>
      <c r="E1071" s="1314"/>
      <c r="F1071" s="1315"/>
      <c r="G1071" s="1316">
        <f>+SUMIF(asientos!$C$13:$C$1276,SYS_4_3_Digitos!A1071,asientos!$B$13:$B$1276)</f>
        <v>0</v>
      </c>
      <c r="H1071" s="1317">
        <f>+SUMIF(asientos!$I$13:$I$1276,SYS_4_3_Digitos!A1071,asientos!$J$13:$J$1276)</f>
        <v>0</v>
      </c>
      <c r="I1071" s="1314">
        <f t="shared" si="106"/>
        <v>0</v>
      </c>
      <c r="J1071" s="1315">
        <f t="shared" si="107"/>
        <v>0</v>
      </c>
      <c r="L1071" s="1308">
        <f t="shared" si="108"/>
        <v>0</v>
      </c>
      <c r="M1071" s="1296" t="str">
        <f t="shared" si="109"/>
        <v>0</v>
      </c>
      <c r="N1071" s="1309">
        <f t="shared" si="110"/>
        <v>0</v>
      </c>
      <c r="O1071" s="1296" t="str">
        <f t="shared" si="111"/>
        <v>0</v>
      </c>
    </row>
    <row r="1072" spans="1:15" s="1296" customFormat="1" hidden="1">
      <c r="A1072" s="1310"/>
      <c r="B1072" s="1311"/>
      <c r="C1072" s="1312">
        <v>0</v>
      </c>
      <c r="D1072" s="1313">
        <v>0</v>
      </c>
      <c r="E1072" s="1314"/>
      <c r="F1072" s="1315"/>
      <c r="G1072" s="1316">
        <f>+SUMIF(asientos!$C$13:$C$1276,SYS_4_3_Digitos!A1072,asientos!$B$13:$B$1276)</f>
        <v>0</v>
      </c>
      <c r="H1072" s="1317">
        <f>+SUMIF(asientos!$I$13:$I$1276,SYS_4_3_Digitos!A1072,asientos!$J$13:$J$1276)</f>
        <v>0</v>
      </c>
      <c r="I1072" s="1314">
        <f t="shared" si="106"/>
        <v>0</v>
      </c>
      <c r="J1072" s="1315">
        <f t="shared" si="107"/>
        <v>0</v>
      </c>
      <c r="L1072" s="1308">
        <f t="shared" si="108"/>
        <v>0</v>
      </c>
      <c r="M1072" s="1296" t="str">
        <f t="shared" si="109"/>
        <v>0</v>
      </c>
      <c r="N1072" s="1309">
        <f t="shared" si="110"/>
        <v>0</v>
      </c>
      <c r="O1072" s="1296" t="str">
        <f t="shared" si="111"/>
        <v>0</v>
      </c>
    </row>
    <row r="1073" spans="1:15" s="1296" customFormat="1" hidden="1">
      <c r="A1073" s="1310"/>
      <c r="B1073" s="1311"/>
      <c r="C1073" s="1312">
        <v>0</v>
      </c>
      <c r="D1073" s="1313">
        <v>0</v>
      </c>
      <c r="E1073" s="1314"/>
      <c r="F1073" s="1315"/>
      <c r="G1073" s="1316">
        <f>+SUMIF(asientos!$C$13:$C$1276,SYS_4_3_Digitos!A1073,asientos!$B$13:$B$1276)</f>
        <v>0</v>
      </c>
      <c r="H1073" s="1317">
        <f>+SUMIF(asientos!$I$13:$I$1276,SYS_4_3_Digitos!A1073,asientos!$J$13:$J$1276)</f>
        <v>0</v>
      </c>
      <c r="I1073" s="1314">
        <f t="shared" si="106"/>
        <v>0</v>
      </c>
      <c r="J1073" s="1315">
        <f t="shared" si="107"/>
        <v>0</v>
      </c>
      <c r="L1073" s="1308">
        <f t="shared" si="108"/>
        <v>0</v>
      </c>
      <c r="M1073" s="1296" t="str">
        <f t="shared" si="109"/>
        <v>0</v>
      </c>
      <c r="N1073" s="1309">
        <f t="shared" si="110"/>
        <v>0</v>
      </c>
      <c r="O1073" s="1296" t="str">
        <f t="shared" si="111"/>
        <v>0</v>
      </c>
    </row>
    <row r="1074" spans="1:15" s="1296" customFormat="1" hidden="1">
      <c r="A1074" s="1310"/>
      <c r="B1074" s="1311"/>
      <c r="C1074" s="1312">
        <v>0</v>
      </c>
      <c r="D1074" s="1313">
        <v>0</v>
      </c>
      <c r="E1074" s="1314"/>
      <c r="F1074" s="1315"/>
      <c r="G1074" s="1316">
        <f>+SUMIF(asientos!$C$13:$C$1276,SYS_4_3_Digitos!A1074,asientos!$B$13:$B$1276)</f>
        <v>0</v>
      </c>
      <c r="H1074" s="1317">
        <f>+SUMIF(asientos!$I$13:$I$1276,SYS_4_3_Digitos!A1074,asientos!$J$13:$J$1276)</f>
        <v>0</v>
      </c>
      <c r="I1074" s="1314">
        <f t="shared" si="106"/>
        <v>0</v>
      </c>
      <c r="J1074" s="1315">
        <f t="shared" si="107"/>
        <v>0</v>
      </c>
      <c r="L1074" s="1308">
        <f t="shared" si="108"/>
        <v>0</v>
      </c>
      <c r="M1074" s="1296" t="str">
        <f t="shared" si="109"/>
        <v>0</v>
      </c>
      <c r="N1074" s="1309">
        <f t="shared" si="110"/>
        <v>0</v>
      </c>
      <c r="O1074" s="1296" t="str">
        <f t="shared" si="111"/>
        <v>0</v>
      </c>
    </row>
    <row r="1075" spans="1:15" s="1296" customFormat="1" hidden="1">
      <c r="A1075" s="1310"/>
      <c r="B1075" s="1311"/>
      <c r="C1075" s="1312">
        <v>0</v>
      </c>
      <c r="D1075" s="1313">
        <v>0</v>
      </c>
      <c r="E1075" s="1314"/>
      <c r="F1075" s="1315"/>
      <c r="G1075" s="1316">
        <f>+SUMIF(asientos!$C$13:$C$1276,SYS_4_3_Digitos!A1075,asientos!$B$13:$B$1276)</f>
        <v>0</v>
      </c>
      <c r="H1075" s="1317">
        <f>+SUMIF(asientos!$I$13:$I$1276,SYS_4_3_Digitos!A1075,asientos!$J$13:$J$1276)</f>
        <v>0</v>
      </c>
      <c r="I1075" s="1314">
        <f t="shared" si="106"/>
        <v>0</v>
      </c>
      <c r="J1075" s="1315">
        <f t="shared" si="107"/>
        <v>0</v>
      </c>
      <c r="L1075" s="1308">
        <f t="shared" si="108"/>
        <v>0</v>
      </c>
      <c r="M1075" s="1296" t="str">
        <f t="shared" si="109"/>
        <v>0</v>
      </c>
      <c r="N1075" s="1309">
        <f t="shared" si="110"/>
        <v>0</v>
      </c>
      <c r="O1075" s="1296" t="str">
        <f t="shared" si="111"/>
        <v>0</v>
      </c>
    </row>
    <row r="1076" spans="1:15" s="1296" customFormat="1" hidden="1">
      <c r="A1076" s="1310"/>
      <c r="B1076" s="1311"/>
      <c r="C1076" s="1312">
        <v>0</v>
      </c>
      <c r="D1076" s="1313">
        <v>0</v>
      </c>
      <c r="E1076" s="1314"/>
      <c r="F1076" s="1315"/>
      <c r="G1076" s="1316">
        <f>+SUMIF(asientos!$C$13:$C$1276,SYS_4_3_Digitos!A1076,asientos!$B$13:$B$1276)</f>
        <v>0</v>
      </c>
      <c r="H1076" s="1317">
        <f>+SUMIF(asientos!$I$13:$I$1276,SYS_4_3_Digitos!A1076,asientos!$J$13:$J$1276)</f>
        <v>0</v>
      </c>
      <c r="I1076" s="1314">
        <f t="shared" si="106"/>
        <v>0</v>
      </c>
      <c r="J1076" s="1315">
        <f t="shared" si="107"/>
        <v>0</v>
      </c>
      <c r="L1076" s="1308">
        <f t="shared" si="108"/>
        <v>0</v>
      </c>
      <c r="M1076" s="1296" t="str">
        <f t="shared" si="109"/>
        <v>0</v>
      </c>
      <c r="N1076" s="1309">
        <f t="shared" si="110"/>
        <v>0</v>
      </c>
      <c r="O1076" s="1296" t="str">
        <f t="shared" si="111"/>
        <v>0</v>
      </c>
    </row>
    <row r="1077" spans="1:15" s="1296" customFormat="1" hidden="1">
      <c r="A1077" s="1310"/>
      <c r="B1077" s="1311"/>
      <c r="C1077" s="1312">
        <v>0</v>
      </c>
      <c r="D1077" s="1313">
        <v>0</v>
      </c>
      <c r="E1077" s="1314"/>
      <c r="F1077" s="1315"/>
      <c r="G1077" s="1316">
        <f>+SUMIF(asientos!$C$13:$C$1276,SYS_4_3_Digitos!A1077,asientos!$B$13:$B$1276)</f>
        <v>0</v>
      </c>
      <c r="H1077" s="1317">
        <f>+SUMIF(asientos!$I$13:$I$1276,SYS_4_3_Digitos!A1077,asientos!$J$13:$J$1276)</f>
        <v>0</v>
      </c>
      <c r="I1077" s="1314">
        <f t="shared" si="106"/>
        <v>0</v>
      </c>
      <c r="J1077" s="1315">
        <f t="shared" si="107"/>
        <v>0</v>
      </c>
      <c r="L1077" s="1308">
        <f t="shared" si="108"/>
        <v>0</v>
      </c>
      <c r="M1077" s="1296" t="str">
        <f t="shared" si="109"/>
        <v>0</v>
      </c>
      <c r="N1077" s="1309">
        <f t="shared" si="110"/>
        <v>0</v>
      </c>
      <c r="O1077" s="1296" t="str">
        <f t="shared" si="111"/>
        <v>0</v>
      </c>
    </row>
    <row r="1078" spans="1:15" s="1296" customFormat="1" hidden="1">
      <c r="A1078" s="1310"/>
      <c r="B1078" s="1311"/>
      <c r="C1078" s="1312">
        <v>0</v>
      </c>
      <c r="D1078" s="1313">
        <v>0</v>
      </c>
      <c r="E1078" s="1314"/>
      <c r="F1078" s="1315"/>
      <c r="G1078" s="1316">
        <f>+SUMIF(asientos!$C$13:$C$1276,SYS_4_3_Digitos!A1078,asientos!$B$13:$B$1276)</f>
        <v>0</v>
      </c>
      <c r="H1078" s="1317">
        <f>+SUMIF(asientos!$I$13:$I$1276,SYS_4_3_Digitos!A1078,asientos!$J$13:$J$1276)</f>
        <v>0</v>
      </c>
      <c r="I1078" s="1314">
        <f t="shared" si="106"/>
        <v>0</v>
      </c>
      <c r="J1078" s="1315">
        <f t="shared" si="107"/>
        <v>0</v>
      </c>
      <c r="L1078" s="1308">
        <f t="shared" si="108"/>
        <v>0</v>
      </c>
      <c r="M1078" s="1296" t="str">
        <f t="shared" si="109"/>
        <v>0</v>
      </c>
      <c r="N1078" s="1309">
        <f t="shared" si="110"/>
        <v>0</v>
      </c>
      <c r="O1078" s="1296" t="str">
        <f t="shared" si="111"/>
        <v>0</v>
      </c>
    </row>
    <row r="1079" spans="1:15" s="1296" customFormat="1" hidden="1">
      <c r="A1079" s="1310"/>
      <c r="B1079" s="1311"/>
      <c r="C1079" s="1312">
        <v>0</v>
      </c>
      <c r="D1079" s="1313">
        <v>0</v>
      </c>
      <c r="E1079" s="1314"/>
      <c r="F1079" s="1315"/>
      <c r="G1079" s="1316">
        <f>+SUMIF(asientos!$C$13:$C$1276,SYS_4_3_Digitos!A1079,asientos!$B$13:$B$1276)</f>
        <v>0</v>
      </c>
      <c r="H1079" s="1317">
        <f>+SUMIF(asientos!$I$13:$I$1276,SYS_4_3_Digitos!A1079,asientos!$J$13:$J$1276)</f>
        <v>0</v>
      </c>
      <c r="I1079" s="1314">
        <f t="shared" si="106"/>
        <v>0</v>
      </c>
      <c r="J1079" s="1315">
        <f t="shared" si="107"/>
        <v>0</v>
      </c>
      <c r="L1079" s="1308">
        <f t="shared" si="108"/>
        <v>0</v>
      </c>
      <c r="M1079" s="1296" t="str">
        <f t="shared" si="109"/>
        <v>0</v>
      </c>
      <c r="N1079" s="1309">
        <f t="shared" si="110"/>
        <v>0</v>
      </c>
      <c r="O1079" s="1296" t="str">
        <f t="shared" si="111"/>
        <v>0</v>
      </c>
    </row>
    <row r="1080" spans="1:15" s="1296" customFormat="1" hidden="1">
      <c r="A1080" s="1310"/>
      <c r="B1080" s="1311"/>
      <c r="C1080" s="1312">
        <v>0</v>
      </c>
      <c r="D1080" s="1313">
        <v>0</v>
      </c>
      <c r="E1080" s="1314"/>
      <c r="F1080" s="1315"/>
      <c r="G1080" s="1316">
        <f>+SUMIF(asientos!$C$13:$C$1276,SYS_4_3_Digitos!A1080,asientos!$B$13:$B$1276)</f>
        <v>0</v>
      </c>
      <c r="H1080" s="1317">
        <f>+SUMIF(asientos!$I$13:$I$1276,SYS_4_3_Digitos!A1080,asientos!$J$13:$J$1276)</f>
        <v>0</v>
      </c>
      <c r="I1080" s="1314">
        <f t="shared" si="106"/>
        <v>0</v>
      </c>
      <c r="J1080" s="1315">
        <f t="shared" si="107"/>
        <v>0</v>
      </c>
      <c r="L1080" s="1308">
        <f t="shared" si="108"/>
        <v>0</v>
      </c>
      <c r="M1080" s="1296" t="str">
        <f t="shared" si="109"/>
        <v>0</v>
      </c>
      <c r="N1080" s="1309">
        <f t="shared" si="110"/>
        <v>0</v>
      </c>
      <c r="O1080" s="1296" t="str">
        <f t="shared" si="111"/>
        <v>0</v>
      </c>
    </row>
    <row r="1081" spans="1:15" s="1296" customFormat="1" hidden="1">
      <c r="A1081" s="1310"/>
      <c r="B1081" s="1311"/>
      <c r="C1081" s="1312">
        <v>0</v>
      </c>
      <c r="D1081" s="1313">
        <v>0</v>
      </c>
      <c r="E1081" s="1314"/>
      <c r="F1081" s="1315"/>
      <c r="G1081" s="1316">
        <f>+SUMIF(asientos!$C$13:$C$1276,SYS_4_3_Digitos!A1081,asientos!$B$13:$B$1276)</f>
        <v>0</v>
      </c>
      <c r="H1081" s="1317">
        <f>+SUMIF(asientos!$I$13:$I$1276,SYS_4_3_Digitos!A1081,asientos!$J$13:$J$1276)</f>
        <v>0</v>
      </c>
      <c r="I1081" s="1314">
        <f t="shared" si="106"/>
        <v>0</v>
      </c>
      <c r="J1081" s="1315">
        <f t="shared" si="107"/>
        <v>0</v>
      </c>
      <c r="L1081" s="1308">
        <f t="shared" si="108"/>
        <v>0</v>
      </c>
      <c r="M1081" s="1296" t="str">
        <f t="shared" si="109"/>
        <v>0</v>
      </c>
      <c r="N1081" s="1309">
        <f t="shared" si="110"/>
        <v>0</v>
      </c>
      <c r="O1081" s="1296" t="str">
        <f t="shared" si="111"/>
        <v>0</v>
      </c>
    </row>
    <row r="1082" spans="1:15" s="1296" customFormat="1" hidden="1">
      <c r="A1082" s="1310"/>
      <c r="B1082" s="1311"/>
      <c r="C1082" s="1312">
        <v>0</v>
      </c>
      <c r="D1082" s="1313">
        <v>0</v>
      </c>
      <c r="E1082" s="1314"/>
      <c r="F1082" s="1315"/>
      <c r="G1082" s="1316">
        <f>+SUMIF(asientos!$C$13:$C$1276,SYS_4_3_Digitos!A1082,asientos!$B$13:$B$1276)</f>
        <v>0</v>
      </c>
      <c r="H1082" s="1317">
        <f>+SUMIF(asientos!$I$13:$I$1276,SYS_4_3_Digitos!A1082,asientos!$J$13:$J$1276)</f>
        <v>0</v>
      </c>
      <c r="I1082" s="1314">
        <f t="shared" si="106"/>
        <v>0</v>
      </c>
      <c r="J1082" s="1315">
        <f t="shared" si="107"/>
        <v>0</v>
      </c>
      <c r="L1082" s="1308">
        <f t="shared" si="108"/>
        <v>0</v>
      </c>
      <c r="M1082" s="1296" t="str">
        <f t="shared" si="109"/>
        <v>0</v>
      </c>
      <c r="N1082" s="1309">
        <f t="shared" si="110"/>
        <v>0</v>
      </c>
      <c r="O1082" s="1296" t="str">
        <f t="shared" si="111"/>
        <v>0</v>
      </c>
    </row>
    <row r="1083" spans="1:15" s="1296" customFormat="1" hidden="1">
      <c r="A1083" s="1310"/>
      <c r="B1083" s="1311"/>
      <c r="C1083" s="1312">
        <v>0</v>
      </c>
      <c r="D1083" s="1313">
        <v>0</v>
      </c>
      <c r="E1083" s="1314"/>
      <c r="F1083" s="1315"/>
      <c r="G1083" s="1316">
        <f>+SUMIF(asientos!$C$13:$C$1276,SYS_4_3_Digitos!A1083,asientos!$B$13:$B$1276)</f>
        <v>0</v>
      </c>
      <c r="H1083" s="1317">
        <f>+SUMIF(asientos!$I$13:$I$1276,SYS_4_3_Digitos!A1083,asientos!$J$13:$J$1276)</f>
        <v>0</v>
      </c>
      <c r="I1083" s="1314">
        <f t="shared" si="106"/>
        <v>0</v>
      </c>
      <c r="J1083" s="1315">
        <f t="shared" si="107"/>
        <v>0</v>
      </c>
      <c r="L1083" s="1308">
        <f t="shared" si="108"/>
        <v>0</v>
      </c>
      <c r="M1083" s="1296" t="str">
        <f t="shared" si="109"/>
        <v>0</v>
      </c>
      <c r="N1083" s="1309">
        <f t="shared" si="110"/>
        <v>0</v>
      </c>
      <c r="O1083" s="1296" t="str">
        <f t="shared" si="111"/>
        <v>0</v>
      </c>
    </row>
    <row r="1084" spans="1:15" s="1296" customFormat="1" hidden="1">
      <c r="A1084" s="1310"/>
      <c r="B1084" s="1311"/>
      <c r="C1084" s="1312">
        <v>0</v>
      </c>
      <c r="D1084" s="1313">
        <v>0</v>
      </c>
      <c r="E1084" s="1314"/>
      <c r="F1084" s="1315"/>
      <c r="G1084" s="1316">
        <f>+SUMIF(asientos!$C$13:$C$1276,SYS_4_3_Digitos!A1084,asientos!$B$13:$B$1276)</f>
        <v>0</v>
      </c>
      <c r="H1084" s="1317">
        <f>+SUMIF(asientos!$I$13:$I$1276,SYS_4_3_Digitos!A1084,asientos!$J$13:$J$1276)</f>
        <v>0</v>
      </c>
      <c r="I1084" s="1314">
        <f t="shared" si="106"/>
        <v>0</v>
      </c>
      <c r="J1084" s="1315">
        <f t="shared" si="107"/>
        <v>0</v>
      </c>
      <c r="L1084" s="1308">
        <f t="shared" si="108"/>
        <v>0</v>
      </c>
      <c r="M1084" s="1296" t="str">
        <f t="shared" si="109"/>
        <v>0</v>
      </c>
      <c r="N1084" s="1309">
        <f t="shared" si="110"/>
        <v>0</v>
      </c>
      <c r="O1084" s="1296" t="str">
        <f t="shared" si="111"/>
        <v>0</v>
      </c>
    </row>
    <row r="1085" spans="1:15" s="1296" customFormat="1" hidden="1">
      <c r="A1085" s="1310"/>
      <c r="B1085" s="1311"/>
      <c r="C1085" s="1312">
        <v>0</v>
      </c>
      <c r="D1085" s="1313">
        <v>0</v>
      </c>
      <c r="E1085" s="1314"/>
      <c r="F1085" s="1315"/>
      <c r="G1085" s="1316">
        <f>+SUMIF(asientos!$C$13:$C$1276,SYS_4_3_Digitos!A1085,asientos!$B$13:$B$1276)</f>
        <v>0</v>
      </c>
      <c r="H1085" s="1317">
        <f>+SUMIF(asientos!$I$13:$I$1276,SYS_4_3_Digitos!A1085,asientos!$J$13:$J$1276)</f>
        <v>0</v>
      </c>
      <c r="I1085" s="1314">
        <f t="shared" si="106"/>
        <v>0</v>
      </c>
      <c r="J1085" s="1315">
        <f t="shared" si="107"/>
        <v>0</v>
      </c>
      <c r="L1085" s="1308">
        <f t="shared" si="108"/>
        <v>0</v>
      </c>
      <c r="M1085" s="1296" t="str">
        <f t="shared" si="109"/>
        <v>0</v>
      </c>
      <c r="N1085" s="1309">
        <f t="shared" si="110"/>
        <v>0</v>
      </c>
      <c r="O1085" s="1296" t="str">
        <f t="shared" si="111"/>
        <v>0</v>
      </c>
    </row>
    <row r="1086" spans="1:15" s="1296" customFormat="1" hidden="1">
      <c r="A1086" s="1310"/>
      <c r="B1086" s="1311"/>
      <c r="C1086" s="1312">
        <v>0</v>
      </c>
      <c r="D1086" s="1313">
        <v>0</v>
      </c>
      <c r="E1086" s="1314"/>
      <c r="F1086" s="1315"/>
      <c r="G1086" s="1316">
        <f>+SUMIF(asientos!$C$13:$C$1276,SYS_4_3_Digitos!A1086,asientos!$B$13:$B$1276)</f>
        <v>0</v>
      </c>
      <c r="H1086" s="1317">
        <f>+SUMIF(asientos!$I$13:$I$1276,SYS_4_3_Digitos!A1086,asientos!$J$13:$J$1276)</f>
        <v>0</v>
      </c>
      <c r="I1086" s="1314">
        <f t="shared" si="106"/>
        <v>0</v>
      </c>
      <c r="J1086" s="1315">
        <f t="shared" si="107"/>
        <v>0</v>
      </c>
      <c r="L1086" s="1308">
        <f t="shared" si="108"/>
        <v>0</v>
      </c>
      <c r="M1086" s="1296" t="str">
        <f t="shared" si="109"/>
        <v>0</v>
      </c>
      <c r="N1086" s="1309">
        <f t="shared" si="110"/>
        <v>0</v>
      </c>
      <c r="O1086" s="1296" t="str">
        <f t="shared" si="111"/>
        <v>0</v>
      </c>
    </row>
    <row r="1087" spans="1:15" s="1296" customFormat="1" hidden="1">
      <c r="A1087" s="1310"/>
      <c r="B1087" s="1311"/>
      <c r="C1087" s="1312">
        <v>0</v>
      </c>
      <c r="D1087" s="1313">
        <v>0</v>
      </c>
      <c r="E1087" s="1314"/>
      <c r="F1087" s="1315"/>
      <c r="G1087" s="1316">
        <f>+SUMIF(asientos!$C$13:$C$1276,SYS_4_3_Digitos!A1087,asientos!$B$13:$B$1276)</f>
        <v>0</v>
      </c>
      <c r="H1087" s="1317">
        <f>+SUMIF(asientos!$I$13:$I$1276,SYS_4_3_Digitos!A1087,asientos!$J$13:$J$1276)</f>
        <v>0</v>
      </c>
      <c r="I1087" s="1314">
        <f t="shared" si="106"/>
        <v>0</v>
      </c>
      <c r="J1087" s="1315">
        <f t="shared" si="107"/>
        <v>0</v>
      </c>
      <c r="L1087" s="1308">
        <f t="shared" si="108"/>
        <v>0</v>
      </c>
      <c r="M1087" s="1296" t="str">
        <f t="shared" si="109"/>
        <v>0</v>
      </c>
      <c r="N1087" s="1309">
        <f t="shared" si="110"/>
        <v>0</v>
      </c>
      <c r="O1087" s="1296" t="str">
        <f t="shared" si="111"/>
        <v>0</v>
      </c>
    </row>
    <row r="1088" spans="1:15" s="1296" customFormat="1" hidden="1">
      <c r="A1088" s="1310"/>
      <c r="B1088" s="1311"/>
      <c r="C1088" s="1312">
        <v>0</v>
      </c>
      <c r="D1088" s="1313">
        <v>0</v>
      </c>
      <c r="E1088" s="1314"/>
      <c r="F1088" s="1315"/>
      <c r="G1088" s="1316">
        <f>+SUMIF(asientos!$C$13:$C$1276,SYS_4_3_Digitos!A1088,asientos!$B$13:$B$1276)</f>
        <v>0</v>
      </c>
      <c r="H1088" s="1317">
        <f>+SUMIF(asientos!$I$13:$I$1276,SYS_4_3_Digitos!A1088,asientos!$J$13:$J$1276)</f>
        <v>0</v>
      </c>
      <c r="I1088" s="1314">
        <f t="shared" si="106"/>
        <v>0</v>
      </c>
      <c r="J1088" s="1315">
        <f t="shared" si="107"/>
        <v>0</v>
      </c>
      <c r="L1088" s="1308">
        <f t="shared" si="108"/>
        <v>0</v>
      </c>
      <c r="M1088" s="1296" t="str">
        <f t="shared" si="109"/>
        <v>0</v>
      </c>
      <c r="N1088" s="1309">
        <f t="shared" si="110"/>
        <v>0</v>
      </c>
      <c r="O1088" s="1296" t="str">
        <f t="shared" si="111"/>
        <v>0</v>
      </c>
    </row>
    <row r="1089" spans="1:15" s="1296" customFormat="1" hidden="1">
      <c r="A1089" s="1310"/>
      <c r="B1089" s="1311"/>
      <c r="C1089" s="1312">
        <v>0</v>
      </c>
      <c r="D1089" s="1313">
        <v>0</v>
      </c>
      <c r="E1089" s="1314"/>
      <c r="F1089" s="1315"/>
      <c r="G1089" s="1316">
        <f>+SUMIF(asientos!$C$13:$C$1276,SYS_4_3_Digitos!A1089,asientos!$B$13:$B$1276)</f>
        <v>0</v>
      </c>
      <c r="H1089" s="1317">
        <f>+SUMIF(asientos!$I$13:$I$1276,SYS_4_3_Digitos!A1089,asientos!$J$13:$J$1276)</f>
        <v>0</v>
      </c>
      <c r="I1089" s="1314">
        <f t="shared" si="106"/>
        <v>0</v>
      </c>
      <c r="J1089" s="1315">
        <f t="shared" si="107"/>
        <v>0</v>
      </c>
      <c r="L1089" s="1308">
        <f t="shared" si="108"/>
        <v>0</v>
      </c>
      <c r="M1089" s="1296" t="str">
        <f t="shared" si="109"/>
        <v>0</v>
      </c>
      <c r="N1089" s="1309">
        <f t="shared" si="110"/>
        <v>0</v>
      </c>
      <c r="O1089" s="1296" t="str">
        <f t="shared" si="111"/>
        <v>0</v>
      </c>
    </row>
    <row r="1090" spans="1:15" s="1296" customFormat="1" hidden="1">
      <c r="A1090" s="1310"/>
      <c r="B1090" s="1311"/>
      <c r="C1090" s="1312">
        <v>0</v>
      </c>
      <c r="D1090" s="1313">
        <v>0</v>
      </c>
      <c r="E1090" s="1314"/>
      <c r="F1090" s="1315"/>
      <c r="G1090" s="1316">
        <f>+SUMIF(asientos!$C$13:$C$1276,SYS_4_3_Digitos!A1090,asientos!$B$13:$B$1276)</f>
        <v>0</v>
      </c>
      <c r="H1090" s="1317">
        <f>+SUMIF(asientos!$I$13:$I$1276,SYS_4_3_Digitos!A1090,asientos!$J$13:$J$1276)</f>
        <v>0</v>
      </c>
      <c r="I1090" s="1314">
        <f t="shared" si="106"/>
        <v>0</v>
      </c>
      <c r="J1090" s="1315">
        <f t="shared" si="107"/>
        <v>0</v>
      </c>
      <c r="L1090" s="1308">
        <f t="shared" si="108"/>
        <v>0</v>
      </c>
      <c r="M1090" s="1296" t="str">
        <f t="shared" si="109"/>
        <v>0</v>
      </c>
      <c r="N1090" s="1309">
        <f t="shared" si="110"/>
        <v>0</v>
      </c>
      <c r="O1090" s="1296" t="str">
        <f t="shared" si="111"/>
        <v>0</v>
      </c>
    </row>
    <row r="1091" spans="1:15" s="1296" customFormat="1" hidden="1">
      <c r="A1091" s="1310"/>
      <c r="B1091" s="1311"/>
      <c r="C1091" s="1312">
        <v>0</v>
      </c>
      <c r="D1091" s="1313">
        <v>0</v>
      </c>
      <c r="E1091" s="1314"/>
      <c r="F1091" s="1315"/>
      <c r="G1091" s="1316">
        <f>+SUMIF(asientos!$C$13:$C$1276,SYS_4_3_Digitos!A1091,asientos!$B$13:$B$1276)</f>
        <v>0</v>
      </c>
      <c r="H1091" s="1317">
        <f>+SUMIF(asientos!$I$13:$I$1276,SYS_4_3_Digitos!A1091,asientos!$J$13:$J$1276)</f>
        <v>0</v>
      </c>
      <c r="I1091" s="1314">
        <f t="shared" si="106"/>
        <v>0</v>
      </c>
      <c r="J1091" s="1315">
        <f t="shared" si="107"/>
        <v>0</v>
      </c>
      <c r="L1091" s="1308">
        <f t="shared" si="108"/>
        <v>0</v>
      </c>
      <c r="M1091" s="1296" t="str">
        <f t="shared" si="109"/>
        <v>0</v>
      </c>
      <c r="N1091" s="1309">
        <f t="shared" si="110"/>
        <v>0</v>
      </c>
      <c r="O1091" s="1296" t="str">
        <f t="shared" si="111"/>
        <v>0</v>
      </c>
    </row>
    <row r="1092" spans="1:15" s="1296" customFormat="1" hidden="1">
      <c r="A1092" s="1310"/>
      <c r="B1092" s="1311"/>
      <c r="C1092" s="1312">
        <v>0</v>
      </c>
      <c r="D1092" s="1313">
        <v>0</v>
      </c>
      <c r="E1092" s="1314"/>
      <c r="F1092" s="1315"/>
      <c r="G1092" s="1316">
        <f>+SUMIF(asientos!$C$13:$C$1276,SYS_4_3_Digitos!A1092,asientos!$B$13:$B$1276)</f>
        <v>0</v>
      </c>
      <c r="H1092" s="1317">
        <f>+SUMIF(asientos!$I$13:$I$1276,SYS_4_3_Digitos!A1092,asientos!$J$13:$J$1276)</f>
        <v>0</v>
      </c>
      <c r="I1092" s="1314">
        <f t="shared" si="106"/>
        <v>0</v>
      </c>
      <c r="J1092" s="1315">
        <f t="shared" si="107"/>
        <v>0</v>
      </c>
      <c r="L1092" s="1308">
        <f t="shared" si="108"/>
        <v>0</v>
      </c>
      <c r="M1092" s="1296" t="str">
        <f t="shared" si="109"/>
        <v>0</v>
      </c>
      <c r="N1092" s="1309">
        <f t="shared" si="110"/>
        <v>0</v>
      </c>
      <c r="O1092" s="1296" t="str">
        <f t="shared" si="111"/>
        <v>0</v>
      </c>
    </row>
    <row r="1093" spans="1:15" s="1296" customFormat="1" hidden="1">
      <c r="A1093" s="1310"/>
      <c r="B1093" s="1311"/>
      <c r="C1093" s="1312">
        <v>0</v>
      </c>
      <c r="D1093" s="1313">
        <v>0</v>
      </c>
      <c r="E1093" s="1314"/>
      <c r="F1093" s="1315"/>
      <c r="G1093" s="1316">
        <f>+SUMIF(asientos!$C$13:$C$1276,SYS_4_3_Digitos!A1093,asientos!$B$13:$B$1276)</f>
        <v>0</v>
      </c>
      <c r="H1093" s="1317">
        <f>+SUMIF(asientos!$I$13:$I$1276,SYS_4_3_Digitos!A1093,asientos!$J$13:$J$1276)</f>
        <v>0</v>
      </c>
      <c r="I1093" s="1314">
        <f t="shared" si="106"/>
        <v>0</v>
      </c>
      <c r="J1093" s="1315">
        <f t="shared" si="107"/>
        <v>0</v>
      </c>
      <c r="L1093" s="1308">
        <f t="shared" si="108"/>
        <v>0</v>
      </c>
      <c r="M1093" s="1296" t="str">
        <f t="shared" si="109"/>
        <v>0</v>
      </c>
      <c r="N1093" s="1309">
        <f t="shared" si="110"/>
        <v>0</v>
      </c>
      <c r="O1093" s="1296" t="str">
        <f t="shared" si="111"/>
        <v>0</v>
      </c>
    </row>
    <row r="1094" spans="1:15" s="1296" customFormat="1" hidden="1">
      <c r="A1094" s="1310"/>
      <c r="B1094" s="1311"/>
      <c r="C1094" s="1312">
        <v>0</v>
      </c>
      <c r="D1094" s="1313">
        <v>0</v>
      </c>
      <c r="E1094" s="1314"/>
      <c r="F1094" s="1315"/>
      <c r="G1094" s="1316">
        <f>+SUMIF(asientos!$C$13:$C$1276,SYS_4_3_Digitos!A1094,asientos!$B$13:$B$1276)</f>
        <v>0</v>
      </c>
      <c r="H1094" s="1317">
        <f>+SUMIF(asientos!$I$13:$I$1276,SYS_4_3_Digitos!A1094,asientos!$J$13:$J$1276)</f>
        <v>0</v>
      </c>
      <c r="I1094" s="1314">
        <f t="shared" si="106"/>
        <v>0</v>
      </c>
      <c r="J1094" s="1315">
        <f t="shared" si="107"/>
        <v>0</v>
      </c>
      <c r="L1094" s="1308">
        <f t="shared" si="108"/>
        <v>0</v>
      </c>
      <c r="M1094" s="1296" t="str">
        <f t="shared" si="109"/>
        <v>0</v>
      </c>
      <c r="N1094" s="1309">
        <f t="shared" si="110"/>
        <v>0</v>
      </c>
      <c r="O1094" s="1296" t="str">
        <f t="shared" si="111"/>
        <v>0</v>
      </c>
    </row>
    <row r="1095" spans="1:15" s="1296" customFormat="1" hidden="1">
      <c r="A1095" s="1310"/>
      <c r="B1095" s="1311"/>
      <c r="C1095" s="1312">
        <v>0</v>
      </c>
      <c r="D1095" s="1313">
        <v>0</v>
      </c>
      <c r="E1095" s="1314"/>
      <c r="F1095" s="1315"/>
      <c r="G1095" s="1316">
        <f>+SUMIF(asientos!$C$13:$C$1276,SYS_4_3_Digitos!A1095,asientos!$B$13:$B$1276)</f>
        <v>0</v>
      </c>
      <c r="H1095" s="1317">
        <f>+SUMIF(asientos!$I$13:$I$1276,SYS_4_3_Digitos!A1095,asientos!$J$13:$J$1276)</f>
        <v>0</v>
      </c>
      <c r="I1095" s="1314">
        <f t="shared" si="106"/>
        <v>0</v>
      </c>
      <c r="J1095" s="1315">
        <f t="shared" si="107"/>
        <v>0</v>
      </c>
      <c r="L1095" s="1308">
        <f t="shared" si="108"/>
        <v>0</v>
      </c>
      <c r="M1095" s="1296" t="str">
        <f t="shared" si="109"/>
        <v>0</v>
      </c>
      <c r="N1095" s="1309">
        <f t="shared" si="110"/>
        <v>0</v>
      </c>
      <c r="O1095" s="1296" t="str">
        <f t="shared" si="111"/>
        <v>0</v>
      </c>
    </row>
    <row r="1096" spans="1:15" s="1296" customFormat="1" hidden="1">
      <c r="A1096" s="1310"/>
      <c r="B1096" s="1311"/>
      <c r="C1096" s="1312">
        <v>0</v>
      </c>
      <c r="D1096" s="1313">
        <v>0</v>
      </c>
      <c r="E1096" s="1314"/>
      <c r="F1096" s="1315"/>
      <c r="G1096" s="1316">
        <f>+SUMIF(asientos!$C$13:$C$1276,SYS_4_3_Digitos!A1096,asientos!$B$13:$B$1276)</f>
        <v>0</v>
      </c>
      <c r="H1096" s="1317">
        <f>+SUMIF(asientos!$I$13:$I$1276,SYS_4_3_Digitos!A1096,asientos!$J$13:$J$1276)</f>
        <v>0</v>
      </c>
      <c r="I1096" s="1314">
        <f t="shared" si="106"/>
        <v>0</v>
      </c>
      <c r="J1096" s="1315">
        <f t="shared" si="107"/>
        <v>0</v>
      </c>
      <c r="L1096" s="1308">
        <f t="shared" si="108"/>
        <v>0</v>
      </c>
      <c r="M1096" s="1296" t="str">
        <f t="shared" si="109"/>
        <v>0</v>
      </c>
      <c r="N1096" s="1309">
        <f t="shared" si="110"/>
        <v>0</v>
      </c>
      <c r="O1096" s="1296" t="str">
        <f t="shared" si="111"/>
        <v>0</v>
      </c>
    </row>
    <row r="1097" spans="1:15" s="1296" customFormat="1" hidden="1">
      <c r="A1097" s="1310"/>
      <c r="B1097" s="1311"/>
      <c r="C1097" s="1312">
        <v>0</v>
      </c>
      <c r="D1097" s="1313">
        <v>0</v>
      </c>
      <c r="E1097" s="1314"/>
      <c r="F1097" s="1315"/>
      <c r="G1097" s="1316">
        <f>+SUMIF(asientos!$C$13:$C$1276,SYS_4_3_Digitos!A1097,asientos!$B$13:$B$1276)</f>
        <v>0</v>
      </c>
      <c r="H1097" s="1317">
        <f>+SUMIF(asientos!$I$13:$I$1276,SYS_4_3_Digitos!A1097,asientos!$J$13:$J$1276)</f>
        <v>0</v>
      </c>
      <c r="I1097" s="1314">
        <f t="shared" si="106"/>
        <v>0</v>
      </c>
      <c r="J1097" s="1315">
        <f t="shared" si="107"/>
        <v>0</v>
      </c>
      <c r="L1097" s="1308">
        <f t="shared" si="108"/>
        <v>0</v>
      </c>
      <c r="M1097" s="1296" t="str">
        <f t="shared" si="109"/>
        <v>0</v>
      </c>
      <c r="N1097" s="1309">
        <f t="shared" si="110"/>
        <v>0</v>
      </c>
      <c r="O1097" s="1296" t="str">
        <f t="shared" si="111"/>
        <v>0</v>
      </c>
    </row>
    <row r="1098" spans="1:15" s="1296" customFormat="1" hidden="1">
      <c r="A1098" s="1310"/>
      <c r="B1098" s="1311"/>
      <c r="C1098" s="1312">
        <v>0</v>
      </c>
      <c r="D1098" s="1313">
        <v>0</v>
      </c>
      <c r="E1098" s="1314"/>
      <c r="F1098" s="1315"/>
      <c r="G1098" s="1316">
        <f>+SUMIF(asientos!$C$13:$C$1276,SYS_4_3_Digitos!A1098,asientos!$B$13:$B$1276)</f>
        <v>0</v>
      </c>
      <c r="H1098" s="1317">
        <f>+SUMIF(asientos!$I$13:$I$1276,SYS_4_3_Digitos!A1098,asientos!$J$13:$J$1276)</f>
        <v>0</v>
      </c>
      <c r="I1098" s="1314">
        <f t="shared" si="106"/>
        <v>0</v>
      </c>
      <c r="J1098" s="1315">
        <f t="shared" si="107"/>
        <v>0</v>
      </c>
      <c r="L1098" s="1308">
        <f t="shared" si="108"/>
        <v>0</v>
      </c>
      <c r="M1098" s="1296" t="str">
        <f t="shared" si="109"/>
        <v>0</v>
      </c>
      <c r="N1098" s="1309">
        <f t="shared" si="110"/>
        <v>0</v>
      </c>
      <c r="O1098" s="1296" t="str">
        <f t="shared" si="111"/>
        <v>0</v>
      </c>
    </row>
    <row r="1099" spans="1:15" s="1296" customFormat="1" hidden="1">
      <c r="A1099" s="1310"/>
      <c r="B1099" s="1311"/>
      <c r="C1099" s="1312">
        <v>0</v>
      </c>
      <c r="D1099" s="1313">
        <v>0</v>
      </c>
      <c r="E1099" s="1314"/>
      <c r="F1099" s="1315"/>
      <c r="G1099" s="1316">
        <f>+SUMIF(asientos!$C$13:$C$1276,SYS_4_3_Digitos!A1099,asientos!$B$13:$B$1276)</f>
        <v>0</v>
      </c>
      <c r="H1099" s="1317">
        <f>+SUMIF(asientos!$I$13:$I$1276,SYS_4_3_Digitos!A1099,asientos!$J$13:$J$1276)</f>
        <v>0</v>
      </c>
      <c r="I1099" s="1314">
        <f t="shared" si="106"/>
        <v>0</v>
      </c>
      <c r="J1099" s="1315">
        <f t="shared" si="107"/>
        <v>0</v>
      </c>
      <c r="L1099" s="1308">
        <f t="shared" si="108"/>
        <v>0</v>
      </c>
      <c r="M1099" s="1296" t="str">
        <f t="shared" si="109"/>
        <v>0</v>
      </c>
      <c r="N1099" s="1309">
        <f t="shared" si="110"/>
        <v>0</v>
      </c>
      <c r="O1099" s="1296" t="str">
        <f t="shared" si="111"/>
        <v>0</v>
      </c>
    </row>
    <row r="1100" spans="1:15" s="1296" customFormat="1" hidden="1">
      <c r="A1100" s="1310"/>
      <c r="B1100" s="1311"/>
      <c r="C1100" s="1312">
        <v>0</v>
      </c>
      <c r="D1100" s="1313">
        <v>0</v>
      </c>
      <c r="E1100" s="1314"/>
      <c r="F1100" s="1315"/>
      <c r="G1100" s="1316">
        <f>+SUMIF(asientos!$C$13:$C$1276,SYS_4_3_Digitos!A1100,asientos!$B$13:$B$1276)</f>
        <v>0</v>
      </c>
      <c r="H1100" s="1317">
        <f>+SUMIF(asientos!$I$13:$I$1276,SYS_4_3_Digitos!A1100,asientos!$J$13:$J$1276)</f>
        <v>0</v>
      </c>
      <c r="I1100" s="1314">
        <f t="shared" si="106"/>
        <v>0</v>
      </c>
      <c r="J1100" s="1315">
        <f t="shared" si="107"/>
        <v>0</v>
      </c>
      <c r="L1100" s="1308">
        <f t="shared" si="108"/>
        <v>0</v>
      </c>
      <c r="M1100" s="1296" t="str">
        <f t="shared" si="109"/>
        <v>0</v>
      </c>
      <c r="N1100" s="1309">
        <f t="shared" si="110"/>
        <v>0</v>
      </c>
      <c r="O1100" s="1296" t="str">
        <f t="shared" si="111"/>
        <v>0</v>
      </c>
    </row>
    <row r="1101" spans="1:15" s="1296" customFormat="1" hidden="1">
      <c r="A1101" s="1310"/>
      <c r="B1101" s="1311"/>
      <c r="C1101" s="1312">
        <v>0</v>
      </c>
      <c r="D1101" s="1313">
        <v>0</v>
      </c>
      <c r="E1101" s="1314"/>
      <c r="F1101" s="1315"/>
      <c r="G1101" s="1316">
        <f>+SUMIF(asientos!$C$13:$C$1276,SYS_4_3_Digitos!A1101,asientos!$B$13:$B$1276)</f>
        <v>0</v>
      </c>
      <c r="H1101" s="1317">
        <f>+SUMIF(asientos!$I$13:$I$1276,SYS_4_3_Digitos!A1101,asientos!$J$13:$J$1276)</f>
        <v>0</v>
      </c>
      <c r="I1101" s="1314">
        <f t="shared" si="106"/>
        <v>0</v>
      </c>
      <c r="J1101" s="1315">
        <f t="shared" si="107"/>
        <v>0</v>
      </c>
      <c r="L1101" s="1308">
        <f t="shared" si="108"/>
        <v>0</v>
      </c>
      <c r="M1101" s="1296" t="str">
        <f t="shared" si="109"/>
        <v>0</v>
      </c>
      <c r="N1101" s="1309">
        <f t="shared" si="110"/>
        <v>0</v>
      </c>
      <c r="O1101" s="1296" t="str">
        <f t="shared" si="111"/>
        <v>0</v>
      </c>
    </row>
    <row r="1102" spans="1:15" s="1296" customFormat="1" hidden="1">
      <c r="A1102" s="1310"/>
      <c r="B1102" s="1311"/>
      <c r="C1102" s="1312">
        <v>0</v>
      </c>
      <c r="D1102" s="1313">
        <v>0</v>
      </c>
      <c r="E1102" s="1314"/>
      <c r="F1102" s="1315"/>
      <c r="G1102" s="1316">
        <f>+SUMIF(asientos!$C$13:$C$1276,SYS_4_3_Digitos!A1102,asientos!$B$13:$B$1276)</f>
        <v>0</v>
      </c>
      <c r="H1102" s="1317">
        <f>+SUMIF(asientos!$I$13:$I$1276,SYS_4_3_Digitos!A1102,asientos!$J$13:$J$1276)</f>
        <v>0</v>
      </c>
      <c r="I1102" s="1314">
        <f t="shared" si="106"/>
        <v>0</v>
      </c>
      <c r="J1102" s="1315">
        <f t="shared" si="107"/>
        <v>0</v>
      </c>
      <c r="L1102" s="1308">
        <f t="shared" si="108"/>
        <v>0</v>
      </c>
      <c r="M1102" s="1296" t="str">
        <f t="shared" si="109"/>
        <v>0</v>
      </c>
      <c r="N1102" s="1309">
        <f t="shared" si="110"/>
        <v>0</v>
      </c>
      <c r="O1102" s="1296" t="str">
        <f t="shared" si="111"/>
        <v>0</v>
      </c>
    </row>
    <row r="1103" spans="1:15" s="1296" customFormat="1" hidden="1">
      <c r="A1103" s="1310"/>
      <c r="B1103" s="1311"/>
      <c r="C1103" s="1312">
        <v>0</v>
      </c>
      <c r="D1103" s="1313">
        <v>0</v>
      </c>
      <c r="E1103" s="1314"/>
      <c r="F1103" s="1315"/>
      <c r="G1103" s="1316">
        <f>+SUMIF(asientos!$C$13:$C$1276,SYS_4_3_Digitos!A1103,asientos!$B$13:$B$1276)</f>
        <v>0</v>
      </c>
      <c r="H1103" s="1317">
        <f>+SUMIF(asientos!$I$13:$I$1276,SYS_4_3_Digitos!A1103,asientos!$J$13:$J$1276)</f>
        <v>0</v>
      </c>
      <c r="I1103" s="1314">
        <f t="shared" si="106"/>
        <v>0</v>
      </c>
      <c r="J1103" s="1315">
        <f t="shared" si="107"/>
        <v>0</v>
      </c>
      <c r="L1103" s="1308">
        <f t="shared" si="108"/>
        <v>0</v>
      </c>
      <c r="M1103" s="1296" t="str">
        <f t="shared" si="109"/>
        <v>0</v>
      </c>
      <c r="N1103" s="1309">
        <f t="shared" si="110"/>
        <v>0</v>
      </c>
      <c r="O1103" s="1296" t="str">
        <f t="shared" si="111"/>
        <v>0</v>
      </c>
    </row>
    <row r="1104" spans="1:15" s="1296" customFormat="1" hidden="1">
      <c r="A1104" s="1310"/>
      <c r="B1104" s="1311"/>
      <c r="C1104" s="1312">
        <v>0</v>
      </c>
      <c r="D1104" s="1313">
        <v>0</v>
      </c>
      <c r="E1104" s="1314"/>
      <c r="F1104" s="1315"/>
      <c r="G1104" s="1316">
        <f>+SUMIF(asientos!$C$13:$C$1276,SYS_4_3_Digitos!A1104,asientos!$B$13:$B$1276)</f>
        <v>0</v>
      </c>
      <c r="H1104" s="1317">
        <f>+SUMIF(asientos!$I$13:$I$1276,SYS_4_3_Digitos!A1104,asientos!$J$13:$J$1276)</f>
        <v>0</v>
      </c>
      <c r="I1104" s="1314">
        <f t="shared" si="106"/>
        <v>0</v>
      </c>
      <c r="J1104" s="1315">
        <f t="shared" si="107"/>
        <v>0</v>
      </c>
      <c r="L1104" s="1308">
        <f t="shared" si="108"/>
        <v>0</v>
      </c>
      <c r="M1104" s="1296" t="str">
        <f t="shared" si="109"/>
        <v>0</v>
      </c>
      <c r="N1104" s="1309">
        <f t="shared" si="110"/>
        <v>0</v>
      </c>
      <c r="O1104" s="1296" t="str">
        <f t="shared" si="111"/>
        <v>0</v>
      </c>
    </row>
    <row r="1105" spans="1:15" s="1296" customFormat="1" hidden="1">
      <c r="A1105" s="1310"/>
      <c r="B1105" s="1311"/>
      <c r="C1105" s="1312">
        <v>0</v>
      </c>
      <c r="D1105" s="1313">
        <v>0</v>
      </c>
      <c r="E1105" s="1314"/>
      <c r="F1105" s="1315"/>
      <c r="G1105" s="1316">
        <f>+SUMIF(asientos!$C$13:$C$1276,SYS_4_3_Digitos!A1105,asientos!$B$13:$B$1276)</f>
        <v>0</v>
      </c>
      <c r="H1105" s="1317">
        <f>+SUMIF(asientos!$I$13:$I$1276,SYS_4_3_Digitos!A1105,asientos!$J$13:$J$1276)</f>
        <v>0</v>
      </c>
      <c r="I1105" s="1314">
        <f t="shared" si="106"/>
        <v>0</v>
      </c>
      <c r="J1105" s="1315">
        <f t="shared" si="107"/>
        <v>0</v>
      </c>
      <c r="L1105" s="1308">
        <f t="shared" si="108"/>
        <v>0</v>
      </c>
      <c r="M1105" s="1296" t="str">
        <f t="shared" si="109"/>
        <v>0</v>
      </c>
      <c r="N1105" s="1309">
        <f t="shared" si="110"/>
        <v>0</v>
      </c>
      <c r="O1105" s="1296" t="str">
        <f t="shared" si="111"/>
        <v>0</v>
      </c>
    </row>
    <row r="1106" spans="1:15" s="1296" customFormat="1" hidden="1">
      <c r="A1106" s="1310"/>
      <c r="B1106" s="1311"/>
      <c r="C1106" s="1312">
        <v>0</v>
      </c>
      <c r="D1106" s="1313">
        <v>0</v>
      </c>
      <c r="E1106" s="1314"/>
      <c r="F1106" s="1315"/>
      <c r="G1106" s="1316">
        <f>+SUMIF(asientos!$C$13:$C$1276,SYS_4_3_Digitos!A1106,asientos!$B$13:$B$1276)</f>
        <v>0</v>
      </c>
      <c r="H1106" s="1317">
        <f>+SUMIF(asientos!$I$13:$I$1276,SYS_4_3_Digitos!A1106,asientos!$J$13:$J$1276)</f>
        <v>0</v>
      </c>
      <c r="I1106" s="1314">
        <f t="shared" si="106"/>
        <v>0</v>
      </c>
      <c r="J1106" s="1315">
        <f t="shared" si="107"/>
        <v>0</v>
      </c>
      <c r="L1106" s="1308">
        <f t="shared" si="108"/>
        <v>0</v>
      </c>
      <c r="M1106" s="1296" t="str">
        <f t="shared" si="109"/>
        <v>0</v>
      </c>
      <c r="N1106" s="1309">
        <f t="shared" si="110"/>
        <v>0</v>
      </c>
      <c r="O1106" s="1296" t="str">
        <f t="shared" si="111"/>
        <v>0</v>
      </c>
    </row>
    <row r="1107" spans="1:15" s="1296" customFormat="1" hidden="1">
      <c r="A1107" s="1310"/>
      <c r="B1107" s="1311"/>
      <c r="C1107" s="1312">
        <v>0</v>
      </c>
      <c r="D1107" s="1313">
        <v>0</v>
      </c>
      <c r="E1107" s="1314"/>
      <c r="F1107" s="1315"/>
      <c r="G1107" s="1316">
        <f>+SUMIF(asientos!$C$13:$C$1276,SYS_4_3_Digitos!A1107,asientos!$B$13:$B$1276)</f>
        <v>0</v>
      </c>
      <c r="H1107" s="1317">
        <f>+SUMIF(asientos!$I$13:$I$1276,SYS_4_3_Digitos!A1107,asientos!$J$13:$J$1276)</f>
        <v>0</v>
      </c>
      <c r="I1107" s="1314">
        <f t="shared" si="106"/>
        <v>0</v>
      </c>
      <c r="J1107" s="1315">
        <f t="shared" si="107"/>
        <v>0</v>
      </c>
      <c r="L1107" s="1308">
        <f t="shared" si="108"/>
        <v>0</v>
      </c>
      <c r="M1107" s="1296" t="str">
        <f t="shared" si="109"/>
        <v>0</v>
      </c>
      <c r="N1107" s="1309">
        <f t="shared" si="110"/>
        <v>0</v>
      </c>
      <c r="O1107" s="1296" t="str">
        <f t="shared" si="111"/>
        <v>0</v>
      </c>
    </row>
    <row r="1108" spans="1:15" s="1296" customFormat="1" hidden="1">
      <c r="A1108" s="1310"/>
      <c r="B1108" s="1311"/>
      <c r="C1108" s="1312">
        <v>0</v>
      </c>
      <c r="D1108" s="1313">
        <v>0</v>
      </c>
      <c r="E1108" s="1314"/>
      <c r="F1108" s="1315"/>
      <c r="G1108" s="1316">
        <f>+SUMIF(asientos!$C$13:$C$1276,SYS_4_3_Digitos!A1108,asientos!$B$13:$B$1276)</f>
        <v>0</v>
      </c>
      <c r="H1108" s="1317">
        <f>+SUMIF(asientos!$I$13:$I$1276,SYS_4_3_Digitos!A1108,asientos!$J$13:$J$1276)</f>
        <v>0</v>
      </c>
      <c r="I1108" s="1314">
        <f t="shared" si="106"/>
        <v>0</v>
      </c>
      <c r="J1108" s="1315">
        <f t="shared" si="107"/>
        <v>0</v>
      </c>
      <c r="L1108" s="1308">
        <f t="shared" si="108"/>
        <v>0</v>
      </c>
      <c r="M1108" s="1296" t="str">
        <f t="shared" si="109"/>
        <v>0</v>
      </c>
      <c r="N1108" s="1309">
        <f t="shared" si="110"/>
        <v>0</v>
      </c>
      <c r="O1108" s="1296" t="str">
        <f t="shared" si="111"/>
        <v>0</v>
      </c>
    </row>
    <row r="1109" spans="1:15" s="1296" customFormat="1" hidden="1">
      <c r="A1109" s="1310"/>
      <c r="B1109" s="1311"/>
      <c r="C1109" s="1312">
        <v>0</v>
      </c>
      <c r="D1109" s="1313">
        <v>0</v>
      </c>
      <c r="E1109" s="1314"/>
      <c r="F1109" s="1315"/>
      <c r="G1109" s="1316">
        <f>+SUMIF(asientos!$C$13:$C$1276,SYS_4_3_Digitos!A1109,asientos!$B$13:$B$1276)</f>
        <v>0</v>
      </c>
      <c r="H1109" s="1317">
        <f>+SUMIF(asientos!$I$13:$I$1276,SYS_4_3_Digitos!A1109,asientos!$J$13:$J$1276)</f>
        <v>0</v>
      </c>
      <c r="I1109" s="1314">
        <f t="shared" si="106"/>
        <v>0</v>
      </c>
      <c r="J1109" s="1315">
        <f t="shared" si="107"/>
        <v>0</v>
      </c>
      <c r="L1109" s="1308">
        <f t="shared" si="108"/>
        <v>0</v>
      </c>
      <c r="M1109" s="1296" t="str">
        <f t="shared" si="109"/>
        <v>0</v>
      </c>
      <c r="N1109" s="1309">
        <f t="shared" si="110"/>
        <v>0</v>
      </c>
      <c r="O1109" s="1296" t="str">
        <f t="shared" si="111"/>
        <v>0</v>
      </c>
    </row>
    <row r="1110" spans="1:15" s="1296" customFormat="1" hidden="1">
      <c r="A1110" s="1310"/>
      <c r="B1110" s="1311"/>
      <c r="C1110" s="1312">
        <v>0</v>
      </c>
      <c r="D1110" s="1313">
        <v>0</v>
      </c>
      <c r="E1110" s="1314"/>
      <c r="F1110" s="1315"/>
      <c r="G1110" s="1316">
        <f>+SUMIF(asientos!$C$13:$C$1276,SYS_4_3_Digitos!A1110,asientos!$B$13:$B$1276)</f>
        <v>0</v>
      </c>
      <c r="H1110" s="1317">
        <f>+SUMIF(asientos!$I$13:$I$1276,SYS_4_3_Digitos!A1110,asientos!$J$13:$J$1276)</f>
        <v>0</v>
      </c>
      <c r="I1110" s="1314">
        <f t="shared" si="106"/>
        <v>0</v>
      </c>
      <c r="J1110" s="1315">
        <f t="shared" si="107"/>
        <v>0</v>
      </c>
      <c r="L1110" s="1308">
        <f t="shared" si="108"/>
        <v>0</v>
      </c>
      <c r="M1110" s="1296" t="str">
        <f t="shared" si="109"/>
        <v>0</v>
      </c>
      <c r="N1110" s="1309">
        <f t="shared" si="110"/>
        <v>0</v>
      </c>
      <c r="O1110" s="1296" t="str">
        <f t="shared" si="111"/>
        <v>0</v>
      </c>
    </row>
    <row r="1111" spans="1:15" s="1296" customFormat="1" hidden="1">
      <c r="A1111" s="1310"/>
      <c r="B1111" s="1311"/>
      <c r="C1111" s="1312">
        <v>0</v>
      </c>
      <c r="D1111" s="1313">
        <v>0</v>
      </c>
      <c r="E1111" s="1314"/>
      <c r="F1111" s="1315"/>
      <c r="G1111" s="1316">
        <f>+SUMIF(asientos!$C$13:$C$1276,SYS_4_3_Digitos!A1111,asientos!$B$13:$B$1276)</f>
        <v>0</v>
      </c>
      <c r="H1111" s="1317">
        <f>+SUMIF(asientos!$I$13:$I$1276,SYS_4_3_Digitos!A1111,asientos!$J$13:$J$1276)</f>
        <v>0</v>
      </c>
      <c r="I1111" s="1314">
        <f t="shared" si="106"/>
        <v>0</v>
      </c>
      <c r="J1111" s="1315">
        <f t="shared" si="107"/>
        <v>0</v>
      </c>
      <c r="L1111" s="1308">
        <f t="shared" si="108"/>
        <v>0</v>
      </c>
      <c r="M1111" s="1296" t="str">
        <f t="shared" si="109"/>
        <v>0</v>
      </c>
      <c r="N1111" s="1309">
        <f t="shared" si="110"/>
        <v>0</v>
      </c>
      <c r="O1111" s="1296" t="str">
        <f t="shared" si="111"/>
        <v>0</v>
      </c>
    </row>
    <row r="1112" spans="1:15" s="1296" customFormat="1" hidden="1">
      <c r="A1112" s="1310"/>
      <c r="B1112" s="1311"/>
      <c r="C1112" s="1312">
        <v>0</v>
      </c>
      <c r="D1112" s="1313">
        <v>0</v>
      </c>
      <c r="E1112" s="1314"/>
      <c r="F1112" s="1315"/>
      <c r="G1112" s="1316">
        <f>+SUMIF(asientos!$C$13:$C$1276,SYS_4_3_Digitos!A1112,asientos!$B$13:$B$1276)</f>
        <v>0</v>
      </c>
      <c r="H1112" s="1317">
        <f>+SUMIF(asientos!$I$13:$I$1276,SYS_4_3_Digitos!A1112,asientos!$J$13:$J$1276)</f>
        <v>0</v>
      </c>
      <c r="I1112" s="1314">
        <f t="shared" si="106"/>
        <v>0</v>
      </c>
      <c r="J1112" s="1315">
        <f t="shared" si="107"/>
        <v>0</v>
      </c>
      <c r="L1112" s="1308">
        <f t="shared" si="108"/>
        <v>0</v>
      </c>
      <c r="M1112" s="1296" t="str">
        <f t="shared" si="109"/>
        <v>0</v>
      </c>
      <c r="N1112" s="1309">
        <f t="shared" si="110"/>
        <v>0</v>
      </c>
      <c r="O1112" s="1296" t="str">
        <f t="shared" si="111"/>
        <v>0</v>
      </c>
    </row>
    <row r="1113" spans="1:15" s="1296" customFormat="1" hidden="1">
      <c r="A1113" s="1310"/>
      <c r="B1113" s="1311"/>
      <c r="C1113" s="1312">
        <v>0</v>
      </c>
      <c r="D1113" s="1313">
        <v>0</v>
      </c>
      <c r="E1113" s="1314"/>
      <c r="F1113" s="1315"/>
      <c r="G1113" s="1316">
        <f>+SUMIF(asientos!$C$13:$C$1276,SYS_4_3_Digitos!A1113,asientos!$B$13:$B$1276)</f>
        <v>0</v>
      </c>
      <c r="H1113" s="1317">
        <f>+SUMIF(asientos!$I$13:$I$1276,SYS_4_3_Digitos!A1113,asientos!$J$13:$J$1276)</f>
        <v>0</v>
      </c>
      <c r="I1113" s="1314">
        <f t="shared" si="106"/>
        <v>0</v>
      </c>
      <c r="J1113" s="1315">
        <f t="shared" si="107"/>
        <v>0</v>
      </c>
      <c r="L1113" s="1308">
        <f t="shared" si="108"/>
        <v>0</v>
      </c>
      <c r="M1113" s="1296" t="str">
        <f t="shared" si="109"/>
        <v>0</v>
      </c>
      <c r="N1113" s="1309">
        <f t="shared" si="110"/>
        <v>0</v>
      </c>
      <c r="O1113" s="1296" t="str">
        <f t="shared" si="111"/>
        <v>0</v>
      </c>
    </row>
    <row r="1114" spans="1:15" s="1296" customFormat="1" hidden="1">
      <c r="A1114" s="1310"/>
      <c r="B1114" s="1311"/>
      <c r="C1114" s="1312">
        <v>0</v>
      </c>
      <c r="D1114" s="1313">
        <v>0</v>
      </c>
      <c r="E1114" s="1314"/>
      <c r="F1114" s="1315"/>
      <c r="G1114" s="1316">
        <f>+SUMIF(asientos!$C$13:$C$1276,SYS_4_3_Digitos!A1114,asientos!$B$13:$B$1276)</f>
        <v>0</v>
      </c>
      <c r="H1114" s="1317">
        <f>+SUMIF(asientos!$I$13:$I$1276,SYS_4_3_Digitos!A1114,asientos!$J$13:$J$1276)</f>
        <v>0</v>
      </c>
      <c r="I1114" s="1314">
        <f t="shared" si="106"/>
        <v>0</v>
      </c>
      <c r="J1114" s="1315">
        <f t="shared" si="107"/>
        <v>0</v>
      </c>
      <c r="L1114" s="1308">
        <f t="shared" si="108"/>
        <v>0</v>
      </c>
      <c r="M1114" s="1296" t="str">
        <f t="shared" si="109"/>
        <v>0</v>
      </c>
      <c r="N1114" s="1309">
        <f t="shared" si="110"/>
        <v>0</v>
      </c>
      <c r="O1114" s="1296" t="str">
        <f t="shared" si="111"/>
        <v>0</v>
      </c>
    </row>
    <row r="1115" spans="1:15" s="1296" customFormat="1" hidden="1">
      <c r="A1115" s="1310"/>
      <c r="B1115" s="1311"/>
      <c r="C1115" s="1312">
        <v>0</v>
      </c>
      <c r="D1115" s="1313">
        <v>0</v>
      </c>
      <c r="E1115" s="1314"/>
      <c r="F1115" s="1315"/>
      <c r="G1115" s="1316">
        <f>+SUMIF(asientos!$C$13:$C$1276,SYS_4_3_Digitos!A1115,asientos!$B$13:$B$1276)</f>
        <v>0</v>
      </c>
      <c r="H1115" s="1317">
        <f>+SUMIF(asientos!$I$13:$I$1276,SYS_4_3_Digitos!A1115,asientos!$J$13:$J$1276)</f>
        <v>0</v>
      </c>
      <c r="I1115" s="1314">
        <f t="shared" si="106"/>
        <v>0</v>
      </c>
      <c r="J1115" s="1315">
        <f t="shared" si="107"/>
        <v>0</v>
      </c>
      <c r="L1115" s="1308">
        <f t="shared" si="108"/>
        <v>0</v>
      </c>
      <c r="M1115" s="1296" t="str">
        <f t="shared" si="109"/>
        <v>0</v>
      </c>
      <c r="N1115" s="1309">
        <f t="shared" si="110"/>
        <v>0</v>
      </c>
      <c r="O1115" s="1296" t="str">
        <f t="shared" si="111"/>
        <v>0</v>
      </c>
    </row>
    <row r="1116" spans="1:15" s="1296" customFormat="1" hidden="1">
      <c r="A1116" s="1310"/>
      <c r="B1116" s="1311"/>
      <c r="C1116" s="1312">
        <v>0</v>
      </c>
      <c r="D1116" s="1313">
        <v>0</v>
      </c>
      <c r="E1116" s="1314"/>
      <c r="F1116" s="1315"/>
      <c r="G1116" s="1316">
        <f>+SUMIF(asientos!$C$13:$C$1276,SYS_4_3_Digitos!A1116,asientos!$B$13:$B$1276)</f>
        <v>0</v>
      </c>
      <c r="H1116" s="1317">
        <f>+SUMIF(asientos!$I$13:$I$1276,SYS_4_3_Digitos!A1116,asientos!$J$13:$J$1276)</f>
        <v>0</v>
      </c>
      <c r="I1116" s="1314">
        <f t="shared" si="106"/>
        <v>0</v>
      </c>
      <c r="J1116" s="1315">
        <f t="shared" si="107"/>
        <v>0</v>
      </c>
      <c r="L1116" s="1308">
        <f t="shared" si="108"/>
        <v>0</v>
      </c>
      <c r="M1116" s="1296" t="str">
        <f t="shared" si="109"/>
        <v>0</v>
      </c>
      <c r="N1116" s="1309">
        <f t="shared" si="110"/>
        <v>0</v>
      </c>
      <c r="O1116" s="1296" t="str">
        <f t="shared" si="111"/>
        <v>0</v>
      </c>
    </row>
    <row r="1117" spans="1:15" s="1296" customFormat="1" hidden="1">
      <c r="A1117" s="1310"/>
      <c r="B1117" s="1311"/>
      <c r="C1117" s="1312">
        <v>0</v>
      </c>
      <c r="D1117" s="1313">
        <v>0</v>
      </c>
      <c r="E1117" s="1314"/>
      <c r="F1117" s="1315"/>
      <c r="G1117" s="1316">
        <f>+SUMIF(asientos!$C$13:$C$1276,SYS_4_3_Digitos!A1117,asientos!$B$13:$B$1276)</f>
        <v>0</v>
      </c>
      <c r="H1117" s="1317">
        <f>+SUMIF(asientos!$I$13:$I$1276,SYS_4_3_Digitos!A1117,asientos!$J$13:$J$1276)</f>
        <v>0</v>
      </c>
      <c r="I1117" s="1314">
        <f t="shared" si="106"/>
        <v>0</v>
      </c>
      <c r="J1117" s="1315">
        <f t="shared" si="107"/>
        <v>0</v>
      </c>
      <c r="L1117" s="1308">
        <f t="shared" si="108"/>
        <v>0</v>
      </c>
      <c r="M1117" s="1296" t="str">
        <f t="shared" si="109"/>
        <v>0</v>
      </c>
      <c r="N1117" s="1309">
        <f t="shared" si="110"/>
        <v>0</v>
      </c>
      <c r="O1117" s="1296" t="str">
        <f t="shared" si="111"/>
        <v>0</v>
      </c>
    </row>
    <row r="1118" spans="1:15" s="1296" customFormat="1" hidden="1">
      <c r="A1118" s="1310"/>
      <c r="B1118" s="1311"/>
      <c r="C1118" s="1312">
        <v>0</v>
      </c>
      <c r="D1118" s="1313">
        <v>0</v>
      </c>
      <c r="E1118" s="1314"/>
      <c r="F1118" s="1315"/>
      <c r="G1118" s="1316">
        <f>+SUMIF(asientos!$C$13:$C$1276,SYS_4_3_Digitos!A1118,asientos!$B$13:$B$1276)</f>
        <v>0</v>
      </c>
      <c r="H1118" s="1317">
        <f>+SUMIF(asientos!$I$13:$I$1276,SYS_4_3_Digitos!A1118,asientos!$J$13:$J$1276)</f>
        <v>0</v>
      </c>
      <c r="I1118" s="1314">
        <f t="shared" si="106"/>
        <v>0</v>
      </c>
      <c r="J1118" s="1315">
        <f t="shared" si="107"/>
        <v>0</v>
      </c>
      <c r="L1118" s="1308">
        <f t="shared" si="108"/>
        <v>0</v>
      </c>
      <c r="M1118" s="1296" t="str">
        <f t="shared" si="109"/>
        <v>0</v>
      </c>
      <c r="N1118" s="1309">
        <f t="shared" si="110"/>
        <v>0</v>
      </c>
      <c r="O1118" s="1296" t="str">
        <f t="shared" si="111"/>
        <v>0</v>
      </c>
    </row>
    <row r="1119" spans="1:15" s="1296" customFormat="1" hidden="1">
      <c r="A1119" s="1310"/>
      <c r="B1119" s="1311"/>
      <c r="C1119" s="1312">
        <v>0</v>
      </c>
      <c r="D1119" s="1313">
        <v>0</v>
      </c>
      <c r="E1119" s="1314"/>
      <c r="F1119" s="1315"/>
      <c r="G1119" s="1316">
        <f>+SUMIF(asientos!$C$13:$C$1276,SYS_4_3_Digitos!A1119,asientos!$B$13:$B$1276)</f>
        <v>0</v>
      </c>
      <c r="H1119" s="1317">
        <f>+SUMIF(asientos!$I$13:$I$1276,SYS_4_3_Digitos!A1119,asientos!$J$13:$J$1276)</f>
        <v>0</v>
      </c>
      <c r="I1119" s="1314">
        <f t="shared" si="106"/>
        <v>0</v>
      </c>
      <c r="J1119" s="1315">
        <f t="shared" si="107"/>
        <v>0</v>
      </c>
      <c r="L1119" s="1308">
        <f t="shared" si="108"/>
        <v>0</v>
      </c>
      <c r="M1119" s="1296" t="str">
        <f t="shared" si="109"/>
        <v>0</v>
      </c>
      <c r="N1119" s="1309">
        <f t="shared" si="110"/>
        <v>0</v>
      </c>
      <c r="O1119" s="1296" t="str">
        <f t="shared" si="111"/>
        <v>0</v>
      </c>
    </row>
    <row r="1120" spans="1:15" s="1296" customFormat="1" hidden="1">
      <c r="A1120" s="1310"/>
      <c r="B1120" s="1311"/>
      <c r="C1120" s="1312">
        <v>0</v>
      </c>
      <c r="D1120" s="1313">
        <v>0</v>
      </c>
      <c r="E1120" s="1314"/>
      <c r="F1120" s="1315"/>
      <c r="G1120" s="1316">
        <f>+SUMIF(asientos!$C$13:$C$1276,SYS_4_3_Digitos!A1120,asientos!$B$13:$B$1276)</f>
        <v>0</v>
      </c>
      <c r="H1120" s="1317">
        <f>+SUMIF(asientos!$I$13:$I$1276,SYS_4_3_Digitos!A1120,asientos!$J$13:$J$1276)</f>
        <v>0</v>
      </c>
      <c r="I1120" s="1314">
        <f t="shared" si="106"/>
        <v>0</v>
      </c>
      <c r="J1120" s="1315">
        <f t="shared" si="107"/>
        <v>0</v>
      </c>
      <c r="L1120" s="1308">
        <f t="shared" si="108"/>
        <v>0</v>
      </c>
      <c r="M1120" s="1296" t="str">
        <f t="shared" si="109"/>
        <v>0</v>
      </c>
      <c r="N1120" s="1309">
        <f t="shared" si="110"/>
        <v>0</v>
      </c>
      <c r="O1120" s="1296" t="str">
        <f t="shared" si="111"/>
        <v>0</v>
      </c>
    </row>
    <row r="1121" spans="1:15" s="1296" customFormat="1" hidden="1">
      <c r="A1121" s="1310"/>
      <c r="B1121" s="1311"/>
      <c r="C1121" s="1312">
        <v>0</v>
      </c>
      <c r="D1121" s="1313">
        <v>0</v>
      </c>
      <c r="E1121" s="1314"/>
      <c r="F1121" s="1315"/>
      <c r="G1121" s="1316">
        <f>+SUMIF(asientos!$C$13:$C$1276,SYS_4_3_Digitos!A1121,asientos!$B$13:$B$1276)</f>
        <v>0</v>
      </c>
      <c r="H1121" s="1317">
        <f>+SUMIF(asientos!$I$13:$I$1276,SYS_4_3_Digitos!A1121,asientos!$J$13:$J$1276)</f>
        <v>0</v>
      </c>
      <c r="I1121" s="1314">
        <f t="shared" si="106"/>
        <v>0</v>
      </c>
      <c r="J1121" s="1315">
        <f t="shared" si="107"/>
        <v>0</v>
      </c>
      <c r="L1121" s="1308">
        <f t="shared" si="108"/>
        <v>0</v>
      </c>
      <c r="M1121" s="1296" t="str">
        <f t="shared" si="109"/>
        <v>0</v>
      </c>
      <c r="N1121" s="1309">
        <f t="shared" si="110"/>
        <v>0</v>
      </c>
      <c r="O1121" s="1296" t="str">
        <f t="shared" si="111"/>
        <v>0</v>
      </c>
    </row>
    <row r="1122" spans="1:15" s="1296" customFormat="1" hidden="1">
      <c r="A1122" s="1310"/>
      <c r="B1122" s="1311"/>
      <c r="C1122" s="1312">
        <v>0</v>
      </c>
      <c r="D1122" s="1313">
        <v>0</v>
      </c>
      <c r="E1122" s="1314"/>
      <c r="F1122" s="1315"/>
      <c r="G1122" s="1316">
        <f>+SUMIF(asientos!$C$13:$C$1276,SYS_4_3_Digitos!A1122,asientos!$B$13:$B$1276)</f>
        <v>0</v>
      </c>
      <c r="H1122" s="1317">
        <f>+SUMIF(asientos!$I$13:$I$1276,SYS_4_3_Digitos!A1122,asientos!$J$13:$J$1276)</f>
        <v>0</v>
      </c>
      <c r="I1122" s="1314">
        <f t="shared" si="106"/>
        <v>0</v>
      </c>
      <c r="J1122" s="1315">
        <f t="shared" si="107"/>
        <v>0</v>
      </c>
      <c r="L1122" s="1308">
        <f t="shared" si="108"/>
        <v>0</v>
      </c>
      <c r="M1122" s="1296" t="str">
        <f t="shared" si="109"/>
        <v>0</v>
      </c>
      <c r="N1122" s="1309">
        <f t="shared" si="110"/>
        <v>0</v>
      </c>
      <c r="O1122" s="1296" t="str">
        <f t="shared" si="111"/>
        <v>0</v>
      </c>
    </row>
    <row r="1123" spans="1:15" s="1296" customFormat="1" hidden="1">
      <c r="A1123" s="1310"/>
      <c r="B1123" s="1311"/>
      <c r="C1123" s="1312">
        <v>0</v>
      </c>
      <c r="D1123" s="1313">
        <v>0</v>
      </c>
      <c r="E1123" s="1314"/>
      <c r="F1123" s="1315"/>
      <c r="G1123" s="1316">
        <f>+SUMIF(asientos!$C$13:$C$1276,SYS_4_3_Digitos!A1123,asientos!$B$13:$B$1276)</f>
        <v>0</v>
      </c>
      <c r="H1123" s="1317">
        <f>+SUMIF(asientos!$I$13:$I$1276,SYS_4_3_Digitos!A1123,asientos!$J$13:$J$1276)</f>
        <v>0</v>
      </c>
      <c r="I1123" s="1314">
        <f t="shared" si="106"/>
        <v>0</v>
      </c>
      <c r="J1123" s="1315">
        <f t="shared" si="107"/>
        <v>0</v>
      </c>
      <c r="L1123" s="1308">
        <f t="shared" si="108"/>
        <v>0</v>
      </c>
      <c r="M1123" s="1296" t="str">
        <f t="shared" si="109"/>
        <v>0</v>
      </c>
      <c r="N1123" s="1309">
        <f t="shared" si="110"/>
        <v>0</v>
      </c>
      <c r="O1123" s="1296" t="str">
        <f t="shared" si="111"/>
        <v>0</v>
      </c>
    </row>
    <row r="1124" spans="1:15" s="1296" customFormat="1" hidden="1">
      <c r="A1124" s="1310"/>
      <c r="B1124" s="1311"/>
      <c r="C1124" s="1312">
        <v>0</v>
      </c>
      <c r="D1124" s="1313">
        <v>0</v>
      </c>
      <c r="E1124" s="1314"/>
      <c r="F1124" s="1315"/>
      <c r="G1124" s="1316">
        <f>+SUMIF(asientos!$C$13:$C$1276,SYS_4_3_Digitos!A1124,asientos!$B$13:$B$1276)</f>
        <v>0</v>
      </c>
      <c r="H1124" s="1317">
        <f>+SUMIF(asientos!$I$13:$I$1276,SYS_4_3_Digitos!A1124,asientos!$J$13:$J$1276)</f>
        <v>0</v>
      </c>
      <c r="I1124" s="1314">
        <f t="shared" si="106"/>
        <v>0</v>
      </c>
      <c r="J1124" s="1315">
        <f t="shared" si="107"/>
        <v>0</v>
      </c>
      <c r="L1124" s="1308">
        <f t="shared" si="108"/>
        <v>0</v>
      </c>
      <c r="M1124" s="1296" t="str">
        <f t="shared" si="109"/>
        <v>0</v>
      </c>
      <c r="N1124" s="1309">
        <f t="shared" si="110"/>
        <v>0</v>
      </c>
      <c r="O1124" s="1296" t="str">
        <f t="shared" si="111"/>
        <v>0</v>
      </c>
    </row>
    <row r="1125" spans="1:15" s="1296" customFormat="1" hidden="1">
      <c r="A1125" s="1310"/>
      <c r="B1125" s="1311"/>
      <c r="C1125" s="1312">
        <v>0</v>
      </c>
      <c r="D1125" s="1313">
        <v>0</v>
      </c>
      <c r="E1125" s="1314"/>
      <c r="F1125" s="1315"/>
      <c r="G1125" s="1316">
        <f>+SUMIF(asientos!$C$13:$C$1276,SYS_4_3_Digitos!A1125,asientos!$B$13:$B$1276)</f>
        <v>0</v>
      </c>
      <c r="H1125" s="1317">
        <f>+SUMIF(asientos!$I$13:$I$1276,SYS_4_3_Digitos!A1125,asientos!$J$13:$J$1276)</f>
        <v>0</v>
      </c>
      <c r="I1125" s="1314">
        <f t="shared" ref="I1125:I1188" si="112">IF((E1125+G1125-F1125-H1125)&gt;0,E1125+G1125-F1125-H1125,0)</f>
        <v>0</v>
      </c>
      <c r="J1125" s="1315">
        <f t="shared" ref="J1125:J1188" si="113">IF((F1125+H1125-E1125-G1125)&gt;0,F1125+H1125-E1125-G1125,0)</f>
        <v>0</v>
      </c>
      <c r="L1125" s="1308">
        <f t="shared" ref="L1125:L1188" si="114">+A1125*1000000</f>
        <v>0</v>
      </c>
      <c r="M1125" s="1296" t="str">
        <f t="shared" ref="M1125:M1188" si="115">+LEFT(L1125,4)</f>
        <v>0</v>
      </c>
      <c r="N1125" s="1309">
        <f t="shared" ref="N1125:N1188" si="116">+I1125-J1125</f>
        <v>0</v>
      </c>
      <c r="O1125" s="1296" t="str">
        <f t="shared" ref="O1125:O1188" si="117">+LEFT(M1125,2)</f>
        <v>0</v>
      </c>
    </row>
    <row r="1126" spans="1:15" s="1296" customFormat="1" hidden="1">
      <c r="A1126" s="1310"/>
      <c r="B1126" s="1311"/>
      <c r="C1126" s="1312">
        <v>0</v>
      </c>
      <c r="D1126" s="1313">
        <v>0</v>
      </c>
      <c r="E1126" s="1314"/>
      <c r="F1126" s="1315"/>
      <c r="G1126" s="1316">
        <f>+SUMIF(asientos!$C$13:$C$1276,SYS_4_3_Digitos!A1126,asientos!$B$13:$B$1276)</f>
        <v>0</v>
      </c>
      <c r="H1126" s="1317">
        <f>+SUMIF(asientos!$I$13:$I$1276,SYS_4_3_Digitos!A1126,asientos!$J$13:$J$1276)</f>
        <v>0</v>
      </c>
      <c r="I1126" s="1314">
        <f t="shared" si="112"/>
        <v>0</v>
      </c>
      <c r="J1126" s="1315">
        <f t="shared" si="113"/>
        <v>0</v>
      </c>
      <c r="L1126" s="1308">
        <f t="shared" si="114"/>
        <v>0</v>
      </c>
      <c r="M1126" s="1296" t="str">
        <f t="shared" si="115"/>
        <v>0</v>
      </c>
      <c r="N1126" s="1309">
        <f t="shared" si="116"/>
        <v>0</v>
      </c>
      <c r="O1126" s="1296" t="str">
        <f t="shared" si="117"/>
        <v>0</v>
      </c>
    </row>
    <row r="1127" spans="1:15" s="1296" customFormat="1" hidden="1">
      <c r="A1127" s="1310"/>
      <c r="B1127" s="1311"/>
      <c r="C1127" s="1312">
        <v>0</v>
      </c>
      <c r="D1127" s="1313">
        <v>0</v>
      </c>
      <c r="E1127" s="1314"/>
      <c r="F1127" s="1315"/>
      <c r="G1127" s="1316">
        <f>+SUMIF(asientos!$C$13:$C$1276,SYS_4_3_Digitos!A1127,asientos!$B$13:$B$1276)</f>
        <v>0</v>
      </c>
      <c r="H1127" s="1317">
        <f>+SUMIF(asientos!$I$13:$I$1276,SYS_4_3_Digitos!A1127,asientos!$J$13:$J$1276)</f>
        <v>0</v>
      </c>
      <c r="I1127" s="1314">
        <f t="shared" si="112"/>
        <v>0</v>
      </c>
      <c r="J1127" s="1315">
        <f t="shared" si="113"/>
        <v>0</v>
      </c>
      <c r="L1127" s="1308">
        <f t="shared" si="114"/>
        <v>0</v>
      </c>
      <c r="M1127" s="1296" t="str">
        <f t="shared" si="115"/>
        <v>0</v>
      </c>
      <c r="N1127" s="1309">
        <f t="shared" si="116"/>
        <v>0</v>
      </c>
      <c r="O1127" s="1296" t="str">
        <f t="shared" si="117"/>
        <v>0</v>
      </c>
    </row>
    <row r="1128" spans="1:15" s="1296" customFormat="1" hidden="1">
      <c r="A1128" s="1310"/>
      <c r="B1128" s="1311"/>
      <c r="C1128" s="1312">
        <v>0</v>
      </c>
      <c r="D1128" s="1313">
        <v>0</v>
      </c>
      <c r="E1128" s="1314"/>
      <c r="F1128" s="1315"/>
      <c r="G1128" s="1316">
        <f>+SUMIF(asientos!$C$13:$C$1276,SYS_4_3_Digitos!A1128,asientos!$B$13:$B$1276)</f>
        <v>0</v>
      </c>
      <c r="H1128" s="1317">
        <f>+SUMIF(asientos!$I$13:$I$1276,SYS_4_3_Digitos!A1128,asientos!$J$13:$J$1276)</f>
        <v>0</v>
      </c>
      <c r="I1128" s="1314">
        <f t="shared" si="112"/>
        <v>0</v>
      </c>
      <c r="J1128" s="1315">
        <f t="shared" si="113"/>
        <v>0</v>
      </c>
      <c r="L1128" s="1308">
        <f t="shared" si="114"/>
        <v>0</v>
      </c>
      <c r="M1128" s="1296" t="str">
        <f t="shared" si="115"/>
        <v>0</v>
      </c>
      <c r="N1128" s="1309">
        <f t="shared" si="116"/>
        <v>0</v>
      </c>
      <c r="O1128" s="1296" t="str">
        <f t="shared" si="117"/>
        <v>0</v>
      </c>
    </row>
    <row r="1129" spans="1:15" s="1296" customFormat="1" hidden="1">
      <c r="A1129" s="1310"/>
      <c r="B1129" s="1311"/>
      <c r="C1129" s="1312">
        <v>0</v>
      </c>
      <c r="D1129" s="1313">
        <v>0</v>
      </c>
      <c r="E1129" s="1314"/>
      <c r="F1129" s="1315"/>
      <c r="G1129" s="1316">
        <f>+SUMIF(asientos!$C$13:$C$1276,SYS_4_3_Digitos!A1129,asientos!$B$13:$B$1276)</f>
        <v>0</v>
      </c>
      <c r="H1129" s="1317">
        <f>+SUMIF(asientos!$I$13:$I$1276,SYS_4_3_Digitos!A1129,asientos!$J$13:$J$1276)</f>
        <v>0</v>
      </c>
      <c r="I1129" s="1314">
        <f t="shared" si="112"/>
        <v>0</v>
      </c>
      <c r="J1129" s="1315">
        <f t="shared" si="113"/>
        <v>0</v>
      </c>
      <c r="L1129" s="1308">
        <f t="shared" si="114"/>
        <v>0</v>
      </c>
      <c r="M1129" s="1296" t="str">
        <f t="shared" si="115"/>
        <v>0</v>
      </c>
      <c r="N1129" s="1309">
        <f t="shared" si="116"/>
        <v>0</v>
      </c>
      <c r="O1129" s="1296" t="str">
        <f t="shared" si="117"/>
        <v>0</v>
      </c>
    </row>
    <row r="1130" spans="1:15" s="1296" customFormat="1" hidden="1">
      <c r="A1130" s="1310"/>
      <c r="B1130" s="1311"/>
      <c r="C1130" s="1312">
        <v>0</v>
      </c>
      <c r="D1130" s="1313">
        <v>0</v>
      </c>
      <c r="E1130" s="1314"/>
      <c r="F1130" s="1315"/>
      <c r="G1130" s="1316">
        <f>+SUMIF(asientos!$C$13:$C$1276,SYS_4_3_Digitos!A1130,asientos!$B$13:$B$1276)</f>
        <v>0</v>
      </c>
      <c r="H1130" s="1317">
        <f>+SUMIF(asientos!$I$13:$I$1276,SYS_4_3_Digitos!A1130,asientos!$J$13:$J$1276)</f>
        <v>0</v>
      </c>
      <c r="I1130" s="1314">
        <f t="shared" si="112"/>
        <v>0</v>
      </c>
      <c r="J1130" s="1315">
        <f t="shared" si="113"/>
        <v>0</v>
      </c>
      <c r="L1130" s="1308">
        <f t="shared" si="114"/>
        <v>0</v>
      </c>
      <c r="M1130" s="1296" t="str">
        <f t="shared" si="115"/>
        <v>0</v>
      </c>
      <c r="N1130" s="1309">
        <f t="shared" si="116"/>
        <v>0</v>
      </c>
      <c r="O1130" s="1296" t="str">
        <f t="shared" si="117"/>
        <v>0</v>
      </c>
    </row>
    <row r="1131" spans="1:15" s="1296" customFormat="1" hidden="1">
      <c r="A1131" s="1310"/>
      <c r="B1131" s="1311"/>
      <c r="C1131" s="1312">
        <v>0</v>
      </c>
      <c r="D1131" s="1313">
        <v>0</v>
      </c>
      <c r="E1131" s="1314"/>
      <c r="F1131" s="1315"/>
      <c r="G1131" s="1316">
        <f>+SUMIF(asientos!$C$13:$C$1276,SYS_4_3_Digitos!A1131,asientos!$B$13:$B$1276)</f>
        <v>0</v>
      </c>
      <c r="H1131" s="1317">
        <f>+SUMIF(asientos!$I$13:$I$1276,SYS_4_3_Digitos!A1131,asientos!$J$13:$J$1276)</f>
        <v>0</v>
      </c>
      <c r="I1131" s="1314">
        <f t="shared" si="112"/>
        <v>0</v>
      </c>
      <c r="J1131" s="1315">
        <f t="shared" si="113"/>
        <v>0</v>
      </c>
      <c r="L1131" s="1308">
        <f t="shared" si="114"/>
        <v>0</v>
      </c>
      <c r="M1131" s="1296" t="str">
        <f t="shared" si="115"/>
        <v>0</v>
      </c>
      <c r="N1131" s="1309">
        <f t="shared" si="116"/>
        <v>0</v>
      </c>
      <c r="O1131" s="1296" t="str">
        <f t="shared" si="117"/>
        <v>0</v>
      </c>
    </row>
    <row r="1132" spans="1:15" s="1296" customFormat="1" hidden="1">
      <c r="A1132" s="1310"/>
      <c r="B1132" s="1311"/>
      <c r="C1132" s="1312">
        <v>0</v>
      </c>
      <c r="D1132" s="1313">
        <v>0</v>
      </c>
      <c r="E1132" s="1314"/>
      <c r="F1132" s="1315"/>
      <c r="G1132" s="1316">
        <f>+SUMIF(asientos!$C$13:$C$1276,SYS_4_3_Digitos!A1132,asientos!$B$13:$B$1276)</f>
        <v>0</v>
      </c>
      <c r="H1132" s="1317">
        <f>+SUMIF(asientos!$I$13:$I$1276,SYS_4_3_Digitos!A1132,asientos!$J$13:$J$1276)</f>
        <v>0</v>
      </c>
      <c r="I1132" s="1314">
        <f t="shared" si="112"/>
        <v>0</v>
      </c>
      <c r="J1132" s="1315">
        <f t="shared" si="113"/>
        <v>0</v>
      </c>
      <c r="L1132" s="1308">
        <f t="shared" si="114"/>
        <v>0</v>
      </c>
      <c r="M1132" s="1296" t="str">
        <f t="shared" si="115"/>
        <v>0</v>
      </c>
      <c r="N1132" s="1309">
        <f t="shared" si="116"/>
        <v>0</v>
      </c>
      <c r="O1132" s="1296" t="str">
        <f t="shared" si="117"/>
        <v>0</v>
      </c>
    </row>
    <row r="1133" spans="1:15" s="1296" customFormat="1" hidden="1">
      <c r="A1133" s="1310"/>
      <c r="B1133" s="1311"/>
      <c r="C1133" s="1312">
        <v>0</v>
      </c>
      <c r="D1133" s="1313">
        <v>0</v>
      </c>
      <c r="E1133" s="1314"/>
      <c r="F1133" s="1315"/>
      <c r="G1133" s="1316">
        <f>+SUMIF(asientos!$C$13:$C$1276,SYS_4_3_Digitos!A1133,asientos!$B$13:$B$1276)</f>
        <v>0</v>
      </c>
      <c r="H1133" s="1317">
        <f>+SUMIF(asientos!$I$13:$I$1276,SYS_4_3_Digitos!A1133,asientos!$J$13:$J$1276)</f>
        <v>0</v>
      </c>
      <c r="I1133" s="1314">
        <f t="shared" si="112"/>
        <v>0</v>
      </c>
      <c r="J1133" s="1315">
        <f t="shared" si="113"/>
        <v>0</v>
      </c>
      <c r="L1133" s="1308">
        <f t="shared" si="114"/>
        <v>0</v>
      </c>
      <c r="M1133" s="1296" t="str">
        <f t="shared" si="115"/>
        <v>0</v>
      </c>
      <c r="N1133" s="1309">
        <f t="shared" si="116"/>
        <v>0</v>
      </c>
      <c r="O1133" s="1296" t="str">
        <f t="shared" si="117"/>
        <v>0</v>
      </c>
    </row>
    <row r="1134" spans="1:15" s="1296" customFormat="1" hidden="1">
      <c r="A1134" s="1310"/>
      <c r="B1134" s="1311"/>
      <c r="C1134" s="1312">
        <v>0</v>
      </c>
      <c r="D1134" s="1313">
        <v>0</v>
      </c>
      <c r="E1134" s="1314"/>
      <c r="F1134" s="1315"/>
      <c r="G1134" s="1316">
        <f>+SUMIF(asientos!$C$13:$C$1276,SYS_4_3_Digitos!A1134,asientos!$B$13:$B$1276)</f>
        <v>0</v>
      </c>
      <c r="H1134" s="1317">
        <f>+SUMIF(asientos!$I$13:$I$1276,SYS_4_3_Digitos!A1134,asientos!$J$13:$J$1276)</f>
        <v>0</v>
      </c>
      <c r="I1134" s="1314">
        <f t="shared" si="112"/>
        <v>0</v>
      </c>
      <c r="J1134" s="1315">
        <f t="shared" si="113"/>
        <v>0</v>
      </c>
      <c r="L1134" s="1308">
        <f t="shared" si="114"/>
        <v>0</v>
      </c>
      <c r="M1134" s="1296" t="str">
        <f t="shared" si="115"/>
        <v>0</v>
      </c>
      <c r="N1134" s="1309">
        <f t="shared" si="116"/>
        <v>0</v>
      </c>
      <c r="O1134" s="1296" t="str">
        <f t="shared" si="117"/>
        <v>0</v>
      </c>
    </row>
    <row r="1135" spans="1:15" s="1296" customFormat="1" hidden="1">
      <c r="A1135" s="1310"/>
      <c r="B1135" s="1311"/>
      <c r="C1135" s="1312">
        <v>0</v>
      </c>
      <c r="D1135" s="1313">
        <v>0</v>
      </c>
      <c r="E1135" s="1314"/>
      <c r="F1135" s="1315"/>
      <c r="G1135" s="1316">
        <f>+SUMIF(asientos!$C$13:$C$1276,SYS_4_3_Digitos!A1135,asientos!$B$13:$B$1276)</f>
        <v>0</v>
      </c>
      <c r="H1135" s="1317">
        <f>+SUMIF(asientos!$I$13:$I$1276,SYS_4_3_Digitos!A1135,asientos!$J$13:$J$1276)</f>
        <v>0</v>
      </c>
      <c r="I1135" s="1314">
        <f t="shared" si="112"/>
        <v>0</v>
      </c>
      <c r="J1135" s="1315">
        <f t="shared" si="113"/>
        <v>0</v>
      </c>
      <c r="L1135" s="1308">
        <f t="shared" si="114"/>
        <v>0</v>
      </c>
      <c r="M1135" s="1296" t="str">
        <f t="shared" si="115"/>
        <v>0</v>
      </c>
      <c r="N1135" s="1309">
        <f t="shared" si="116"/>
        <v>0</v>
      </c>
      <c r="O1135" s="1296" t="str">
        <f t="shared" si="117"/>
        <v>0</v>
      </c>
    </row>
    <row r="1136" spans="1:15" s="1296" customFormat="1" hidden="1">
      <c r="A1136" s="1310"/>
      <c r="B1136" s="1311"/>
      <c r="C1136" s="1312">
        <v>0</v>
      </c>
      <c r="D1136" s="1313">
        <v>0</v>
      </c>
      <c r="E1136" s="1314"/>
      <c r="F1136" s="1315"/>
      <c r="G1136" s="1316">
        <f>+SUMIF(asientos!$C$13:$C$1276,SYS_4_3_Digitos!A1136,asientos!$B$13:$B$1276)</f>
        <v>0</v>
      </c>
      <c r="H1136" s="1317">
        <f>+SUMIF(asientos!$I$13:$I$1276,SYS_4_3_Digitos!A1136,asientos!$J$13:$J$1276)</f>
        <v>0</v>
      </c>
      <c r="I1136" s="1314">
        <f t="shared" si="112"/>
        <v>0</v>
      </c>
      <c r="J1136" s="1315">
        <f t="shared" si="113"/>
        <v>0</v>
      </c>
      <c r="L1136" s="1308">
        <f t="shared" si="114"/>
        <v>0</v>
      </c>
      <c r="M1136" s="1296" t="str">
        <f t="shared" si="115"/>
        <v>0</v>
      </c>
      <c r="N1136" s="1309">
        <f t="shared" si="116"/>
        <v>0</v>
      </c>
      <c r="O1136" s="1296" t="str">
        <f t="shared" si="117"/>
        <v>0</v>
      </c>
    </row>
    <row r="1137" spans="1:15" s="1296" customFormat="1" hidden="1">
      <c r="A1137" s="1310"/>
      <c r="B1137" s="1311"/>
      <c r="C1137" s="1312">
        <v>0</v>
      </c>
      <c r="D1137" s="1313">
        <v>0</v>
      </c>
      <c r="E1137" s="1314"/>
      <c r="F1137" s="1315"/>
      <c r="G1137" s="1316">
        <f>+SUMIF(asientos!$C$13:$C$1276,SYS_4_3_Digitos!A1137,asientos!$B$13:$B$1276)</f>
        <v>0</v>
      </c>
      <c r="H1137" s="1317">
        <f>+SUMIF(asientos!$I$13:$I$1276,SYS_4_3_Digitos!A1137,asientos!$J$13:$J$1276)</f>
        <v>0</v>
      </c>
      <c r="I1137" s="1314">
        <f t="shared" si="112"/>
        <v>0</v>
      </c>
      <c r="J1137" s="1315">
        <f t="shared" si="113"/>
        <v>0</v>
      </c>
      <c r="L1137" s="1308">
        <f t="shared" si="114"/>
        <v>0</v>
      </c>
      <c r="M1137" s="1296" t="str">
        <f t="shared" si="115"/>
        <v>0</v>
      </c>
      <c r="N1137" s="1309">
        <f t="shared" si="116"/>
        <v>0</v>
      </c>
      <c r="O1137" s="1296" t="str">
        <f t="shared" si="117"/>
        <v>0</v>
      </c>
    </row>
    <row r="1138" spans="1:15" s="1296" customFormat="1" hidden="1">
      <c r="A1138" s="1310"/>
      <c r="B1138" s="1311"/>
      <c r="C1138" s="1312">
        <v>0</v>
      </c>
      <c r="D1138" s="1313">
        <v>0</v>
      </c>
      <c r="E1138" s="1314"/>
      <c r="F1138" s="1315"/>
      <c r="G1138" s="1316">
        <f>+SUMIF(asientos!$C$13:$C$1276,SYS_4_3_Digitos!A1138,asientos!$B$13:$B$1276)</f>
        <v>0</v>
      </c>
      <c r="H1138" s="1317">
        <f>+SUMIF(asientos!$I$13:$I$1276,SYS_4_3_Digitos!A1138,asientos!$J$13:$J$1276)</f>
        <v>0</v>
      </c>
      <c r="I1138" s="1314">
        <f t="shared" si="112"/>
        <v>0</v>
      </c>
      <c r="J1138" s="1315">
        <f t="shared" si="113"/>
        <v>0</v>
      </c>
      <c r="L1138" s="1308">
        <f t="shared" si="114"/>
        <v>0</v>
      </c>
      <c r="M1138" s="1296" t="str">
        <f t="shared" si="115"/>
        <v>0</v>
      </c>
      <c r="N1138" s="1309">
        <f t="shared" si="116"/>
        <v>0</v>
      </c>
      <c r="O1138" s="1296" t="str">
        <f t="shared" si="117"/>
        <v>0</v>
      </c>
    </row>
    <row r="1139" spans="1:15" s="1296" customFormat="1" hidden="1">
      <c r="A1139" s="1310"/>
      <c r="B1139" s="1311"/>
      <c r="C1139" s="1312">
        <v>0</v>
      </c>
      <c r="D1139" s="1313">
        <v>0</v>
      </c>
      <c r="E1139" s="1314"/>
      <c r="F1139" s="1315"/>
      <c r="G1139" s="1316">
        <f>+SUMIF(asientos!$C$13:$C$1276,SYS_4_3_Digitos!A1139,asientos!$B$13:$B$1276)</f>
        <v>0</v>
      </c>
      <c r="H1139" s="1317">
        <f>+SUMIF(asientos!$I$13:$I$1276,SYS_4_3_Digitos!A1139,asientos!$J$13:$J$1276)</f>
        <v>0</v>
      </c>
      <c r="I1139" s="1314">
        <f t="shared" si="112"/>
        <v>0</v>
      </c>
      <c r="J1139" s="1315">
        <f t="shared" si="113"/>
        <v>0</v>
      </c>
      <c r="L1139" s="1308">
        <f t="shared" si="114"/>
        <v>0</v>
      </c>
      <c r="M1139" s="1296" t="str">
        <f t="shared" si="115"/>
        <v>0</v>
      </c>
      <c r="N1139" s="1309">
        <f t="shared" si="116"/>
        <v>0</v>
      </c>
      <c r="O1139" s="1296" t="str">
        <f t="shared" si="117"/>
        <v>0</v>
      </c>
    </row>
    <row r="1140" spans="1:15" s="1296" customFormat="1" hidden="1">
      <c r="A1140" s="1310"/>
      <c r="B1140" s="1311"/>
      <c r="C1140" s="1312">
        <v>0</v>
      </c>
      <c r="D1140" s="1313">
        <v>0</v>
      </c>
      <c r="E1140" s="1314"/>
      <c r="F1140" s="1315"/>
      <c r="G1140" s="1316">
        <f>+SUMIF(asientos!$C$13:$C$1276,SYS_4_3_Digitos!A1140,asientos!$B$13:$B$1276)</f>
        <v>0</v>
      </c>
      <c r="H1140" s="1317">
        <f>+SUMIF(asientos!$I$13:$I$1276,SYS_4_3_Digitos!A1140,asientos!$J$13:$J$1276)</f>
        <v>0</v>
      </c>
      <c r="I1140" s="1314">
        <f t="shared" si="112"/>
        <v>0</v>
      </c>
      <c r="J1140" s="1315">
        <f t="shared" si="113"/>
        <v>0</v>
      </c>
      <c r="L1140" s="1308">
        <f t="shared" si="114"/>
        <v>0</v>
      </c>
      <c r="M1140" s="1296" t="str">
        <f t="shared" si="115"/>
        <v>0</v>
      </c>
      <c r="N1140" s="1309">
        <f t="shared" si="116"/>
        <v>0</v>
      </c>
      <c r="O1140" s="1296" t="str">
        <f t="shared" si="117"/>
        <v>0</v>
      </c>
    </row>
    <row r="1141" spans="1:15" s="1296" customFormat="1" hidden="1">
      <c r="A1141" s="1310"/>
      <c r="B1141" s="1311"/>
      <c r="C1141" s="1312">
        <v>0</v>
      </c>
      <c r="D1141" s="1313">
        <v>0</v>
      </c>
      <c r="E1141" s="1314"/>
      <c r="F1141" s="1315"/>
      <c r="G1141" s="1316">
        <f>+SUMIF(asientos!$C$13:$C$1276,SYS_4_3_Digitos!A1141,asientos!$B$13:$B$1276)</f>
        <v>0</v>
      </c>
      <c r="H1141" s="1317">
        <f>+SUMIF(asientos!$I$13:$I$1276,SYS_4_3_Digitos!A1141,asientos!$J$13:$J$1276)</f>
        <v>0</v>
      </c>
      <c r="I1141" s="1314">
        <f t="shared" si="112"/>
        <v>0</v>
      </c>
      <c r="J1141" s="1315">
        <f t="shared" si="113"/>
        <v>0</v>
      </c>
      <c r="L1141" s="1308">
        <f t="shared" si="114"/>
        <v>0</v>
      </c>
      <c r="M1141" s="1296" t="str">
        <f t="shared" si="115"/>
        <v>0</v>
      </c>
      <c r="N1141" s="1309">
        <f t="shared" si="116"/>
        <v>0</v>
      </c>
      <c r="O1141" s="1296" t="str">
        <f t="shared" si="117"/>
        <v>0</v>
      </c>
    </row>
    <row r="1142" spans="1:15" s="1296" customFormat="1" hidden="1">
      <c r="A1142" s="1310"/>
      <c r="B1142" s="1311"/>
      <c r="C1142" s="1312">
        <v>0</v>
      </c>
      <c r="D1142" s="1313">
        <v>0</v>
      </c>
      <c r="E1142" s="1314"/>
      <c r="F1142" s="1315"/>
      <c r="G1142" s="1316">
        <f>+SUMIF(asientos!$C$13:$C$1276,SYS_4_3_Digitos!A1142,asientos!$B$13:$B$1276)</f>
        <v>0</v>
      </c>
      <c r="H1142" s="1317">
        <f>+SUMIF(asientos!$I$13:$I$1276,SYS_4_3_Digitos!A1142,asientos!$J$13:$J$1276)</f>
        <v>0</v>
      </c>
      <c r="I1142" s="1314">
        <f t="shared" si="112"/>
        <v>0</v>
      </c>
      <c r="J1142" s="1315">
        <f t="shared" si="113"/>
        <v>0</v>
      </c>
      <c r="L1142" s="1308">
        <f t="shared" si="114"/>
        <v>0</v>
      </c>
      <c r="M1142" s="1296" t="str">
        <f t="shared" si="115"/>
        <v>0</v>
      </c>
      <c r="N1142" s="1309">
        <f t="shared" si="116"/>
        <v>0</v>
      </c>
      <c r="O1142" s="1296" t="str">
        <f t="shared" si="117"/>
        <v>0</v>
      </c>
    </row>
    <row r="1143" spans="1:15" s="1296" customFormat="1" hidden="1">
      <c r="A1143" s="1310"/>
      <c r="B1143" s="1311"/>
      <c r="C1143" s="1312">
        <v>0</v>
      </c>
      <c r="D1143" s="1313">
        <v>0</v>
      </c>
      <c r="E1143" s="1314"/>
      <c r="F1143" s="1315"/>
      <c r="G1143" s="1316">
        <f>+SUMIF(asientos!$C$13:$C$1276,SYS_4_3_Digitos!A1143,asientos!$B$13:$B$1276)</f>
        <v>0</v>
      </c>
      <c r="H1143" s="1317">
        <f>+SUMIF(asientos!$I$13:$I$1276,SYS_4_3_Digitos!A1143,asientos!$J$13:$J$1276)</f>
        <v>0</v>
      </c>
      <c r="I1143" s="1314">
        <f t="shared" si="112"/>
        <v>0</v>
      </c>
      <c r="J1143" s="1315">
        <f t="shared" si="113"/>
        <v>0</v>
      </c>
      <c r="L1143" s="1308">
        <f t="shared" si="114"/>
        <v>0</v>
      </c>
      <c r="M1143" s="1296" t="str">
        <f t="shared" si="115"/>
        <v>0</v>
      </c>
      <c r="N1143" s="1309">
        <f t="shared" si="116"/>
        <v>0</v>
      </c>
      <c r="O1143" s="1296" t="str">
        <f t="shared" si="117"/>
        <v>0</v>
      </c>
    </row>
    <row r="1144" spans="1:15" s="1296" customFormat="1" hidden="1">
      <c r="A1144" s="1310"/>
      <c r="B1144" s="1311"/>
      <c r="C1144" s="1312">
        <v>0</v>
      </c>
      <c r="D1144" s="1313">
        <v>0</v>
      </c>
      <c r="E1144" s="1314"/>
      <c r="F1144" s="1315"/>
      <c r="G1144" s="1316">
        <f>+SUMIF(asientos!$C$13:$C$1276,SYS_4_3_Digitos!A1144,asientos!$B$13:$B$1276)</f>
        <v>0</v>
      </c>
      <c r="H1144" s="1317">
        <f>+SUMIF(asientos!$I$13:$I$1276,SYS_4_3_Digitos!A1144,asientos!$J$13:$J$1276)</f>
        <v>0</v>
      </c>
      <c r="I1144" s="1314">
        <f t="shared" si="112"/>
        <v>0</v>
      </c>
      <c r="J1144" s="1315">
        <f t="shared" si="113"/>
        <v>0</v>
      </c>
      <c r="L1144" s="1308">
        <f t="shared" si="114"/>
        <v>0</v>
      </c>
      <c r="M1144" s="1296" t="str">
        <f t="shared" si="115"/>
        <v>0</v>
      </c>
      <c r="N1144" s="1309">
        <f t="shared" si="116"/>
        <v>0</v>
      </c>
      <c r="O1144" s="1296" t="str">
        <f t="shared" si="117"/>
        <v>0</v>
      </c>
    </row>
    <row r="1145" spans="1:15" s="1296" customFormat="1" hidden="1">
      <c r="A1145" s="1310"/>
      <c r="B1145" s="1311"/>
      <c r="C1145" s="1312">
        <v>0</v>
      </c>
      <c r="D1145" s="1313">
        <v>0</v>
      </c>
      <c r="E1145" s="1314"/>
      <c r="F1145" s="1315"/>
      <c r="G1145" s="1316">
        <f>+SUMIF(asientos!$C$13:$C$1276,SYS_4_3_Digitos!A1145,asientos!$B$13:$B$1276)</f>
        <v>0</v>
      </c>
      <c r="H1145" s="1317">
        <f>+SUMIF(asientos!$I$13:$I$1276,SYS_4_3_Digitos!A1145,asientos!$J$13:$J$1276)</f>
        <v>0</v>
      </c>
      <c r="I1145" s="1314">
        <f t="shared" si="112"/>
        <v>0</v>
      </c>
      <c r="J1145" s="1315">
        <f t="shared" si="113"/>
        <v>0</v>
      </c>
      <c r="L1145" s="1308">
        <f t="shared" si="114"/>
        <v>0</v>
      </c>
      <c r="M1145" s="1296" t="str">
        <f t="shared" si="115"/>
        <v>0</v>
      </c>
      <c r="N1145" s="1309">
        <f t="shared" si="116"/>
        <v>0</v>
      </c>
      <c r="O1145" s="1296" t="str">
        <f t="shared" si="117"/>
        <v>0</v>
      </c>
    </row>
    <row r="1146" spans="1:15" s="1296" customFormat="1" hidden="1">
      <c r="A1146" s="1310"/>
      <c r="B1146" s="1311"/>
      <c r="C1146" s="1312">
        <v>0</v>
      </c>
      <c r="D1146" s="1313">
        <v>0</v>
      </c>
      <c r="E1146" s="1314"/>
      <c r="F1146" s="1315"/>
      <c r="G1146" s="1316">
        <f>+SUMIF(asientos!$C$13:$C$1276,SYS_4_3_Digitos!A1146,asientos!$B$13:$B$1276)</f>
        <v>0</v>
      </c>
      <c r="H1146" s="1317">
        <f>+SUMIF(asientos!$I$13:$I$1276,SYS_4_3_Digitos!A1146,asientos!$J$13:$J$1276)</f>
        <v>0</v>
      </c>
      <c r="I1146" s="1314">
        <f t="shared" si="112"/>
        <v>0</v>
      </c>
      <c r="J1146" s="1315">
        <f t="shared" si="113"/>
        <v>0</v>
      </c>
      <c r="L1146" s="1308">
        <f t="shared" si="114"/>
        <v>0</v>
      </c>
      <c r="M1146" s="1296" t="str">
        <f t="shared" si="115"/>
        <v>0</v>
      </c>
      <c r="N1146" s="1309">
        <f t="shared" si="116"/>
        <v>0</v>
      </c>
      <c r="O1146" s="1296" t="str">
        <f t="shared" si="117"/>
        <v>0</v>
      </c>
    </row>
    <row r="1147" spans="1:15" s="1296" customFormat="1" hidden="1">
      <c r="A1147" s="1310"/>
      <c r="B1147" s="1311"/>
      <c r="C1147" s="1312">
        <v>0</v>
      </c>
      <c r="D1147" s="1313">
        <v>0</v>
      </c>
      <c r="E1147" s="1314"/>
      <c r="F1147" s="1315"/>
      <c r="G1147" s="1316">
        <f>+SUMIF(asientos!$C$13:$C$1276,SYS_4_3_Digitos!A1147,asientos!$B$13:$B$1276)</f>
        <v>0</v>
      </c>
      <c r="H1147" s="1317">
        <f>+SUMIF(asientos!$I$13:$I$1276,SYS_4_3_Digitos!A1147,asientos!$J$13:$J$1276)</f>
        <v>0</v>
      </c>
      <c r="I1147" s="1314">
        <f t="shared" si="112"/>
        <v>0</v>
      </c>
      <c r="J1147" s="1315">
        <f t="shared" si="113"/>
        <v>0</v>
      </c>
      <c r="L1147" s="1308">
        <f t="shared" si="114"/>
        <v>0</v>
      </c>
      <c r="M1147" s="1296" t="str">
        <f t="shared" si="115"/>
        <v>0</v>
      </c>
      <c r="N1147" s="1309">
        <f t="shared" si="116"/>
        <v>0</v>
      </c>
      <c r="O1147" s="1296" t="str">
        <f t="shared" si="117"/>
        <v>0</v>
      </c>
    </row>
    <row r="1148" spans="1:15" s="1296" customFormat="1" hidden="1">
      <c r="A1148" s="1310"/>
      <c r="B1148" s="1311"/>
      <c r="C1148" s="1312">
        <v>0</v>
      </c>
      <c r="D1148" s="1313">
        <v>0</v>
      </c>
      <c r="E1148" s="1314"/>
      <c r="F1148" s="1315"/>
      <c r="G1148" s="1316">
        <f>+SUMIF(asientos!$C$13:$C$1276,SYS_4_3_Digitos!A1148,asientos!$B$13:$B$1276)</f>
        <v>0</v>
      </c>
      <c r="H1148" s="1317">
        <f>+SUMIF(asientos!$I$13:$I$1276,SYS_4_3_Digitos!A1148,asientos!$J$13:$J$1276)</f>
        <v>0</v>
      </c>
      <c r="I1148" s="1314">
        <f t="shared" si="112"/>
        <v>0</v>
      </c>
      <c r="J1148" s="1315">
        <f t="shared" si="113"/>
        <v>0</v>
      </c>
      <c r="L1148" s="1308">
        <f t="shared" si="114"/>
        <v>0</v>
      </c>
      <c r="M1148" s="1296" t="str">
        <f t="shared" si="115"/>
        <v>0</v>
      </c>
      <c r="N1148" s="1309">
        <f t="shared" si="116"/>
        <v>0</v>
      </c>
      <c r="O1148" s="1296" t="str">
        <f t="shared" si="117"/>
        <v>0</v>
      </c>
    </row>
    <row r="1149" spans="1:15" s="1296" customFormat="1" hidden="1">
      <c r="A1149" s="1310"/>
      <c r="B1149" s="1311"/>
      <c r="C1149" s="1312">
        <v>0</v>
      </c>
      <c r="D1149" s="1313">
        <v>0</v>
      </c>
      <c r="E1149" s="1314"/>
      <c r="F1149" s="1315"/>
      <c r="G1149" s="1316">
        <f>+SUMIF(asientos!$C$13:$C$1276,SYS_4_3_Digitos!A1149,asientos!$B$13:$B$1276)</f>
        <v>0</v>
      </c>
      <c r="H1149" s="1317">
        <f>+SUMIF(asientos!$I$13:$I$1276,SYS_4_3_Digitos!A1149,asientos!$J$13:$J$1276)</f>
        <v>0</v>
      </c>
      <c r="I1149" s="1314">
        <f t="shared" si="112"/>
        <v>0</v>
      </c>
      <c r="J1149" s="1315">
        <f t="shared" si="113"/>
        <v>0</v>
      </c>
      <c r="L1149" s="1308">
        <f t="shared" si="114"/>
        <v>0</v>
      </c>
      <c r="M1149" s="1296" t="str">
        <f t="shared" si="115"/>
        <v>0</v>
      </c>
      <c r="N1149" s="1309">
        <f t="shared" si="116"/>
        <v>0</v>
      </c>
      <c r="O1149" s="1296" t="str">
        <f t="shared" si="117"/>
        <v>0</v>
      </c>
    </row>
    <row r="1150" spans="1:15" s="1296" customFormat="1" hidden="1">
      <c r="A1150" s="1310"/>
      <c r="B1150" s="1311"/>
      <c r="C1150" s="1312">
        <v>0</v>
      </c>
      <c r="D1150" s="1313">
        <v>0</v>
      </c>
      <c r="E1150" s="1314"/>
      <c r="F1150" s="1315"/>
      <c r="G1150" s="1316">
        <f>+SUMIF(asientos!$C$13:$C$1276,SYS_4_3_Digitos!A1150,asientos!$B$13:$B$1276)</f>
        <v>0</v>
      </c>
      <c r="H1150" s="1317">
        <f>+SUMIF(asientos!$I$13:$I$1276,SYS_4_3_Digitos!A1150,asientos!$J$13:$J$1276)</f>
        <v>0</v>
      </c>
      <c r="I1150" s="1314">
        <f t="shared" si="112"/>
        <v>0</v>
      </c>
      <c r="J1150" s="1315">
        <f t="shared" si="113"/>
        <v>0</v>
      </c>
      <c r="L1150" s="1308">
        <f t="shared" si="114"/>
        <v>0</v>
      </c>
      <c r="M1150" s="1296" t="str">
        <f t="shared" si="115"/>
        <v>0</v>
      </c>
      <c r="N1150" s="1309">
        <f t="shared" si="116"/>
        <v>0</v>
      </c>
      <c r="O1150" s="1296" t="str">
        <f t="shared" si="117"/>
        <v>0</v>
      </c>
    </row>
    <row r="1151" spans="1:15" s="1296" customFormat="1" hidden="1">
      <c r="A1151" s="1310"/>
      <c r="B1151" s="1311"/>
      <c r="C1151" s="1312">
        <v>0</v>
      </c>
      <c r="D1151" s="1313">
        <v>0</v>
      </c>
      <c r="E1151" s="1314"/>
      <c r="F1151" s="1315"/>
      <c r="G1151" s="1316">
        <f>+SUMIF(asientos!$C$13:$C$1276,SYS_4_3_Digitos!A1151,asientos!$B$13:$B$1276)</f>
        <v>0</v>
      </c>
      <c r="H1151" s="1317">
        <f>+SUMIF(asientos!$I$13:$I$1276,SYS_4_3_Digitos!A1151,asientos!$J$13:$J$1276)</f>
        <v>0</v>
      </c>
      <c r="I1151" s="1314">
        <f t="shared" si="112"/>
        <v>0</v>
      </c>
      <c r="J1151" s="1315">
        <f t="shared" si="113"/>
        <v>0</v>
      </c>
      <c r="L1151" s="1308">
        <f t="shared" si="114"/>
        <v>0</v>
      </c>
      <c r="M1151" s="1296" t="str">
        <f t="shared" si="115"/>
        <v>0</v>
      </c>
      <c r="N1151" s="1309">
        <f t="shared" si="116"/>
        <v>0</v>
      </c>
      <c r="O1151" s="1296" t="str">
        <f t="shared" si="117"/>
        <v>0</v>
      </c>
    </row>
    <row r="1152" spans="1:15" s="1296" customFormat="1" hidden="1">
      <c r="A1152" s="1310"/>
      <c r="B1152" s="1311"/>
      <c r="C1152" s="1312">
        <v>0</v>
      </c>
      <c r="D1152" s="1313">
        <v>0</v>
      </c>
      <c r="E1152" s="1314"/>
      <c r="F1152" s="1315"/>
      <c r="G1152" s="1316">
        <f>+SUMIF(asientos!$C$13:$C$1276,SYS_4_3_Digitos!A1152,asientos!$B$13:$B$1276)</f>
        <v>0</v>
      </c>
      <c r="H1152" s="1317">
        <f>+SUMIF(asientos!$I$13:$I$1276,SYS_4_3_Digitos!A1152,asientos!$J$13:$J$1276)</f>
        <v>0</v>
      </c>
      <c r="I1152" s="1314">
        <f t="shared" si="112"/>
        <v>0</v>
      </c>
      <c r="J1152" s="1315">
        <f t="shared" si="113"/>
        <v>0</v>
      </c>
      <c r="L1152" s="1308">
        <f t="shared" si="114"/>
        <v>0</v>
      </c>
      <c r="M1152" s="1296" t="str">
        <f t="shared" si="115"/>
        <v>0</v>
      </c>
      <c r="N1152" s="1309">
        <f t="shared" si="116"/>
        <v>0</v>
      </c>
      <c r="O1152" s="1296" t="str">
        <f t="shared" si="117"/>
        <v>0</v>
      </c>
    </row>
    <row r="1153" spans="1:15" s="1296" customFormat="1" hidden="1">
      <c r="A1153" s="1310"/>
      <c r="B1153" s="1311"/>
      <c r="C1153" s="1312">
        <v>0</v>
      </c>
      <c r="D1153" s="1313">
        <v>0</v>
      </c>
      <c r="E1153" s="1314"/>
      <c r="F1153" s="1315"/>
      <c r="G1153" s="1316">
        <f>+SUMIF(asientos!$C$13:$C$1276,SYS_4_3_Digitos!A1153,asientos!$B$13:$B$1276)</f>
        <v>0</v>
      </c>
      <c r="H1153" s="1317">
        <f>+SUMIF(asientos!$I$13:$I$1276,SYS_4_3_Digitos!A1153,asientos!$J$13:$J$1276)</f>
        <v>0</v>
      </c>
      <c r="I1153" s="1314">
        <f t="shared" si="112"/>
        <v>0</v>
      </c>
      <c r="J1153" s="1315">
        <f t="shared" si="113"/>
        <v>0</v>
      </c>
      <c r="L1153" s="1308">
        <f t="shared" si="114"/>
        <v>0</v>
      </c>
      <c r="M1153" s="1296" t="str">
        <f t="shared" si="115"/>
        <v>0</v>
      </c>
      <c r="N1153" s="1309">
        <f t="shared" si="116"/>
        <v>0</v>
      </c>
      <c r="O1153" s="1296" t="str">
        <f t="shared" si="117"/>
        <v>0</v>
      </c>
    </row>
    <row r="1154" spans="1:15" s="1296" customFormat="1" hidden="1">
      <c r="A1154" s="1310"/>
      <c r="B1154" s="1311"/>
      <c r="C1154" s="1312">
        <v>0</v>
      </c>
      <c r="D1154" s="1313">
        <v>0</v>
      </c>
      <c r="E1154" s="1314"/>
      <c r="F1154" s="1315"/>
      <c r="G1154" s="1316">
        <f>+SUMIF(asientos!$C$13:$C$1276,SYS_4_3_Digitos!A1154,asientos!$B$13:$B$1276)</f>
        <v>0</v>
      </c>
      <c r="H1154" s="1317">
        <f>+SUMIF(asientos!$I$13:$I$1276,SYS_4_3_Digitos!A1154,asientos!$J$13:$J$1276)</f>
        <v>0</v>
      </c>
      <c r="I1154" s="1314">
        <f t="shared" si="112"/>
        <v>0</v>
      </c>
      <c r="J1154" s="1315">
        <f t="shared" si="113"/>
        <v>0</v>
      </c>
      <c r="L1154" s="1308">
        <f t="shared" si="114"/>
        <v>0</v>
      </c>
      <c r="M1154" s="1296" t="str">
        <f t="shared" si="115"/>
        <v>0</v>
      </c>
      <c r="N1154" s="1309">
        <f t="shared" si="116"/>
        <v>0</v>
      </c>
      <c r="O1154" s="1296" t="str">
        <f t="shared" si="117"/>
        <v>0</v>
      </c>
    </row>
    <row r="1155" spans="1:15" s="1296" customFormat="1" hidden="1">
      <c r="A1155" s="1310"/>
      <c r="B1155" s="1311"/>
      <c r="C1155" s="1312">
        <v>0</v>
      </c>
      <c r="D1155" s="1313">
        <v>0</v>
      </c>
      <c r="E1155" s="1314"/>
      <c r="F1155" s="1315"/>
      <c r="G1155" s="1316">
        <f>+SUMIF(asientos!$C$13:$C$1276,SYS_4_3_Digitos!A1155,asientos!$B$13:$B$1276)</f>
        <v>0</v>
      </c>
      <c r="H1155" s="1317">
        <f>+SUMIF(asientos!$I$13:$I$1276,SYS_4_3_Digitos!A1155,asientos!$J$13:$J$1276)</f>
        <v>0</v>
      </c>
      <c r="I1155" s="1314">
        <f t="shared" si="112"/>
        <v>0</v>
      </c>
      <c r="J1155" s="1315">
        <f t="shared" si="113"/>
        <v>0</v>
      </c>
      <c r="L1155" s="1308">
        <f t="shared" si="114"/>
        <v>0</v>
      </c>
      <c r="M1155" s="1296" t="str">
        <f t="shared" si="115"/>
        <v>0</v>
      </c>
      <c r="N1155" s="1309">
        <f t="shared" si="116"/>
        <v>0</v>
      </c>
      <c r="O1155" s="1296" t="str">
        <f t="shared" si="117"/>
        <v>0</v>
      </c>
    </row>
    <row r="1156" spans="1:15" s="1296" customFormat="1" hidden="1">
      <c r="A1156" s="1310"/>
      <c r="B1156" s="1311"/>
      <c r="C1156" s="1312">
        <v>0</v>
      </c>
      <c r="D1156" s="1313">
        <v>0</v>
      </c>
      <c r="E1156" s="1314"/>
      <c r="F1156" s="1315"/>
      <c r="G1156" s="1316">
        <f>+SUMIF(asientos!$C$13:$C$1276,SYS_4_3_Digitos!A1156,asientos!$B$13:$B$1276)</f>
        <v>0</v>
      </c>
      <c r="H1156" s="1317">
        <f>+SUMIF(asientos!$I$13:$I$1276,SYS_4_3_Digitos!A1156,asientos!$J$13:$J$1276)</f>
        <v>0</v>
      </c>
      <c r="I1156" s="1314">
        <f t="shared" si="112"/>
        <v>0</v>
      </c>
      <c r="J1156" s="1315">
        <f t="shared" si="113"/>
        <v>0</v>
      </c>
      <c r="L1156" s="1308">
        <f t="shared" si="114"/>
        <v>0</v>
      </c>
      <c r="M1156" s="1296" t="str">
        <f t="shared" si="115"/>
        <v>0</v>
      </c>
      <c r="N1156" s="1309">
        <f t="shared" si="116"/>
        <v>0</v>
      </c>
      <c r="O1156" s="1296" t="str">
        <f t="shared" si="117"/>
        <v>0</v>
      </c>
    </row>
    <row r="1157" spans="1:15" s="1296" customFormat="1" hidden="1">
      <c r="A1157" s="1310"/>
      <c r="B1157" s="1311"/>
      <c r="C1157" s="1312">
        <v>0</v>
      </c>
      <c r="D1157" s="1313">
        <v>0</v>
      </c>
      <c r="E1157" s="1314"/>
      <c r="F1157" s="1315"/>
      <c r="G1157" s="1316">
        <f>+SUMIF(asientos!$C$13:$C$1276,SYS_4_3_Digitos!A1157,asientos!$B$13:$B$1276)</f>
        <v>0</v>
      </c>
      <c r="H1157" s="1317">
        <f>+SUMIF(asientos!$I$13:$I$1276,SYS_4_3_Digitos!A1157,asientos!$J$13:$J$1276)</f>
        <v>0</v>
      </c>
      <c r="I1157" s="1314">
        <f t="shared" si="112"/>
        <v>0</v>
      </c>
      <c r="J1157" s="1315">
        <f t="shared" si="113"/>
        <v>0</v>
      </c>
      <c r="L1157" s="1308">
        <f t="shared" si="114"/>
        <v>0</v>
      </c>
      <c r="M1157" s="1296" t="str">
        <f t="shared" si="115"/>
        <v>0</v>
      </c>
      <c r="N1157" s="1309">
        <f t="shared" si="116"/>
        <v>0</v>
      </c>
      <c r="O1157" s="1296" t="str">
        <f t="shared" si="117"/>
        <v>0</v>
      </c>
    </row>
    <row r="1158" spans="1:15" s="1296" customFormat="1" hidden="1">
      <c r="A1158" s="1310"/>
      <c r="B1158" s="1311"/>
      <c r="C1158" s="1312">
        <v>0</v>
      </c>
      <c r="D1158" s="1313">
        <v>0</v>
      </c>
      <c r="E1158" s="1314"/>
      <c r="F1158" s="1315"/>
      <c r="G1158" s="1316">
        <f>+SUMIF(asientos!$C$13:$C$1276,SYS_4_3_Digitos!A1158,asientos!$B$13:$B$1276)</f>
        <v>0</v>
      </c>
      <c r="H1158" s="1317">
        <f>+SUMIF(asientos!$I$13:$I$1276,SYS_4_3_Digitos!A1158,asientos!$J$13:$J$1276)</f>
        <v>0</v>
      </c>
      <c r="I1158" s="1314">
        <f t="shared" si="112"/>
        <v>0</v>
      </c>
      <c r="J1158" s="1315">
        <f t="shared" si="113"/>
        <v>0</v>
      </c>
      <c r="L1158" s="1308">
        <f t="shared" si="114"/>
        <v>0</v>
      </c>
      <c r="M1158" s="1296" t="str">
        <f t="shared" si="115"/>
        <v>0</v>
      </c>
      <c r="N1158" s="1309">
        <f t="shared" si="116"/>
        <v>0</v>
      </c>
      <c r="O1158" s="1296" t="str">
        <f t="shared" si="117"/>
        <v>0</v>
      </c>
    </row>
    <row r="1159" spans="1:15" s="1296" customFormat="1" hidden="1">
      <c r="A1159" s="1310"/>
      <c r="B1159" s="1311"/>
      <c r="C1159" s="1312">
        <v>0</v>
      </c>
      <c r="D1159" s="1313">
        <v>0</v>
      </c>
      <c r="E1159" s="1314"/>
      <c r="F1159" s="1315"/>
      <c r="G1159" s="1316">
        <f>+SUMIF(asientos!$C$13:$C$1276,SYS_4_3_Digitos!A1159,asientos!$B$13:$B$1276)</f>
        <v>0</v>
      </c>
      <c r="H1159" s="1317">
        <f>+SUMIF(asientos!$I$13:$I$1276,SYS_4_3_Digitos!A1159,asientos!$J$13:$J$1276)</f>
        <v>0</v>
      </c>
      <c r="I1159" s="1314">
        <f t="shared" si="112"/>
        <v>0</v>
      </c>
      <c r="J1159" s="1315">
        <f t="shared" si="113"/>
        <v>0</v>
      </c>
      <c r="L1159" s="1308">
        <f t="shared" si="114"/>
        <v>0</v>
      </c>
      <c r="M1159" s="1296" t="str">
        <f t="shared" si="115"/>
        <v>0</v>
      </c>
      <c r="N1159" s="1309">
        <f t="shared" si="116"/>
        <v>0</v>
      </c>
      <c r="O1159" s="1296" t="str">
        <f t="shared" si="117"/>
        <v>0</v>
      </c>
    </row>
    <row r="1160" spans="1:15" s="1296" customFormat="1" hidden="1">
      <c r="A1160" s="1310"/>
      <c r="B1160" s="1311"/>
      <c r="C1160" s="1312">
        <v>0</v>
      </c>
      <c r="D1160" s="1313">
        <v>0</v>
      </c>
      <c r="E1160" s="1314"/>
      <c r="F1160" s="1315"/>
      <c r="G1160" s="1316">
        <f>+SUMIF(asientos!$C$13:$C$1276,SYS_4_3_Digitos!A1160,asientos!$B$13:$B$1276)</f>
        <v>0</v>
      </c>
      <c r="H1160" s="1317">
        <f>+SUMIF(asientos!$I$13:$I$1276,SYS_4_3_Digitos!A1160,asientos!$J$13:$J$1276)</f>
        <v>0</v>
      </c>
      <c r="I1160" s="1314">
        <f t="shared" si="112"/>
        <v>0</v>
      </c>
      <c r="J1160" s="1315">
        <f t="shared" si="113"/>
        <v>0</v>
      </c>
      <c r="L1160" s="1308">
        <f t="shared" si="114"/>
        <v>0</v>
      </c>
      <c r="M1160" s="1296" t="str">
        <f t="shared" si="115"/>
        <v>0</v>
      </c>
      <c r="N1160" s="1309">
        <f t="shared" si="116"/>
        <v>0</v>
      </c>
      <c r="O1160" s="1296" t="str">
        <f t="shared" si="117"/>
        <v>0</v>
      </c>
    </row>
    <row r="1161" spans="1:15" s="1296" customFormat="1" hidden="1">
      <c r="A1161" s="1310"/>
      <c r="B1161" s="1311"/>
      <c r="C1161" s="1312">
        <v>0</v>
      </c>
      <c r="D1161" s="1313">
        <v>0</v>
      </c>
      <c r="E1161" s="1314"/>
      <c r="F1161" s="1315"/>
      <c r="G1161" s="1316">
        <f>+SUMIF(asientos!$C$13:$C$1276,SYS_4_3_Digitos!A1161,asientos!$B$13:$B$1276)</f>
        <v>0</v>
      </c>
      <c r="H1161" s="1317">
        <f>+SUMIF(asientos!$I$13:$I$1276,SYS_4_3_Digitos!A1161,asientos!$J$13:$J$1276)</f>
        <v>0</v>
      </c>
      <c r="I1161" s="1314">
        <f t="shared" si="112"/>
        <v>0</v>
      </c>
      <c r="J1161" s="1315">
        <f t="shared" si="113"/>
        <v>0</v>
      </c>
      <c r="L1161" s="1308">
        <f t="shared" si="114"/>
        <v>0</v>
      </c>
      <c r="M1161" s="1296" t="str">
        <f t="shared" si="115"/>
        <v>0</v>
      </c>
      <c r="N1161" s="1309">
        <f t="shared" si="116"/>
        <v>0</v>
      </c>
      <c r="O1161" s="1296" t="str">
        <f t="shared" si="117"/>
        <v>0</v>
      </c>
    </row>
    <row r="1162" spans="1:15" s="1296" customFormat="1" hidden="1">
      <c r="A1162" s="1310"/>
      <c r="B1162" s="1311"/>
      <c r="C1162" s="1312">
        <v>0</v>
      </c>
      <c r="D1162" s="1313">
        <v>0</v>
      </c>
      <c r="E1162" s="1314"/>
      <c r="F1162" s="1315"/>
      <c r="G1162" s="1316">
        <f>+SUMIF(asientos!$C$13:$C$1276,SYS_4_3_Digitos!A1162,asientos!$B$13:$B$1276)</f>
        <v>0</v>
      </c>
      <c r="H1162" s="1317">
        <f>+SUMIF(asientos!$I$13:$I$1276,SYS_4_3_Digitos!A1162,asientos!$J$13:$J$1276)</f>
        <v>0</v>
      </c>
      <c r="I1162" s="1314">
        <f t="shared" si="112"/>
        <v>0</v>
      </c>
      <c r="J1162" s="1315">
        <f t="shared" si="113"/>
        <v>0</v>
      </c>
      <c r="L1162" s="1308">
        <f t="shared" si="114"/>
        <v>0</v>
      </c>
      <c r="M1162" s="1296" t="str">
        <f t="shared" si="115"/>
        <v>0</v>
      </c>
      <c r="N1162" s="1309">
        <f t="shared" si="116"/>
        <v>0</v>
      </c>
      <c r="O1162" s="1296" t="str">
        <f t="shared" si="117"/>
        <v>0</v>
      </c>
    </row>
    <row r="1163" spans="1:15" s="1296" customFormat="1" hidden="1">
      <c r="A1163" s="1310"/>
      <c r="B1163" s="1311"/>
      <c r="C1163" s="1312">
        <v>0</v>
      </c>
      <c r="D1163" s="1313">
        <v>0</v>
      </c>
      <c r="E1163" s="1314"/>
      <c r="F1163" s="1315"/>
      <c r="G1163" s="1316">
        <f>+SUMIF(asientos!$C$13:$C$1276,SYS_4_3_Digitos!A1163,asientos!$B$13:$B$1276)</f>
        <v>0</v>
      </c>
      <c r="H1163" s="1317">
        <f>+SUMIF(asientos!$I$13:$I$1276,SYS_4_3_Digitos!A1163,asientos!$J$13:$J$1276)</f>
        <v>0</v>
      </c>
      <c r="I1163" s="1314">
        <f t="shared" si="112"/>
        <v>0</v>
      </c>
      <c r="J1163" s="1315">
        <f t="shared" si="113"/>
        <v>0</v>
      </c>
      <c r="L1163" s="1308">
        <f t="shared" si="114"/>
        <v>0</v>
      </c>
      <c r="M1163" s="1296" t="str">
        <f t="shared" si="115"/>
        <v>0</v>
      </c>
      <c r="N1163" s="1309">
        <f t="shared" si="116"/>
        <v>0</v>
      </c>
      <c r="O1163" s="1296" t="str">
        <f t="shared" si="117"/>
        <v>0</v>
      </c>
    </row>
    <row r="1164" spans="1:15" s="1296" customFormat="1" hidden="1">
      <c r="A1164" s="1310"/>
      <c r="B1164" s="1311"/>
      <c r="C1164" s="1312">
        <v>0</v>
      </c>
      <c r="D1164" s="1313">
        <v>0</v>
      </c>
      <c r="E1164" s="1314"/>
      <c r="F1164" s="1315"/>
      <c r="G1164" s="1316">
        <f>+SUMIF(asientos!$C$13:$C$1276,SYS_4_3_Digitos!A1164,asientos!$B$13:$B$1276)</f>
        <v>0</v>
      </c>
      <c r="H1164" s="1317">
        <f>+SUMIF(asientos!$I$13:$I$1276,SYS_4_3_Digitos!A1164,asientos!$J$13:$J$1276)</f>
        <v>0</v>
      </c>
      <c r="I1164" s="1314">
        <f t="shared" si="112"/>
        <v>0</v>
      </c>
      <c r="J1164" s="1315">
        <f t="shared" si="113"/>
        <v>0</v>
      </c>
      <c r="L1164" s="1308">
        <f t="shared" si="114"/>
        <v>0</v>
      </c>
      <c r="M1164" s="1296" t="str">
        <f t="shared" si="115"/>
        <v>0</v>
      </c>
      <c r="N1164" s="1309">
        <f t="shared" si="116"/>
        <v>0</v>
      </c>
      <c r="O1164" s="1296" t="str">
        <f t="shared" si="117"/>
        <v>0</v>
      </c>
    </row>
    <row r="1165" spans="1:15" s="1296" customFormat="1" hidden="1">
      <c r="A1165" s="1310"/>
      <c r="B1165" s="1311"/>
      <c r="C1165" s="1312">
        <v>0</v>
      </c>
      <c r="D1165" s="1313">
        <v>0</v>
      </c>
      <c r="E1165" s="1314"/>
      <c r="F1165" s="1315"/>
      <c r="G1165" s="1316">
        <f>+SUMIF(asientos!$C$13:$C$1276,SYS_4_3_Digitos!A1165,asientos!$B$13:$B$1276)</f>
        <v>0</v>
      </c>
      <c r="H1165" s="1317">
        <f>+SUMIF(asientos!$I$13:$I$1276,SYS_4_3_Digitos!A1165,asientos!$J$13:$J$1276)</f>
        <v>0</v>
      </c>
      <c r="I1165" s="1314">
        <f t="shared" si="112"/>
        <v>0</v>
      </c>
      <c r="J1165" s="1315">
        <f t="shared" si="113"/>
        <v>0</v>
      </c>
      <c r="L1165" s="1308">
        <f t="shared" si="114"/>
        <v>0</v>
      </c>
      <c r="M1165" s="1296" t="str">
        <f t="shared" si="115"/>
        <v>0</v>
      </c>
      <c r="N1165" s="1309">
        <f t="shared" si="116"/>
        <v>0</v>
      </c>
      <c r="O1165" s="1296" t="str">
        <f t="shared" si="117"/>
        <v>0</v>
      </c>
    </row>
    <row r="1166" spans="1:15" s="1296" customFormat="1" hidden="1">
      <c r="A1166" s="1310"/>
      <c r="B1166" s="1311"/>
      <c r="C1166" s="1312">
        <v>0</v>
      </c>
      <c r="D1166" s="1313">
        <v>0</v>
      </c>
      <c r="E1166" s="1314"/>
      <c r="F1166" s="1315"/>
      <c r="G1166" s="1316">
        <f>+SUMIF(asientos!$C$13:$C$1276,SYS_4_3_Digitos!A1166,asientos!$B$13:$B$1276)</f>
        <v>0</v>
      </c>
      <c r="H1166" s="1317">
        <f>+SUMIF(asientos!$I$13:$I$1276,SYS_4_3_Digitos!A1166,asientos!$J$13:$J$1276)</f>
        <v>0</v>
      </c>
      <c r="I1166" s="1314">
        <f t="shared" si="112"/>
        <v>0</v>
      </c>
      <c r="J1166" s="1315">
        <f t="shared" si="113"/>
        <v>0</v>
      </c>
      <c r="L1166" s="1308">
        <f t="shared" si="114"/>
        <v>0</v>
      </c>
      <c r="M1166" s="1296" t="str">
        <f t="shared" si="115"/>
        <v>0</v>
      </c>
      <c r="N1166" s="1309">
        <f t="shared" si="116"/>
        <v>0</v>
      </c>
      <c r="O1166" s="1296" t="str">
        <f t="shared" si="117"/>
        <v>0</v>
      </c>
    </row>
    <row r="1167" spans="1:15" s="1296" customFormat="1" hidden="1">
      <c r="A1167" s="1310"/>
      <c r="B1167" s="1311"/>
      <c r="C1167" s="1312">
        <v>0</v>
      </c>
      <c r="D1167" s="1313">
        <v>0</v>
      </c>
      <c r="E1167" s="1314"/>
      <c r="F1167" s="1315"/>
      <c r="G1167" s="1316">
        <f>+SUMIF(asientos!$C$13:$C$1276,SYS_4_3_Digitos!A1167,asientos!$B$13:$B$1276)</f>
        <v>0</v>
      </c>
      <c r="H1167" s="1317">
        <f>+SUMIF(asientos!$I$13:$I$1276,SYS_4_3_Digitos!A1167,asientos!$J$13:$J$1276)</f>
        <v>0</v>
      </c>
      <c r="I1167" s="1314">
        <f t="shared" si="112"/>
        <v>0</v>
      </c>
      <c r="J1167" s="1315">
        <f t="shared" si="113"/>
        <v>0</v>
      </c>
      <c r="L1167" s="1308">
        <f t="shared" si="114"/>
        <v>0</v>
      </c>
      <c r="M1167" s="1296" t="str">
        <f t="shared" si="115"/>
        <v>0</v>
      </c>
      <c r="N1167" s="1309">
        <f t="shared" si="116"/>
        <v>0</v>
      </c>
      <c r="O1167" s="1296" t="str">
        <f t="shared" si="117"/>
        <v>0</v>
      </c>
    </row>
    <row r="1168" spans="1:15" s="1296" customFormat="1" hidden="1">
      <c r="A1168" s="1310"/>
      <c r="B1168" s="1311"/>
      <c r="C1168" s="1312">
        <v>0</v>
      </c>
      <c r="D1168" s="1313">
        <v>0</v>
      </c>
      <c r="E1168" s="1314"/>
      <c r="F1168" s="1315"/>
      <c r="G1168" s="1316">
        <f>+SUMIF(asientos!$C$13:$C$1276,SYS_4_3_Digitos!A1168,asientos!$B$13:$B$1276)</f>
        <v>0</v>
      </c>
      <c r="H1168" s="1317">
        <f>+SUMIF(asientos!$I$13:$I$1276,SYS_4_3_Digitos!A1168,asientos!$J$13:$J$1276)</f>
        <v>0</v>
      </c>
      <c r="I1168" s="1314">
        <f t="shared" si="112"/>
        <v>0</v>
      </c>
      <c r="J1168" s="1315">
        <f t="shared" si="113"/>
        <v>0</v>
      </c>
      <c r="L1168" s="1308">
        <f t="shared" si="114"/>
        <v>0</v>
      </c>
      <c r="M1168" s="1296" t="str">
        <f t="shared" si="115"/>
        <v>0</v>
      </c>
      <c r="N1168" s="1309">
        <f t="shared" si="116"/>
        <v>0</v>
      </c>
      <c r="O1168" s="1296" t="str">
        <f t="shared" si="117"/>
        <v>0</v>
      </c>
    </row>
    <row r="1169" spans="1:15" s="1296" customFormat="1" hidden="1">
      <c r="A1169" s="1310"/>
      <c r="B1169" s="1311"/>
      <c r="C1169" s="1312">
        <v>0</v>
      </c>
      <c r="D1169" s="1313">
        <v>0</v>
      </c>
      <c r="E1169" s="1314"/>
      <c r="F1169" s="1315"/>
      <c r="G1169" s="1316">
        <f>+SUMIF(asientos!$C$13:$C$1276,SYS_4_3_Digitos!A1169,asientos!$B$13:$B$1276)</f>
        <v>0</v>
      </c>
      <c r="H1169" s="1317">
        <f>+SUMIF(asientos!$I$13:$I$1276,SYS_4_3_Digitos!A1169,asientos!$J$13:$J$1276)</f>
        <v>0</v>
      </c>
      <c r="I1169" s="1314">
        <f t="shared" si="112"/>
        <v>0</v>
      </c>
      <c r="J1169" s="1315">
        <f t="shared" si="113"/>
        <v>0</v>
      </c>
      <c r="L1169" s="1308">
        <f t="shared" si="114"/>
        <v>0</v>
      </c>
      <c r="M1169" s="1296" t="str">
        <f t="shared" si="115"/>
        <v>0</v>
      </c>
      <c r="N1169" s="1309">
        <f t="shared" si="116"/>
        <v>0</v>
      </c>
      <c r="O1169" s="1296" t="str">
        <f t="shared" si="117"/>
        <v>0</v>
      </c>
    </row>
    <row r="1170" spans="1:15" s="1296" customFormat="1" hidden="1">
      <c r="A1170" s="1310"/>
      <c r="B1170" s="1311"/>
      <c r="C1170" s="1312">
        <v>0</v>
      </c>
      <c r="D1170" s="1313">
        <v>0</v>
      </c>
      <c r="E1170" s="1314"/>
      <c r="F1170" s="1315"/>
      <c r="G1170" s="1316">
        <f>+SUMIF(asientos!$C$13:$C$1276,SYS_4_3_Digitos!A1170,asientos!$B$13:$B$1276)</f>
        <v>0</v>
      </c>
      <c r="H1170" s="1317">
        <f>+SUMIF(asientos!$I$13:$I$1276,SYS_4_3_Digitos!A1170,asientos!$J$13:$J$1276)</f>
        <v>0</v>
      </c>
      <c r="I1170" s="1314">
        <f t="shared" si="112"/>
        <v>0</v>
      </c>
      <c r="J1170" s="1315">
        <f t="shared" si="113"/>
        <v>0</v>
      </c>
      <c r="L1170" s="1308">
        <f t="shared" si="114"/>
        <v>0</v>
      </c>
      <c r="M1170" s="1296" t="str">
        <f t="shared" si="115"/>
        <v>0</v>
      </c>
      <c r="N1170" s="1309">
        <f t="shared" si="116"/>
        <v>0</v>
      </c>
      <c r="O1170" s="1296" t="str">
        <f t="shared" si="117"/>
        <v>0</v>
      </c>
    </row>
    <row r="1171" spans="1:15" s="1296" customFormat="1" hidden="1">
      <c r="A1171" s="1310"/>
      <c r="B1171" s="1311"/>
      <c r="C1171" s="1312">
        <v>0</v>
      </c>
      <c r="D1171" s="1313">
        <v>0</v>
      </c>
      <c r="E1171" s="1314"/>
      <c r="F1171" s="1315"/>
      <c r="G1171" s="1316">
        <f>+SUMIF(asientos!$C$13:$C$1276,SYS_4_3_Digitos!A1171,asientos!$B$13:$B$1276)</f>
        <v>0</v>
      </c>
      <c r="H1171" s="1317">
        <f>+SUMIF(asientos!$I$13:$I$1276,SYS_4_3_Digitos!A1171,asientos!$J$13:$J$1276)</f>
        <v>0</v>
      </c>
      <c r="I1171" s="1314">
        <f t="shared" si="112"/>
        <v>0</v>
      </c>
      <c r="J1171" s="1315">
        <f t="shared" si="113"/>
        <v>0</v>
      </c>
      <c r="L1171" s="1308">
        <f t="shared" si="114"/>
        <v>0</v>
      </c>
      <c r="M1171" s="1296" t="str">
        <f t="shared" si="115"/>
        <v>0</v>
      </c>
      <c r="N1171" s="1309">
        <f t="shared" si="116"/>
        <v>0</v>
      </c>
      <c r="O1171" s="1296" t="str">
        <f t="shared" si="117"/>
        <v>0</v>
      </c>
    </row>
    <row r="1172" spans="1:15" s="1296" customFormat="1" hidden="1">
      <c r="A1172" s="1310"/>
      <c r="B1172" s="1311"/>
      <c r="C1172" s="1312">
        <v>0</v>
      </c>
      <c r="D1172" s="1313">
        <v>0</v>
      </c>
      <c r="E1172" s="1314"/>
      <c r="F1172" s="1315"/>
      <c r="G1172" s="1316">
        <f>+SUMIF(asientos!$C$13:$C$1276,SYS_4_3_Digitos!A1172,asientos!$B$13:$B$1276)</f>
        <v>0</v>
      </c>
      <c r="H1172" s="1317">
        <f>+SUMIF(asientos!$I$13:$I$1276,SYS_4_3_Digitos!A1172,asientos!$J$13:$J$1276)</f>
        <v>0</v>
      </c>
      <c r="I1172" s="1314">
        <f t="shared" si="112"/>
        <v>0</v>
      </c>
      <c r="J1172" s="1315">
        <f t="shared" si="113"/>
        <v>0</v>
      </c>
      <c r="L1172" s="1308">
        <f t="shared" si="114"/>
        <v>0</v>
      </c>
      <c r="M1172" s="1296" t="str">
        <f t="shared" si="115"/>
        <v>0</v>
      </c>
      <c r="N1172" s="1309">
        <f t="shared" si="116"/>
        <v>0</v>
      </c>
      <c r="O1172" s="1296" t="str">
        <f t="shared" si="117"/>
        <v>0</v>
      </c>
    </row>
    <row r="1173" spans="1:15" s="1296" customFormat="1" hidden="1">
      <c r="A1173" s="1310"/>
      <c r="B1173" s="1311"/>
      <c r="C1173" s="1312">
        <v>0</v>
      </c>
      <c r="D1173" s="1313">
        <v>0</v>
      </c>
      <c r="E1173" s="1314"/>
      <c r="F1173" s="1315"/>
      <c r="G1173" s="1316">
        <f>+SUMIF(asientos!$C$13:$C$1276,SYS_4_3_Digitos!A1173,asientos!$B$13:$B$1276)</f>
        <v>0</v>
      </c>
      <c r="H1173" s="1317">
        <f>+SUMIF(asientos!$I$13:$I$1276,SYS_4_3_Digitos!A1173,asientos!$J$13:$J$1276)</f>
        <v>0</v>
      </c>
      <c r="I1173" s="1314">
        <f t="shared" si="112"/>
        <v>0</v>
      </c>
      <c r="J1173" s="1315">
        <f t="shared" si="113"/>
        <v>0</v>
      </c>
      <c r="L1173" s="1308">
        <f t="shared" si="114"/>
        <v>0</v>
      </c>
      <c r="M1173" s="1296" t="str">
        <f t="shared" si="115"/>
        <v>0</v>
      </c>
      <c r="N1173" s="1309">
        <f t="shared" si="116"/>
        <v>0</v>
      </c>
      <c r="O1173" s="1296" t="str">
        <f t="shared" si="117"/>
        <v>0</v>
      </c>
    </row>
    <row r="1174" spans="1:15" s="1296" customFormat="1" hidden="1">
      <c r="A1174" s="1310"/>
      <c r="B1174" s="1311"/>
      <c r="C1174" s="1312">
        <v>0</v>
      </c>
      <c r="D1174" s="1313">
        <v>0</v>
      </c>
      <c r="E1174" s="1314"/>
      <c r="F1174" s="1315"/>
      <c r="G1174" s="1316">
        <f>+SUMIF(asientos!$C$13:$C$1276,SYS_4_3_Digitos!A1174,asientos!$B$13:$B$1276)</f>
        <v>0</v>
      </c>
      <c r="H1174" s="1317">
        <f>+SUMIF(asientos!$I$13:$I$1276,SYS_4_3_Digitos!A1174,asientos!$J$13:$J$1276)</f>
        <v>0</v>
      </c>
      <c r="I1174" s="1314">
        <f t="shared" si="112"/>
        <v>0</v>
      </c>
      <c r="J1174" s="1315">
        <f t="shared" si="113"/>
        <v>0</v>
      </c>
      <c r="L1174" s="1308">
        <f t="shared" si="114"/>
        <v>0</v>
      </c>
      <c r="M1174" s="1296" t="str">
        <f t="shared" si="115"/>
        <v>0</v>
      </c>
      <c r="N1174" s="1309">
        <f t="shared" si="116"/>
        <v>0</v>
      </c>
      <c r="O1174" s="1296" t="str">
        <f t="shared" si="117"/>
        <v>0</v>
      </c>
    </row>
    <row r="1175" spans="1:15" s="1296" customFormat="1" hidden="1">
      <c r="A1175" s="1310"/>
      <c r="B1175" s="1311"/>
      <c r="C1175" s="1312">
        <v>0</v>
      </c>
      <c r="D1175" s="1313">
        <v>0</v>
      </c>
      <c r="E1175" s="1314"/>
      <c r="F1175" s="1315"/>
      <c r="G1175" s="1316">
        <f>+SUMIF(asientos!$C$13:$C$1276,SYS_4_3_Digitos!A1175,asientos!$B$13:$B$1276)</f>
        <v>0</v>
      </c>
      <c r="H1175" s="1317">
        <f>+SUMIF(asientos!$I$13:$I$1276,SYS_4_3_Digitos!A1175,asientos!$J$13:$J$1276)</f>
        <v>0</v>
      </c>
      <c r="I1175" s="1314">
        <f t="shared" si="112"/>
        <v>0</v>
      </c>
      <c r="J1175" s="1315">
        <f t="shared" si="113"/>
        <v>0</v>
      </c>
      <c r="L1175" s="1308">
        <f t="shared" si="114"/>
        <v>0</v>
      </c>
      <c r="M1175" s="1296" t="str">
        <f t="shared" si="115"/>
        <v>0</v>
      </c>
      <c r="N1175" s="1309">
        <f t="shared" si="116"/>
        <v>0</v>
      </c>
      <c r="O1175" s="1296" t="str">
        <f t="shared" si="117"/>
        <v>0</v>
      </c>
    </row>
    <row r="1176" spans="1:15" s="1296" customFormat="1" hidden="1">
      <c r="A1176" s="1310"/>
      <c r="B1176" s="1311"/>
      <c r="C1176" s="1312">
        <v>0</v>
      </c>
      <c r="D1176" s="1313">
        <v>0</v>
      </c>
      <c r="E1176" s="1314"/>
      <c r="F1176" s="1315"/>
      <c r="G1176" s="1316">
        <f>+SUMIF(asientos!$C$13:$C$1276,SYS_4_3_Digitos!A1176,asientos!$B$13:$B$1276)</f>
        <v>0</v>
      </c>
      <c r="H1176" s="1317">
        <f>+SUMIF(asientos!$I$13:$I$1276,SYS_4_3_Digitos!A1176,asientos!$J$13:$J$1276)</f>
        <v>0</v>
      </c>
      <c r="I1176" s="1314">
        <f t="shared" si="112"/>
        <v>0</v>
      </c>
      <c r="J1176" s="1315">
        <f t="shared" si="113"/>
        <v>0</v>
      </c>
      <c r="L1176" s="1308">
        <f t="shared" si="114"/>
        <v>0</v>
      </c>
      <c r="M1176" s="1296" t="str">
        <f t="shared" si="115"/>
        <v>0</v>
      </c>
      <c r="N1176" s="1309">
        <f t="shared" si="116"/>
        <v>0</v>
      </c>
      <c r="O1176" s="1296" t="str">
        <f t="shared" si="117"/>
        <v>0</v>
      </c>
    </row>
    <row r="1177" spans="1:15" s="1296" customFormat="1" hidden="1">
      <c r="A1177" s="1310"/>
      <c r="B1177" s="1311"/>
      <c r="C1177" s="1312">
        <v>0</v>
      </c>
      <c r="D1177" s="1313">
        <v>0</v>
      </c>
      <c r="E1177" s="1314"/>
      <c r="F1177" s="1315"/>
      <c r="G1177" s="1316">
        <f>+SUMIF(asientos!$C$13:$C$1276,SYS_4_3_Digitos!A1177,asientos!$B$13:$B$1276)</f>
        <v>0</v>
      </c>
      <c r="H1177" s="1317">
        <f>+SUMIF(asientos!$I$13:$I$1276,SYS_4_3_Digitos!A1177,asientos!$J$13:$J$1276)</f>
        <v>0</v>
      </c>
      <c r="I1177" s="1314">
        <f t="shared" si="112"/>
        <v>0</v>
      </c>
      <c r="J1177" s="1315">
        <f t="shared" si="113"/>
        <v>0</v>
      </c>
      <c r="L1177" s="1308">
        <f t="shared" si="114"/>
        <v>0</v>
      </c>
      <c r="M1177" s="1296" t="str">
        <f t="shared" si="115"/>
        <v>0</v>
      </c>
      <c r="N1177" s="1309">
        <f t="shared" si="116"/>
        <v>0</v>
      </c>
      <c r="O1177" s="1296" t="str">
        <f t="shared" si="117"/>
        <v>0</v>
      </c>
    </row>
    <row r="1178" spans="1:15" s="1296" customFormat="1" hidden="1">
      <c r="A1178" s="1310"/>
      <c r="B1178" s="1311"/>
      <c r="C1178" s="1312">
        <v>0</v>
      </c>
      <c r="D1178" s="1313">
        <v>0</v>
      </c>
      <c r="E1178" s="1314"/>
      <c r="F1178" s="1315"/>
      <c r="G1178" s="1316">
        <f>+SUMIF(asientos!$C$13:$C$1276,SYS_4_3_Digitos!A1178,asientos!$B$13:$B$1276)</f>
        <v>0</v>
      </c>
      <c r="H1178" s="1317">
        <f>+SUMIF(asientos!$I$13:$I$1276,SYS_4_3_Digitos!A1178,asientos!$J$13:$J$1276)</f>
        <v>0</v>
      </c>
      <c r="I1178" s="1314">
        <f t="shared" si="112"/>
        <v>0</v>
      </c>
      <c r="J1178" s="1315">
        <f t="shared" si="113"/>
        <v>0</v>
      </c>
      <c r="L1178" s="1308">
        <f t="shared" si="114"/>
        <v>0</v>
      </c>
      <c r="M1178" s="1296" t="str">
        <f t="shared" si="115"/>
        <v>0</v>
      </c>
      <c r="N1178" s="1309">
        <f t="shared" si="116"/>
        <v>0</v>
      </c>
      <c r="O1178" s="1296" t="str">
        <f t="shared" si="117"/>
        <v>0</v>
      </c>
    </row>
    <row r="1179" spans="1:15" s="1296" customFormat="1" hidden="1">
      <c r="A1179" s="1310"/>
      <c r="B1179" s="1311"/>
      <c r="C1179" s="1312">
        <v>0</v>
      </c>
      <c r="D1179" s="1313">
        <v>0</v>
      </c>
      <c r="E1179" s="1314"/>
      <c r="F1179" s="1315"/>
      <c r="G1179" s="1316">
        <f>+SUMIF(asientos!$C$13:$C$1276,SYS_4_3_Digitos!A1179,asientos!$B$13:$B$1276)</f>
        <v>0</v>
      </c>
      <c r="H1179" s="1317">
        <f>+SUMIF(asientos!$I$13:$I$1276,SYS_4_3_Digitos!A1179,asientos!$J$13:$J$1276)</f>
        <v>0</v>
      </c>
      <c r="I1179" s="1314">
        <f t="shared" si="112"/>
        <v>0</v>
      </c>
      <c r="J1179" s="1315">
        <f t="shared" si="113"/>
        <v>0</v>
      </c>
      <c r="L1179" s="1308">
        <f t="shared" si="114"/>
        <v>0</v>
      </c>
      <c r="M1179" s="1296" t="str">
        <f t="shared" si="115"/>
        <v>0</v>
      </c>
      <c r="N1179" s="1309">
        <f t="shared" si="116"/>
        <v>0</v>
      </c>
      <c r="O1179" s="1296" t="str">
        <f t="shared" si="117"/>
        <v>0</v>
      </c>
    </row>
    <row r="1180" spans="1:15" s="1296" customFormat="1" hidden="1">
      <c r="A1180" s="1310"/>
      <c r="B1180" s="1311"/>
      <c r="C1180" s="1312">
        <v>0</v>
      </c>
      <c r="D1180" s="1313">
        <v>0</v>
      </c>
      <c r="E1180" s="1314"/>
      <c r="F1180" s="1315"/>
      <c r="G1180" s="1316">
        <f>+SUMIF(asientos!$C$13:$C$1276,SYS_4_3_Digitos!A1180,asientos!$B$13:$B$1276)</f>
        <v>0</v>
      </c>
      <c r="H1180" s="1317">
        <f>+SUMIF(asientos!$I$13:$I$1276,SYS_4_3_Digitos!A1180,asientos!$J$13:$J$1276)</f>
        <v>0</v>
      </c>
      <c r="I1180" s="1314">
        <f t="shared" si="112"/>
        <v>0</v>
      </c>
      <c r="J1180" s="1315">
        <f t="shared" si="113"/>
        <v>0</v>
      </c>
      <c r="L1180" s="1308">
        <f t="shared" si="114"/>
        <v>0</v>
      </c>
      <c r="M1180" s="1296" t="str">
        <f t="shared" si="115"/>
        <v>0</v>
      </c>
      <c r="N1180" s="1309">
        <f t="shared" si="116"/>
        <v>0</v>
      </c>
      <c r="O1180" s="1296" t="str">
        <f t="shared" si="117"/>
        <v>0</v>
      </c>
    </row>
    <row r="1181" spans="1:15" s="1296" customFormat="1" hidden="1">
      <c r="A1181" s="1310"/>
      <c r="B1181" s="1311"/>
      <c r="C1181" s="1312">
        <v>0</v>
      </c>
      <c r="D1181" s="1313">
        <v>0</v>
      </c>
      <c r="E1181" s="1314"/>
      <c r="F1181" s="1315"/>
      <c r="G1181" s="1316">
        <f>+SUMIF(asientos!$C$13:$C$1276,SYS_4_3_Digitos!A1181,asientos!$B$13:$B$1276)</f>
        <v>0</v>
      </c>
      <c r="H1181" s="1317">
        <f>+SUMIF(asientos!$I$13:$I$1276,SYS_4_3_Digitos!A1181,asientos!$J$13:$J$1276)</f>
        <v>0</v>
      </c>
      <c r="I1181" s="1314">
        <f t="shared" si="112"/>
        <v>0</v>
      </c>
      <c r="J1181" s="1315">
        <f t="shared" si="113"/>
        <v>0</v>
      </c>
      <c r="L1181" s="1308">
        <f t="shared" si="114"/>
        <v>0</v>
      </c>
      <c r="M1181" s="1296" t="str">
        <f t="shared" si="115"/>
        <v>0</v>
      </c>
      <c r="N1181" s="1309">
        <f t="shared" si="116"/>
        <v>0</v>
      </c>
      <c r="O1181" s="1296" t="str">
        <f t="shared" si="117"/>
        <v>0</v>
      </c>
    </row>
    <row r="1182" spans="1:15" s="1296" customFormat="1" hidden="1">
      <c r="A1182" s="1310"/>
      <c r="B1182" s="1311"/>
      <c r="C1182" s="1312">
        <v>0</v>
      </c>
      <c r="D1182" s="1313">
        <v>0</v>
      </c>
      <c r="E1182" s="1314"/>
      <c r="F1182" s="1315"/>
      <c r="G1182" s="1316">
        <f>+SUMIF(asientos!$C$13:$C$1276,SYS_4_3_Digitos!A1182,asientos!$B$13:$B$1276)</f>
        <v>0</v>
      </c>
      <c r="H1182" s="1317">
        <f>+SUMIF(asientos!$I$13:$I$1276,SYS_4_3_Digitos!A1182,asientos!$J$13:$J$1276)</f>
        <v>0</v>
      </c>
      <c r="I1182" s="1314">
        <f t="shared" si="112"/>
        <v>0</v>
      </c>
      <c r="J1182" s="1315">
        <f t="shared" si="113"/>
        <v>0</v>
      </c>
      <c r="L1182" s="1308">
        <f t="shared" si="114"/>
        <v>0</v>
      </c>
      <c r="M1182" s="1296" t="str">
        <f t="shared" si="115"/>
        <v>0</v>
      </c>
      <c r="N1182" s="1309">
        <f t="shared" si="116"/>
        <v>0</v>
      </c>
      <c r="O1182" s="1296" t="str">
        <f t="shared" si="117"/>
        <v>0</v>
      </c>
    </row>
    <row r="1183" spans="1:15" s="1296" customFormat="1" hidden="1">
      <c r="A1183" s="1310"/>
      <c r="B1183" s="1311"/>
      <c r="C1183" s="1312">
        <v>0</v>
      </c>
      <c r="D1183" s="1313">
        <v>0</v>
      </c>
      <c r="E1183" s="1314"/>
      <c r="F1183" s="1315"/>
      <c r="G1183" s="1316">
        <f>+SUMIF(asientos!$C$13:$C$1276,SYS_4_3_Digitos!A1183,asientos!$B$13:$B$1276)</f>
        <v>0</v>
      </c>
      <c r="H1183" s="1317">
        <f>+SUMIF(asientos!$I$13:$I$1276,SYS_4_3_Digitos!A1183,asientos!$J$13:$J$1276)</f>
        <v>0</v>
      </c>
      <c r="I1183" s="1314">
        <f t="shared" si="112"/>
        <v>0</v>
      </c>
      <c r="J1183" s="1315">
        <f t="shared" si="113"/>
        <v>0</v>
      </c>
      <c r="L1183" s="1308">
        <f t="shared" si="114"/>
        <v>0</v>
      </c>
      <c r="M1183" s="1296" t="str">
        <f t="shared" si="115"/>
        <v>0</v>
      </c>
      <c r="N1183" s="1309">
        <f t="shared" si="116"/>
        <v>0</v>
      </c>
      <c r="O1183" s="1296" t="str">
        <f t="shared" si="117"/>
        <v>0</v>
      </c>
    </row>
    <row r="1184" spans="1:15" s="1296" customFormat="1" hidden="1">
      <c r="A1184" s="1310"/>
      <c r="B1184" s="1311"/>
      <c r="C1184" s="1312">
        <v>0</v>
      </c>
      <c r="D1184" s="1313">
        <v>0</v>
      </c>
      <c r="E1184" s="1314"/>
      <c r="F1184" s="1315"/>
      <c r="G1184" s="1316">
        <f>+SUMIF(asientos!$C$13:$C$1276,SYS_4_3_Digitos!A1184,asientos!$B$13:$B$1276)</f>
        <v>0</v>
      </c>
      <c r="H1184" s="1317">
        <f>+SUMIF(asientos!$I$13:$I$1276,SYS_4_3_Digitos!A1184,asientos!$J$13:$J$1276)</f>
        <v>0</v>
      </c>
      <c r="I1184" s="1314">
        <f t="shared" si="112"/>
        <v>0</v>
      </c>
      <c r="J1184" s="1315">
        <f t="shared" si="113"/>
        <v>0</v>
      </c>
      <c r="L1184" s="1308">
        <f t="shared" si="114"/>
        <v>0</v>
      </c>
      <c r="M1184" s="1296" t="str">
        <f t="shared" si="115"/>
        <v>0</v>
      </c>
      <c r="N1184" s="1309">
        <f t="shared" si="116"/>
        <v>0</v>
      </c>
      <c r="O1184" s="1296" t="str">
        <f t="shared" si="117"/>
        <v>0</v>
      </c>
    </row>
    <row r="1185" spans="1:15" s="1296" customFormat="1" hidden="1">
      <c r="A1185" s="1310"/>
      <c r="B1185" s="1311"/>
      <c r="C1185" s="1312">
        <v>0</v>
      </c>
      <c r="D1185" s="1313">
        <v>0</v>
      </c>
      <c r="E1185" s="1314"/>
      <c r="F1185" s="1315"/>
      <c r="G1185" s="1316">
        <f>+SUMIF(asientos!$C$13:$C$1276,SYS_4_3_Digitos!A1185,asientos!$B$13:$B$1276)</f>
        <v>0</v>
      </c>
      <c r="H1185" s="1317">
        <f>+SUMIF(asientos!$I$13:$I$1276,SYS_4_3_Digitos!A1185,asientos!$J$13:$J$1276)</f>
        <v>0</v>
      </c>
      <c r="I1185" s="1314">
        <f t="shared" si="112"/>
        <v>0</v>
      </c>
      <c r="J1185" s="1315">
        <f t="shared" si="113"/>
        <v>0</v>
      </c>
      <c r="L1185" s="1308">
        <f t="shared" si="114"/>
        <v>0</v>
      </c>
      <c r="M1185" s="1296" t="str">
        <f t="shared" si="115"/>
        <v>0</v>
      </c>
      <c r="N1185" s="1309">
        <f t="shared" si="116"/>
        <v>0</v>
      </c>
      <c r="O1185" s="1296" t="str">
        <f t="shared" si="117"/>
        <v>0</v>
      </c>
    </row>
    <row r="1186" spans="1:15" s="1296" customFormat="1" hidden="1">
      <c r="A1186" s="1310"/>
      <c r="B1186" s="1311"/>
      <c r="C1186" s="1312">
        <v>0</v>
      </c>
      <c r="D1186" s="1313">
        <v>0</v>
      </c>
      <c r="E1186" s="1314"/>
      <c r="F1186" s="1315"/>
      <c r="G1186" s="1316">
        <f>+SUMIF(asientos!$C$13:$C$1276,SYS_4_3_Digitos!A1186,asientos!$B$13:$B$1276)</f>
        <v>0</v>
      </c>
      <c r="H1186" s="1317">
        <f>+SUMIF(asientos!$I$13:$I$1276,SYS_4_3_Digitos!A1186,asientos!$J$13:$J$1276)</f>
        <v>0</v>
      </c>
      <c r="I1186" s="1314">
        <f t="shared" si="112"/>
        <v>0</v>
      </c>
      <c r="J1186" s="1315">
        <f t="shared" si="113"/>
        <v>0</v>
      </c>
      <c r="L1186" s="1308">
        <f t="shared" si="114"/>
        <v>0</v>
      </c>
      <c r="M1186" s="1296" t="str">
        <f t="shared" si="115"/>
        <v>0</v>
      </c>
      <c r="N1186" s="1309">
        <f t="shared" si="116"/>
        <v>0</v>
      </c>
      <c r="O1186" s="1296" t="str">
        <f t="shared" si="117"/>
        <v>0</v>
      </c>
    </row>
    <row r="1187" spans="1:15" s="1296" customFormat="1" hidden="1">
      <c r="A1187" s="1310"/>
      <c r="B1187" s="1311"/>
      <c r="C1187" s="1312">
        <v>0</v>
      </c>
      <c r="D1187" s="1313">
        <v>0</v>
      </c>
      <c r="E1187" s="1314"/>
      <c r="F1187" s="1315"/>
      <c r="G1187" s="1316">
        <f>+SUMIF(asientos!$C$13:$C$1276,SYS_4_3_Digitos!A1187,asientos!$B$13:$B$1276)</f>
        <v>0</v>
      </c>
      <c r="H1187" s="1317">
        <f>+SUMIF(asientos!$I$13:$I$1276,SYS_4_3_Digitos!A1187,asientos!$J$13:$J$1276)</f>
        <v>0</v>
      </c>
      <c r="I1187" s="1314">
        <f t="shared" si="112"/>
        <v>0</v>
      </c>
      <c r="J1187" s="1315">
        <f t="shared" si="113"/>
        <v>0</v>
      </c>
      <c r="L1187" s="1308">
        <f t="shared" si="114"/>
        <v>0</v>
      </c>
      <c r="M1187" s="1296" t="str">
        <f t="shared" si="115"/>
        <v>0</v>
      </c>
      <c r="N1187" s="1309">
        <f t="shared" si="116"/>
        <v>0</v>
      </c>
      <c r="O1187" s="1296" t="str">
        <f t="shared" si="117"/>
        <v>0</v>
      </c>
    </row>
    <row r="1188" spans="1:15" s="1296" customFormat="1" hidden="1">
      <c r="A1188" s="1310"/>
      <c r="B1188" s="1311"/>
      <c r="C1188" s="1312">
        <v>0</v>
      </c>
      <c r="D1188" s="1313">
        <v>0</v>
      </c>
      <c r="E1188" s="1314"/>
      <c r="F1188" s="1315"/>
      <c r="G1188" s="1316">
        <f>+SUMIF(asientos!$C$13:$C$1276,SYS_4_3_Digitos!A1188,asientos!$B$13:$B$1276)</f>
        <v>0</v>
      </c>
      <c r="H1188" s="1317">
        <f>+SUMIF(asientos!$I$13:$I$1276,SYS_4_3_Digitos!A1188,asientos!$J$13:$J$1276)</f>
        <v>0</v>
      </c>
      <c r="I1188" s="1314">
        <f t="shared" si="112"/>
        <v>0</v>
      </c>
      <c r="J1188" s="1315">
        <f t="shared" si="113"/>
        <v>0</v>
      </c>
      <c r="L1188" s="1308">
        <f t="shared" si="114"/>
        <v>0</v>
      </c>
      <c r="M1188" s="1296" t="str">
        <f t="shared" si="115"/>
        <v>0</v>
      </c>
      <c r="N1188" s="1309">
        <f t="shared" si="116"/>
        <v>0</v>
      </c>
      <c r="O1188" s="1296" t="str">
        <f t="shared" si="117"/>
        <v>0</v>
      </c>
    </row>
    <row r="1189" spans="1:15" s="1296" customFormat="1" hidden="1">
      <c r="A1189" s="1310"/>
      <c r="B1189" s="1311"/>
      <c r="C1189" s="1312">
        <v>0</v>
      </c>
      <c r="D1189" s="1313">
        <v>0</v>
      </c>
      <c r="E1189" s="1314"/>
      <c r="F1189" s="1315"/>
      <c r="G1189" s="1316">
        <f>+SUMIF(asientos!$C$13:$C$1276,SYS_4_3_Digitos!A1189,asientos!$B$13:$B$1276)</f>
        <v>0</v>
      </c>
      <c r="H1189" s="1317">
        <f>+SUMIF(asientos!$I$13:$I$1276,SYS_4_3_Digitos!A1189,asientos!$J$13:$J$1276)</f>
        <v>0</v>
      </c>
      <c r="I1189" s="1314">
        <f t="shared" ref="I1189:I1252" si="118">IF((E1189+G1189-F1189-H1189)&gt;0,E1189+G1189-F1189-H1189,0)</f>
        <v>0</v>
      </c>
      <c r="J1189" s="1315">
        <f t="shared" ref="J1189:J1252" si="119">IF((F1189+H1189-E1189-G1189)&gt;0,F1189+H1189-E1189-G1189,0)</f>
        <v>0</v>
      </c>
      <c r="L1189" s="1308">
        <f t="shared" ref="L1189:L1252" si="120">+A1189*1000000</f>
        <v>0</v>
      </c>
      <c r="M1189" s="1296" t="str">
        <f t="shared" ref="M1189:M1252" si="121">+LEFT(L1189,4)</f>
        <v>0</v>
      </c>
      <c r="N1189" s="1309">
        <f t="shared" ref="N1189:N1252" si="122">+I1189-J1189</f>
        <v>0</v>
      </c>
      <c r="O1189" s="1296" t="str">
        <f t="shared" ref="O1189:O1252" si="123">+LEFT(M1189,2)</f>
        <v>0</v>
      </c>
    </row>
    <row r="1190" spans="1:15" s="1296" customFormat="1" hidden="1">
      <c r="A1190" s="1310"/>
      <c r="B1190" s="1311"/>
      <c r="C1190" s="1312">
        <v>0</v>
      </c>
      <c r="D1190" s="1313">
        <v>0</v>
      </c>
      <c r="E1190" s="1314"/>
      <c r="F1190" s="1315"/>
      <c r="G1190" s="1316">
        <f>+SUMIF(asientos!$C$13:$C$1276,SYS_4_3_Digitos!A1190,asientos!$B$13:$B$1276)</f>
        <v>0</v>
      </c>
      <c r="H1190" s="1317">
        <f>+SUMIF(asientos!$I$13:$I$1276,SYS_4_3_Digitos!A1190,asientos!$J$13:$J$1276)</f>
        <v>0</v>
      </c>
      <c r="I1190" s="1314">
        <f t="shared" si="118"/>
        <v>0</v>
      </c>
      <c r="J1190" s="1315">
        <f t="shared" si="119"/>
        <v>0</v>
      </c>
      <c r="L1190" s="1308">
        <f t="shared" si="120"/>
        <v>0</v>
      </c>
      <c r="M1190" s="1296" t="str">
        <f t="shared" si="121"/>
        <v>0</v>
      </c>
      <c r="N1190" s="1309">
        <f t="shared" si="122"/>
        <v>0</v>
      </c>
      <c r="O1190" s="1296" t="str">
        <f t="shared" si="123"/>
        <v>0</v>
      </c>
    </row>
    <row r="1191" spans="1:15" s="1296" customFormat="1" hidden="1">
      <c r="A1191" s="1310"/>
      <c r="B1191" s="1311"/>
      <c r="C1191" s="1312">
        <v>0</v>
      </c>
      <c r="D1191" s="1313">
        <v>0</v>
      </c>
      <c r="E1191" s="1314"/>
      <c r="F1191" s="1315"/>
      <c r="G1191" s="1316">
        <f>+SUMIF(asientos!$C$13:$C$1276,SYS_4_3_Digitos!A1191,asientos!$B$13:$B$1276)</f>
        <v>0</v>
      </c>
      <c r="H1191" s="1317">
        <f>+SUMIF(asientos!$I$13:$I$1276,SYS_4_3_Digitos!A1191,asientos!$J$13:$J$1276)</f>
        <v>0</v>
      </c>
      <c r="I1191" s="1314">
        <f t="shared" si="118"/>
        <v>0</v>
      </c>
      <c r="J1191" s="1315">
        <f t="shared" si="119"/>
        <v>0</v>
      </c>
      <c r="L1191" s="1308">
        <f t="shared" si="120"/>
        <v>0</v>
      </c>
      <c r="M1191" s="1296" t="str">
        <f t="shared" si="121"/>
        <v>0</v>
      </c>
      <c r="N1191" s="1309">
        <f t="shared" si="122"/>
        <v>0</v>
      </c>
      <c r="O1191" s="1296" t="str">
        <f t="shared" si="123"/>
        <v>0</v>
      </c>
    </row>
    <row r="1192" spans="1:15" s="1296" customFormat="1" hidden="1">
      <c r="A1192" s="1310"/>
      <c r="B1192" s="1311"/>
      <c r="C1192" s="1312">
        <v>0</v>
      </c>
      <c r="D1192" s="1313">
        <v>0</v>
      </c>
      <c r="E1192" s="1314"/>
      <c r="F1192" s="1315"/>
      <c r="G1192" s="1316">
        <f>+SUMIF(asientos!$C$13:$C$1276,SYS_4_3_Digitos!A1192,asientos!$B$13:$B$1276)</f>
        <v>0</v>
      </c>
      <c r="H1192" s="1317">
        <f>+SUMIF(asientos!$I$13:$I$1276,SYS_4_3_Digitos!A1192,asientos!$J$13:$J$1276)</f>
        <v>0</v>
      </c>
      <c r="I1192" s="1314">
        <f t="shared" si="118"/>
        <v>0</v>
      </c>
      <c r="J1192" s="1315">
        <f t="shared" si="119"/>
        <v>0</v>
      </c>
      <c r="L1192" s="1308">
        <f t="shared" si="120"/>
        <v>0</v>
      </c>
      <c r="M1192" s="1296" t="str">
        <f t="shared" si="121"/>
        <v>0</v>
      </c>
      <c r="N1192" s="1309">
        <f t="shared" si="122"/>
        <v>0</v>
      </c>
      <c r="O1192" s="1296" t="str">
        <f t="shared" si="123"/>
        <v>0</v>
      </c>
    </row>
    <row r="1193" spans="1:15" s="1296" customFormat="1" hidden="1">
      <c r="A1193" s="1310"/>
      <c r="B1193" s="1311"/>
      <c r="C1193" s="1312">
        <v>0</v>
      </c>
      <c r="D1193" s="1313">
        <v>0</v>
      </c>
      <c r="E1193" s="1314"/>
      <c r="F1193" s="1315"/>
      <c r="G1193" s="1316">
        <f>+SUMIF(asientos!$C$13:$C$1276,SYS_4_3_Digitos!A1193,asientos!$B$13:$B$1276)</f>
        <v>0</v>
      </c>
      <c r="H1193" s="1317">
        <f>+SUMIF(asientos!$I$13:$I$1276,SYS_4_3_Digitos!A1193,asientos!$J$13:$J$1276)</f>
        <v>0</v>
      </c>
      <c r="I1193" s="1314">
        <f t="shared" si="118"/>
        <v>0</v>
      </c>
      <c r="J1193" s="1315">
        <f t="shared" si="119"/>
        <v>0</v>
      </c>
      <c r="L1193" s="1308">
        <f t="shared" si="120"/>
        <v>0</v>
      </c>
      <c r="M1193" s="1296" t="str">
        <f t="shared" si="121"/>
        <v>0</v>
      </c>
      <c r="N1193" s="1309">
        <f t="shared" si="122"/>
        <v>0</v>
      </c>
      <c r="O1193" s="1296" t="str">
        <f t="shared" si="123"/>
        <v>0</v>
      </c>
    </row>
    <row r="1194" spans="1:15" s="1296" customFormat="1" hidden="1">
      <c r="A1194" s="1310"/>
      <c r="B1194" s="1311"/>
      <c r="C1194" s="1312">
        <v>0</v>
      </c>
      <c r="D1194" s="1313">
        <v>0</v>
      </c>
      <c r="E1194" s="1314"/>
      <c r="F1194" s="1315"/>
      <c r="G1194" s="1316">
        <f>+SUMIF(asientos!$C$13:$C$1276,SYS_4_3_Digitos!A1194,asientos!$B$13:$B$1276)</f>
        <v>0</v>
      </c>
      <c r="H1194" s="1317">
        <f>+SUMIF(asientos!$I$13:$I$1276,SYS_4_3_Digitos!A1194,asientos!$J$13:$J$1276)</f>
        <v>0</v>
      </c>
      <c r="I1194" s="1314">
        <f t="shared" si="118"/>
        <v>0</v>
      </c>
      <c r="J1194" s="1315">
        <f t="shared" si="119"/>
        <v>0</v>
      </c>
      <c r="L1194" s="1308">
        <f t="shared" si="120"/>
        <v>0</v>
      </c>
      <c r="M1194" s="1296" t="str">
        <f t="shared" si="121"/>
        <v>0</v>
      </c>
      <c r="N1194" s="1309">
        <f t="shared" si="122"/>
        <v>0</v>
      </c>
      <c r="O1194" s="1296" t="str">
        <f t="shared" si="123"/>
        <v>0</v>
      </c>
    </row>
    <row r="1195" spans="1:15" s="1296" customFormat="1" hidden="1">
      <c r="A1195" s="1310"/>
      <c r="B1195" s="1311"/>
      <c r="C1195" s="1312">
        <v>0</v>
      </c>
      <c r="D1195" s="1313">
        <v>0</v>
      </c>
      <c r="E1195" s="1314"/>
      <c r="F1195" s="1315"/>
      <c r="G1195" s="1316">
        <f>+SUMIF(asientos!$C$13:$C$1276,SYS_4_3_Digitos!A1195,asientos!$B$13:$B$1276)</f>
        <v>0</v>
      </c>
      <c r="H1195" s="1317">
        <f>+SUMIF(asientos!$I$13:$I$1276,SYS_4_3_Digitos!A1195,asientos!$J$13:$J$1276)</f>
        <v>0</v>
      </c>
      <c r="I1195" s="1314">
        <f t="shared" si="118"/>
        <v>0</v>
      </c>
      <c r="J1195" s="1315">
        <f t="shared" si="119"/>
        <v>0</v>
      </c>
      <c r="L1195" s="1308">
        <f t="shared" si="120"/>
        <v>0</v>
      </c>
      <c r="M1195" s="1296" t="str">
        <f t="shared" si="121"/>
        <v>0</v>
      </c>
      <c r="N1195" s="1309">
        <f t="shared" si="122"/>
        <v>0</v>
      </c>
      <c r="O1195" s="1296" t="str">
        <f t="shared" si="123"/>
        <v>0</v>
      </c>
    </row>
    <row r="1196" spans="1:15" s="1296" customFormat="1" hidden="1">
      <c r="A1196" s="1310"/>
      <c r="B1196" s="1311"/>
      <c r="C1196" s="1312">
        <v>0</v>
      </c>
      <c r="D1196" s="1313">
        <v>0</v>
      </c>
      <c r="E1196" s="1314"/>
      <c r="F1196" s="1315"/>
      <c r="G1196" s="1316">
        <f>+SUMIF(asientos!$C$13:$C$1276,SYS_4_3_Digitos!A1196,asientos!$B$13:$B$1276)</f>
        <v>0</v>
      </c>
      <c r="H1196" s="1317">
        <f>+SUMIF(asientos!$I$13:$I$1276,SYS_4_3_Digitos!A1196,asientos!$J$13:$J$1276)</f>
        <v>0</v>
      </c>
      <c r="I1196" s="1314">
        <f t="shared" si="118"/>
        <v>0</v>
      </c>
      <c r="J1196" s="1315">
        <f t="shared" si="119"/>
        <v>0</v>
      </c>
      <c r="L1196" s="1308">
        <f t="shared" si="120"/>
        <v>0</v>
      </c>
      <c r="M1196" s="1296" t="str">
        <f t="shared" si="121"/>
        <v>0</v>
      </c>
      <c r="N1196" s="1309">
        <f t="shared" si="122"/>
        <v>0</v>
      </c>
      <c r="O1196" s="1296" t="str">
        <f t="shared" si="123"/>
        <v>0</v>
      </c>
    </row>
    <row r="1197" spans="1:15" s="1296" customFormat="1" hidden="1">
      <c r="A1197" s="1310"/>
      <c r="B1197" s="1311"/>
      <c r="C1197" s="1312">
        <v>0</v>
      </c>
      <c r="D1197" s="1313">
        <v>0</v>
      </c>
      <c r="E1197" s="1314"/>
      <c r="F1197" s="1315"/>
      <c r="G1197" s="1316">
        <f>+SUMIF(asientos!$C$13:$C$1276,SYS_4_3_Digitos!A1197,asientos!$B$13:$B$1276)</f>
        <v>0</v>
      </c>
      <c r="H1197" s="1317">
        <f>+SUMIF(asientos!$I$13:$I$1276,SYS_4_3_Digitos!A1197,asientos!$J$13:$J$1276)</f>
        <v>0</v>
      </c>
      <c r="I1197" s="1314">
        <f t="shared" si="118"/>
        <v>0</v>
      </c>
      <c r="J1197" s="1315">
        <f t="shared" si="119"/>
        <v>0</v>
      </c>
      <c r="L1197" s="1308">
        <f t="shared" si="120"/>
        <v>0</v>
      </c>
      <c r="M1197" s="1296" t="str">
        <f t="shared" si="121"/>
        <v>0</v>
      </c>
      <c r="N1197" s="1309">
        <f t="shared" si="122"/>
        <v>0</v>
      </c>
      <c r="O1197" s="1296" t="str">
        <f t="shared" si="123"/>
        <v>0</v>
      </c>
    </row>
    <row r="1198" spans="1:15" s="1296" customFormat="1" hidden="1">
      <c r="A1198" s="1310"/>
      <c r="B1198" s="1311"/>
      <c r="C1198" s="1312">
        <v>0</v>
      </c>
      <c r="D1198" s="1313">
        <v>0</v>
      </c>
      <c r="E1198" s="1314"/>
      <c r="F1198" s="1315"/>
      <c r="G1198" s="1316">
        <f>+SUMIF(asientos!$C$13:$C$1276,SYS_4_3_Digitos!A1198,asientos!$B$13:$B$1276)</f>
        <v>0</v>
      </c>
      <c r="H1198" s="1317">
        <f>+SUMIF(asientos!$I$13:$I$1276,SYS_4_3_Digitos!A1198,asientos!$J$13:$J$1276)</f>
        <v>0</v>
      </c>
      <c r="I1198" s="1314">
        <f t="shared" si="118"/>
        <v>0</v>
      </c>
      <c r="J1198" s="1315">
        <f t="shared" si="119"/>
        <v>0</v>
      </c>
      <c r="L1198" s="1308">
        <f t="shared" si="120"/>
        <v>0</v>
      </c>
      <c r="M1198" s="1296" t="str">
        <f t="shared" si="121"/>
        <v>0</v>
      </c>
      <c r="N1198" s="1309">
        <f t="shared" si="122"/>
        <v>0</v>
      </c>
      <c r="O1198" s="1296" t="str">
        <f t="shared" si="123"/>
        <v>0</v>
      </c>
    </row>
    <row r="1199" spans="1:15" s="1296" customFormat="1" hidden="1">
      <c r="A1199" s="1310"/>
      <c r="B1199" s="1311"/>
      <c r="C1199" s="1312">
        <v>0</v>
      </c>
      <c r="D1199" s="1313">
        <v>0</v>
      </c>
      <c r="E1199" s="1314"/>
      <c r="F1199" s="1315"/>
      <c r="G1199" s="1316">
        <f>+SUMIF(asientos!$C$13:$C$1276,SYS_4_3_Digitos!A1199,asientos!$B$13:$B$1276)</f>
        <v>0</v>
      </c>
      <c r="H1199" s="1317">
        <f>+SUMIF(asientos!$I$13:$I$1276,SYS_4_3_Digitos!A1199,asientos!$J$13:$J$1276)</f>
        <v>0</v>
      </c>
      <c r="I1199" s="1314">
        <f t="shared" si="118"/>
        <v>0</v>
      </c>
      <c r="J1199" s="1315">
        <f t="shared" si="119"/>
        <v>0</v>
      </c>
      <c r="L1199" s="1308">
        <f t="shared" si="120"/>
        <v>0</v>
      </c>
      <c r="M1199" s="1296" t="str">
        <f t="shared" si="121"/>
        <v>0</v>
      </c>
      <c r="N1199" s="1309">
        <f t="shared" si="122"/>
        <v>0</v>
      </c>
      <c r="O1199" s="1296" t="str">
        <f t="shared" si="123"/>
        <v>0</v>
      </c>
    </row>
    <row r="1200" spans="1:15" s="1296" customFormat="1" hidden="1">
      <c r="A1200" s="1310"/>
      <c r="B1200" s="1311"/>
      <c r="C1200" s="1312">
        <v>0</v>
      </c>
      <c r="D1200" s="1313">
        <v>0</v>
      </c>
      <c r="E1200" s="1314"/>
      <c r="F1200" s="1315"/>
      <c r="G1200" s="1316">
        <f>+SUMIF(asientos!$C$13:$C$1276,SYS_4_3_Digitos!A1200,asientos!$B$13:$B$1276)</f>
        <v>0</v>
      </c>
      <c r="H1200" s="1317">
        <f>+SUMIF(asientos!$I$13:$I$1276,SYS_4_3_Digitos!A1200,asientos!$J$13:$J$1276)</f>
        <v>0</v>
      </c>
      <c r="I1200" s="1314">
        <f t="shared" si="118"/>
        <v>0</v>
      </c>
      <c r="J1200" s="1315">
        <f t="shared" si="119"/>
        <v>0</v>
      </c>
      <c r="L1200" s="1308">
        <f t="shared" si="120"/>
        <v>0</v>
      </c>
      <c r="M1200" s="1296" t="str">
        <f t="shared" si="121"/>
        <v>0</v>
      </c>
      <c r="N1200" s="1309">
        <f t="shared" si="122"/>
        <v>0</v>
      </c>
      <c r="O1200" s="1296" t="str">
        <f t="shared" si="123"/>
        <v>0</v>
      </c>
    </row>
    <row r="1201" spans="1:15" s="1296" customFormat="1" hidden="1">
      <c r="A1201" s="1310"/>
      <c r="B1201" s="1311"/>
      <c r="C1201" s="1312">
        <v>0</v>
      </c>
      <c r="D1201" s="1313">
        <v>0</v>
      </c>
      <c r="E1201" s="1314"/>
      <c r="F1201" s="1315"/>
      <c r="G1201" s="1316">
        <f>+SUMIF(asientos!$C$13:$C$1276,SYS_4_3_Digitos!A1201,asientos!$B$13:$B$1276)</f>
        <v>0</v>
      </c>
      <c r="H1201" s="1317">
        <f>+SUMIF(asientos!$I$13:$I$1276,SYS_4_3_Digitos!A1201,asientos!$J$13:$J$1276)</f>
        <v>0</v>
      </c>
      <c r="I1201" s="1314">
        <f t="shared" si="118"/>
        <v>0</v>
      </c>
      <c r="J1201" s="1315">
        <f t="shared" si="119"/>
        <v>0</v>
      </c>
      <c r="L1201" s="1308">
        <f t="shared" si="120"/>
        <v>0</v>
      </c>
      <c r="M1201" s="1296" t="str">
        <f t="shared" si="121"/>
        <v>0</v>
      </c>
      <c r="N1201" s="1309">
        <f t="shared" si="122"/>
        <v>0</v>
      </c>
      <c r="O1201" s="1296" t="str">
        <f t="shared" si="123"/>
        <v>0</v>
      </c>
    </row>
    <row r="1202" spans="1:15" s="1296" customFormat="1" hidden="1">
      <c r="A1202" s="1310"/>
      <c r="B1202" s="1311"/>
      <c r="C1202" s="1312">
        <v>0</v>
      </c>
      <c r="D1202" s="1313">
        <v>0</v>
      </c>
      <c r="E1202" s="1314"/>
      <c r="F1202" s="1315"/>
      <c r="G1202" s="1316">
        <f>+SUMIF(asientos!$C$13:$C$1276,SYS_4_3_Digitos!A1202,asientos!$B$13:$B$1276)</f>
        <v>0</v>
      </c>
      <c r="H1202" s="1317">
        <f>+SUMIF(asientos!$I$13:$I$1276,SYS_4_3_Digitos!A1202,asientos!$J$13:$J$1276)</f>
        <v>0</v>
      </c>
      <c r="I1202" s="1314">
        <f t="shared" si="118"/>
        <v>0</v>
      </c>
      <c r="J1202" s="1315">
        <f t="shared" si="119"/>
        <v>0</v>
      </c>
      <c r="L1202" s="1308">
        <f t="shared" si="120"/>
        <v>0</v>
      </c>
      <c r="M1202" s="1296" t="str">
        <f t="shared" si="121"/>
        <v>0</v>
      </c>
      <c r="N1202" s="1309">
        <f t="shared" si="122"/>
        <v>0</v>
      </c>
      <c r="O1202" s="1296" t="str">
        <f t="shared" si="123"/>
        <v>0</v>
      </c>
    </row>
    <row r="1203" spans="1:15" s="1296" customFormat="1" hidden="1">
      <c r="A1203" s="1310"/>
      <c r="B1203" s="1311"/>
      <c r="C1203" s="1312">
        <v>0</v>
      </c>
      <c r="D1203" s="1313">
        <v>0</v>
      </c>
      <c r="E1203" s="1314"/>
      <c r="F1203" s="1315"/>
      <c r="G1203" s="1316">
        <f>+SUMIF(asientos!$C$13:$C$1276,SYS_4_3_Digitos!A1203,asientos!$B$13:$B$1276)</f>
        <v>0</v>
      </c>
      <c r="H1203" s="1317">
        <f>+SUMIF(asientos!$I$13:$I$1276,SYS_4_3_Digitos!A1203,asientos!$J$13:$J$1276)</f>
        <v>0</v>
      </c>
      <c r="I1203" s="1314">
        <f t="shared" si="118"/>
        <v>0</v>
      </c>
      <c r="J1203" s="1315">
        <f t="shared" si="119"/>
        <v>0</v>
      </c>
      <c r="L1203" s="1308">
        <f t="shared" si="120"/>
        <v>0</v>
      </c>
      <c r="M1203" s="1296" t="str">
        <f t="shared" si="121"/>
        <v>0</v>
      </c>
      <c r="N1203" s="1309">
        <f t="shared" si="122"/>
        <v>0</v>
      </c>
      <c r="O1203" s="1296" t="str">
        <f t="shared" si="123"/>
        <v>0</v>
      </c>
    </row>
    <row r="1204" spans="1:15" s="1296" customFormat="1" hidden="1">
      <c r="A1204" s="1310"/>
      <c r="B1204" s="1311"/>
      <c r="C1204" s="1312">
        <v>0</v>
      </c>
      <c r="D1204" s="1313">
        <v>0</v>
      </c>
      <c r="E1204" s="1314"/>
      <c r="F1204" s="1315"/>
      <c r="G1204" s="1316">
        <f>+SUMIF(asientos!$C$13:$C$1276,SYS_4_3_Digitos!A1204,asientos!$B$13:$B$1276)</f>
        <v>0</v>
      </c>
      <c r="H1204" s="1317">
        <f>+SUMIF(asientos!$I$13:$I$1276,SYS_4_3_Digitos!A1204,asientos!$J$13:$J$1276)</f>
        <v>0</v>
      </c>
      <c r="I1204" s="1314">
        <f t="shared" si="118"/>
        <v>0</v>
      </c>
      <c r="J1204" s="1315">
        <f t="shared" si="119"/>
        <v>0</v>
      </c>
      <c r="L1204" s="1308">
        <f t="shared" si="120"/>
        <v>0</v>
      </c>
      <c r="M1204" s="1296" t="str">
        <f t="shared" si="121"/>
        <v>0</v>
      </c>
      <c r="N1204" s="1309">
        <f t="shared" si="122"/>
        <v>0</v>
      </c>
      <c r="O1204" s="1296" t="str">
        <f t="shared" si="123"/>
        <v>0</v>
      </c>
    </row>
    <row r="1205" spans="1:15" s="1296" customFormat="1" hidden="1">
      <c r="A1205" s="1310"/>
      <c r="B1205" s="1311"/>
      <c r="C1205" s="1312">
        <v>0</v>
      </c>
      <c r="D1205" s="1313">
        <v>0</v>
      </c>
      <c r="E1205" s="1314"/>
      <c r="F1205" s="1315"/>
      <c r="G1205" s="1316">
        <f>+SUMIF(asientos!$C$13:$C$1276,SYS_4_3_Digitos!A1205,asientos!$B$13:$B$1276)</f>
        <v>0</v>
      </c>
      <c r="H1205" s="1317">
        <f>+SUMIF(asientos!$I$13:$I$1276,SYS_4_3_Digitos!A1205,asientos!$J$13:$J$1276)</f>
        <v>0</v>
      </c>
      <c r="I1205" s="1314">
        <f t="shared" si="118"/>
        <v>0</v>
      </c>
      <c r="J1205" s="1315">
        <f t="shared" si="119"/>
        <v>0</v>
      </c>
      <c r="L1205" s="1308">
        <f t="shared" si="120"/>
        <v>0</v>
      </c>
      <c r="M1205" s="1296" t="str">
        <f t="shared" si="121"/>
        <v>0</v>
      </c>
      <c r="N1205" s="1309">
        <f t="shared" si="122"/>
        <v>0</v>
      </c>
      <c r="O1205" s="1296" t="str">
        <f t="shared" si="123"/>
        <v>0</v>
      </c>
    </row>
    <row r="1206" spans="1:15" s="1296" customFormat="1" hidden="1">
      <c r="A1206" s="1310"/>
      <c r="B1206" s="1311"/>
      <c r="C1206" s="1312">
        <v>0</v>
      </c>
      <c r="D1206" s="1313">
        <v>0</v>
      </c>
      <c r="E1206" s="1314"/>
      <c r="F1206" s="1315"/>
      <c r="G1206" s="1316">
        <f>+SUMIF(asientos!$C$13:$C$1276,SYS_4_3_Digitos!A1206,asientos!$B$13:$B$1276)</f>
        <v>0</v>
      </c>
      <c r="H1206" s="1317">
        <f>+SUMIF(asientos!$I$13:$I$1276,SYS_4_3_Digitos!A1206,asientos!$J$13:$J$1276)</f>
        <v>0</v>
      </c>
      <c r="I1206" s="1314">
        <f t="shared" si="118"/>
        <v>0</v>
      </c>
      <c r="J1206" s="1315">
        <f t="shared" si="119"/>
        <v>0</v>
      </c>
      <c r="L1206" s="1308">
        <f t="shared" si="120"/>
        <v>0</v>
      </c>
      <c r="M1206" s="1296" t="str">
        <f t="shared" si="121"/>
        <v>0</v>
      </c>
      <c r="N1206" s="1309">
        <f t="shared" si="122"/>
        <v>0</v>
      </c>
      <c r="O1206" s="1296" t="str">
        <f t="shared" si="123"/>
        <v>0</v>
      </c>
    </row>
    <row r="1207" spans="1:15" s="1296" customFormat="1" hidden="1">
      <c r="A1207" s="1310"/>
      <c r="B1207" s="1311"/>
      <c r="C1207" s="1312">
        <v>0</v>
      </c>
      <c r="D1207" s="1313">
        <v>0</v>
      </c>
      <c r="E1207" s="1314"/>
      <c r="F1207" s="1315"/>
      <c r="G1207" s="1316">
        <f>+SUMIF(asientos!$C$13:$C$1276,SYS_4_3_Digitos!A1207,asientos!$B$13:$B$1276)</f>
        <v>0</v>
      </c>
      <c r="H1207" s="1317">
        <f>+SUMIF(asientos!$I$13:$I$1276,SYS_4_3_Digitos!A1207,asientos!$J$13:$J$1276)</f>
        <v>0</v>
      </c>
      <c r="I1207" s="1314">
        <f t="shared" si="118"/>
        <v>0</v>
      </c>
      <c r="J1207" s="1315">
        <f t="shared" si="119"/>
        <v>0</v>
      </c>
      <c r="L1207" s="1308">
        <f t="shared" si="120"/>
        <v>0</v>
      </c>
      <c r="M1207" s="1296" t="str">
        <f t="shared" si="121"/>
        <v>0</v>
      </c>
      <c r="N1207" s="1309">
        <f t="shared" si="122"/>
        <v>0</v>
      </c>
      <c r="O1207" s="1296" t="str">
        <f t="shared" si="123"/>
        <v>0</v>
      </c>
    </row>
    <row r="1208" spans="1:15" s="1296" customFormat="1" hidden="1">
      <c r="A1208" s="1310"/>
      <c r="B1208" s="1311"/>
      <c r="C1208" s="1312">
        <v>0</v>
      </c>
      <c r="D1208" s="1313">
        <v>0</v>
      </c>
      <c r="E1208" s="1314"/>
      <c r="F1208" s="1315"/>
      <c r="G1208" s="1316">
        <f>+SUMIF(asientos!$C$13:$C$1276,SYS_4_3_Digitos!A1208,asientos!$B$13:$B$1276)</f>
        <v>0</v>
      </c>
      <c r="H1208" s="1317">
        <f>+SUMIF(asientos!$I$13:$I$1276,SYS_4_3_Digitos!A1208,asientos!$J$13:$J$1276)</f>
        <v>0</v>
      </c>
      <c r="I1208" s="1314">
        <f t="shared" si="118"/>
        <v>0</v>
      </c>
      <c r="J1208" s="1315">
        <f t="shared" si="119"/>
        <v>0</v>
      </c>
      <c r="L1208" s="1308">
        <f t="shared" si="120"/>
        <v>0</v>
      </c>
      <c r="M1208" s="1296" t="str">
        <f t="shared" si="121"/>
        <v>0</v>
      </c>
      <c r="N1208" s="1309">
        <f t="shared" si="122"/>
        <v>0</v>
      </c>
      <c r="O1208" s="1296" t="str">
        <f t="shared" si="123"/>
        <v>0</v>
      </c>
    </row>
    <row r="1209" spans="1:15" s="1296" customFormat="1" hidden="1">
      <c r="A1209" s="1310"/>
      <c r="B1209" s="1311"/>
      <c r="C1209" s="1312">
        <v>0</v>
      </c>
      <c r="D1209" s="1313">
        <v>0</v>
      </c>
      <c r="E1209" s="1314"/>
      <c r="F1209" s="1315"/>
      <c r="G1209" s="1316">
        <f>+SUMIF(asientos!$C$13:$C$1276,SYS_4_3_Digitos!A1209,asientos!$B$13:$B$1276)</f>
        <v>0</v>
      </c>
      <c r="H1209" s="1317">
        <f>+SUMIF(asientos!$I$13:$I$1276,SYS_4_3_Digitos!A1209,asientos!$J$13:$J$1276)</f>
        <v>0</v>
      </c>
      <c r="I1209" s="1314">
        <f t="shared" si="118"/>
        <v>0</v>
      </c>
      <c r="J1209" s="1315">
        <f t="shared" si="119"/>
        <v>0</v>
      </c>
      <c r="L1209" s="1308">
        <f t="shared" si="120"/>
        <v>0</v>
      </c>
      <c r="M1209" s="1296" t="str">
        <f t="shared" si="121"/>
        <v>0</v>
      </c>
      <c r="N1209" s="1309">
        <f t="shared" si="122"/>
        <v>0</v>
      </c>
      <c r="O1209" s="1296" t="str">
        <f t="shared" si="123"/>
        <v>0</v>
      </c>
    </row>
    <row r="1210" spans="1:15" s="1296" customFormat="1" hidden="1">
      <c r="A1210" s="1310"/>
      <c r="B1210" s="1311"/>
      <c r="C1210" s="1312">
        <v>0</v>
      </c>
      <c r="D1210" s="1313">
        <v>0</v>
      </c>
      <c r="E1210" s="1314"/>
      <c r="F1210" s="1315"/>
      <c r="G1210" s="1316">
        <f>+SUMIF(asientos!$C$13:$C$1276,SYS_4_3_Digitos!A1210,asientos!$B$13:$B$1276)</f>
        <v>0</v>
      </c>
      <c r="H1210" s="1317">
        <f>+SUMIF(asientos!$I$13:$I$1276,SYS_4_3_Digitos!A1210,asientos!$J$13:$J$1276)</f>
        <v>0</v>
      </c>
      <c r="I1210" s="1314">
        <f t="shared" si="118"/>
        <v>0</v>
      </c>
      <c r="J1210" s="1315">
        <f t="shared" si="119"/>
        <v>0</v>
      </c>
      <c r="L1210" s="1308">
        <f t="shared" si="120"/>
        <v>0</v>
      </c>
      <c r="M1210" s="1296" t="str">
        <f t="shared" si="121"/>
        <v>0</v>
      </c>
      <c r="N1210" s="1309">
        <f t="shared" si="122"/>
        <v>0</v>
      </c>
      <c r="O1210" s="1296" t="str">
        <f t="shared" si="123"/>
        <v>0</v>
      </c>
    </row>
    <row r="1211" spans="1:15" s="1296" customFormat="1" hidden="1">
      <c r="A1211" s="1310"/>
      <c r="B1211" s="1311"/>
      <c r="C1211" s="1312">
        <v>0</v>
      </c>
      <c r="D1211" s="1313">
        <v>0</v>
      </c>
      <c r="E1211" s="1314"/>
      <c r="F1211" s="1315"/>
      <c r="G1211" s="1316">
        <f>+SUMIF(asientos!$C$13:$C$1276,SYS_4_3_Digitos!A1211,asientos!$B$13:$B$1276)</f>
        <v>0</v>
      </c>
      <c r="H1211" s="1317">
        <f>+SUMIF(asientos!$I$13:$I$1276,SYS_4_3_Digitos!A1211,asientos!$J$13:$J$1276)</f>
        <v>0</v>
      </c>
      <c r="I1211" s="1314">
        <f t="shared" si="118"/>
        <v>0</v>
      </c>
      <c r="J1211" s="1315">
        <f t="shared" si="119"/>
        <v>0</v>
      </c>
      <c r="L1211" s="1308">
        <f t="shared" si="120"/>
        <v>0</v>
      </c>
      <c r="M1211" s="1296" t="str">
        <f t="shared" si="121"/>
        <v>0</v>
      </c>
      <c r="N1211" s="1309">
        <f t="shared" si="122"/>
        <v>0</v>
      </c>
      <c r="O1211" s="1296" t="str">
        <f t="shared" si="123"/>
        <v>0</v>
      </c>
    </row>
    <row r="1212" spans="1:15" s="1296" customFormat="1" hidden="1">
      <c r="A1212" s="1310"/>
      <c r="B1212" s="1311"/>
      <c r="C1212" s="1312">
        <v>0</v>
      </c>
      <c r="D1212" s="1313">
        <v>0</v>
      </c>
      <c r="E1212" s="1314"/>
      <c r="F1212" s="1315"/>
      <c r="G1212" s="1316">
        <f>+SUMIF(asientos!$C$13:$C$1276,SYS_4_3_Digitos!A1212,asientos!$B$13:$B$1276)</f>
        <v>0</v>
      </c>
      <c r="H1212" s="1317">
        <f>+SUMIF(asientos!$I$13:$I$1276,SYS_4_3_Digitos!A1212,asientos!$J$13:$J$1276)</f>
        <v>0</v>
      </c>
      <c r="I1212" s="1314">
        <f t="shared" si="118"/>
        <v>0</v>
      </c>
      <c r="J1212" s="1315">
        <f t="shared" si="119"/>
        <v>0</v>
      </c>
      <c r="L1212" s="1308">
        <f t="shared" si="120"/>
        <v>0</v>
      </c>
      <c r="M1212" s="1296" t="str">
        <f t="shared" si="121"/>
        <v>0</v>
      </c>
      <c r="N1212" s="1309">
        <f t="shared" si="122"/>
        <v>0</v>
      </c>
      <c r="O1212" s="1296" t="str">
        <f t="shared" si="123"/>
        <v>0</v>
      </c>
    </row>
    <row r="1213" spans="1:15" s="1296" customFormat="1" hidden="1">
      <c r="A1213" s="1310"/>
      <c r="B1213" s="1311"/>
      <c r="C1213" s="1312">
        <v>0</v>
      </c>
      <c r="D1213" s="1313">
        <v>0</v>
      </c>
      <c r="E1213" s="1314"/>
      <c r="F1213" s="1315"/>
      <c r="G1213" s="1316">
        <f>+SUMIF(asientos!$C$13:$C$1276,SYS_4_3_Digitos!A1213,asientos!$B$13:$B$1276)</f>
        <v>0</v>
      </c>
      <c r="H1213" s="1317">
        <f>+SUMIF(asientos!$I$13:$I$1276,SYS_4_3_Digitos!A1213,asientos!$J$13:$J$1276)</f>
        <v>0</v>
      </c>
      <c r="I1213" s="1314">
        <f t="shared" si="118"/>
        <v>0</v>
      </c>
      <c r="J1213" s="1315">
        <f t="shared" si="119"/>
        <v>0</v>
      </c>
      <c r="L1213" s="1308">
        <f t="shared" si="120"/>
        <v>0</v>
      </c>
      <c r="M1213" s="1296" t="str">
        <f t="shared" si="121"/>
        <v>0</v>
      </c>
      <c r="N1213" s="1309">
        <f t="shared" si="122"/>
        <v>0</v>
      </c>
      <c r="O1213" s="1296" t="str">
        <f t="shared" si="123"/>
        <v>0</v>
      </c>
    </row>
    <row r="1214" spans="1:15" s="1296" customFormat="1" hidden="1">
      <c r="A1214" s="1310"/>
      <c r="B1214" s="1311"/>
      <c r="C1214" s="1312">
        <v>0</v>
      </c>
      <c r="D1214" s="1313">
        <v>0</v>
      </c>
      <c r="E1214" s="1314"/>
      <c r="F1214" s="1315"/>
      <c r="G1214" s="1316">
        <f>+SUMIF(asientos!$C$13:$C$1276,SYS_4_3_Digitos!A1214,asientos!$B$13:$B$1276)</f>
        <v>0</v>
      </c>
      <c r="H1214" s="1317">
        <f>+SUMIF(asientos!$I$13:$I$1276,SYS_4_3_Digitos!A1214,asientos!$J$13:$J$1276)</f>
        <v>0</v>
      </c>
      <c r="I1214" s="1314">
        <f t="shared" si="118"/>
        <v>0</v>
      </c>
      <c r="J1214" s="1315">
        <f t="shared" si="119"/>
        <v>0</v>
      </c>
      <c r="L1214" s="1308">
        <f t="shared" si="120"/>
        <v>0</v>
      </c>
      <c r="M1214" s="1296" t="str">
        <f t="shared" si="121"/>
        <v>0</v>
      </c>
      <c r="N1214" s="1309">
        <f t="shared" si="122"/>
        <v>0</v>
      </c>
      <c r="O1214" s="1296" t="str">
        <f t="shared" si="123"/>
        <v>0</v>
      </c>
    </row>
    <row r="1215" spans="1:15" s="1296" customFormat="1" hidden="1">
      <c r="A1215" s="1310"/>
      <c r="B1215" s="1311"/>
      <c r="C1215" s="1312">
        <v>0</v>
      </c>
      <c r="D1215" s="1313">
        <v>0</v>
      </c>
      <c r="E1215" s="1314"/>
      <c r="F1215" s="1315"/>
      <c r="G1215" s="1316">
        <f>+SUMIF(asientos!$C$13:$C$1276,SYS_4_3_Digitos!A1215,asientos!$B$13:$B$1276)</f>
        <v>0</v>
      </c>
      <c r="H1215" s="1317">
        <f>+SUMIF(asientos!$I$13:$I$1276,SYS_4_3_Digitos!A1215,asientos!$J$13:$J$1276)</f>
        <v>0</v>
      </c>
      <c r="I1215" s="1314">
        <f t="shared" si="118"/>
        <v>0</v>
      </c>
      <c r="J1215" s="1315">
        <f t="shared" si="119"/>
        <v>0</v>
      </c>
      <c r="L1215" s="1308">
        <f t="shared" si="120"/>
        <v>0</v>
      </c>
      <c r="M1215" s="1296" t="str">
        <f t="shared" si="121"/>
        <v>0</v>
      </c>
      <c r="N1215" s="1309">
        <f t="shared" si="122"/>
        <v>0</v>
      </c>
      <c r="O1215" s="1296" t="str">
        <f t="shared" si="123"/>
        <v>0</v>
      </c>
    </row>
    <row r="1216" spans="1:15" s="1296" customFormat="1" hidden="1">
      <c r="A1216" s="1310"/>
      <c r="B1216" s="1311"/>
      <c r="C1216" s="1312">
        <v>0</v>
      </c>
      <c r="D1216" s="1313">
        <v>0</v>
      </c>
      <c r="E1216" s="1314"/>
      <c r="F1216" s="1315"/>
      <c r="G1216" s="1316">
        <f>+SUMIF(asientos!$C$13:$C$1276,SYS_4_3_Digitos!A1216,asientos!$B$13:$B$1276)</f>
        <v>0</v>
      </c>
      <c r="H1216" s="1317">
        <f>+SUMIF(asientos!$I$13:$I$1276,SYS_4_3_Digitos!A1216,asientos!$J$13:$J$1276)</f>
        <v>0</v>
      </c>
      <c r="I1216" s="1314">
        <f t="shared" si="118"/>
        <v>0</v>
      </c>
      <c r="J1216" s="1315">
        <f t="shared" si="119"/>
        <v>0</v>
      </c>
      <c r="L1216" s="1308">
        <f t="shared" si="120"/>
        <v>0</v>
      </c>
      <c r="M1216" s="1296" t="str">
        <f t="shared" si="121"/>
        <v>0</v>
      </c>
      <c r="N1216" s="1309">
        <f t="shared" si="122"/>
        <v>0</v>
      </c>
      <c r="O1216" s="1296" t="str">
        <f t="shared" si="123"/>
        <v>0</v>
      </c>
    </row>
    <row r="1217" spans="1:15" s="1296" customFormat="1" hidden="1">
      <c r="A1217" s="1310"/>
      <c r="B1217" s="1311"/>
      <c r="C1217" s="1312">
        <v>0</v>
      </c>
      <c r="D1217" s="1313">
        <v>0</v>
      </c>
      <c r="E1217" s="1314"/>
      <c r="F1217" s="1315"/>
      <c r="G1217" s="1316">
        <f>+SUMIF(asientos!$C$13:$C$1276,SYS_4_3_Digitos!A1217,asientos!$B$13:$B$1276)</f>
        <v>0</v>
      </c>
      <c r="H1217" s="1317">
        <f>+SUMIF(asientos!$I$13:$I$1276,SYS_4_3_Digitos!A1217,asientos!$J$13:$J$1276)</f>
        <v>0</v>
      </c>
      <c r="I1217" s="1314">
        <f t="shared" si="118"/>
        <v>0</v>
      </c>
      <c r="J1217" s="1315">
        <f t="shared" si="119"/>
        <v>0</v>
      </c>
      <c r="L1217" s="1308">
        <f t="shared" si="120"/>
        <v>0</v>
      </c>
      <c r="M1217" s="1296" t="str">
        <f t="shared" si="121"/>
        <v>0</v>
      </c>
      <c r="N1217" s="1309">
        <f t="shared" si="122"/>
        <v>0</v>
      </c>
      <c r="O1217" s="1296" t="str">
        <f t="shared" si="123"/>
        <v>0</v>
      </c>
    </row>
    <row r="1218" spans="1:15" s="1296" customFormat="1" hidden="1">
      <c r="A1218" s="1310"/>
      <c r="B1218" s="1311"/>
      <c r="C1218" s="1312">
        <v>0</v>
      </c>
      <c r="D1218" s="1313">
        <v>0</v>
      </c>
      <c r="E1218" s="1314"/>
      <c r="F1218" s="1315"/>
      <c r="G1218" s="1316">
        <f>+SUMIF(asientos!$C$13:$C$1276,SYS_4_3_Digitos!A1218,asientos!$B$13:$B$1276)</f>
        <v>0</v>
      </c>
      <c r="H1218" s="1317">
        <f>+SUMIF(asientos!$I$13:$I$1276,SYS_4_3_Digitos!A1218,asientos!$J$13:$J$1276)</f>
        <v>0</v>
      </c>
      <c r="I1218" s="1314">
        <f t="shared" si="118"/>
        <v>0</v>
      </c>
      <c r="J1218" s="1315">
        <f t="shared" si="119"/>
        <v>0</v>
      </c>
      <c r="L1218" s="1308">
        <f t="shared" si="120"/>
        <v>0</v>
      </c>
      <c r="M1218" s="1296" t="str">
        <f t="shared" si="121"/>
        <v>0</v>
      </c>
      <c r="N1218" s="1309">
        <f t="shared" si="122"/>
        <v>0</v>
      </c>
      <c r="O1218" s="1296" t="str">
        <f t="shared" si="123"/>
        <v>0</v>
      </c>
    </row>
    <row r="1219" spans="1:15" s="1296" customFormat="1" hidden="1">
      <c r="A1219" s="1310"/>
      <c r="B1219" s="1311"/>
      <c r="C1219" s="1312">
        <v>0</v>
      </c>
      <c r="D1219" s="1313">
        <v>0</v>
      </c>
      <c r="E1219" s="1314"/>
      <c r="F1219" s="1315"/>
      <c r="G1219" s="1316">
        <f>+SUMIF(asientos!$C$13:$C$1276,SYS_4_3_Digitos!A1219,asientos!$B$13:$B$1276)</f>
        <v>0</v>
      </c>
      <c r="H1219" s="1317">
        <f>+SUMIF(asientos!$I$13:$I$1276,SYS_4_3_Digitos!A1219,asientos!$J$13:$J$1276)</f>
        <v>0</v>
      </c>
      <c r="I1219" s="1314">
        <f t="shared" si="118"/>
        <v>0</v>
      </c>
      <c r="J1219" s="1315">
        <f t="shared" si="119"/>
        <v>0</v>
      </c>
      <c r="L1219" s="1308">
        <f t="shared" si="120"/>
        <v>0</v>
      </c>
      <c r="M1219" s="1296" t="str">
        <f t="shared" si="121"/>
        <v>0</v>
      </c>
      <c r="N1219" s="1309">
        <f t="shared" si="122"/>
        <v>0</v>
      </c>
      <c r="O1219" s="1296" t="str">
        <f t="shared" si="123"/>
        <v>0</v>
      </c>
    </row>
    <row r="1220" spans="1:15" s="1296" customFormat="1" hidden="1">
      <c r="A1220" s="1310"/>
      <c r="B1220" s="1311"/>
      <c r="C1220" s="1312">
        <v>0</v>
      </c>
      <c r="D1220" s="1313">
        <v>0</v>
      </c>
      <c r="E1220" s="1314"/>
      <c r="F1220" s="1315"/>
      <c r="G1220" s="1316">
        <f>+SUMIF(asientos!$C$13:$C$1276,SYS_4_3_Digitos!A1220,asientos!$B$13:$B$1276)</f>
        <v>0</v>
      </c>
      <c r="H1220" s="1317">
        <f>+SUMIF(asientos!$I$13:$I$1276,SYS_4_3_Digitos!A1220,asientos!$J$13:$J$1276)</f>
        <v>0</v>
      </c>
      <c r="I1220" s="1314">
        <f t="shared" si="118"/>
        <v>0</v>
      </c>
      <c r="J1220" s="1315">
        <f t="shared" si="119"/>
        <v>0</v>
      </c>
      <c r="L1220" s="1308">
        <f t="shared" si="120"/>
        <v>0</v>
      </c>
      <c r="M1220" s="1296" t="str">
        <f t="shared" si="121"/>
        <v>0</v>
      </c>
      <c r="N1220" s="1309">
        <f t="shared" si="122"/>
        <v>0</v>
      </c>
      <c r="O1220" s="1296" t="str">
        <f t="shared" si="123"/>
        <v>0</v>
      </c>
    </row>
    <row r="1221" spans="1:15" s="1296" customFormat="1" hidden="1">
      <c r="A1221" s="1310"/>
      <c r="B1221" s="1311"/>
      <c r="C1221" s="1312">
        <v>0</v>
      </c>
      <c r="D1221" s="1313">
        <v>0</v>
      </c>
      <c r="E1221" s="1314"/>
      <c r="F1221" s="1315"/>
      <c r="G1221" s="1316">
        <f>+SUMIF(asientos!$C$13:$C$1276,SYS_4_3_Digitos!A1221,asientos!$B$13:$B$1276)</f>
        <v>0</v>
      </c>
      <c r="H1221" s="1317">
        <f>+SUMIF(asientos!$I$13:$I$1276,SYS_4_3_Digitos!A1221,asientos!$J$13:$J$1276)</f>
        <v>0</v>
      </c>
      <c r="I1221" s="1314">
        <f t="shared" si="118"/>
        <v>0</v>
      </c>
      <c r="J1221" s="1315">
        <f t="shared" si="119"/>
        <v>0</v>
      </c>
      <c r="L1221" s="1308">
        <f t="shared" si="120"/>
        <v>0</v>
      </c>
      <c r="M1221" s="1296" t="str">
        <f t="shared" si="121"/>
        <v>0</v>
      </c>
      <c r="N1221" s="1309">
        <f t="shared" si="122"/>
        <v>0</v>
      </c>
      <c r="O1221" s="1296" t="str">
        <f t="shared" si="123"/>
        <v>0</v>
      </c>
    </row>
    <row r="1222" spans="1:15" s="1296" customFormat="1" hidden="1">
      <c r="A1222" s="1310"/>
      <c r="B1222" s="1311"/>
      <c r="C1222" s="1312">
        <v>0</v>
      </c>
      <c r="D1222" s="1313">
        <v>0</v>
      </c>
      <c r="E1222" s="1314"/>
      <c r="F1222" s="1315"/>
      <c r="G1222" s="1316">
        <f>+SUMIF(asientos!$C$13:$C$1276,SYS_4_3_Digitos!A1222,asientos!$B$13:$B$1276)</f>
        <v>0</v>
      </c>
      <c r="H1222" s="1317">
        <f>+SUMIF(asientos!$I$13:$I$1276,SYS_4_3_Digitos!A1222,asientos!$J$13:$J$1276)</f>
        <v>0</v>
      </c>
      <c r="I1222" s="1314">
        <f t="shared" si="118"/>
        <v>0</v>
      </c>
      <c r="J1222" s="1315">
        <f t="shared" si="119"/>
        <v>0</v>
      </c>
      <c r="L1222" s="1308">
        <f t="shared" si="120"/>
        <v>0</v>
      </c>
      <c r="M1222" s="1296" t="str">
        <f t="shared" si="121"/>
        <v>0</v>
      </c>
      <c r="N1222" s="1309">
        <f t="shared" si="122"/>
        <v>0</v>
      </c>
      <c r="O1222" s="1296" t="str">
        <f t="shared" si="123"/>
        <v>0</v>
      </c>
    </row>
    <row r="1223" spans="1:15" s="1296" customFormat="1" hidden="1">
      <c r="A1223" s="1310"/>
      <c r="B1223" s="1311"/>
      <c r="C1223" s="1312">
        <v>0</v>
      </c>
      <c r="D1223" s="1313">
        <v>0</v>
      </c>
      <c r="E1223" s="1314"/>
      <c r="F1223" s="1315"/>
      <c r="G1223" s="1316">
        <f>+SUMIF(asientos!$C$13:$C$1276,SYS_4_3_Digitos!A1223,asientos!$B$13:$B$1276)</f>
        <v>0</v>
      </c>
      <c r="H1223" s="1317">
        <f>+SUMIF(asientos!$I$13:$I$1276,SYS_4_3_Digitos!A1223,asientos!$J$13:$J$1276)</f>
        <v>0</v>
      </c>
      <c r="I1223" s="1314">
        <f t="shared" si="118"/>
        <v>0</v>
      </c>
      <c r="J1223" s="1315">
        <f t="shared" si="119"/>
        <v>0</v>
      </c>
      <c r="L1223" s="1308">
        <f t="shared" si="120"/>
        <v>0</v>
      </c>
      <c r="M1223" s="1296" t="str">
        <f t="shared" si="121"/>
        <v>0</v>
      </c>
      <c r="N1223" s="1309">
        <f t="shared" si="122"/>
        <v>0</v>
      </c>
      <c r="O1223" s="1296" t="str">
        <f t="shared" si="123"/>
        <v>0</v>
      </c>
    </row>
    <row r="1224" spans="1:15" s="1296" customFormat="1" hidden="1">
      <c r="A1224" s="1310"/>
      <c r="B1224" s="1311"/>
      <c r="C1224" s="1312">
        <v>0</v>
      </c>
      <c r="D1224" s="1313">
        <v>0</v>
      </c>
      <c r="E1224" s="1314"/>
      <c r="F1224" s="1315"/>
      <c r="G1224" s="1316">
        <f>+SUMIF(asientos!$C$13:$C$1276,SYS_4_3_Digitos!A1224,asientos!$B$13:$B$1276)</f>
        <v>0</v>
      </c>
      <c r="H1224" s="1317">
        <f>+SUMIF(asientos!$I$13:$I$1276,SYS_4_3_Digitos!A1224,asientos!$J$13:$J$1276)</f>
        <v>0</v>
      </c>
      <c r="I1224" s="1314">
        <f t="shared" si="118"/>
        <v>0</v>
      </c>
      <c r="J1224" s="1315">
        <f t="shared" si="119"/>
        <v>0</v>
      </c>
      <c r="L1224" s="1308">
        <f t="shared" si="120"/>
        <v>0</v>
      </c>
      <c r="M1224" s="1296" t="str">
        <f t="shared" si="121"/>
        <v>0</v>
      </c>
      <c r="N1224" s="1309">
        <f t="shared" si="122"/>
        <v>0</v>
      </c>
      <c r="O1224" s="1296" t="str">
        <f t="shared" si="123"/>
        <v>0</v>
      </c>
    </row>
    <row r="1225" spans="1:15" s="1296" customFormat="1" hidden="1">
      <c r="A1225" s="1310"/>
      <c r="B1225" s="1311"/>
      <c r="C1225" s="1312">
        <v>0</v>
      </c>
      <c r="D1225" s="1313">
        <v>0</v>
      </c>
      <c r="E1225" s="1314"/>
      <c r="F1225" s="1315"/>
      <c r="G1225" s="1316">
        <f>+SUMIF(asientos!$C$13:$C$1276,SYS_4_3_Digitos!A1225,asientos!$B$13:$B$1276)</f>
        <v>0</v>
      </c>
      <c r="H1225" s="1317">
        <f>+SUMIF(asientos!$I$13:$I$1276,SYS_4_3_Digitos!A1225,asientos!$J$13:$J$1276)</f>
        <v>0</v>
      </c>
      <c r="I1225" s="1314">
        <f t="shared" si="118"/>
        <v>0</v>
      </c>
      <c r="J1225" s="1315">
        <f t="shared" si="119"/>
        <v>0</v>
      </c>
      <c r="L1225" s="1308">
        <f t="shared" si="120"/>
        <v>0</v>
      </c>
      <c r="M1225" s="1296" t="str">
        <f t="shared" si="121"/>
        <v>0</v>
      </c>
      <c r="N1225" s="1309">
        <f t="shared" si="122"/>
        <v>0</v>
      </c>
      <c r="O1225" s="1296" t="str">
        <f t="shared" si="123"/>
        <v>0</v>
      </c>
    </row>
    <row r="1226" spans="1:15" s="1296" customFormat="1" hidden="1">
      <c r="A1226" s="1310"/>
      <c r="B1226" s="1311"/>
      <c r="C1226" s="1312">
        <v>0</v>
      </c>
      <c r="D1226" s="1313">
        <v>0</v>
      </c>
      <c r="E1226" s="1314"/>
      <c r="F1226" s="1315"/>
      <c r="G1226" s="1316">
        <f>+SUMIF(asientos!$C$13:$C$1276,SYS_4_3_Digitos!A1226,asientos!$B$13:$B$1276)</f>
        <v>0</v>
      </c>
      <c r="H1226" s="1317">
        <f>+SUMIF(asientos!$I$13:$I$1276,SYS_4_3_Digitos!A1226,asientos!$J$13:$J$1276)</f>
        <v>0</v>
      </c>
      <c r="I1226" s="1314">
        <f t="shared" si="118"/>
        <v>0</v>
      </c>
      <c r="J1226" s="1315">
        <f t="shared" si="119"/>
        <v>0</v>
      </c>
      <c r="L1226" s="1308">
        <f t="shared" si="120"/>
        <v>0</v>
      </c>
      <c r="M1226" s="1296" t="str">
        <f t="shared" si="121"/>
        <v>0</v>
      </c>
      <c r="N1226" s="1309">
        <f t="shared" si="122"/>
        <v>0</v>
      </c>
      <c r="O1226" s="1296" t="str">
        <f t="shared" si="123"/>
        <v>0</v>
      </c>
    </row>
    <row r="1227" spans="1:15" s="1296" customFormat="1" hidden="1">
      <c r="A1227" s="1310"/>
      <c r="B1227" s="1311"/>
      <c r="C1227" s="1312">
        <v>0</v>
      </c>
      <c r="D1227" s="1313">
        <v>0</v>
      </c>
      <c r="E1227" s="1314"/>
      <c r="F1227" s="1315"/>
      <c r="G1227" s="1316">
        <f>+SUMIF(asientos!$C$13:$C$1276,SYS_4_3_Digitos!A1227,asientos!$B$13:$B$1276)</f>
        <v>0</v>
      </c>
      <c r="H1227" s="1317">
        <f>+SUMIF(asientos!$I$13:$I$1276,SYS_4_3_Digitos!A1227,asientos!$J$13:$J$1276)</f>
        <v>0</v>
      </c>
      <c r="I1227" s="1314">
        <f t="shared" si="118"/>
        <v>0</v>
      </c>
      <c r="J1227" s="1315">
        <f t="shared" si="119"/>
        <v>0</v>
      </c>
      <c r="L1227" s="1308">
        <f t="shared" si="120"/>
        <v>0</v>
      </c>
      <c r="M1227" s="1296" t="str">
        <f t="shared" si="121"/>
        <v>0</v>
      </c>
      <c r="N1227" s="1309">
        <f t="shared" si="122"/>
        <v>0</v>
      </c>
      <c r="O1227" s="1296" t="str">
        <f t="shared" si="123"/>
        <v>0</v>
      </c>
    </row>
    <row r="1228" spans="1:15" s="1296" customFormat="1" hidden="1">
      <c r="A1228" s="1310"/>
      <c r="B1228" s="1311"/>
      <c r="C1228" s="1312">
        <v>0</v>
      </c>
      <c r="D1228" s="1313">
        <v>0</v>
      </c>
      <c r="E1228" s="1314"/>
      <c r="F1228" s="1315"/>
      <c r="G1228" s="1316">
        <f>+SUMIF(asientos!$C$13:$C$1276,SYS_4_3_Digitos!A1228,asientos!$B$13:$B$1276)</f>
        <v>0</v>
      </c>
      <c r="H1228" s="1317">
        <f>+SUMIF(asientos!$I$13:$I$1276,SYS_4_3_Digitos!A1228,asientos!$J$13:$J$1276)</f>
        <v>0</v>
      </c>
      <c r="I1228" s="1314">
        <f t="shared" si="118"/>
        <v>0</v>
      </c>
      <c r="J1228" s="1315">
        <f t="shared" si="119"/>
        <v>0</v>
      </c>
      <c r="L1228" s="1308">
        <f t="shared" si="120"/>
        <v>0</v>
      </c>
      <c r="M1228" s="1296" t="str">
        <f t="shared" si="121"/>
        <v>0</v>
      </c>
      <c r="N1228" s="1309">
        <f t="shared" si="122"/>
        <v>0</v>
      </c>
      <c r="O1228" s="1296" t="str">
        <f t="shared" si="123"/>
        <v>0</v>
      </c>
    </row>
    <row r="1229" spans="1:15" s="1296" customFormat="1" hidden="1">
      <c r="A1229" s="1310"/>
      <c r="B1229" s="1311"/>
      <c r="C1229" s="1312">
        <v>0</v>
      </c>
      <c r="D1229" s="1313">
        <v>0</v>
      </c>
      <c r="E1229" s="1314"/>
      <c r="F1229" s="1315"/>
      <c r="G1229" s="1316">
        <f>+SUMIF(asientos!$C$13:$C$1276,SYS_4_3_Digitos!A1229,asientos!$B$13:$B$1276)</f>
        <v>0</v>
      </c>
      <c r="H1229" s="1317">
        <f>+SUMIF(asientos!$I$13:$I$1276,SYS_4_3_Digitos!A1229,asientos!$J$13:$J$1276)</f>
        <v>0</v>
      </c>
      <c r="I1229" s="1314">
        <f t="shared" si="118"/>
        <v>0</v>
      </c>
      <c r="J1229" s="1315">
        <f t="shared" si="119"/>
        <v>0</v>
      </c>
      <c r="L1229" s="1308">
        <f t="shared" si="120"/>
        <v>0</v>
      </c>
      <c r="M1229" s="1296" t="str">
        <f t="shared" si="121"/>
        <v>0</v>
      </c>
      <c r="N1229" s="1309">
        <f t="shared" si="122"/>
        <v>0</v>
      </c>
      <c r="O1229" s="1296" t="str">
        <f t="shared" si="123"/>
        <v>0</v>
      </c>
    </row>
    <row r="1230" spans="1:15" s="1296" customFormat="1" hidden="1">
      <c r="A1230" s="1310"/>
      <c r="B1230" s="1311"/>
      <c r="C1230" s="1312">
        <v>0</v>
      </c>
      <c r="D1230" s="1313">
        <v>0</v>
      </c>
      <c r="E1230" s="1314"/>
      <c r="F1230" s="1315"/>
      <c r="G1230" s="1316">
        <f>+SUMIF(asientos!$C$13:$C$1276,SYS_4_3_Digitos!A1230,asientos!$B$13:$B$1276)</f>
        <v>0</v>
      </c>
      <c r="H1230" s="1317">
        <f>+SUMIF(asientos!$I$13:$I$1276,SYS_4_3_Digitos!A1230,asientos!$J$13:$J$1276)</f>
        <v>0</v>
      </c>
      <c r="I1230" s="1314">
        <f t="shared" si="118"/>
        <v>0</v>
      </c>
      <c r="J1230" s="1315">
        <f t="shared" si="119"/>
        <v>0</v>
      </c>
      <c r="L1230" s="1308">
        <f t="shared" si="120"/>
        <v>0</v>
      </c>
      <c r="M1230" s="1296" t="str">
        <f t="shared" si="121"/>
        <v>0</v>
      </c>
      <c r="N1230" s="1309">
        <f t="shared" si="122"/>
        <v>0</v>
      </c>
      <c r="O1230" s="1296" t="str">
        <f t="shared" si="123"/>
        <v>0</v>
      </c>
    </row>
    <row r="1231" spans="1:15" s="1296" customFormat="1" hidden="1">
      <c r="A1231" s="1310"/>
      <c r="B1231" s="1311"/>
      <c r="C1231" s="1312">
        <v>0</v>
      </c>
      <c r="D1231" s="1313">
        <v>0</v>
      </c>
      <c r="E1231" s="1314"/>
      <c r="F1231" s="1315"/>
      <c r="G1231" s="1316">
        <f>+SUMIF(asientos!$C$13:$C$1276,SYS_4_3_Digitos!A1231,asientos!$B$13:$B$1276)</f>
        <v>0</v>
      </c>
      <c r="H1231" s="1317">
        <f>+SUMIF(asientos!$I$13:$I$1276,SYS_4_3_Digitos!A1231,asientos!$J$13:$J$1276)</f>
        <v>0</v>
      </c>
      <c r="I1231" s="1314">
        <f t="shared" si="118"/>
        <v>0</v>
      </c>
      <c r="J1231" s="1315">
        <f t="shared" si="119"/>
        <v>0</v>
      </c>
      <c r="L1231" s="1308">
        <f t="shared" si="120"/>
        <v>0</v>
      </c>
      <c r="M1231" s="1296" t="str">
        <f t="shared" si="121"/>
        <v>0</v>
      </c>
      <c r="N1231" s="1309">
        <f t="shared" si="122"/>
        <v>0</v>
      </c>
      <c r="O1231" s="1296" t="str">
        <f t="shared" si="123"/>
        <v>0</v>
      </c>
    </row>
    <row r="1232" spans="1:15" s="1296" customFormat="1" hidden="1">
      <c r="A1232" s="1310"/>
      <c r="B1232" s="1311"/>
      <c r="C1232" s="1312">
        <v>0</v>
      </c>
      <c r="D1232" s="1313">
        <v>0</v>
      </c>
      <c r="E1232" s="1314"/>
      <c r="F1232" s="1315"/>
      <c r="G1232" s="1316">
        <f>+SUMIF(asientos!$C$13:$C$1276,SYS_4_3_Digitos!A1232,asientos!$B$13:$B$1276)</f>
        <v>0</v>
      </c>
      <c r="H1232" s="1317">
        <f>+SUMIF(asientos!$I$13:$I$1276,SYS_4_3_Digitos!A1232,asientos!$J$13:$J$1276)</f>
        <v>0</v>
      </c>
      <c r="I1232" s="1314">
        <f t="shared" si="118"/>
        <v>0</v>
      </c>
      <c r="J1232" s="1315">
        <f t="shared" si="119"/>
        <v>0</v>
      </c>
      <c r="L1232" s="1308">
        <f t="shared" si="120"/>
        <v>0</v>
      </c>
      <c r="M1232" s="1296" t="str">
        <f t="shared" si="121"/>
        <v>0</v>
      </c>
      <c r="N1232" s="1309">
        <f t="shared" si="122"/>
        <v>0</v>
      </c>
      <c r="O1232" s="1296" t="str">
        <f t="shared" si="123"/>
        <v>0</v>
      </c>
    </row>
    <row r="1233" spans="1:15" s="1296" customFormat="1" hidden="1">
      <c r="A1233" s="1310"/>
      <c r="B1233" s="1311"/>
      <c r="C1233" s="1312">
        <v>0</v>
      </c>
      <c r="D1233" s="1313">
        <v>0</v>
      </c>
      <c r="E1233" s="1314"/>
      <c r="F1233" s="1315"/>
      <c r="G1233" s="1316">
        <f>+SUMIF(asientos!$C$13:$C$1276,SYS_4_3_Digitos!A1233,asientos!$B$13:$B$1276)</f>
        <v>0</v>
      </c>
      <c r="H1233" s="1317">
        <f>+SUMIF(asientos!$I$13:$I$1276,SYS_4_3_Digitos!A1233,asientos!$J$13:$J$1276)</f>
        <v>0</v>
      </c>
      <c r="I1233" s="1314">
        <f t="shared" si="118"/>
        <v>0</v>
      </c>
      <c r="J1233" s="1315">
        <f t="shared" si="119"/>
        <v>0</v>
      </c>
      <c r="L1233" s="1308">
        <f t="shared" si="120"/>
        <v>0</v>
      </c>
      <c r="M1233" s="1296" t="str">
        <f t="shared" si="121"/>
        <v>0</v>
      </c>
      <c r="N1233" s="1309">
        <f t="shared" si="122"/>
        <v>0</v>
      </c>
      <c r="O1233" s="1296" t="str">
        <f t="shared" si="123"/>
        <v>0</v>
      </c>
    </row>
    <row r="1234" spans="1:15" s="1296" customFormat="1" hidden="1">
      <c r="A1234" s="1310"/>
      <c r="B1234" s="1311"/>
      <c r="C1234" s="1312">
        <v>0</v>
      </c>
      <c r="D1234" s="1313">
        <v>0</v>
      </c>
      <c r="E1234" s="1314"/>
      <c r="F1234" s="1315"/>
      <c r="G1234" s="1316">
        <f>+SUMIF(asientos!$C$13:$C$1276,SYS_4_3_Digitos!A1234,asientos!$B$13:$B$1276)</f>
        <v>0</v>
      </c>
      <c r="H1234" s="1317">
        <f>+SUMIF(asientos!$I$13:$I$1276,SYS_4_3_Digitos!A1234,asientos!$J$13:$J$1276)</f>
        <v>0</v>
      </c>
      <c r="I1234" s="1314">
        <f t="shared" si="118"/>
        <v>0</v>
      </c>
      <c r="J1234" s="1315">
        <f t="shared" si="119"/>
        <v>0</v>
      </c>
      <c r="L1234" s="1308">
        <f t="shared" si="120"/>
        <v>0</v>
      </c>
      <c r="M1234" s="1296" t="str">
        <f t="shared" si="121"/>
        <v>0</v>
      </c>
      <c r="N1234" s="1309">
        <f t="shared" si="122"/>
        <v>0</v>
      </c>
      <c r="O1234" s="1296" t="str">
        <f t="shared" si="123"/>
        <v>0</v>
      </c>
    </row>
    <row r="1235" spans="1:15" s="1296" customFormat="1" hidden="1">
      <c r="A1235" s="1310"/>
      <c r="B1235" s="1311"/>
      <c r="C1235" s="1312">
        <v>0</v>
      </c>
      <c r="D1235" s="1313">
        <v>0</v>
      </c>
      <c r="E1235" s="1314"/>
      <c r="F1235" s="1315"/>
      <c r="G1235" s="1316">
        <f>+SUMIF(asientos!$C$13:$C$1276,SYS_4_3_Digitos!A1235,asientos!$B$13:$B$1276)</f>
        <v>0</v>
      </c>
      <c r="H1235" s="1317">
        <f>+SUMIF(asientos!$I$13:$I$1276,SYS_4_3_Digitos!A1235,asientos!$J$13:$J$1276)</f>
        <v>0</v>
      </c>
      <c r="I1235" s="1314">
        <f t="shared" si="118"/>
        <v>0</v>
      </c>
      <c r="J1235" s="1315">
        <f t="shared" si="119"/>
        <v>0</v>
      </c>
      <c r="L1235" s="1308">
        <f t="shared" si="120"/>
        <v>0</v>
      </c>
      <c r="M1235" s="1296" t="str">
        <f t="shared" si="121"/>
        <v>0</v>
      </c>
      <c r="N1235" s="1309">
        <f t="shared" si="122"/>
        <v>0</v>
      </c>
      <c r="O1235" s="1296" t="str">
        <f t="shared" si="123"/>
        <v>0</v>
      </c>
    </row>
    <row r="1236" spans="1:15" s="1296" customFormat="1" hidden="1">
      <c r="A1236" s="1310"/>
      <c r="B1236" s="1311"/>
      <c r="C1236" s="1312">
        <v>0</v>
      </c>
      <c r="D1236" s="1313">
        <v>0</v>
      </c>
      <c r="E1236" s="1314"/>
      <c r="F1236" s="1315"/>
      <c r="G1236" s="1316">
        <f>+SUMIF(asientos!$C$13:$C$1276,SYS_4_3_Digitos!A1236,asientos!$B$13:$B$1276)</f>
        <v>0</v>
      </c>
      <c r="H1236" s="1317">
        <f>+SUMIF(asientos!$I$13:$I$1276,SYS_4_3_Digitos!A1236,asientos!$J$13:$J$1276)</f>
        <v>0</v>
      </c>
      <c r="I1236" s="1314">
        <f t="shared" si="118"/>
        <v>0</v>
      </c>
      <c r="J1236" s="1315">
        <f t="shared" si="119"/>
        <v>0</v>
      </c>
      <c r="L1236" s="1308">
        <f t="shared" si="120"/>
        <v>0</v>
      </c>
      <c r="M1236" s="1296" t="str">
        <f t="shared" si="121"/>
        <v>0</v>
      </c>
      <c r="N1236" s="1309">
        <f t="shared" si="122"/>
        <v>0</v>
      </c>
      <c r="O1236" s="1296" t="str">
        <f t="shared" si="123"/>
        <v>0</v>
      </c>
    </row>
    <row r="1237" spans="1:15" s="1296" customFormat="1" hidden="1">
      <c r="A1237" s="1310"/>
      <c r="B1237" s="1311"/>
      <c r="C1237" s="1312">
        <v>0</v>
      </c>
      <c r="D1237" s="1313">
        <v>0</v>
      </c>
      <c r="E1237" s="1314"/>
      <c r="F1237" s="1315"/>
      <c r="G1237" s="1316">
        <f>+SUMIF(asientos!$C$13:$C$1276,SYS_4_3_Digitos!A1237,asientos!$B$13:$B$1276)</f>
        <v>0</v>
      </c>
      <c r="H1237" s="1317">
        <f>+SUMIF(asientos!$I$13:$I$1276,SYS_4_3_Digitos!A1237,asientos!$J$13:$J$1276)</f>
        <v>0</v>
      </c>
      <c r="I1237" s="1314">
        <f t="shared" si="118"/>
        <v>0</v>
      </c>
      <c r="J1237" s="1315">
        <f t="shared" si="119"/>
        <v>0</v>
      </c>
      <c r="L1237" s="1308">
        <f t="shared" si="120"/>
        <v>0</v>
      </c>
      <c r="M1237" s="1296" t="str">
        <f t="shared" si="121"/>
        <v>0</v>
      </c>
      <c r="N1237" s="1309">
        <f t="shared" si="122"/>
        <v>0</v>
      </c>
      <c r="O1237" s="1296" t="str">
        <f t="shared" si="123"/>
        <v>0</v>
      </c>
    </row>
    <row r="1238" spans="1:15" s="1296" customFormat="1" hidden="1">
      <c r="A1238" s="1310"/>
      <c r="B1238" s="1311"/>
      <c r="C1238" s="1312">
        <v>0</v>
      </c>
      <c r="D1238" s="1313">
        <v>0</v>
      </c>
      <c r="E1238" s="1314"/>
      <c r="F1238" s="1315"/>
      <c r="G1238" s="1316">
        <f>+SUMIF(asientos!$C$13:$C$1276,SYS_4_3_Digitos!A1238,asientos!$B$13:$B$1276)</f>
        <v>0</v>
      </c>
      <c r="H1238" s="1317">
        <f>+SUMIF(asientos!$I$13:$I$1276,SYS_4_3_Digitos!A1238,asientos!$J$13:$J$1276)</f>
        <v>0</v>
      </c>
      <c r="I1238" s="1314">
        <f t="shared" si="118"/>
        <v>0</v>
      </c>
      <c r="J1238" s="1315">
        <f t="shared" si="119"/>
        <v>0</v>
      </c>
      <c r="L1238" s="1308">
        <f t="shared" si="120"/>
        <v>0</v>
      </c>
      <c r="M1238" s="1296" t="str">
        <f t="shared" si="121"/>
        <v>0</v>
      </c>
      <c r="N1238" s="1309">
        <f t="shared" si="122"/>
        <v>0</v>
      </c>
      <c r="O1238" s="1296" t="str">
        <f t="shared" si="123"/>
        <v>0</v>
      </c>
    </row>
    <row r="1239" spans="1:15" s="1296" customFormat="1" hidden="1">
      <c r="A1239" s="1310"/>
      <c r="B1239" s="1311"/>
      <c r="C1239" s="1312">
        <v>0</v>
      </c>
      <c r="D1239" s="1313">
        <v>0</v>
      </c>
      <c r="E1239" s="1314"/>
      <c r="F1239" s="1315"/>
      <c r="G1239" s="1316">
        <f>+SUMIF(asientos!$C$13:$C$1276,SYS_4_3_Digitos!A1239,asientos!$B$13:$B$1276)</f>
        <v>0</v>
      </c>
      <c r="H1239" s="1317">
        <f>+SUMIF(asientos!$I$13:$I$1276,SYS_4_3_Digitos!A1239,asientos!$J$13:$J$1276)</f>
        <v>0</v>
      </c>
      <c r="I1239" s="1314">
        <f t="shared" si="118"/>
        <v>0</v>
      </c>
      <c r="J1239" s="1315">
        <f t="shared" si="119"/>
        <v>0</v>
      </c>
      <c r="L1239" s="1308">
        <f t="shared" si="120"/>
        <v>0</v>
      </c>
      <c r="M1239" s="1296" t="str">
        <f t="shared" si="121"/>
        <v>0</v>
      </c>
      <c r="N1239" s="1309">
        <f t="shared" si="122"/>
        <v>0</v>
      </c>
      <c r="O1239" s="1296" t="str">
        <f t="shared" si="123"/>
        <v>0</v>
      </c>
    </row>
    <row r="1240" spans="1:15" s="1296" customFormat="1" hidden="1">
      <c r="A1240" s="1310"/>
      <c r="B1240" s="1311"/>
      <c r="C1240" s="1312">
        <v>0</v>
      </c>
      <c r="D1240" s="1313">
        <v>0</v>
      </c>
      <c r="E1240" s="1314"/>
      <c r="F1240" s="1315"/>
      <c r="G1240" s="1316">
        <f>+SUMIF(asientos!$C$13:$C$1276,SYS_4_3_Digitos!A1240,asientos!$B$13:$B$1276)</f>
        <v>0</v>
      </c>
      <c r="H1240" s="1317">
        <f>+SUMIF(asientos!$I$13:$I$1276,SYS_4_3_Digitos!A1240,asientos!$J$13:$J$1276)</f>
        <v>0</v>
      </c>
      <c r="I1240" s="1314">
        <f t="shared" si="118"/>
        <v>0</v>
      </c>
      <c r="J1240" s="1315">
        <f t="shared" si="119"/>
        <v>0</v>
      </c>
      <c r="L1240" s="1308">
        <f t="shared" si="120"/>
        <v>0</v>
      </c>
      <c r="M1240" s="1296" t="str">
        <f t="shared" si="121"/>
        <v>0</v>
      </c>
      <c r="N1240" s="1309">
        <f t="shared" si="122"/>
        <v>0</v>
      </c>
      <c r="O1240" s="1296" t="str">
        <f t="shared" si="123"/>
        <v>0</v>
      </c>
    </row>
    <row r="1241" spans="1:15" s="1296" customFormat="1" hidden="1">
      <c r="A1241" s="1310"/>
      <c r="B1241" s="1311"/>
      <c r="C1241" s="1312">
        <v>0</v>
      </c>
      <c r="D1241" s="1313">
        <v>0</v>
      </c>
      <c r="E1241" s="1314"/>
      <c r="F1241" s="1315"/>
      <c r="G1241" s="1316">
        <f>+SUMIF(asientos!$C$13:$C$1276,SYS_4_3_Digitos!A1241,asientos!$B$13:$B$1276)</f>
        <v>0</v>
      </c>
      <c r="H1241" s="1317">
        <f>+SUMIF(asientos!$I$13:$I$1276,SYS_4_3_Digitos!A1241,asientos!$J$13:$J$1276)</f>
        <v>0</v>
      </c>
      <c r="I1241" s="1314">
        <f t="shared" si="118"/>
        <v>0</v>
      </c>
      <c r="J1241" s="1315">
        <f t="shared" si="119"/>
        <v>0</v>
      </c>
      <c r="L1241" s="1308">
        <f t="shared" si="120"/>
        <v>0</v>
      </c>
      <c r="M1241" s="1296" t="str">
        <f t="shared" si="121"/>
        <v>0</v>
      </c>
      <c r="N1241" s="1309">
        <f t="shared" si="122"/>
        <v>0</v>
      </c>
      <c r="O1241" s="1296" t="str">
        <f t="shared" si="123"/>
        <v>0</v>
      </c>
    </row>
    <row r="1242" spans="1:15" s="1296" customFormat="1" hidden="1">
      <c r="A1242" s="1310"/>
      <c r="B1242" s="1311"/>
      <c r="C1242" s="1312">
        <v>0</v>
      </c>
      <c r="D1242" s="1313">
        <v>0</v>
      </c>
      <c r="E1242" s="1314"/>
      <c r="F1242" s="1315"/>
      <c r="G1242" s="1316">
        <f>+SUMIF(asientos!$C$13:$C$1276,SYS_4_3_Digitos!A1242,asientos!$B$13:$B$1276)</f>
        <v>0</v>
      </c>
      <c r="H1242" s="1317">
        <f>+SUMIF(asientos!$I$13:$I$1276,SYS_4_3_Digitos!A1242,asientos!$J$13:$J$1276)</f>
        <v>0</v>
      </c>
      <c r="I1242" s="1314">
        <f t="shared" si="118"/>
        <v>0</v>
      </c>
      <c r="J1242" s="1315">
        <f t="shared" si="119"/>
        <v>0</v>
      </c>
      <c r="L1242" s="1308">
        <f t="shared" si="120"/>
        <v>0</v>
      </c>
      <c r="M1242" s="1296" t="str">
        <f t="shared" si="121"/>
        <v>0</v>
      </c>
      <c r="N1242" s="1309">
        <f t="shared" si="122"/>
        <v>0</v>
      </c>
      <c r="O1242" s="1296" t="str">
        <f t="shared" si="123"/>
        <v>0</v>
      </c>
    </row>
    <row r="1243" spans="1:15" s="1296" customFormat="1" hidden="1">
      <c r="A1243" s="1310"/>
      <c r="B1243" s="1311"/>
      <c r="C1243" s="1312">
        <v>0</v>
      </c>
      <c r="D1243" s="1313">
        <v>0</v>
      </c>
      <c r="E1243" s="1314"/>
      <c r="F1243" s="1315"/>
      <c r="G1243" s="1316">
        <f>+SUMIF(asientos!$C$13:$C$1276,SYS_4_3_Digitos!A1243,asientos!$B$13:$B$1276)</f>
        <v>0</v>
      </c>
      <c r="H1243" s="1317">
        <f>+SUMIF(asientos!$I$13:$I$1276,SYS_4_3_Digitos!A1243,asientos!$J$13:$J$1276)</f>
        <v>0</v>
      </c>
      <c r="I1243" s="1314">
        <f t="shared" si="118"/>
        <v>0</v>
      </c>
      <c r="J1243" s="1315">
        <f t="shared" si="119"/>
        <v>0</v>
      </c>
      <c r="L1243" s="1308">
        <f t="shared" si="120"/>
        <v>0</v>
      </c>
      <c r="M1243" s="1296" t="str">
        <f t="shared" si="121"/>
        <v>0</v>
      </c>
      <c r="N1243" s="1309">
        <f t="shared" si="122"/>
        <v>0</v>
      </c>
      <c r="O1243" s="1296" t="str">
        <f t="shared" si="123"/>
        <v>0</v>
      </c>
    </row>
    <row r="1244" spans="1:15" s="1296" customFormat="1" hidden="1">
      <c r="A1244" s="1310"/>
      <c r="B1244" s="1311"/>
      <c r="C1244" s="1312">
        <v>0</v>
      </c>
      <c r="D1244" s="1313">
        <v>0</v>
      </c>
      <c r="E1244" s="1314"/>
      <c r="F1244" s="1315"/>
      <c r="G1244" s="1316">
        <f>+SUMIF(asientos!$C$13:$C$1276,SYS_4_3_Digitos!A1244,asientos!$B$13:$B$1276)</f>
        <v>0</v>
      </c>
      <c r="H1244" s="1317">
        <f>+SUMIF(asientos!$I$13:$I$1276,SYS_4_3_Digitos!A1244,asientos!$J$13:$J$1276)</f>
        <v>0</v>
      </c>
      <c r="I1244" s="1314">
        <f t="shared" si="118"/>
        <v>0</v>
      </c>
      <c r="J1244" s="1315">
        <f t="shared" si="119"/>
        <v>0</v>
      </c>
      <c r="L1244" s="1308">
        <f t="shared" si="120"/>
        <v>0</v>
      </c>
      <c r="M1244" s="1296" t="str">
        <f t="shared" si="121"/>
        <v>0</v>
      </c>
      <c r="N1244" s="1309">
        <f t="shared" si="122"/>
        <v>0</v>
      </c>
      <c r="O1244" s="1296" t="str">
        <f t="shared" si="123"/>
        <v>0</v>
      </c>
    </row>
    <row r="1245" spans="1:15" s="1296" customFormat="1" hidden="1">
      <c r="A1245" s="1310"/>
      <c r="B1245" s="1311"/>
      <c r="C1245" s="1312">
        <v>0</v>
      </c>
      <c r="D1245" s="1313">
        <v>0</v>
      </c>
      <c r="E1245" s="1314"/>
      <c r="F1245" s="1315"/>
      <c r="G1245" s="1316">
        <f>+SUMIF(asientos!$C$13:$C$1276,SYS_4_3_Digitos!A1245,asientos!$B$13:$B$1276)</f>
        <v>0</v>
      </c>
      <c r="H1245" s="1317">
        <f>+SUMIF(asientos!$I$13:$I$1276,SYS_4_3_Digitos!A1245,asientos!$J$13:$J$1276)</f>
        <v>0</v>
      </c>
      <c r="I1245" s="1314">
        <f t="shared" si="118"/>
        <v>0</v>
      </c>
      <c r="J1245" s="1315">
        <f t="shared" si="119"/>
        <v>0</v>
      </c>
      <c r="L1245" s="1308">
        <f t="shared" si="120"/>
        <v>0</v>
      </c>
      <c r="M1245" s="1296" t="str">
        <f t="shared" si="121"/>
        <v>0</v>
      </c>
      <c r="N1245" s="1309">
        <f t="shared" si="122"/>
        <v>0</v>
      </c>
      <c r="O1245" s="1296" t="str">
        <f t="shared" si="123"/>
        <v>0</v>
      </c>
    </row>
    <row r="1246" spans="1:15" s="1296" customFormat="1" hidden="1">
      <c r="A1246" s="1310"/>
      <c r="B1246" s="1311"/>
      <c r="C1246" s="1312">
        <v>0</v>
      </c>
      <c r="D1246" s="1313">
        <v>0</v>
      </c>
      <c r="E1246" s="1314"/>
      <c r="F1246" s="1315"/>
      <c r="G1246" s="1316">
        <f>+SUMIF(asientos!$C$13:$C$1276,SYS_4_3_Digitos!A1246,asientos!$B$13:$B$1276)</f>
        <v>0</v>
      </c>
      <c r="H1246" s="1317">
        <f>+SUMIF(asientos!$I$13:$I$1276,SYS_4_3_Digitos!A1246,asientos!$J$13:$J$1276)</f>
        <v>0</v>
      </c>
      <c r="I1246" s="1314">
        <f t="shared" si="118"/>
        <v>0</v>
      </c>
      <c r="J1246" s="1315">
        <f t="shared" si="119"/>
        <v>0</v>
      </c>
      <c r="L1246" s="1308">
        <f t="shared" si="120"/>
        <v>0</v>
      </c>
      <c r="M1246" s="1296" t="str">
        <f t="shared" si="121"/>
        <v>0</v>
      </c>
      <c r="N1246" s="1309">
        <f t="shared" si="122"/>
        <v>0</v>
      </c>
      <c r="O1246" s="1296" t="str">
        <f t="shared" si="123"/>
        <v>0</v>
      </c>
    </row>
    <row r="1247" spans="1:15" s="1296" customFormat="1" hidden="1">
      <c r="A1247" s="1310"/>
      <c r="B1247" s="1311"/>
      <c r="C1247" s="1312">
        <v>0</v>
      </c>
      <c r="D1247" s="1313">
        <v>0</v>
      </c>
      <c r="E1247" s="1314"/>
      <c r="F1247" s="1315"/>
      <c r="G1247" s="1316">
        <f>+SUMIF(asientos!$C$13:$C$1276,SYS_4_3_Digitos!A1247,asientos!$B$13:$B$1276)</f>
        <v>0</v>
      </c>
      <c r="H1247" s="1317">
        <f>+SUMIF(asientos!$I$13:$I$1276,SYS_4_3_Digitos!A1247,asientos!$J$13:$J$1276)</f>
        <v>0</v>
      </c>
      <c r="I1247" s="1314">
        <f t="shared" si="118"/>
        <v>0</v>
      </c>
      <c r="J1247" s="1315">
        <f t="shared" si="119"/>
        <v>0</v>
      </c>
      <c r="L1247" s="1308">
        <f t="shared" si="120"/>
        <v>0</v>
      </c>
      <c r="M1247" s="1296" t="str">
        <f t="shared" si="121"/>
        <v>0</v>
      </c>
      <c r="N1247" s="1309">
        <f t="shared" si="122"/>
        <v>0</v>
      </c>
      <c r="O1247" s="1296" t="str">
        <f t="shared" si="123"/>
        <v>0</v>
      </c>
    </row>
    <row r="1248" spans="1:15" s="1296" customFormat="1" hidden="1">
      <c r="A1248" s="1310"/>
      <c r="B1248" s="1311"/>
      <c r="C1248" s="1312">
        <v>0</v>
      </c>
      <c r="D1248" s="1313">
        <v>0</v>
      </c>
      <c r="E1248" s="1314"/>
      <c r="F1248" s="1315"/>
      <c r="G1248" s="1316">
        <f>+SUMIF(asientos!$C$13:$C$1276,SYS_4_3_Digitos!A1248,asientos!$B$13:$B$1276)</f>
        <v>0</v>
      </c>
      <c r="H1248" s="1317">
        <f>+SUMIF(asientos!$I$13:$I$1276,SYS_4_3_Digitos!A1248,asientos!$J$13:$J$1276)</f>
        <v>0</v>
      </c>
      <c r="I1248" s="1314">
        <f t="shared" si="118"/>
        <v>0</v>
      </c>
      <c r="J1248" s="1315">
        <f t="shared" si="119"/>
        <v>0</v>
      </c>
      <c r="L1248" s="1308">
        <f t="shared" si="120"/>
        <v>0</v>
      </c>
      <c r="M1248" s="1296" t="str">
        <f t="shared" si="121"/>
        <v>0</v>
      </c>
      <c r="N1248" s="1309">
        <f t="shared" si="122"/>
        <v>0</v>
      </c>
      <c r="O1248" s="1296" t="str">
        <f t="shared" si="123"/>
        <v>0</v>
      </c>
    </row>
    <row r="1249" spans="1:15" s="1296" customFormat="1" hidden="1">
      <c r="A1249" s="1310"/>
      <c r="B1249" s="1311"/>
      <c r="C1249" s="1312">
        <v>0</v>
      </c>
      <c r="D1249" s="1313">
        <v>0</v>
      </c>
      <c r="E1249" s="1314"/>
      <c r="F1249" s="1315"/>
      <c r="G1249" s="1316">
        <f>+SUMIF(asientos!$C$13:$C$1276,SYS_4_3_Digitos!A1249,asientos!$B$13:$B$1276)</f>
        <v>0</v>
      </c>
      <c r="H1249" s="1317">
        <f>+SUMIF(asientos!$I$13:$I$1276,SYS_4_3_Digitos!A1249,asientos!$J$13:$J$1276)</f>
        <v>0</v>
      </c>
      <c r="I1249" s="1314">
        <f t="shared" si="118"/>
        <v>0</v>
      </c>
      <c r="J1249" s="1315">
        <f t="shared" si="119"/>
        <v>0</v>
      </c>
      <c r="L1249" s="1308">
        <f t="shared" si="120"/>
        <v>0</v>
      </c>
      <c r="M1249" s="1296" t="str">
        <f t="shared" si="121"/>
        <v>0</v>
      </c>
      <c r="N1249" s="1309">
        <f t="shared" si="122"/>
        <v>0</v>
      </c>
      <c r="O1249" s="1296" t="str">
        <f t="shared" si="123"/>
        <v>0</v>
      </c>
    </row>
    <row r="1250" spans="1:15" s="1296" customFormat="1" hidden="1">
      <c r="A1250" s="1310"/>
      <c r="B1250" s="1311"/>
      <c r="C1250" s="1312">
        <v>0</v>
      </c>
      <c r="D1250" s="1313">
        <v>0</v>
      </c>
      <c r="E1250" s="1314"/>
      <c r="F1250" s="1315"/>
      <c r="G1250" s="1316">
        <f>+SUMIF(asientos!$C$13:$C$1276,SYS_4_3_Digitos!A1250,asientos!$B$13:$B$1276)</f>
        <v>0</v>
      </c>
      <c r="H1250" s="1317">
        <f>+SUMIF(asientos!$I$13:$I$1276,SYS_4_3_Digitos!A1250,asientos!$J$13:$J$1276)</f>
        <v>0</v>
      </c>
      <c r="I1250" s="1314">
        <f t="shared" si="118"/>
        <v>0</v>
      </c>
      <c r="J1250" s="1315">
        <f t="shared" si="119"/>
        <v>0</v>
      </c>
      <c r="L1250" s="1308">
        <f t="shared" si="120"/>
        <v>0</v>
      </c>
      <c r="M1250" s="1296" t="str">
        <f t="shared" si="121"/>
        <v>0</v>
      </c>
      <c r="N1250" s="1309">
        <f t="shared" si="122"/>
        <v>0</v>
      </c>
      <c r="O1250" s="1296" t="str">
        <f t="shared" si="123"/>
        <v>0</v>
      </c>
    </row>
    <row r="1251" spans="1:15" s="1296" customFormat="1" hidden="1">
      <c r="A1251" s="1310"/>
      <c r="B1251" s="1311"/>
      <c r="C1251" s="1312">
        <v>0</v>
      </c>
      <c r="D1251" s="1313">
        <v>0</v>
      </c>
      <c r="E1251" s="1314"/>
      <c r="F1251" s="1315"/>
      <c r="G1251" s="1316">
        <f>+SUMIF(asientos!$C$13:$C$1276,SYS_4_3_Digitos!A1251,asientos!$B$13:$B$1276)</f>
        <v>0</v>
      </c>
      <c r="H1251" s="1317">
        <f>+SUMIF(asientos!$I$13:$I$1276,SYS_4_3_Digitos!A1251,asientos!$J$13:$J$1276)</f>
        <v>0</v>
      </c>
      <c r="I1251" s="1314">
        <f t="shared" si="118"/>
        <v>0</v>
      </c>
      <c r="J1251" s="1315">
        <f t="shared" si="119"/>
        <v>0</v>
      </c>
      <c r="L1251" s="1308">
        <f t="shared" si="120"/>
        <v>0</v>
      </c>
      <c r="M1251" s="1296" t="str">
        <f t="shared" si="121"/>
        <v>0</v>
      </c>
      <c r="N1251" s="1309">
        <f t="shared" si="122"/>
        <v>0</v>
      </c>
      <c r="O1251" s="1296" t="str">
        <f t="shared" si="123"/>
        <v>0</v>
      </c>
    </row>
    <row r="1252" spans="1:15" s="1296" customFormat="1" hidden="1">
      <c r="A1252" s="1310"/>
      <c r="B1252" s="1311"/>
      <c r="C1252" s="1312">
        <v>0</v>
      </c>
      <c r="D1252" s="1313">
        <v>0</v>
      </c>
      <c r="E1252" s="1314"/>
      <c r="F1252" s="1315"/>
      <c r="G1252" s="1316">
        <f>+SUMIF(asientos!$C$13:$C$1276,SYS_4_3_Digitos!A1252,asientos!$B$13:$B$1276)</f>
        <v>0</v>
      </c>
      <c r="H1252" s="1317">
        <f>+SUMIF(asientos!$I$13:$I$1276,SYS_4_3_Digitos!A1252,asientos!$J$13:$J$1276)</f>
        <v>0</v>
      </c>
      <c r="I1252" s="1314">
        <f t="shared" si="118"/>
        <v>0</v>
      </c>
      <c r="J1252" s="1315">
        <f t="shared" si="119"/>
        <v>0</v>
      </c>
      <c r="L1252" s="1308">
        <f t="shared" si="120"/>
        <v>0</v>
      </c>
      <c r="M1252" s="1296" t="str">
        <f t="shared" si="121"/>
        <v>0</v>
      </c>
      <c r="N1252" s="1309">
        <f t="shared" si="122"/>
        <v>0</v>
      </c>
      <c r="O1252" s="1296" t="str">
        <f t="shared" si="123"/>
        <v>0</v>
      </c>
    </row>
    <row r="1253" spans="1:15" s="1296" customFormat="1" hidden="1">
      <c r="A1253" s="1310"/>
      <c r="B1253" s="1311"/>
      <c r="C1253" s="1312">
        <v>0</v>
      </c>
      <c r="D1253" s="1313">
        <v>0</v>
      </c>
      <c r="E1253" s="1314"/>
      <c r="F1253" s="1315"/>
      <c r="G1253" s="1316">
        <f>+SUMIF(asientos!$C$13:$C$1276,SYS_4_3_Digitos!A1253,asientos!$B$13:$B$1276)</f>
        <v>0</v>
      </c>
      <c r="H1253" s="1317">
        <f>+SUMIF(asientos!$I$13:$I$1276,SYS_4_3_Digitos!A1253,asientos!$J$13:$J$1276)</f>
        <v>0</v>
      </c>
      <c r="I1253" s="1314">
        <f t="shared" ref="I1253:I1316" si="124">IF((E1253+G1253-F1253-H1253)&gt;0,E1253+G1253-F1253-H1253,0)</f>
        <v>0</v>
      </c>
      <c r="J1253" s="1315">
        <f t="shared" ref="J1253:J1316" si="125">IF((F1253+H1253-E1253-G1253)&gt;0,F1253+H1253-E1253-G1253,0)</f>
        <v>0</v>
      </c>
      <c r="L1253" s="1308">
        <f t="shared" ref="L1253:L1316" si="126">+A1253*1000000</f>
        <v>0</v>
      </c>
      <c r="M1253" s="1296" t="str">
        <f t="shared" ref="M1253:M1316" si="127">+LEFT(L1253,4)</f>
        <v>0</v>
      </c>
      <c r="N1253" s="1309">
        <f t="shared" ref="N1253:N1316" si="128">+I1253-J1253</f>
        <v>0</v>
      </c>
      <c r="O1253" s="1296" t="str">
        <f t="shared" ref="O1253:O1316" si="129">+LEFT(M1253,2)</f>
        <v>0</v>
      </c>
    </row>
    <row r="1254" spans="1:15" s="1296" customFormat="1" hidden="1">
      <c r="A1254" s="1310"/>
      <c r="B1254" s="1311"/>
      <c r="C1254" s="1312">
        <v>0</v>
      </c>
      <c r="D1254" s="1313">
        <v>0</v>
      </c>
      <c r="E1254" s="1314"/>
      <c r="F1254" s="1315"/>
      <c r="G1254" s="1316">
        <f>+SUMIF(asientos!$C$13:$C$1276,SYS_4_3_Digitos!A1254,asientos!$B$13:$B$1276)</f>
        <v>0</v>
      </c>
      <c r="H1254" s="1317">
        <f>+SUMIF(asientos!$I$13:$I$1276,SYS_4_3_Digitos!A1254,asientos!$J$13:$J$1276)</f>
        <v>0</v>
      </c>
      <c r="I1254" s="1314">
        <f t="shared" si="124"/>
        <v>0</v>
      </c>
      <c r="J1254" s="1315">
        <f t="shared" si="125"/>
        <v>0</v>
      </c>
      <c r="L1254" s="1308">
        <f t="shared" si="126"/>
        <v>0</v>
      </c>
      <c r="M1254" s="1296" t="str">
        <f t="shared" si="127"/>
        <v>0</v>
      </c>
      <c r="N1254" s="1309">
        <f t="shared" si="128"/>
        <v>0</v>
      </c>
      <c r="O1254" s="1296" t="str">
        <f t="shared" si="129"/>
        <v>0</v>
      </c>
    </row>
    <row r="1255" spans="1:15" s="1296" customFormat="1" hidden="1">
      <c r="A1255" s="1310"/>
      <c r="B1255" s="1311"/>
      <c r="C1255" s="1312">
        <v>0</v>
      </c>
      <c r="D1255" s="1313">
        <v>0</v>
      </c>
      <c r="E1255" s="1314"/>
      <c r="F1255" s="1315"/>
      <c r="G1255" s="1316">
        <f>+SUMIF(asientos!$C$13:$C$1276,SYS_4_3_Digitos!A1255,asientos!$B$13:$B$1276)</f>
        <v>0</v>
      </c>
      <c r="H1255" s="1317">
        <f>+SUMIF(asientos!$I$13:$I$1276,SYS_4_3_Digitos!A1255,asientos!$J$13:$J$1276)</f>
        <v>0</v>
      </c>
      <c r="I1255" s="1314">
        <f t="shared" si="124"/>
        <v>0</v>
      </c>
      <c r="J1255" s="1315">
        <f t="shared" si="125"/>
        <v>0</v>
      </c>
      <c r="L1255" s="1308">
        <f t="shared" si="126"/>
        <v>0</v>
      </c>
      <c r="M1255" s="1296" t="str">
        <f t="shared" si="127"/>
        <v>0</v>
      </c>
      <c r="N1255" s="1309">
        <f t="shared" si="128"/>
        <v>0</v>
      </c>
      <c r="O1255" s="1296" t="str">
        <f t="shared" si="129"/>
        <v>0</v>
      </c>
    </row>
    <row r="1256" spans="1:15" s="1296" customFormat="1" hidden="1">
      <c r="A1256" s="1310"/>
      <c r="B1256" s="1311"/>
      <c r="C1256" s="1312">
        <v>0</v>
      </c>
      <c r="D1256" s="1313">
        <v>0</v>
      </c>
      <c r="E1256" s="1314"/>
      <c r="F1256" s="1315"/>
      <c r="G1256" s="1316">
        <f>+SUMIF(asientos!$C$13:$C$1276,SYS_4_3_Digitos!A1256,asientos!$B$13:$B$1276)</f>
        <v>0</v>
      </c>
      <c r="H1256" s="1317">
        <f>+SUMIF(asientos!$I$13:$I$1276,SYS_4_3_Digitos!A1256,asientos!$J$13:$J$1276)</f>
        <v>0</v>
      </c>
      <c r="I1256" s="1314">
        <f t="shared" si="124"/>
        <v>0</v>
      </c>
      <c r="J1256" s="1315">
        <f t="shared" si="125"/>
        <v>0</v>
      </c>
      <c r="L1256" s="1308">
        <f t="shared" si="126"/>
        <v>0</v>
      </c>
      <c r="M1256" s="1296" t="str">
        <f t="shared" si="127"/>
        <v>0</v>
      </c>
      <c r="N1256" s="1309">
        <f t="shared" si="128"/>
        <v>0</v>
      </c>
      <c r="O1256" s="1296" t="str">
        <f t="shared" si="129"/>
        <v>0</v>
      </c>
    </row>
    <row r="1257" spans="1:15" s="1296" customFormat="1" hidden="1">
      <c r="A1257" s="1310"/>
      <c r="B1257" s="1311"/>
      <c r="C1257" s="1312">
        <v>0</v>
      </c>
      <c r="D1257" s="1313">
        <v>0</v>
      </c>
      <c r="E1257" s="1314"/>
      <c r="F1257" s="1315"/>
      <c r="G1257" s="1316">
        <f>+SUMIF(asientos!$C$13:$C$1276,SYS_4_3_Digitos!A1257,asientos!$B$13:$B$1276)</f>
        <v>0</v>
      </c>
      <c r="H1257" s="1317">
        <f>+SUMIF(asientos!$I$13:$I$1276,SYS_4_3_Digitos!A1257,asientos!$J$13:$J$1276)</f>
        <v>0</v>
      </c>
      <c r="I1257" s="1314">
        <f t="shared" si="124"/>
        <v>0</v>
      </c>
      <c r="J1257" s="1315">
        <f t="shared" si="125"/>
        <v>0</v>
      </c>
      <c r="L1257" s="1308">
        <f t="shared" si="126"/>
        <v>0</v>
      </c>
      <c r="M1257" s="1296" t="str">
        <f t="shared" si="127"/>
        <v>0</v>
      </c>
      <c r="N1257" s="1309">
        <f t="shared" si="128"/>
        <v>0</v>
      </c>
      <c r="O1257" s="1296" t="str">
        <f t="shared" si="129"/>
        <v>0</v>
      </c>
    </row>
    <row r="1258" spans="1:15" s="1296" customFormat="1" hidden="1">
      <c r="A1258" s="1310"/>
      <c r="B1258" s="1311"/>
      <c r="C1258" s="1312">
        <v>0</v>
      </c>
      <c r="D1258" s="1313">
        <v>0</v>
      </c>
      <c r="E1258" s="1314"/>
      <c r="F1258" s="1315"/>
      <c r="G1258" s="1316">
        <f>+SUMIF(asientos!$C$13:$C$1276,SYS_4_3_Digitos!A1258,asientos!$B$13:$B$1276)</f>
        <v>0</v>
      </c>
      <c r="H1258" s="1317">
        <f>+SUMIF(asientos!$I$13:$I$1276,SYS_4_3_Digitos!A1258,asientos!$J$13:$J$1276)</f>
        <v>0</v>
      </c>
      <c r="I1258" s="1314">
        <f t="shared" si="124"/>
        <v>0</v>
      </c>
      <c r="J1258" s="1315">
        <f t="shared" si="125"/>
        <v>0</v>
      </c>
      <c r="L1258" s="1308">
        <f t="shared" si="126"/>
        <v>0</v>
      </c>
      <c r="M1258" s="1296" t="str">
        <f t="shared" si="127"/>
        <v>0</v>
      </c>
      <c r="N1258" s="1309">
        <f t="shared" si="128"/>
        <v>0</v>
      </c>
      <c r="O1258" s="1296" t="str">
        <f t="shared" si="129"/>
        <v>0</v>
      </c>
    </row>
    <row r="1259" spans="1:15" s="1296" customFormat="1" hidden="1">
      <c r="A1259" s="1310"/>
      <c r="B1259" s="1311"/>
      <c r="C1259" s="1312">
        <v>0</v>
      </c>
      <c r="D1259" s="1313">
        <v>0</v>
      </c>
      <c r="E1259" s="1314"/>
      <c r="F1259" s="1315"/>
      <c r="G1259" s="1316">
        <f>+SUMIF(asientos!$C$13:$C$1276,SYS_4_3_Digitos!A1259,asientos!$B$13:$B$1276)</f>
        <v>0</v>
      </c>
      <c r="H1259" s="1317">
        <f>+SUMIF(asientos!$I$13:$I$1276,SYS_4_3_Digitos!A1259,asientos!$J$13:$J$1276)</f>
        <v>0</v>
      </c>
      <c r="I1259" s="1314">
        <f t="shared" si="124"/>
        <v>0</v>
      </c>
      <c r="J1259" s="1315">
        <f t="shared" si="125"/>
        <v>0</v>
      </c>
      <c r="L1259" s="1308">
        <f t="shared" si="126"/>
        <v>0</v>
      </c>
      <c r="M1259" s="1296" t="str">
        <f t="shared" si="127"/>
        <v>0</v>
      </c>
      <c r="N1259" s="1309">
        <f t="shared" si="128"/>
        <v>0</v>
      </c>
      <c r="O1259" s="1296" t="str">
        <f t="shared" si="129"/>
        <v>0</v>
      </c>
    </row>
    <row r="1260" spans="1:15" s="1296" customFormat="1" hidden="1">
      <c r="A1260" s="1310"/>
      <c r="B1260" s="1311"/>
      <c r="C1260" s="1312">
        <v>0</v>
      </c>
      <c r="D1260" s="1313">
        <v>0</v>
      </c>
      <c r="E1260" s="1314"/>
      <c r="F1260" s="1315"/>
      <c r="G1260" s="1316">
        <f>+SUMIF(asientos!$C$13:$C$1276,SYS_4_3_Digitos!A1260,asientos!$B$13:$B$1276)</f>
        <v>0</v>
      </c>
      <c r="H1260" s="1317">
        <f>+SUMIF(asientos!$I$13:$I$1276,SYS_4_3_Digitos!A1260,asientos!$J$13:$J$1276)</f>
        <v>0</v>
      </c>
      <c r="I1260" s="1314">
        <f t="shared" si="124"/>
        <v>0</v>
      </c>
      <c r="J1260" s="1315">
        <f t="shared" si="125"/>
        <v>0</v>
      </c>
      <c r="L1260" s="1308">
        <f t="shared" si="126"/>
        <v>0</v>
      </c>
      <c r="M1260" s="1296" t="str">
        <f t="shared" si="127"/>
        <v>0</v>
      </c>
      <c r="N1260" s="1309">
        <f t="shared" si="128"/>
        <v>0</v>
      </c>
      <c r="O1260" s="1296" t="str">
        <f t="shared" si="129"/>
        <v>0</v>
      </c>
    </row>
    <row r="1261" spans="1:15" s="1296" customFormat="1" hidden="1">
      <c r="A1261" s="1310"/>
      <c r="B1261" s="1311"/>
      <c r="C1261" s="1312">
        <v>0</v>
      </c>
      <c r="D1261" s="1313">
        <v>0</v>
      </c>
      <c r="E1261" s="1314"/>
      <c r="F1261" s="1315"/>
      <c r="G1261" s="1316">
        <f>+SUMIF(asientos!$C$13:$C$1276,SYS_4_3_Digitos!A1261,asientos!$B$13:$B$1276)</f>
        <v>0</v>
      </c>
      <c r="H1261" s="1317">
        <f>+SUMIF(asientos!$I$13:$I$1276,SYS_4_3_Digitos!A1261,asientos!$J$13:$J$1276)</f>
        <v>0</v>
      </c>
      <c r="I1261" s="1314">
        <f t="shared" si="124"/>
        <v>0</v>
      </c>
      <c r="J1261" s="1315">
        <f t="shared" si="125"/>
        <v>0</v>
      </c>
      <c r="L1261" s="1308">
        <f t="shared" si="126"/>
        <v>0</v>
      </c>
      <c r="M1261" s="1296" t="str">
        <f t="shared" si="127"/>
        <v>0</v>
      </c>
      <c r="N1261" s="1309">
        <f t="shared" si="128"/>
        <v>0</v>
      </c>
      <c r="O1261" s="1296" t="str">
        <f t="shared" si="129"/>
        <v>0</v>
      </c>
    </row>
    <row r="1262" spans="1:15" s="1296" customFormat="1" hidden="1">
      <c r="A1262" s="1310"/>
      <c r="B1262" s="1311"/>
      <c r="C1262" s="1312">
        <v>0</v>
      </c>
      <c r="D1262" s="1313">
        <v>0</v>
      </c>
      <c r="E1262" s="1314"/>
      <c r="F1262" s="1315"/>
      <c r="G1262" s="1316">
        <f>+SUMIF(asientos!$C$13:$C$1276,SYS_4_3_Digitos!A1262,asientos!$B$13:$B$1276)</f>
        <v>0</v>
      </c>
      <c r="H1262" s="1317">
        <f>+SUMIF(asientos!$I$13:$I$1276,SYS_4_3_Digitos!A1262,asientos!$J$13:$J$1276)</f>
        <v>0</v>
      </c>
      <c r="I1262" s="1314">
        <f t="shared" si="124"/>
        <v>0</v>
      </c>
      <c r="J1262" s="1315">
        <f t="shared" si="125"/>
        <v>0</v>
      </c>
      <c r="L1262" s="1308">
        <f t="shared" si="126"/>
        <v>0</v>
      </c>
      <c r="M1262" s="1296" t="str">
        <f t="shared" si="127"/>
        <v>0</v>
      </c>
      <c r="N1262" s="1309">
        <f t="shared" si="128"/>
        <v>0</v>
      </c>
      <c r="O1262" s="1296" t="str">
        <f t="shared" si="129"/>
        <v>0</v>
      </c>
    </row>
    <row r="1263" spans="1:15" s="1296" customFormat="1" hidden="1">
      <c r="A1263" s="1310"/>
      <c r="B1263" s="1311"/>
      <c r="C1263" s="1312">
        <v>0</v>
      </c>
      <c r="D1263" s="1313">
        <v>0</v>
      </c>
      <c r="E1263" s="1314"/>
      <c r="F1263" s="1315"/>
      <c r="G1263" s="1316">
        <f>+SUMIF(asientos!$C$13:$C$1276,SYS_4_3_Digitos!A1263,asientos!$B$13:$B$1276)</f>
        <v>0</v>
      </c>
      <c r="H1263" s="1317">
        <f>+SUMIF(asientos!$I$13:$I$1276,SYS_4_3_Digitos!A1263,asientos!$J$13:$J$1276)</f>
        <v>0</v>
      </c>
      <c r="I1263" s="1314">
        <f t="shared" si="124"/>
        <v>0</v>
      </c>
      <c r="J1263" s="1315">
        <f t="shared" si="125"/>
        <v>0</v>
      </c>
      <c r="L1263" s="1308">
        <f t="shared" si="126"/>
        <v>0</v>
      </c>
      <c r="M1263" s="1296" t="str">
        <f t="shared" si="127"/>
        <v>0</v>
      </c>
      <c r="N1263" s="1309">
        <f t="shared" si="128"/>
        <v>0</v>
      </c>
      <c r="O1263" s="1296" t="str">
        <f t="shared" si="129"/>
        <v>0</v>
      </c>
    </row>
    <row r="1264" spans="1:15" s="1296" customFormat="1" hidden="1">
      <c r="A1264" s="1310"/>
      <c r="B1264" s="1311"/>
      <c r="C1264" s="1312">
        <v>0</v>
      </c>
      <c r="D1264" s="1313">
        <v>0</v>
      </c>
      <c r="E1264" s="1314"/>
      <c r="F1264" s="1315"/>
      <c r="G1264" s="1316">
        <f>+SUMIF(asientos!$C$13:$C$1276,SYS_4_3_Digitos!A1264,asientos!$B$13:$B$1276)</f>
        <v>0</v>
      </c>
      <c r="H1264" s="1317">
        <f>+SUMIF(asientos!$I$13:$I$1276,SYS_4_3_Digitos!A1264,asientos!$J$13:$J$1276)</f>
        <v>0</v>
      </c>
      <c r="I1264" s="1314">
        <f t="shared" si="124"/>
        <v>0</v>
      </c>
      <c r="J1264" s="1315">
        <f t="shared" si="125"/>
        <v>0</v>
      </c>
      <c r="L1264" s="1308">
        <f t="shared" si="126"/>
        <v>0</v>
      </c>
      <c r="M1264" s="1296" t="str">
        <f t="shared" si="127"/>
        <v>0</v>
      </c>
      <c r="N1264" s="1309">
        <f t="shared" si="128"/>
        <v>0</v>
      </c>
      <c r="O1264" s="1296" t="str">
        <f t="shared" si="129"/>
        <v>0</v>
      </c>
    </row>
    <row r="1265" spans="1:15" s="1296" customFormat="1" hidden="1">
      <c r="A1265" s="1310"/>
      <c r="B1265" s="1311"/>
      <c r="C1265" s="1312">
        <v>0</v>
      </c>
      <c r="D1265" s="1313">
        <v>0</v>
      </c>
      <c r="E1265" s="1314"/>
      <c r="F1265" s="1315"/>
      <c r="G1265" s="1316">
        <f>+SUMIF(asientos!$C$13:$C$1276,SYS_4_3_Digitos!A1265,asientos!$B$13:$B$1276)</f>
        <v>0</v>
      </c>
      <c r="H1265" s="1317">
        <f>+SUMIF(asientos!$I$13:$I$1276,SYS_4_3_Digitos!A1265,asientos!$J$13:$J$1276)</f>
        <v>0</v>
      </c>
      <c r="I1265" s="1314">
        <f t="shared" si="124"/>
        <v>0</v>
      </c>
      <c r="J1265" s="1315">
        <f t="shared" si="125"/>
        <v>0</v>
      </c>
      <c r="L1265" s="1308">
        <f t="shared" si="126"/>
        <v>0</v>
      </c>
      <c r="M1265" s="1296" t="str">
        <f t="shared" si="127"/>
        <v>0</v>
      </c>
      <c r="N1265" s="1309">
        <f t="shared" si="128"/>
        <v>0</v>
      </c>
      <c r="O1265" s="1296" t="str">
        <f t="shared" si="129"/>
        <v>0</v>
      </c>
    </row>
    <row r="1266" spans="1:15" s="1296" customFormat="1" hidden="1">
      <c r="A1266" s="1310"/>
      <c r="B1266" s="1311"/>
      <c r="C1266" s="1312">
        <v>0</v>
      </c>
      <c r="D1266" s="1313">
        <v>0</v>
      </c>
      <c r="E1266" s="1314"/>
      <c r="F1266" s="1315"/>
      <c r="G1266" s="1316">
        <f>+SUMIF(asientos!$C$13:$C$1276,SYS_4_3_Digitos!A1266,asientos!$B$13:$B$1276)</f>
        <v>0</v>
      </c>
      <c r="H1266" s="1317">
        <f>+SUMIF(asientos!$I$13:$I$1276,SYS_4_3_Digitos!A1266,asientos!$J$13:$J$1276)</f>
        <v>0</v>
      </c>
      <c r="I1266" s="1314">
        <f t="shared" si="124"/>
        <v>0</v>
      </c>
      <c r="J1266" s="1315">
        <f t="shared" si="125"/>
        <v>0</v>
      </c>
      <c r="L1266" s="1308">
        <f t="shared" si="126"/>
        <v>0</v>
      </c>
      <c r="M1266" s="1296" t="str">
        <f t="shared" si="127"/>
        <v>0</v>
      </c>
      <c r="N1266" s="1309">
        <f t="shared" si="128"/>
        <v>0</v>
      </c>
      <c r="O1266" s="1296" t="str">
        <f t="shared" si="129"/>
        <v>0</v>
      </c>
    </row>
    <row r="1267" spans="1:15" s="1296" customFormat="1" hidden="1">
      <c r="A1267" s="1310"/>
      <c r="B1267" s="1311"/>
      <c r="C1267" s="1312">
        <v>0</v>
      </c>
      <c r="D1267" s="1313">
        <v>0</v>
      </c>
      <c r="E1267" s="1314"/>
      <c r="F1267" s="1315"/>
      <c r="G1267" s="1316">
        <f>+SUMIF(asientos!$C$13:$C$1276,SYS_4_3_Digitos!A1267,asientos!$B$13:$B$1276)</f>
        <v>0</v>
      </c>
      <c r="H1267" s="1317">
        <f>+SUMIF(asientos!$I$13:$I$1276,SYS_4_3_Digitos!A1267,asientos!$J$13:$J$1276)</f>
        <v>0</v>
      </c>
      <c r="I1267" s="1314">
        <f t="shared" si="124"/>
        <v>0</v>
      </c>
      <c r="J1267" s="1315">
        <f t="shared" si="125"/>
        <v>0</v>
      </c>
      <c r="L1267" s="1308">
        <f t="shared" si="126"/>
        <v>0</v>
      </c>
      <c r="M1267" s="1296" t="str">
        <f t="shared" si="127"/>
        <v>0</v>
      </c>
      <c r="N1267" s="1309">
        <f t="shared" si="128"/>
        <v>0</v>
      </c>
      <c r="O1267" s="1296" t="str">
        <f t="shared" si="129"/>
        <v>0</v>
      </c>
    </row>
    <row r="1268" spans="1:15" s="1296" customFormat="1" hidden="1">
      <c r="A1268" s="1310"/>
      <c r="B1268" s="1311"/>
      <c r="C1268" s="1312">
        <v>0</v>
      </c>
      <c r="D1268" s="1313">
        <v>0</v>
      </c>
      <c r="E1268" s="1314"/>
      <c r="F1268" s="1315"/>
      <c r="G1268" s="1316">
        <f>+SUMIF(asientos!$C$13:$C$1276,SYS_4_3_Digitos!A1268,asientos!$B$13:$B$1276)</f>
        <v>0</v>
      </c>
      <c r="H1268" s="1317">
        <f>+SUMIF(asientos!$I$13:$I$1276,SYS_4_3_Digitos!A1268,asientos!$J$13:$J$1276)</f>
        <v>0</v>
      </c>
      <c r="I1268" s="1314">
        <f t="shared" si="124"/>
        <v>0</v>
      </c>
      <c r="J1268" s="1315">
        <f t="shared" si="125"/>
        <v>0</v>
      </c>
      <c r="L1268" s="1308">
        <f t="shared" si="126"/>
        <v>0</v>
      </c>
      <c r="M1268" s="1296" t="str">
        <f t="shared" si="127"/>
        <v>0</v>
      </c>
      <c r="N1268" s="1309">
        <f t="shared" si="128"/>
        <v>0</v>
      </c>
      <c r="O1268" s="1296" t="str">
        <f t="shared" si="129"/>
        <v>0</v>
      </c>
    </row>
    <row r="1269" spans="1:15" s="1296" customFormat="1" hidden="1">
      <c r="A1269" s="1310"/>
      <c r="B1269" s="1311"/>
      <c r="C1269" s="1312">
        <v>0</v>
      </c>
      <c r="D1269" s="1313">
        <v>0</v>
      </c>
      <c r="E1269" s="1314"/>
      <c r="F1269" s="1315"/>
      <c r="G1269" s="1316">
        <f>+SUMIF(asientos!$C$13:$C$1276,SYS_4_3_Digitos!A1269,asientos!$B$13:$B$1276)</f>
        <v>0</v>
      </c>
      <c r="H1269" s="1317">
        <f>+SUMIF(asientos!$I$13:$I$1276,SYS_4_3_Digitos!A1269,asientos!$J$13:$J$1276)</f>
        <v>0</v>
      </c>
      <c r="I1269" s="1314">
        <f t="shared" si="124"/>
        <v>0</v>
      </c>
      <c r="J1269" s="1315">
        <f t="shared" si="125"/>
        <v>0</v>
      </c>
      <c r="L1269" s="1308">
        <f t="shared" si="126"/>
        <v>0</v>
      </c>
      <c r="M1269" s="1296" t="str">
        <f t="shared" si="127"/>
        <v>0</v>
      </c>
      <c r="N1269" s="1309">
        <f t="shared" si="128"/>
        <v>0</v>
      </c>
      <c r="O1269" s="1296" t="str">
        <f t="shared" si="129"/>
        <v>0</v>
      </c>
    </row>
    <row r="1270" spans="1:15" s="1296" customFormat="1" hidden="1">
      <c r="A1270" s="1310"/>
      <c r="B1270" s="1311"/>
      <c r="C1270" s="1312">
        <v>0</v>
      </c>
      <c r="D1270" s="1313">
        <v>0</v>
      </c>
      <c r="E1270" s="1314"/>
      <c r="F1270" s="1315"/>
      <c r="G1270" s="1316">
        <f>+SUMIF(asientos!$C$13:$C$1276,SYS_4_3_Digitos!A1270,asientos!$B$13:$B$1276)</f>
        <v>0</v>
      </c>
      <c r="H1270" s="1317">
        <f>+SUMIF(asientos!$I$13:$I$1276,SYS_4_3_Digitos!A1270,asientos!$J$13:$J$1276)</f>
        <v>0</v>
      </c>
      <c r="I1270" s="1314">
        <f t="shared" si="124"/>
        <v>0</v>
      </c>
      <c r="J1270" s="1315">
        <f t="shared" si="125"/>
        <v>0</v>
      </c>
      <c r="L1270" s="1308">
        <f t="shared" si="126"/>
        <v>0</v>
      </c>
      <c r="M1270" s="1296" t="str">
        <f t="shared" si="127"/>
        <v>0</v>
      </c>
      <c r="N1270" s="1309">
        <f t="shared" si="128"/>
        <v>0</v>
      </c>
      <c r="O1270" s="1296" t="str">
        <f t="shared" si="129"/>
        <v>0</v>
      </c>
    </row>
    <row r="1271" spans="1:15" s="1296" customFormat="1" hidden="1">
      <c r="A1271" s="1310"/>
      <c r="B1271" s="1311"/>
      <c r="C1271" s="1312">
        <v>0</v>
      </c>
      <c r="D1271" s="1313">
        <v>0</v>
      </c>
      <c r="E1271" s="1314"/>
      <c r="F1271" s="1315"/>
      <c r="G1271" s="1316">
        <f>+SUMIF(asientos!$C$13:$C$1276,SYS_4_3_Digitos!A1271,asientos!$B$13:$B$1276)</f>
        <v>0</v>
      </c>
      <c r="H1271" s="1317">
        <f>+SUMIF(asientos!$I$13:$I$1276,SYS_4_3_Digitos!A1271,asientos!$J$13:$J$1276)</f>
        <v>0</v>
      </c>
      <c r="I1271" s="1314">
        <f t="shared" si="124"/>
        <v>0</v>
      </c>
      <c r="J1271" s="1315">
        <f t="shared" si="125"/>
        <v>0</v>
      </c>
      <c r="L1271" s="1308">
        <f t="shared" si="126"/>
        <v>0</v>
      </c>
      <c r="M1271" s="1296" t="str">
        <f t="shared" si="127"/>
        <v>0</v>
      </c>
      <c r="N1271" s="1309">
        <f t="shared" si="128"/>
        <v>0</v>
      </c>
      <c r="O1271" s="1296" t="str">
        <f t="shared" si="129"/>
        <v>0</v>
      </c>
    </row>
    <row r="1272" spans="1:15" s="1296" customFormat="1" hidden="1">
      <c r="A1272" s="1310"/>
      <c r="B1272" s="1311"/>
      <c r="C1272" s="1312">
        <v>0</v>
      </c>
      <c r="D1272" s="1313">
        <v>0</v>
      </c>
      <c r="E1272" s="1314"/>
      <c r="F1272" s="1315"/>
      <c r="G1272" s="1316">
        <f>+SUMIF(asientos!$C$13:$C$1276,SYS_4_3_Digitos!A1272,asientos!$B$13:$B$1276)</f>
        <v>0</v>
      </c>
      <c r="H1272" s="1317">
        <f>+SUMIF(asientos!$I$13:$I$1276,SYS_4_3_Digitos!A1272,asientos!$J$13:$J$1276)</f>
        <v>0</v>
      </c>
      <c r="I1272" s="1314">
        <f t="shared" si="124"/>
        <v>0</v>
      </c>
      <c r="J1272" s="1315">
        <f t="shared" si="125"/>
        <v>0</v>
      </c>
      <c r="L1272" s="1308">
        <f t="shared" si="126"/>
        <v>0</v>
      </c>
      <c r="M1272" s="1296" t="str">
        <f t="shared" si="127"/>
        <v>0</v>
      </c>
      <c r="N1272" s="1309">
        <f t="shared" si="128"/>
        <v>0</v>
      </c>
      <c r="O1272" s="1296" t="str">
        <f t="shared" si="129"/>
        <v>0</v>
      </c>
    </row>
    <row r="1273" spans="1:15" s="1296" customFormat="1" hidden="1">
      <c r="A1273" s="1310"/>
      <c r="B1273" s="1311"/>
      <c r="C1273" s="1312">
        <v>0</v>
      </c>
      <c r="D1273" s="1313">
        <v>0</v>
      </c>
      <c r="E1273" s="1314"/>
      <c r="F1273" s="1315"/>
      <c r="G1273" s="1316">
        <f>+SUMIF(asientos!$C$13:$C$1276,SYS_4_3_Digitos!A1273,asientos!$B$13:$B$1276)</f>
        <v>0</v>
      </c>
      <c r="H1273" s="1317">
        <f>+SUMIF(asientos!$I$13:$I$1276,SYS_4_3_Digitos!A1273,asientos!$J$13:$J$1276)</f>
        <v>0</v>
      </c>
      <c r="I1273" s="1314">
        <f t="shared" si="124"/>
        <v>0</v>
      </c>
      <c r="J1273" s="1315">
        <f t="shared" si="125"/>
        <v>0</v>
      </c>
      <c r="L1273" s="1308">
        <f t="shared" si="126"/>
        <v>0</v>
      </c>
      <c r="M1273" s="1296" t="str">
        <f t="shared" si="127"/>
        <v>0</v>
      </c>
      <c r="N1273" s="1309">
        <f t="shared" si="128"/>
        <v>0</v>
      </c>
      <c r="O1273" s="1296" t="str">
        <f t="shared" si="129"/>
        <v>0</v>
      </c>
    </row>
    <row r="1274" spans="1:15" s="1296" customFormat="1" hidden="1">
      <c r="A1274" s="1310"/>
      <c r="B1274" s="1311"/>
      <c r="C1274" s="1312">
        <v>0</v>
      </c>
      <c r="D1274" s="1313">
        <v>0</v>
      </c>
      <c r="E1274" s="1314"/>
      <c r="F1274" s="1315"/>
      <c r="G1274" s="1316">
        <f>+SUMIF(asientos!$C$13:$C$1276,SYS_4_3_Digitos!A1274,asientos!$B$13:$B$1276)</f>
        <v>0</v>
      </c>
      <c r="H1274" s="1317">
        <f>+SUMIF(asientos!$I$13:$I$1276,SYS_4_3_Digitos!A1274,asientos!$J$13:$J$1276)</f>
        <v>0</v>
      </c>
      <c r="I1274" s="1314">
        <f t="shared" si="124"/>
        <v>0</v>
      </c>
      <c r="J1274" s="1315">
        <f t="shared" si="125"/>
        <v>0</v>
      </c>
      <c r="L1274" s="1308">
        <f t="shared" si="126"/>
        <v>0</v>
      </c>
      <c r="M1274" s="1296" t="str">
        <f t="shared" si="127"/>
        <v>0</v>
      </c>
      <c r="N1274" s="1309">
        <f t="shared" si="128"/>
        <v>0</v>
      </c>
      <c r="O1274" s="1296" t="str">
        <f t="shared" si="129"/>
        <v>0</v>
      </c>
    </row>
    <row r="1275" spans="1:15" s="1296" customFormat="1" hidden="1">
      <c r="A1275" s="1310"/>
      <c r="B1275" s="1311"/>
      <c r="C1275" s="1312">
        <v>0</v>
      </c>
      <c r="D1275" s="1313">
        <v>0</v>
      </c>
      <c r="E1275" s="1314"/>
      <c r="F1275" s="1315"/>
      <c r="G1275" s="1316">
        <f>+SUMIF(asientos!$C$13:$C$1276,SYS_4_3_Digitos!A1275,asientos!$B$13:$B$1276)</f>
        <v>0</v>
      </c>
      <c r="H1275" s="1317">
        <f>+SUMIF(asientos!$I$13:$I$1276,SYS_4_3_Digitos!A1275,asientos!$J$13:$J$1276)</f>
        <v>0</v>
      </c>
      <c r="I1275" s="1314">
        <f t="shared" si="124"/>
        <v>0</v>
      </c>
      <c r="J1275" s="1315">
        <f t="shared" si="125"/>
        <v>0</v>
      </c>
      <c r="L1275" s="1308">
        <f t="shared" si="126"/>
        <v>0</v>
      </c>
      <c r="M1275" s="1296" t="str">
        <f t="shared" si="127"/>
        <v>0</v>
      </c>
      <c r="N1275" s="1309">
        <f t="shared" si="128"/>
        <v>0</v>
      </c>
      <c r="O1275" s="1296" t="str">
        <f t="shared" si="129"/>
        <v>0</v>
      </c>
    </row>
    <row r="1276" spans="1:15" s="1296" customFormat="1" hidden="1">
      <c r="A1276" s="1310"/>
      <c r="B1276" s="1311"/>
      <c r="C1276" s="1312">
        <v>0</v>
      </c>
      <c r="D1276" s="1313">
        <v>0</v>
      </c>
      <c r="E1276" s="1314"/>
      <c r="F1276" s="1315"/>
      <c r="G1276" s="1316">
        <f>+SUMIF(asientos!$C$13:$C$1276,SYS_4_3_Digitos!A1276,asientos!$B$13:$B$1276)</f>
        <v>0</v>
      </c>
      <c r="H1276" s="1317">
        <f>+SUMIF(asientos!$I$13:$I$1276,SYS_4_3_Digitos!A1276,asientos!$J$13:$J$1276)</f>
        <v>0</v>
      </c>
      <c r="I1276" s="1314">
        <f t="shared" si="124"/>
        <v>0</v>
      </c>
      <c r="J1276" s="1315">
        <f t="shared" si="125"/>
        <v>0</v>
      </c>
      <c r="L1276" s="1308">
        <f t="shared" si="126"/>
        <v>0</v>
      </c>
      <c r="M1276" s="1296" t="str">
        <f t="shared" si="127"/>
        <v>0</v>
      </c>
      <c r="N1276" s="1309">
        <f t="shared" si="128"/>
        <v>0</v>
      </c>
      <c r="O1276" s="1296" t="str">
        <f t="shared" si="129"/>
        <v>0</v>
      </c>
    </row>
    <row r="1277" spans="1:15" s="1296" customFormat="1" hidden="1">
      <c r="A1277" s="1310"/>
      <c r="B1277" s="1311"/>
      <c r="C1277" s="1312">
        <v>0</v>
      </c>
      <c r="D1277" s="1313">
        <v>0</v>
      </c>
      <c r="E1277" s="1314"/>
      <c r="F1277" s="1315"/>
      <c r="G1277" s="1316">
        <f>+SUMIF(asientos!$C$13:$C$1276,SYS_4_3_Digitos!A1277,asientos!$B$13:$B$1276)</f>
        <v>0</v>
      </c>
      <c r="H1277" s="1317">
        <f>+SUMIF(asientos!$I$13:$I$1276,SYS_4_3_Digitos!A1277,asientos!$J$13:$J$1276)</f>
        <v>0</v>
      </c>
      <c r="I1277" s="1314">
        <f t="shared" si="124"/>
        <v>0</v>
      </c>
      <c r="J1277" s="1315">
        <f t="shared" si="125"/>
        <v>0</v>
      </c>
      <c r="L1277" s="1308">
        <f t="shared" si="126"/>
        <v>0</v>
      </c>
      <c r="M1277" s="1296" t="str">
        <f t="shared" si="127"/>
        <v>0</v>
      </c>
      <c r="N1277" s="1309">
        <f t="shared" si="128"/>
        <v>0</v>
      </c>
      <c r="O1277" s="1296" t="str">
        <f t="shared" si="129"/>
        <v>0</v>
      </c>
    </row>
    <row r="1278" spans="1:15" s="1296" customFormat="1" hidden="1">
      <c r="A1278" s="1310"/>
      <c r="B1278" s="1311"/>
      <c r="C1278" s="1312">
        <v>0</v>
      </c>
      <c r="D1278" s="1313">
        <v>0</v>
      </c>
      <c r="E1278" s="1314"/>
      <c r="F1278" s="1315"/>
      <c r="G1278" s="1316">
        <f>+SUMIF(asientos!$C$13:$C$1276,SYS_4_3_Digitos!A1278,asientos!$B$13:$B$1276)</f>
        <v>0</v>
      </c>
      <c r="H1278" s="1317">
        <f>+SUMIF(asientos!$I$13:$I$1276,SYS_4_3_Digitos!A1278,asientos!$J$13:$J$1276)</f>
        <v>0</v>
      </c>
      <c r="I1278" s="1314">
        <f t="shared" si="124"/>
        <v>0</v>
      </c>
      <c r="J1278" s="1315">
        <f t="shared" si="125"/>
        <v>0</v>
      </c>
      <c r="L1278" s="1308">
        <f t="shared" si="126"/>
        <v>0</v>
      </c>
      <c r="M1278" s="1296" t="str">
        <f t="shared" si="127"/>
        <v>0</v>
      </c>
      <c r="N1278" s="1309">
        <f t="shared" si="128"/>
        <v>0</v>
      </c>
      <c r="O1278" s="1296" t="str">
        <f t="shared" si="129"/>
        <v>0</v>
      </c>
    </row>
    <row r="1279" spans="1:15" s="1296" customFormat="1" hidden="1">
      <c r="A1279" s="1310"/>
      <c r="B1279" s="1311"/>
      <c r="C1279" s="1312">
        <v>0</v>
      </c>
      <c r="D1279" s="1313">
        <v>0</v>
      </c>
      <c r="E1279" s="1314"/>
      <c r="F1279" s="1315"/>
      <c r="G1279" s="1316">
        <f>+SUMIF(asientos!$C$13:$C$1276,SYS_4_3_Digitos!A1279,asientos!$B$13:$B$1276)</f>
        <v>0</v>
      </c>
      <c r="H1279" s="1317">
        <f>+SUMIF(asientos!$I$13:$I$1276,SYS_4_3_Digitos!A1279,asientos!$J$13:$J$1276)</f>
        <v>0</v>
      </c>
      <c r="I1279" s="1314">
        <f t="shared" si="124"/>
        <v>0</v>
      </c>
      <c r="J1279" s="1315">
        <f t="shared" si="125"/>
        <v>0</v>
      </c>
      <c r="L1279" s="1308">
        <f t="shared" si="126"/>
        <v>0</v>
      </c>
      <c r="M1279" s="1296" t="str">
        <f t="shared" si="127"/>
        <v>0</v>
      </c>
      <c r="N1279" s="1309">
        <f t="shared" si="128"/>
        <v>0</v>
      </c>
      <c r="O1279" s="1296" t="str">
        <f t="shared" si="129"/>
        <v>0</v>
      </c>
    </row>
    <row r="1280" spans="1:15" s="1296" customFormat="1" hidden="1">
      <c r="A1280" s="1310"/>
      <c r="B1280" s="1311"/>
      <c r="C1280" s="1312">
        <v>0</v>
      </c>
      <c r="D1280" s="1313">
        <v>0</v>
      </c>
      <c r="E1280" s="1314"/>
      <c r="F1280" s="1315"/>
      <c r="G1280" s="1316">
        <f>+SUMIF(asientos!$C$13:$C$1276,SYS_4_3_Digitos!A1280,asientos!$B$13:$B$1276)</f>
        <v>0</v>
      </c>
      <c r="H1280" s="1317">
        <f>+SUMIF(asientos!$I$13:$I$1276,SYS_4_3_Digitos!A1280,asientos!$J$13:$J$1276)</f>
        <v>0</v>
      </c>
      <c r="I1280" s="1314">
        <f t="shared" si="124"/>
        <v>0</v>
      </c>
      <c r="J1280" s="1315">
        <f t="shared" si="125"/>
        <v>0</v>
      </c>
      <c r="L1280" s="1308">
        <f t="shared" si="126"/>
        <v>0</v>
      </c>
      <c r="M1280" s="1296" t="str">
        <f t="shared" si="127"/>
        <v>0</v>
      </c>
      <c r="N1280" s="1309">
        <f t="shared" si="128"/>
        <v>0</v>
      </c>
      <c r="O1280" s="1296" t="str">
        <f t="shared" si="129"/>
        <v>0</v>
      </c>
    </row>
    <row r="1281" spans="1:15" s="1296" customFormat="1" hidden="1">
      <c r="A1281" s="1310"/>
      <c r="B1281" s="1311"/>
      <c r="C1281" s="1312">
        <v>0</v>
      </c>
      <c r="D1281" s="1313">
        <v>0</v>
      </c>
      <c r="E1281" s="1314"/>
      <c r="F1281" s="1315"/>
      <c r="G1281" s="1316">
        <f>+SUMIF(asientos!$C$13:$C$1276,SYS_4_3_Digitos!A1281,asientos!$B$13:$B$1276)</f>
        <v>0</v>
      </c>
      <c r="H1281" s="1317">
        <f>+SUMIF(asientos!$I$13:$I$1276,SYS_4_3_Digitos!A1281,asientos!$J$13:$J$1276)</f>
        <v>0</v>
      </c>
      <c r="I1281" s="1314">
        <f t="shared" si="124"/>
        <v>0</v>
      </c>
      <c r="J1281" s="1315">
        <f t="shared" si="125"/>
        <v>0</v>
      </c>
      <c r="L1281" s="1308">
        <f t="shared" si="126"/>
        <v>0</v>
      </c>
      <c r="M1281" s="1296" t="str">
        <f t="shared" si="127"/>
        <v>0</v>
      </c>
      <c r="N1281" s="1309">
        <f t="shared" si="128"/>
        <v>0</v>
      </c>
      <c r="O1281" s="1296" t="str">
        <f t="shared" si="129"/>
        <v>0</v>
      </c>
    </row>
    <row r="1282" spans="1:15" s="1296" customFormat="1" hidden="1">
      <c r="A1282" s="1310"/>
      <c r="B1282" s="1311"/>
      <c r="C1282" s="1312">
        <v>0</v>
      </c>
      <c r="D1282" s="1313">
        <v>0</v>
      </c>
      <c r="E1282" s="1314"/>
      <c r="F1282" s="1315"/>
      <c r="G1282" s="1316">
        <f>+SUMIF(asientos!$C$13:$C$1276,SYS_4_3_Digitos!A1282,asientos!$B$13:$B$1276)</f>
        <v>0</v>
      </c>
      <c r="H1282" s="1317">
        <f>+SUMIF(asientos!$I$13:$I$1276,SYS_4_3_Digitos!A1282,asientos!$J$13:$J$1276)</f>
        <v>0</v>
      </c>
      <c r="I1282" s="1314">
        <f t="shared" si="124"/>
        <v>0</v>
      </c>
      <c r="J1282" s="1315">
        <f t="shared" si="125"/>
        <v>0</v>
      </c>
      <c r="L1282" s="1308">
        <f t="shared" si="126"/>
        <v>0</v>
      </c>
      <c r="M1282" s="1296" t="str">
        <f t="shared" si="127"/>
        <v>0</v>
      </c>
      <c r="N1282" s="1309">
        <f t="shared" si="128"/>
        <v>0</v>
      </c>
      <c r="O1282" s="1296" t="str">
        <f t="shared" si="129"/>
        <v>0</v>
      </c>
    </row>
    <row r="1283" spans="1:15" s="1296" customFormat="1" hidden="1">
      <c r="A1283" s="1310"/>
      <c r="B1283" s="1311"/>
      <c r="C1283" s="1312">
        <v>0</v>
      </c>
      <c r="D1283" s="1313">
        <v>0</v>
      </c>
      <c r="E1283" s="1314"/>
      <c r="F1283" s="1315"/>
      <c r="G1283" s="1316">
        <f>+SUMIF(asientos!$C$13:$C$1276,SYS_4_3_Digitos!A1283,asientos!$B$13:$B$1276)</f>
        <v>0</v>
      </c>
      <c r="H1283" s="1317">
        <f>+SUMIF(asientos!$I$13:$I$1276,SYS_4_3_Digitos!A1283,asientos!$J$13:$J$1276)</f>
        <v>0</v>
      </c>
      <c r="I1283" s="1314">
        <f t="shared" si="124"/>
        <v>0</v>
      </c>
      <c r="J1283" s="1315">
        <f t="shared" si="125"/>
        <v>0</v>
      </c>
      <c r="L1283" s="1308">
        <f t="shared" si="126"/>
        <v>0</v>
      </c>
      <c r="M1283" s="1296" t="str">
        <f t="shared" si="127"/>
        <v>0</v>
      </c>
      <c r="N1283" s="1309">
        <f t="shared" si="128"/>
        <v>0</v>
      </c>
      <c r="O1283" s="1296" t="str">
        <f t="shared" si="129"/>
        <v>0</v>
      </c>
    </row>
    <row r="1284" spans="1:15" s="1296" customFormat="1" hidden="1">
      <c r="A1284" s="1310"/>
      <c r="B1284" s="1311"/>
      <c r="C1284" s="1312">
        <v>0</v>
      </c>
      <c r="D1284" s="1313">
        <v>0</v>
      </c>
      <c r="E1284" s="1314"/>
      <c r="F1284" s="1315"/>
      <c r="G1284" s="1316">
        <f>+SUMIF(asientos!$C$13:$C$1276,SYS_4_3_Digitos!A1284,asientos!$B$13:$B$1276)</f>
        <v>0</v>
      </c>
      <c r="H1284" s="1317">
        <f>+SUMIF(asientos!$I$13:$I$1276,SYS_4_3_Digitos!A1284,asientos!$J$13:$J$1276)</f>
        <v>0</v>
      </c>
      <c r="I1284" s="1314">
        <f t="shared" si="124"/>
        <v>0</v>
      </c>
      <c r="J1284" s="1315">
        <f t="shared" si="125"/>
        <v>0</v>
      </c>
      <c r="L1284" s="1308">
        <f t="shared" si="126"/>
        <v>0</v>
      </c>
      <c r="M1284" s="1296" t="str">
        <f t="shared" si="127"/>
        <v>0</v>
      </c>
      <c r="N1284" s="1309">
        <f t="shared" si="128"/>
        <v>0</v>
      </c>
      <c r="O1284" s="1296" t="str">
        <f t="shared" si="129"/>
        <v>0</v>
      </c>
    </row>
    <row r="1285" spans="1:15" s="1296" customFormat="1" hidden="1">
      <c r="A1285" s="1310"/>
      <c r="B1285" s="1311"/>
      <c r="C1285" s="1312">
        <v>0</v>
      </c>
      <c r="D1285" s="1313">
        <v>0</v>
      </c>
      <c r="E1285" s="1314"/>
      <c r="F1285" s="1315"/>
      <c r="G1285" s="1316">
        <f>+SUMIF(asientos!$C$13:$C$1276,SYS_4_3_Digitos!A1285,asientos!$B$13:$B$1276)</f>
        <v>0</v>
      </c>
      <c r="H1285" s="1317">
        <f>+SUMIF(asientos!$I$13:$I$1276,SYS_4_3_Digitos!A1285,asientos!$J$13:$J$1276)</f>
        <v>0</v>
      </c>
      <c r="I1285" s="1314">
        <f t="shared" si="124"/>
        <v>0</v>
      </c>
      <c r="J1285" s="1315">
        <f t="shared" si="125"/>
        <v>0</v>
      </c>
      <c r="L1285" s="1308">
        <f t="shared" si="126"/>
        <v>0</v>
      </c>
      <c r="M1285" s="1296" t="str">
        <f t="shared" si="127"/>
        <v>0</v>
      </c>
      <c r="N1285" s="1309">
        <f t="shared" si="128"/>
        <v>0</v>
      </c>
      <c r="O1285" s="1296" t="str">
        <f t="shared" si="129"/>
        <v>0</v>
      </c>
    </row>
    <row r="1286" spans="1:15" s="1296" customFormat="1" hidden="1">
      <c r="A1286" s="1310"/>
      <c r="B1286" s="1311"/>
      <c r="C1286" s="1312">
        <v>0</v>
      </c>
      <c r="D1286" s="1313">
        <v>0</v>
      </c>
      <c r="E1286" s="1314"/>
      <c r="F1286" s="1315"/>
      <c r="G1286" s="1316">
        <f>+SUMIF(asientos!$C$13:$C$1276,SYS_4_3_Digitos!A1286,asientos!$B$13:$B$1276)</f>
        <v>0</v>
      </c>
      <c r="H1286" s="1317">
        <f>+SUMIF(asientos!$I$13:$I$1276,SYS_4_3_Digitos!A1286,asientos!$J$13:$J$1276)</f>
        <v>0</v>
      </c>
      <c r="I1286" s="1314">
        <f t="shared" si="124"/>
        <v>0</v>
      </c>
      <c r="J1286" s="1315">
        <f t="shared" si="125"/>
        <v>0</v>
      </c>
      <c r="L1286" s="1308">
        <f t="shared" si="126"/>
        <v>0</v>
      </c>
      <c r="M1286" s="1296" t="str">
        <f t="shared" si="127"/>
        <v>0</v>
      </c>
      <c r="N1286" s="1309">
        <f t="shared" si="128"/>
        <v>0</v>
      </c>
      <c r="O1286" s="1296" t="str">
        <f t="shared" si="129"/>
        <v>0</v>
      </c>
    </row>
    <row r="1287" spans="1:15" s="1296" customFormat="1" hidden="1">
      <c r="A1287" s="1310"/>
      <c r="B1287" s="1311"/>
      <c r="C1287" s="1312">
        <v>0</v>
      </c>
      <c r="D1287" s="1313">
        <v>0</v>
      </c>
      <c r="E1287" s="1314"/>
      <c r="F1287" s="1315"/>
      <c r="G1287" s="1316">
        <f>+SUMIF(asientos!$C$13:$C$1276,SYS_4_3_Digitos!A1287,asientos!$B$13:$B$1276)</f>
        <v>0</v>
      </c>
      <c r="H1287" s="1317">
        <f>+SUMIF(asientos!$I$13:$I$1276,SYS_4_3_Digitos!A1287,asientos!$J$13:$J$1276)</f>
        <v>0</v>
      </c>
      <c r="I1287" s="1314">
        <f t="shared" si="124"/>
        <v>0</v>
      </c>
      <c r="J1287" s="1315">
        <f t="shared" si="125"/>
        <v>0</v>
      </c>
      <c r="L1287" s="1308">
        <f t="shared" si="126"/>
        <v>0</v>
      </c>
      <c r="M1287" s="1296" t="str">
        <f t="shared" si="127"/>
        <v>0</v>
      </c>
      <c r="N1287" s="1309">
        <f t="shared" si="128"/>
        <v>0</v>
      </c>
      <c r="O1287" s="1296" t="str">
        <f t="shared" si="129"/>
        <v>0</v>
      </c>
    </row>
    <row r="1288" spans="1:15" s="1296" customFormat="1" hidden="1">
      <c r="A1288" s="1310"/>
      <c r="B1288" s="1311"/>
      <c r="C1288" s="1312">
        <v>0</v>
      </c>
      <c r="D1288" s="1313">
        <v>0</v>
      </c>
      <c r="E1288" s="1314"/>
      <c r="F1288" s="1315"/>
      <c r="G1288" s="1316">
        <f>+SUMIF(asientos!$C$13:$C$1276,SYS_4_3_Digitos!A1288,asientos!$B$13:$B$1276)</f>
        <v>0</v>
      </c>
      <c r="H1288" s="1317">
        <f>+SUMIF(asientos!$I$13:$I$1276,SYS_4_3_Digitos!A1288,asientos!$J$13:$J$1276)</f>
        <v>0</v>
      </c>
      <c r="I1288" s="1314">
        <f t="shared" si="124"/>
        <v>0</v>
      </c>
      <c r="J1288" s="1315">
        <f t="shared" si="125"/>
        <v>0</v>
      </c>
      <c r="L1288" s="1308">
        <f t="shared" si="126"/>
        <v>0</v>
      </c>
      <c r="M1288" s="1296" t="str">
        <f t="shared" si="127"/>
        <v>0</v>
      </c>
      <c r="N1288" s="1309">
        <f t="shared" si="128"/>
        <v>0</v>
      </c>
      <c r="O1288" s="1296" t="str">
        <f t="shared" si="129"/>
        <v>0</v>
      </c>
    </row>
    <row r="1289" spans="1:15" s="1296" customFormat="1" hidden="1">
      <c r="A1289" s="1310"/>
      <c r="B1289" s="1311"/>
      <c r="C1289" s="1312">
        <v>0</v>
      </c>
      <c r="D1289" s="1313">
        <v>0</v>
      </c>
      <c r="E1289" s="1314"/>
      <c r="F1289" s="1315"/>
      <c r="G1289" s="1316">
        <f>+SUMIF(asientos!$C$13:$C$1276,SYS_4_3_Digitos!A1289,asientos!$B$13:$B$1276)</f>
        <v>0</v>
      </c>
      <c r="H1289" s="1317">
        <f>+SUMIF(asientos!$I$13:$I$1276,SYS_4_3_Digitos!A1289,asientos!$J$13:$J$1276)</f>
        <v>0</v>
      </c>
      <c r="I1289" s="1314">
        <f t="shared" si="124"/>
        <v>0</v>
      </c>
      <c r="J1289" s="1315">
        <f t="shared" si="125"/>
        <v>0</v>
      </c>
      <c r="L1289" s="1308">
        <f t="shared" si="126"/>
        <v>0</v>
      </c>
      <c r="M1289" s="1296" t="str">
        <f t="shared" si="127"/>
        <v>0</v>
      </c>
      <c r="N1289" s="1309">
        <f t="shared" si="128"/>
        <v>0</v>
      </c>
      <c r="O1289" s="1296" t="str">
        <f t="shared" si="129"/>
        <v>0</v>
      </c>
    </row>
    <row r="1290" spans="1:15" s="1296" customFormat="1" hidden="1">
      <c r="A1290" s="1310"/>
      <c r="B1290" s="1311"/>
      <c r="C1290" s="1312">
        <v>0</v>
      </c>
      <c r="D1290" s="1313">
        <v>0</v>
      </c>
      <c r="E1290" s="1314"/>
      <c r="F1290" s="1315"/>
      <c r="G1290" s="1316">
        <f>+SUMIF(asientos!$C$13:$C$1276,SYS_4_3_Digitos!A1290,asientos!$B$13:$B$1276)</f>
        <v>0</v>
      </c>
      <c r="H1290" s="1317">
        <f>+SUMIF(asientos!$I$13:$I$1276,SYS_4_3_Digitos!A1290,asientos!$J$13:$J$1276)</f>
        <v>0</v>
      </c>
      <c r="I1290" s="1314">
        <f t="shared" si="124"/>
        <v>0</v>
      </c>
      <c r="J1290" s="1315">
        <f t="shared" si="125"/>
        <v>0</v>
      </c>
      <c r="L1290" s="1308">
        <f t="shared" si="126"/>
        <v>0</v>
      </c>
      <c r="M1290" s="1296" t="str">
        <f t="shared" si="127"/>
        <v>0</v>
      </c>
      <c r="N1290" s="1309">
        <f t="shared" si="128"/>
        <v>0</v>
      </c>
      <c r="O1290" s="1296" t="str">
        <f t="shared" si="129"/>
        <v>0</v>
      </c>
    </row>
    <row r="1291" spans="1:15" s="1296" customFormat="1" hidden="1">
      <c r="A1291" s="1310"/>
      <c r="B1291" s="1311"/>
      <c r="C1291" s="1312">
        <v>0</v>
      </c>
      <c r="D1291" s="1313">
        <v>0</v>
      </c>
      <c r="E1291" s="1314"/>
      <c r="F1291" s="1315"/>
      <c r="G1291" s="1316">
        <f>+SUMIF(asientos!$C$13:$C$1276,SYS_4_3_Digitos!A1291,asientos!$B$13:$B$1276)</f>
        <v>0</v>
      </c>
      <c r="H1291" s="1317">
        <f>+SUMIF(asientos!$I$13:$I$1276,SYS_4_3_Digitos!A1291,asientos!$J$13:$J$1276)</f>
        <v>0</v>
      </c>
      <c r="I1291" s="1314">
        <f t="shared" si="124"/>
        <v>0</v>
      </c>
      <c r="J1291" s="1315">
        <f t="shared" si="125"/>
        <v>0</v>
      </c>
      <c r="L1291" s="1308">
        <f t="shared" si="126"/>
        <v>0</v>
      </c>
      <c r="M1291" s="1296" t="str">
        <f t="shared" si="127"/>
        <v>0</v>
      </c>
      <c r="N1291" s="1309">
        <f t="shared" si="128"/>
        <v>0</v>
      </c>
      <c r="O1291" s="1296" t="str">
        <f t="shared" si="129"/>
        <v>0</v>
      </c>
    </row>
    <row r="1292" spans="1:15" s="1296" customFormat="1" hidden="1">
      <c r="A1292" s="1310"/>
      <c r="B1292" s="1311"/>
      <c r="C1292" s="1312">
        <v>0</v>
      </c>
      <c r="D1292" s="1313">
        <v>0</v>
      </c>
      <c r="E1292" s="1314"/>
      <c r="F1292" s="1315"/>
      <c r="G1292" s="1316">
        <f>+SUMIF(asientos!$C$13:$C$1276,SYS_4_3_Digitos!A1292,asientos!$B$13:$B$1276)</f>
        <v>0</v>
      </c>
      <c r="H1292" s="1317">
        <f>+SUMIF(asientos!$I$13:$I$1276,SYS_4_3_Digitos!A1292,asientos!$J$13:$J$1276)</f>
        <v>0</v>
      </c>
      <c r="I1292" s="1314">
        <f t="shared" si="124"/>
        <v>0</v>
      </c>
      <c r="J1292" s="1315">
        <f t="shared" si="125"/>
        <v>0</v>
      </c>
      <c r="L1292" s="1308">
        <f t="shared" si="126"/>
        <v>0</v>
      </c>
      <c r="M1292" s="1296" t="str">
        <f t="shared" si="127"/>
        <v>0</v>
      </c>
      <c r="N1292" s="1309">
        <f t="shared" si="128"/>
        <v>0</v>
      </c>
      <c r="O1292" s="1296" t="str">
        <f t="shared" si="129"/>
        <v>0</v>
      </c>
    </row>
    <row r="1293" spans="1:15" s="1296" customFormat="1" hidden="1">
      <c r="A1293" s="1310"/>
      <c r="B1293" s="1311"/>
      <c r="C1293" s="1312">
        <v>0</v>
      </c>
      <c r="D1293" s="1313">
        <v>0</v>
      </c>
      <c r="E1293" s="1314"/>
      <c r="F1293" s="1315"/>
      <c r="G1293" s="1316">
        <f>+SUMIF(asientos!$C$13:$C$1276,SYS_4_3_Digitos!A1293,asientos!$B$13:$B$1276)</f>
        <v>0</v>
      </c>
      <c r="H1293" s="1317">
        <f>+SUMIF(asientos!$I$13:$I$1276,SYS_4_3_Digitos!A1293,asientos!$J$13:$J$1276)</f>
        <v>0</v>
      </c>
      <c r="I1293" s="1314">
        <f t="shared" si="124"/>
        <v>0</v>
      </c>
      <c r="J1293" s="1315">
        <f t="shared" si="125"/>
        <v>0</v>
      </c>
      <c r="L1293" s="1308">
        <f t="shared" si="126"/>
        <v>0</v>
      </c>
      <c r="M1293" s="1296" t="str">
        <f t="shared" si="127"/>
        <v>0</v>
      </c>
      <c r="N1293" s="1309">
        <f t="shared" si="128"/>
        <v>0</v>
      </c>
      <c r="O1293" s="1296" t="str">
        <f t="shared" si="129"/>
        <v>0</v>
      </c>
    </row>
    <row r="1294" spans="1:15" s="1296" customFormat="1" hidden="1">
      <c r="A1294" s="1310"/>
      <c r="B1294" s="1311"/>
      <c r="C1294" s="1312">
        <v>0</v>
      </c>
      <c r="D1294" s="1313">
        <v>0</v>
      </c>
      <c r="E1294" s="1314"/>
      <c r="F1294" s="1315"/>
      <c r="G1294" s="1316">
        <f>+SUMIF(asientos!$C$13:$C$1276,SYS_4_3_Digitos!A1294,asientos!$B$13:$B$1276)</f>
        <v>0</v>
      </c>
      <c r="H1294" s="1317">
        <f>+SUMIF(asientos!$I$13:$I$1276,SYS_4_3_Digitos!A1294,asientos!$J$13:$J$1276)</f>
        <v>0</v>
      </c>
      <c r="I1294" s="1314">
        <f t="shared" si="124"/>
        <v>0</v>
      </c>
      <c r="J1294" s="1315">
        <f t="shared" si="125"/>
        <v>0</v>
      </c>
      <c r="L1294" s="1308">
        <f t="shared" si="126"/>
        <v>0</v>
      </c>
      <c r="M1294" s="1296" t="str">
        <f t="shared" si="127"/>
        <v>0</v>
      </c>
      <c r="N1294" s="1309">
        <f t="shared" si="128"/>
        <v>0</v>
      </c>
      <c r="O1294" s="1296" t="str">
        <f t="shared" si="129"/>
        <v>0</v>
      </c>
    </row>
    <row r="1295" spans="1:15" s="1296" customFormat="1" hidden="1">
      <c r="A1295" s="1310"/>
      <c r="B1295" s="1311"/>
      <c r="C1295" s="1312">
        <v>0</v>
      </c>
      <c r="D1295" s="1313">
        <v>0</v>
      </c>
      <c r="E1295" s="1314"/>
      <c r="F1295" s="1315"/>
      <c r="G1295" s="1316">
        <f>+SUMIF(asientos!$C$13:$C$1276,SYS_4_3_Digitos!A1295,asientos!$B$13:$B$1276)</f>
        <v>0</v>
      </c>
      <c r="H1295" s="1317">
        <f>+SUMIF(asientos!$I$13:$I$1276,SYS_4_3_Digitos!A1295,asientos!$J$13:$J$1276)</f>
        <v>0</v>
      </c>
      <c r="I1295" s="1314">
        <f t="shared" si="124"/>
        <v>0</v>
      </c>
      <c r="J1295" s="1315">
        <f t="shared" si="125"/>
        <v>0</v>
      </c>
      <c r="L1295" s="1308">
        <f t="shared" si="126"/>
        <v>0</v>
      </c>
      <c r="M1295" s="1296" t="str">
        <f t="shared" si="127"/>
        <v>0</v>
      </c>
      <c r="N1295" s="1309">
        <f t="shared" si="128"/>
        <v>0</v>
      </c>
      <c r="O1295" s="1296" t="str">
        <f t="shared" si="129"/>
        <v>0</v>
      </c>
    </row>
    <row r="1296" spans="1:15" s="1296" customFormat="1" hidden="1">
      <c r="A1296" s="1310"/>
      <c r="B1296" s="1311"/>
      <c r="C1296" s="1312">
        <v>0</v>
      </c>
      <c r="D1296" s="1313">
        <v>0</v>
      </c>
      <c r="E1296" s="1314"/>
      <c r="F1296" s="1315"/>
      <c r="G1296" s="1316">
        <f>+SUMIF(asientos!$C$13:$C$1276,SYS_4_3_Digitos!A1296,asientos!$B$13:$B$1276)</f>
        <v>0</v>
      </c>
      <c r="H1296" s="1317">
        <f>+SUMIF(asientos!$I$13:$I$1276,SYS_4_3_Digitos!A1296,asientos!$J$13:$J$1276)</f>
        <v>0</v>
      </c>
      <c r="I1296" s="1314">
        <f t="shared" si="124"/>
        <v>0</v>
      </c>
      <c r="J1296" s="1315">
        <f t="shared" si="125"/>
        <v>0</v>
      </c>
      <c r="L1296" s="1308">
        <f t="shared" si="126"/>
        <v>0</v>
      </c>
      <c r="M1296" s="1296" t="str">
        <f t="shared" si="127"/>
        <v>0</v>
      </c>
      <c r="N1296" s="1309">
        <f t="shared" si="128"/>
        <v>0</v>
      </c>
      <c r="O1296" s="1296" t="str">
        <f t="shared" si="129"/>
        <v>0</v>
      </c>
    </row>
    <row r="1297" spans="1:15" s="1296" customFormat="1" hidden="1">
      <c r="A1297" s="1310"/>
      <c r="B1297" s="1311"/>
      <c r="C1297" s="1312">
        <v>0</v>
      </c>
      <c r="D1297" s="1313">
        <v>0</v>
      </c>
      <c r="E1297" s="1314"/>
      <c r="F1297" s="1315"/>
      <c r="G1297" s="1316">
        <f>+SUMIF(asientos!$C$13:$C$1276,SYS_4_3_Digitos!A1297,asientos!$B$13:$B$1276)</f>
        <v>0</v>
      </c>
      <c r="H1297" s="1317">
        <f>+SUMIF(asientos!$I$13:$I$1276,SYS_4_3_Digitos!A1297,asientos!$J$13:$J$1276)</f>
        <v>0</v>
      </c>
      <c r="I1297" s="1314">
        <f t="shared" si="124"/>
        <v>0</v>
      </c>
      <c r="J1297" s="1315">
        <f t="shared" si="125"/>
        <v>0</v>
      </c>
      <c r="L1297" s="1308">
        <f t="shared" si="126"/>
        <v>0</v>
      </c>
      <c r="M1297" s="1296" t="str">
        <f t="shared" si="127"/>
        <v>0</v>
      </c>
      <c r="N1297" s="1309">
        <f t="shared" si="128"/>
        <v>0</v>
      </c>
      <c r="O1297" s="1296" t="str">
        <f t="shared" si="129"/>
        <v>0</v>
      </c>
    </row>
    <row r="1298" spans="1:15" s="1296" customFormat="1" hidden="1">
      <c r="A1298" s="1310"/>
      <c r="B1298" s="1311"/>
      <c r="C1298" s="1312">
        <v>0</v>
      </c>
      <c r="D1298" s="1313">
        <v>0</v>
      </c>
      <c r="E1298" s="1314"/>
      <c r="F1298" s="1315"/>
      <c r="G1298" s="1316">
        <f>+SUMIF(asientos!$C$13:$C$1276,SYS_4_3_Digitos!A1298,asientos!$B$13:$B$1276)</f>
        <v>0</v>
      </c>
      <c r="H1298" s="1317">
        <f>+SUMIF(asientos!$I$13:$I$1276,SYS_4_3_Digitos!A1298,asientos!$J$13:$J$1276)</f>
        <v>0</v>
      </c>
      <c r="I1298" s="1314">
        <f t="shared" si="124"/>
        <v>0</v>
      </c>
      <c r="J1298" s="1315">
        <f t="shared" si="125"/>
        <v>0</v>
      </c>
      <c r="L1298" s="1308">
        <f t="shared" si="126"/>
        <v>0</v>
      </c>
      <c r="M1298" s="1296" t="str">
        <f t="shared" si="127"/>
        <v>0</v>
      </c>
      <c r="N1298" s="1309">
        <f t="shared" si="128"/>
        <v>0</v>
      </c>
      <c r="O1298" s="1296" t="str">
        <f t="shared" si="129"/>
        <v>0</v>
      </c>
    </row>
    <row r="1299" spans="1:15" s="1296" customFormat="1" hidden="1">
      <c r="A1299" s="1310"/>
      <c r="B1299" s="1311"/>
      <c r="C1299" s="1312">
        <v>0</v>
      </c>
      <c r="D1299" s="1313">
        <v>0</v>
      </c>
      <c r="E1299" s="1314"/>
      <c r="F1299" s="1315"/>
      <c r="G1299" s="1316">
        <f>+SUMIF(asientos!$C$13:$C$1276,SYS_4_3_Digitos!A1299,asientos!$B$13:$B$1276)</f>
        <v>0</v>
      </c>
      <c r="H1299" s="1317">
        <f>+SUMIF(asientos!$I$13:$I$1276,SYS_4_3_Digitos!A1299,asientos!$J$13:$J$1276)</f>
        <v>0</v>
      </c>
      <c r="I1299" s="1314">
        <f t="shared" si="124"/>
        <v>0</v>
      </c>
      <c r="J1299" s="1315">
        <f t="shared" si="125"/>
        <v>0</v>
      </c>
      <c r="L1299" s="1308">
        <f t="shared" si="126"/>
        <v>0</v>
      </c>
      <c r="M1299" s="1296" t="str">
        <f t="shared" si="127"/>
        <v>0</v>
      </c>
      <c r="N1299" s="1309">
        <f t="shared" si="128"/>
        <v>0</v>
      </c>
      <c r="O1299" s="1296" t="str">
        <f t="shared" si="129"/>
        <v>0</v>
      </c>
    </row>
    <row r="1300" spans="1:15" s="1296" customFormat="1" hidden="1">
      <c r="A1300" s="1310"/>
      <c r="B1300" s="1311"/>
      <c r="C1300" s="1312">
        <v>0</v>
      </c>
      <c r="D1300" s="1313">
        <v>0</v>
      </c>
      <c r="E1300" s="1314"/>
      <c r="F1300" s="1315"/>
      <c r="G1300" s="1316">
        <f>+SUMIF(asientos!$C$13:$C$1276,SYS_4_3_Digitos!A1300,asientos!$B$13:$B$1276)</f>
        <v>0</v>
      </c>
      <c r="H1300" s="1317">
        <f>+SUMIF(asientos!$I$13:$I$1276,SYS_4_3_Digitos!A1300,asientos!$J$13:$J$1276)</f>
        <v>0</v>
      </c>
      <c r="I1300" s="1314">
        <f t="shared" si="124"/>
        <v>0</v>
      </c>
      <c r="J1300" s="1315">
        <f t="shared" si="125"/>
        <v>0</v>
      </c>
      <c r="L1300" s="1308">
        <f t="shared" si="126"/>
        <v>0</v>
      </c>
      <c r="M1300" s="1296" t="str">
        <f t="shared" si="127"/>
        <v>0</v>
      </c>
      <c r="N1300" s="1309">
        <f t="shared" si="128"/>
        <v>0</v>
      </c>
      <c r="O1300" s="1296" t="str">
        <f t="shared" si="129"/>
        <v>0</v>
      </c>
    </row>
    <row r="1301" spans="1:15" s="1296" customFormat="1" hidden="1">
      <c r="A1301" s="1310"/>
      <c r="B1301" s="1311"/>
      <c r="C1301" s="1312">
        <v>0</v>
      </c>
      <c r="D1301" s="1313">
        <v>0</v>
      </c>
      <c r="E1301" s="1314"/>
      <c r="F1301" s="1315"/>
      <c r="G1301" s="1316">
        <f>+SUMIF(asientos!$C$13:$C$1276,SYS_4_3_Digitos!A1301,asientos!$B$13:$B$1276)</f>
        <v>0</v>
      </c>
      <c r="H1301" s="1317">
        <f>+SUMIF(asientos!$I$13:$I$1276,SYS_4_3_Digitos!A1301,asientos!$J$13:$J$1276)</f>
        <v>0</v>
      </c>
      <c r="I1301" s="1314">
        <f t="shared" si="124"/>
        <v>0</v>
      </c>
      <c r="J1301" s="1315">
        <f t="shared" si="125"/>
        <v>0</v>
      </c>
      <c r="L1301" s="1308">
        <f t="shared" si="126"/>
        <v>0</v>
      </c>
      <c r="M1301" s="1296" t="str">
        <f t="shared" si="127"/>
        <v>0</v>
      </c>
      <c r="N1301" s="1309">
        <f t="shared" si="128"/>
        <v>0</v>
      </c>
      <c r="O1301" s="1296" t="str">
        <f t="shared" si="129"/>
        <v>0</v>
      </c>
    </row>
    <row r="1302" spans="1:15" s="1296" customFormat="1" hidden="1">
      <c r="A1302" s="1310"/>
      <c r="B1302" s="1311"/>
      <c r="C1302" s="1312">
        <v>0</v>
      </c>
      <c r="D1302" s="1313">
        <v>0</v>
      </c>
      <c r="E1302" s="1314"/>
      <c r="F1302" s="1315"/>
      <c r="G1302" s="1316">
        <f>+SUMIF(asientos!$C$13:$C$1276,SYS_4_3_Digitos!A1302,asientos!$B$13:$B$1276)</f>
        <v>0</v>
      </c>
      <c r="H1302" s="1317">
        <f>+SUMIF(asientos!$I$13:$I$1276,SYS_4_3_Digitos!A1302,asientos!$J$13:$J$1276)</f>
        <v>0</v>
      </c>
      <c r="I1302" s="1314">
        <f t="shared" si="124"/>
        <v>0</v>
      </c>
      <c r="J1302" s="1315">
        <f t="shared" si="125"/>
        <v>0</v>
      </c>
      <c r="L1302" s="1308">
        <f t="shared" si="126"/>
        <v>0</v>
      </c>
      <c r="M1302" s="1296" t="str">
        <f t="shared" si="127"/>
        <v>0</v>
      </c>
      <c r="N1302" s="1309">
        <f t="shared" si="128"/>
        <v>0</v>
      </c>
      <c r="O1302" s="1296" t="str">
        <f t="shared" si="129"/>
        <v>0</v>
      </c>
    </row>
    <row r="1303" spans="1:15" s="1296" customFormat="1" hidden="1">
      <c r="A1303" s="1310"/>
      <c r="B1303" s="1311"/>
      <c r="C1303" s="1312">
        <v>0</v>
      </c>
      <c r="D1303" s="1313">
        <v>0</v>
      </c>
      <c r="E1303" s="1314"/>
      <c r="F1303" s="1315"/>
      <c r="G1303" s="1316">
        <f>+SUMIF(asientos!$C$13:$C$1276,SYS_4_3_Digitos!A1303,asientos!$B$13:$B$1276)</f>
        <v>0</v>
      </c>
      <c r="H1303" s="1317">
        <f>+SUMIF(asientos!$I$13:$I$1276,SYS_4_3_Digitos!A1303,asientos!$J$13:$J$1276)</f>
        <v>0</v>
      </c>
      <c r="I1303" s="1314">
        <f t="shared" si="124"/>
        <v>0</v>
      </c>
      <c r="J1303" s="1315">
        <f t="shared" si="125"/>
        <v>0</v>
      </c>
      <c r="L1303" s="1308">
        <f t="shared" si="126"/>
        <v>0</v>
      </c>
      <c r="M1303" s="1296" t="str">
        <f t="shared" si="127"/>
        <v>0</v>
      </c>
      <c r="N1303" s="1309">
        <f t="shared" si="128"/>
        <v>0</v>
      </c>
      <c r="O1303" s="1296" t="str">
        <f t="shared" si="129"/>
        <v>0</v>
      </c>
    </row>
    <row r="1304" spans="1:15" s="1296" customFormat="1" hidden="1">
      <c r="A1304" s="1310"/>
      <c r="B1304" s="1311"/>
      <c r="C1304" s="1312">
        <v>0</v>
      </c>
      <c r="D1304" s="1313">
        <v>0</v>
      </c>
      <c r="E1304" s="1314"/>
      <c r="F1304" s="1315"/>
      <c r="G1304" s="1316">
        <f>+SUMIF(asientos!$C$13:$C$1276,SYS_4_3_Digitos!A1304,asientos!$B$13:$B$1276)</f>
        <v>0</v>
      </c>
      <c r="H1304" s="1317">
        <f>+SUMIF(asientos!$I$13:$I$1276,SYS_4_3_Digitos!A1304,asientos!$J$13:$J$1276)</f>
        <v>0</v>
      </c>
      <c r="I1304" s="1314">
        <f t="shared" si="124"/>
        <v>0</v>
      </c>
      <c r="J1304" s="1315">
        <f t="shared" si="125"/>
        <v>0</v>
      </c>
      <c r="L1304" s="1308">
        <f t="shared" si="126"/>
        <v>0</v>
      </c>
      <c r="M1304" s="1296" t="str">
        <f t="shared" si="127"/>
        <v>0</v>
      </c>
      <c r="N1304" s="1309">
        <f t="shared" si="128"/>
        <v>0</v>
      </c>
      <c r="O1304" s="1296" t="str">
        <f t="shared" si="129"/>
        <v>0</v>
      </c>
    </row>
    <row r="1305" spans="1:15" s="1296" customFormat="1" hidden="1">
      <c r="A1305" s="1310"/>
      <c r="B1305" s="1311"/>
      <c r="C1305" s="1312">
        <v>0</v>
      </c>
      <c r="D1305" s="1313">
        <v>0</v>
      </c>
      <c r="E1305" s="1314"/>
      <c r="F1305" s="1315"/>
      <c r="G1305" s="1316">
        <f>+SUMIF(asientos!$C$13:$C$1276,SYS_4_3_Digitos!A1305,asientos!$B$13:$B$1276)</f>
        <v>0</v>
      </c>
      <c r="H1305" s="1317">
        <f>+SUMIF(asientos!$I$13:$I$1276,SYS_4_3_Digitos!A1305,asientos!$J$13:$J$1276)</f>
        <v>0</v>
      </c>
      <c r="I1305" s="1314">
        <f t="shared" si="124"/>
        <v>0</v>
      </c>
      <c r="J1305" s="1315">
        <f t="shared" si="125"/>
        <v>0</v>
      </c>
      <c r="L1305" s="1308">
        <f t="shared" si="126"/>
        <v>0</v>
      </c>
      <c r="M1305" s="1296" t="str">
        <f t="shared" si="127"/>
        <v>0</v>
      </c>
      <c r="N1305" s="1309">
        <f t="shared" si="128"/>
        <v>0</v>
      </c>
      <c r="O1305" s="1296" t="str">
        <f t="shared" si="129"/>
        <v>0</v>
      </c>
    </row>
    <row r="1306" spans="1:15" s="1296" customFormat="1" hidden="1">
      <c r="A1306" s="1310"/>
      <c r="B1306" s="1311"/>
      <c r="C1306" s="1312">
        <v>0</v>
      </c>
      <c r="D1306" s="1313">
        <v>0</v>
      </c>
      <c r="E1306" s="1314"/>
      <c r="F1306" s="1315"/>
      <c r="G1306" s="1316">
        <f>+SUMIF(asientos!$C$13:$C$1276,SYS_4_3_Digitos!A1306,asientos!$B$13:$B$1276)</f>
        <v>0</v>
      </c>
      <c r="H1306" s="1317">
        <f>+SUMIF(asientos!$I$13:$I$1276,SYS_4_3_Digitos!A1306,asientos!$J$13:$J$1276)</f>
        <v>0</v>
      </c>
      <c r="I1306" s="1314">
        <f t="shared" si="124"/>
        <v>0</v>
      </c>
      <c r="J1306" s="1315">
        <f t="shared" si="125"/>
        <v>0</v>
      </c>
      <c r="L1306" s="1308">
        <f t="shared" si="126"/>
        <v>0</v>
      </c>
      <c r="M1306" s="1296" t="str">
        <f t="shared" si="127"/>
        <v>0</v>
      </c>
      <c r="N1306" s="1309">
        <f t="shared" si="128"/>
        <v>0</v>
      </c>
      <c r="O1306" s="1296" t="str">
        <f t="shared" si="129"/>
        <v>0</v>
      </c>
    </row>
    <row r="1307" spans="1:15" s="1296" customFormat="1" hidden="1">
      <c r="A1307" s="1310"/>
      <c r="B1307" s="1311"/>
      <c r="C1307" s="1312">
        <v>0</v>
      </c>
      <c r="D1307" s="1313">
        <v>0</v>
      </c>
      <c r="E1307" s="1314"/>
      <c r="F1307" s="1315"/>
      <c r="G1307" s="1316">
        <f>+SUMIF(asientos!$C$13:$C$1276,SYS_4_3_Digitos!A1307,asientos!$B$13:$B$1276)</f>
        <v>0</v>
      </c>
      <c r="H1307" s="1317">
        <f>+SUMIF(asientos!$I$13:$I$1276,SYS_4_3_Digitos!A1307,asientos!$J$13:$J$1276)</f>
        <v>0</v>
      </c>
      <c r="I1307" s="1314">
        <f t="shared" si="124"/>
        <v>0</v>
      </c>
      <c r="J1307" s="1315">
        <f t="shared" si="125"/>
        <v>0</v>
      </c>
      <c r="L1307" s="1308">
        <f t="shared" si="126"/>
        <v>0</v>
      </c>
      <c r="M1307" s="1296" t="str">
        <f t="shared" si="127"/>
        <v>0</v>
      </c>
      <c r="N1307" s="1309">
        <f t="shared" si="128"/>
        <v>0</v>
      </c>
      <c r="O1307" s="1296" t="str">
        <f t="shared" si="129"/>
        <v>0</v>
      </c>
    </row>
    <row r="1308" spans="1:15" s="1296" customFormat="1" hidden="1">
      <c r="A1308" s="1310"/>
      <c r="B1308" s="1311"/>
      <c r="C1308" s="1312">
        <v>0</v>
      </c>
      <c r="D1308" s="1313">
        <v>0</v>
      </c>
      <c r="E1308" s="1314"/>
      <c r="F1308" s="1315"/>
      <c r="G1308" s="1316">
        <f>+SUMIF(asientos!$C$13:$C$1276,SYS_4_3_Digitos!A1308,asientos!$B$13:$B$1276)</f>
        <v>0</v>
      </c>
      <c r="H1308" s="1317">
        <f>+SUMIF(asientos!$I$13:$I$1276,SYS_4_3_Digitos!A1308,asientos!$J$13:$J$1276)</f>
        <v>0</v>
      </c>
      <c r="I1308" s="1314">
        <f t="shared" si="124"/>
        <v>0</v>
      </c>
      <c r="J1308" s="1315">
        <f t="shared" si="125"/>
        <v>0</v>
      </c>
      <c r="L1308" s="1308">
        <f t="shared" si="126"/>
        <v>0</v>
      </c>
      <c r="M1308" s="1296" t="str">
        <f t="shared" si="127"/>
        <v>0</v>
      </c>
      <c r="N1308" s="1309">
        <f t="shared" si="128"/>
        <v>0</v>
      </c>
      <c r="O1308" s="1296" t="str">
        <f t="shared" si="129"/>
        <v>0</v>
      </c>
    </row>
    <row r="1309" spans="1:15" s="1296" customFormat="1" hidden="1">
      <c r="A1309" s="1310"/>
      <c r="B1309" s="1311"/>
      <c r="C1309" s="1312">
        <v>0</v>
      </c>
      <c r="D1309" s="1313">
        <v>0</v>
      </c>
      <c r="E1309" s="1314"/>
      <c r="F1309" s="1315"/>
      <c r="G1309" s="1316">
        <f>+SUMIF(asientos!$C$13:$C$1276,SYS_4_3_Digitos!A1309,asientos!$B$13:$B$1276)</f>
        <v>0</v>
      </c>
      <c r="H1309" s="1317">
        <f>+SUMIF(asientos!$I$13:$I$1276,SYS_4_3_Digitos!A1309,asientos!$J$13:$J$1276)</f>
        <v>0</v>
      </c>
      <c r="I1309" s="1314">
        <f t="shared" si="124"/>
        <v>0</v>
      </c>
      <c r="J1309" s="1315">
        <f t="shared" si="125"/>
        <v>0</v>
      </c>
      <c r="L1309" s="1308">
        <f t="shared" si="126"/>
        <v>0</v>
      </c>
      <c r="M1309" s="1296" t="str">
        <f t="shared" si="127"/>
        <v>0</v>
      </c>
      <c r="N1309" s="1309">
        <f t="shared" si="128"/>
        <v>0</v>
      </c>
      <c r="O1309" s="1296" t="str">
        <f t="shared" si="129"/>
        <v>0</v>
      </c>
    </row>
    <row r="1310" spans="1:15" s="1296" customFormat="1" hidden="1">
      <c r="A1310" s="1310"/>
      <c r="B1310" s="1311"/>
      <c r="C1310" s="1312">
        <v>0</v>
      </c>
      <c r="D1310" s="1313">
        <v>0</v>
      </c>
      <c r="E1310" s="1314"/>
      <c r="F1310" s="1315"/>
      <c r="G1310" s="1316">
        <f>+SUMIF(asientos!$C$13:$C$1276,SYS_4_3_Digitos!A1310,asientos!$B$13:$B$1276)</f>
        <v>0</v>
      </c>
      <c r="H1310" s="1317">
        <f>+SUMIF(asientos!$I$13:$I$1276,SYS_4_3_Digitos!A1310,asientos!$J$13:$J$1276)</f>
        <v>0</v>
      </c>
      <c r="I1310" s="1314">
        <f t="shared" si="124"/>
        <v>0</v>
      </c>
      <c r="J1310" s="1315">
        <f t="shared" si="125"/>
        <v>0</v>
      </c>
      <c r="L1310" s="1308">
        <f t="shared" si="126"/>
        <v>0</v>
      </c>
      <c r="M1310" s="1296" t="str">
        <f t="shared" si="127"/>
        <v>0</v>
      </c>
      <c r="N1310" s="1309">
        <f t="shared" si="128"/>
        <v>0</v>
      </c>
      <c r="O1310" s="1296" t="str">
        <f t="shared" si="129"/>
        <v>0</v>
      </c>
    </row>
    <row r="1311" spans="1:15" s="1296" customFormat="1" hidden="1">
      <c r="A1311" s="1310"/>
      <c r="B1311" s="1311"/>
      <c r="C1311" s="1312">
        <v>0</v>
      </c>
      <c r="D1311" s="1313">
        <v>0</v>
      </c>
      <c r="E1311" s="1314"/>
      <c r="F1311" s="1315"/>
      <c r="G1311" s="1316">
        <f>+SUMIF(asientos!$C$13:$C$1276,SYS_4_3_Digitos!A1311,asientos!$B$13:$B$1276)</f>
        <v>0</v>
      </c>
      <c r="H1311" s="1317">
        <f>+SUMIF(asientos!$I$13:$I$1276,SYS_4_3_Digitos!A1311,asientos!$J$13:$J$1276)</f>
        <v>0</v>
      </c>
      <c r="I1311" s="1314">
        <f t="shared" si="124"/>
        <v>0</v>
      </c>
      <c r="J1311" s="1315">
        <f t="shared" si="125"/>
        <v>0</v>
      </c>
      <c r="L1311" s="1308">
        <f t="shared" si="126"/>
        <v>0</v>
      </c>
      <c r="M1311" s="1296" t="str">
        <f t="shared" si="127"/>
        <v>0</v>
      </c>
      <c r="N1311" s="1309">
        <f t="shared" si="128"/>
        <v>0</v>
      </c>
      <c r="O1311" s="1296" t="str">
        <f t="shared" si="129"/>
        <v>0</v>
      </c>
    </row>
    <row r="1312" spans="1:15" s="1296" customFormat="1" hidden="1">
      <c r="A1312" s="1310"/>
      <c r="B1312" s="1311"/>
      <c r="C1312" s="1312">
        <v>0</v>
      </c>
      <c r="D1312" s="1313">
        <v>0</v>
      </c>
      <c r="E1312" s="1314"/>
      <c r="F1312" s="1315"/>
      <c r="G1312" s="1316">
        <f>+SUMIF(asientos!$C$13:$C$1276,SYS_4_3_Digitos!A1312,asientos!$B$13:$B$1276)</f>
        <v>0</v>
      </c>
      <c r="H1312" s="1317">
        <f>+SUMIF(asientos!$I$13:$I$1276,SYS_4_3_Digitos!A1312,asientos!$J$13:$J$1276)</f>
        <v>0</v>
      </c>
      <c r="I1312" s="1314">
        <f t="shared" si="124"/>
        <v>0</v>
      </c>
      <c r="J1312" s="1315">
        <f t="shared" si="125"/>
        <v>0</v>
      </c>
      <c r="L1312" s="1308">
        <f t="shared" si="126"/>
        <v>0</v>
      </c>
      <c r="M1312" s="1296" t="str">
        <f t="shared" si="127"/>
        <v>0</v>
      </c>
      <c r="N1312" s="1309">
        <f t="shared" si="128"/>
        <v>0</v>
      </c>
      <c r="O1312" s="1296" t="str">
        <f t="shared" si="129"/>
        <v>0</v>
      </c>
    </row>
    <row r="1313" spans="1:15" s="1296" customFormat="1" hidden="1">
      <c r="A1313" s="1310"/>
      <c r="B1313" s="1311"/>
      <c r="C1313" s="1312">
        <v>0</v>
      </c>
      <c r="D1313" s="1313">
        <v>0</v>
      </c>
      <c r="E1313" s="1314"/>
      <c r="F1313" s="1315"/>
      <c r="G1313" s="1316">
        <f>+SUMIF(asientos!$C$13:$C$1276,SYS_4_3_Digitos!A1313,asientos!$B$13:$B$1276)</f>
        <v>0</v>
      </c>
      <c r="H1313" s="1317">
        <f>+SUMIF(asientos!$I$13:$I$1276,SYS_4_3_Digitos!A1313,asientos!$J$13:$J$1276)</f>
        <v>0</v>
      </c>
      <c r="I1313" s="1314">
        <f t="shared" si="124"/>
        <v>0</v>
      </c>
      <c r="J1313" s="1315">
        <f t="shared" si="125"/>
        <v>0</v>
      </c>
      <c r="L1313" s="1308">
        <f t="shared" si="126"/>
        <v>0</v>
      </c>
      <c r="M1313" s="1296" t="str">
        <f t="shared" si="127"/>
        <v>0</v>
      </c>
      <c r="N1313" s="1309">
        <f t="shared" si="128"/>
        <v>0</v>
      </c>
      <c r="O1313" s="1296" t="str">
        <f t="shared" si="129"/>
        <v>0</v>
      </c>
    </row>
    <row r="1314" spans="1:15" s="1296" customFormat="1" hidden="1">
      <c r="A1314" s="1310"/>
      <c r="B1314" s="1311"/>
      <c r="C1314" s="1312">
        <v>0</v>
      </c>
      <c r="D1314" s="1313">
        <v>0</v>
      </c>
      <c r="E1314" s="1314"/>
      <c r="F1314" s="1315"/>
      <c r="G1314" s="1316">
        <f>+SUMIF(asientos!$C$13:$C$1276,SYS_4_3_Digitos!A1314,asientos!$B$13:$B$1276)</f>
        <v>0</v>
      </c>
      <c r="H1314" s="1317">
        <f>+SUMIF(asientos!$I$13:$I$1276,SYS_4_3_Digitos!A1314,asientos!$J$13:$J$1276)</f>
        <v>0</v>
      </c>
      <c r="I1314" s="1314">
        <f t="shared" si="124"/>
        <v>0</v>
      </c>
      <c r="J1314" s="1315">
        <f t="shared" si="125"/>
        <v>0</v>
      </c>
      <c r="L1314" s="1308">
        <f t="shared" si="126"/>
        <v>0</v>
      </c>
      <c r="M1314" s="1296" t="str">
        <f t="shared" si="127"/>
        <v>0</v>
      </c>
      <c r="N1314" s="1309">
        <f t="shared" si="128"/>
        <v>0</v>
      </c>
      <c r="O1314" s="1296" t="str">
        <f t="shared" si="129"/>
        <v>0</v>
      </c>
    </row>
    <row r="1315" spans="1:15" s="1296" customFormat="1" hidden="1">
      <c r="A1315" s="1310"/>
      <c r="B1315" s="1311"/>
      <c r="C1315" s="1312">
        <v>0</v>
      </c>
      <c r="D1315" s="1313">
        <v>0</v>
      </c>
      <c r="E1315" s="1314"/>
      <c r="F1315" s="1315"/>
      <c r="G1315" s="1316">
        <f>+SUMIF(asientos!$C$13:$C$1276,SYS_4_3_Digitos!A1315,asientos!$B$13:$B$1276)</f>
        <v>0</v>
      </c>
      <c r="H1315" s="1317">
        <f>+SUMIF(asientos!$I$13:$I$1276,SYS_4_3_Digitos!A1315,asientos!$J$13:$J$1276)</f>
        <v>0</v>
      </c>
      <c r="I1315" s="1314">
        <f t="shared" si="124"/>
        <v>0</v>
      </c>
      <c r="J1315" s="1315">
        <f t="shared" si="125"/>
        <v>0</v>
      </c>
      <c r="L1315" s="1308">
        <f t="shared" si="126"/>
        <v>0</v>
      </c>
      <c r="M1315" s="1296" t="str">
        <f t="shared" si="127"/>
        <v>0</v>
      </c>
      <c r="N1315" s="1309">
        <f t="shared" si="128"/>
        <v>0</v>
      </c>
      <c r="O1315" s="1296" t="str">
        <f t="shared" si="129"/>
        <v>0</v>
      </c>
    </row>
    <row r="1316" spans="1:15" s="1296" customFormat="1" hidden="1">
      <c r="A1316" s="1310"/>
      <c r="B1316" s="1311"/>
      <c r="C1316" s="1312">
        <v>0</v>
      </c>
      <c r="D1316" s="1313">
        <v>0</v>
      </c>
      <c r="E1316" s="1314"/>
      <c r="F1316" s="1315"/>
      <c r="G1316" s="1316">
        <f>+SUMIF(asientos!$C$13:$C$1276,SYS_4_3_Digitos!A1316,asientos!$B$13:$B$1276)</f>
        <v>0</v>
      </c>
      <c r="H1316" s="1317">
        <f>+SUMIF(asientos!$I$13:$I$1276,SYS_4_3_Digitos!A1316,asientos!$J$13:$J$1276)</f>
        <v>0</v>
      </c>
      <c r="I1316" s="1314">
        <f t="shared" si="124"/>
        <v>0</v>
      </c>
      <c r="J1316" s="1315">
        <f t="shared" si="125"/>
        <v>0</v>
      </c>
      <c r="L1316" s="1308">
        <f t="shared" si="126"/>
        <v>0</v>
      </c>
      <c r="M1316" s="1296" t="str">
        <f t="shared" si="127"/>
        <v>0</v>
      </c>
      <c r="N1316" s="1309">
        <f t="shared" si="128"/>
        <v>0</v>
      </c>
      <c r="O1316" s="1296" t="str">
        <f t="shared" si="129"/>
        <v>0</v>
      </c>
    </row>
    <row r="1317" spans="1:15" s="1296" customFormat="1" hidden="1">
      <c r="A1317" s="1310"/>
      <c r="B1317" s="1311"/>
      <c r="C1317" s="1312">
        <v>0</v>
      </c>
      <c r="D1317" s="1313">
        <v>0</v>
      </c>
      <c r="E1317" s="1314"/>
      <c r="F1317" s="1315"/>
      <c r="G1317" s="1316">
        <f>+SUMIF(asientos!$C$13:$C$1276,SYS_4_3_Digitos!A1317,asientos!$B$13:$B$1276)</f>
        <v>0</v>
      </c>
      <c r="H1317" s="1317">
        <f>+SUMIF(asientos!$I$13:$I$1276,SYS_4_3_Digitos!A1317,asientos!$J$13:$J$1276)</f>
        <v>0</v>
      </c>
      <c r="I1317" s="1314">
        <f t="shared" ref="I1317:I1380" si="130">IF((E1317+G1317-F1317-H1317)&gt;0,E1317+G1317-F1317-H1317,0)</f>
        <v>0</v>
      </c>
      <c r="J1317" s="1315">
        <f t="shared" ref="J1317:J1380" si="131">IF((F1317+H1317-E1317-G1317)&gt;0,F1317+H1317-E1317-G1317,0)</f>
        <v>0</v>
      </c>
      <c r="L1317" s="1308">
        <f t="shared" ref="L1317:L1380" si="132">+A1317*1000000</f>
        <v>0</v>
      </c>
      <c r="M1317" s="1296" t="str">
        <f t="shared" ref="M1317:M1380" si="133">+LEFT(L1317,4)</f>
        <v>0</v>
      </c>
      <c r="N1317" s="1309">
        <f t="shared" ref="N1317:N1380" si="134">+I1317-J1317</f>
        <v>0</v>
      </c>
      <c r="O1317" s="1296" t="str">
        <f t="shared" ref="O1317:O1380" si="135">+LEFT(M1317,2)</f>
        <v>0</v>
      </c>
    </row>
    <row r="1318" spans="1:15" s="1296" customFormat="1" hidden="1">
      <c r="A1318" s="1310"/>
      <c r="B1318" s="1311"/>
      <c r="C1318" s="1312">
        <v>0</v>
      </c>
      <c r="D1318" s="1313">
        <v>0</v>
      </c>
      <c r="E1318" s="1314"/>
      <c r="F1318" s="1315"/>
      <c r="G1318" s="1316">
        <f>+SUMIF(asientos!$C$13:$C$1276,SYS_4_3_Digitos!A1318,asientos!$B$13:$B$1276)</f>
        <v>0</v>
      </c>
      <c r="H1318" s="1317">
        <f>+SUMIF(asientos!$I$13:$I$1276,SYS_4_3_Digitos!A1318,asientos!$J$13:$J$1276)</f>
        <v>0</v>
      </c>
      <c r="I1318" s="1314">
        <f t="shared" si="130"/>
        <v>0</v>
      </c>
      <c r="J1318" s="1315">
        <f t="shared" si="131"/>
        <v>0</v>
      </c>
      <c r="L1318" s="1308">
        <f t="shared" si="132"/>
        <v>0</v>
      </c>
      <c r="M1318" s="1296" t="str">
        <f t="shared" si="133"/>
        <v>0</v>
      </c>
      <c r="N1318" s="1309">
        <f t="shared" si="134"/>
        <v>0</v>
      </c>
      <c r="O1318" s="1296" t="str">
        <f t="shared" si="135"/>
        <v>0</v>
      </c>
    </row>
    <row r="1319" spans="1:15" s="1296" customFormat="1" hidden="1">
      <c r="A1319" s="1310"/>
      <c r="B1319" s="1311"/>
      <c r="C1319" s="1312">
        <v>0</v>
      </c>
      <c r="D1319" s="1313">
        <v>0</v>
      </c>
      <c r="E1319" s="1314"/>
      <c r="F1319" s="1315"/>
      <c r="G1319" s="1316">
        <f>+SUMIF(asientos!$C$13:$C$1276,SYS_4_3_Digitos!A1319,asientos!$B$13:$B$1276)</f>
        <v>0</v>
      </c>
      <c r="H1319" s="1317">
        <f>+SUMIF(asientos!$I$13:$I$1276,SYS_4_3_Digitos!A1319,asientos!$J$13:$J$1276)</f>
        <v>0</v>
      </c>
      <c r="I1319" s="1314">
        <f t="shared" si="130"/>
        <v>0</v>
      </c>
      <c r="J1319" s="1315">
        <f t="shared" si="131"/>
        <v>0</v>
      </c>
      <c r="L1319" s="1308">
        <f t="shared" si="132"/>
        <v>0</v>
      </c>
      <c r="M1319" s="1296" t="str">
        <f t="shared" si="133"/>
        <v>0</v>
      </c>
      <c r="N1319" s="1309">
        <f t="shared" si="134"/>
        <v>0</v>
      </c>
      <c r="O1319" s="1296" t="str">
        <f t="shared" si="135"/>
        <v>0</v>
      </c>
    </row>
    <row r="1320" spans="1:15" s="1296" customFormat="1" hidden="1">
      <c r="A1320" s="1310"/>
      <c r="B1320" s="1311"/>
      <c r="C1320" s="1312">
        <v>0</v>
      </c>
      <c r="D1320" s="1313">
        <v>0</v>
      </c>
      <c r="E1320" s="1314"/>
      <c r="F1320" s="1315"/>
      <c r="G1320" s="1316">
        <f>+SUMIF(asientos!$C$13:$C$1276,SYS_4_3_Digitos!A1320,asientos!$B$13:$B$1276)</f>
        <v>0</v>
      </c>
      <c r="H1320" s="1317">
        <f>+SUMIF(asientos!$I$13:$I$1276,SYS_4_3_Digitos!A1320,asientos!$J$13:$J$1276)</f>
        <v>0</v>
      </c>
      <c r="I1320" s="1314">
        <f t="shared" si="130"/>
        <v>0</v>
      </c>
      <c r="J1320" s="1315">
        <f t="shared" si="131"/>
        <v>0</v>
      </c>
      <c r="L1320" s="1308">
        <f t="shared" si="132"/>
        <v>0</v>
      </c>
      <c r="M1320" s="1296" t="str">
        <f t="shared" si="133"/>
        <v>0</v>
      </c>
      <c r="N1320" s="1309">
        <f t="shared" si="134"/>
        <v>0</v>
      </c>
      <c r="O1320" s="1296" t="str">
        <f t="shared" si="135"/>
        <v>0</v>
      </c>
    </row>
    <row r="1321" spans="1:15" s="1296" customFormat="1" hidden="1">
      <c r="A1321" s="1310"/>
      <c r="B1321" s="1311"/>
      <c r="C1321" s="1312">
        <v>0</v>
      </c>
      <c r="D1321" s="1313">
        <v>0</v>
      </c>
      <c r="E1321" s="1314"/>
      <c r="F1321" s="1315"/>
      <c r="G1321" s="1316">
        <f>+SUMIF(asientos!$C$13:$C$1276,SYS_4_3_Digitos!A1321,asientos!$B$13:$B$1276)</f>
        <v>0</v>
      </c>
      <c r="H1321" s="1317">
        <f>+SUMIF(asientos!$I$13:$I$1276,SYS_4_3_Digitos!A1321,asientos!$J$13:$J$1276)</f>
        <v>0</v>
      </c>
      <c r="I1321" s="1314">
        <f t="shared" si="130"/>
        <v>0</v>
      </c>
      <c r="J1321" s="1315">
        <f t="shared" si="131"/>
        <v>0</v>
      </c>
      <c r="L1321" s="1308">
        <f t="shared" si="132"/>
        <v>0</v>
      </c>
      <c r="M1321" s="1296" t="str">
        <f t="shared" si="133"/>
        <v>0</v>
      </c>
      <c r="N1321" s="1309">
        <f t="shared" si="134"/>
        <v>0</v>
      </c>
      <c r="O1321" s="1296" t="str">
        <f t="shared" si="135"/>
        <v>0</v>
      </c>
    </row>
    <row r="1322" spans="1:15" s="1296" customFormat="1" hidden="1">
      <c r="A1322" s="1310"/>
      <c r="B1322" s="1311"/>
      <c r="C1322" s="1312">
        <v>0</v>
      </c>
      <c r="D1322" s="1313">
        <v>0</v>
      </c>
      <c r="E1322" s="1314"/>
      <c r="F1322" s="1315"/>
      <c r="G1322" s="1316">
        <f>+SUMIF(asientos!$C$13:$C$1276,SYS_4_3_Digitos!A1322,asientos!$B$13:$B$1276)</f>
        <v>0</v>
      </c>
      <c r="H1322" s="1317">
        <f>+SUMIF(asientos!$I$13:$I$1276,SYS_4_3_Digitos!A1322,asientos!$J$13:$J$1276)</f>
        <v>0</v>
      </c>
      <c r="I1322" s="1314">
        <f t="shared" si="130"/>
        <v>0</v>
      </c>
      <c r="J1322" s="1315">
        <f t="shared" si="131"/>
        <v>0</v>
      </c>
      <c r="L1322" s="1308">
        <f t="shared" si="132"/>
        <v>0</v>
      </c>
      <c r="M1322" s="1296" t="str">
        <f t="shared" si="133"/>
        <v>0</v>
      </c>
      <c r="N1322" s="1309">
        <f t="shared" si="134"/>
        <v>0</v>
      </c>
      <c r="O1322" s="1296" t="str">
        <f t="shared" si="135"/>
        <v>0</v>
      </c>
    </row>
    <row r="1323" spans="1:15" s="1296" customFormat="1" hidden="1">
      <c r="A1323" s="1310"/>
      <c r="B1323" s="1311"/>
      <c r="C1323" s="1312">
        <v>0</v>
      </c>
      <c r="D1323" s="1313">
        <v>0</v>
      </c>
      <c r="E1323" s="1314"/>
      <c r="F1323" s="1315"/>
      <c r="G1323" s="1316">
        <f>+SUMIF(asientos!$C$13:$C$1276,SYS_4_3_Digitos!A1323,asientos!$B$13:$B$1276)</f>
        <v>0</v>
      </c>
      <c r="H1323" s="1317">
        <f>+SUMIF(asientos!$I$13:$I$1276,SYS_4_3_Digitos!A1323,asientos!$J$13:$J$1276)</f>
        <v>0</v>
      </c>
      <c r="I1323" s="1314">
        <f t="shared" si="130"/>
        <v>0</v>
      </c>
      <c r="J1323" s="1315">
        <f t="shared" si="131"/>
        <v>0</v>
      </c>
      <c r="L1323" s="1308">
        <f t="shared" si="132"/>
        <v>0</v>
      </c>
      <c r="M1323" s="1296" t="str">
        <f t="shared" si="133"/>
        <v>0</v>
      </c>
      <c r="N1323" s="1309">
        <f t="shared" si="134"/>
        <v>0</v>
      </c>
      <c r="O1323" s="1296" t="str">
        <f t="shared" si="135"/>
        <v>0</v>
      </c>
    </row>
    <row r="1324" spans="1:15" s="1296" customFormat="1" hidden="1">
      <c r="A1324" s="1310"/>
      <c r="B1324" s="1311"/>
      <c r="C1324" s="1312">
        <v>0</v>
      </c>
      <c r="D1324" s="1313">
        <v>0</v>
      </c>
      <c r="E1324" s="1314"/>
      <c r="F1324" s="1315"/>
      <c r="G1324" s="1316">
        <f>+SUMIF(asientos!$C$13:$C$1276,SYS_4_3_Digitos!A1324,asientos!$B$13:$B$1276)</f>
        <v>0</v>
      </c>
      <c r="H1324" s="1317">
        <f>+SUMIF(asientos!$I$13:$I$1276,SYS_4_3_Digitos!A1324,asientos!$J$13:$J$1276)</f>
        <v>0</v>
      </c>
      <c r="I1324" s="1314">
        <f t="shared" si="130"/>
        <v>0</v>
      </c>
      <c r="J1324" s="1315">
        <f t="shared" si="131"/>
        <v>0</v>
      </c>
      <c r="L1324" s="1308">
        <f t="shared" si="132"/>
        <v>0</v>
      </c>
      <c r="M1324" s="1296" t="str">
        <f t="shared" si="133"/>
        <v>0</v>
      </c>
      <c r="N1324" s="1309">
        <f t="shared" si="134"/>
        <v>0</v>
      </c>
      <c r="O1324" s="1296" t="str">
        <f t="shared" si="135"/>
        <v>0</v>
      </c>
    </row>
    <row r="1325" spans="1:15" s="1296" customFormat="1" hidden="1">
      <c r="A1325" s="1310"/>
      <c r="B1325" s="1311"/>
      <c r="C1325" s="1312">
        <v>0</v>
      </c>
      <c r="D1325" s="1313">
        <v>0</v>
      </c>
      <c r="E1325" s="1314"/>
      <c r="F1325" s="1315"/>
      <c r="G1325" s="1316">
        <f>+SUMIF(asientos!$C$13:$C$1276,SYS_4_3_Digitos!A1325,asientos!$B$13:$B$1276)</f>
        <v>0</v>
      </c>
      <c r="H1325" s="1317">
        <f>+SUMIF(asientos!$I$13:$I$1276,SYS_4_3_Digitos!A1325,asientos!$J$13:$J$1276)</f>
        <v>0</v>
      </c>
      <c r="I1325" s="1314">
        <f t="shared" si="130"/>
        <v>0</v>
      </c>
      <c r="J1325" s="1315">
        <f t="shared" si="131"/>
        <v>0</v>
      </c>
      <c r="L1325" s="1308">
        <f t="shared" si="132"/>
        <v>0</v>
      </c>
      <c r="M1325" s="1296" t="str">
        <f t="shared" si="133"/>
        <v>0</v>
      </c>
      <c r="N1325" s="1309">
        <f t="shared" si="134"/>
        <v>0</v>
      </c>
      <c r="O1325" s="1296" t="str">
        <f t="shared" si="135"/>
        <v>0</v>
      </c>
    </row>
    <row r="1326" spans="1:15" s="1296" customFormat="1" hidden="1">
      <c r="A1326" s="1310"/>
      <c r="B1326" s="1311"/>
      <c r="C1326" s="1312">
        <v>0</v>
      </c>
      <c r="D1326" s="1313">
        <v>0</v>
      </c>
      <c r="E1326" s="1314"/>
      <c r="F1326" s="1315"/>
      <c r="G1326" s="1316">
        <f>+SUMIF(asientos!$C$13:$C$1276,SYS_4_3_Digitos!A1326,asientos!$B$13:$B$1276)</f>
        <v>0</v>
      </c>
      <c r="H1326" s="1317">
        <f>+SUMIF(asientos!$I$13:$I$1276,SYS_4_3_Digitos!A1326,asientos!$J$13:$J$1276)</f>
        <v>0</v>
      </c>
      <c r="I1326" s="1314">
        <f t="shared" si="130"/>
        <v>0</v>
      </c>
      <c r="J1326" s="1315">
        <f t="shared" si="131"/>
        <v>0</v>
      </c>
      <c r="L1326" s="1308">
        <f t="shared" si="132"/>
        <v>0</v>
      </c>
      <c r="M1326" s="1296" t="str">
        <f t="shared" si="133"/>
        <v>0</v>
      </c>
      <c r="N1326" s="1309">
        <f t="shared" si="134"/>
        <v>0</v>
      </c>
      <c r="O1326" s="1296" t="str">
        <f t="shared" si="135"/>
        <v>0</v>
      </c>
    </row>
    <row r="1327" spans="1:15" s="1296" customFormat="1" hidden="1">
      <c r="A1327" s="1310"/>
      <c r="B1327" s="1311"/>
      <c r="C1327" s="1312">
        <v>0</v>
      </c>
      <c r="D1327" s="1313">
        <v>0</v>
      </c>
      <c r="E1327" s="1314"/>
      <c r="F1327" s="1315"/>
      <c r="G1327" s="1316">
        <f>+SUMIF(asientos!$C$13:$C$1276,SYS_4_3_Digitos!A1327,asientos!$B$13:$B$1276)</f>
        <v>0</v>
      </c>
      <c r="H1327" s="1317">
        <f>+SUMIF(asientos!$I$13:$I$1276,SYS_4_3_Digitos!A1327,asientos!$J$13:$J$1276)</f>
        <v>0</v>
      </c>
      <c r="I1327" s="1314">
        <f t="shared" si="130"/>
        <v>0</v>
      </c>
      <c r="J1327" s="1315">
        <f t="shared" si="131"/>
        <v>0</v>
      </c>
      <c r="L1327" s="1308">
        <f t="shared" si="132"/>
        <v>0</v>
      </c>
      <c r="M1327" s="1296" t="str">
        <f t="shared" si="133"/>
        <v>0</v>
      </c>
      <c r="N1327" s="1309">
        <f t="shared" si="134"/>
        <v>0</v>
      </c>
      <c r="O1327" s="1296" t="str">
        <f t="shared" si="135"/>
        <v>0</v>
      </c>
    </row>
    <row r="1328" spans="1:15" s="1296" customFormat="1" hidden="1">
      <c r="A1328" s="1310"/>
      <c r="B1328" s="1311"/>
      <c r="C1328" s="1312">
        <v>0</v>
      </c>
      <c r="D1328" s="1313">
        <v>0</v>
      </c>
      <c r="E1328" s="1314"/>
      <c r="F1328" s="1315"/>
      <c r="G1328" s="1316">
        <f>+SUMIF(asientos!$C$13:$C$1276,SYS_4_3_Digitos!A1328,asientos!$B$13:$B$1276)</f>
        <v>0</v>
      </c>
      <c r="H1328" s="1317">
        <f>+SUMIF(asientos!$I$13:$I$1276,SYS_4_3_Digitos!A1328,asientos!$J$13:$J$1276)</f>
        <v>0</v>
      </c>
      <c r="I1328" s="1314">
        <f t="shared" si="130"/>
        <v>0</v>
      </c>
      <c r="J1328" s="1315">
        <f t="shared" si="131"/>
        <v>0</v>
      </c>
      <c r="L1328" s="1308">
        <f t="shared" si="132"/>
        <v>0</v>
      </c>
      <c r="M1328" s="1296" t="str">
        <f t="shared" si="133"/>
        <v>0</v>
      </c>
      <c r="N1328" s="1309">
        <f t="shared" si="134"/>
        <v>0</v>
      </c>
      <c r="O1328" s="1296" t="str">
        <f t="shared" si="135"/>
        <v>0</v>
      </c>
    </row>
    <row r="1329" spans="1:15" s="1296" customFormat="1" hidden="1">
      <c r="A1329" s="1310"/>
      <c r="B1329" s="1311"/>
      <c r="C1329" s="1312">
        <v>0</v>
      </c>
      <c r="D1329" s="1313">
        <v>0</v>
      </c>
      <c r="E1329" s="1314"/>
      <c r="F1329" s="1315"/>
      <c r="G1329" s="1316">
        <f>+SUMIF(asientos!$C$13:$C$1276,SYS_4_3_Digitos!A1329,asientos!$B$13:$B$1276)</f>
        <v>0</v>
      </c>
      <c r="H1329" s="1317">
        <f>+SUMIF(asientos!$I$13:$I$1276,SYS_4_3_Digitos!A1329,asientos!$J$13:$J$1276)</f>
        <v>0</v>
      </c>
      <c r="I1329" s="1314">
        <f t="shared" si="130"/>
        <v>0</v>
      </c>
      <c r="J1329" s="1315">
        <f t="shared" si="131"/>
        <v>0</v>
      </c>
      <c r="L1329" s="1308">
        <f t="shared" si="132"/>
        <v>0</v>
      </c>
      <c r="M1329" s="1296" t="str">
        <f t="shared" si="133"/>
        <v>0</v>
      </c>
      <c r="N1329" s="1309">
        <f t="shared" si="134"/>
        <v>0</v>
      </c>
      <c r="O1329" s="1296" t="str">
        <f t="shared" si="135"/>
        <v>0</v>
      </c>
    </row>
    <row r="1330" spans="1:15" s="1296" customFormat="1" hidden="1">
      <c r="A1330" s="1310"/>
      <c r="B1330" s="1311"/>
      <c r="C1330" s="1312">
        <v>0</v>
      </c>
      <c r="D1330" s="1313">
        <v>0</v>
      </c>
      <c r="E1330" s="1314"/>
      <c r="F1330" s="1315"/>
      <c r="G1330" s="1316">
        <f>+SUMIF(asientos!$C$13:$C$1276,SYS_4_3_Digitos!A1330,asientos!$B$13:$B$1276)</f>
        <v>0</v>
      </c>
      <c r="H1330" s="1317">
        <f>+SUMIF(asientos!$I$13:$I$1276,SYS_4_3_Digitos!A1330,asientos!$J$13:$J$1276)</f>
        <v>0</v>
      </c>
      <c r="I1330" s="1314">
        <f t="shared" si="130"/>
        <v>0</v>
      </c>
      <c r="J1330" s="1315">
        <f t="shared" si="131"/>
        <v>0</v>
      </c>
      <c r="L1330" s="1308">
        <f t="shared" si="132"/>
        <v>0</v>
      </c>
      <c r="M1330" s="1296" t="str">
        <f t="shared" si="133"/>
        <v>0</v>
      </c>
      <c r="N1330" s="1309">
        <f t="shared" si="134"/>
        <v>0</v>
      </c>
      <c r="O1330" s="1296" t="str">
        <f t="shared" si="135"/>
        <v>0</v>
      </c>
    </row>
    <row r="1331" spans="1:15" s="1296" customFormat="1" hidden="1">
      <c r="A1331" s="1310"/>
      <c r="B1331" s="1311"/>
      <c r="C1331" s="1312">
        <v>0</v>
      </c>
      <c r="D1331" s="1313">
        <v>0</v>
      </c>
      <c r="E1331" s="1314"/>
      <c r="F1331" s="1315"/>
      <c r="G1331" s="1316">
        <f>+SUMIF(asientos!$C$13:$C$1276,SYS_4_3_Digitos!A1331,asientos!$B$13:$B$1276)</f>
        <v>0</v>
      </c>
      <c r="H1331" s="1317">
        <f>+SUMIF(asientos!$I$13:$I$1276,SYS_4_3_Digitos!A1331,asientos!$J$13:$J$1276)</f>
        <v>0</v>
      </c>
      <c r="I1331" s="1314">
        <f t="shared" si="130"/>
        <v>0</v>
      </c>
      <c r="J1331" s="1315">
        <f t="shared" si="131"/>
        <v>0</v>
      </c>
      <c r="L1331" s="1308">
        <f t="shared" si="132"/>
        <v>0</v>
      </c>
      <c r="M1331" s="1296" t="str">
        <f t="shared" si="133"/>
        <v>0</v>
      </c>
      <c r="N1331" s="1309">
        <f t="shared" si="134"/>
        <v>0</v>
      </c>
      <c r="O1331" s="1296" t="str">
        <f t="shared" si="135"/>
        <v>0</v>
      </c>
    </row>
    <row r="1332" spans="1:15" s="1296" customFormat="1" hidden="1">
      <c r="A1332" s="1310"/>
      <c r="B1332" s="1311"/>
      <c r="C1332" s="1312">
        <v>0</v>
      </c>
      <c r="D1332" s="1313">
        <v>0</v>
      </c>
      <c r="E1332" s="1314"/>
      <c r="F1332" s="1315"/>
      <c r="G1332" s="1316">
        <f>+SUMIF(asientos!$C$13:$C$1276,SYS_4_3_Digitos!A1332,asientos!$B$13:$B$1276)</f>
        <v>0</v>
      </c>
      <c r="H1332" s="1317">
        <f>+SUMIF(asientos!$I$13:$I$1276,SYS_4_3_Digitos!A1332,asientos!$J$13:$J$1276)</f>
        <v>0</v>
      </c>
      <c r="I1332" s="1314">
        <f t="shared" si="130"/>
        <v>0</v>
      </c>
      <c r="J1332" s="1315">
        <f t="shared" si="131"/>
        <v>0</v>
      </c>
      <c r="L1332" s="1308">
        <f t="shared" si="132"/>
        <v>0</v>
      </c>
      <c r="M1332" s="1296" t="str">
        <f t="shared" si="133"/>
        <v>0</v>
      </c>
      <c r="N1332" s="1309">
        <f t="shared" si="134"/>
        <v>0</v>
      </c>
      <c r="O1332" s="1296" t="str">
        <f t="shared" si="135"/>
        <v>0</v>
      </c>
    </row>
    <row r="1333" spans="1:15" s="1296" customFormat="1" hidden="1">
      <c r="A1333" s="1310"/>
      <c r="B1333" s="1311"/>
      <c r="C1333" s="1312">
        <v>0</v>
      </c>
      <c r="D1333" s="1313">
        <v>0</v>
      </c>
      <c r="E1333" s="1314"/>
      <c r="F1333" s="1315"/>
      <c r="G1333" s="1316">
        <f>+SUMIF(asientos!$C$13:$C$1276,SYS_4_3_Digitos!A1333,asientos!$B$13:$B$1276)</f>
        <v>0</v>
      </c>
      <c r="H1333" s="1317">
        <f>+SUMIF(asientos!$I$13:$I$1276,SYS_4_3_Digitos!A1333,asientos!$J$13:$J$1276)</f>
        <v>0</v>
      </c>
      <c r="I1333" s="1314">
        <f t="shared" si="130"/>
        <v>0</v>
      </c>
      <c r="J1333" s="1315">
        <f t="shared" si="131"/>
        <v>0</v>
      </c>
      <c r="L1333" s="1308">
        <f t="shared" si="132"/>
        <v>0</v>
      </c>
      <c r="M1333" s="1296" t="str">
        <f t="shared" si="133"/>
        <v>0</v>
      </c>
      <c r="N1333" s="1309">
        <f t="shared" si="134"/>
        <v>0</v>
      </c>
      <c r="O1333" s="1296" t="str">
        <f t="shared" si="135"/>
        <v>0</v>
      </c>
    </row>
    <row r="1334" spans="1:15" s="1296" customFormat="1" hidden="1">
      <c r="A1334" s="1310"/>
      <c r="B1334" s="1311"/>
      <c r="C1334" s="1312">
        <v>0</v>
      </c>
      <c r="D1334" s="1313">
        <v>0</v>
      </c>
      <c r="E1334" s="1314"/>
      <c r="F1334" s="1315"/>
      <c r="G1334" s="1316">
        <f>+SUMIF(asientos!$C$13:$C$1276,SYS_4_3_Digitos!A1334,asientos!$B$13:$B$1276)</f>
        <v>0</v>
      </c>
      <c r="H1334" s="1317">
        <f>+SUMIF(asientos!$I$13:$I$1276,SYS_4_3_Digitos!A1334,asientos!$J$13:$J$1276)</f>
        <v>0</v>
      </c>
      <c r="I1334" s="1314">
        <f t="shared" si="130"/>
        <v>0</v>
      </c>
      <c r="J1334" s="1315">
        <f t="shared" si="131"/>
        <v>0</v>
      </c>
      <c r="L1334" s="1308">
        <f t="shared" si="132"/>
        <v>0</v>
      </c>
      <c r="M1334" s="1296" t="str">
        <f t="shared" si="133"/>
        <v>0</v>
      </c>
      <c r="N1334" s="1309">
        <f t="shared" si="134"/>
        <v>0</v>
      </c>
      <c r="O1334" s="1296" t="str">
        <f t="shared" si="135"/>
        <v>0</v>
      </c>
    </row>
    <row r="1335" spans="1:15" s="1296" customFormat="1" hidden="1">
      <c r="A1335" s="1310"/>
      <c r="B1335" s="1311"/>
      <c r="C1335" s="1312">
        <v>0</v>
      </c>
      <c r="D1335" s="1313">
        <v>0</v>
      </c>
      <c r="E1335" s="1314"/>
      <c r="F1335" s="1315"/>
      <c r="G1335" s="1316">
        <f>+SUMIF(asientos!$C$13:$C$1276,SYS_4_3_Digitos!A1335,asientos!$B$13:$B$1276)</f>
        <v>0</v>
      </c>
      <c r="H1335" s="1317">
        <f>+SUMIF(asientos!$I$13:$I$1276,SYS_4_3_Digitos!A1335,asientos!$J$13:$J$1276)</f>
        <v>0</v>
      </c>
      <c r="I1335" s="1314">
        <f t="shared" si="130"/>
        <v>0</v>
      </c>
      <c r="J1335" s="1315">
        <f t="shared" si="131"/>
        <v>0</v>
      </c>
      <c r="L1335" s="1308">
        <f t="shared" si="132"/>
        <v>0</v>
      </c>
      <c r="M1335" s="1296" t="str">
        <f t="shared" si="133"/>
        <v>0</v>
      </c>
      <c r="N1335" s="1309">
        <f t="shared" si="134"/>
        <v>0</v>
      </c>
      <c r="O1335" s="1296" t="str">
        <f t="shared" si="135"/>
        <v>0</v>
      </c>
    </row>
    <row r="1336" spans="1:15" s="1296" customFormat="1" hidden="1">
      <c r="A1336" s="1310"/>
      <c r="B1336" s="1311"/>
      <c r="C1336" s="1312">
        <v>0</v>
      </c>
      <c r="D1336" s="1313">
        <v>0</v>
      </c>
      <c r="E1336" s="1314"/>
      <c r="F1336" s="1315"/>
      <c r="G1336" s="1316">
        <f>+SUMIF(asientos!$C$13:$C$1276,SYS_4_3_Digitos!A1336,asientos!$B$13:$B$1276)</f>
        <v>0</v>
      </c>
      <c r="H1336" s="1317">
        <f>+SUMIF(asientos!$I$13:$I$1276,SYS_4_3_Digitos!A1336,asientos!$J$13:$J$1276)</f>
        <v>0</v>
      </c>
      <c r="I1336" s="1314">
        <f t="shared" si="130"/>
        <v>0</v>
      </c>
      <c r="J1336" s="1315">
        <f t="shared" si="131"/>
        <v>0</v>
      </c>
      <c r="L1336" s="1308">
        <f t="shared" si="132"/>
        <v>0</v>
      </c>
      <c r="M1336" s="1296" t="str">
        <f t="shared" si="133"/>
        <v>0</v>
      </c>
      <c r="N1336" s="1309">
        <f t="shared" si="134"/>
        <v>0</v>
      </c>
      <c r="O1336" s="1296" t="str">
        <f t="shared" si="135"/>
        <v>0</v>
      </c>
    </row>
    <row r="1337" spans="1:15" s="1296" customFormat="1" hidden="1">
      <c r="A1337" s="1310"/>
      <c r="B1337" s="1311"/>
      <c r="C1337" s="1312">
        <v>0</v>
      </c>
      <c r="D1337" s="1313">
        <v>0</v>
      </c>
      <c r="E1337" s="1314"/>
      <c r="F1337" s="1315"/>
      <c r="G1337" s="1316">
        <f>+SUMIF(asientos!$C$13:$C$1276,SYS_4_3_Digitos!A1337,asientos!$B$13:$B$1276)</f>
        <v>0</v>
      </c>
      <c r="H1337" s="1317">
        <f>+SUMIF(asientos!$I$13:$I$1276,SYS_4_3_Digitos!A1337,asientos!$J$13:$J$1276)</f>
        <v>0</v>
      </c>
      <c r="I1337" s="1314">
        <f t="shared" si="130"/>
        <v>0</v>
      </c>
      <c r="J1337" s="1315">
        <f t="shared" si="131"/>
        <v>0</v>
      </c>
      <c r="L1337" s="1308">
        <f t="shared" si="132"/>
        <v>0</v>
      </c>
      <c r="M1337" s="1296" t="str">
        <f t="shared" si="133"/>
        <v>0</v>
      </c>
      <c r="N1337" s="1309">
        <f t="shared" si="134"/>
        <v>0</v>
      </c>
      <c r="O1337" s="1296" t="str">
        <f t="shared" si="135"/>
        <v>0</v>
      </c>
    </row>
    <row r="1338" spans="1:15" s="1296" customFormat="1" hidden="1">
      <c r="A1338" s="1310"/>
      <c r="B1338" s="1311"/>
      <c r="C1338" s="1312">
        <v>0</v>
      </c>
      <c r="D1338" s="1313">
        <v>0</v>
      </c>
      <c r="E1338" s="1314"/>
      <c r="F1338" s="1315"/>
      <c r="G1338" s="1316">
        <f>+SUMIF(asientos!$C$13:$C$1276,SYS_4_3_Digitos!A1338,asientos!$B$13:$B$1276)</f>
        <v>0</v>
      </c>
      <c r="H1338" s="1317">
        <f>+SUMIF(asientos!$I$13:$I$1276,SYS_4_3_Digitos!A1338,asientos!$J$13:$J$1276)</f>
        <v>0</v>
      </c>
      <c r="I1338" s="1314">
        <f t="shared" si="130"/>
        <v>0</v>
      </c>
      <c r="J1338" s="1315">
        <f t="shared" si="131"/>
        <v>0</v>
      </c>
      <c r="L1338" s="1308">
        <f t="shared" si="132"/>
        <v>0</v>
      </c>
      <c r="M1338" s="1296" t="str">
        <f t="shared" si="133"/>
        <v>0</v>
      </c>
      <c r="N1338" s="1309">
        <f t="shared" si="134"/>
        <v>0</v>
      </c>
      <c r="O1338" s="1296" t="str">
        <f t="shared" si="135"/>
        <v>0</v>
      </c>
    </row>
    <row r="1339" spans="1:15" s="1296" customFormat="1" hidden="1">
      <c r="A1339" s="1310"/>
      <c r="B1339" s="1311"/>
      <c r="C1339" s="1312">
        <v>0</v>
      </c>
      <c r="D1339" s="1313">
        <v>0</v>
      </c>
      <c r="E1339" s="1314"/>
      <c r="F1339" s="1315"/>
      <c r="G1339" s="1316">
        <f>+SUMIF(asientos!$C$13:$C$1276,SYS_4_3_Digitos!A1339,asientos!$B$13:$B$1276)</f>
        <v>0</v>
      </c>
      <c r="H1339" s="1317">
        <f>+SUMIF(asientos!$I$13:$I$1276,SYS_4_3_Digitos!A1339,asientos!$J$13:$J$1276)</f>
        <v>0</v>
      </c>
      <c r="I1339" s="1314">
        <f t="shared" si="130"/>
        <v>0</v>
      </c>
      <c r="J1339" s="1315">
        <f t="shared" si="131"/>
        <v>0</v>
      </c>
      <c r="L1339" s="1308">
        <f t="shared" si="132"/>
        <v>0</v>
      </c>
      <c r="M1339" s="1296" t="str">
        <f t="shared" si="133"/>
        <v>0</v>
      </c>
      <c r="N1339" s="1309">
        <f t="shared" si="134"/>
        <v>0</v>
      </c>
      <c r="O1339" s="1296" t="str">
        <f t="shared" si="135"/>
        <v>0</v>
      </c>
    </row>
    <row r="1340" spans="1:15" s="1296" customFormat="1" hidden="1">
      <c r="A1340" s="1310"/>
      <c r="B1340" s="1311"/>
      <c r="C1340" s="1312">
        <v>0</v>
      </c>
      <c r="D1340" s="1313">
        <v>0</v>
      </c>
      <c r="E1340" s="1314"/>
      <c r="F1340" s="1315"/>
      <c r="G1340" s="1316">
        <f>+SUMIF(asientos!$C$13:$C$1276,SYS_4_3_Digitos!A1340,asientos!$B$13:$B$1276)</f>
        <v>0</v>
      </c>
      <c r="H1340" s="1317">
        <f>+SUMIF(asientos!$I$13:$I$1276,SYS_4_3_Digitos!A1340,asientos!$J$13:$J$1276)</f>
        <v>0</v>
      </c>
      <c r="I1340" s="1314">
        <f t="shared" si="130"/>
        <v>0</v>
      </c>
      <c r="J1340" s="1315">
        <f t="shared" si="131"/>
        <v>0</v>
      </c>
      <c r="L1340" s="1308">
        <f t="shared" si="132"/>
        <v>0</v>
      </c>
      <c r="M1340" s="1296" t="str">
        <f t="shared" si="133"/>
        <v>0</v>
      </c>
      <c r="N1340" s="1309">
        <f t="shared" si="134"/>
        <v>0</v>
      </c>
      <c r="O1340" s="1296" t="str">
        <f t="shared" si="135"/>
        <v>0</v>
      </c>
    </row>
    <row r="1341" spans="1:15" s="1296" customFormat="1" hidden="1">
      <c r="A1341" s="1310"/>
      <c r="B1341" s="1311"/>
      <c r="C1341" s="1312">
        <v>0</v>
      </c>
      <c r="D1341" s="1313">
        <v>0</v>
      </c>
      <c r="E1341" s="1314"/>
      <c r="F1341" s="1315"/>
      <c r="G1341" s="1316">
        <f>+SUMIF(asientos!$C$13:$C$1276,SYS_4_3_Digitos!A1341,asientos!$B$13:$B$1276)</f>
        <v>0</v>
      </c>
      <c r="H1341" s="1317">
        <f>+SUMIF(asientos!$I$13:$I$1276,SYS_4_3_Digitos!A1341,asientos!$J$13:$J$1276)</f>
        <v>0</v>
      </c>
      <c r="I1341" s="1314">
        <f t="shared" si="130"/>
        <v>0</v>
      </c>
      <c r="J1341" s="1315">
        <f t="shared" si="131"/>
        <v>0</v>
      </c>
      <c r="L1341" s="1308">
        <f t="shared" si="132"/>
        <v>0</v>
      </c>
      <c r="M1341" s="1296" t="str">
        <f t="shared" si="133"/>
        <v>0</v>
      </c>
      <c r="N1341" s="1309">
        <f t="shared" si="134"/>
        <v>0</v>
      </c>
      <c r="O1341" s="1296" t="str">
        <f t="shared" si="135"/>
        <v>0</v>
      </c>
    </row>
    <row r="1342" spans="1:15" s="1296" customFormat="1" hidden="1">
      <c r="A1342" s="1310"/>
      <c r="B1342" s="1311"/>
      <c r="C1342" s="1312">
        <v>0</v>
      </c>
      <c r="D1342" s="1313">
        <v>0</v>
      </c>
      <c r="E1342" s="1314"/>
      <c r="F1342" s="1315"/>
      <c r="G1342" s="1316">
        <f>+SUMIF(asientos!$C$13:$C$1276,SYS_4_3_Digitos!A1342,asientos!$B$13:$B$1276)</f>
        <v>0</v>
      </c>
      <c r="H1342" s="1317">
        <f>+SUMIF(asientos!$I$13:$I$1276,SYS_4_3_Digitos!A1342,asientos!$J$13:$J$1276)</f>
        <v>0</v>
      </c>
      <c r="I1342" s="1314">
        <f t="shared" si="130"/>
        <v>0</v>
      </c>
      <c r="J1342" s="1315">
        <f t="shared" si="131"/>
        <v>0</v>
      </c>
      <c r="L1342" s="1308">
        <f t="shared" si="132"/>
        <v>0</v>
      </c>
      <c r="M1342" s="1296" t="str">
        <f t="shared" si="133"/>
        <v>0</v>
      </c>
      <c r="N1342" s="1309">
        <f t="shared" si="134"/>
        <v>0</v>
      </c>
      <c r="O1342" s="1296" t="str">
        <f t="shared" si="135"/>
        <v>0</v>
      </c>
    </row>
    <row r="1343" spans="1:15" s="1296" customFormat="1" hidden="1">
      <c r="A1343" s="1310"/>
      <c r="B1343" s="1311"/>
      <c r="C1343" s="1312">
        <v>0</v>
      </c>
      <c r="D1343" s="1313">
        <v>0</v>
      </c>
      <c r="E1343" s="1314"/>
      <c r="F1343" s="1315"/>
      <c r="G1343" s="1316">
        <f>+SUMIF(asientos!$C$13:$C$1276,SYS_4_3_Digitos!A1343,asientos!$B$13:$B$1276)</f>
        <v>0</v>
      </c>
      <c r="H1343" s="1317">
        <f>+SUMIF(asientos!$I$13:$I$1276,SYS_4_3_Digitos!A1343,asientos!$J$13:$J$1276)</f>
        <v>0</v>
      </c>
      <c r="I1343" s="1314">
        <f t="shared" si="130"/>
        <v>0</v>
      </c>
      <c r="J1343" s="1315">
        <f t="shared" si="131"/>
        <v>0</v>
      </c>
      <c r="L1343" s="1308">
        <f t="shared" si="132"/>
        <v>0</v>
      </c>
      <c r="M1343" s="1296" t="str">
        <f t="shared" si="133"/>
        <v>0</v>
      </c>
      <c r="N1343" s="1309">
        <f t="shared" si="134"/>
        <v>0</v>
      </c>
      <c r="O1343" s="1296" t="str">
        <f t="shared" si="135"/>
        <v>0</v>
      </c>
    </row>
    <row r="1344" spans="1:15" s="1296" customFormat="1" hidden="1">
      <c r="A1344" s="1310"/>
      <c r="B1344" s="1311"/>
      <c r="C1344" s="1312">
        <v>0</v>
      </c>
      <c r="D1344" s="1313">
        <v>0</v>
      </c>
      <c r="E1344" s="1314"/>
      <c r="F1344" s="1315"/>
      <c r="G1344" s="1316">
        <f>+SUMIF(asientos!$C$13:$C$1276,SYS_4_3_Digitos!A1344,asientos!$B$13:$B$1276)</f>
        <v>0</v>
      </c>
      <c r="H1344" s="1317">
        <f>+SUMIF(asientos!$I$13:$I$1276,SYS_4_3_Digitos!A1344,asientos!$J$13:$J$1276)</f>
        <v>0</v>
      </c>
      <c r="I1344" s="1314">
        <f t="shared" si="130"/>
        <v>0</v>
      </c>
      <c r="J1344" s="1315">
        <f t="shared" si="131"/>
        <v>0</v>
      </c>
      <c r="L1344" s="1308">
        <f t="shared" si="132"/>
        <v>0</v>
      </c>
      <c r="M1344" s="1296" t="str">
        <f t="shared" si="133"/>
        <v>0</v>
      </c>
      <c r="N1344" s="1309">
        <f t="shared" si="134"/>
        <v>0</v>
      </c>
      <c r="O1344" s="1296" t="str">
        <f t="shared" si="135"/>
        <v>0</v>
      </c>
    </row>
    <row r="1345" spans="1:15" s="1296" customFormat="1" hidden="1">
      <c r="A1345" s="1310"/>
      <c r="B1345" s="1311"/>
      <c r="C1345" s="1312">
        <v>0</v>
      </c>
      <c r="D1345" s="1313">
        <v>0</v>
      </c>
      <c r="E1345" s="1314"/>
      <c r="F1345" s="1315"/>
      <c r="G1345" s="1316">
        <f>+SUMIF(asientos!$C$13:$C$1276,SYS_4_3_Digitos!A1345,asientos!$B$13:$B$1276)</f>
        <v>0</v>
      </c>
      <c r="H1345" s="1317">
        <f>+SUMIF(asientos!$I$13:$I$1276,SYS_4_3_Digitos!A1345,asientos!$J$13:$J$1276)</f>
        <v>0</v>
      </c>
      <c r="I1345" s="1314">
        <f t="shared" si="130"/>
        <v>0</v>
      </c>
      <c r="J1345" s="1315">
        <f t="shared" si="131"/>
        <v>0</v>
      </c>
      <c r="L1345" s="1308">
        <f t="shared" si="132"/>
        <v>0</v>
      </c>
      <c r="M1345" s="1296" t="str">
        <f t="shared" si="133"/>
        <v>0</v>
      </c>
      <c r="N1345" s="1309">
        <f t="shared" si="134"/>
        <v>0</v>
      </c>
      <c r="O1345" s="1296" t="str">
        <f t="shared" si="135"/>
        <v>0</v>
      </c>
    </row>
    <row r="1346" spans="1:15" s="1296" customFormat="1" hidden="1">
      <c r="A1346" s="1310"/>
      <c r="B1346" s="1311"/>
      <c r="C1346" s="1312">
        <v>0</v>
      </c>
      <c r="D1346" s="1313">
        <v>0</v>
      </c>
      <c r="E1346" s="1314"/>
      <c r="F1346" s="1315"/>
      <c r="G1346" s="1316">
        <f>+SUMIF(asientos!$C$13:$C$1276,SYS_4_3_Digitos!A1346,asientos!$B$13:$B$1276)</f>
        <v>0</v>
      </c>
      <c r="H1346" s="1317">
        <f>+SUMIF(asientos!$I$13:$I$1276,SYS_4_3_Digitos!A1346,asientos!$J$13:$J$1276)</f>
        <v>0</v>
      </c>
      <c r="I1346" s="1314">
        <f t="shared" si="130"/>
        <v>0</v>
      </c>
      <c r="J1346" s="1315">
        <f t="shared" si="131"/>
        <v>0</v>
      </c>
      <c r="L1346" s="1308">
        <f t="shared" si="132"/>
        <v>0</v>
      </c>
      <c r="M1346" s="1296" t="str">
        <f t="shared" si="133"/>
        <v>0</v>
      </c>
      <c r="N1346" s="1309">
        <f t="shared" si="134"/>
        <v>0</v>
      </c>
      <c r="O1346" s="1296" t="str">
        <f t="shared" si="135"/>
        <v>0</v>
      </c>
    </row>
    <row r="1347" spans="1:15" s="1296" customFormat="1" hidden="1">
      <c r="A1347" s="1310"/>
      <c r="B1347" s="1311"/>
      <c r="C1347" s="1312">
        <v>0</v>
      </c>
      <c r="D1347" s="1313">
        <v>0</v>
      </c>
      <c r="E1347" s="1314"/>
      <c r="F1347" s="1315"/>
      <c r="G1347" s="1316">
        <f>+SUMIF(asientos!$C$13:$C$1276,SYS_4_3_Digitos!A1347,asientos!$B$13:$B$1276)</f>
        <v>0</v>
      </c>
      <c r="H1347" s="1317">
        <f>+SUMIF(asientos!$I$13:$I$1276,SYS_4_3_Digitos!A1347,asientos!$J$13:$J$1276)</f>
        <v>0</v>
      </c>
      <c r="I1347" s="1314">
        <f t="shared" si="130"/>
        <v>0</v>
      </c>
      <c r="J1347" s="1315">
        <f t="shared" si="131"/>
        <v>0</v>
      </c>
      <c r="L1347" s="1308">
        <f t="shared" si="132"/>
        <v>0</v>
      </c>
      <c r="M1347" s="1296" t="str">
        <f t="shared" si="133"/>
        <v>0</v>
      </c>
      <c r="N1347" s="1309">
        <f t="shared" si="134"/>
        <v>0</v>
      </c>
      <c r="O1347" s="1296" t="str">
        <f t="shared" si="135"/>
        <v>0</v>
      </c>
    </row>
    <row r="1348" spans="1:15" s="1296" customFormat="1" hidden="1">
      <c r="A1348" s="1310"/>
      <c r="B1348" s="1311"/>
      <c r="C1348" s="1312">
        <v>0</v>
      </c>
      <c r="D1348" s="1313">
        <v>0</v>
      </c>
      <c r="E1348" s="1314"/>
      <c r="F1348" s="1315"/>
      <c r="G1348" s="1316">
        <f>+SUMIF(asientos!$C$13:$C$1276,SYS_4_3_Digitos!A1348,asientos!$B$13:$B$1276)</f>
        <v>0</v>
      </c>
      <c r="H1348" s="1317">
        <f>+SUMIF(asientos!$I$13:$I$1276,SYS_4_3_Digitos!A1348,asientos!$J$13:$J$1276)</f>
        <v>0</v>
      </c>
      <c r="I1348" s="1314">
        <f t="shared" si="130"/>
        <v>0</v>
      </c>
      <c r="J1348" s="1315">
        <f t="shared" si="131"/>
        <v>0</v>
      </c>
      <c r="L1348" s="1308">
        <f t="shared" si="132"/>
        <v>0</v>
      </c>
      <c r="M1348" s="1296" t="str">
        <f t="shared" si="133"/>
        <v>0</v>
      </c>
      <c r="N1348" s="1309">
        <f t="shared" si="134"/>
        <v>0</v>
      </c>
      <c r="O1348" s="1296" t="str">
        <f t="shared" si="135"/>
        <v>0</v>
      </c>
    </row>
    <row r="1349" spans="1:15" s="1296" customFormat="1" hidden="1">
      <c r="A1349" s="1310"/>
      <c r="B1349" s="1311"/>
      <c r="C1349" s="1312">
        <v>0</v>
      </c>
      <c r="D1349" s="1313">
        <v>0</v>
      </c>
      <c r="E1349" s="1314"/>
      <c r="F1349" s="1315"/>
      <c r="G1349" s="1316">
        <f>+SUMIF(asientos!$C$13:$C$1276,SYS_4_3_Digitos!A1349,asientos!$B$13:$B$1276)</f>
        <v>0</v>
      </c>
      <c r="H1349" s="1317">
        <f>+SUMIF(asientos!$I$13:$I$1276,SYS_4_3_Digitos!A1349,asientos!$J$13:$J$1276)</f>
        <v>0</v>
      </c>
      <c r="I1349" s="1314">
        <f t="shared" si="130"/>
        <v>0</v>
      </c>
      <c r="J1349" s="1315">
        <f t="shared" si="131"/>
        <v>0</v>
      </c>
      <c r="L1349" s="1308">
        <f t="shared" si="132"/>
        <v>0</v>
      </c>
      <c r="M1349" s="1296" t="str">
        <f t="shared" si="133"/>
        <v>0</v>
      </c>
      <c r="N1349" s="1309">
        <f t="shared" si="134"/>
        <v>0</v>
      </c>
      <c r="O1349" s="1296" t="str">
        <f t="shared" si="135"/>
        <v>0</v>
      </c>
    </row>
    <row r="1350" spans="1:15" s="1296" customFormat="1" hidden="1">
      <c r="A1350" s="1310"/>
      <c r="B1350" s="1311"/>
      <c r="C1350" s="1312">
        <v>0</v>
      </c>
      <c r="D1350" s="1313">
        <v>0</v>
      </c>
      <c r="E1350" s="1314"/>
      <c r="F1350" s="1315"/>
      <c r="G1350" s="1316">
        <f>+SUMIF(asientos!$C$13:$C$1276,SYS_4_3_Digitos!A1350,asientos!$B$13:$B$1276)</f>
        <v>0</v>
      </c>
      <c r="H1350" s="1317">
        <f>+SUMIF(asientos!$I$13:$I$1276,SYS_4_3_Digitos!A1350,asientos!$J$13:$J$1276)</f>
        <v>0</v>
      </c>
      <c r="I1350" s="1314">
        <f t="shared" si="130"/>
        <v>0</v>
      </c>
      <c r="J1350" s="1315">
        <f t="shared" si="131"/>
        <v>0</v>
      </c>
      <c r="L1350" s="1308">
        <f t="shared" si="132"/>
        <v>0</v>
      </c>
      <c r="M1350" s="1296" t="str">
        <f t="shared" si="133"/>
        <v>0</v>
      </c>
      <c r="N1350" s="1309">
        <f t="shared" si="134"/>
        <v>0</v>
      </c>
      <c r="O1350" s="1296" t="str">
        <f t="shared" si="135"/>
        <v>0</v>
      </c>
    </row>
    <row r="1351" spans="1:15" s="1296" customFormat="1" hidden="1">
      <c r="A1351" s="1310"/>
      <c r="B1351" s="1311"/>
      <c r="C1351" s="1312">
        <v>0</v>
      </c>
      <c r="D1351" s="1313">
        <v>0</v>
      </c>
      <c r="E1351" s="1314"/>
      <c r="F1351" s="1315"/>
      <c r="G1351" s="1316">
        <f>+SUMIF(asientos!$C$13:$C$1276,SYS_4_3_Digitos!A1351,asientos!$B$13:$B$1276)</f>
        <v>0</v>
      </c>
      <c r="H1351" s="1317">
        <f>+SUMIF(asientos!$I$13:$I$1276,SYS_4_3_Digitos!A1351,asientos!$J$13:$J$1276)</f>
        <v>0</v>
      </c>
      <c r="I1351" s="1314">
        <f t="shared" si="130"/>
        <v>0</v>
      </c>
      <c r="J1351" s="1315">
        <f t="shared" si="131"/>
        <v>0</v>
      </c>
      <c r="L1351" s="1308">
        <f t="shared" si="132"/>
        <v>0</v>
      </c>
      <c r="M1351" s="1296" t="str">
        <f t="shared" si="133"/>
        <v>0</v>
      </c>
      <c r="N1351" s="1309">
        <f t="shared" si="134"/>
        <v>0</v>
      </c>
      <c r="O1351" s="1296" t="str">
        <f t="shared" si="135"/>
        <v>0</v>
      </c>
    </row>
    <row r="1352" spans="1:15" s="1296" customFormat="1" hidden="1">
      <c r="A1352" s="1310"/>
      <c r="B1352" s="1311"/>
      <c r="C1352" s="1312">
        <v>0</v>
      </c>
      <c r="D1352" s="1313">
        <v>0</v>
      </c>
      <c r="E1352" s="1314"/>
      <c r="F1352" s="1315"/>
      <c r="G1352" s="1316">
        <f>+SUMIF(asientos!$C$13:$C$1276,SYS_4_3_Digitos!A1352,asientos!$B$13:$B$1276)</f>
        <v>0</v>
      </c>
      <c r="H1352" s="1317">
        <f>+SUMIF(asientos!$I$13:$I$1276,SYS_4_3_Digitos!A1352,asientos!$J$13:$J$1276)</f>
        <v>0</v>
      </c>
      <c r="I1352" s="1314">
        <f t="shared" si="130"/>
        <v>0</v>
      </c>
      <c r="J1352" s="1315">
        <f t="shared" si="131"/>
        <v>0</v>
      </c>
      <c r="L1352" s="1308">
        <f t="shared" si="132"/>
        <v>0</v>
      </c>
      <c r="M1352" s="1296" t="str">
        <f t="shared" si="133"/>
        <v>0</v>
      </c>
      <c r="N1352" s="1309">
        <f t="shared" si="134"/>
        <v>0</v>
      </c>
      <c r="O1352" s="1296" t="str">
        <f t="shared" si="135"/>
        <v>0</v>
      </c>
    </row>
    <row r="1353" spans="1:15" s="1296" customFormat="1" hidden="1">
      <c r="A1353" s="1310"/>
      <c r="B1353" s="1311"/>
      <c r="C1353" s="1312">
        <v>0</v>
      </c>
      <c r="D1353" s="1313">
        <v>0</v>
      </c>
      <c r="E1353" s="1314"/>
      <c r="F1353" s="1315"/>
      <c r="G1353" s="1316">
        <f>+SUMIF(asientos!$C$13:$C$1276,SYS_4_3_Digitos!A1353,asientos!$B$13:$B$1276)</f>
        <v>0</v>
      </c>
      <c r="H1353" s="1317">
        <f>+SUMIF(asientos!$I$13:$I$1276,SYS_4_3_Digitos!A1353,asientos!$J$13:$J$1276)</f>
        <v>0</v>
      </c>
      <c r="I1353" s="1314">
        <f t="shared" si="130"/>
        <v>0</v>
      </c>
      <c r="J1353" s="1315">
        <f t="shared" si="131"/>
        <v>0</v>
      </c>
      <c r="L1353" s="1308">
        <f t="shared" si="132"/>
        <v>0</v>
      </c>
      <c r="M1353" s="1296" t="str">
        <f t="shared" si="133"/>
        <v>0</v>
      </c>
      <c r="N1353" s="1309">
        <f t="shared" si="134"/>
        <v>0</v>
      </c>
      <c r="O1353" s="1296" t="str">
        <f t="shared" si="135"/>
        <v>0</v>
      </c>
    </row>
    <row r="1354" spans="1:15" s="1296" customFormat="1" hidden="1">
      <c r="A1354" s="1310"/>
      <c r="B1354" s="1311"/>
      <c r="C1354" s="1312">
        <v>0</v>
      </c>
      <c r="D1354" s="1313">
        <v>0</v>
      </c>
      <c r="E1354" s="1314"/>
      <c r="F1354" s="1315"/>
      <c r="G1354" s="1316">
        <f>+SUMIF(asientos!$C$13:$C$1276,SYS_4_3_Digitos!A1354,asientos!$B$13:$B$1276)</f>
        <v>0</v>
      </c>
      <c r="H1354" s="1317">
        <f>+SUMIF(asientos!$I$13:$I$1276,SYS_4_3_Digitos!A1354,asientos!$J$13:$J$1276)</f>
        <v>0</v>
      </c>
      <c r="I1354" s="1314">
        <f t="shared" si="130"/>
        <v>0</v>
      </c>
      <c r="J1354" s="1315">
        <f t="shared" si="131"/>
        <v>0</v>
      </c>
      <c r="L1354" s="1308">
        <f t="shared" si="132"/>
        <v>0</v>
      </c>
      <c r="M1354" s="1296" t="str">
        <f t="shared" si="133"/>
        <v>0</v>
      </c>
      <c r="N1354" s="1309">
        <f t="shared" si="134"/>
        <v>0</v>
      </c>
      <c r="O1354" s="1296" t="str">
        <f t="shared" si="135"/>
        <v>0</v>
      </c>
    </row>
    <row r="1355" spans="1:15" s="1296" customFormat="1" hidden="1">
      <c r="A1355" s="1310"/>
      <c r="B1355" s="1311"/>
      <c r="C1355" s="1312">
        <v>0</v>
      </c>
      <c r="D1355" s="1313">
        <v>0</v>
      </c>
      <c r="E1355" s="1314"/>
      <c r="F1355" s="1315"/>
      <c r="G1355" s="1316">
        <f>+SUMIF(asientos!$C$13:$C$1276,SYS_4_3_Digitos!A1355,asientos!$B$13:$B$1276)</f>
        <v>0</v>
      </c>
      <c r="H1355" s="1317">
        <f>+SUMIF(asientos!$I$13:$I$1276,SYS_4_3_Digitos!A1355,asientos!$J$13:$J$1276)</f>
        <v>0</v>
      </c>
      <c r="I1355" s="1314">
        <f t="shared" si="130"/>
        <v>0</v>
      </c>
      <c r="J1355" s="1315">
        <f t="shared" si="131"/>
        <v>0</v>
      </c>
      <c r="L1355" s="1308">
        <f t="shared" si="132"/>
        <v>0</v>
      </c>
      <c r="M1355" s="1296" t="str">
        <f t="shared" si="133"/>
        <v>0</v>
      </c>
      <c r="N1355" s="1309">
        <f t="shared" si="134"/>
        <v>0</v>
      </c>
      <c r="O1355" s="1296" t="str">
        <f t="shared" si="135"/>
        <v>0</v>
      </c>
    </row>
    <row r="1356" spans="1:15" s="1296" customFormat="1" hidden="1">
      <c r="A1356" s="1310"/>
      <c r="B1356" s="1311"/>
      <c r="C1356" s="1312">
        <v>0</v>
      </c>
      <c r="D1356" s="1313">
        <v>0</v>
      </c>
      <c r="E1356" s="1314"/>
      <c r="F1356" s="1315"/>
      <c r="G1356" s="1316">
        <f>+SUMIF(asientos!$C$13:$C$1276,SYS_4_3_Digitos!A1356,asientos!$B$13:$B$1276)</f>
        <v>0</v>
      </c>
      <c r="H1356" s="1317">
        <f>+SUMIF(asientos!$I$13:$I$1276,SYS_4_3_Digitos!A1356,asientos!$J$13:$J$1276)</f>
        <v>0</v>
      </c>
      <c r="I1356" s="1314">
        <f t="shared" si="130"/>
        <v>0</v>
      </c>
      <c r="J1356" s="1315">
        <f t="shared" si="131"/>
        <v>0</v>
      </c>
      <c r="L1356" s="1308">
        <f t="shared" si="132"/>
        <v>0</v>
      </c>
      <c r="M1356" s="1296" t="str">
        <f t="shared" si="133"/>
        <v>0</v>
      </c>
      <c r="N1356" s="1309">
        <f t="shared" si="134"/>
        <v>0</v>
      </c>
      <c r="O1356" s="1296" t="str">
        <f t="shared" si="135"/>
        <v>0</v>
      </c>
    </row>
    <row r="1357" spans="1:15" s="1296" customFormat="1" hidden="1">
      <c r="A1357" s="1310"/>
      <c r="B1357" s="1311"/>
      <c r="C1357" s="1312">
        <v>0</v>
      </c>
      <c r="D1357" s="1313">
        <v>0</v>
      </c>
      <c r="E1357" s="1314"/>
      <c r="F1357" s="1315"/>
      <c r="G1357" s="1316">
        <f>+SUMIF(asientos!$C$13:$C$1276,SYS_4_3_Digitos!A1357,asientos!$B$13:$B$1276)</f>
        <v>0</v>
      </c>
      <c r="H1357" s="1317">
        <f>+SUMIF(asientos!$I$13:$I$1276,SYS_4_3_Digitos!A1357,asientos!$J$13:$J$1276)</f>
        <v>0</v>
      </c>
      <c r="I1357" s="1314">
        <f t="shared" si="130"/>
        <v>0</v>
      </c>
      <c r="J1357" s="1315">
        <f t="shared" si="131"/>
        <v>0</v>
      </c>
      <c r="L1357" s="1308">
        <f t="shared" si="132"/>
        <v>0</v>
      </c>
      <c r="M1357" s="1296" t="str">
        <f t="shared" si="133"/>
        <v>0</v>
      </c>
      <c r="N1357" s="1309">
        <f t="shared" si="134"/>
        <v>0</v>
      </c>
      <c r="O1357" s="1296" t="str">
        <f t="shared" si="135"/>
        <v>0</v>
      </c>
    </row>
    <row r="1358" spans="1:15" s="1296" customFormat="1" hidden="1">
      <c r="A1358" s="1310"/>
      <c r="B1358" s="1311"/>
      <c r="C1358" s="1312">
        <v>0</v>
      </c>
      <c r="D1358" s="1313">
        <v>0</v>
      </c>
      <c r="E1358" s="1314"/>
      <c r="F1358" s="1315"/>
      <c r="G1358" s="1316">
        <f>+SUMIF(asientos!$C$13:$C$1276,SYS_4_3_Digitos!A1358,asientos!$B$13:$B$1276)</f>
        <v>0</v>
      </c>
      <c r="H1358" s="1317">
        <f>+SUMIF(asientos!$I$13:$I$1276,SYS_4_3_Digitos!A1358,asientos!$J$13:$J$1276)</f>
        <v>0</v>
      </c>
      <c r="I1358" s="1314">
        <f t="shared" si="130"/>
        <v>0</v>
      </c>
      <c r="J1358" s="1315">
        <f t="shared" si="131"/>
        <v>0</v>
      </c>
      <c r="L1358" s="1308">
        <f t="shared" si="132"/>
        <v>0</v>
      </c>
      <c r="M1358" s="1296" t="str">
        <f t="shared" si="133"/>
        <v>0</v>
      </c>
      <c r="N1358" s="1309">
        <f t="shared" si="134"/>
        <v>0</v>
      </c>
      <c r="O1358" s="1296" t="str">
        <f t="shared" si="135"/>
        <v>0</v>
      </c>
    </row>
    <row r="1359" spans="1:15" s="1296" customFormat="1" hidden="1">
      <c r="A1359" s="1310"/>
      <c r="B1359" s="1311"/>
      <c r="C1359" s="1312">
        <v>0</v>
      </c>
      <c r="D1359" s="1313">
        <v>0</v>
      </c>
      <c r="E1359" s="1314"/>
      <c r="F1359" s="1315"/>
      <c r="G1359" s="1316">
        <f>+SUMIF(asientos!$C$13:$C$1276,SYS_4_3_Digitos!A1359,asientos!$B$13:$B$1276)</f>
        <v>0</v>
      </c>
      <c r="H1359" s="1317">
        <f>+SUMIF(asientos!$I$13:$I$1276,SYS_4_3_Digitos!A1359,asientos!$J$13:$J$1276)</f>
        <v>0</v>
      </c>
      <c r="I1359" s="1314">
        <f t="shared" si="130"/>
        <v>0</v>
      </c>
      <c r="J1359" s="1315">
        <f t="shared" si="131"/>
        <v>0</v>
      </c>
      <c r="L1359" s="1308">
        <f t="shared" si="132"/>
        <v>0</v>
      </c>
      <c r="M1359" s="1296" t="str">
        <f t="shared" si="133"/>
        <v>0</v>
      </c>
      <c r="N1359" s="1309">
        <f t="shared" si="134"/>
        <v>0</v>
      </c>
      <c r="O1359" s="1296" t="str">
        <f t="shared" si="135"/>
        <v>0</v>
      </c>
    </row>
    <row r="1360" spans="1:15" s="1296" customFormat="1" hidden="1">
      <c r="A1360" s="1310"/>
      <c r="B1360" s="1311"/>
      <c r="C1360" s="1312">
        <v>0</v>
      </c>
      <c r="D1360" s="1313">
        <v>0</v>
      </c>
      <c r="E1360" s="1314"/>
      <c r="F1360" s="1315"/>
      <c r="G1360" s="1316">
        <f>+SUMIF(asientos!$C$13:$C$1276,SYS_4_3_Digitos!A1360,asientos!$B$13:$B$1276)</f>
        <v>0</v>
      </c>
      <c r="H1360" s="1317">
        <f>+SUMIF(asientos!$I$13:$I$1276,SYS_4_3_Digitos!A1360,asientos!$J$13:$J$1276)</f>
        <v>0</v>
      </c>
      <c r="I1360" s="1314">
        <f t="shared" si="130"/>
        <v>0</v>
      </c>
      <c r="J1360" s="1315">
        <f t="shared" si="131"/>
        <v>0</v>
      </c>
      <c r="L1360" s="1308">
        <f t="shared" si="132"/>
        <v>0</v>
      </c>
      <c r="M1360" s="1296" t="str">
        <f t="shared" si="133"/>
        <v>0</v>
      </c>
      <c r="N1360" s="1309">
        <f t="shared" si="134"/>
        <v>0</v>
      </c>
      <c r="O1360" s="1296" t="str">
        <f t="shared" si="135"/>
        <v>0</v>
      </c>
    </row>
    <row r="1361" spans="1:15" s="1296" customFormat="1" hidden="1">
      <c r="A1361" s="1310"/>
      <c r="B1361" s="1311"/>
      <c r="C1361" s="1312">
        <v>0</v>
      </c>
      <c r="D1361" s="1313">
        <v>0</v>
      </c>
      <c r="E1361" s="1314"/>
      <c r="F1361" s="1315"/>
      <c r="G1361" s="1316">
        <f>+SUMIF(asientos!$C$13:$C$1276,SYS_4_3_Digitos!A1361,asientos!$B$13:$B$1276)</f>
        <v>0</v>
      </c>
      <c r="H1361" s="1317">
        <f>+SUMIF(asientos!$I$13:$I$1276,SYS_4_3_Digitos!A1361,asientos!$J$13:$J$1276)</f>
        <v>0</v>
      </c>
      <c r="I1361" s="1314">
        <f t="shared" si="130"/>
        <v>0</v>
      </c>
      <c r="J1361" s="1315">
        <f t="shared" si="131"/>
        <v>0</v>
      </c>
      <c r="L1361" s="1308">
        <f t="shared" si="132"/>
        <v>0</v>
      </c>
      <c r="M1361" s="1296" t="str">
        <f t="shared" si="133"/>
        <v>0</v>
      </c>
      <c r="N1361" s="1309">
        <f t="shared" si="134"/>
        <v>0</v>
      </c>
      <c r="O1361" s="1296" t="str">
        <f t="shared" si="135"/>
        <v>0</v>
      </c>
    </row>
    <row r="1362" spans="1:15" s="1296" customFormat="1" hidden="1">
      <c r="A1362" s="1310"/>
      <c r="B1362" s="1311"/>
      <c r="C1362" s="1312">
        <v>0</v>
      </c>
      <c r="D1362" s="1313">
        <v>0</v>
      </c>
      <c r="E1362" s="1314"/>
      <c r="F1362" s="1315"/>
      <c r="G1362" s="1316">
        <f>+SUMIF(asientos!$C$13:$C$1276,SYS_4_3_Digitos!A1362,asientos!$B$13:$B$1276)</f>
        <v>0</v>
      </c>
      <c r="H1362" s="1317">
        <f>+SUMIF(asientos!$I$13:$I$1276,SYS_4_3_Digitos!A1362,asientos!$J$13:$J$1276)</f>
        <v>0</v>
      </c>
      <c r="I1362" s="1314">
        <f t="shared" si="130"/>
        <v>0</v>
      </c>
      <c r="J1362" s="1315">
        <f t="shared" si="131"/>
        <v>0</v>
      </c>
      <c r="L1362" s="1308">
        <f t="shared" si="132"/>
        <v>0</v>
      </c>
      <c r="M1362" s="1296" t="str">
        <f t="shared" si="133"/>
        <v>0</v>
      </c>
      <c r="N1362" s="1309">
        <f t="shared" si="134"/>
        <v>0</v>
      </c>
      <c r="O1362" s="1296" t="str">
        <f t="shared" si="135"/>
        <v>0</v>
      </c>
    </row>
    <row r="1363" spans="1:15" s="1296" customFormat="1" hidden="1">
      <c r="A1363" s="1310"/>
      <c r="B1363" s="1311"/>
      <c r="C1363" s="1312">
        <v>0</v>
      </c>
      <c r="D1363" s="1313">
        <v>0</v>
      </c>
      <c r="E1363" s="1314"/>
      <c r="F1363" s="1315"/>
      <c r="G1363" s="1316">
        <f>+SUMIF(asientos!$C$13:$C$1276,SYS_4_3_Digitos!A1363,asientos!$B$13:$B$1276)</f>
        <v>0</v>
      </c>
      <c r="H1363" s="1317">
        <f>+SUMIF(asientos!$I$13:$I$1276,SYS_4_3_Digitos!A1363,asientos!$J$13:$J$1276)</f>
        <v>0</v>
      </c>
      <c r="I1363" s="1314">
        <f t="shared" si="130"/>
        <v>0</v>
      </c>
      <c r="J1363" s="1315">
        <f t="shared" si="131"/>
        <v>0</v>
      </c>
      <c r="L1363" s="1308">
        <f t="shared" si="132"/>
        <v>0</v>
      </c>
      <c r="M1363" s="1296" t="str">
        <f t="shared" si="133"/>
        <v>0</v>
      </c>
      <c r="N1363" s="1309">
        <f t="shared" si="134"/>
        <v>0</v>
      </c>
      <c r="O1363" s="1296" t="str">
        <f t="shared" si="135"/>
        <v>0</v>
      </c>
    </row>
    <row r="1364" spans="1:15" s="1296" customFormat="1" hidden="1">
      <c r="A1364" s="1310"/>
      <c r="B1364" s="1311"/>
      <c r="C1364" s="1312">
        <v>0</v>
      </c>
      <c r="D1364" s="1313">
        <v>0</v>
      </c>
      <c r="E1364" s="1314"/>
      <c r="F1364" s="1315"/>
      <c r="G1364" s="1316">
        <f>+SUMIF(asientos!$C$13:$C$1276,SYS_4_3_Digitos!A1364,asientos!$B$13:$B$1276)</f>
        <v>0</v>
      </c>
      <c r="H1364" s="1317">
        <f>+SUMIF(asientos!$I$13:$I$1276,SYS_4_3_Digitos!A1364,asientos!$J$13:$J$1276)</f>
        <v>0</v>
      </c>
      <c r="I1364" s="1314">
        <f t="shared" si="130"/>
        <v>0</v>
      </c>
      <c r="J1364" s="1315">
        <f t="shared" si="131"/>
        <v>0</v>
      </c>
      <c r="L1364" s="1308">
        <f t="shared" si="132"/>
        <v>0</v>
      </c>
      <c r="M1364" s="1296" t="str">
        <f t="shared" si="133"/>
        <v>0</v>
      </c>
      <c r="N1364" s="1309">
        <f t="shared" si="134"/>
        <v>0</v>
      </c>
      <c r="O1364" s="1296" t="str">
        <f t="shared" si="135"/>
        <v>0</v>
      </c>
    </row>
    <row r="1365" spans="1:15" s="1296" customFormat="1" hidden="1">
      <c r="A1365" s="1310"/>
      <c r="B1365" s="1311"/>
      <c r="C1365" s="1312">
        <v>0</v>
      </c>
      <c r="D1365" s="1313">
        <v>0</v>
      </c>
      <c r="E1365" s="1314"/>
      <c r="F1365" s="1315"/>
      <c r="G1365" s="1316">
        <f>+SUMIF(asientos!$C$13:$C$1276,SYS_4_3_Digitos!A1365,asientos!$B$13:$B$1276)</f>
        <v>0</v>
      </c>
      <c r="H1365" s="1317">
        <f>+SUMIF(asientos!$I$13:$I$1276,SYS_4_3_Digitos!A1365,asientos!$J$13:$J$1276)</f>
        <v>0</v>
      </c>
      <c r="I1365" s="1314">
        <f t="shared" si="130"/>
        <v>0</v>
      </c>
      <c r="J1365" s="1315">
        <f t="shared" si="131"/>
        <v>0</v>
      </c>
      <c r="L1365" s="1308">
        <f t="shared" si="132"/>
        <v>0</v>
      </c>
      <c r="M1365" s="1296" t="str">
        <f t="shared" si="133"/>
        <v>0</v>
      </c>
      <c r="N1365" s="1309">
        <f t="shared" si="134"/>
        <v>0</v>
      </c>
      <c r="O1365" s="1296" t="str">
        <f t="shared" si="135"/>
        <v>0</v>
      </c>
    </row>
    <row r="1366" spans="1:15" s="1296" customFormat="1" hidden="1">
      <c r="A1366" s="1310"/>
      <c r="B1366" s="1311"/>
      <c r="C1366" s="1312">
        <v>0</v>
      </c>
      <c r="D1366" s="1313">
        <v>0</v>
      </c>
      <c r="E1366" s="1314"/>
      <c r="F1366" s="1315"/>
      <c r="G1366" s="1316">
        <f>+SUMIF(asientos!$C$13:$C$1276,SYS_4_3_Digitos!A1366,asientos!$B$13:$B$1276)</f>
        <v>0</v>
      </c>
      <c r="H1366" s="1317">
        <f>+SUMIF(asientos!$I$13:$I$1276,SYS_4_3_Digitos!A1366,asientos!$J$13:$J$1276)</f>
        <v>0</v>
      </c>
      <c r="I1366" s="1314">
        <f t="shared" si="130"/>
        <v>0</v>
      </c>
      <c r="J1366" s="1315">
        <f t="shared" si="131"/>
        <v>0</v>
      </c>
      <c r="L1366" s="1308">
        <f t="shared" si="132"/>
        <v>0</v>
      </c>
      <c r="M1366" s="1296" t="str">
        <f t="shared" si="133"/>
        <v>0</v>
      </c>
      <c r="N1366" s="1309">
        <f t="shared" si="134"/>
        <v>0</v>
      </c>
      <c r="O1366" s="1296" t="str">
        <f t="shared" si="135"/>
        <v>0</v>
      </c>
    </row>
    <row r="1367" spans="1:15" s="1296" customFormat="1" hidden="1">
      <c r="A1367" s="1310"/>
      <c r="B1367" s="1311"/>
      <c r="C1367" s="1312">
        <v>0</v>
      </c>
      <c r="D1367" s="1313">
        <v>0</v>
      </c>
      <c r="E1367" s="1314"/>
      <c r="F1367" s="1315"/>
      <c r="G1367" s="1316">
        <f>+SUMIF(asientos!$C$13:$C$1276,SYS_4_3_Digitos!A1367,asientos!$B$13:$B$1276)</f>
        <v>0</v>
      </c>
      <c r="H1367" s="1317">
        <f>+SUMIF(asientos!$I$13:$I$1276,SYS_4_3_Digitos!A1367,asientos!$J$13:$J$1276)</f>
        <v>0</v>
      </c>
      <c r="I1367" s="1314">
        <f t="shared" si="130"/>
        <v>0</v>
      </c>
      <c r="J1367" s="1315">
        <f t="shared" si="131"/>
        <v>0</v>
      </c>
      <c r="L1367" s="1308">
        <f t="shared" si="132"/>
        <v>0</v>
      </c>
      <c r="M1367" s="1296" t="str">
        <f t="shared" si="133"/>
        <v>0</v>
      </c>
      <c r="N1367" s="1309">
        <f t="shared" si="134"/>
        <v>0</v>
      </c>
      <c r="O1367" s="1296" t="str">
        <f t="shared" si="135"/>
        <v>0</v>
      </c>
    </row>
    <row r="1368" spans="1:15" s="1296" customFormat="1" hidden="1">
      <c r="A1368" s="1310"/>
      <c r="B1368" s="1311"/>
      <c r="C1368" s="1312">
        <v>0</v>
      </c>
      <c r="D1368" s="1313">
        <v>0</v>
      </c>
      <c r="E1368" s="1314"/>
      <c r="F1368" s="1315"/>
      <c r="G1368" s="1316">
        <f>+SUMIF(asientos!$C$13:$C$1276,SYS_4_3_Digitos!A1368,asientos!$B$13:$B$1276)</f>
        <v>0</v>
      </c>
      <c r="H1368" s="1317">
        <f>+SUMIF(asientos!$I$13:$I$1276,SYS_4_3_Digitos!A1368,asientos!$J$13:$J$1276)</f>
        <v>0</v>
      </c>
      <c r="I1368" s="1314">
        <f t="shared" si="130"/>
        <v>0</v>
      </c>
      <c r="J1368" s="1315">
        <f t="shared" si="131"/>
        <v>0</v>
      </c>
      <c r="L1368" s="1308">
        <f t="shared" si="132"/>
        <v>0</v>
      </c>
      <c r="M1368" s="1296" t="str">
        <f t="shared" si="133"/>
        <v>0</v>
      </c>
      <c r="N1368" s="1309">
        <f t="shared" si="134"/>
        <v>0</v>
      </c>
      <c r="O1368" s="1296" t="str">
        <f t="shared" si="135"/>
        <v>0</v>
      </c>
    </row>
    <row r="1369" spans="1:15" s="1296" customFormat="1" hidden="1">
      <c r="A1369" s="1310"/>
      <c r="B1369" s="1311"/>
      <c r="C1369" s="1312">
        <v>0</v>
      </c>
      <c r="D1369" s="1313">
        <v>0</v>
      </c>
      <c r="E1369" s="1314"/>
      <c r="F1369" s="1315"/>
      <c r="G1369" s="1316">
        <f>+SUMIF(asientos!$C$13:$C$1276,SYS_4_3_Digitos!A1369,asientos!$B$13:$B$1276)</f>
        <v>0</v>
      </c>
      <c r="H1369" s="1317">
        <f>+SUMIF(asientos!$I$13:$I$1276,SYS_4_3_Digitos!A1369,asientos!$J$13:$J$1276)</f>
        <v>0</v>
      </c>
      <c r="I1369" s="1314">
        <f t="shared" si="130"/>
        <v>0</v>
      </c>
      <c r="J1369" s="1315">
        <f t="shared" si="131"/>
        <v>0</v>
      </c>
      <c r="L1369" s="1308">
        <f t="shared" si="132"/>
        <v>0</v>
      </c>
      <c r="M1369" s="1296" t="str">
        <f t="shared" si="133"/>
        <v>0</v>
      </c>
      <c r="N1369" s="1309">
        <f t="shared" si="134"/>
        <v>0</v>
      </c>
      <c r="O1369" s="1296" t="str">
        <f t="shared" si="135"/>
        <v>0</v>
      </c>
    </row>
    <row r="1370" spans="1:15" s="1296" customFormat="1" hidden="1">
      <c r="A1370" s="1310"/>
      <c r="B1370" s="1311"/>
      <c r="C1370" s="1312">
        <v>0</v>
      </c>
      <c r="D1370" s="1313">
        <v>0</v>
      </c>
      <c r="E1370" s="1314"/>
      <c r="F1370" s="1315"/>
      <c r="G1370" s="1316">
        <f>+SUMIF(asientos!$C$13:$C$1276,SYS_4_3_Digitos!A1370,asientos!$B$13:$B$1276)</f>
        <v>0</v>
      </c>
      <c r="H1370" s="1317">
        <f>+SUMIF(asientos!$I$13:$I$1276,SYS_4_3_Digitos!A1370,asientos!$J$13:$J$1276)</f>
        <v>0</v>
      </c>
      <c r="I1370" s="1314">
        <f t="shared" si="130"/>
        <v>0</v>
      </c>
      <c r="J1370" s="1315">
        <f t="shared" si="131"/>
        <v>0</v>
      </c>
      <c r="L1370" s="1308">
        <f t="shared" si="132"/>
        <v>0</v>
      </c>
      <c r="M1370" s="1296" t="str">
        <f t="shared" si="133"/>
        <v>0</v>
      </c>
      <c r="N1370" s="1309">
        <f t="shared" si="134"/>
        <v>0</v>
      </c>
      <c r="O1370" s="1296" t="str">
        <f t="shared" si="135"/>
        <v>0</v>
      </c>
    </row>
    <row r="1371" spans="1:15" s="1296" customFormat="1" hidden="1">
      <c r="A1371" s="1310"/>
      <c r="B1371" s="1311"/>
      <c r="C1371" s="1312">
        <v>0</v>
      </c>
      <c r="D1371" s="1313">
        <v>0</v>
      </c>
      <c r="E1371" s="1314"/>
      <c r="F1371" s="1315"/>
      <c r="G1371" s="1316">
        <f>+SUMIF(asientos!$C$13:$C$1276,SYS_4_3_Digitos!A1371,asientos!$B$13:$B$1276)</f>
        <v>0</v>
      </c>
      <c r="H1371" s="1317">
        <f>+SUMIF(asientos!$I$13:$I$1276,SYS_4_3_Digitos!A1371,asientos!$J$13:$J$1276)</f>
        <v>0</v>
      </c>
      <c r="I1371" s="1314">
        <f t="shared" si="130"/>
        <v>0</v>
      </c>
      <c r="J1371" s="1315">
        <f t="shared" si="131"/>
        <v>0</v>
      </c>
      <c r="L1371" s="1308">
        <f t="shared" si="132"/>
        <v>0</v>
      </c>
      <c r="M1371" s="1296" t="str">
        <f t="shared" si="133"/>
        <v>0</v>
      </c>
      <c r="N1371" s="1309">
        <f t="shared" si="134"/>
        <v>0</v>
      </c>
      <c r="O1371" s="1296" t="str">
        <f t="shared" si="135"/>
        <v>0</v>
      </c>
    </row>
    <row r="1372" spans="1:15" s="1296" customFormat="1" hidden="1">
      <c r="A1372" s="1310"/>
      <c r="B1372" s="1311"/>
      <c r="C1372" s="1312">
        <v>0</v>
      </c>
      <c r="D1372" s="1313">
        <v>0</v>
      </c>
      <c r="E1372" s="1314"/>
      <c r="F1372" s="1315"/>
      <c r="G1372" s="1316">
        <f>+SUMIF(asientos!$C$13:$C$1276,SYS_4_3_Digitos!A1372,asientos!$B$13:$B$1276)</f>
        <v>0</v>
      </c>
      <c r="H1372" s="1317">
        <f>+SUMIF(asientos!$I$13:$I$1276,SYS_4_3_Digitos!A1372,asientos!$J$13:$J$1276)</f>
        <v>0</v>
      </c>
      <c r="I1372" s="1314">
        <f t="shared" si="130"/>
        <v>0</v>
      </c>
      <c r="J1372" s="1315">
        <f t="shared" si="131"/>
        <v>0</v>
      </c>
      <c r="L1372" s="1308">
        <f t="shared" si="132"/>
        <v>0</v>
      </c>
      <c r="M1372" s="1296" t="str">
        <f t="shared" si="133"/>
        <v>0</v>
      </c>
      <c r="N1372" s="1309">
        <f t="shared" si="134"/>
        <v>0</v>
      </c>
      <c r="O1372" s="1296" t="str">
        <f t="shared" si="135"/>
        <v>0</v>
      </c>
    </row>
    <row r="1373" spans="1:15" s="1296" customFormat="1" hidden="1">
      <c r="A1373" s="1310"/>
      <c r="B1373" s="1311"/>
      <c r="C1373" s="1312">
        <v>0</v>
      </c>
      <c r="D1373" s="1313">
        <v>0</v>
      </c>
      <c r="E1373" s="1314"/>
      <c r="F1373" s="1315"/>
      <c r="G1373" s="1316">
        <f>+SUMIF(asientos!$C$13:$C$1276,SYS_4_3_Digitos!A1373,asientos!$B$13:$B$1276)</f>
        <v>0</v>
      </c>
      <c r="H1373" s="1317">
        <f>+SUMIF(asientos!$I$13:$I$1276,SYS_4_3_Digitos!A1373,asientos!$J$13:$J$1276)</f>
        <v>0</v>
      </c>
      <c r="I1373" s="1314">
        <f t="shared" si="130"/>
        <v>0</v>
      </c>
      <c r="J1373" s="1315">
        <f t="shared" si="131"/>
        <v>0</v>
      </c>
      <c r="L1373" s="1308">
        <f t="shared" si="132"/>
        <v>0</v>
      </c>
      <c r="M1373" s="1296" t="str">
        <f t="shared" si="133"/>
        <v>0</v>
      </c>
      <c r="N1373" s="1309">
        <f t="shared" si="134"/>
        <v>0</v>
      </c>
      <c r="O1373" s="1296" t="str">
        <f t="shared" si="135"/>
        <v>0</v>
      </c>
    </row>
    <row r="1374" spans="1:15" s="1296" customFormat="1" hidden="1">
      <c r="A1374" s="1310"/>
      <c r="B1374" s="1311"/>
      <c r="C1374" s="1312">
        <v>0</v>
      </c>
      <c r="D1374" s="1313">
        <v>0</v>
      </c>
      <c r="E1374" s="1314"/>
      <c r="F1374" s="1315"/>
      <c r="G1374" s="1316">
        <f>+SUMIF(asientos!$C$13:$C$1276,SYS_4_3_Digitos!A1374,asientos!$B$13:$B$1276)</f>
        <v>0</v>
      </c>
      <c r="H1374" s="1317">
        <f>+SUMIF(asientos!$I$13:$I$1276,SYS_4_3_Digitos!A1374,asientos!$J$13:$J$1276)</f>
        <v>0</v>
      </c>
      <c r="I1374" s="1314">
        <f t="shared" si="130"/>
        <v>0</v>
      </c>
      <c r="J1374" s="1315">
        <f t="shared" si="131"/>
        <v>0</v>
      </c>
      <c r="L1374" s="1308">
        <f t="shared" si="132"/>
        <v>0</v>
      </c>
      <c r="M1374" s="1296" t="str">
        <f t="shared" si="133"/>
        <v>0</v>
      </c>
      <c r="N1374" s="1309">
        <f t="shared" si="134"/>
        <v>0</v>
      </c>
      <c r="O1374" s="1296" t="str">
        <f t="shared" si="135"/>
        <v>0</v>
      </c>
    </row>
    <row r="1375" spans="1:15" s="1296" customFormat="1" hidden="1">
      <c r="A1375" s="1310"/>
      <c r="B1375" s="1311"/>
      <c r="C1375" s="1312">
        <v>0</v>
      </c>
      <c r="D1375" s="1313">
        <v>0</v>
      </c>
      <c r="E1375" s="1314"/>
      <c r="F1375" s="1315"/>
      <c r="G1375" s="1316">
        <f>+SUMIF(asientos!$C$13:$C$1276,SYS_4_3_Digitos!A1375,asientos!$B$13:$B$1276)</f>
        <v>0</v>
      </c>
      <c r="H1375" s="1317">
        <f>+SUMIF(asientos!$I$13:$I$1276,SYS_4_3_Digitos!A1375,asientos!$J$13:$J$1276)</f>
        <v>0</v>
      </c>
      <c r="I1375" s="1314">
        <f t="shared" si="130"/>
        <v>0</v>
      </c>
      <c r="J1375" s="1315">
        <f t="shared" si="131"/>
        <v>0</v>
      </c>
      <c r="L1375" s="1308">
        <f t="shared" si="132"/>
        <v>0</v>
      </c>
      <c r="M1375" s="1296" t="str">
        <f t="shared" si="133"/>
        <v>0</v>
      </c>
      <c r="N1375" s="1309">
        <f t="shared" si="134"/>
        <v>0</v>
      </c>
      <c r="O1375" s="1296" t="str">
        <f t="shared" si="135"/>
        <v>0</v>
      </c>
    </row>
    <row r="1376" spans="1:15" s="1296" customFormat="1" hidden="1">
      <c r="A1376" s="1310"/>
      <c r="B1376" s="1311"/>
      <c r="C1376" s="1312">
        <v>0</v>
      </c>
      <c r="D1376" s="1313">
        <v>0</v>
      </c>
      <c r="E1376" s="1314"/>
      <c r="F1376" s="1315"/>
      <c r="G1376" s="1316">
        <f>+SUMIF(asientos!$C$13:$C$1276,SYS_4_3_Digitos!A1376,asientos!$B$13:$B$1276)</f>
        <v>0</v>
      </c>
      <c r="H1376" s="1317">
        <f>+SUMIF(asientos!$I$13:$I$1276,SYS_4_3_Digitos!A1376,asientos!$J$13:$J$1276)</f>
        <v>0</v>
      </c>
      <c r="I1376" s="1314">
        <f t="shared" si="130"/>
        <v>0</v>
      </c>
      <c r="J1376" s="1315">
        <f t="shared" si="131"/>
        <v>0</v>
      </c>
      <c r="L1376" s="1308">
        <f t="shared" si="132"/>
        <v>0</v>
      </c>
      <c r="M1376" s="1296" t="str">
        <f t="shared" si="133"/>
        <v>0</v>
      </c>
      <c r="N1376" s="1309">
        <f t="shared" si="134"/>
        <v>0</v>
      </c>
      <c r="O1376" s="1296" t="str">
        <f t="shared" si="135"/>
        <v>0</v>
      </c>
    </row>
    <row r="1377" spans="1:15" s="1296" customFormat="1" hidden="1">
      <c r="A1377" s="1310"/>
      <c r="B1377" s="1311"/>
      <c r="C1377" s="1312">
        <v>0</v>
      </c>
      <c r="D1377" s="1313">
        <v>0</v>
      </c>
      <c r="E1377" s="1314"/>
      <c r="F1377" s="1315"/>
      <c r="G1377" s="1316">
        <f>+SUMIF(asientos!$C$13:$C$1276,SYS_4_3_Digitos!A1377,asientos!$B$13:$B$1276)</f>
        <v>0</v>
      </c>
      <c r="H1377" s="1317">
        <f>+SUMIF(asientos!$I$13:$I$1276,SYS_4_3_Digitos!A1377,asientos!$J$13:$J$1276)</f>
        <v>0</v>
      </c>
      <c r="I1377" s="1314">
        <f t="shared" si="130"/>
        <v>0</v>
      </c>
      <c r="J1377" s="1315">
        <f t="shared" si="131"/>
        <v>0</v>
      </c>
      <c r="L1377" s="1308">
        <f t="shared" si="132"/>
        <v>0</v>
      </c>
      <c r="M1377" s="1296" t="str">
        <f t="shared" si="133"/>
        <v>0</v>
      </c>
      <c r="N1377" s="1309">
        <f t="shared" si="134"/>
        <v>0</v>
      </c>
      <c r="O1377" s="1296" t="str">
        <f t="shared" si="135"/>
        <v>0</v>
      </c>
    </row>
    <row r="1378" spans="1:15" s="1296" customFormat="1" hidden="1">
      <c r="A1378" s="1310"/>
      <c r="B1378" s="1311"/>
      <c r="C1378" s="1312">
        <v>0</v>
      </c>
      <c r="D1378" s="1313">
        <v>0</v>
      </c>
      <c r="E1378" s="1314"/>
      <c r="F1378" s="1315"/>
      <c r="G1378" s="1316">
        <f>+SUMIF(asientos!$C$13:$C$1276,SYS_4_3_Digitos!A1378,asientos!$B$13:$B$1276)</f>
        <v>0</v>
      </c>
      <c r="H1378" s="1317">
        <f>+SUMIF(asientos!$I$13:$I$1276,SYS_4_3_Digitos!A1378,asientos!$J$13:$J$1276)</f>
        <v>0</v>
      </c>
      <c r="I1378" s="1314">
        <f t="shared" si="130"/>
        <v>0</v>
      </c>
      <c r="J1378" s="1315">
        <f t="shared" si="131"/>
        <v>0</v>
      </c>
      <c r="L1378" s="1308">
        <f t="shared" si="132"/>
        <v>0</v>
      </c>
      <c r="M1378" s="1296" t="str">
        <f t="shared" si="133"/>
        <v>0</v>
      </c>
      <c r="N1378" s="1309">
        <f t="shared" si="134"/>
        <v>0</v>
      </c>
      <c r="O1378" s="1296" t="str">
        <f t="shared" si="135"/>
        <v>0</v>
      </c>
    </row>
    <row r="1379" spans="1:15" s="1296" customFormat="1" hidden="1">
      <c r="A1379" s="1310"/>
      <c r="B1379" s="1311"/>
      <c r="C1379" s="1312">
        <v>0</v>
      </c>
      <c r="D1379" s="1313">
        <v>0</v>
      </c>
      <c r="E1379" s="1314"/>
      <c r="F1379" s="1315"/>
      <c r="G1379" s="1316">
        <f>+SUMIF(asientos!$C$13:$C$1276,SYS_4_3_Digitos!A1379,asientos!$B$13:$B$1276)</f>
        <v>0</v>
      </c>
      <c r="H1379" s="1317">
        <f>+SUMIF(asientos!$I$13:$I$1276,SYS_4_3_Digitos!A1379,asientos!$J$13:$J$1276)</f>
        <v>0</v>
      </c>
      <c r="I1379" s="1314">
        <f t="shared" si="130"/>
        <v>0</v>
      </c>
      <c r="J1379" s="1315">
        <f t="shared" si="131"/>
        <v>0</v>
      </c>
      <c r="L1379" s="1308">
        <f t="shared" si="132"/>
        <v>0</v>
      </c>
      <c r="M1379" s="1296" t="str">
        <f t="shared" si="133"/>
        <v>0</v>
      </c>
      <c r="N1379" s="1309">
        <f t="shared" si="134"/>
        <v>0</v>
      </c>
      <c r="O1379" s="1296" t="str">
        <f t="shared" si="135"/>
        <v>0</v>
      </c>
    </row>
    <row r="1380" spans="1:15" s="1296" customFormat="1" hidden="1">
      <c r="A1380" s="1310"/>
      <c r="B1380" s="1311"/>
      <c r="C1380" s="1312">
        <v>0</v>
      </c>
      <c r="D1380" s="1313">
        <v>0</v>
      </c>
      <c r="E1380" s="1314"/>
      <c r="F1380" s="1315"/>
      <c r="G1380" s="1316">
        <f>+SUMIF(asientos!$C$13:$C$1276,SYS_4_3_Digitos!A1380,asientos!$B$13:$B$1276)</f>
        <v>0</v>
      </c>
      <c r="H1380" s="1317">
        <f>+SUMIF(asientos!$I$13:$I$1276,SYS_4_3_Digitos!A1380,asientos!$J$13:$J$1276)</f>
        <v>0</v>
      </c>
      <c r="I1380" s="1314">
        <f t="shared" si="130"/>
        <v>0</v>
      </c>
      <c r="J1380" s="1315">
        <f t="shared" si="131"/>
        <v>0</v>
      </c>
      <c r="L1380" s="1308">
        <f t="shared" si="132"/>
        <v>0</v>
      </c>
      <c r="M1380" s="1296" t="str">
        <f t="shared" si="133"/>
        <v>0</v>
      </c>
      <c r="N1380" s="1309">
        <f t="shared" si="134"/>
        <v>0</v>
      </c>
      <c r="O1380" s="1296" t="str">
        <f t="shared" si="135"/>
        <v>0</v>
      </c>
    </row>
    <row r="1381" spans="1:15" s="1296" customFormat="1" hidden="1">
      <c r="A1381" s="1310"/>
      <c r="B1381" s="1311"/>
      <c r="C1381" s="1312">
        <v>0</v>
      </c>
      <c r="D1381" s="1313">
        <v>0</v>
      </c>
      <c r="E1381" s="1314"/>
      <c r="F1381" s="1315"/>
      <c r="G1381" s="1316">
        <f>+SUMIF(asientos!$C$13:$C$1276,SYS_4_3_Digitos!A1381,asientos!$B$13:$B$1276)</f>
        <v>0</v>
      </c>
      <c r="H1381" s="1317">
        <f>+SUMIF(asientos!$I$13:$I$1276,SYS_4_3_Digitos!A1381,asientos!$J$13:$J$1276)</f>
        <v>0</v>
      </c>
      <c r="I1381" s="1314">
        <f t="shared" ref="I1381:I1444" si="136">IF((E1381+G1381-F1381-H1381)&gt;0,E1381+G1381-F1381-H1381,0)</f>
        <v>0</v>
      </c>
      <c r="J1381" s="1315">
        <f t="shared" ref="J1381:J1444" si="137">IF((F1381+H1381-E1381-G1381)&gt;0,F1381+H1381-E1381-G1381,0)</f>
        <v>0</v>
      </c>
      <c r="L1381" s="1308">
        <f t="shared" ref="L1381:L1444" si="138">+A1381*1000000</f>
        <v>0</v>
      </c>
      <c r="M1381" s="1296" t="str">
        <f t="shared" ref="M1381:M1444" si="139">+LEFT(L1381,4)</f>
        <v>0</v>
      </c>
      <c r="N1381" s="1309">
        <f t="shared" ref="N1381:N1444" si="140">+I1381-J1381</f>
        <v>0</v>
      </c>
      <c r="O1381" s="1296" t="str">
        <f t="shared" ref="O1381:O1444" si="141">+LEFT(M1381,2)</f>
        <v>0</v>
      </c>
    </row>
    <row r="1382" spans="1:15" s="1296" customFormat="1" hidden="1">
      <c r="A1382" s="1310"/>
      <c r="B1382" s="1311"/>
      <c r="C1382" s="1312">
        <v>0</v>
      </c>
      <c r="D1382" s="1313">
        <v>0</v>
      </c>
      <c r="E1382" s="1314"/>
      <c r="F1382" s="1315"/>
      <c r="G1382" s="1316">
        <f>+SUMIF(asientos!$C$13:$C$1276,SYS_4_3_Digitos!A1382,asientos!$B$13:$B$1276)</f>
        <v>0</v>
      </c>
      <c r="H1382" s="1317">
        <f>+SUMIF(asientos!$I$13:$I$1276,SYS_4_3_Digitos!A1382,asientos!$J$13:$J$1276)</f>
        <v>0</v>
      </c>
      <c r="I1382" s="1314">
        <f t="shared" si="136"/>
        <v>0</v>
      </c>
      <c r="J1382" s="1315">
        <f t="shared" si="137"/>
        <v>0</v>
      </c>
      <c r="L1382" s="1308">
        <f t="shared" si="138"/>
        <v>0</v>
      </c>
      <c r="M1382" s="1296" t="str">
        <f t="shared" si="139"/>
        <v>0</v>
      </c>
      <c r="N1382" s="1309">
        <f t="shared" si="140"/>
        <v>0</v>
      </c>
      <c r="O1382" s="1296" t="str">
        <f t="shared" si="141"/>
        <v>0</v>
      </c>
    </row>
    <row r="1383" spans="1:15" s="1296" customFormat="1" hidden="1">
      <c r="A1383" s="1310"/>
      <c r="B1383" s="1311"/>
      <c r="C1383" s="1312">
        <v>0</v>
      </c>
      <c r="D1383" s="1313">
        <v>0</v>
      </c>
      <c r="E1383" s="1314"/>
      <c r="F1383" s="1315"/>
      <c r="G1383" s="1316">
        <f>+SUMIF(asientos!$C$13:$C$1276,SYS_4_3_Digitos!A1383,asientos!$B$13:$B$1276)</f>
        <v>0</v>
      </c>
      <c r="H1383" s="1317">
        <f>+SUMIF(asientos!$I$13:$I$1276,SYS_4_3_Digitos!A1383,asientos!$J$13:$J$1276)</f>
        <v>0</v>
      </c>
      <c r="I1383" s="1314">
        <f t="shared" si="136"/>
        <v>0</v>
      </c>
      <c r="J1383" s="1315">
        <f t="shared" si="137"/>
        <v>0</v>
      </c>
      <c r="L1383" s="1308">
        <f t="shared" si="138"/>
        <v>0</v>
      </c>
      <c r="M1383" s="1296" t="str">
        <f t="shared" si="139"/>
        <v>0</v>
      </c>
      <c r="N1383" s="1309">
        <f t="shared" si="140"/>
        <v>0</v>
      </c>
      <c r="O1383" s="1296" t="str">
        <f t="shared" si="141"/>
        <v>0</v>
      </c>
    </row>
    <row r="1384" spans="1:15" s="1296" customFormat="1" hidden="1">
      <c r="A1384" s="1310"/>
      <c r="B1384" s="1311"/>
      <c r="C1384" s="1312">
        <v>0</v>
      </c>
      <c r="D1384" s="1313">
        <v>0</v>
      </c>
      <c r="E1384" s="1314"/>
      <c r="F1384" s="1315"/>
      <c r="G1384" s="1316">
        <f>+SUMIF(asientos!$C$13:$C$1276,SYS_4_3_Digitos!A1384,asientos!$B$13:$B$1276)</f>
        <v>0</v>
      </c>
      <c r="H1384" s="1317">
        <f>+SUMIF(asientos!$I$13:$I$1276,SYS_4_3_Digitos!A1384,asientos!$J$13:$J$1276)</f>
        <v>0</v>
      </c>
      <c r="I1384" s="1314">
        <f t="shared" si="136"/>
        <v>0</v>
      </c>
      <c r="J1384" s="1315">
        <f t="shared" si="137"/>
        <v>0</v>
      </c>
      <c r="L1384" s="1308">
        <f t="shared" si="138"/>
        <v>0</v>
      </c>
      <c r="M1384" s="1296" t="str">
        <f t="shared" si="139"/>
        <v>0</v>
      </c>
      <c r="N1384" s="1309">
        <f t="shared" si="140"/>
        <v>0</v>
      </c>
      <c r="O1384" s="1296" t="str">
        <f t="shared" si="141"/>
        <v>0</v>
      </c>
    </row>
    <row r="1385" spans="1:15" s="1296" customFormat="1" hidden="1">
      <c r="A1385" s="1310"/>
      <c r="B1385" s="1311"/>
      <c r="C1385" s="1312">
        <v>0</v>
      </c>
      <c r="D1385" s="1313">
        <v>0</v>
      </c>
      <c r="E1385" s="1314"/>
      <c r="F1385" s="1315"/>
      <c r="G1385" s="1316">
        <f>+SUMIF(asientos!$C$13:$C$1276,SYS_4_3_Digitos!A1385,asientos!$B$13:$B$1276)</f>
        <v>0</v>
      </c>
      <c r="H1385" s="1317">
        <f>+SUMIF(asientos!$I$13:$I$1276,SYS_4_3_Digitos!A1385,asientos!$J$13:$J$1276)</f>
        <v>0</v>
      </c>
      <c r="I1385" s="1314">
        <f t="shared" si="136"/>
        <v>0</v>
      </c>
      <c r="J1385" s="1315">
        <f t="shared" si="137"/>
        <v>0</v>
      </c>
      <c r="L1385" s="1308">
        <f t="shared" si="138"/>
        <v>0</v>
      </c>
      <c r="M1385" s="1296" t="str">
        <f t="shared" si="139"/>
        <v>0</v>
      </c>
      <c r="N1385" s="1309">
        <f t="shared" si="140"/>
        <v>0</v>
      </c>
      <c r="O1385" s="1296" t="str">
        <f t="shared" si="141"/>
        <v>0</v>
      </c>
    </row>
    <row r="1386" spans="1:15" s="1296" customFormat="1" hidden="1">
      <c r="A1386" s="1310"/>
      <c r="B1386" s="1311"/>
      <c r="C1386" s="1312">
        <v>0</v>
      </c>
      <c r="D1386" s="1313">
        <v>0</v>
      </c>
      <c r="E1386" s="1314"/>
      <c r="F1386" s="1315"/>
      <c r="G1386" s="1316">
        <f>+SUMIF(asientos!$C$13:$C$1276,SYS_4_3_Digitos!A1386,asientos!$B$13:$B$1276)</f>
        <v>0</v>
      </c>
      <c r="H1386" s="1317">
        <f>+SUMIF(asientos!$I$13:$I$1276,SYS_4_3_Digitos!A1386,asientos!$J$13:$J$1276)</f>
        <v>0</v>
      </c>
      <c r="I1386" s="1314">
        <f t="shared" si="136"/>
        <v>0</v>
      </c>
      <c r="J1386" s="1315">
        <f t="shared" si="137"/>
        <v>0</v>
      </c>
      <c r="L1386" s="1308">
        <f t="shared" si="138"/>
        <v>0</v>
      </c>
      <c r="M1386" s="1296" t="str">
        <f t="shared" si="139"/>
        <v>0</v>
      </c>
      <c r="N1386" s="1309">
        <f t="shared" si="140"/>
        <v>0</v>
      </c>
      <c r="O1386" s="1296" t="str">
        <f t="shared" si="141"/>
        <v>0</v>
      </c>
    </row>
    <row r="1387" spans="1:15" s="1296" customFormat="1" hidden="1">
      <c r="A1387" s="1310"/>
      <c r="B1387" s="1311"/>
      <c r="C1387" s="1312">
        <v>0</v>
      </c>
      <c r="D1387" s="1313">
        <v>0</v>
      </c>
      <c r="E1387" s="1314"/>
      <c r="F1387" s="1315"/>
      <c r="G1387" s="1316">
        <f>+SUMIF(asientos!$C$13:$C$1276,SYS_4_3_Digitos!A1387,asientos!$B$13:$B$1276)</f>
        <v>0</v>
      </c>
      <c r="H1387" s="1317">
        <f>+SUMIF(asientos!$I$13:$I$1276,SYS_4_3_Digitos!A1387,asientos!$J$13:$J$1276)</f>
        <v>0</v>
      </c>
      <c r="I1387" s="1314">
        <f t="shared" si="136"/>
        <v>0</v>
      </c>
      <c r="J1387" s="1315">
        <f t="shared" si="137"/>
        <v>0</v>
      </c>
      <c r="L1387" s="1308">
        <f t="shared" si="138"/>
        <v>0</v>
      </c>
      <c r="M1387" s="1296" t="str">
        <f t="shared" si="139"/>
        <v>0</v>
      </c>
      <c r="N1387" s="1309">
        <f t="shared" si="140"/>
        <v>0</v>
      </c>
      <c r="O1387" s="1296" t="str">
        <f t="shared" si="141"/>
        <v>0</v>
      </c>
    </row>
    <row r="1388" spans="1:15" s="1296" customFormat="1" hidden="1">
      <c r="A1388" s="1310"/>
      <c r="B1388" s="1311"/>
      <c r="C1388" s="1312">
        <v>0</v>
      </c>
      <c r="D1388" s="1313">
        <v>0</v>
      </c>
      <c r="E1388" s="1314"/>
      <c r="F1388" s="1315"/>
      <c r="G1388" s="1316">
        <f>+SUMIF(asientos!$C$13:$C$1276,SYS_4_3_Digitos!A1388,asientos!$B$13:$B$1276)</f>
        <v>0</v>
      </c>
      <c r="H1388" s="1317">
        <f>+SUMIF(asientos!$I$13:$I$1276,SYS_4_3_Digitos!A1388,asientos!$J$13:$J$1276)</f>
        <v>0</v>
      </c>
      <c r="I1388" s="1314">
        <f t="shared" si="136"/>
        <v>0</v>
      </c>
      <c r="J1388" s="1315">
        <f t="shared" si="137"/>
        <v>0</v>
      </c>
      <c r="L1388" s="1308">
        <f t="shared" si="138"/>
        <v>0</v>
      </c>
      <c r="M1388" s="1296" t="str">
        <f t="shared" si="139"/>
        <v>0</v>
      </c>
      <c r="N1388" s="1309">
        <f t="shared" si="140"/>
        <v>0</v>
      </c>
      <c r="O1388" s="1296" t="str">
        <f t="shared" si="141"/>
        <v>0</v>
      </c>
    </row>
    <row r="1389" spans="1:15" s="1296" customFormat="1" hidden="1">
      <c r="A1389" s="1310"/>
      <c r="B1389" s="1311"/>
      <c r="C1389" s="1312">
        <v>0</v>
      </c>
      <c r="D1389" s="1313">
        <v>0</v>
      </c>
      <c r="E1389" s="1314"/>
      <c r="F1389" s="1315"/>
      <c r="G1389" s="1316">
        <f>+SUMIF(asientos!$C$13:$C$1276,SYS_4_3_Digitos!A1389,asientos!$B$13:$B$1276)</f>
        <v>0</v>
      </c>
      <c r="H1389" s="1317">
        <f>+SUMIF(asientos!$I$13:$I$1276,SYS_4_3_Digitos!A1389,asientos!$J$13:$J$1276)</f>
        <v>0</v>
      </c>
      <c r="I1389" s="1314">
        <f t="shared" si="136"/>
        <v>0</v>
      </c>
      <c r="J1389" s="1315">
        <f t="shared" si="137"/>
        <v>0</v>
      </c>
      <c r="L1389" s="1308">
        <f t="shared" si="138"/>
        <v>0</v>
      </c>
      <c r="M1389" s="1296" t="str">
        <f t="shared" si="139"/>
        <v>0</v>
      </c>
      <c r="N1389" s="1309">
        <f t="shared" si="140"/>
        <v>0</v>
      </c>
      <c r="O1389" s="1296" t="str">
        <f t="shared" si="141"/>
        <v>0</v>
      </c>
    </row>
    <row r="1390" spans="1:15" s="1296" customFormat="1" hidden="1">
      <c r="A1390" s="1310"/>
      <c r="B1390" s="1311"/>
      <c r="C1390" s="1312">
        <v>0</v>
      </c>
      <c r="D1390" s="1313">
        <v>0</v>
      </c>
      <c r="E1390" s="1314"/>
      <c r="F1390" s="1315"/>
      <c r="G1390" s="1316">
        <f>+SUMIF(asientos!$C$13:$C$1276,SYS_4_3_Digitos!A1390,asientos!$B$13:$B$1276)</f>
        <v>0</v>
      </c>
      <c r="H1390" s="1317">
        <f>+SUMIF(asientos!$I$13:$I$1276,SYS_4_3_Digitos!A1390,asientos!$J$13:$J$1276)</f>
        <v>0</v>
      </c>
      <c r="I1390" s="1314">
        <f t="shared" si="136"/>
        <v>0</v>
      </c>
      <c r="J1390" s="1315">
        <f t="shared" si="137"/>
        <v>0</v>
      </c>
      <c r="L1390" s="1308">
        <f t="shared" si="138"/>
        <v>0</v>
      </c>
      <c r="M1390" s="1296" t="str">
        <f t="shared" si="139"/>
        <v>0</v>
      </c>
      <c r="N1390" s="1309">
        <f t="shared" si="140"/>
        <v>0</v>
      </c>
      <c r="O1390" s="1296" t="str">
        <f t="shared" si="141"/>
        <v>0</v>
      </c>
    </row>
    <row r="1391" spans="1:15" s="1296" customFormat="1" hidden="1">
      <c r="A1391" s="1310"/>
      <c r="B1391" s="1311"/>
      <c r="C1391" s="1312">
        <v>0</v>
      </c>
      <c r="D1391" s="1313">
        <v>0</v>
      </c>
      <c r="E1391" s="1314"/>
      <c r="F1391" s="1315"/>
      <c r="G1391" s="1316">
        <f>+SUMIF(asientos!$C$13:$C$1276,SYS_4_3_Digitos!A1391,asientos!$B$13:$B$1276)</f>
        <v>0</v>
      </c>
      <c r="H1391" s="1317">
        <f>+SUMIF(asientos!$I$13:$I$1276,SYS_4_3_Digitos!A1391,asientos!$J$13:$J$1276)</f>
        <v>0</v>
      </c>
      <c r="I1391" s="1314">
        <f t="shared" si="136"/>
        <v>0</v>
      </c>
      <c r="J1391" s="1315">
        <f t="shared" si="137"/>
        <v>0</v>
      </c>
      <c r="L1391" s="1308">
        <f t="shared" si="138"/>
        <v>0</v>
      </c>
      <c r="M1391" s="1296" t="str">
        <f t="shared" si="139"/>
        <v>0</v>
      </c>
      <c r="N1391" s="1309">
        <f t="shared" si="140"/>
        <v>0</v>
      </c>
      <c r="O1391" s="1296" t="str">
        <f t="shared" si="141"/>
        <v>0</v>
      </c>
    </row>
    <row r="1392" spans="1:15" s="1296" customFormat="1" hidden="1">
      <c r="A1392" s="1310"/>
      <c r="B1392" s="1311"/>
      <c r="C1392" s="1312">
        <v>0</v>
      </c>
      <c r="D1392" s="1313">
        <v>0</v>
      </c>
      <c r="E1392" s="1314"/>
      <c r="F1392" s="1315"/>
      <c r="G1392" s="1316">
        <f>+SUMIF(asientos!$C$13:$C$1276,SYS_4_3_Digitos!A1392,asientos!$B$13:$B$1276)</f>
        <v>0</v>
      </c>
      <c r="H1392" s="1317">
        <f>+SUMIF(asientos!$I$13:$I$1276,SYS_4_3_Digitos!A1392,asientos!$J$13:$J$1276)</f>
        <v>0</v>
      </c>
      <c r="I1392" s="1314">
        <f t="shared" si="136"/>
        <v>0</v>
      </c>
      <c r="J1392" s="1315">
        <f t="shared" si="137"/>
        <v>0</v>
      </c>
      <c r="L1392" s="1308">
        <f t="shared" si="138"/>
        <v>0</v>
      </c>
      <c r="M1392" s="1296" t="str">
        <f t="shared" si="139"/>
        <v>0</v>
      </c>
      <c r="N1392" s="1309">
        <f t="shared" si="140"/>
        <v>0</v>
      </c>
      <c r="O1392" s="1296" t="str">
        <f t="shared" si="141"/>
        <v>0</v>
      </c>
    </row>
    <row r="1393" spans="1:15" s="1296" customFormat="1" hidden="1">
      <c r="A1393" s="1310"/>
      <c r="B1393" s="1311"/>
      <c r="C1393" s="1312">
        <v>0</v>
      </c>
      <c r="D1393" s="1313">
        <v>0</v>
      </c>
      <c r="E1393" s="1314"/>
      <c r="F1393" s="1315"/>
      <c r="G1393" s="1316">
        <f>+SUMIF(asientos!$C$13:$C$1276,SYS_4_3_Digitos!A1393,asientos!$B$13:$B$1276)</f>
        <v>0</v>
      </c>
      <c r="H1393" s="1317">
        <f>+SUMIF(asientos!$I$13:$I$1276,SYS_4_3_Digitos!A1393,asientos!$J$13:$J$1276)</f>
        <v>0</v>
      </c>
      <c r="I1393" s="1314">
        <f t="shared" si="136"/>
        <v>0</v>
      </c>
      <c r="J1393" s="1315">
        <f t="shared" si="137"/>
        <v>0</v>
      </c>
      <c r="L1393" s="1308">
        <f t="shared" si="138"/>
        <v>0</v>
      </c>
      <c r="M1393" s="1296" t="str">
        <f t="shared" si="139"/>
        <v>0</v>
      </c>
      <c r="N1393" s="1309">
        <f t="shared" si="140"/>
        <v>0</v>
      </c>
      <c r="O1393" s="1296" t="str">
        <f t="shared" si="141"/>
        <v>0</v>
      </c>
    </row>
    <row r="1394" spans="1:15" s="1296" customFormat="1" hidden="1">
      <c r="A1394" s="1310"/>
      <c r="B1394" s="1311"/>
      <c r="C1394" s="1312">
        <v>0</v>
      </c>
      <c r="D1394" s="1313">
        <v>0</v>
      </c>
      <c r="E1394" s="1314"/>
      <c r="F1394" s="1315"/>
      <c r="G1394" s="1316">
        <f>+SUMIF(asientos!$C$13:$C$1276,SYS_4_3_Digitos!A1394,asientos!$B$13:$B$1276)</f>
        <v>0</v>
      </c>
      <c r="H1394" s="1317">
        <f>+SUMIF(asientos!$I$13:$I$1276,SYS_4_3_Digitos!A1394,asientos!$J$13:$J$1276)</f>
        <v>0</v>
      </c>
      <c r="I1394" s="1314">
        <f t="shared" si="136"/>
        <v>0</v>
      </c>
      <c r="J1394" s="1315">
        <f t="shared" si="137"/>
        <v>0</v>
      </c>
      <c r="L1394" s="1308">
        <f t="shared" si="138"/>
        <v>0</v>
      </c>
      <c r="M1394" s="1296" t="str">
        <f t="shared" si="139"/>
        <v>0</v>
      </c>
      <c r="N1394" s="1309">
        <f t="shared" si="140"/>
        <v>0</v>
      </c>
      <c r="O1394" s="1296" t="str">
        <f t="shared" si="141"/>
        <v>0</v>
      </c>
    </row>
    <row r="1395" spans="1:15" s="1296" customFormat="1" hidden="1">
      <c r="A1395" s="1310"/>
      <c r="B1395" s="1311"/>
      <c r="C1395" s="1312">
        <v>0</v>
      </c>
      <c r="D1395" s="1313">
        <v>0</v>
      </c>
      <c r="E1395" s="1314"/>
      <c r="F1395" s="1315"/>
      <c r="G1395" s="1316">
        <f>+SUMIF(asientos!$C$13:$C$1276,SYS_4_3_Digitos!A1395,asientos!$B$13:$B$1276)</f>
        <v>0</v>
      </c>
      <c r="H1395" s="1317">
        <f>+SUMIF(asientos!$I$13:$I$1276,SYS_4_3_Digitos!A1395,asientos!$J$13:$J$1276)</f>
        <v>0</v>
      </c>
      <c r="I1395" s="1314">
        <f t="shared" si="136"/>
        <v>0</v>
      </c>
      <c r="J1395" s="1315">
        <f t="shared" si="137"/>
        <v>0</v>
      </c>
      <c r="L1395" s="1308">
        <f t="shared" si="138"/>
        <v>0</v>
      </c>
      <c r="M1395" s="1296" t="str">
        <f t="shared" si="139"/>
        <v>0</v>
      </c>
      <c r="N1395" s="1309">
        <f t="shared" si="140"/>
        <v>0</v>
      </c>
      <c r="O1395" s="1296" t="str">
        <f t="shared" si="141"/>
        <v>0</v>
      </c>
    </row>
    <row r="1396" spans="1:15" s="1296" customFormat="1" hidden="1">
      <c r="A1396" s="1310"/>
      <c r="B1396" s="1311"/>
      <c r="C1396" s="1312">
        <v>0</v>
      </c>
      <c r="D1396" s="1313">
        <v>0</v>
      </c>
      <c r="E1396" s="1314"/>
      <c r="F1396" s="1315"/>
      <c r="G1396" s="1316">
        <f>+SUMIF(asientos!$C$13:$C$1276,SYS_4_3_Digitos!A1396,asientos!$B$13:$B$1276)</f>
        <v>0</v>
      </c>
      <c r="H1396" s="1317">
        <f>+SUMIF(asientos!$I$13:$I$1276,SYS_4_3_Digitos!A1396,asientos!$J$13:$J$1276)</f>
        <v>0</v>
      </c>
      <c r="I1396" s="1314">
        <f t="shared" si="136"/>
        <v>0</v>
      </c>
      <c r="J1396" s="1315">
        <f t="shared" si="137"/>
        <v>0</v>
      </c>
      <c r="L1396" s="1308">
        <f t="shared" si="138"/>
        <v>0</v>
      </c>
      <c r="M1396" s="1296" t="str">
        <f t="shared" si="139"/>
        <v>0</v>
      </c>
      <c r="N1396" s="1309">
        <f t="shared" si="140"/>
        <v>0</v>
      </c>
      <c r="O1396" s="1296" t="str">
        <f t="shared" si="141"/>
        <v>0</v>
      </c>
    </row>
    <row r="1397" spans="1:15" s="1296" customFormat="1" hidden="1">
      <c r="A1397" s="1310"/>
      <c r="B1397" s="1311"/>
      <c r="C1397" s="1312">
        <v>0</v>
      </c>
      <c r="D1397" s="1313">
        <v>0</v>
      </c>
      <c r="E1397" s="1314"/>
      <c r="F1397" s="1315"/>
      <c r="G1397" s="1316">
        <f>+SUMIF(asientos!$C$13:$C$1276,SYS_4_3_Digitos!A1397,asientos!$B$13:$B$1276)</f>
        <v>0</v>
      </c>
      <c r="H1397" s="1317">
        <f>+SUMIF(asientos!$I$13:$I$1276,SYS_4_3_Digitos!A1397,asientos!$J$13:$J$1276)</f>
        <v>0</v>
      </c>
      <c r="I1397" s="1314">
        <f t="shared" si="136"/>
        <v>0</v>
      </c>
      <c r="J1397" s="1315">
        <f t="shared" si="137"/>
        <v>0</v>
      </c>
      <c r="L1397" s="1308">
        <f t="shared" si="138"/>
        <v>0</v>
      </c>
      <c r="M1397" s="1296" t="str">
        <f t="shared" si="139"/>
        <v>0</v>
      </c>
      <c r="N1397" s="1309">
        <f t="shared" si="140"/>
        <v>0</v>
      </c>
      <c r="O1397" s="1296" t="str">
        <f t="shared" si="141"/>
        <v>0</v>
      </c>
    </row>
    <row r="1398" spans="1:15" s="1296" customFormat="1" hidden="1">
      <c r="A1398" s="1310"/>
      <c r="B1398" s="1311"/>
      <c r="C1398" s="1312">
        <v>0</v>
      </c>
      <c r="D1398" s="1313">
        <v>0</v>
      </c>
      <c r="E1398" s="1314"/>
      <c r="F1398" s="1315"/>
      <c r="G1398" s="1316">
        <f>+SUMIF(asientos!$C$13:$C$1276,SYS_4_3_Digitos!A1398,asientos!$B$13:$B$1276)</f>
        <v>0</v>
      </c>
      <c r="H1398" s="1317">
        <f>+SUMIF(asientos!$I$13:$I$1276,SYS_4_3_Digitos!A1398,asientos!$J$13:$J$1276)</f>
        <v>0</v>
      </c>
      <c r="I1398" s="1314">
        <f t="shared" si="136"/>
        <v>0</v>
      </c>
      <c r="J1398" s="1315">
        <f t="shared" si="137"/>
        <v>0</v>
      </c>
      <c r="L1398" s="1308">
        <f t="shared" si="138"/>
        <v>0</v>
      </c>
      <c r="M1398" s="1296" t="str">
        <f t="shared" si="139"/>
        <v>0</v>
      </c>
      <c r="N1398" s="1309">
        <f t="shared" si="140"/>
        <v>0</v>
      </c>
      <c r="O1398" s="1296" t="str">
        <f t="shared" si="141"/>
        <v>0</v>
      </c>
    </row>
    <row r="1399" spans="1:15" s="1296" customFormat="1" hidden="1">
      <c r="A1399" s="1310"/>
      <c r="B1399" s="1311"/>
      <c r="C1399" s="1312">
        <v>0</v>
      </c>
      <c r="D1399" s="1313">
        <v>0</v>
      </c>
      <c r="E1399" s="1314"/>
      <c r="F1399" s="1315"/>
      <c r="G1399" s="1316">
        <f>+SUMIF(asientos!$C$13:$C$1276,SYS_4_3_Digitos!A1399,asientos!$B$13:$B$1276)</f>
        <v>0</v>
      </c>
      <c r="H1399" s="1317">
        <f>+SUMIF(asientos!$I$13:$I$1276,SYS_4_3_Digitos!A1399,asientos!$J$13:$J$1276)</f>
        <v>0</v>
      </c>
      <c r="I1399" s="1314">
        <f t="shared" si="136"/>
        <v>0</v>
      </c>
      <c r="J1399" s="1315">
        <f t="shared" si="137"/>
        <v>0</v>
      </c>
      <c r="L1399" s="1308">
        <f t="shared" si="138"/>
        <v>0</v>
      </c>
      <c r="M1399" s="1296" t="str">
        <f t="shared" si="139"/>
        <v>0</v>
      </c>
      <c r="N1399" s="1309">
        <f t="shared" si="140"/>
        <v>0</v>
      </c>
      <c r="O1399" s="1296" t="str">
        <f t="shared" si="141"/>
        <v>0</v>
      </c>
    </row>
    <row r="1400" spans="1:15" s="1296" customFormat="1" hidden="1">
      <c r="A1400" s="1310"/>
      <c r="B1400" s="1311"/>
      <c r="C1400" s="1312">
        <v>0</v>
      </c>
      <c r="D1400" s="1313">
        <v>0</v>
      </c>
      <c r="E1400" s="1314"/>
      <c r="F1400" s="1315"/>
      <c r="G1400" s="1316">
        <f>+SUMIF(asientos!$C$13:$C$1276,SYS_4_3_Digitos!A1400,asientos!$B$13:$B$1276)</f>
        <v>0</v>
      </c>
      <c r="H1400" s="1317">
        <f>+SUMIF(asientos!$I$13:$I$1276,SYS_4_3_Digitos!A1400,asientos!$J$13:$J$1276)</f>
        <v>0</v>
      </c>
      <c r="I1400" s="1314">
        <f t="shared" si="136"/>
        <v>0</v>
      </c>
      <c r="J1400" s="1315">
        <f t="shared" si="137"/>
        <v>0</v>
      </c>
      <c r="L1400" s="1308">
        <f t="shared" si="138"/>
        <v>0</v>
      </c>
      <c r="M1400" s="1296" t="str">
        <f t="shared" si="139"/>
        <v>0</v>
      </c>
      <c r="N1400" s="1309">
        <f t="shared" si="140"/>
        <v>0</v>
      </c>
      <c r="O1400" s="1296" t="str">
        <f t="shared" si="141"/>
        <v>0</v>
      </c>
    </row>
    <row r="1401" spans="1:15" s="1296" customFormat="1" hidden="1">
      <c r="A1401" s="1310"/>
      <c r="B1401" s="1311"/>
      <c r="C1401" s="1312">
        <v>0</v>
      </c>
      <c r="D1401" s="1313">
        <v>0</v>
      </c>
      <c r="E1401" s="1314"/>
      <c r="F1401" s="1315"/>
      <c r="G1401" s="1316">
        <f>+SUMIF(asientos!$C$13:$C$1276,SYS_4_3_Digitos!A1401,asientos!$B$13:$B$1276)</f>
        <v>0</v>
      </c>
      <c r="H1401" s="1317">
        <f>+SUMIF(asientos!$I$13:$I$1276,SYS_4_3_Digitos!A1401,asientos!$J$13:$J$1276)</f>
        <v>0</v>
      </c>
      <c r="I1401" s="1314">
        <f t="shared" si="136"/>
        <v>0</v>
      </c>
      <c r="J1401" s="1315">
        <f t="shared" si="137"/>
        <v>0</v>
      </c>
      <c r="L1401" s="1308">
        <f t="shared" si="138"/>
        <v>0</v>
      </c>
      <c r="M1401" s="1296" t="str">
        <f t="shared" si="139"/>
        <v>0</v>
      </c>
      <c r="N1401" s="1309">
        <f t="shared" si="140"/>
        <v>0</v>
      </c>
      <c r="O1401" s="1296" t="str">
        <f t="shared" si="141"/>
        <v>0</v>
      </c>
    </row>
    <row r="1402" spans="1:15" s="1296" customFormat="1" hidden="1">
      <c r="A1402" s="1310"/>
      <c r="B1402" s="1311"/>
      <c r="C1402" s="1312">
        <v>0</v>
      </c>
      <c r="D1402" s="1313">
        <v>0</v>
      </c>
      <c r="E1402" s="1314"/>
      <c r="F1402" s="1315"/>
      <c r="G1402" s="1316">
        <f>+SUMIF(asientos!$C$13:$C$1276,SYS_4_3_Digitos!A1402,asientos!$B$13:$B$1276)</f>
        <v>0</v>
      </c>
      <c r="H1402" s="1317">
        <f>+SUMIF(asientos!$I$13:$I$1276,SYS_4_3_Digitos!A1402,asientos!$J$13:$J$1276)</f>
        <v>0</v>
      </c>
      <c r="I1402" s="1314">
        <f t="shared" si="136"/>
        <v>0</v>
      </c>
      <c r="J1402" s="1315">
        <f t="shared" si="137"/>
        <v>0</v>
      </c>
      <c r="L1402" s="1308">
        <f t="shared" si="138"/>
        <v>0</v>
      </c>
      <c r="M1402" s="1296" t="str">
        <f t="shared" si="139"/>
        <v>0</v>
      </c>
      <c r="N1402" s="1309">
        <f t="shared" si="140"/>
        <v>0</v>
      </c>
      <c r="O1402" s="1296" t="str">
        <f t="shared" si="141"/>
        <v>0</v>
      </c>
    </row>
    <row r="1403" spans="1:15" s="1296" customFormat="1" hidden="1">
      <c r="A1403" s="1310"/>
      <c r="B1403" s="1311"/>
      <c r="C1403" s="1312">
        <v>0</v>
      </c>
      <c r="D1403" s="1313">
        <v>0</v>
      </c>
      <c r="E1403" s="1314"/>
      <c r="F1403" s="1315"/>
      <c r="G1403" s="1316">
        <f>+SUMIF(asientos!$C$13:$C$1276,SYS_4_3_Digitos!A1403,asientos!$B$13:$B$1276)</f>
        <v>0</v>
      </c>
      <c r="H1403" s="1317">
        <f>+SUMIF(asientos!$I$13:$I$1276,SYS_4_3_Digitos!A1403,asientos!$J$13:$J$1276)</f>
        <v>0</v>
      </c>
      <c r="I1403" s="1314">
        <f t="shared" si="136"/>
        <v>0</v>
      </c>
      <c r="J1403" s="1315">
        <f t="shared" si="137"/>
        <v>0</v>
      </c>
      <c r="L1403" s="1308">
        <f t="shared" si="138"/>
        <v>0</v>
      </c>
      <c r="M1403" s="1296" t="str">
        <f t="shared" si="139"/>
        <v>0</v>
      </c>
      <c r="N1403" s="1309">
        <f t="shared" si="140"/>
        <v>0</v>
      </c>
      <c r="O1403" s="1296" t="str">
        <f t="shared" si="141"/>
        <v>0</v>
      </c>
    </row>
    <row r="1404" spans="1:15" s="1296" customFormat="1" hidden="1">
      <c r="A1404" s="1310"/>
      <c r="B1404" s="1311"/>
      <c r="C1404" s="1312">
        <v>0</v>
      </c>
      <c r="D1404" s="1313">
        <v>0</v>
      </c>
      <c r="E1404" s="1314"/>
      <c r="F1404" s="1315"/>
      <c r="G1404" s="1316">
        <f>+SUMIF(asientos!$C$13:$C$1276,SYS_4_3_Digitos!A1404,asientos!$B$13:$B$1276)</f>
        <v>0</v>
      </c>
      <c r="H1404" s="1317">
        <f>+SUMIF(asientos!$I$13:$I$1276,SYS_4_3_Digitos!A1404,asientos!$J$13:$J$1276)</f>
        <v>0</v>
      </c>
      <c r="I1404" s="1314">
        <f t="shared" si="136"/>
        <v>0</v>
      </c>
      <c r="J1404" s="1315">
        <f t="shared" si="137"/>
        <v>0</v>
      </c>
      <c r="L1404" s="1308">
        <f t="shared" si="138"/>
        <v>0</v>
      </c>
      <c r="M1404" s="1296" t="str">
        <f t="shared" si="139"/>
        <v>0</v>
      </c>
      <c r="N1404" s="1309">
        <f t="shared" si="140"/>
        <v>0</v>
      </c>
      <c r="O1404" s="1296" t="str">
        <f t="shared" si="141"/>
        <v>0</v>
      </c>
    </row>
    <row r="1405" spans="1:15" s="1296" customFormat="1" hidden="1">
      <c r="A1405" s="1310"/>
      <c r="B1405" s="1311"/>
      <c r="C1405" s="1312">
        <v>0</v>
      </c>
      <c r="D1405" s="1313">
        <v>0</v>
      </c>
      <c r="E1405" s="1314"/>
      <c r="F1405" s="1315"/>
      <c r="G1405" s="1316">
        <f>+SUMIF(asientos!$C$13:$C$1276,SYS_4_3_Digitos!A1405,asientos!$B$13:$B$1276)</f>
        <v>0</v>
      </c>
      <c r="H1405" s="1317">
        <f>+SUMIF(asientos!$I$13:$I$1276,SYS_4_3_Digitos!A1405,asientos!$J$13:$J$1276)</f>
        <v>0</v>
      </c>
      <c r="I1405" s="1314">
        <f t="shared" si="136"/>
        <v>0</v>
      </c>
      <c r="J1405" s="1315">
        <f t="shared" si="137"/>
        <v>0</v>
      </c>
      <c r="L1405" s="1308">
        <f t="shared" si="138"/>
        <v>0</v>
      </c>
      <c r="M1405" s="1296" t="str">
        <f t="shared" si="139"/>
        <v>0</v>
      </c>
      <c r="N1405" s="1309">
        <f t="shared" si="140"/>
        <v>0</v>
      </c>
      <c r="O1405" s="1296" t="str">
        <f t="shared" si="141"/>
        <v>0</v>
      </c>
    </row>
    <row r="1406" spans="1:15" s="1296" customFormat="1" hidden="1">
      <c r="A1406" s="1310"/>
      <c r="B1406" s="1311"/>
      <c r="C1406" s="1312">
        <v>0</v>
      </c>
      <c r="D1406" s="1313">
        <v>0</v>
      </c>
      <c r="E1406" s="1314"/>
      <c r="F1406" s="1315"/>
      <c r="G1406" s="1316">
        <f>+SUMIF(asientos!$C$13:$C$1276,SYS_4_3_Digitos!A1406,asientos!$B$13:$B$1276)</f>
        <v>0</v>
      </c>
      <c r="H1406" s="1317">
        <f>+SUMIF(asientos!$I$13:$I$1276,SYS_4_3_Digitos!A1406,asientos!$J$13:$J$1276)</f>
        <v>0</v>
      </c>
      <c r="I1406" s="1314">
        <f t="shared" si="136"/>
        <v>0</v>
      </c>
      <c r="J1406" s="1315">
        <f t="shared" si="137"/>
        <v>0</v>
      </c>
      <c r="L1406" s="1308">
        <f t="shared" si="138"/>
        <v>0</v>
      </c>
      <c r="M1406" s="1296" t="str">
        <f t="shared" si="139"/>
        <v>0</v>
      </c>
      <c r="N1406" s="1309">
        <f t="shared" si="140"/>
        <v>0</v>
      </c>
      <c r="O1406" s="1296" t="str">
        <f t="shared" si="141"/>
        <v>0</v>
      </c>
    </row>
    <row r="1407" spans="1:15" s="1296" customFormat="1" hidden="1">
      <c r="A1407" s="1310"/>
      <c r="B1407" s="1311"/>
      <c r="C1407" s="1312">
        <v>0</v>
      </c>
      <c r="D1407" s="1313">
        <v>0</v>
      </c>
      <c r="E1407" s="1314"/>
      <c r="F1407" s="1315"/>
      <c r="G1407" s="1316">
        <f>+SUMIF(asientos!$C$13:$C$1276,SYS_4_3_Digitos!A1407,asientos!$B$13:$B$1276)</f>
        <v>0</v>
      </c>
      <c r="H1407" s="1317">
        <f>+SUMIF(asientos!$I$13:$I$1276,SYS_4_3_Digitos!A1407,asientos!$J$13:$J$1276)</f>
        <v>0</v>
      </c>
      <c r="I1407" s="1314">
        <f t="shared" si="136"/>
        <v>0</v>
      </c>
      <c r="J1407" s="1315">
        <f t="shared" si="137"/>
        <v>0</v>
      </c>
      <c r="L1407" s="1308">
        <f t="shared" si="138"/>
        <v>0</v>
      </c>
      <c r="M1407" s="1296" t="str">
        <f t="shared" si="139"/>
        <v>0</v>
      </c>
      <c r="N1407" s="1309">
        <f t="shared" si="140"/>
        <v>0</v>
      </c>
      <c r="O1407" s="1296" t="str">
        <f t="shared" si="141"/>
        <v>0</v>
      </c>
    </row>
    <row r="1408" spans="1:15" s="1296" customFormat="1" hidden="1">
      <c r="A1408" s="1310"/>
      <c r="B1408" s="1311"/>
      <c r="C1408" s="1312">
        <v>0</v>
      </c>
      <c r="D1408" s="1313">
        <v>0</v>
      </c>
      <c r="E1408" s="1314"/>
      <c r="F1408" s="1315"/>
      <c r="G1408" s="1316">
        <f>+SUMIF(asientos!$C$13:$C$1276,SYS_4_3_Digitos!A1408,asientos!$B$13:$B$1276)</f>
        <v>0</v>
      </c>
      <c r="H1408" s="1317">
        <f>+SUMIF(asientos!$I$13:$I$1276,SYS_4_3_Digitos!A1408,asientos!$J$13:$J$1276)</f>
        <v>0</v>
      </c>
      <c r="I1408" s="1314">
        <f t="shared" si="136"/>
        <v>0</v>
      </c>
      <c r="J1408" s="1315">
        <f t="shared" si="137"/>
        <v>0</v>
      </c>
      <c r="L1408" s="1308">
        <f t="shared" si="138"/>
        <v>0</v>
      </c>
      <c r="M1408" s="1296" t="str">
        <f t="shared" si="139"/>
        <v>0</v>
      </c>
      <c r="N1408" s="1309">
        <f t="shared" si="140"/>
        <v>0</v>
      </c>
      <c r="O1408" s="1296" t="str">
        <f t="shared" si="141"/>
        <v>0</v>
      </c>
    </row>
    <row r="1409" spans="1:15" s="1296" customFormat="1" hidden="1">
      <c r="A1409" s="1310"/>
      <c r="B1409" s="1311"/>
      <c r="C1409" s="1312">
        <v>0</v>
      </c>
      <c r="D1409" s="1313">
        <v>0</v>
      </c>
      <c r="E1409" s="1314"/>
      <c r="F1409" s="1315"/>
      <c r="G1409" s="1316">
        <f>+SUMIF(asientos!$C$13:$C$1276,SYS_4_3_Digitos!A1409,asientos!$B$13:$B$1276)</f>
        <v>0</v>
      </c>
      <c r="H1409" s="1317">
        <f>+SUMIF(asientos!$I$13:$I$1276,SYS_4_3_Digitos!A1409,asientos!$J$13:$J$1276)</f>
        <v>0</v>
      </c>
      <c r="I1409" s="1314">
        <f t="shared" si="136"/>
        <v>0</v>
      </c>
      <c r="J1409" s="1315">
        <f t="shared" si="137"/>
        <v>0</v>
      </c>
      <c r="L1409" s="1308">
        <f t="shared" si="138"/>
        <v>0</v>
      </c>
      <c r="M1409" s="1296" t="str">
        <f t="shared" si="139"/>
        <v>0</v>
      </c>
      <c r="N1409" s="1309">
        <f t="shared" si="140"/>
        <v>0</v>
      </c>
      <c r="O1409" s="1296" t="str">
        <f t="shared" si="141"/>
        <v>0</v>
      </c>
    </row>
    <row r="1410" spans="1:15" s="1296" customFormat="1" hidden="1">
      <c r="A1410" s="1310"/>
      <c r="B1410" s="1311"/>
      <c r="C1410" s="1312">
        <v>0</v>
      </c>
      <c r="D1410" s="1313">
        <v>0</v>
      </c>
      <c r="E1410" s="1314"/>
      <c r="F1410" s="1315"/>
      <c r="G1410" s="1316">
        <f>+SUMIF(asientos!$C$13:$C$1276,SYS_4_3_Digitos!A1410,asientos!$B$13:$B$1276)</f>
        <v>0</v>
      </c>
      <c r="H1410" s="1317">
        <f>+SUMIF(asientos!$I$13:$I$1276,SYS_4_3_Digitos!A1410,asientos!$J$13:$J$1276)</f>
        <v>0</v>
      </c>
      <c r="I1410" s="1314">
        <f t="shared" si="136"/>
        <v>0</v>
      </c>
      <c r="J1410" s="1315">
        <f t="shared" si="137"/>
        <v>0</v>
      </c>
      <c r="L1410" s="1308">
        <f t="shared" si="138"/>
        <v>0</v>
      </c>
      <c r="M1410" s="1296" t="str">
        <f t="shared" si="139"/>
        <v>0</v>
      </c>
      <c r="N1410" s="1309">
        <f t="shared" si="140"/>
        <v>0</v>
      </c>
      <c r="O1410" s="1296" t="str">
        <f t="shared" si="141"/>
        <v>0</v>
      </c>
    </row>
    <row r="1411" spans="1:15" s="1296" customFormat="1" hidden="1">
      <c r="A1411" s="1310"/>
      <c r="B1411" s="1311"/>
      <c r="C1411" s="1312">
        <v>0</v>
      </c>
      <c r="D1411" s="1313">
        <v>0</v>
      </c>
      <c r="E1411" s="1314"/>
      <c r="F1411" s="1315"/>
      <c r="G1411" s="1316">
        <f>+SUMIF(asientos!$C$13:$C$1276,SYS_4_3_Digitos!A1411,asientos!$B$13:$B$1276)</f>
        <v>0</v>
      </c>
      <c r="H1411" s="1317">
        <f>+SUMIF(asientos!$I$13:$I$1276,SYS_4_3_Digitos!A1411,asientos!$J$13:$J$1276)</f>
        <v>0</v>
      </c>
      <c r="I1411" s="1314">
        <f t="shared" si="136"/>
        <v>0</v>
      </c>
      <c r="J1411" s="1315">
        <f t="shared" si="137"/>
        <v>0</v>
      </c>
      <c r="L1411" s="1308">
        <f t="shared" si="138"/>
        <v>0</v>
      </c>
      <c r="M1411" s="1296" t="str">
        <f t="shared" si="139"/>
        <v>0</v>
      </c>
      <c r="N1411" s="1309">
        <f t="shared" si="140"/>
        <v>0</v>
      </c>
      <c r="O1411" s="1296" t="str">
        <f t="shared" si="141"/>
        <v>0</v>
      </c>
    </row>
    <row r="1412" spans="1:15" s="1296" customFormat="1" hidden="1">
      <c r="A1412" s="1310"/>
      <c r="B1412" s="1311"/>
      <c r="C1412" s="1312">
        <v>0</v>
      </c>
      <c r="D1412" s="1313">
        <v>0</v>
      </c>
      <c r="E1412" s="1314"/>
      <c r="F1412" s="1315"/>
      <c r="G1412" s="1316">
        <f>+SUMIF(asientos!$C$13:$C$1276,SYS_4_3_Digitos!A1412,asientos!$B$13:$B$1276)</f>
        <v>0</v>
      </c>
      <c r="H1412" s="1317">
        <f>+SUMIF(asientos!$I$13:$I$1276,SYS_4_3_Digitos!A1412,asientos!$J$13:$J$1276)</f>
        <v>0</v>
      </c>
      <c r="I1412" s="1314">
        <f t="shared" si="136"/>
        <v>0</v>
      </c>
      <c r="J1412" s="1315">
        <f t="shared" si="137"/>
        <v>0</v>
      </c>
      <c r="L1412" s="1308">
        <f t="shared" si="138"/>
        <v>0</v>
      </c>
      <c r="M1412" s="1296" t="str">
        <f t="shared" si="139"/>
        <v>0</v>
      </c>
      <c r="N1412" s="1309">
        <f t="shared" si="140"/>
        <v>0</v>
      </c>
      <c r="O1412" s="1296" t="str">
        <f t="shared" si="141"/>
        <v>0</v>
      </c>
    </row>
    <row r="1413" spans="1:15" s="1296" customFormat="1" hidden="1">
      <c r="A1413" s="1310"/>
      <c r="B1413" s="1311"/>
      <c r="C1413" s="1312">
        <v>0</v>
      </c>
      <c r="D1413" s="1313">
        <v>0</v>
      </c>
      <c r="E1413" s="1314"/>
      <c r="F1413" s="1315"/>
      <c r="G1413" s="1316">
        <f>+SUMIF(asientos!$C$13:$C$1276,SYS_4_3_Digitos!A1413,asientos!$B$13:$B$1276)</f>
        <v>0</v>
      </c>
      <c r="H1413" s="1317">
        <f>+SUMIF(asientos!$I$13:$I$1276,SYS_4_3_Digitos!A1413,asientos!$J$13:$J$1276)</f>
        <v>0</v>
      </c>
      <c r="I1413" s="1314">
        <f t="shared" si="136"/>
        <v>0</v>
      </c>
      <c r="J1413" s="1315">
        <f t="shared" si="137"/>
        <v>0</v>
      </c>
      <c r="L1413" s="1308">
        <f t="shared" si="138"/>
        <v>0</v>
      </c>
      <c r="M1413" s="1296" t="str">
        <f t="shared" si="139"/>
        <v>0</v>
      </c>
      <c r="N1413" s="1309">
        <f t="shared" si="140"/>
        <v>0</v>
      </c>
      <c r="O1413" s="1296" t="str">
        <f t="shared" si="141"/>
        <v>0</v>
      </c>
    </row>
    <row r="1414" spans="1:15" s="1296" customFormat="1" hidden="1">
      <c r="A1414" s="1310"/>
      <c r="B1414" s="1311"/>
      <c r="C1414" s="1312">
        <v>0</v>
      </c>
      <c r="D1414" s="1313">
        <v>0</v>
      </c>
      <c r="E1414" s="1314"/>
      <c r="F1414" s="1315"/>
      <c r="G1414" s="1316">
        <f>+SUMIF(asientos!$C$13:$C$1276,SYS_4_3_Digitos!A1414,asientos!$B$13:$B$1276)</f>
        <v>0</v>
      </c>
      <c r="H1414" s="1317">
        <f>+SUMIF(asientos!$I$13:$I$1276,SYS_4_3_Digitos!A1414,asientos!$J$13:$J$1276)</f>
        <v>0</v>
      </c>
      <c r="I1414" s="1314">
        <f t="shared" si="136"/>
        <v>0</v>
      </c>
      <c r="J1414" s="1315">
        <f t="shared" si="137"/>
        <v>0</v>
      </c>
      <c r="L1414" s="1308">
        <f t="shared" si="138"/>
        <v>0</v>
      </c>
      <c r="M1414" s="1296" t="str">
        <f t="shared" si="139"/>
        <v>0</v>
      </c>
      <c r="N1414" s="1309">
        <f t="shared" si="140"/>
        <v>0</v>
      </c>
      <c r="O1414" s="1296" t="str">
        <f t="shared" si="141"/>
        <v>0</v>
      </c>
    </row>
    <row r="1415" spans="1:15" s="1296" customFormat="1" hidden="1">
      <c r="A1415" s="1310"/>
      <c r="B1415" s="1311"/>
      <c r="C1415" s="1312">
        <v>0</v>
      </c>
      <c r="D1415" s="1313">
        <v>0</v>
      </c>
      <c r="E1415" s="1314"/>
      <c r="F1415" s="1315"/>
      <c r="G1415" s="1316">
        <f>+SUMIF(asientos!$C$13:$C$1276,SYS_4_3_Digitos!A1415,asientos!$B$13:$B$1276)</f>
        <v>0</v>
      </c>
      <c r="H1415" s="1317">
        <f>+SUMIF(asientos!$I$13:$I$1276,SYS_4_3_Digitos!A1415,asientos!$J$13:$J$1276)</f>
        <v>0</v>
      </c>
      <c r="I1415" s="1314">
        <f t="shared" si="136"/>
        <v>0</v>
      </c>
      <c r="J1415" s="1315">
        <f t="shared" si="137"/>
        <v>0</v>
      </c>
      <c r="L1415" s="1308">
        <f t="shared" si="138"/>
        <v>0</v>
      </c>
      <c r="M1415" s="1296" t="str">
        <f t="shared" si="139"/>
        <v>0</v>
      </c>
      <c r="N1415" s="1309">
        <f t="shared" si="140"/>
        <v>0</v>
      </c>
      <c r="O1415" s="1296" t="str">
        <f t="shared" si="141"/>
        <v>0</v>
      </c>
    </row>
    <row r="1416" spans="1:15" s="1296" customFormat="1" hidden="1">
      <c r="A1416" s="1310"/>
      <c r="B1416" s="1311"/>
      <c r="C1416" s="1312">
        <v>0</v>
      </c>
      <c r="D1416" s="1313">
        <v>0</v>
      </c>
      <c r="E1416" s="1314"/>
      <c r="F1416" s="1315"/>
      <c r="G1416" s="1316">
        <f>+SUMIF(asientos!$C$13:$C$1276,SYS_4_3_Digitos!A1416,asientos!$B$13:$B$1276)</f>
        <v>0</v>
      </c>
      <c r="H1416" s="1317">
        <f>+SUMIF(asientos!$I$13:$I$1276,SYS_4_3_Digitos!A1416,asientos!$J$13:$J$1276)</f>
        <v>0</v>
      </c>
      <c r="I1416" s="1314">
        <f t="shared" si="136"/>
        <v>0</v>
      </c>
      <c r="J1416" s="1315">
        <f t="shared" si="137"/>
        <v>0</v>
      </c>
      <c r="L1416" s="1308">
        <f t="shared" si="138"/>
        <v>0</v>
      </c>
      <c r="M1416" s="1296" t="str">
        <f t="shared" si="139"/>
        <v>0</v>
      </c>
      <c r="N1416" s="1309">
        <f t="shared" si="140"/>
        <v>0</v>
      </c>
      <c r="O1416" s="1296" t="str">
        <f t="shared" si="141"/>
        <v>0</v>
      </c>
    </row>
    <row r="1417" spans="1:15" s="1296" customFormat="1" hidden="1">
      <c r="A1417" s="1310"/>
      <c r="B1417" s="1311"/>
      <c r="C1417" s="1312">
        <v>0</v>
      </c>
      <c r="D1417" s="1313">
        <v>0</v>
      </c>
      <c r="E1417" s="1314"/>
      <c r="F1417" s="1315"/>
      <c r="G1417" s="1316">
        <f>+SUMIF(asientos!$C$13:$C$1276,SYS_4_3_Digitos!A1417,asientos!$B$13:$B$1276)</f>
        <v>0</v>
      </c>
      <c r="H1417" s="1317">
        <f>+SUMIF(asientos!$I$13:$I$1276,SYS_4_3_Digitos!A1417,asientos!$J$13:$J$1276)</f>
        <v>0</v>
      </c>
      <c r="I1417" s="1314">
        <f t="shared" si="136"/>
        <v>0</v>
      </c>
      <c r="J1417" s="1315">
        <f t="shared" si="137"/>
        <v>0</v>
      </c>
      <c r="L1417" s="1308">
        <f t="shared" si="138"/>
        <v>0</v>
      </c>
      <c r="M1417" s="1296" t="str">
        <f t="shared" si="139"/>
        <v>0</v>
      </c>
      <c r="N1417" s="1309">
        <f t="shared" si="140"/>
        <v>0</v>
      </c>
      <c r="O1417" s="1296" t="str">
        <f t="shared" si="141"/>
        <v>0</v>
      </c>
    </row>
    <row r="1418" spans="1:15" s="1296" customFormat="1" hidden="1">
      <c r="A1418" s="1310"/>
      <c r="B1418" s="1311"/>
      <c r="C1418" s="1312">
        <v>0</v>
      </c>
      <c r="D1418" s="1313">
        <v>0</v>
      </c>
      <c r="E1418" s="1314"/>
      <c r="F1418" s="1315"/>
      <c r="G1418" s="1316">
        <f>+SUMIF(asientos!$C$13:$C$1276,SYS_4_3_Digitos!A1418,asientos!$B$13:$B$1276)</f>
        <v>0</v>
      </c>
      <c r="H1418" s="1317">
        <f>+SUMIF(asientos!$I$13:$I$1276,SYS_4_3_Digitos!A1418,asientos!$J$13:$J$1276)</f>
        <v>0</v>
      </c>
      <c r="I1418" s="1314">
        <f t="shared" si="136"/>
        <v>0</v>
      </c>
      <c r="J1418" s="1315">
        <f t="shared" si="137"/>
        <v>0</v>
      </c>
      <c r="L1418" s="1308">
        <f t="shared" si="138"/>
        <v>0</v>
      </c>
      <c r="M1418" s="1296" t="str">
        <f t="shared" si="139"/>
        <v>0</v>
      </c>
      <c r="N1418" s="1309">
        <f t="shared" si="140"/>
        <v>0</v>
      </c>
      <c r="O1418" s="1296" t="str">
        <f t="shared" si="141"/>
        <v>0</v>
      </c>
    </row>
    <row r="1419" spans="1:15" s="1296" customFormat="1" hidden="1">
      <c r="A1419" s="1310"/>
      <c r="B1419" s="1311"/>
      <c r="C1419" s="1312">
        <v>0</v>
      </c>
      <c r="D1419" s="1313">
        <v>0</v>
      </c>
      <c r="E1419" s="1314"/>
      <c r="F1419" s="1315"/>
      <c r="G1419" s="1316">
        <f>+SUMIF(asientos!$C$13:$C$1276,SYS_4_3_Digitos!A1419,asientos!$B$13:$B$1276)</f>
        <v>0</v>
      </c>
      <c r="H1419" s="1317">
        <f>+SUMIF(asientos!$I$13:$I$1276,SYS_4_3_Digitos!A1419,asientos!$J$13:$J$1276)</f>
        <v>0</v>
      </c>
      <c r="I1419" s="1314">
        <f t="shared" si="136"/>
        <v>0</v>
      </c>
      <c r="J1419" s="1315">
        <f t="shared" si="137"/>
        <v>0</v>
      </c>
      <c r="L1419" s="1308">
        <f t="shared" si="138"/>
        <v>0</v>
      </c>
      <c r="M1419" s="1296" t="str">
        <f t="shared" si="139"/>
        <v>0</v>
      </c>
      <c r="N1419" s="1309">
        <f t="shared" si="140"/>
        <v>0</v>
      </c>
      <c r="O1419" s="1296" t="str">
        <f t="shared" si="141"/>
        <v>0</v>
      </c>
    </row>
    <row r="1420" spans="1:15" s="1296" customFormat="1" hidden="1">
      <c r="A1420" s="1310"/>
      <c r="B1420" s="1311"/>
      <c r="C1420" s="1312">
        <v>0</v>
      </c>
      <c r="D1420" s="1313">
        <v>0</v>
      </c>
      <c r="E1420" s="1314"/>
      <c r="F1420" s="1315"/>
      <c r="G1420" s="1316">
        <f>+SUMIF(asientos!$C$13:$C$1276,SYS_4_3_Digitos!A1420,asientos!$B$13:$B$1276)</f>
        <v>0</v>
      </c>
      <c r="H1420" s="1317">
        <f>+SUMIF(asientos!$I$13:$I$1276,SYS_4_3_Digitos!A1420,asientos!$J$13:$J$1276)</f>
        <v>0</v>
      </c>
      <c r="I1420" s="1314">
        <f t="shared" si="136"/>
        <v>0</v>
      </c>
      <c r="J1420" s="1315">
        <f t="shared" si="137"/>
        <v>0</v>
      </c>
      <c r="L1420" s="1308">
        <f t="shared" si="138"/>
        <v>0</v>
      </c>
      <c r="M1420" s="1296" t="str">
        <f t="shared" si="139"/>
        <v>0</v>
      </c>
      <c r="N1420" s="1309">
        <f t="shared" si="140"/>
        <v>0</v>
      </c>
      <c r="O1420" s="1296" t="str">
        <f t="shared" si="141"/>
        <v>0</v>
      </c>
    </row>
    <row r="1421" spans="1:15" s="1296" customFormat="1" hidden="1">
      <c r="A1421" s="1310"/>
      <c r="B1421" s="1311"/>
      <c r="C1421" s="1312">
        <v>0</v>
      </c>
      <c r="D1421" s="1313">
        <v>0</v>
      </c>
      <c r="E1421" s="1314"/>
      <c r="F1421" s="1315"/>
      <c r="G1421" s="1316">
        <f>+SUMIF(asientos!$C$13:$C$1276,SYS_4_3_Digitos!A1421,asientos!$B$13:$B$1276)</f>
        <v>0</v>
      </c>
      <c r="H1421" s="1317">
        <f>+SUMIF(asientos!$I$13:$I$1276,SYS_4_3_Digitos!A1421,asientos!$J$13:$J$1276)</f>
        <v>0</v>
      </c>
      <c r="I1421" s="1314">
        <f t="shared" si="136"/>
        <v>0</v>
      </c>
      <c r="J1421" s="1315">
        <f t="shared" si="137"/>
        <v>0</v>
      </c>
      <c r="L1421" s="1308">
        <f t="shared" si="138"/>
        <v>0</v>
      </c>
      <c r="M1421" s="1296" t="str">
        <f t="shared" si="139"/>
        <v>0</v>
      </c>
      <c r="N1421" s="1309">
        <f t="shared" si="140"/>
        <v>0</v>
      </c>
      <c r="O1421" s="1296" t="str">
        <f t="shared" si="141"/>
        <v>0</v>
      </c>
    </row>
    <row r="1422" spans="1:15" s="1296" customFormat="1" hidden="1">
      <c r="A1422" s="1310"/>
      <c r="B1422" s="1311"/>
      <c r="C1422" s="1312">
        <v>0</v>
      </c>
      <c r="D1422" s="1313">
        <v>0</v>
      </c>
      <c r="E1422" s="1314"/>
      <c r="F1422" s="1315"/>
      <c r="G1422" s="1316">
        <f>+SUMIF(asientos!$C$13:$C$1276,SYS_4_3_Digitos!A1422,asientos!$B$13:$B$1276)</f>
        <v>0</v>
      </c>
      <c r="H1422" s="1317">
        <f>+SUMIF(asientos!$I$13:$I$1276,SYS_4_3_Digitos!A1422,asientos!$J$13:$J$1276)</f>
        <v>0</v>
      </c>
      <c r="I1422" s="1314">
        <f t="shared" si="136"/>
        <v>0</v>
      </c>
      <c r="J1422" s="1315">
        <f t="shared" si="137"/>
        <v>0</v>
      </c>
      <c r="L1422" s="1308">
        <f t="shared" si="138"/>
        <v>0</v>
      </c>
      <c r="M1422" s="1296" t="str">
        <f t="shared" si="139"/>
        <v>0</v>
      </c>
      <c r="N1422" s="1309">
        <f t="shared" si="140"/>
        <v>0</v>
      </c>
      <c r="O1422" s="1296" t="str">
        <f t="shared" si="141"/>
        <v>0</v>
      </c>
    </row>
    <row r="1423" spans="1:15" s="1296" customFormat="1" hidden="1">
      <c r="A1423" s="1310"/>
      <c r="B1423" s="1311"/>
      <c r="C1423" s="1312">
        <v>0</v>
      </c>
      <c r="D1423" s="1313">
        <v>0</v>
      </c>
      <c r="E1423" s="1314"/>
      <c r="F1423" s="1315"/>
      <c r="G1423" s="1316">
        <f>+SUMIF(asientos!$C$13:$C$1276,SYS_4_3_Digitos!A1423,asientos!$B$13:$B$1276)</f>
        <v>0</v>
      </c>
      <c r="H1423" s="1317">
        <f>+SUMIF(asientos!$I$13:$I$1276,SYS_4_3_Digitos!A1423,asientos!$J$13:$J$1276)</f>
        <v>0</v>
      </c>
      <c r="I1423" s="1314">
        <f t="shared" si="136"/>
        <v>0</v>
      </c>
      <c r="J1423" s="1315">
        <f t="shared" si="137"/>
        <v>0</v>
      </c>
      <c r="L1423" s="1308">
        <f t="shared" si="138"/>
        <v>0</v>
      </c>
      <c r="M1423" s="1296" t="str">
        <f t="shared" si="139"/>
        <v>0</v>
      </c>
      <c r="N1423" s="1309">
        <f t="shared" si="140"/>
        <v>0</v>
      </c>
      <c r="O1423" s="1296" t="str">
        <f t="shared" si="141"/>
        <v>0</v>
      </c>
    </row>
    <row r="1424" spans="1:15" s="1296" customFormat="1" hidden="1">
      <c r="A1424" s="1310"/>
      <c r="B1424" s="1311"/>
      <c r="C1424" s="1312">
        <v>0</v>
      </c>
      <c r="D1424" s="1313">
        <v>0</v>
      </c>
      <c r="E1424" s="1314"/>
      <c r="F1424" s="1315"/>
      <c r="G1424" s="1316">
        <f>+SUMIF(asientos!$C$13:$C$1276,SYS_4_3_Digitos!A1424,asientos!$B$13:$B$1276)</f>
        <v>0</v>
      </c>
      <c r="H1424" s="1317">
        <f>+SUMIF(asientos!$I$13:$I$1276,SYS_4_3_Digitos!A1424,asientos!$J$13:$J$1276)</f>
        <v>0</v>
      </c>
      <c r="I1424" s="1314">
        <f t="shared" si="136"/>
        <v>0</v>
      </c>
      <c r="J1424" s="1315">
        <f t="shared" si="137"/>
        <v>0</v>
      </c>
      <c r="L1424" s="1308">
        <f t="shared" si="138"/>
        <v>0</v>
      </c>
      <c r="M1424" s="1296" t="str">
        <f t="shared" si="139"/>
        <v>0</v>
      </c>
      <c r="N1424" s="1309">
        <f t="shared" si="140"/>
        <v>0</v>
      </c>
      <c r="O1424" s="1296" t="str">
        <f t="shared" si="141"/>
        <v>0</v>
      </c>
    </row>
    <row r="1425" spans="1:15" s="1296" customFormat="1" hidden="1">
      <c r="A1425" s="1310"/>
      <c r="B1425" s="1311"/>
      <c r="C1425" s="1312">
        <v>0</v>
      </c>
      <c r="D1425" s="1313">
        <v>0</v>
      </c>
      <c r="E1425" s="1314"/>
      <c r="F1425" s="1315"/>
      <c r="G1425" s="1316">
        <f>+SUMIF(asientos!$C$13:$C$1276,SYS_4_3_Digitos!A1425,asientos!$B$13:$B$1276)</f>
        <v>0</v>
      </c>
      <c r="H1425" s="1317">
        <f>+SUMIF(asientos!$I$13:$I$1276,SYS_4_3_Digitos!A1425,asientos!$J$13:$J$1276)</f>
        <v>0</v>
      </c>
      <c r="I1425" s="1314">
        <f t="shared" si="136"/>
        <v>0</v>
      </c>
      <c r="J1425" s="1315">
        <f t="shared" si="137"/>
        <v>0</v>
      </c>
      <c r="L1425" s="1308">
        <f t="shared" si="138"/>
        <v>0</v>
      </c>
      <c r="M1425" s="1296" t="str">
        <f t="shared" si="139"/>
        <v>0</v>
      </c>
      <c r="N1425" s="1309">
        <f t="shared" si="140"/>
        <v>0</v>
      </c>
      <c r="O1425" s="1296" t="str">
        <f t="shared" si="141"/>
        <v>0</v>
      </c>
    </row>
    <row r="1426" spans="1:15" s="1296" customFormat="1" hidden="1">
      <c r="A1426" s="1310"/>
      <c r="B1426" s="1311"/>
      <c r="C1426" s="1312">
        <v>0</v>
      </c>
      <c r="D1426" s="1313">
        <v>0</v>
      </c>
      <c r="E1426" s="1314"/>
      <c r="F1426" s="1315"/>
      <c r="G1426" s="1316">
        <f>+SUMIF(asientos!$C$13:$C$1276,SYS_4_3_Digitos!A1426,asientos!$B$13:$B$1276)</f>
        <v>0</v>
      </c>
      <c r="H1426" s="1317">
        <f>+SUMIF(asientos!$I$13:$I$1276,SYS_4_3_Digitos!A1426,asientos!$J$13:$J$1276)</f>
        <v>0</v>
      </c>
      <c r="I1426" s="1314">
        <f t="shared" si="136"/>
        <v>0</v>
      </c>
      <c r="J1426" s="1315">
        <f t="shared" si="137"/>
        <v>0</v>
      </c>
      <c r="L1426" s="1308">
        <f t="shared" si="138"/>
        <v>0</v>
      </c>
      <c r="M1426" s="1296" t="str">
        <f t="shared" si="139"/>
        <v>0</v>
      </c>
      <c r="N1426" s="1309">
        <f t="shared" si="140"/>
        <v>0</v>
      </c>
      <c r="O1426" s="1296" t="str">
        <f t="shared" si="141"/>
        <v>0</v>
      </c>
    </row>
    <row r="1427" spans="1:15" s="1296" customFormat="1" hidden="1">
      <c r="A1427" s="1310"/>
      <c r="B1427" s="1311"/>
      <c r="C1427" s="1312">
        <v>0</v>
      </c>
      <c r="D1427" s="1313">
        <v>0</v>
      </c>
      <c r="E1427" s="1314"/>
      <c r="F1427" s="1315"/>
      <c r="G1427" s="1316">
        <f>+SUMIF(asientos!$C$13:$C$1276,SYS_4_3_Digitos!A1427,asientos!$B$13:$B$1276)</f>
        <v>0</v>
      </c>
      <c r="H1427" s="1317">
        <f>+SUMIF(asientos!$I$13:$I$1276,SYS_4_3_Digitos!A1427,asientos!$J$13:$J$1276)</f>
        <v>0</v>
      </c>
      <c r="I1427" s="1314">
        <f t="shared" si="136"/>
        <v>0</v>
      </c>
      <c r="J1427" s="1315">
        <f t="shared" si="137"/>
        <v>0</v>
      </c>
      <c r="L1427" s="1308">
        <f t="shared" si="138"/>
        <v>0</v>
      </c>
      <c r="M1427" s="1296" t="str">
        <f t="shared" si="139"/>
        <v>0</v>
      </c>
      <c r="N1427" s="1309">
        <f t="shared" si="140"/>
        <v>0</v>
      </c>
      <c r="O1427" s="1296" t="str">
        <f t="shared" si="141"/>
        <v>0</v>
      </c>
    </row>
    <row r="1428" spans="1:15" s="1296" customFormat="1" hidden="1">
      <c r="A1428" s="1310"/>
      <c r="B1428" s="1311"/>
      <c r="C1428" s="1312">
        <v>0</v>
      </c>
      <c r="D1428" s="1313">
        <v>0</v>
      </c>
      <c r="E1428" s="1314"/>
      <c r="F1428" s="1315"/>
      <c r="G1428" s="1316">
        <f>+SUMIF(asientos!$C$13:$C$1276,SYS_4_3_Digitos!A1428,asientos!$B$13:$B$1276)</f>
        <v>0</v>
      </c>
      <c r="H1428" s="1317">
        <f>+SUMIF(asientos!$I$13:$I$1276,SYS_4_3_Digitos!A1428,asientos!$J$13:$J$1276)</f>
        <v>0</v>
      </c>
      <c r="I1428" s="1314">
        <f t="shared" si="136"/>
        <v>0</v>
      </c>
      <c r="J1428" s="1315">
        <f t="shared" si="137"/>
        <v>0</v>
      </c>
      <c r="L1428" s="1308">
        <f t="shared" si="138"/>
        <v>0</v>
      </c>
      <c r="M1428" s="1296" t="str">
        <f t="shared" si="139"/>
        <v>0</v>
      </c>
      <c r="N1428" s="1309">
        <f t="shared" si="140"/>
        <v>0</v>
      </c>
      <c r="O1428" s="1296" t="str">
        <f t="shared" si="141"/>
        <v>0</v>
      </c>
    </row>
    <row r="1429" spans="1:15" s="1296" customFormat="1" hidden="1">
      <c r="A1429" s="1310"/>
      <c r="B1429" s="1311"/>
      <c r="C1429" s="1312">
        <v>0</v>
      </c>
      <c r="D1429" s="1313">
        <v>0</v>
      </c>
      <c r="E1429" s="1314"/>
      <c r="F1429" s="1315"/>
      <c r="G1429" s="1316">
        <f>+SUMIF(asientos!$C$13:$C$1276,SYS_4_3_Digitos!A1429,asientos!$B$13:$B$1276)</f>
        <v>0</v>
      </c>
      <c r="H1429" s="1317">
        <f>+SUMIF(asientos!$I$13:$I$1276,SYS_4_3_Digitos!A1429,asientos!$J$13:$J$1276)</f>
        <v>0</v>
      </c>
      <c r="I1429" s="1314">
        <f t="shared" si="136"/>
        <v>0</v>
      </c>
      <c r="J1429" s="1315">
        <f t="shared" si="137"/>
        <v>0</v>
      </c>
      <c r="L1429" s="1308">
        <f t="shared" si="138"/>
        <v>0</v>
      </c>
      <c r="M1429" s="1296" t="str">
        <f t="shared" si="139"/>
        <v>0</v>
      </c>
      <c r="N1429" s="1309">
        <f t="shared" si="140"/>
        <v>0</v>
      </c>
      <c r="O1429" s="1296" t="str">
        <f t="shared" si="141"/>
        <v>0</v>
      </c>
    </row>
    <row r="1430" spans="1:15" s="1296" customFormat="1" hidden="1">
      <c r="A1430" s="1310"/>
      <c r="B1430" s="1311"/>
      <c r="C1430" s="1312">
        <v>0</v>
      </c>
      <c r="D1430" s="1313">
        <v>0</v>
      </c>
      <c r="E1430" s="1314"/>
      <c r="F1430" s="1315"/>
      <c r="G1430" s="1316">
        <f>+SUMIF(asientos!$C$13:$C$1276,SYS_4_3_Digitos!A1430,asientos!$B$13:$B$1276)</f>
        <v>0</v>
      </c>
      <c r="H1430" s="1317">
        <f>+SUMIF(asientos!$I$13:$I$1276,SYS_4_3_Digitos!A1430,asientos!$J$13:$J$1276)</f>
        <v>0</v>
      </c>
      <c r="I1430" s="1314">
        <f t="shared" si="136"/>
        <v>0</v>
      </c>
      <c r="J1430" s="1315">
        <f t="shared" si="137"/>
        <v>0</v>
      </c>
      <c r="L1430" s="1308">
        <f t="shared" si="138"/>
        <v>0</v>
      </c>
      <c r="M1430" s="1296" t="str">
        <f t="shared" si="139"/>
        <v>0</v>
      </c>
      <c r="N1430" s="1309">
        <f t="shared" si="140"/>
        <v>0</v>
      </c>
      <c r="O1430" s="1296" t="str">
        <f t="shared" si="141"/>
        <v>0</v>
      </c>
    </row>
    <row r="1431" spans="1:15" s="1296" customFormat="1" hidden="1">
      <c r="A1431" s="1310"/>
      <c r="B1431" s="1311"/>
      <c r="C1431" s="1312">
        <v>0</v>
      </c>
      <c r="D1431" s="1313">
        <v>0</v>
      </c>
      <c r="E1431" s="1314"/>
      <c r="F1431" s="1315"/>
      <c r="G1431" s="1316">
        <f>+SUMIF(asientos!$C$13:$C$1276,SYS_4_3_Digitos!A1431,asientos!$B$13:$B$1276)</f>
        <v>0</v>
      </c>
      <c r="H1431" s="1317">
        <f>+SUMIF(asientos!$I$13:$I$1276,SYS_4_3_Digitos!A1431,asientos!$J$13:$J$1276)</f>
        <v>0</v>
      </c>
      <c r="I1431" s="1314">
        <f t="shared" si="136"/>
        <v>0</v>
      </c>
      <c r="J1431" s="1315">
        <f t="shared" si="137"/>
        <v>0</v>
      </c>
      <c r="L1431" s="1308">
        <f t="shared" si="138"/>
        <v>0</v>
      </c>
      <c r="M1431" s="1296" t="str">
        <f t="shared" si="139"/>
        <v>0</v>
      </c>
      <c r="N1431" s="1309">
        <f t="shared" si="140"/>
        <v>0</v>
      </c>
      <c r="O1431" s="1296" t="str">
        <f t="shared" si="141"/>
        <v>0</v>
      </c>
    </row>
    <row r="1432" spans="1:15" s="1296" customFormat="1" hidden="1">
      <c r="A1432" s="1310"/>
      <c r="B1432" s="1311"/>
      <c r="C1432" s="1312">
        <v>0</v>
      </c>
      <c r="D1432" s="1313">
        <v>0</v>
      </c>
      <c r="E1432" s="1314"/>
      <c r="F1432" s="1315"/>
      <c r="G1432" s="1316">
        <f>+SUMIF(asientos!$C$13:$C$1276,SYS_4_3_Digitos!A1432,asientos!$B$13:$B$1276)</f>
        <v>0</v>
      </c>
      <c r="H1432" s="1317">
        <f>+SUMIF(asientos!$I$13:$I$1276,SYS_4_3_Digitos!A1432,asientos!$J$13:$J$1276)</f>
        <v>0</v>
      </c>
      <c r="I1432" s="1314">
        <f t="shared" si="136"/>
        <v>0</v>
      </c>
      <c r="J1432" s="1315">
        <f t="shared" si="137"/>
        <v>0</v>
      </c>
      <c r="L1432" s="1308">
        <f t="shared" si="138"/>
        <v>0</v>
      </c>
      <c r="M1432" s="1296" t="str">
        <f t="shared" si="139"/>
        <v>0</v>
      </c>
      <c r="N1432" s="1309">
        <f t="shared" si="140"/>
        <v>0</v>
      </c>
      <c r="O1432" s="1296" t="str">
        <f t="shared" si="141"/>
        <v>0</v>
      </c>
    </row>
    <row r="1433" spans="1:15" s="1296" customFormat="1" hidden="1">
      <c r="A1433" s="1310"/>
      <c r="B1433" s="1311"/>
      <c r="C1433" s="1312">
        <v>0</v>
      </c>
      <c r="D1433" s="1313">
        <v>0</v>
      </c>
      <c r="E1433" s="1314"/>
      <c r="F1433" s="1315"/>
      <c r="G1433" s="1316">
        <f>+SUMIF(asientos!$C$13:$C$1276,SYS_4_3_Digitos!A1433,asientos!$B$13:$B$1276)</f>
        <v>0</v>
      </c>
      <c r="H1433" s="1317">
        <f>+SUMIF(asientos!$I$13:$I$1276,SYS_4_3_Digitos!A1433,asientos!$J$13:$J$1276)</f>
        <v>0</v>
      </c>
      <c r="I1433" s="1314">
        <f t="shared" si="136"/>
        <v>0</v>
      </c>
      <c r="J1433" s="1315">
        <f t="shared" si="137"/>
        <v>0</v>
      </c>
      <c r="L1433" s="1308">
        <f t="shared" si="138"/>
        <v>0</v>
      </c>
      <c r="M1433" s="1296" t="str">
        <f t="shared" si="139"/>
        <v>0</v>
      </c>
      <c r="N1433" s="1309">
        <f t="shared" si="140"/>
        <v>0</v>
      </c>
      <c r="O1433" s="1296" t="str">
        <f t="shared" si="141"/>
        <v>0</v>
      </c>
    </row>
    <row r="1434" spans="1:15" s="1296" customFormat="1" hidden="1">
      <c r="A1434" s="1310"/>
      <c r="B1434" s="1311"/>
      <c r="C1434" s="1312">
        <v>0</v>
      </c>
      <c r="D1434" s="1313">
        <v>0</v>
      </c>
      <c r="E1434" s="1314"/>
      <c r="F1434" s="1315"/>
      <c r="G1434" s="1316">
        <f>+SUMIF(asientos!$C$13:$C$1276,SYS_4_3_Digitos!A1434,asientos!$B$13:$B$1276)</f>
        <v>0</v>
      </c>
      <c r="H1434" s="1317">
        <f>+SUMIF(asientos!$I$13:$I$1276,SYS_4_3_Digitos!A1434,asientos!$J$13:$J$1276)</f>
        <v>0</v>
      </c>
      <c r="I1434" s="1314">
        <f t="shared" si="136"/>
        <v>0</v>
      </c>
      <c r="J1434" s="1315">
        <f t="shared" si="137"/>
        <v>0</v>
      </c>
      <c r="L1434" s="1308">
        <f t="shared" si="138"/>
        <v>0</v>
      </c>
      <c r="M1434" s="1296" t="str">
        <f t="shared" si="139"/>
        <v>0</v>
      </c>
      <c r="N1434" s="1309">
        <f t="shared" si="140"/>
        <v>0</v>
      </c>
      <c r="O1434" s="1296" t="str">
        <f t="shared" si="141"/>
        <v>0</v>
      </c>
    </row>
    <row r="1435" spans="1:15" s="1296" customFormat="1" hidden="1">
      <c r="A1435" s="1310"/>
      <c r="B1435" s="1311"/>
      <c r="C1435" s="1312">
        <v>0</v>
      </c>
      <c r="D1435" s="1313">
        <v>0</v>
      </c>
      <c r="E1435" s="1314"/>
      <c r="F1435" s="1315"/>
      <c r="G1435" s="1316">
        <f>+SUMIF(asientos!$C$13:$C$1276,SYS_4_3_Digitos!A1435,asientos!$B$13:$B$1276)</f>
        <v>0</v>
      </c>
      <c r="H1435" s="1317">
        <f>+SUMIF(asientos!$I$13:$I$1276,SYS_4_3_Digitos!A1435,asientos!$J$13:$J$1276)</f>
        <v>0</v>
      </c>
      <c r="I1435" s="1314">
        <f t="shared" si="136"/>
        <v>0</v>
      </c>
      <c r="J1435" s="1315">
        <f t="shared" si="137"/>
        <v>0</v>
      </c>
      <c r="L1435" s="1308">
        <f t="shared" si="138"/>
        <v>0</v>
      </c>
      <c r="M1435" s="1296" t="str">
        <f t="shared" si="139"/>
        <v>0</v>
      </c>
      <c r="N1435" s="1309">
        <f t="shared" si="140"/>
        <v>0</v>
      </c>
      <c r="O1435" s="1296" t="str">
        <f t="shared" si="141"/>
        <v>0</v>
      </c>
    </row>
    <row r="1436" spans="1:15" s="1296" customFormat="1" hidden="1">
      <c r="A1436" s="1310"/>
      <c r="B1436" s="1311"/>
      <c r="C1436" s="1312">
        <v>0</v>
      </c>
      <c r="D1436" s="1313">
        <v>0</v>
      </c>
      <c r="E1436" s="1314"/>
      <c r="F1436" s="1315"/>
      <c r="G1436" s="1316">
        <f>+SUMIF(asientos!$C$13:$C$1276,SYS_4_3_Digitos!A1436,asientos!$B$13:$B$1276)</f>
        <v>0</v>
      </c>
      <c r="H1436" s="1317">
        <f>+SUMIF(asientos!$I$13:$I$1276,SYS_4_3_Digitos!A1436,asientos!$J$13:$J$1276)</f>
        <v>0</v>
      </c>
      <c r="I1436" s="1314">
        <f t="shared" si="136"/>
        <v>0</v>
      </c>
      <c r="J1436" s="1315">
        <f t="shared" si="137"/>
        <v>0</v>
      </c>
      <c r="L1436" s="1308">
        <f t="shared" si="138"/>
        <v>0</v>
      </c>
      <c r="M1436" s="1296" t="str">
        <f t="shared" si="139"/>
        <v>0</v>
      </c>
      <c r="N1436" s="1309">
        <f t="shared" si="140"/>
        <v>0</v>
      </c>
      <c r="O1436" s="1296" t="str">
        <f t="shared" si="141"/>
        <v>0</v>
      </c>
    </row>
    <row r="1437" spans="1:15" s="1296" customFormat="1" hidden="1">
      <c r="A1437" s="1310"/>
      <c r="B1437" s="1311"/>
      <c r="C1437" s="1312">
        <v>0</v>
      </c>
      <c r="D1437" s="1313">
        <v>0</v>
      </c>
      <c r="E1437" s="1314"/>
      <c r="F1437" s="1315"/>
      <c r="G1437" s="1316">
        <f>+SUMIF(asientos!$C$13:$C$1276,SYS_4_3_Digitos!A1437,asientos!$B$13:$B$1276)</f>
        <v>0</v>
      </c>
      <c r="H1437" s="1317">
        <f>+SUMIF(asientos!$I$13:$I$1276,SYS_4_3_Digitos!A1437,asientos!$J$13:$J$1276)</f>
        <v>0</v>
      </c>
      <c r="I1437" s="1314">
        <f t="shared" si="136"/>
        <v>0</v>
      </c>
      <c r="J1437" s="1315">
        <f t="shared" si="137"/>
        <v>0</v>
      </c>
      <c r="L1437" s="1308">
        <f t="shared" si="138"/>
        <v>0</v>
      </c>
      <c r="M1437" s="1296" t="str">
        <f t="shared" si="139"/>
        <v>0</v>
      </c>
      <c r="N1437" s="1309">
        <f t="shared" si="140"/>
        <v>0</v>
      </c>
      <c r="O1437" s="1296" t="str">
        <f t="shared" si="141"/>
        <v>0</v>
      </c>
    </row>
    <row r="1438" spans="1:15" s="1296" customFormat="1" hidden="1">
      <c r="A1438" s="1310"/>
      <c r="B1438" s="1311"/>
      <c r="C1438" s="1312">
        <v>0</v>
      </c>
      <c r="D1438" s="1313">
        <v>0</v>
      </c>
      <c r="E1438" s="1314"/>
      <c r="F1438" s="1315"/>
      <c r="G1438" s="1316">
        <f>+SUMIF(asientos!$C$13:$C$1276,SYS_4_3_Digitos!A1438,asientos!$B$13:$B$1276)</f>
        <v>0</v>
      </c>
      <c r="H1438" s="1317">
        <f>+SUMIF(asientos!$I$13:$I$1276,SYS_4_3_Digitos!A1438,asientos!$J$13:$J$1276)</f>
        <v>0</v>
      </c>
      <c r="I1438" s="1314">
        <f t="shared" si="136"/>
        <v>0</v>
      </c>
      <c r="J1438" s="1315">
        <f t="shared" si="137"/>
        <v>0</v>
      </c>
      <c r="L1438" s="1308">
        <f t="shared" si="138"/>
        <v>0</v>
      </c>
      <c r="M1438" s="1296" t="str">
        <f t="shared" si="139"/>
        <v>0</v>
      </c>
      <c r="N1438" s="1309">
        <f t="shared" si="140"/>
        <v>0</v>
      </c>
      <c r="O1438" s="1296" t="str">
        <f t="shared" si="141"/>
        <v>0</v>
      </c>
    </row>
    <row r="1439" spans="1:15" s="1296" customFormat="1" hidden="1">
      <c r="A1439" s="1310"/>
      <c r="B1439" s="1311"/>
      <c r="C1439" s="1312">
        <v>0</v>
      </c>
      <c r="D1439" s="1313">
        <v>0</v>
      </c>
      <c r="E1439" s="1314"/>
      <c r="F1439" s="1315"/>
      <c r="G1439" s="1316">
        <f>+SUMIF(asientos!$C$13:$C$1276,SYS_4_3_Digitos!A1439,asientos!$B$13:$B$1276)</f>
        <v>0</v>
      </c>
      <c r="H1439" s="1317">
        <f>+SUMIF(asientos!$I$13:$I$1276,SYS_4_3_Digitos!A1439,asientos!$J$13:$J$1276)</f>
        <v>0</v>
      </c>
      <c r="I1439" s="1314">
        <f t="shared" si="136"/>
        <v>0</v>
      </c>
      <c r="J1439" s="1315">
        <f t="shared" si="137"/>
        <v>0</v>
      </c>
      <c r="L1439" s="1308">
        <f t="shared" si="138"/>
        <v>0</v>
      </c>
      <c r="M1439" s="1296" t="str">
        <f t="shared" si="139"/>
        <v>0</v>
      </c>
      <c r="N1439" s="1309">
        <f t="shared" si="140"/>
        <v>0</v>
      </c>
      <c r="O1439" s="1296" t="str">
        <f t="shared" si="141"/>
        <v>0</v>
      </c>
    </row>
    <row r="1440" spans="1:15" s="1296" customFormat="1" hidden="1">
      <c r="A1440" s="1310"/>
      <c r="B1440" s="1311"/>
      <c r="C1440" s="1312">
        <v>0</v>
      </c>
      <c r="D1440" s="1313">
        <v>0</v>
      </c>
      <c r="E1440" s="1314"/>
      <c r="F1440" s="1315"/>
      <c r="G1440" s="1316">
        <f>+SUMIF(asientos!$C$13:$C$1276,SYS_4_3_Digitos!A1440,asientos!$B$13:$B$1276)</f>
        <v>0</v>
      </c>
      <c r="H1440" s="1317">
        <f>+SUMIF(asientos!$I$13:$I$1276,SYS_4_3_Digitos!A1440,asientos!$J$13:$J$1276)</f>
        <v>0</v>
      </c>
      <c r="I1440" s="1314">
        <f t="shared" si="136"/>
        <v>0</v>
      </c>
      <c r="J1440" s="1315">
        <f t="shared" si="137"/>
        <v>0</v>
      </c>
      <c r="L1440" s="1308">
        <f t="shared" si="138"/>
        <v>0</v>
      </c>
      <c r="M1440" s="1296" t="str">
        <f t="shared" si="139"/>
        <v>0</v>
      </c>
      <c r="N1440" s="1309">
        <f t="shared" si="140"/>
        <v>0</v>
      </c>
      <c r="O1440" s="1296" t="str">
        <f t="shared" si="141"/>
        <v>0</v>
      </c>
    </row>
    <row r="1441" spans="1:15" s="1296" customFormat="1" hidden="1">
      <c r="A1441" s="1310"/>
      <c r="B1441" s="1311"/>
      <c r="C1441" s="1312">
        <v>0</v>
      </c>
      <c r="D1441" s="1313">
        <v>0</v>
      </c>
      <c r="E1441" s="1314"/>
      <c r="F1441" s="1315"/>
      <c r="G1441" s="1316">
        <f>+SUMIF(asientos!$C$13:$C$1276,SYS_4_3_Digitos!A1441,asientos!$B$13:$B$1276)</f>
        <v>0</v>
      </c>
      <c r="H1441" s="1317">
        <f>+SUMIF(asientos!$I$13:$I$1276,SYS_4_3_Digitos!A1441,asientos!$J$13:$J$1276)</f>
        <v>0</v>
      </c>
      <c r="I1441" s="1314">
        <f t="shared" si="136"/>
        <v>0</v>
      </c>
      <c r="J1441" s="1315">
        <f t="shared" si="137"/>
        <v>0</v>
      </c>
      <c r="L1441" s="1308">
        <f t="shared" si="138"/>
        <v>0</v>
      </c>
      <c r="M1441" s="1296" t="str">
        <f t="shared" si="139"/>
        <v>0</v>
      </c>
      <c r="N1441" s="1309">
        <f t="shared" si="140"/>
        <v>0</v>
      </c>
      <c r="O1441" s="1296" t="str">
        <f t="shared" si="141"/>
        <v>0</v>
      </c>
    </row>
    <row r="1442" spans="1:15" s="1296" customFormat="1" hidden="1">
      <c r="A1442" s="1310"/>
      <c r="B1442" s="1311"/>
      <c r="C1442" s="1312">
        <v>0</v>
      </c>
      <c r="D1442" s="1313">
        <v>0</v>
      </c>
      <c r="E1442" s="1314"/>
      <c r="F1442" s="1315"/>
      <c r="G1442" s="1316">
        <f>+SUMIF(asientos!$C$13:$C$1276,SYS_4_3_Digitos!A1442,asientos!$B$13:$B$1276)</f>
        <v>0</v>
      </c>
      <c r="H1442" s="1317">
        <f>+SUMIF(asientos!$I$13:$I$1276,SYS_4_3_Digitos!A1442,asientos!$J$13:$J$1276)</f>
        <v>0</v>
      </c>
      <c r="I1442" s="1314">
        <f t="shared" si="136"/>
        <v>0</v>
      </c>
      <c r="J1442" s="1315">
        <f t="shared" si="137"/>
        <v>0</v>
      </c>
      <c r="L1442" s="1308">
        <f t="shared" si="138"/>
        <v>0</v>
      </c>
      <c r="M1442" s="1296" t="str">
        <f t="shared" si="139"/>
        <v>0</v>
      </c>
      <c r="N1442" s="1309">
        <f t="shared" si="140"/>
        <v>0</v>
      </c>
      <c r="O1442" s="1296" t="str">
        <f t="shared" si="141"/>
        <v>0</v>
      </c>
    </row>
    <row r="1443" spans="1:15" s="1296" customFormat="1" hidden="1">
      <c r="A1443" s="1310"/>
      <c r="B1443" s="1311"/>
      <c r="C1443" s="1312">
        <v>0</v>
      </c>
      <c r="D1443" s="1313">
        <v>0</v>
      </c>
      <c r="E1443" s="1314"/>
      <c r="F1443" s="1315"/>
      <c r="G1443" s="1316">
        <f>+SUMIF(asientos!$C$13:$C$1276,SYS_4_3_Digitos!A1443,asientos!$B$13:$B$1276)</f>
        <v>0</v>
      </c>
      <c r="H1443" s="1317">
        <f>+SUMIF(asientos!$I$13:$I$1276,SYS_4_3_Digitos!A1443,asientos!$J$13:$J$1276)</f>
        <v>0</v>
      </c>
      <c r="I1443" s="1314">
        <f t="shared" si="136"/>
        <v>0</v>
      </c>
      <c r="J1443" s="1315">
        <f t="shared" si="137"/>
        <v>0</v>
      </c>
      <c r="L1443" s="1308">
        <f t="shared" si="138"/>
        <v>0</v>
      </c>
      <c r="M1443" s="1296" t="str">
        <f t="shared" si="139"/>
        <v>0</v>
      </c>
      <c r="N1443" s="1309">
        <f t="shared" si="140"/>
        <v>0</v>
      </c>
      <c r="O1443" s="1296" t="str">
        <f t="shared" si="141"/>
        <v>0</v>
      </c>
    </row>
    <row r="1444" spans="1:15" s="1296" customFormat="1" hidden="1">
      <c r="A1444" s="1310"/>
      <c r="B1444" s="1311"/>
      <c r="C1444" s="1312">
        <v>0</v>
      </c>
      <c r="D1444" s="1313">
        <v>0</v>
      </c>
      <c r="E1444" s="1314"/>
      <c r="F1444" s="1315"/>
      <c r="G1444" s="1316">
        <f>+SUMIF(asientos!$C$13:$C$1276,SYS_4_3_Digitos!A1444,asientos!$B$13:$B$1276)</f>
        <v>0</v>
      </c>
      <c r="H1444" s="1317">
        <f>+SUMIF(asientos!$I$13:$I$1276,SYS_4_3_Digitos!A1444,asientos!$J$13:$J$1276)</f>
        <v>0</v>
      </c>
      <c r="I1444" s="1314">
        <f t="shared" si="136"/>
        <v>0</v>
      </c>
      <c r="J1444" s="1315">
        <f t="shared" si="137"/>
        <v>0</v>
      </c>
      <c r="L1444" s="1308">
        <f t="shared" si="138"/>
        <v>0</v>
      </c>
      <c r="M1444" s="1296" t="str">
        <f t="shared" si="139"/>
        <v>0</v>
      </c>
      <c r="N1444" s="1309">
        <f t="shared" si="140"/>
        <v>0</v>
      </c>
      <c r="O1444" s="1296" t="str">
        <f t="shared" si="141"/>
        <v>0</v>
      </c>
    </row>
    <row r="1445" spans="1:15" s="1296" customFormat="1" hidden="1">
      <c r="A1445" s="1310"/>
      <c r="B1445" s="1311"/>
      <c r="C1445" s="1312">
        <v>0</v>
      </c>
      <c r="D1445" s="1313">
        <v>0</v>
      </c>
      <c r="E1445" s="1314"/>
      <c r="F1445" s="1315"/>
      <c r="G1445" s="1316">
        <f>+SUMIF(asientos!$C$13:$C$1276,SYS_4_3_Digitos!A1445,asientos!$B$13:$B$1276)</f>
        <v>0</v>
      </c>
      <c r="H1445" s="1317">
        <f>+SUMIF(asientos!$I$13:$I$1276,SYS_4_3_Digitos!A1445,asientos!$J$13:$J$1276)</f>
        <v>0</v>
      </c>
      <c r="I1445" s="1314">
        <f t="shared" ref="I1445:I1508" si="142">IF((E1445+G1445-F1445-H1445)&gt;0,E1445+G1445-F1445-H1445,0)</f>
        <v>0</v>
      </c>
      <c r="J1445" s="1315">
        <f t="shared" ref="J1445:J1508" si="143">IF((F1445+H1445-E1445-G1445)&gt;0,F1445+H1445-E1445-G1445,0)</f>
        <v>0</v>
      </c>
      <c r="L1445" s="1308">
        <f t="shared" ref="L1445:L1508" si="144">+A1445*1000000</f>
        <v>0</v>
      </c>
      <c r="M1445" s="1296" t="str">
        <f t="shared" ref="M1445:M1508" si="145">+LEFT(L1445,4)</f>
        <v>0</v>
      </c>
      <c r="N1445" s="1309">
        <f t="shared" ref="N1445:N1508" si="146">+I1445-J1445</f>
        <v>0</v>
      </c>
      <c r="O1445" s="1296" t="str">
        <f t="shared" ref="O1445:O1508" si="147">+LEFT(M1445,2)</f>
        <v>0</v>
      </c>
    </row>
    <row r="1446" spans="1:15" s="1296" customFormat="1" hidden="1">
      <c r="A1446" s="1310"/>
      <c r="B1446" s="1311"/>
      <c r="C1446" s="1312">
        <v>0</v>
      </c>
      <c r="D1446" s="1313">
        <v>0</v>
      </c>
      <c r="E1446" s="1314"/>
      <c r="F1446" s="1315"/>
      <c r="G1446" s="1316">
        <f>+SUMIF(asientos!$C$13:$C$1276,SYS_4_3_Digitos!A1446,asientos!$B$13:$B$1276)</f>
        <v>0</v>
      </c>
      <c r="H1446" s="1317">
        <f>+SUMIF(asientos!$I$13:$I$1276,SYS_4_3_Digitos!A1446,asientos!$J$13:$J$1276)</f>
        <v>0</v>
      </c>
      <c r="I1446" s="1314">
        <f t="shared" si="142"/>
        <v>0</v>
      </c>
      <c r="J1446" s="1315">
        <f t="shared" si="143"/>
        <v>0</v>
      </c>
      <c r="L1446" s="1308">
        <f t="shared" si="144"/>
        <v>0</v>
      </c>
      <c r="M1446" s="1296" t="str">
        <f t="shared" si="145"/>
        <v>0</v>
      </c>
      <c r="N1446" s="1309">
        <f t="shared" si="146"/>
        <v>0</v>
      </c>
      <c r="O1446" s="1296" t="str">
        <f t="shared" si="147"/>
        <v>0</v>
      </c>
    </row>
    <row r="1447" spans="1:15" s="1296" customFormat="1" hidden="1">
      <c r="A1447" s="1310"/>
      <c r="B1447" s="1311"/>
      <c r="C1447" s="1312">
        <v>0</v>
      </c>
      <c r="D1447" s="1313">
        <v>0</v>
      </c>
      <c r="E1447" s="1314"/>
      <c r="F1447" s="1315"/>
      <c r="G1447" s="1316">
        <f>+SUMIF(asientos!$C$13:$C$1276,SYS_4_3_Digitos!A1447,asientos!$B$13:$B$1276)</f>
        <v>0</v>
      </c>
      <c r="H1447" s="1317">
        <f>+SUMIF(asientos!$I$13:$I$1276,SYS_4_3_Digitos!A1447,asientos!$J$13:$J$1276)</f>
        <v>0</v>
      </c>
      <c r="I1447" s="1314">
        <f t="shared" si="142"/>
        <v>0</v>
      </c>
      <c r="J1447" s="1315">
        <f t="shared" si="143"/>
        <v>0</v>
      </c>
      <c r="L1447" s="1308">
        <f t="shared" si="144"/>
        <v>0</v>
      </c>
      <c r="M1447" s="1296" t="str">
        <f t="shared" si="145"/>
        <v>0</v>
      </c>
      <c r="N1447" s="1309">
        <f t="shared" si="146"/>
        <v>0</v>
      </c>
      <c r="O1447" s="1296" t="str">
        <f t="shared" si="147"/>
        <v>0</v>
      </c>
    </row>
    <row r="1448" spans="1:15" s="1296" customFormat="1" hidden="1">
      <c r="A1448" s="1310"/>
      <c r="B1448" s="1311"/>
      <c r="C1448" s="1312">
        <v>0</v>
      </c>
      <c r="D1448" s="1313">
        <v>0</v>
      </c>
      <c r="E1448" s="1314"/>
      <c r="F1448" s="1315"/>
      <c r="G1448" s="1316">
        <f>+SUMIF(asientos!$C$13:$C$1276,SYS_4_3_Digitos!A1448,asientos!$B$13:$B$1276)</f>
        <v>0</v>
      </c>
      <c r="H1448" s="1317">
        <f>+SUMIF(asientos!$I$13:$I$1276,SYS_4_3_Digitos!A1448,asientos!$J$13:$J$1276)</f>
        <v>0</v>
      </c>
      <c r="I1448" s="1314">
        <f t="shared" si="142"/>
        <v>0</v>
      </c>
      <c r="J1448" s="1315">
        <f t="shared" si="143"/>
        <v>0</v>
      </c>
      <c r="L1448" s="1308">
        <f t="shared" si="144"/>
        <v>0</v>
      </c>
      <c r="M1448" s="1296" t="str">
        <f t="shared" si="145"/>
        <v>0</v>
      </c>
      <c r="N1448" s="1309">
        <f t="shared" si="146"/>
        <v>0</v>
      </c>
      <c r="O1448" s="1296" t="str">
        <f t="shared" si="147"/>
        <v>0</v>
      </c>
    </row>
    <row r="1449" spans="1:15" s="1296" customFormat="1" hidden="1">
      <c r="A1449" s="1310"/>
      <c r="B1449" s="1311"/>
      <c r="C1449" s="1312">
        <v>0</v>
      </c>
      <c r="D1449" s="1313">
        <v>0</v>
      </c>
      <c r="E1449" s="1314"/>
      <c r="F1449" s="1315"/>
      <c r="G1449" s="1316">
        <f>+SUMIF(asientos!$C$13:$C$1276,SYS_4_3_Digitos!A1449,asientos!$B$13:$B$1276)</f>
        <v>0</v>
      </c>
      <c r="H1449" s="1317">
        <f>+SUMIF(asientos!$I$13:$I$1276,SYS_4_3_Digitos!A1449,asientos!$J$13:$J$1276)</f>
        <v>0</v>
      </c>
      <c r="I1449" s="1314">
        <f t="shared" si="142"/>
        <v>0</v>
      </c>
      <c r="J1449" s="1315">
        <f t="shared" si="143"/>
        <v>0</v>
      </c>
      <c r="L1449" s="1308">
        <f t="shared" si="144"/>
        <v>0</v>
      </c>
      <c r="M1449" s="1296" t="str">
        <f t="shared" si="145"/>
        <v>0</v>
      </c>
      <c r="N1449" s="1309">
        <f t="shared" si="146"/>
        <v>0</v>
      </c>
      <c r="O1449" s="1296" t="str">
        <f t="shared" si="147"/>
        <v>0</v>
      </c>
    </row>
    <row r="1450" spans="1:15" s="1296" customFormat="1" hidden="1">
      <c r="A1450" s="1310"/>
      <c r="B1450" s="1311"/>
      <c r="C1450" s="1312">
        <v>0</v>
      </c>
      <c r="D1450" s="1313">
        <v>0</v>
      </c>
      <c r="E1450" s="1314"/>
      <c r="F1450" s="1315"/>
      <c r="G1450" s="1316">
        <f>+SUMIF(asientos!$C$13:$C$1276,SYS_4_3_Digitos!A1450,asientos!$B$13:$B$1276)</f>
        <v>0</v>
      </c>
      <c r="H1450" s="1317">
        <f>+SUMIF(asientos!$I$13:$I$1276,SYS_4_3_Digitos!A1450,asientos!$J$13:$J$1276)</f>
        <v>0</v>
      </c>
      <c r="I1450" s="1314">
        <f t="shared" si="142"/>
        <v>0</v>
      </c>
      <c r="J1450" s="1315">
        <f t="shared" si="143"/>
        <v>0</v>
      </c>
      <c r="L1450" s="1308">
        <f t="shared" si="144"/>
        <v>0</v>
      </c>
      <c r="M1450" s="1296" t="str">
        <f t="shared" si="145"/>
        <v>0</v>
      </c>
      <c r="N1450" s="1309">
        <f t="shared" si="146"/>
        <v>0</v>
      </c>
      <c r="O1450" s="1296" t="str">
        <f t="shared" si="147"/>
        <v>0</v>
      </c>
    </row>
    <row r="1451" spans="1:15" s="1296" customFormat="1" hidden="1">
      <c r="A1451" s="1310"/>
      <c r="B1451" s="1311"/>
      <c r="C1451" s="1312">
        <v>0</v>
      </c>
      <c r="D1451" s="1313">
        <v>0</v>
      </c>
      <c r="E1451" s="1314"/>
      <c r="F1451" s="1315"/>
      <c r="G1451" s="1316">
        <f>+SUMIF(asientos!$C$13:$C$1276,SYS_4_3_Digitos!A1451,asientos!$B$13:$B$1276)</f>
        <v>0</v>
      </c>
      <c r="H1451" s="1317">
        <f>+SUMIF(asientos!$I$13:$I$1276,SYS_4_3_Digitos!A1451,asientos!$J$13:$J$1276)</f>
        <v>0</v>
      </c>
      <c r="I1451" s="1314">
        <f t="shared" si="142"/>
        <v>0</v>
      </c>
      <c r="J1451" s="1315">
        <f t="shared" si="143"/>
        <v>0</v>
      </c>
      <c r="L1451" s="1308">
        <f t="shared" si="144"/>
        <v>0</v>
      </c>
      <c r="M1451" s="1296" t="str">
        <f t="shared" si="145"/>
        <v>0</v>
      </c>
      <c r="N1451" s="1309">
        <f t="shared" si="146"/>
        <v>0</v>
      </c>
      <c r="O1451" s="1296" t="str">
        <f t="shared" si="147"/>
        <v>0</v>
      </c>
    </row>
    <row r="1452" spans="1:15" s="1296" customFormat="1" hidden="1">
      <c r="A1452" s="1310"/>
      <c r="B1452" s="1311"/>
      <c r="C1452" s="1312">
        <v>0</v>
      </c>
      <c r="D1452" s="1313">
        <v>0</v>
      </c>
      <c r="E1452" s="1314"/>
      <c r="F1452" s="1315"/>
      <c r="G1452" s="1316">
        <f>+SUMIF(asientos!$C$13:$C$1276,SYS_4_3_Digitos!A1452,asientos!$B$13:$B$1276)</f>
        <v>0</v>
      </c>
      <c r="H1452" s="1317">
        <f>+SUMIF(asientos!$I$13:$I$1276,SYS_4_3_Digitos!A1452,asientos!$J$13:$J$1276)</f>
        <v>0</v>
      </c>
      <c r="I1452" s="1314">
        <f t="shared" si="142"/>
        <v>0</v>
      </c>
      <c r="J1452" s="1315">
        <f t="shared" si="143"/>
        <v>0</v>
      </c>
      <c r="L1452" s="1308">
        <f t="shared" si="144"/>
        <v>0</v>
      </c>
      <c r="M1452" s="1296" t="str">
        <f t="shared" si="145"/>
        <v>0</v>
      </c>
      <c r="N1452" s="1309">
        <f t="shared" si="146"/>
        <v>0</v>
      </c>
      <c r="O1452" s="1296" t="str">
        <f t="shared" si="147"/>
        <v>0</v>
      </c>
    </row>
    <row r="1453" spans="1:15" s="1296" customFormat="1" hidden="1">
      <c r="A1453" s="1310"/>
      <c r="B1453" s="1311"/>
      <c r="C1453" s="1312">
        <v>0</v>
      </c>
      <c r="D1453" s="1313">
        <v>0</v>
      </c>
      <c r="E1453" s="1314"/>
      <c r="F1453" s="1315"/>
      <c r="G1453" s="1316">
        <f>+SUMIF(asientos!$C$13:$C$1276,SYS_4_3_Digitos!A1453,asientos!$B$13:$B$1276)</f>
        <v>0</v>
      </c>
      <c r="H1453" s="1317">
        <f>+SUMIF(asientos!$I$13:$I$1276,SYS_4_3_Digitos!A1453,asientos!$J$13:$J$1276)</f>
        <v>0</v>
      </c>
      <c r="I1453" s="1314">
        <f t="shared" si="142"/>
        <v>0</v>
      </c>
      <c r="J1453" s="1315">
        <f t="shared" si="143"/>
        <v>0</v>
      </c>
      <c r="L1453" s="1308">
        <f t="shared" si="144"/>
        <v>0</v>
      </c>
      <c r="M1453" s="1296" t="str">
        <f t="shared" si="145"/>
        <v>0</v>
      </c>
      <c r="N1453" s="1309">
        <f t="shared" si="146"/>
        <v>0</v>
      </c>
      <c r="O1453" s="1296" t="str">
        <f t="shared" si="147"/>
        <v>0</v>
      </c>
    </row>
    <row r="1454" spans="1:15" s="1296" customFormat="1" hidden="1">
      <c r="A1454" s="1310"/>
      <c r="B1454" s="1311"/>
      <c r="C1454" s="1312">
        <v>0</v>
      </c>
      <c r="D1454" s="1313">
        <v>0</v>
      </c>
      <c r="E1454" s="1314"/>
      <c r="F1454" s="1315"/>
      <c r="G1454" s="1316">
        <f>+SUMIF(asientos!$C$13:$C$1276,SYS_4_3_Digitos!A1454,asientos!$B$13:$B$1276)</f>
        <v>0</v>
      </c>
      <c r="H1454" s="1317">
        <f>+SUMIF(asientos!$I$13:$I$1276,SYS_4_3_Digitos!A1454,asientos!$J$13:$J$1276)</f>
        <v>0</v>
      </c>
      <c r="I1454" s="1314">
        <f t="shared" si="142"/>
        <v>0</v>
      </c>
      <c r="J1454" s="1315">
        <f t="shared" si="143"/>
        <v>0</v>
      </c>
      <c r="L1454" s="1308">
        <f t="shared" si="144"/>
        <v>0</v>
      </c>
      <c r="M1454" s="1296" t="str">
        <f t="shared" si="145"/>
        <v>0</v>
      </c>
      <c r="N1454" s="1309">
        <f t="shared" si="146"/>
        <v>0</v>
      </c>
      <c r="O1454" s="1296" t="str">
        <f t="shared" si="147"/>
        <v>0</v>
      </c>
    </row>
    <row r="1455" spans="1:15" s="1296" customFormat="1" hidden="1">
      <c r="A1455" s="1310"/>
      <c r="B1455" s="1311"/>
      <c r="C1455" s="1312">
        <v>0</v>
      </c>
      <c r="D1455" s="1313">
        <v>0</v>
      </c>
      <c r="E1455" s="1314"/>
      <c r="F1455" s="1315"/>
      <c r="G1455" s="1316">
        <f>+SUMIF(asientos!$C$13:$C$1276,SYS_4_3_Digitos!A1455,asientos!$B$13:$B$1276)</f>
        <v>0</v>
      </c>
      <c r="H1455" s="1317">
        <f>+SUMIF(asientos!$I$13:$I$1276,SYS_4_3_Digitos!A1455,asientos!$J$13:$J$1276)</f>
        <v>0</v>
      </c>
      <c r="I1455" s="1314">
        <f t="shared" si="142"/>
        <v>0</v>
      </c>
      <c r="J1455" s="1315">
        <f t="shared" si="143"/>
        <v>0</v>
      </c>
      <c r="L1455" s="1308">
        <f t="shared" si="144"/>
        <v>0</v>
      </c>
      <c r="M1455" s="1296" t="str">
        <f t="shared" si="145"/>
        <v>0</v>
      </c>
      <c r="N1455" s="1309">
        <f t="shared" si="146"/>
        <v>0</v>
      </c>
      <c r="O1455" s="1296" t="str">
        <f t="shared" si="147"/>
        <v>0</v>
      </c>
    </row>
    <row r="1456" spans="1:15" s="1296" customFormat="1" hidden="1">
      <c r="A1456" s="1310"/>
      <c r="B1456" s="1311"/>
      <c r="C1456" s="1312">
        <v>0</v>
      </c>
      <c r="D1456" s="1313">
        <v>0</v>
      </c>
      <c r="E1456" s="1314"/>
      <c r="F1456" s="1315"/>
      <c r="G1456" s="1316">
        <f>+SUMIF(asientos!$C$13:$C$1276,SYS_4_3_Digitos!A1456,asientos!$B$13:$B$1276)</f>
        <v>0</v>
      </c>
      <c r="H1456" s="1317">
        <f>+SUMIF(asientos!$I$13:$I$1276,SYS_4_3_Digitos!A1456,asientos!$J$13:$J$1276)</f>
        <v>0</v>
      </c>
      <c r="I1456" s="1314">
        <f t="shared" si="142"/>
        <v>0</v>
      </c>
      <c r="J1456" s="1315">
        <f t="shared" si="143"/>
        <v>0</v>
      </c>
      <c r="L1456" s="1308">
        <f t="shared" si="144"/>
        <v>0</v>
      </c>
      <c r="M1456" s="1296" t="str">
        <f t="shared" si="145"/>
        <v>0</v>
      </c>
      <c r="N1456" s="1309">
        <f t="shared" si="146"/>
        <v>0</v>
      </c>
      <c r="O1456" s="1296" t="str">
        <f t="shared" si="147"/>
        <v>0</v>
      </c>
    </row>
    <row r="1457" spans="1:15" s="1296" customFormat="1" hidden="1">
      <c r="A1457" s="1310"/>
      <c r="B1457" s="1311"/>
      <c r="C1457" s="1312">
        <v>0</v>
      </c>
      <c r="D1457" s="1313">
        <v>0</v>
      </c>
      <c r="E1457" s="1314"/>
      <c r="F1457" s="1315"/>
      <c r="G1457" s="1316">
        <f>+SUMIF(asientos!$C$13:$C$1276,SYS_4_3_Digitos!A1457,asientos!$B$13:$B$1276)</f>
        <v>0</v>
      </c>
      <c r="H1457" s="1317">
        <f>+SUMIF(asientos!$I$13:$I$1276,SYS_4_3_Digitos!A1457,asientos!$J$13:$J$1276)</f>
        <v>0</v>
      </c>
      <c r="I1457" s="1314">
        <f t="shared" si="142"/>
        <v>0</v>
      </c>
      <c r="J1457" s="1315">
        <f t="shared" si="143"/>
        <v>0</v>
      </c>
      <c r="L1457" s="1308">
        <f t="shared" si="144"/>
        <v>0</v>
      </c>
      <c r="M1457" s="1296" t="str">
        <f t="shared" si="145"/>
        <v>0</v>
      </c>
      <c r="N1457" s="1309">
        <f t="shared" si="146"/>
        <v>0</v>
      </c>
      <c r="O1457" s="1296" t="str">
        <f t="shared" si="147"/>
        <v>0</v>
      </c>
    </row>
    <row r="1458" spans="1:15" s="1296" customFormat="1" hidden="1">
      <c r="A1458" s="1310"/>
      <c r="B1458" s="1311"/>
      <c r="C1458" s="1312">
        <v>0</v>
      </c>
      <c r="D1458" s="1313">
        <v>0</v>
      </c>
      <c r="E1458" s="1314"/>
      <c r="F1458" s="1315"/>
      <c r="G1458" s="1316">
        <f>+SUMIF(asientos!$C$13:$C$1276,SYS_4_3_Digitos!A1458,asientos!$B$13:$B$1276)</f>
        <v>0</v>
      </c>
      <c r="H1458" s="1317">
        <f>+SUMIF(asientos!$I$13:$I$1276,SYS_4_3_Digitos!A1458,asientos!$J$13:$J$1276)</f>
        <v>0</v>
      </c>
      <c r="I1458" s="1314">
        <f t="shared" si="142"/>
        <v>0</v>
      </c>
      <c r="J1458" s="1315">
        <f t="shared" si="143"/>
        <v>0</v>
      </c>
      <c r="L1458" s="1308">
        <f t="shared" si="144"/>
        <v>0</v>
      </c>
      <c r="M1458" s="1296" t="str">
        <f t="shared" si="145"/>
        <v>0</v>
      </c>
      <c r="N1458" s="1309">
        <f t="shared" si="146"/>
        <v>0</v>
      </c>
      <c r="O1458" s="1296" t="str">
        <f t="shared" si="147"/>
        <v>0</v>
      </c>
    </row>
    <row r="1459" spans="1:15" s="1296" customFormat="1" hidden="1">
      <c r="A1459" s="1310"/>
      <c r="B1459" s="1311"/>
      <c r="C1459" s="1312">
        <v>0</v>
      </c>
      <c r="D1459" s="1313">
        <v>0</v>
      </c>
      <c r="E1459" s="1314"/>
      <c r="F1459" s="1315"/>
      <c r="G1459" s="1316">
        <f>+SUMIF(asientos!$C$13:$C$1276,SYS_4_3_Digitos!A1459,asientos!$B$13:$B$1276)</f>
        <v>0</v>
      </c>
      <c r="H1459" s="1317">
        <f>+SUMIF(asientos!$I$13:$I$1276,SYS_4_3_Digitos!A1459,asientos!$J$13:$J$1276)</f>
        <v>0</v>
      </c>
      <c r="I1459" s="1314">
        <f t="shared" si="142"/>
        <v>0</v>
      </c>
      <c r="J1459" s="1315">
        <f t="shared" si="143"/>
        <v>0</v>
      </c>
      <c r="L1459" s="1308">
        <f t="shared" si="144"/>
        <v>0</v>
      </c>
      <c r="M1459" s="1296" t="str">
        <f t="shared" si="145"/>
        <v>0</v>
      </c>
      <c r="N1459" s="1309">
        <f t="shared" si="146"/>
        <v>0</v>
      </c>
      <c r="O1459" s="1296" t="str">
        <f t="shared" si="147"/>
        <v>0</v>
      </c>
    </row>
    <row r="1460" spans="1:15" s="1296" customFormat="1" hidden="1">
      <c r="A1460" s="1310"/>
      <c r="B1460" s="1311"/>
      <c r="C1460" s="1312">
        <v>0</v>
      </c>
      <c r="D1460" s="1313">
        <v>0</v>
      </c>
      <c r="E1460" s="1314"/>
      <c r="F1460" s="1315"/>
      <c r="G1460" s="1316">
        <f>+SUMIF(asientos!$C$13:$C$1276,SYS_4_3_Digitos!A1460,asientos!$B$13:$B$1276)</f>
        <v>0</v>
      </c>
      <c r="H1460" s="1317">
        <f>+SUMIF(asientos!$I$13:$I$1276,SYS_4_3_Digitos!A1460,asientos!$J$13:$J$1276)</f>
        <v>0</v>
      </c>
      <c r="I1460" s="1314">
        <f t="shared" si="142"/>
        <v>0</v>
      </c>
      <c r="J1460" s="1315">
        <f t="shared" si="143"/>
        <v>0</v>
      </c>
      <c r="L1460" s="1308">
        <f t="shared" si="144"/>
        <v>0</v>
      </c>
      <c r="M1460" s="1296" t="str">
        <f t="shared" si="145"/>
        <v>0</v>
      </c>
      <c r="N1460" s="1309">
        <f t="shared" si="146"/>
        <v>0</v>
      </c>
      <c r="O1460" s="1296" t="str">
        <f t="shared" si="147"/>
        <v>0</v>
      </c>
    </row>
    <row r="1461" spans="1:15" s="1296" customFormat="1" hidden="1">
      <c r="A1461" s="1310"/>
      <c r="B1461" s="1311"/>
      <c r="C1461" s="1312">
        <v>0</v>
      </c>
      <c r="D1461" s="1313">
        <v>0</v>
      </c>
      <c r="E1461" s="1314"/>
      <c r="F1461" s="1315"/>
      <c r="G1461" s="1316">
        <f>+SUMIF(asientos!$C$13:$C$1276,SYS_4_3_Digitos!A1461,asientos!$B$13:$B$1276)</f>
        <v>0</v>
      </c>
      <c r="H1461" s="1317">
        <f>+SUMIF(asientos!$I$13:$I$1276,SYS_4_3_Digitos!A1461,asientos!$J$13:$J$1276)</f>
        <v>0</v>
      </c>
      <c r="I1461" s="1314">
        <f t="shared" si="142"/>
        <v>0</v>
      </c>
      <c r="J1461" s="1315">
        <f t="shared" si="143"/>
        <v>0</v>
      </c>
      <c r="L1461" s="1308">
        <f t="shared" si="144"/>
        <v>0</v>
      </c>
      <c r="M1461" s="1296" t="str">
        <f t="shared" si="145"/>
        <v>0</v>
      </c>
      <c r="N1461" s="1309">
        <f t="shared" si="146"/>
        <v>0</v>
      </c>
      <c r="O1461" s="1296" t="str">
        <f t="shared" si="147"/>
        <v>0</v>
      </c>
    </row>
    <row r="1462" spans="1:15" s="1296" customFormat="1" hidden="1">
      <c r="A1462" s="1310"/>
      <c r="B1462" s="1311"/>
      <c r="C1462" s="1312">
        <v>0</v>
      </c>
      <c r="D1462" s="1313">
        <v>0</v>
      </c>
      <c r="E1462" s="1314"/>
      <c r="F1462" s="1315"/>
      <c r="G1462" s="1316">
        <f>+SUMIF(asientos!$C$13:$C$1276,SYS_4_3_Digitos!A1462,asientos!$B$13:$B$1276)</f>
        <v>0</v>
      </c>
      <c r="H1462" s="1317">
        <f>+SUMIF(asientos!$I$13:$I$1276,SYS_4_3_Digitos!A1462,asientos!$J$13:$J$1276)</f>
        <v>0</v>
      </c>
      <c r="I1462" s="1314">
        <f t="shared" si="142"/>
        <v>0</v>
      </c>
      <c r="J1462" s="1315">
        <f t="shared" si="143"/>
        <v>0</v>
      </c>
      <c r="L1462" s="1308">
        <f t="shared" si="144"/>
        <v>0</v>
      </c>
      <c r="M1462" s="1296" t="str">
        <f t="shared" si="145"/>
        <v>0</v>
      </c>
      <c r="N1462" s="1309">
        <f t="shared" si="146"/>
        <v>0</v>
      </c>
      <c r="O1462" s="1296" t="str">
        <f t="shared" si="147"/>
        <v>0</v>
      </c>
    </row>
    <row r="1463" spans="1:15" s="1296" customFormat="1" hidden="1">
      <c r="A1463" s="1310"/>
      <c r="B1463" s="1311"/>
      <c r="C1463" s="1312">
        <v>0</v>
      </c>
      <c r="D1463" s="1313">
        <v>0</v>
      </c>
      <c r="E1463" s="1314"/>
      <c r="F1463" s="1315"/>
      <c r="G1463" s="1316">
        <f>+SUMIF(asientos!$C$13:$C$1276,SYS_4_3_Digitos!A1463,asientos!$B$13:$B$1276)</f>
        <v>0</v>
      </c>
      <c r="H1463" s="1317">
        <f>+SUMIF(asientos!$I$13:$I$1276,SYS_4_3_Digitos!A1463,asientos!$J$13:$J$1276)</f>
        <v>0</v>
      </c>
      <c r="I1463" s="1314">
        <f t="shared" si="142"/>
        <v>0</v>
      </c>
      <c r="J1463" s="1315">
        <f t="shared" si="143"/>
        <v>0</v>
      </c>
      <c r="L1463" s="1308">
        <f t="shared" si="144"/>
        <v>0</v>
      </c>
      <c r="M1463" s="1296" t="str">
        <f t="shared" si="145"/>
        <v>0</v>
      </c>
      <c r="N1463" s="1309">
        <f t="shared" si="146"/>
        <v>0</v>
      </c>
      <c r="O1463" s="1296" t="str">
        <f t="shared" si="147"/>
        <v>0</v>
      </c>
    </row>
    <row r="1464" spans="1:15" s="1296" customFormat="1" hidden="1">
      <c r="A1464" s="1310"/>
      <c r="B1464" s="1311"/>
      <c r="C1464" s="1312">
        <v>0</v>
      </c>
      <c r="D1464" s="1313">
        <v>0</v>
      </c>
      <c r="E1464" s="1314"/>
      <c r="F1464" s="1315"/>
      <c r="G1464" s="1316">
        <f>+SUMIF(asientos!$C$13:$C$1276,SYS_4_3_Digitos!A1464,asientos!$B$13:$B$1276)</f>
        <v>0</v>
      </c>
      <c r="H1464" s="1317">
        <f>+SUMIF(asientos!$I$13:$I$1276,SYS_4_3_Digitos!A1464,asientos!$J$13:$J$1276)</f>
        <v>0</v>
      </c>
      <c r="I1464" s="1314">
        <f t="shared" si="142"/>
        <v>0</v>
      </c>
      <c r="J1464" s="1315">
        <f t="shared" si="143"/>
        <v>0</v>
      </c>
      <c r="L1464" s="1308">
        <f t="shared" si="144"/>
        <v>0</v>
      </c>
      <c r="M1464" s="1296" t="str">
        <f t="shared" si="145"/>
        <v>0</v>
      </c>
      <c r="N1464" s="1309">
        <f t="shared" si="146"/>
        <v>0</v>
      </c>
      <c r="O1464" s="1296" t="str">
        <f t="shared" si="147"/>
        <v>0</v>
      </c>
    </row>
    <row r="1465" spans="1:15" s="1296" customFormat="1" hidden="1">
      <c r="A1465" s="1310"/>
      <c r="B1465" s="1311"/>
      <c r="C1465" s="1312">
        <v>0</v>
      </c>
      <c r="D1465" s="1313">
        <v>0</v>
      </c>
      <c r="E1465" s="1314"/>
      <c r="F1465" s="1315"/>
      <c r="G1465" s="1316">
        <f>+SUMIF(asientos!$C$13:$C$1276,SYS_4_3_Digitos!A1465,asientos!$B$13:$B$1276)</f>
        <v>0</v>
      </c>
      <c r="H1465" s="1317">
        <f>+SUMIF(asientos!$I$13:$I$1276,SYS_4_3_Digitos!A1465,asientos!$J$13:$J$1276)</f>
        <v>0</v>
      </c>
      <c r="I1465" s="1314">
        <f t="shared" si="142"/>
        <v>0</v>
      </c>
      <c r="J1465" s="1315">
        <f t="shared" si="143"/>
        <v>0</v>
      </c>
      <c r="L1465" s="1308">
        <f t="shared" si="144"/>
        <v>0</v>
      </c>
      <c r="M1465" s="1296" t="str">
        <f t="shared" si="145"/>
        <v>0</v>
      </c>
      <c r="N1465" s="1309">
        <f t="shared" si="146"/>
        <v>0</v>
      </c>
      <c r="O1465" s="1296" t="str">
        <f t="shared" si="147"/>
        <v>0</v>
      </c>
    </row>
    <row r="1466" spans="1:15" s="1296" customFormat="1" hidden="1">
      <c r="A1466" s="1310"/>
      <c r="B1466" s="1311"/>
      <c r="C1466" s="1312">
        <v>0</v>
      </c>
      <c r="D1466" s="1313">
        <v>0</v>
      </c>
      <c r="E1466" s="1314"/>
      <c r="F1466" s="1315"/>
      <c r="G1466" s="1316">
        <f>+SUMIF(asientos!$C$13:$C$1276,SYS_4_3_Digitos!A1466,asientos!$B$13:$B$1276)</f>
        <v>0</v>
      </c>
      <c r="H1466" s="1317">
        <f>+SUMIF(asientos!$I$13:$I$1276,SYS_4_3_Digitos!A1466,asientos!$J$13:$J$1276)</f>
        <v>0</v>
      </c>
      <c r="I1466" s="1314">
        <f t="shared" si="142"/>
        <v>0</v>
      </c>
      <c r="J1466" s="1315">
        <f t="shared" si="143"/>
        <v>0</v>
      </c>
      <c r="L1466" s="1308">
        <f t="shared" si="144"/>
        <v>0</v>
      </c>
      <c r="M1466" s="1296" t="str">
        <f t="shared" si="145"/>
        <v>0</v>
      </c>
      <c r="N1466" s="1309">
        <f t="shared" si="146"/>
        <v>0</v>
      </c>
      <c r="O1466" s="1296" t="str">
        <f t="shared" si="147"/>
        <v>0</v>
      </c>
    </row>
    <row r="1467" spans="1:15" s="1296" customFormat="1" hidden="1">
      <c r="A1467" s="1310"/>
      <c r="B1467" s="1311"/>
      <c r="C1467" s="1312">
        <v>0</v>
      </c>
      <c r="D1467" s="1313">
        <v>0</v>
      </c>
      <c r="E1467" s="1314"/>
      <c r="F1467" s="1315"/>
      <c r="G1467" s="1316">
        <f>+SUMIF(asientos!$C$13:$C$1276,SYS_4_3_Digitos!A1467,asientos!$B$13:$B$1276)</f>
        <v>0</v>
      </c>
      <c r="H1467" s="1317">
        <f>+SUMIF(asientos!$I$13:$I$1276,SYS_4_3_Digitos!A1467,asientos!$J$13:$J$1276)</f>
        <v>0</v>
      </c>
      <c r="I1467" s="1314">
        <f t="shared" si="142"/>
        <v>0</v>
      </c>
      <c r="J1467" s="1315">
        <f t="shared" si="143"/>
        <v>0</v>
      </c>
      <c r="L1467" s="1308">
        <f t="shared" si="144"/>
        <v>0</v>
      </c>
      <c r="M1467" s="1296" t="str">
        <f t="shared" si="145"/>
        <v>0</v>
      </c>
      <c r="N1467" s="1309">
        <f t="shared" si="146"/>
        <v>0</v>
      </c>
      <c r="O1467" s="1296" t="str">
        <f t="shared" si="147"/>
        <v>0</v>
      </c>
    </row>
    <row r="1468" spans="1:15" s="1296" customFormat="1" hidden="1">
      <c r="A1468" s="1310"/>
      <c r="B1468" s="1311"/>
      <c r="C1468" s="1312">
        <v>0</v>
      </c>
      <c r="D1468" s="1313">
        <v>0</v>
      </c>
      <c r="E1468" s="1314"/>
      <c r="F1468" s="1315"/>
      <c r="G1468" s="1316">
        <f>+SUMIF(asientos!$C$13:$C$1276,SYS_4_3_Digitos!A1468,asientos!$B$13:$B$1276)</f>
        <v>0</v>
      </c>
      <c r="H1468" s="1317">
        <f>+SUMIF(asientos!$I$13:$I$1276,SYS_4_3_Digitos!A1468,asientos!$J$13:$J$1276)</f>
        <v>0</v>
      </c>
      <c r="I1468" s="1314">
        <f t="shared" si="142"/>
        <v>0</v>
      </c>
      <c r="J1468" s="1315">
        <f t="shared" si="143"/>
        <v>0</v>
      </c>
      <c r="L1468" s="1308">
        <f t="shared" si="144"/>
        <v>0</v>
      </c>
      <c r="M1468" s="1296" t="str">
        <f t="shared" si="145"/>
        <v>0</v>
      </c>
      <c r="N1468" s="1309">
        <f t="shared" si="146"/>
        <v>0</v>
      </c>
      <c r="O1468" s="1296" t="str">
        <f t="shared" si="147"/>
        <v>0</v>
      </c>
    </row>
    <row r="1469" spans="1:15" s="1296" customFormat="1" hidden="1">
      <c r="A1469" s="1310"/>
      <c r="B1469" s="1311"/>
      <c r="C1469" s="1312">
        <v>0</v>
      </c>
      <c r="D1469" s="1313">
        <v>0</v>
      </c>
      <c r="E1469" s="1314"/>
      <c r="F1469" s="1315"/>
      <c r="G1469" s="1316">
        <f>+SUMIF(asientos!$C$13:$C$1276,SYS_4_3_Digitos!A1469,asientos!$B$13:$B$1276)</f>
        <v>0</v>
      </c>
      <c r="H1469" s="1317">
        <f>+SUMIF(asientos!$I$13:$I$1276,SYS_4_3_Digitos!A1469,asientos!$J$13:$J$1276)</f>
        <v>0</v>
      </c>
      <c r="I1469" s="1314">
        <f t="shared" si="142"/>
        <v>0</v>
      </c>
      <c r="J1469" s="1315">
        <f t="shared" si="143"/>
        <v>0</v>
      </c>
      <c r="L1469" s="1308">
        <f t="shared" si="144"/>
        <v>0</v>
      </c>
      <c r="M1469" s="1296" t="str">
        <f t="shared" si="145"/>
        <v>0</v>
      </c>
      <c r="N1469" s="1309">
        <f t="shared" si="146"/>
        <v>0</v>
      </c>
      <c r="O1469" s="1296" t="str">
        <f t="shared" si="147"/>
        <v>0</v>
      </c>
    </row>
    <row r="1470" spans="1:15" s="1296" customFormat="1" hidden="1">
      <c r="A1470" s="1310"/>
      <c r="B1470" s="1311"/>
      <c r="C1470" s="1312">
        <v>0</v>
      </c>
      <c r="D1470" s="1313">
        <v>0</v>
      </c>
      <c r="E1470" s="1314"/>
      <c r="F1470" s="1315"/>
      <c r="G1470" s="1316">
        <f>+SUMIF(asientos!$C$13:$C$1276,SYS_4_3_Digitos!A1470,asientos!$B$13:$B$1276)</f>
        <v>0</v>
      </c>
      <c r="H1470" s="1317">
        <f>+SUMIF(asientos!$I$13:$I$1276,SYS_4_3_Digitos!A1470,asientos!$J$13:$J$1276)</f>
        <v>0</v>
      </c>
      <c r="I1470" s="1314">
        <f t="shared" si="142"/>
        <v>0</v>
      </c>
      <c r="J1470" s="1315">
        <f t="shared" si="143"/>
        <v>0</v>
      </c>
      <c r="L1470" s="1308">
        <f t="shared" si="144"/>
        <v>0</v>
      </c>
      <c r="M1470" s="1296" t="str">
        <f t="shared" si="145"/>
        <v>0</v>
      </c>
      <c r="N1470" s="1309">
        <f t="shared" si="146"/>
        <v>0</v>
      </c>
      <c r="O1470" s="1296" t="str">
        <f t="shared" si="147"/>
        <v>0</v>
      </c>
    </row>
    <row r="1471" spans="1:15" s="1296" customFormat="1" hidden="1">
      <c r="A1471" s="1310"/>
      <c r="B1471" s="1311"/>
      <c r="C1471" s="1312">
        <v>0</v>
      </c>
      <c r="D1471" s="1313">
        <v>0</v>
      </c>
      <c r="E1471" s="1314"/>
      <c r="F1471" s="1315"/>
      <c r="G1471" s="1316">
        <f>+SUMIF(asientos!$C$13:$C$1276,SYS_4_3_Digitos!A1471,asientos!$B$13:$B$1276)</f>
        <v>0</v>
      </c>
      <c r="H1471" s="1317">
        <f>+SUMIF(asientos!$I$13:$I$1276,SYS_4_3_Digitos!A1471,asientos!$J$13:$J$1276)</f>
        <v>0</v>
      </c>
      <c r="I1471" s="1314">
        <f t="shared" si="142"/>
        <v>0</v>
      </c>
      <c r="J1471" s="1315">
        <f t="shared" si="143"/>
        <v>0</v>
      </c>
      <c r="L1471" s="1308">
        <f t="shared" si="144"/>
        <v>0</v>
      </c>
      <c r="M1471" s="1296" t="str">
        <f t="shared" si="145"/>
        <v>0</v>
      </c>
      <c r="N1471" s="1309">
        <f t="shared" si="146"/>
        <v>0</v>
      </c>
      <c r="O1471" s="1296" t="str">
        <f t="shared" si="147"/>
        <v>0</v>
      </c>
    </row>
    <row r="1472" spans="1:15" s="1296" customFormat="1" hidden="1">
      <c r="A1472" s="1310"/>
      <c r="B1472" s="1311"/>
      <c r="C1472" s="1312">
        <v>0</v>
      </c>
      <c r="D1472" s="1313">
        <v>0</v>
      </c>
      <c r="E1472" s="1314"/>
      <c r="F1472" s="1315"/>
      <c r="G1472" s="1316">
        <f>+SUMIF(asientos!$C$13:$C$1276,SYS_4_3_Digitos!A1472,asientos!$B$13:$B$1276)</f>
        <v>0</v>
      </c>
      <c r="H1472" s="1317">
        <f>+SUMIF(asientos!$I$13:$I$1276,SYS_4_3_Digitos!A1472,asientos!$J$13:$J$1276)</f>
        <v>0</v>
      </c>
      <c r="I1472" s="1314">
        <f t="shared" si="142"/>
        <v>0</v>
      </c>
      <c r="J1472" s="1315">
        <f t="shared" si="143"/>
        <v>0</v>
      </c>
      <c r="L1472" s="1308">
        <f t="shared" si="144"/>
        <v>0</v>
      </c>
      <c r="M1472" s="1296" t="str">
        <f t="shared" si="145"/>
        <v>0</v>
      </c>
      <c r="N1472" s="1309">
        <f t="shared" si="146"/>
        <v>0</v>
      </c>
      <c r="O1472" s="1296" t="str">
        <f t="shared" si="147"/>
        <v>0</v>
      </c>
    </row>
    <row r="1473" spans="1:15" s="1296" customFormat="1" hidden="1">
      <c r="A1473" s="1310"/>
      <c r="B1473" s="1311"/>
      <c r="C1473" s="1312">
        <v>0</v>
      </c>
      <c r="D1473" s="1313">
        <v>0</v>
      </c>
      <c r="E1473" s="1314"/>
      <c r="F1473" s="1315"/>
      <c r="G1473" s="1316">
        <f>+SUMIF(asientos!$C$13:$C$1276,SYS_4_3_Digitos!A1473,asientos!$B$13:$B$1276)</f>
        <v>0</v>
      </c>
      <c r="H1473" s="1317">
        <f>+SUMIF(asientos!$I$13:$I$1276,SYS_4_3_Digitos!A1473,asientos!$J$13:$J$1276)</f>
        <v>0</v>
      </c>
      <c r="I1473" s="1314">
        <f t="shared" si="142"/>
        <v>0</v>
      </c>
      <c r="J1473" s="1315">
        <f t="shared" si="143"/>
        <v>0</v>
      </c>
      <c r="L1473" s="1308">
        <f t="shared" si="144"/>
        <v>0</v>
      </c>
      <c r="M1473" s="1296" t="str">
        <f t="shared" si="145"/>
        <v>0</v>
      </c>
      <c r="N1473" s="1309">
        <f t="shared" si="146"/>
        <v>0</v>
      </c>
      <c r="O1473" s="1296" t="str">
        <f t="shared" si="147"/>
        <v>0</v>
      </c>
    </row>
    <row r="1474" spans="1:15" s="1296" customFormat="1" hidden="1">
      <c r="A1474" s="1310"/>
      <c r="B1474" s="1311"/>
      <c r="C1474" s="1312">
        <v>0</v>
      </c>
      <c r="D1474" s="1313">
        <v>0</v>
      </c>
      <c r="E1474" s="1314"/>
      <c r="F1474" s="1315"/>
      <c r="G1474" s="1316">
        <f>+SUMIF(asientos!$C$13:$C$1276,SYS_4_3_Digitos!A1474,asientos!$B$13:$B$1276)</f>
        <v>0</v>
      </c>
      <c r="H1474" s="1317">
        <f>+SUMIF(asientos!$I$13:$I$1276,SYS_4_3_Digitos!A1474,asientos!$J$13:$J$1276)</f>
        <v>0</v>
      </c>
      <c r="I1474" s="1314">
        <f t="shared" si="142"/>
        <v>0</v>
      </c>
      <c r="J1474" s="1315">
        <f t="shared" si="143"/>
        <v>0</v>
      </c>
      <c r="L1474" s="1308">
        <f t="shared" si="144"/>
        <v>0</v>
      </c>
      <c r="M1474" s="1296" t="str">
        <f t="shared" si="145"/>
        <v>0</v>
      </c>
      <c r="N1474" s="1309">
        <f t="shared" si="146"/>
        <v>0</v>
      </c>
      <c r="O1474" s="1296" t="str">
        <f t="shared" si="147"/>
        <v>0</v>
      </c>
    </row>
    <row r="1475" spans="1:15" s="1296" customFormat="1" hidden="1">
      <c r="A1475" s="1310"/>
      <c r="B1475" s="1311"/>
      <c r="C1475" s="1312">
        <v>0</v>
      </c>
      <c r="D1475" s="1313">
        <v>0</v>
      </c>
      <c r="E1475" s="1314"/>
      <c r="F1475" s="1315"/>
      <c r="G1475" s="1316">
        <f>+SUMIF(asientos!$C$13:$C$1276,SYS_4_3_Digitos!A1475,asientos!$B$13:$B$1276)</f>
        <v>0</v>
      </c>
      <c r="H1475" s="1317">
        <f>+SUMIF(asientos!$I$13:$I$1276,SYS_4_3_Digitos!A1475,asientos!$J$13:$J$1276)</f>
        <v>0</v>
      </c>
      <c r="I1475" s="1314">
        <f t="shared" si="142"/>
        <v>0</v>
      </c>
      <c r="J1475" s="1315">
        <f t="shared" si="143"/>
        <v>0</v>
      </c>
      <c r="L1475" s="1308">
        <f t="shared" si="144"/>
        <v>0</v>
      </c>
      <c r="M1475" s="1296" t="str">
        <f t="shared" si="145"/>
        <v>0</v>
      </c>
      <c r="N1475" s="1309">
        <f t="shared" si="146"/>
        <v>0</v>
      </c>
      <c r="O1475" s="1296" t="str">
        <f t="shared" si="147"/>
        <v>0</v>
      </c>
    </row>
    <row r="1476" spans="1:15" s="1296" customFormat="1" hidden="1">
      <c r="A1476" s="1310"/>
      <c r="B1476" s="1311"/>
      <c r="C1476" s="1312">
        <v>0</v>
      </c>
      <c r="D1476" s="1313">
        <v>0</v>
      </c>
      <c r="E1476" s="1314"/>
      <c r="F1476" s="1315"/>
      <c r="G1476" s="1316">
        <f>+SUMIF(asientos!$C$13:$C$1276,SYS_4_3_Digitos!A1476,asientos!$B$13:$B$1276)</f>
        <v>0</v>
      </c>
      <c r="H1476" s="1317">
        <f>+SUMIF(asientos!$I$13:$I$1276,SYS_4_3_Digitos!A1476,asientos!$J$13:$J$1276)</f>
        <v>0</v>
      </c>
      <c r="I1476" s="1314">
        <f t="shared" si="142"/>
        <v>0</v>
      </c>
      <c r="J1476" s="1315">
        <f t="shared" si="143"/>
        <v>0</v>
      </c>
      <c r="L1476" s="1308">
        <f t="shared" si="144"/>
        <v>0</v>
      </c>
      <c r="M1476" s="1296" t="str">
        <f t="shared" si="145"/>
        <v>0</v>
      </c>
      <c r="N1476" s="1309">
        <f t="shared" si="146"/>
        <v>0</v>
      </c>
      <c r="O1476" s="1296" t="str">
        <f t="shared" si="147"/>
        <v>0</v>
      </c>
    </row>
    <row r="1477" spans="1:15" s="1296" customFormat="1" hidden="1">
      <c r="A1477" s="1310"/>
      <c r="B1477" s="1311"/>
      <c r="C1477" s="1312">
        <v>0</v>
      </c>
      <c r="D1477" s="1313">
        <v>0</v>
      </c>
      <c r="E1477" s="1314"/>
      <c r="F1477" s="1315"/>
      <c r="G1477" s="1316">
        <f>+SUMIF(asientos!$C$13:$C$1276,SYS_4_3_Digitos!A1477,asientos!$B$13:$B$1276)</f>
        <v>0</v>
      </c>
      <c r="H1477" s="1317">
        <f>+SUMIF(asientos!$I$13:$I$1276,SYS_4_3_Digitos!A1477,asientos!$J$13:$J$1276)</f>
        <v>0</v>
      </c>
      <c r="I1477" s="1314">
        <f t="shared" si="142"/>
        <v>0</v>
      </c>
      <c r="J1477" s="1315">
        <f t="shared" si="143"/>
        <v>0</v>
      </c>
      <c r="L1477" s="1308">
        <f t="shared" si="144"/>
        <v>0</v>
      </c>
      <c r="M1477" s="1296" t="str">
        <f t="shared" si="145"/>
        <v>0</v>
      </c>
      <c r="N1477" s="1309">
        <f t="shared" si="146"/>
        <v>0</v>
      </c>
      <c r="O1477" s="1296" t="str">
        <f t="shared" si="147"/>
        <v>0</v>
      </c>
    </row>
    <row r="1478" spans="1:15" s="1296" customFormat="1" hidden="1">
      <c r="A1478" s="1310"/>
      <c r="B1478" s="1311"/>
      <c r="C1478" s="1312">
        <v>0</v>
      </c>
      <c r="D1478" s="1313">
        <v>0</v>
      </c>
      <c r="E1478" s="1314"/>
      <c r="F1478" s="1315"/>
      <c r="G1478" s="1316">
        <f>+SUMIF(asientos!$C$13:$C$1276,SYS_4_3_Digitos!A1478,asientos!$B$13:$B$1276)</f>
        <v>0</v>
      </c>
      <c r="H1478" s="1317">
        <f>+SUMIF(asientos!$I$13:$I$1276,SYS_4_3_Digitos!A1478,asientos!$J$13:$J$1276)</f>
        <v>0</v>
      </c>
      <c r="I1478" s="1314">
        <f t="shared" si="142"/>
        <v>0</v>
      </c>
      <c r="J1478" s="1315">
        <f t="shared" si="143"/>
        <v>0</v>
      </c>
      <c r="L1478" s="1308">
        <f t="shared" si="144"/>
        <v>0</v>
      </c>
      <c r="M1478" s="1296" t="str">
        <f t="shared" si="145"/>
        <v>0</v>
      </c>
      <c r="N1478" s="1309">
        <f t="shared" si="146"/>
        <v>0</v>
      </c>
      <c r="O1478" s="1296" t="str">
        <f t="shared" si="147"/>
        <v>0</v>
      </c>
    </row>
    <row r="1479" spans="1:15" s="1296" customFormat="1" hidden="1">
      <c r="A1479" s="1310"/>
      <c r="B1479" s="1311"/>
      <c r="C1479" s="1312">
        <v>0</v>
      </c>
      <c r="D1479" s="1313">
        <v>0</v>
      </c>
      <c r="E1479" s="1314"/>
      <c r="F1479" s="1315"/>
      <c r="G1479" s="1316">
        <f>+SUMIF(asientos!$C$13:$C$1276,SYS_4_3_Digitos!A1479,asientos!$B$13:$B$1276)</f>
        <v>0</v>
      </c>
      <c r="H1479" s="1317">
        <f>+SUMIF(asientos!$I$13:$I$1276,SYS_4_3_Digitos!A1479,asientos!$J$13:$J$1276)</f>
        <v>0</v>
      </c>
      <c r="I1479" s="1314">
        <f t="shared" si="142"/>
        <v>0</v>
      </c>
      <c r="J1479" s="1315">
        <f t="shared" si="143"/>
        <v>0</v>
      </c>
      <c r="L1479" s="1308">
        <f t="shared" si="144"/>
        <v>0</v>
      </c>
      <c r="M1479" s="1296" t="str">
        <f t="shared" si="145"/>
        <v>0</v>
      </c>
      <c r="N1479" s="1309">
        <f t="shared" si="146"/>
        <v>0</v>
      </c>
      <c r="O1479" s="1296" t="str">
        <f t="shared" si="147"/>
        <v>0</v>
      </c>
    </row>
    <row r="1480" spans="1:15" s="1296" customFormat="1" hidden="1">
      <c r="A1480" s="1310"/>
      <c r="B1480" s="1311"/>
      <c r="C1480" s="1312">
        <v>0</v>
      </c>
      <c r="D1480" s="1313">
        <v>0</v>
      </c>
      <c r="E1480" s="1314"/>
      <c r="F1480" s="1315"/>
      <c r="G1480" s="1316">
        <f>+SUMIF(asientos!$C$13:$C$1276,SYS_4_3_Digitos!A1480,asientos!$B$13:$B$1276)</f>
        <v>0</v>
      </c>
      <c r="H1480" s="1317">
        <f>+SUMIF(asientos!$I$13:$I$1276,SYS_4_3_Digitos!A1480,asientos!$J$13:$J$1276)</f>
        <v>0</v>
      </c>
      <c r="I1480" s="1314">
        <f t="shared" si="142"/>
        <v>0</v>
      </c>
      <c r="J1480" s="1315">
        <f t="shared" si="143"/>
        <v>0</v>
      </c>
      <c r="L1480" s="1308">
        <f t="shared" si="144"/>
        <v>0</v>
      </c>
      <c r="M1480" s="1296" t="str">
        <f t="shared" si="145"/>
        <v>0</v>
      </c>
      <c r="N1480" s="1309">
        <f t="shared" si="146"/>
        <v>0</v>
      </c>
      <c r="O1480" s="1296" t="str">
        <f t="shared" si="147"/>
        <v>0</v>
      </c>
    </row>
    <row r="1481" spans="1:15" s="1296" customFormat="1" hidden="1">
      <c r="A1481" s="1310"/>
      <c r="B1481" s="1311"/>
      <c r="C1481" s="1312">
        <v>0</v>
      </c>
      <c r="D1481" s="1313">
        <v>0</v>
      </c>
      <c r="E1481" s="1314"/>
      <c r="F1481" s="1315"/>
      <c r="G1481" s="1316">
        <f>+SUMIF(asientos!$C$13:$C$1276,SYS_4_3_Digitos!A1481,asientos!$B$13:$B$1276)</f>
        <v>0</v>
      </c>
      <c r="H1481" s="1317">
        <f>+SUMIF(asientos!$I$13:$I$1276,SYS_4_3_Digitos!A1481,asientos!$J$13:$J$1276)</f>
        <v>0</v>
      </c>
      <c r="I1481" s="1314">
        <f t="shared" si="142"/>
        <v>0</v>
      </c>
      <c r="J1481" s="1315">
        <f t="shared" si="143"/>
        <v>0</v>
      </c>
      <c r="L1481" s="1308">
        <f t="shared" si="144"/>
        <v>0</v>
      </c>
      <c r="M1481" s="1296" t="str">
        <f t="shared" si="145"/>
        <v>0</v>
      </c>
      <c r="N1481" s="1309">
        <f t="shared" si="146"/>
        <v>0</v>
      </c>
      <c r="O1481" s="1296" t="str">
        <f t="shared" si="147"/>
        <v>0</v>
      </c>
    </row>
    <row r="1482" spans="1:15" s="1296" customFormat="1" hidden="1">
      <c r="A1482" s="1310"/>
      <c r="B1482" s="1311"/>
      <c r="C1482" s="1312">
        <v>0</v>
      </c>
      <c r="D1482" s="1313">
        <v>0</v>
      </c>
      <c r="E1482" s="1314"/>
      <c r="F1482" s="1315"/>
      <c r="G1482" s="1316">
        <f>+SUMIF(asientos!$C$13:$C$1276,SYS_4_3_Digitos!A1482,asientos!$B$13:$B$1276)</f>
        <v>0</v>
      </c>
      <c r="H1482" s="1317">
        <f>+SUMIF(asientos!$I$13:$I$1276,SYS_4_3_Digitos!A1482,asientos!$J$13:$J$1276)</f>
        <v>0</v>
      </c>
      <c r="I1482" s="1314">
        <f t="shared" si="142"/>
        <v>0</v>
      </c>
      <c r="J1482" s="1315">
        <f t="shared" si="143"/>
        <v>0</v>
      </c>
      <c r="L1482" s="1308">
        <f t="shared" si="144"/>
        <v>0</v>
      </c>
      <c r="M1482" s="1296" t="str">
        <f t="shared" si="145"/>
        <v>0</v>
      </c>
      <c r="N1482" s="1309">
        <f t="shared" si="146"/>
        <v>0</v>
      </c>
      <c r="O1482" s="1296" t="str">
        <f t="shared" si="147"/>
        <v>0</v>
      </c>
    </row>
    <row r="1483" spans="1:15" s="1296" customFormat="1" hidden="1">
      <c r="A1483" s="1310"/>
      <c r="B1483" s="1311"/>
      <c r="C1483" s="1312">
        <v>0</v>
      </c>
      <c r="D1483" s="1313">
        <v>0</v>
      </c>
      <c r="E1483" s="1314"/>
      <c r="F1483" s="1315"/>
      <c r="G1483" s="1316">
        <f>+SUMIF(asientos!$C$13:$C$1276,SYS_4_3_Digitos!A1483,asientos!$B$13:$B$1276)</f>
        <v>0</v>
      </c>
      <c r="H1483" s="1317">
        <f>+SUMIF(asientos!$I$13:$I$1276,SYS_4_3_Digitos!A1483,asientos!$J$13:$J$1276)</f>
        <v>0</v>
      </c>
      <c r="I1483" s="1314">
        <f t="shared" si="142"/>
        <v>0</v>
      </c>
      <c r="J1483" s="1315">
        <f t="shared" si="143"/>
        <v>0</v>
      </c>
      <c r="L1483" s="1308">
        <f t="shared" si="144"/>
        <v>0</v>
      </c>
      <c r="M1483" s="1296" t="str">
        <f t="shared" si="145"/>
        <v>0</v>
      </c>
      <c r="N1483" s="1309">
        <f t="shared" si="146"/>
        <v>0</v>
      </c>
      <c r="O1483" s="1296" t="str">
        <f t="shared" si="147"/>
        <v>0</v>
      </c>
    </row>
    <row r="1484" spans="1:15" s="1296" customFormat="1" hidden="1">
      <c r="A1484" s="1310"/>
      <c r="B1484" s="1311"/>
      <c r="C1484" s="1312">
        <v>0</v>
      </c>
      <c r="D1484" s="1313">
        <v>0</v>
      </c>
      <c r="E1484" s="1314"/>
      <c r="F1484" s="1315"/>
      <c r="G1484" s="1316">
        <f>+SUMIF(asientos!$C$13:$C$1276,SYS_4_3_Digitos!A1484,asientos!$B$13:$B$1276)</f>
        <v>0</v>
      </c>
      <c r="H1484" s="1317">
        <f>+SUMIF(asientos!$I$13:$I$1276,SYS_4_3_Digitos!A1484,asientos!$J$13:$J$1276)</f>
        <v>0</v>
      </c>
      <c r="I1484" s="1314">
        <f t="shared" si="142"/>
        <v>0</v>
      </c>
      <c r="J1484" s="1315">
        <f t="shared" si="143"/>
        <v>0</v>
      </c>
      <c r="L1484" s="1308">
        <f t="shared" si="144"/>
        <v>0</v>
      </c>
      <c r="M1484" s="1296" t="str">
        <f t="shared" si="145"/>
        <v>0</v>
      </c>
      <c r="N1484" s="1309">
        <f t="shared" si="146"/>
        <v>0</v>
      </c>
      <c r="O1484" s="1296" t="str">
        <f t="shared" si="147"/>
        <v>0</v>
      </c>
    </row>
    <row r="1485" spans="1:15" s="1296" customFormat="1" hidden="1">
      <c r="A1485" s="1310"/>
      <c r="B1485" s="1311"/>
      <c r="C1485" s="1312">
        <v>0</v>
      </c>
      <c r="D1485" s="1313">
        <v>0</v>
      </c>
      <c r="E1485" s="1314"/>
      <c r="F1485" s="1315"/>
      <c r="G1485" s="1316">
        <f>+SUMIF(asientos!$C$13:$C$1276,SYS_4_3_Digitos!A1485,asientos!$B$13:$B$1276)</f>
        <v>0</v>
      </c>
      <c r="H1485" s="1317">
        <f>+SUMIF(asientos!$I$13:$I$1276,SYS_4_3_Digitos!A1485,asientos!$J$13:$J$1276)</f>
        <v>0</v>
      </c>
      <c r="I1485" s="1314">
        <f t="shared" si="142"/>
        <v>0</v>
      </c>
      <c r="J1485" s="1315">
        <f t="shared" si="143"/>
        <v>0</v>
      </c>
      <c r="L1485" s="1308">
        <f t="shared" si="144"/>
        <v>0</v>
      </c>
      <c r="M1485" s="1296" t="str">
        <f t="shared" si="145"/>
        <v>0</v>
      </c>
      <c r="N1485" s="1309">
        <f t="shared" si="146"/>
        <v>0</v>
      </c>
      <c r="O1485" s="1296" t="str">
        <f t="shared" si="147"/>
        <v>0</v>
      </c>
    </row>
    <row r="1486" spans="1:15" s="1296" customFormat="1" hidden="1">
      <c r="A1486" s="1310"/>
      <c r="B1486" s="1311"/>
      <c r="C1486" s="1312">
        <v>0</v>
      </c>
      <c r="D1486" s="1313">
        <v>0</v>
      </c>
      <c r="E1486" s="1314"/>
      <c r="F1486" s="1315"/>
      <c r="G1486" s="1316">
        <f>+SUMIF(asientos!$C$13:$C$1276,SYS_4_3_Digitos!A1486,asientos!$B$13:$B$1276)</f>
        <v>0</v>
      </c>
      <c r="H1486" s="1317">
        <f>+SUMIF(asientos!$I$13:$I$1276,SYS_4_3_Digitos!A1486,asientos!$J$13:$J$1276)</f>
        <v>0</v>
      </c>
      <c r="I1486" s="1314">
        <f t="shared" si="142"/>
        <v>0</v>
      </c>
      <c r="J1486" s="1315">
        <f t="shared" si="143"/>
        <v>0</v>
      </c>
      <c r="L1486" s="1308">
        <f t="shared" si="144"/>
        <v>0</v>
      </c>
      <c r="M1486" s="1296" t="str">
        <f t="shared" si="145"/>
        <v>0</v>
      </c>
      <c r="N1486" s="1309">
        <f t="shared" si="146"/>
        <v>0</v>
      </c>
      <c r="O1486" s="1296" t="str">
        <f t="shared" si="147"/>
        <v>0</v>
      </c>
    </row>
    <row r="1487" spans="1:15" s="1296" customFormat="1" hidden="1">
      <c r="A1487" s="1310"/>
      <c r="B1487" s="1311"/>
      <c r="C1487" s="1312">
        <v>0</v>
      </c>
      <c r="D1487" s="1313">
        <v>0</v>
      </c>
      <c r="E1487" s="1314"/>
      <c r="F1487" s="1315"/>
      <c r="G1487" s="1316">
        <f>+SUMIF(asientos!$C$13:$C$1276,SYS_4_3_Digitos!A1487,asientos!$B$13:$B$1276)</f>
        <v>0</v>
      </c>
      <c r="H1487" s="1317">
        <f>+SUMIF(asientos!$I$13:$I$1276,SYS_4_3_Digitos!A1487,asientos!$J$13:$J$1276)</f>
        <v>0</v>
      </c>
      <c r="I1487" s="1314">
        <f t="shared" si="142"/>
        <v>0</v>
      </c>
      <c r="J1487" s="1315">
        <f t="shared" si="143"/>
        <v>0</v>
      </c>
      <c r="L1487" s="1308">
        <f t="shared" si="144"/>
        <v>0</v>
      </c>
      <c r="M1487" s="1296" t="str">
        <f t="shared" si="145"/>
        <v>0</v>
      </c>
      <c r="N1487" s="1309">
        <f t="shared" si="146"/>
        <v>0</v>
      </c>
      <c r="O1487" s="1296" t="str">
        <f t="shared" si="147"/>
        <v>0</v>
      </c>
    </row>
    <row r="1488" spans="1:15" s="1296" customFormat="1" hidden="1">
      <c r="A1488" s="1310"/>
      <c r="B1488" s="1311"/>
      <c r="C1488" s="1312">
        <v>0</v>
      </c>
      <c r="D1488" s="1313">
        <v>0</v>
      </c>
      <c r="E1488" s="1314"/>
      <c r="F1488" s="1315"/>
      <c r="G1488" s="1316">
        <f>+SUMIF(asientos!$C$13:$C$1276,SYS_4_3_Digitos!A1488,asientos!$B$13:$B$1276)</f>
        <v>0</v>
      </c>
      <c r="H1488" s="1317">
        <f>+SUMIF(asientos!$I$13:$I$1276,SYS_4_3_Digitos!A1488,asientos!$J$13:$J$1276)</f>
        <v>0</v>
      </c>
      <c r="I1488" s="1314">
        <f t="shared" si="142"/>
        <v>0</v>
      </c>
      <c r="J1488" s="1315">
        <f t="shared" si="143"/>
        <v>0</v>
      </c>
      <c r="L1488" s="1308">
        <f t="shared" si="144"/>
        <v>0</v>
      </c>
      <c r="M1488" s="1296" t="str">
        <f t="shared" si="145"/>
        <v>0</v>
      </c>
      <c r="N1488" s="1309">
        <f t="shared" si="146"/>
        <v>0</v>
      </c>
      <c r="O1488" s="1296" t="str">
        <f t="shared" si="147"/>
        <v>0</v>
      </c>
    </row>
    <row r="1489" spans="1:15" s="1296" customFormat="1" hidden="1">
      <c r="A1489" s="1310"/>
      <c r="B1489" s="1311"/>
      <c r="C1489" s="1312">
        <v>0</v>
      </c>
      <c r="D1489" s="1313">
        <v>0</v>
      </c>
      <c r="E1489" s="1314"/>
      <c r="F1489" s="1315"/>
      <c r="G1489" s="1316">
        <f>+SUMIF(asientos!$C$13:$C$1276,SYS_4_3_Digitos!A1489,asientos!$B$13:$B$1276)</f>
        <v>0</v>
      </c>
      <c r="H1489" s="1317">
        <f>+SUMIF(asientos!$I$13:$I$1276,SYS_4_3_Digitos!A1489,asientos!$J$13:$J$1276)</f>
        <v>0</v>
      </c>
      <c r="I1489" s="1314">
        <f t="shared" si="142"/>
        <v>0</v>
      </c>
      <c r="J1489" s="1315">
        <f t="shared" si="143"/>
        <v>0</v>
      </c>
      <c r="L1489" s="1308">
        <f t="shared" si="144"/>
        <v>0</v>
      </c>
      <c r="M1489" s="1296" t="str">
        <f t="shared" si="145"/>
        <v>0</v>
      </c>
      <c r="N1489" s="1309">
        <f t="shared" si="146"/>
        <v>0</v>
      </c>
      <c r="O1489" s="1296" t="str">
        <f t="shared" si="147"/>
        <v>0</v>
      </c>
    </row>
    <row r="1490" spans="1:15" s="1296" customFormat="1" hidden="1">
      <c r="A1490" s="1310"/>
      <c r="B1490" s="1311"/>
      <c r="C1490" s="1312">
        <v>0</v>
      </c>
      <c r="D1490" s="1313">
        <v>0</v>
      </c>
      <c r="E1490" s="1314"/>
      <c r="F1490" s="1315"/>
      <c r="G1490" s="1316">
        <f>+SUMIF(asientos!$C$13:$C$1276,SYS_4_3_Digitos!A1490,asientos!$B$13:$B$1276)</f>
        <v>0</v>
      </c>
      <c r="H1490" s="1317">
        <f>+SUMIF(asientos!$I$13:$I$1276,SYS_4_3_Digitos!A1490,asientos!$J$13:$J$1276)</f>
        <v>0</v>
      </c>
      <c r="I1490" s="1314">
        <f t="shared" si="142"/>
        <v>0</v>
      </c>
      <c r="J1490" s="1315">
        <f t="shared" si="143"/>
        <v>0</v>
      </c>
      <c r="L1490" s="1308">
        <f t="shared" si="144"/>
        <v>0</v>
      </c>
      <c r="M1490" s="1296" t="str">
        <f t="shared" si="145"/>
        <v>0</v>
      </c>
      <c r="N1490" s="1309">
        <f t="shared" si="146"/>
        <v>0</v>
      </c>
      <c r="O1490" s="1296" t="str">
        <f t="shared" si="147"/>
        <v>0</v>
      </c>
    </row>
    <row r="1491" spans="1:15" s="1296" customFormat="1" hidden="1">
      <c r="A1491" s="1310"/>
      <c r="B1491" s="1311"/>
      <c r="C1491" s="1312">
        <v>0</v>
      </c>
      <c r="D1491" s="1313">
        <v>0</v>
      </c>
      <c r="E1491" s="1314"/>
      <c r="F1491" s="1315"/>
      <c r="G1491" s="1316">
        <f>+SUMIF(asientos!$C$13:$C$1276,SYS_4_3_Digitos!A1491,asientos!$B$13:$B$1276)</f>
        <v>0</v>
      </c>
      <c r="H1491" s="1317">
        <f>+SUMIF(asientos!$I$13:$I$1276,SYS_4_3_Digitos!A1491,asientos!$J$13:$J$1276)</f>
        <v>0</v>
      </c>
      <c r="I1491" s="1314">
        <f t="shared" si="142"/>
        <v>0</v>
      </c>
      <c r="J1491" s="1315">
        <f t="shared" si="143"/>
        <v>0</v>
      </c>
      <c r="L1491" s="1308">
        <f t="shared" si="144"/>
        <v>0</v>
      </c>
      <c r="M1491" s="1296" t="str">
        <f t="shared" si="145"/>
        <v>0</v>
      </c>
      <c r="N1491" s="1309">
        <f t="shared" si="146"/>
        <v>0</v>
      </c>
      <c r="O1491" s="1296" t="str">
        <f t="shared" si="147"/>
        <v>0</v>
      </c>
    </row>
    <row r="1492" spans="1:15" s="1296" customFormat="1" hidden="1">
      <c r="A1492" s="1310"/>
      <c r="B1492" s="1311"/>
      <c r="C1492" s="1312">
        <v>0</v>
      </c>
      <c r="D1492" s="1313">
        <v>0</v>
      </c>
      <c r="E1492" s="1314"/>
      <c r="F1492" s="1315"/>
      <c r="G1492" s="1316">
        <f>+SUMIF(asientos!$C$13:$C$1276,SYS_4_3_Digitos!A1492,asientos!$B$13:$B$1276)</f>
        <v>0</v>
      </c>
      <c r="H1492" s="1317">
        <f>+SUMIF(asientos!$I$13:$I$1276,SYS_4_3_Digitos!A1492,asientos!$J$13:$J$1276)</f>
        <v>0</v>
      </c>
      <c r="I1492" s="1314">
        <f t="shared" si="142"/>
        <v>0</v>
      </c>
      <c r="J1492" s="1315">
        <f t="shared" si="143"/>
        <v>0</v>
      </c>
      <c r="L1492" s="1308">
        <f t="shared" si="144"/>
        <v>0</v>
      </c>
      <c r="M1492" s="1296" t="str">
        <f t="shared" si="145"/>
        <v>0</v>
      </c>
      <c r="N1492" s="1309">
        <f t="shared" si="146"/>
        <v>0</v>
      </c>
      <c r="O1492" s="1296" t="str">
        <f t="shared" si="147"/>
        <v>0</v>
      </c>
    </row>
    <row r="1493" spans="1:15" s="1296" customFormat="1" hidden="1">
      <c r="A1493" s="1310"/>
      <c r="B1493" s="1311"/>
      <c r="C1493" s="1312">
        <v>0</v>
      </c>
      <c r="D1493" s="1313">
        <v>0</v>
      </c>
      <c r="E1493" s="1314"/>
      <c r="F1493" s="1315"/>
      <c r="G1493" s="1316">
        <f>+SUMIF(asientos!$C$13:$C$1276,SYS_4_3_Digitos!A1493,asientos!$B$13:$B$1276)</f>
        <v>0</v>
      </c>
      <c r="H1493" s="1317">
        <f>+SUMIF(asientos!$I$13:$I$1276,SYS_4_3_Digitos!A1493,asientos!$J$13:$J$1276)</f>
        <v>0</v>
      </c>
      <c r="I1493" s="1314">
        <f t="shared" si="142"/>
        <v>0</v>
      </c>
      <c r="J1493" s="1315">
        <f t="shared" si="143"/>
        <v>0</v>
      </c>
      <c r="L1493" s="1308">
        <f t="shared" si="144"/>
        <v>0</v>
      </c>
      <c r="M1493" s="1296" t="str">
        <f t="shared" si="145"/>
        <v>0</v>
      </c>
      <c r="N1493" s="1309">
        <f t="shared" si="146"/>
        <v>0</v>
      </c>
      <c r="O1493" s="1296" t="str">
        <f t="shared" si="147"/>
        <v>0</v>
      </c>
    </row>
    <row r="1494" spans="1:15" s="1296" customFormat="1" hidden="1">
      <c r="A1494" s="1310"/>
      <c r="B1494" s="1311"/>
      <c r="C1494" s="1312">
        <v>0</v>
      </c>
      <c r="D1494" s="1313">
        <v>0</v>
      </c>
      <c r="E1494" s="1314"/>
      <c r="F1494" s="1315"/>
      <c r="G1494" s="1316">
        <f>+SUMIF(asientos!$C$13:$C$1276,SYS_4_3_Digitos!A1494,asientos!$B$13:$B$1276)</f>
        <v>0</v>
      </c>
      <c r="H1494" s="1317">
        <f>+SUMIF(asientos!$I$13:$I$1276,SYS_4_3_Digitos!A1494,asientos!$J$13:$J$1276)</f>
        <v>0</v>
      </c>
      <c r="I1494" s="1314">
        <f t="shared" si="142"/>
        <v>0</v>
      </c>
      <c r="J1494" s="1315">
        <f t="shared" si="143"/>
        <v>0</v>
      </c>
      <c r="L1494" s="1308">
        <f t="shared" si="144"/>
        <v>0</v>
      </c>
      <c r="M1494" s="1296" t="str">
        <f t="shared" si="145"/>
        <v>0</v>
      </c>
      <c r="N1494" s="1309">
        <f t="shared" si="146"/>
        <v>0</v>
      </c>
      <c r="O1494" s="1296" t="str">
        <f t="shared" si="147"/>
        <v>0</v>
      </c>
    </row>
    <row r="1495" spans="1:15" s="1296" customFormat="1" hidden="1">
      <c r="A1495" s="1310"/>
      <c r="B1495" s="1311"/>
      <c r="C1495" s="1312">
        <v>0</v>
      </c>
      <c r="D1495" s="1313">
        <v>0</v>
      </c>
      <c r="E1495" s="1314"/>
      <c r="F1495" s="1315"/>
      <c r="G1495" s="1316">
        <f>+SUMIF(asientos!$C$13:$C$1276,SYS_4_3_Digitos!A1495,asientos!$B$13:$B$1276)</f>
        <v>0</v>
      </c>
      <c r="H1495" s="1317">
        <f>+SUMIF(asientos!$I$13:$I$1276,SYS_4_3_Digitos!A1495,asientos!$J$13:$J$1276)</f>
        <v>0</v>
      </c>
      <c r="I1495" s="1314">
        <f t="shared" si="142"/>
        <v>0</v>
      </c>
      <c r="J1495" s="1315">
        <f t="shared" si="143"/>
        <v>0</v>
      </c>
      <c r="L1495" s="1308">
        <f t="shared" si="144"/>
        <v>0</v>
      </c>
      <c r="M1495" s="1296" t="str">
        <f t="shared" si="145"/>
        <v>0</v>
      </c>
      <c r="N1495" s="1309">
        <f t="shared" si="146"/>
        <v>0</v>
      </c>
      <c r="O1495" s="1296" t="str">
        <f t="shared" si="147"/>
        <v>0</v>
      </c>
    </row>
    <row r="1496" spans="1:15" s="1296" customFormat="1" hidden="1">
      <c r="A1496" s="1310"/>
      <c r="B1496" s="1311"/>
      <c r="C1496" s="1312">
        <v>0</v>
      </c>
      <c r="D1496" s="1313">
        <v>0</v>
      </c>
      <c r="E1496" s="1314"/>
      <c r="F1496" s="1315"/>
      <c r="G1496" s="1316">
        <f>+SUMIF(asientos!$C$13:$C$1276,SYS_4_3_Digitos!A1496,asientos!$B$13:$B$1276)</f>
        <v>0</v>
      </c>
      <c r="H1496" s="1317">
        <f>+SUMIF(asientos!$I$13:$I$1276,SYS_4_3_Digitos!A1496,asientos!$J$13:$J$1276)</f>
        <v>0</v>
      </c>
      <c r="I1496" s="1314">
        <f t="shared" si="142"/>
        <v>0</v>
      </c>
      <c r="J1496" s="1315">
        <f t="shared" si="143"/>
        <v>0</v>
      </c>
      <c r="L1496" s="1308">
        <f t="shared" si="144"/>
        <v>0</v>
      </c>
      <c r="M1496" s="1296" t="str">
        <f t="shared" si="145"/>
        <v>0</v>
      </c>
      <c r="N1496" s="1309">
        <f t="shared" si="146"/>
        <v>0</v>
      </c>
      <c r="O1496" s="1296" t="str">
        <f t="shared" si="147"/>
        <v>0</v>
      </c>
    </row>
    <row r="1497" spans="1:15" s="1296" customFormat="1" hidden="1">
      <c r="A1497" s="1310"/>
      <c r="B1497" s="1311"/>
      <c r="C1497" s="1312">
        <v>0</v>
      </c>
      <c r="D1497" s="1313">
        <v>0</v>
      </c>
      <c r="E1497" s="1314"/>
      <c r="F1497" s="1315"/>
      <c r="G1497" s="1316">
        <f>+SUMIF(asientos!$C$13:$C$1276,SYS_4_3_Digitos!A1497,asientos!$B$13:$B$1276)</f>
        <v>0</v>
      </c>
      <c r="H1497" s="1317">
        <f>+SUMIF(asientos!$I$13:$I$1276,SYS_4_3_Digitos!A1497,asientos!$J$13:$J$1276)</f>
        <v>0</v>
      </c>
      <c r="I1497" s="1314">
        <f t="shared" si="142"/>
        <v>0</v>
      </c>
      <c r="J1497" s="1315">
        <f t="shared" si="143"/>
        <v>0</v>
      </c>
      <c r="L1497" s="1308">
        <f t="shared" si="144"/>
        <v>0</v>
      </c>
      <c r="M1497" s="1296" t="str">
        <f t="shared" si="145"/>
        <v>0</v>
      </c>
      <c r="N1497" s="1309">
        <f t="shared" si="146"/>
        <v>0</v>
      </c>
      <c r="O1497" s="1296" t="str">
        <f t="shared" si="147"/>
        <v>0</v>
      </c>
    </row>
    <row r="1498" spans="1:15" s="1296" customFormat="1" hidden="1">
      <c r="A1498" s="1310"/>
      <c r="B1498" s="1311"/>
      <c r="C1498" s="1312">
        <v>0</v>
      </c>
      <c r="D1498" s="1313">
        <v>0</v>
      </c>
      <c r="E1498" s="1314"/>
      <c r="F1498" s="1315"/>
      <c r="G1498" s="1316">
        <f>+SUMIF(asientos!$C$13:$C$1276,SYS_4_3_Digitos!A1498,asientos!$B$13:$B$1276)</f>
        <v>0</v>
      </c>
      <c r="H1498" s="1317">
        <f>+SUMIF(asientos!$I$13:$I$1276,SYS_4_3_Digitos!A1498,asientos!$J$13:$J$1276)</f>
        <v>0</v>
      </c>
      <c r="I1498" s="1314">
        <f t="shared" si="142"/>
        <v>0</v>
      </c>
      <c r="J1498" s="1315">
        <f t="shared" si="143"/>
        <v>0</v>
      </c>
      <c r="L1498" s="1308">
        <f t="shared" si="144"/>
        <v>0</v>
      </c>
      <c r="M1498" s="1296" t="str">
        <f t="shared" si="145"/>
        <v>0</v>
      </c>
      <c r="N1498" s="1309">
        <f t="shared" si="146"/>
        <v>0</v>
      </c>
      <c r="O1498" s="1296" t="str">
        <f t="shared" si="147"/>
        <v>0</v>
      </c>
    </row>
    <row r="1499" spans="1:15" s="1296" customFormat="1" hidden="1">
      <c r="A1499" s="1310"/>
      <c r="B1499" s="1311"/>
      <c r="C1499" s="1312">
        <v>0</v>
      </c>
      <c r="D1499" s="1313">
        <v>0</v>
      </c>
      <c r="E1499" s="1314"/>
      <c r="F1499" s="1315"/>
      <c r="G1499" s="1316">
        <f>+SUMIF(asientos!$C$13:$C$1276,SYS_4_3_Digitos!A1499,asientos!$B$13:$B$1276)</f>
        <v>0</v>
      </c>
      <c r="H1499" s="1317">
        <f>+SUMIF(asientos!$I$13:$I$1276,SYS_4_3_Digitos!A1499,asientos!$J$13:$J$1276)</f>
        <v>0</v>
      </c>
      <c r="I1499" s="1314">
        <f t="shared" si="142"/>
        <v>0</v>
      </c>
      <c r="J1499" s="1315">
        <f t="shared" si="143"/>
        <v>0</v>
      </c>
      <c r="L1499" s="1308">
        <f t="shared" si="144"/>
        <v>0</v>
      </c>
      <c r="M1499" s="1296" t="str">
        <f t="shared" si="145"/>
        <v>0</v>
      </c>
      <c r="N1499" s="1309">
        <f t="shared" si="146"/>
        <v>0</v>
      </c>
      <c r="O1499" s="1296" t="str">
        <f t="shared" si="147"/>
        <v>0</v>
      </c>
    </row>
    <row r="1500" spans="1:15" s="1296" customFormat="1" hidden="1">
      <c r="A1500" s="1310"/>
      <c r="B1500" s="1311"/>
      <c r="C1500" s="1312">
        <v>0</v>
      </c>
      <c r="D1500" s="1313">
        <v>0</v>
      </c>
      <c r="E1500" s="1314"/>
      <c r="F1500" s="1315"/>
      <c r="G1500" s="1316">
        <f>+SUMIF(asientos!$C$13:$C$1276,SYS_4_3_Digitos!A1500,asientos!$B$13:$B$1276)</f>
        <v>0</v>
      </c>
      <c r="H1500" s="1317">
        <f>+SUMIF(asientos!$I$13:$I$1276,SYS_4_3_Digitos!A1500,asientos!$J$13:$J$1276)</f>
        <v>0</v>
      </c>
      <c r="I1500" s="1314">
        <f t="shared" si="142"/>
        <v>0</v>
      </c>
      <c r="J1500" s="1315">
        <f t="shared" si="143"/>
        <v>0</v>
      </c>
      <c r="L1500" s="1308">
        <f t="shared" si="144"/>
        <v>0</v>
      </c>
      <c r="M1500" s="1296" t="str">
        <f t="shared" si="145"/>
        <v>0</v>
      </c>
      <c r="N1500" s="1309">
        <f t="shared" si="146"/>
        <v>0</v>
      </c>
      <c r="O1500" s="1296" t="str">
        <f t="shared" si="147"/>
        <v>0</v>
      </c>
    </row>
    <row r="1501" spans="1:15" s="1296" customFormat="1" hidden="1">
      <c r="A1501" s="1310"/>
      <c r="B1501" s="1311"/>
      <c r="C1501" s="1312">
        <v>0</v>
      </c>
      <c r="D1501" s="1313">
        <v>0</v>
      </c>
      <c r="E1501" s="1314"/>
      <c r="F1501" s="1315"/>
      <c r="G1501" s="1316">
        <f>+SUMIF(asientos!$C$13:$C$1276,SYS_4_3_Digitos!A1501,asientos!$B$13:$B$1276)</f>
        <v>0</v>
      </c>
      <c r="H1501" s="1317">
        <f>+SUMIF(asientos!$I$13:$I$1276,SYS_4_3_Digitos!A1501,asientos!$J$13:$J$1276)</f>
        <v>0</v>
      </c>
      <c r="I1501" s="1314">
        <f t="shared" si="142"/>
        <v>0</v>
      </c>
      <c r="J1501" s="1315">
        <f t="shared" si="143"/>
        <v>0</v>
      </c>
      <c r="L1501" s="1308">
        <f t="shared" si="144"/>
        <v>0</v>
      </c>
      <c r="M1501" s="1296" t="str">
        <f t="shared" si="145"/>
        <v>0</v>
      </c>
      <c r="N1501" s="1309">
        <f t="shared" si="146"/>
        <v>0</v>
      </c>
      <c r="O1501" s="1296" t="str">
        <f t="shared" si="147"/>
        <v>0</v>
      </c>
    </row>
    <row r="1502" spans="1:15" s="1296" customFormat="1" hidden="1">
      <c r="A1502" s="1310"/>
      <c r="B1502" s="1311"/>
      <c r="C1502" s="1312">
        <v>0</v>
      </c>
      <c r="D1502" s="1313">
        <v>0</v>
      </c>
      <c r="E1502" s="1314"/>
      <c r="F1502" s="1315"/>
      <c r="G1502" s="1316">
        <f>+SUMIF(asientos!$C$13:$C$1276,SYS_4_3_Digitos!A1502,asientos!$B$13:$B$1276)</f>
        <v>0</v>
      </c>
      <c r="H1502" s="1317">
        <f>+SUMIF(asientos!$I$13:$I$1276,SYS_4_3_Digitos!A1502,asientos!$J$13:$J$1276)</f>
        <v>0</v>
      </c>
      <c r="I1502" s="1314">
        <f t="shared" si="142"/>
        <v>0</v>
      </c>
      <c r="J1502" s="1315">
        <f t="shared" si="143"/>
        <v>0</v>
      </c>
      <c r="L1502" s="1308">
        <f t="shared" si="144"/>
        <v>0</v>
      </c>
      <c r="M1502" s="1296" t="str">
        <f t="shared" si="145"/>
        <v>0</v>
      </c>
      <c r="N1502" s="1309">
        <f t="shared" si="146"/>
        <v>0</v>
      </c>
      <c r="O1502" s="1296" t="str">
        <f t="shared" si="147"/>
        <v>0</v>
      </c>
    </row>
    <row r="1503" spans="1:15" s="1296" customFormat="1" hidden="1">
      <c r="A1503" s="1310"/>
      <c r="B1503" s="1311"/>
      <c r="C1503" s="1312">
        <v>0</v>
      </c>
      <c r="D1503" s="1313">
        <v>0</v>
      </c>
      <c r="E1503" s="1314"/>
      <c r="F1503" s="1315"/>
      <c r="G1503" s="1316">
        <f>+SUMIF(asientos!$C$13:$C$1276,SYS_4_3_Digitos!A1503,asientos!$B$13:$B$1276)</f>
        <v>0</v>
      </c>
      <c r="H1503" s="1317">
        <f>+SUMIF(asientos!$I$13:$I$1276,SYS_4_3_Digitos!A1503,asientos!$J$13:$J$1276)</f>
        <v>0</v>
      </c>
      <c r="I1503" s="1314">
        <f t="shared" si="142"/>
        <v>0</v>
      </c>
      <c r="J1503" s="1315">
        <f t="shared" si="143"/>
        <v>0</v>
      </c>
      <c r="L1503" s="1308">
        <f t="shared" si="144"/>
        <v>0</v>
      </c>
      <c r="M1503" s="1296" t="str">
        <f t="shared" si="145"/>
        <v>0</v>
      </c>
      <c r="N1503" s="1309">
        <f t="shared" si="146"/>
        <v>0</v>
      </c>
      <c r="O1503" s="1296" t="str">
        <f t="shared" si="147"/>
        <v>0</v>
      </c>
    </row>
    <row r="1504" spans="1:15" s="1296" customFormat="1" hidden="1">
      <c r="A1504" s="1310"/>
      <c r="B1504" s="1311"/>
      <c r="C1504" s="1312">
        <v>0</v>
      </c>
      <c r="D1504" s="1313">
        <v>0</v>
      </c>
      <c r="E1504" s="1314"/>
      <c r="F1504" s="1315"/>
      <c r="G1504" s="1316">
        <f>+SUMIF(asientos!$C$13:$C$1276,SYS_4_3_Digitos!A1504,asientos!$B$13:$B$1276)</f>
        <v>0</v>
      </c>
      <c r="H1504" s="1317">
        <f>+SUMIF(asientos!$I$13:$I$1276,SYS_4_3_Digitos!A1504,asientos!$J$13:$J$1276)</f>
        <v>0</v>
      </c>
      <c r="I1504" s="1314">
        <f t="shared" si="142"/>
        <v>0</v>
      </c>
      <c r="J1504" s="1315">
        <f t="shared" si="143"/>
        <v>0</v>
      </c>
      <c r="L1504" s="1308">
        <f t="shared" si="144"/>
        <v>0</v>
      </c>
      <c r="M1504" s="1296" t="str">
        <f t="shared" si="145"/>
        <v>0</v>
      </c>
      <c r="N1504" s="1309">
        <f t="shared" si="146"/>
        <v>0</v>
      </c>
      <c r="O1504" s="1296" t="str">
        <f t="shared" si="147"/>
        <v>0</v>
      </c>
    </row>
    <row r="1505" spans="1:15" s="1296" customFormat="1" hidden="1">
      <c r="A1505" s="1310"/>
      <c r="B1505" s="1311"/>
      <c r="C1505" s="1312">
        <v>0</v>
      </c>
      <c r="D1505" s="1313">
        <v>0</v>
      </c>
      <c r="E1505" s="1314"/>
      <c r="F1505" s="1315"/>
      <c r="G1505" s="1316">
        <f>+SUMIF(asientos!$C$13:$C$1276,SYS_4_3_Digitos!A1505,asientos!$B$13:$B$1276)</f>
        <v>0</v>
      </c>
      <c r="H1505" s="1317">
        <f>+SUMIF(asientos!$I$13:$I$1276,SYS_4_3_Digitos!A1505,asientos!$J$13:$J$1276)</f>
        <v>0</v>
      </c>
      <c r="I1505" s="1314">
        <f t="shared" si="142"/>
        <v>0</v>
      </c>
      <c r="J1505" s="1315">
        <f t="shared" si="143"/>
        <v>0</v>
      </c>
      <c r="L1505" s="1308">
        <f t="shared" si="144"/>
        <v>0</v>
      </c>
      <c r="M1505" s="1296" t="str">
        <f t="shared" si="145"/>
        <v>0</v>
      </c>
      <c r="N1505" s="1309">
        <f t="shared" si="146"/>
        <v>0</v>
      </c>
      <c r="O1505" s="1296" t="str">
        <f t="shared" si="147"/>
        <v>0</v>
      </c>
    </row>
    <row r="1506" spans="1:15" s="1296" customFormat="1" hidden="1">
      <c r="A1506" s="1310"/>
      <c r="B1506" s="1311"/>
      <c r="C1506" s="1312">
        <v>0</v>
      </c>
      <c r="D1506" s="1313">
        <v>0</v>
      </c>
      <c r="E1506" s="1314"/>
      <c r="F1506" s="1315"/>
      <c r="G1506" s="1316">
        <f>+SUMIF(asientos!$C$13:$C$1276,SYS_4_3_Digitos!A1506,asientos!$B$13:$B$1276)</f>
        <v>0</v>
      </c>
      <c r="H1506" s="1317">
        <f>+SUMIF(asientos!$I$13:$I$1276,SYS_4_3_Digitos!A1506,asientos!$J$13:$J$1276)</f>
        <v>0</v>
      </c>
      <c r="I1506" s="1314">
        <f t="shared" si="142"/>
        <v>0</v>
      </c>
      <c r="J1506" s="1315">
        <f t="shared" si="143"/>
        <v>0</v>
      </c>
      <c r="L1506" s="1308">
        <f t="shared" si="144"/>
        <v>0</v>
      </c>
      <c r="M1506" s="1296" t="str">
        <f t="shared" si="145"/>
        <v>0</v>
      </c>
      <c r="N1506" s="1309">
        <f t="shared" si="146"/>
        <v>0</v>
      </c>
      <c r="O1506" s="1296" t="str">
        <f t="shared" si="147"/>
        <v>0</v>
      </c>
    </row>
    <row r="1507" spans="1:15" s="1296" customFormat="1" hidden="1">
      <c r="A1507" s="1310"/>
      <c r="B1507" s="1311"/>
      <c r="C1507" s="1312">
        <v>0</v>
      </c>
      <c r="D1507" s="1313">
        <v>0</v>
      </c>
      <c r="E1507" s="1314"/>
      <c r="F1507" s="1315"/>
      <c r="G1507" s="1316">
        <f>+SUMIF(asientos!$C$13:$C$1276,SYS_4_3_Digitos!A1507,asientos!$B$13:$B$1276)</f>
        <v>0</v>
      </c>
      <c r="H1507" s="1317">
        <f>+SUMIF(asientos!$I$13:$I$1276,SYS_4_3_Digitos!A1507,asientos!$J$13:$J$1276)</f>
        <v>0</v>
      </c>
      <c r="I1507" s="1314">
        <f t="shared" si="142"/>
        <v>0</v>
      </c>
      <c r="J1507" s="1315">
        <f t="shared" si="143"/>
        <v>0</v>
      </c>
      <c r="L1507" s="1308">
        <f t="shared" si="144"/>
        <v>0</v>
      </c>
      <c r="M1507" s="1296" t="str">
        <f t="shared" si="145"/>
        <v>0</v>
      </c>
      <c r="N1507" s="1309">
        <f t="shared" si="146"/>
        <v>0</v>
      </c>
      <c r="O1507" s="1296" t="str">
        <f t="shared" si="147"/>
        <v>0</v>
      </c>
    </row>
    <row r="1508" spans="1:15" s="1296" customFormat="1" hidden="1">
      <c r="A1508" s="1310"/>
      <c r="B1508" s="1311"/>
      <c r="C1508" s="1312">
        <v>0</v>
      </c>
      <c r="D1508" s="1313">
        <v>0</v>
      </c>
      <c r="E1508" s="1314"/>
      <c r="F1508" s="1315"/>
      <c r="G1508" s="1316">
        <f>+SUMIF(asientos!$C$13:$C$1276,SYS_4_3_Digitos!A1508,asientos!$B$13:$B$1276)</f>
        <v>0</v>
      </c>
      <c r="H1508" s="1317">
        <f>+SUMIF(asientos!$I$13:$I$1276,SYS_4_3_Digitos!A1508,asientos!$J$13:$J$1276)</f>
        <v>0</v>
      </c>
      <c r="I1508" s="1314">
        <f t="shared" si="142"/>
        <v>0</v>
      </c>
      <c r="J1508" s="1315">
        <f t="shared" si="143"/>
        <v>0</v>
      </c>
      <c r="L1508" s="1308">
        <f t="shared" si="144"/>
        <v>0</v>
      </c>
      <c r="M1508" s="1296" t="str">
        <f t="shared" si="145"/>
        <v>0</v>
      </c>
      <c r="N1508" s="1309">
        <f t="shared" si="146"/>
        <v>0</v>
      </c>
      <c r="O1508" s="1296" t="str">
        <f t="shared" si="147"/>
        <v>0</v>
      </c>
    </row>
    <row r="1509" spans="1:15" s="1296" customFormat="1" hidden="1">
      <c r="A1509" s="1310"/>
      <c r="B1509" s="1311"/>
      <c r="C1509" s="1312">
        <v>0</v>
      </c>
      <c r="D1509" s="1313">
        <v>0</v>
      </c>
      <c r="E1509" s="1314"/>
      <c r="F1509" s="1315"/>
      <c r="G1509" s="1316">
        <f>+SUMIF(asientos!$C$13:$C$1276,SYS_4_3_Digitos!A1509,asientos!$B$13:$B$1276)</f>
        <v>0</v>
      </c>
      <c r="H1509" s="1317">
        <f>+SUMIF(asientos!$I$13:$I$1276,SYS_4_3_Digitos!A1509,asientos!$J$13:$J$1276)</f>
        <v>0</v>
      </c>
      <c r="I1509" s="1314">
        <f t="shared" ref="I1509:I1572" si="148">IF((E1509+G1509-F1509-H1509)&gt;0,E1509+G1509-F1509-H1509,0)</f>
        <v>0</v>
      </c>
      <c r="J1509" s="1315">
        <f t="shared" ref="J1509:J1572" si="149">IF((F1509+H1509-E1509-G1509)&gt;0,F1509+H1509-E1509-G1509,0)</f>
        <v>0</v>
      </c>
      <c r="L1509" s="1308">
        <f t="shared" ref="L1509:L1572" si="150">+A1509*1000000</f>
        <v>0</v>
      </c>
      <c r="M1509" s="1296" t="str">
        <f t="shared" ref="M1509:M1572" si="151">+LEFT(L1509,4)</f>
        <v>0</v>
      </c>
      <c r="N1509" s="1309">
        <f t="shared" ref="N1509:N1572" si="152">+I1509-J1509</f>
        <v>0</v>
      </c>
      <c r="O1509" s="1296" t="str">
        <f t="shared" ref="O1509:O1572" si="153">+LEFT(M1509,2)</f>
        <v>0</v>
      </c>
    </row>
    <row r="1510" spans="1:15" s="1296" customFormat="1" hidden="1">
      <c r="A1510" s="1310"/>
      <c r="B1510" s="1311"/>
      <c r="C1510" s="1312">
        <v>0</v>
      </c>
      <c r="D1510" s="1313">
        <v>0</v>
      </c>
      <c r="E1510" s="1314"/>
      <c r="F1510" s="1315"/>
      <c r="G1510" s="1316">
        <f>+SUMIF(asientos!$C$13:$C$1276,SYS_4_3_Digitos!A1510,asientos!$B$13:$B$1276)</f>
        <v>0</v>
      </c>
      <c r="H1510" s="1317">
        <f>+SUMIF(asientos!$I$13:$I$1276,SYS_4_3_Digitos!A1510,asientos!$J$13:$J$1276)</f>
        <v>0</v>
      </c>
      <c r="I1510" s="1314">
        <f t="shared" si="148"/>
        <v>0</v>
      </c>
      <c r="J1510" s="1315">
        <f t="shared" si="149"/>
        <v>0</v>
      </c>
      <c r="L1510" s="1308">
        <f t="shared" si="150"/>
        <v>0</v>
      </c>
      <c r="M1510" s="1296" t="str">
        <f t="shared" si="151"/>
        <v>0</v>
      </c>
      <c r="N1510" s="1309">
        <f t="shared" si="152"/>
        <v>0</v>
      </c>
      <c r="O1510" s="1296" t="str">
        <f t="shared" si="153"/>
        <v>0</v>
      </c>
    </row>
    <row r="1511" spans="1:15" s="1296" customFormat="1" hidden="1">
      <c r="A1511" s="1310"/>
      <c r="B1511" s="1311"/>
      <c r="C1511" s="1312">
        <v>0</v>
      </c>
      <c r="D1511" s="1313">
        <v>0</v>
      </c>
      <c r="E1511" s="1314"/>
      <c r="F1511" s="1315"/>
      <c r="G1511" s="1316">
        <f>+SUMIF(asientos!$C$13:$C$1276,SYS_4_3_Digitos!A1511,asientos!$B$13:$B$1276)</f>
        <v>0</v>
      </c>
      <c r="H1511" s="1317">
        <f>+SUMIF(asientos!$I$13:$I$1276,SYS_4_3_Digitos!A1511,asientos!$J$13:$J$1276)</f>
        <v>0</v>
      </c>
      <c r="I1511" s="1314">
        <f t="shared" si="148"/>
        <v>0</v>
      </c>
      <c r="J1511" s="1315">
        <f t="shared" si="149"/>
        <v>0</v>
      </c>
      <c r="L1511" s="1308">
        <f t="shared" si="150"/>
        <v>0</v>
      </c>
      <c r="M1511" s="1296" t="str">
        <f t="shared" si="151"/>
        <v>0</v>
      </c>
      <c r="N1511" s="1309">
        <f t="shared" si="152"/>
        <v>0</v>
      </c>
      <c r="O1511" s="1296" t="str">
        <f t="shared" si="153"/>
        <v>0</v>
      </c>
    </row>
    <row r="1512" spans="1:15" s="1296" customFormat="1" hidden="1">
      <c r="A1512" s="1310"/>
      <c r="B1512" s="1311"/>
      <c r="C1512" s="1312">
        <v>0</v>
      </c>
      <c r="D1512" s="1313">
        <v>0</v>
      </c>
      <c r="E1512" s="1314"/>
      <c r="F1512" s="1315"/>
      <c r="G1512" s="1316">
        <f>+SUMIF(asientos!$C$13:$C$1276,SYS_4_3_Digitos!A1512,asientos!$B$13:$B$1276)</f>
        <v>0</v>
      </c>
      <c r="H1512" s="1317">
        <f>+SUMIF(asientos!$I$13:$I$1276,SYS_4_3_Digitos!A1512,asientos!$J$13:$J$1276)</f>
        <v>0</v>
      </c>
      <c r="I1512" s="1314">
        <f t="shared" si="148"/>
        <v>0</v>
      </c>
      <c r="J1512" s="1315">
        <f t="shared" si="149"/>
        <v>0</v>
      </c>
      <c r="L1512" s="1308">
        <f t="shared" si="150"/>
        <v>0</v>
      </c>
      <c r="M1512" s="1296" t="str">
        <f t="shared" si="151"/>
        <v>0</v>
      </c>
      <c r="N1512" s="1309">
        <f t="shared" si="152"/>
        <v>0</v>
      </c>
      <c r="O1512" s="1296" t="str">
        <f t="shared" si="153"/>
        <v>0</v>
      </c>
    </row>
    <row r="1513" spans="1:15" s="1296" customFormat="1" hidden="1">
      <c r="A1513" s="1310"/>
      <c r="B1513" s="1311"/>
      <c r="C1513" s="1312">
        <v>0</v>
      </c>
      <c r="D1513" s="1313">
        <v>0</v>
      </c>
      <c r="E1513" s="1314"/>
      <c r="F1513" s="1315"/>
      <c r="G1513" s="1316">
        <f>+SUMIF(asientos!$C$13:$C$1276,SYS_4_3_Digitos!A1513,asientos!$B$13:$B$1276)</f>
        <v>0</v>
      </c>
      <c r="H1513" s="1317">
        <f>+SUMIF(asientos!$I$13:$I$1276,SYS_4_3_Digitos!A1513,asientos!$J$13:$J$1276)</f>
        <v>0</v>
      </c>
      <c r="I1513" s="1314">
        <f t="shared" si="148"/>
        <v>0</v>
      </c>
      <c r="J1513" s="1315">
        <f t="shared" si="149"/>
        <v>0</v>
      </c>
      <c r="L1513" s="1308">
        <f t="shared" si="150"/>
        <v>0</v>
      </c>
      <c r="M1513" s="1296" t="str">
        <f t="shared" si="151"/>
        <v>0</v>
      </c>
      <c r="N1513" s="1309">
        <f t="shared" si="152"/>
        <v>0</v>
      </c>
      <c r="O1513" s="1296" t="str">
        <f t="shared" si="153"/>
        <v>0</v>
      </c>
    </row>
    <row r="1514" spans="1:15" s="1296" customFormat="1" hidden="1">
      <c r="A1514" s="1310"/>
      <c r="B1514" s="1311"/>
      <c r="C1514" s="1312">
        <v>0</v>
      </c>
      <c r="D1514" s="1313">
        <v>0</v>
      </c>
      <c r="E1514" s="1314"/>
      <c r="F1514" s="1315"/>
      <c r="G1514" s="1316">
        <f>+SUMIF(asientos!$C$13:$C$1276,SYS_4_3_Digitos!A1514,asientos!$B$13:$B$1276)</f>
        <v>0</v>
      </c>
      <c r="H1514" s="1317">
        <f>+SUMIF(asientos!$I$13:$I$1276,SYS_4_3_Digitos!A1514,asientos!$J$13:$J$1276)</f>
        <v>0</v>
      </c>
      <c r="I1514" s="1314">
        <f t="shared" si="148"/>
        <v>0</v>
      </c>
      <c r="J1514" s="1315">
        <f t="shared" si="149"/>
        <v>0</v>
      </c>
      <c r="L1514" s="1308">
        <f t="shared" si="150"/>
        <v>0</v>
      </c>
      <c r="M1514" s="1296" t="str">
        <f t="shared" si="151"/>
        <v>0</v>
      </c>
      <c r="N1514" s="1309">
        <f t="shared" si="152"/>
        <v>0</v>
      </c>
      <c r="O1514" s="1296" t="str">
        <f t="shared" si="153"/>
        <v>0</v>
      </c>
    </row>
    <row r="1515" spans="1:15" s="1296" customFormat="1" hidden="1">
      <c r="A1515" s="1310"/>
      <c r="B1515" s="1311"/>
      <c r="C1515" s="1312">
        <v>0</v>
      </c>
      <c r="D1515" s="1313">
        <v>0</v>
      </c>
      <c r="E1515" s="1314"/>
      <c r="F1515" s="1315"/>
      <c r="G1515" s="1316">
        <f>+SUMIF(asientos!$C$13:$C$1276,SYS_4_3_Digitos!A1515,asientos!$B$13:$B$1276)</f>
        <v>0</v>
      </c>
      <c r="H1515" s="1317">
        <f>+SUMIF(asientos!$I$13:$I$1276,SYS_4_3_Digitos!A1515,asientos!$J$13:$J$1276)</f>
        <v>0</v>
      </c>
      <c r="I1515" s="1314">
        <f t="shared" si="148"/>
        <v>0</v>
      </c>
      <c r="J1515" s="1315">
        <f t="shared" si="149"/>
        <v>0</v>
      </c>
      <c r="L1515" s="1308">
        <f t="shared" si="150"/>
        <v>0</v>
      </c>
      <c r="M1515" s="1296" t="str">
        <f t="shared" si="151"/>
        <v>0</v>
      </c>
      <c r="N1515" s="1309">
        <f t="shared" si="152"/>
        <v>0</v>
      </c>
      <c r="O1515" s="1296" t="str">
        <f t="shared" si="153"/>
        <v>0</v>
      </c>
    </row>
    <row r="1516" spans="1:15" s="1296" customFormat="1" hidden="1">
      <c r="A1516" s="1310"/>
      <c r="B1516" s="1311"/>
      <c r="C1516" s="1312">
        <v>0</v>
      </c>
      <c r="D1516" s="1313">
        <v>0</v>
      </c>
      <c r="E1516" s="1314"/>
      <c r="F1516" s="1315"/>
      <c r="G1516" s="1316">
        <f>+SUMIF(asientos!$C$13:$C$1276,SYS_4_3_Digitos!A1516,asientos!$B$13:$B$1276)</f>
        <v>0</v>
      </c>
      <c r="H1516" s="1317">
        <f>+SUMIF(asientos!$I$13:$I$1276,SYS_4_3_Digitos!A1516,asientos!$J$13:$J$1276)</f>
        <v>0</v>
      </c>
      <c r="I1516" s="1314">
        <f t="shared" si="148"/>
        <v>0</v>
      </c>
      <c r="J1516" s="1315">
        <f t="shared" si="149"/>
        <v>0</v>
      </c>
      <c r="L1516" s="1308">
        <f t="shared" si="150"/>
        <v>0</v>
      </c>
      <c r="M1516" s="1296" t="str">
        <f t="shared" si="151"/>
        <v>0</v>
      </c>
      <c r="N1516" s="1309">
        <f t="shared" si="152"/>
        <v>0</v>
      </c>
      <c r="O1516" s="1296" t="str">
        <f t="shared" si="153"/>
        <v>0</v>
      </c>
    </row>
    <row r="1517" spans="1:15" s="1296" customFormat="1" hidden="1">
      <c r="A1517" s="1310"/>
      <c r="B1517" s="1311"/>
      <c r="C1517" s="1312">
        <v>0</v>
      </c>
      <c r="D1517" s="1313">
        <v>0</v>
      </c>
      <c r="E1517" s="1314"/>
      <c r="F1517" s="1315"/>
      <c r="G1517" s="1316">
        <f>+SUMIF(asientos!$C$13:$C$1276,SYS_4_3_Digitos!A1517,asientos!$B$13:$B$1276)</f>
        <v>0</v>
      </c>
      <c r="H1517" s="1317">
        <f>+SUMIF(asientos!$I$13:$I$1276,SYS_4_3_Digitos!A1517,asientos!$J$13:$J$1276)</f>
        <v>0</v>
      </c>
      <c r="I1517" s="1314">
        <f t="shared" si="148"/>
        <v>0</v>
      </c>
      <c r="J1517" s="1315">
        <f t="shared" si="149"/>
        <v>0</v>
      </c>
      <c r="L1517" s="1308">
        <f t="shared" si="150"/>
        <v>0</v>
      </c>
      <c r="M1517" s="1296" t="str">
        <f t="shared" si="151"/>
        <v>0</v>
      </c>
      <c r="N1517" s="1309">
        <f t="shared" si="152"/>
        <v>0</v>
      </c>
      <c r="O1517" s="1296" t="str">
        <f t="shared" si="153"/>
        <v>0</v>
      </c>
    </row>
    <row r="1518" spans="1:15" s="1296" customFormat="1" hidden="1">
      <c r="A1518" s="1310"/>
      <c r="B1518" s="1311"/>
      <c r="C1518" s="1312">
        <v>0</v>
      </c>
      <c r="D1518" s="1313">
        <v>0</v>
      </c>
      <c r="E1518" s="1314"/>
      <c r="F1518" s="1315"/>
      <c r="G1518" s="1316">
        <f>+SUMIF(asientos!$C$13:$C$1276,SYS_4_3_Digitos!A1518,asientos!$B$13:$B$1276)</f>
        <v>0</v>
      </c>
      <c r="H1518" s="1317">
        <f>+SUMIF(asientos!$I$13:$I$1276,SYS_4_3_Digitos!A1518,asientos!$J$13:$J$1276)</f>
        <v>0</v>
      </c>
      <c r="I1518" s="1314">
        <f t="shared" si="148"/>
        <v>0</v>
      </c>
      <c r="J1518" s="1315">
        <f t="shared" si="149"/>
        <v>0</v>
      </c>
      <c r="L1518" s="1308">
        <f t="shared" si="150"/>
        <v>0</v>
      </c>
      <c r="M1518" s="1296" t="str">
        <f t="shared" si="151"/>
        <v>0</v>
      </c>
      <c r="N1518" s="1309">
        <f t="shared" si="152"/>
        <v>0</v>
      </c>
      <c r="O1518" s="1296" t="str">
        <f t="shared" si="153"/>
        <v>0</v>
      </c>
    </row>
    <row r="1519" spans="1:15" s="1296" customFormat="1" hidden="1">
      <c r="A1519" s="1310"/>
      <c r="B1519" s="1311"/>
      <c r="C1519" s="1312">
        <v>0</v>
      </c>
      <c r="D1519" s="1313">
        <v>0</v>
      </c>
      <c r="E1519" s="1314"/>
      <c r="F1519" s="1315"/>
      <c r="G1519" s="1316">
        <f>+SUMIF(asientos!$C$13:$C$1276,SYS_4_3_Digitos!A1519,asientos!$B$13:$B$1276)</f>
        <v>0</v>
      </c>
      <c r="H1519" s="1317">
        <f>+SUMIF(asientos!$I$13:$I$1276,SYS_4_3_Digitos!A1519,asientos!$J$13:$J$1276)</f>
        <v>0</v>
      </c>
      <c r="I1519" s="1314">
        <f t="shared" si="148"/>
        <v>0</v>
      </c>
      <c r="J1519" s="1315">
        <f t="shared" si="149"/>
        <v>0</v>
      </c>
      <c r="L1519" s="1308">
        <f t="shared" si="150"/>
        <v>0</v>
      </c>
      <c r="M1519" s="1296" t="str">
        <f t="shared" si="151"/>
        <v>0</v>
      </c>
      <c r="N1519" s="1309">
        <f t="shared" si="152"/>
        <v>0</v>
      </c>
      <c r="O1519" s="1296" t="str">
        <f t="shared" si="153"/>
        <v>0</v>
      </c>
    </row>
    <row r="1520" spans="1:15" s="1296" customFormat="1" hidden="1">
      <c r="A1520" s="1310"/>
      <c r="B1520" s="1311"/>
      <c r="C1520" s="1312">
        <v>0</v>
      </c>
      <c r="D1520" s="1313">
        <v>0</v>
      </c>
      <c r="E1520" s="1314"/>
      <c r="F1520" s="1315"/>
      <c r="G1520" s="1316">
        <f>+SUMIF(asientos!$C$13:$C$1276,SYS_4_3_Digitos!A1520,asientos!$B$13:$B$1276)</f>
        <v>0</v>
      </c>
      <c r="H1520" s="1317">
        <f>+SUMIF(asientos!$I$13:$I$1276,SYS_4_3_Digitos!A1520,asientos!$J$13:$J$1276)</f>
        <v>0</v>
      </c>
      <c r="I1520" s="1314">
        <f t="shared" si="148"/>
        <v>0</v>
      </c>
      <c r="J1520" s="1315">
        <f t="shared" si="149"/>
        <v>0</v>
      </c>
      <c r="L1520" s="1308">
        <f t="shared" si="150"/>
        <v>0</v>
      </c>
      <c r="M1520" s="1296" t="str">
        <f t="shared" si="151"/>
        <v>0</v>
      </c>
      <c r="N1520" s="1309">
        <f t="shared" si="152"/>
        <v>0</v>
      </c>
      <c r="O1520" s="1296" t="str">
        <f t="shared" si="153"/>
        <v>0</v>
      </c>
    </row>
    <row r="1521" spans="1:15" s="1296" customFormat="1" hidden="1">
      <c r="A1521" s="1310"/>
      <c r="B1521" s="1311"/>
      <c r="C1521" s="1312">
        <v>0</v>
      </c>
      <c r="D1521" s="1313">
        <v>0</v>
      </c>
      <c r="E1521" s="1314"/>
      <c r="F1521" s="1315"/>
      <c r="G1521" s="1316">
        <f>+SUMIF(asientos!$C$13:$C$1276,SYS_4_3_Digitos!A1521,asientos!$B$13:$B$1276)</f>
        <v>0</v>
      </c>
      <c r="H1521" s="1317">
        <f>+SUMIF(asientos!$I$13:$I$1276,SYS_4_3_Digitos!A1521,asientos!$J$13:$J$1276)</f>
        <v>0</v>
      </c>
      <c r="I1521" s="1314">
        <f t="shared" si="148"/>
        <v>0</v>
      </c>
      <c r="J1521" s="1315">
        <f t="shared" si="149"/>
        <v>0</v>
      </c>
      <c r="L1521" s="1308">
        <f t="shared" si="150"/>
        <v>0</v>
      </c>
      <c r="M1521" s="1296" t="str">
        <f t="shared" si="151"/>
        <v>0</v>
      </c>
      <c r="N1521" s="1309">
        <f t="shared" si="152"/>
        <v>0</v>
      </c>
      <c r="O1521" s="1296" t="str">
        <f t="shared" si="153"/>
        <v>0</v>
      </c>
    </row>
    <row r="1522" spans="1:15" s="1296" customFormat="1" hidden="1">
      <c r="A1522" s="1310"/>
      <c r="B1522" s="1311"/>
      <c r="C1522" s="1312">
        <v>0</v>
      </c>
      <c r="D1522" s="1313">
        <v>0</v>
      </c>
      <c r="E1522" s="1314"/>
      <c r="F1522" s="1315"/>
      <c r="G1522" s="1316">
        <f>+SUMIF(asientos!$C$13:$C$1276,SYS_4_3_Digitos!A1522,asientos!$B$13:$B$1276)</f>
        <v>0</v>
      </c>
      <c r="H1522" s="1317">
        <f>+SUMIF(asientos!$I$13:$I$1276,SYS_4_3_Digitos!A1522,asientos!$J$13:$J$1276)</f>
        <v>0</v>
      </c>
      <c r="I1522" s="1314">
        <f t="shared" si="148"/>
        <v>0</v>
      </c>
      <c r="J1522" s="1315">
        <f t="shared" si="149"/>
        <v>0</v>
      </c>
      <c r="L1522" s="1308">
        <f t="shared" si="150"/>
        <v>0</v>
      </c>
      <c r="M1522" s="1296" t="str">
        <f t="shared" si="151"/>
        <v>0</v>
      </c>
      <c r="N1522" s="1309">
        <f t="shared" si="152"/>
        <v>0</v>
      </c>
      <c r="O1522" s="1296" t="str">
        <f t="shared" si="153"/>
        <v>0</v>
      </c>
    </row>
    <row r="1523" spans="1:15" s="1296" customFormat="1" hidden="1">
      <c r="A1523" s="1310"/>
      <c r="B1523" s="1311"/>
      <c r="C1523" s="1312">
        <v>0</v>
      </c>
      <c r="D1523" s="1313">
        <v>0</v>
      </c>
      <c r="E1523" s="1314"/>
      <c r="F1523" s="1315"/>
      <c r="G1523" s="1316">
        <f>+SUMIF(asientos!$C$13:$C$1276,SYS_4_3_Digitos!A1523,asientos!$B$13:$B$1276)</f>
        <v>0</v>
      </c>
      <c r="H1523" s="1317">
        <f>+SUMIF(asientos!$I$13:$I$1276,SYS_4_3_Digitos!A1523,asientos!$J$13:$J$1276)</f>
        <v>0</v>
      </c>
      <c r="I1523" s="1314">
        <f t="shared" si="148"/>
        <v>0</v>
      </c>
      <c r="J1523" s="1315">
        <f t="shared" si="149"/>
        <v>0</v>
      </c>
      <c r="L1523" s="1308">
        <f t="shared" si="150"/>
        <v>0</v>
      </c>
      <c r="M1523" s="1296" t="str">
        <f t="shared" si="151"/>
        <v>0</v>
      </c>
      <c r="N1523" s="1309">
        <f t="shared" si="152"/>
        <v>0</v>
      </c>
      <c r="O1523" s="1296" t="str">
        <f t="shared" si="153"/>
        <v>0</v>
      </c>
    </row>
    <row r="1524" spans="1:15" s="1296" customFormat="1" hidden="1">
      <c r="A1524" s="1310"/>
      <c r="B1524" s="1311"/>
      <c r="C1524" s="1312">
        <v>0</v>
      </c>
      <c r="D1524" s="1313">
        <v>0</v>
      </c>
      <c r="E1524" s="1314"/>
      <c r="F1524" s="1315"/>
      <c r="G1524" s="1316">
        <f>+SUMIF(asientos!$C$13:$C$1276,SYS_4_3_Digitos!A1524,asientos!$B$13:$B$1276)</f>
        <v>0</v>
      </c>
      <c r="H1524" s="1317">
        <f>+SUMIF(asientos!$I$13:$I$1276,SYS_4_3_Digitos!A1524,asientos!$J$13:$J$1276)</f>
        <v>0</v>
      </c>
      <c r="I1524" s="1314">
        <f t="shared" si="148"/>
        <v>0</v>
      </c>
      <c r="J1524" s="1315">
        <f t="shared" si="149"/>
        <v>0</v>
      </c>
      <c r="L1524" s="1308">
        <f t="shared" si="150"/>
        <v>0</v>
      </c>
      <c r="M1524" s="1296" t="str">
        <f t="shared" si="151"/>
        <v>0</v>
      </c>
      <c r="N1524" s="1309">
        <f t="shared" si="152"/>
        <v>0</v>
      </c>
      <c r="O1524" s="1296" t="str">
        <f t="shared" si="153"/>
        <v>0</v>
      </c>
    </row>
    <row r="1525" spans="1:15" s="1296" customFormat="1" hidden="1">
      <c r="A1525" s="1310"/>
      <c r="B1525" s="1311"/>
      <c r="C1525" s="1312">
        <v>0</v>
      </c>
      <c r="D1525" s="1313">
        <v>0</v>
      </c>
      <c r="E1525" s="1314"/>
      <c r="F1525" s="1315"/>
      <c r="G1525" s="1316">
        <f>+SUMIF(asientos!$C$13:$C$1276,SYS_4_3_Digitos!A1525,asientos!$B$13:$B$1276)</f>
        <v>0</v>
      </c>
      <c r="H1525" s="1317">
        <f>+SUMIF(asientos!$I$13:$I$1276,SYS_4_3_Digitos!A1525,asientos!$J$13:$J$1276)</f>
        <v>0</v>
      </c>
      <c r="I1525" s="1314">
        <f t="shared" si="148"/>
        <v>0</v>
      </c>
      <c r="J1525" s="1315">
        <f t="shared" si="149"/>
        <v>0</v>
      </c>
      <c r="L1525" s="1308">
        <f t="shared" si="150"/>
        <v>0</v>
      </c>
      <c r="M1525" s="1296" t="str">
        <f t="shared" si="151"/>
        <v>0</v>
      </c>
      <c r="N1525" s="1309">
        <f t="shared" si="152"/>
        <v>0</v>
      </c>
      <c r="O1525" s="1296" t="str">
        <f t="shared" si="153"/>
        <v>0</v>
      </c>
    </row>
    <row r="1526" spans="1:15" s="1296" customFormat="1" hidden="1">
      <c r="A1526" s="1310"/>
      <c r="B1526" s="1311"/>
      <c r="C1526" s="1312">
        <v>0</v>
      </c>
      <c r="D1526" s="1313">
        <v>0</v>
      </c>
      <c r="E1526" s="1314"/>
      <c r="F1526" s="1315"/>
      <c r="G1526" s="1316">
        <f>+SUMIF(asientos!$C$13:$C$1276,SYS_4_3_Digitos!A1526,asientos!$B$13:$B$1276)</f>
        <v>0</v>
      </c>
      <c r="H1526" s="1317">
        <f>+SUMIF(asientos!$I$13:$I$1276,SYS_4_3_Digitos!A1526,asientos!$J$13:$J$1276)</f>
        <v>0</v>
      </c>
      <c r="I1526" s="1314">
        <f t="shared" si="148"/>
        <v>0</v>
      </c>
      <c r="J1526" s="1315">
        <f t="shared" si="149"/>
        <v>0</v>
      </c>
      <c r="L1526" s="1308">
        <f t="shared" si="150"/>
        <v>0</v>
      </c>
      <c r="M1526" s="1296" t="str">
        <f t="shared" si="151"/>
        <v>0</v>
      </c>
      <c r="N1526" s="1309">
        <f t="shared" si="152"/>
        <v>0</v>
      </c>
      <c r="O1526" s="1296" t="str">
        <f t="shared" si="153"/>
        <v>0</v>
      </c>
    </row>
    <row r="1527" spans="1:15" s="1296" customFormat="1" hidden="1">
      <c r="A1527" s="1310"/>
      <c r="B1527" s="1311"/>
      <c r="C1527" s="1312">
        <v>0</v>
      </c>
      <c r="D1527" s="1313">
        <v>0</v>
      </c>
      <c r="E1527" s="1314"/>
      <c r="F1527" s="1315"/>
      <c r="G1527" s="1316">
        <f>+SUMIF(asientos!$C$13:$C$1276,SYS_4_3_Digitos!A1527,asientos!$B$13:$B$1276)</f>
        <v>0</v>
      </c>
      <c r="H1527" s="1317">
        <f>+SUMIF(asientos!$I$13:$I$1276,SYS_4_3_Digitos!A1527,asientos!$J$13:$J$1276)</f>
        <v>0</v>
      </c>
      <c r="I1527" s="1314">
        <f t="shared" si="148"/>
        <v>0</v>
      </c>
      <c r="J1527" s="1315">
        <f t="shared" si="149"/>
        <v>0</v>
      </c>
      <c r="L1527" s="1308">
        <f t="shared" si="150"/>
        <v>0</v>
      </c>
      <c r="M1527" s="1296" t="str">
        <f t="shared" si="151"/>
        <v>0</v>
      </c>
      <c r="N1527" s="1309">
        <f t="shared" si="152"/>
        <v>0</v>
      </c>
      <c r="O1527" s="1296" t="str">
        <f t="shared" si="153"/>
        <v>0</v>
      </c>
    </row>
    <row r="1528" spans="1:15" s="1296" customFormat="1" hidden="1">
      <c r="A1528" s="1310"/>
      <c r="B1528" s="1311"/>
      <c r="C1528" s="1312">
        <v>0</v>
      </c>
      <c r="D1528" s="1313">
        <v>0</v>
      </c>
      <c r="E1528" s="1314"/>
      <c r="F1528" s="1315"/>
      <c r="G1528" s="1316">
        <f>+SUMIF(asientos!$C$13:$C$1276,SYS_4_3_Digitos!A1528,asientos!$B$13:$B$1276)</f>
        <v>0</v>
      </c>
      <c r="H1528" s="1317">
        <f>+SUMIF(asientos!$I$13:$I$1276,SYS_4_3_Digitos!A1528,asientos!$J$13:$J$1276)</f>
        <v>0</v>
      </c>
      <c r="I1528" s="1314">
        <f t="shared" si="148"/>
        <v>0</v>
      </c>
      <c r="J1528" s="1315">
        <f t="shared" si="149"/>
        <v>0</v>
      </c>
      <c r="L1528" s="1308">
        <f t="shared" si="150"/>
        <v>0</v>
      </c>
      <c r="M1528" s="1296" t="str">
        <f t="shared" si="151"/>
        <v>0</v>
      </c>
      <c r="N1528" s="1309">
        <f t="shared" si="152"/>
        <v>0</v>
      </c>
      <c r="O1528" s="1296" t="str">
        <f t="shared" si="153"/>
        <v>0</v>
      </c>
    </row>
    <row r="1529" spans="1:15" s="1296" customFormat="1" hidden="1">
      <c r="A1529" s="1310"/>
      <c r="B1529" s="1311"/>
      <c r="C1529" s="1312">
        <v>0</v>
      </c>
      <c r="D1529" s="1313">
        <v>0</v>
      </c>
      <c r="E1529" s="1314"/>
      <c r="F1529" s="1315"/>
      <c r="G1529" s="1316">
        <f>+SUMIF(asientos!$C$13:$C$1276,SYS_4_3_Digitos!A1529,asientos!$B$13:$B$1276)</f>
        <v>0</v>
      </c>
      <c r="H1529" s="1317">
        <f>+SUMIF(asientos!$I$13:$I$1276,SYS_4_3_Digitos!A1529,asientos!$J$13:$J$1276)</f>
        <v>0</v>
      </c>
      <c r="I1529" s="1314">
        <f t="shared" si="148"/>
        <v>0</v>
      </c>
      <c r="J1529" s="1315">
        <f t="shared" si="149"/>
        <v>0</v>
      </c>
      <c r="L1529" s="1308">
        <f t="shared" si="150"/>
        <v>0</v>
      </c>
      <c r="M1529" s="1296" t="str">
        <f t="shared" si="151"/>
        <v>0</v>
      </c>
      <c r="N1529" s="1309">
        <f t="shared" si="152"/>
        <v>0</v>
      </c>
      <c r="O1529" s="1296" t="str">
        <f t="shared" si="153"/>
        <v>0</v>
      </c>
    </row>
    <row r="1530" spans="1:15" s="1296" customFormat="1" hidden="1">
      <c r="A1530" s="1310"/>
      <c r="B1530" s="1311"/>
      <c r="C1530" s="1312">
        <v>0</v>
      </c>
      <c r="D1530" s="1313">
        <v>0</v>
      </c>
      <c r="E1530" s="1314"/>
      <c r="F1530" s="1315"/>
      <c r="G1530" s="1316">
        <f>+SUMIF(asientos!$C$13:$C$1276,SYS_4_3_Digitos!A1530,asientos!$B$13:$B$1276)</f>
        <v>0</v>
      </c>
      <c r="H1530" s="1317">
        <f>+SUMIF(asientos!$I$13:$I$1276,SYS_4_3_Digitos!A1530,asientos!$J$13:$J$1276)</f>
        <v>0</v>
      </c>
      <c r="I1530" s="1314">
        <f t="shared" si="148"/>
        <v>0</v>
      </c>
      <c r="J1530" s="1315">
        <f t="shared" si="149"/>
        <v>0</v>
      </c>
      <c r="L1530" s="1308">
        <f t="shared" si="150"/>
        <v>0</v>
      </c>
      <c r="M1530" s="1296" t="str">
        <f t="shared" si="151"/>
        <v>0</v>
      </c>
      <c r="N1530" s="1309">
        <f t="shared" si="152"/>
        <v>0</v>
      </c>
      <c r="O1530" s="1296" t="str">
        <f t="shared" si="153"/>
        <v>0</v>
      </c>
    </row>
    <row r="1531" spans="1:15" s="1296" customFormat="1" hidden="1">
      <c r="A1531" s="1310"/>
      <c r="B1531" s="1311"/>
      <c r="C1531" s="1312">
        <v>0</v>
      </c>
      <c r="D1531" s="1313">
        <v>0</v>
      </c>
      <c r="E1531" s="1314"/>
      <c r="F1531" s="1315"/>
      <c r="G1531" s="1316">
        <f>+SUMIF(asientos!$C$13:$C$1276,SYS_4_3_Digitos!A1531,asientos!$B$13:$B$1276)</f>
        <v>0</v>
      </c>
      <c r="H1531" s="1317">
        <f>+SUMIF(asientos!$I$13:$I$1276,SYS_4_3_Digitos!A1531,asientos!$J$13:$J$1276)</f>
        <v>0</v>
      </c>
      <c r="I1531" s="1314">
        <f t="shared" si="148"/>
        <v>0</v>
      </c>
      <c r="J1531" s="1315">
        <f t="shared" si="149"/>
        <v>0</v>
      </c>
      <c r="L1531" s="1308">
        <f t="shared" si="150"/>
        <v>0</v>
      </c>
      <c r="M1531" s="1296" t="str">
        <f t="shared" si="151"/>
        <v>0</v>
      </c>
      <c r="N1531" s="1309">
        <f t="shared" si="152"/>
        <v>0</v>
      </c>
      <c r="O1531" s="1296" t="str">
        <f t="shared" si="153"/>
        <v>0</v>
      </c>
    </row>
    <row r="1532" spans="1:15" s="1296" customFormat="1" hidden="1">
      <c r="A1532" s="1310"/>
      <c r="B1532" s="1311"/>
      <c r="C1532" s="1312">
        <v>0</v>
      </c>
      <c r="D1532" s="1313">
        <v>0</v>
      </c>
      <c r="E1532" s="1314"/>
      <c r="F1532" s="1315"/>
      <c r="G1532" s="1316">
        <f>+SUMIF(asientos!$C$13:$C$1276,SYS_4_3_Digitos!A1532,asientos!$B$13:$B$1276)</f>
        <v>0</v>
      </c>
      <c r="H1532" s="1317">
        <f>+SUMIF(asientos!$I$13:$I$1276,SYS_4_3_Digitos!A1532,asientos!$J$13:$J$1276)</f>
        <v>0</v>
      </c>
      <c r="I1532" s="1314">
        <f t="shared" si="148"/>
        <v>0</v>
      </c>
      <c r="J1532" s="1315">
        <f t="shared" si="149"/>
        <v>0</v>
      </c>
      <c r="L1532" s="1308">
        <f t="shared" si="150"/>
        <v>0</v>
      </c>
      <c r="M1532" s="1296" t="str">
        <f t="shared" si="151"/>
        <v>0</v>
      </c>
      <c r="N1532" s="1309">
        <f t="shared" si="152"/>
        <v>0</v>
      </c>
      <c r="O1532" s="1296" t="str">
        <f t="shared" si="153"/>
        <v>0</v>
      </c>
    </row>
    <row r="1533" spans="1:15" s="1296" customFormat="1" hidden="1">
      <c r="A1533" s="1310"/>
      <c r="B1533" s="1311"/>
      <c r="C1533" s="1312">
        <v>0</v>
      </c>
      <c r="D1533" s="1313">
        <v>0</v>
      </c>
      <c r="E1533" s="1314"/>
      <c r="F1533" s="1315"/>
      <c r="G1533" s="1316">
        <f>+SUMIF(asientos!$C$13:$C$1276,SYS_4_3_Digitos!A1533,asientos!$B$13:$B$1276)</f>
        <v>0</v>
      </c>
      <c r="H1533" s="1317">
        <f>+SUMIF(asientos!$I$13:$I$1276,SYS_4_3_Digitos!A1533,asientos!$J$13:$J$1276)</f>
        <v>0</v>
      </c>
      <c r="I1533" s="1314">
        <f t="shared" si="148"/>
        <v>0</v>
      </c>
      <c r="J1533" s="1315">
        <f t="shared" si="149"/>
        <v>0</v>
      </c>
      <c r="L1533" s="1308">
        <f t="shared" si="150"/>
        <v>0</v>
      </c>
      <c r="M1533" s="1296" t="str">
        <f t="shared" si="151"/>
        <v>0</v>
      </c>
      <c r="N1533" s="1309">
        <f t="shared" si="152"/>
        <v>0</v>
      </c>
      <c r="O1533" s="1296" t="str">
        <f t="shared" si="153"/>
        <v>0</v>
      </c>
    </row>
    <row r="1534" spans="1:15" s="1296" customFormat="1" hidden="1">
      <c r="A1534" s="1310"/>
      <c r="B1534" s="1311"/>
      <c r="C1534" s="1312">
        <v>0</v>
      </c>
      <c r="D1534" s="1313">
        <v>0</v>
      </c>
      <c r="E1534" s="1314"/>
      <c r="F1534" s="1315"/>
      <c r="G1534" s="1316">
        <f>+SUMIF(asientos!$C$13:$C$1276,SYS_4_3_Digitos!A1534,asientos!$B$13:$B$1276)</f>
        <v>0</v>
      </c>
      <c r="H1534" s="1317">
        <f>+SUMIF(asientos!$I$13:$I$1276,SYS_4_3_Digitos!A1534,asientos!$J$13:$J$1276)</f>
        <v>0</v>
      </c>
      <c r="I1534" s="1314">
        <f t="shared" si="148"/>
        <v>0</v>
      </c>
      <c r="J1534" s="1315">
        <f t="shared" si="149"/>
        <v>0</v>
      </c>
      <c r="L1534" s="1308">
        <f t="shared" si="150"/>
        <v>0</v>
      </c>
      <c r="M1534" s="1296" t="str">
        <f t="shared" si="151"/>
        <v>0</v>
      </c>
      <c r="N1534" s="1309">
        <f t="shared" si="152"/>
        <v>0</v>
      </c>
      <c r="O1534" s="1296" t="str">
        <f t="shared" si="153"/>
        <v>0</v>
      </c>
    </row>
    <row r="1535" spans="1:15" s="1296" customFormat="1" hidden="1">
      <c r="A1535" s="1310"/>
      <c r="B1535" s="1311"/>
      <c r="C1535" s="1312">
        <v>0</v>
      </c>
      <c r="D1535" s="1313">
        <v>0</v>
      </c>
      <c r="E1535" s="1314"/>
      <c r="F1535" s="1315"/>
      <c r="G1535" s="1316">
        <f>+SUMIF(asientos!$C$13:$C$1276,SYS_4_3_Digitos!A1535,asientos!$B$13:$B$1276)</f>
        <v>0</v>
      </c>
      <c r="H1535" s="1317">
        <f>+SUMIF(asientos!$I$13:$I$1276,SYS_4_3_Digitos!A1535,asientos!$J$13:$J$1276)</f>
        <v>0</v>
      </c>
      <c r="I1535" s="1314">
        <f t="shared" si="148"/>
        <v>0</v>
      </c>
      <c r="J1535" s="1315">
        <f t="shared" si="149"/>
        <v>0</v>
      </c>
      <c r="L1535" s="1308">
        <f t="shared" si="150"/>
        <v>0</v>
      </c>
      <c r="M1535" s="1296" t="str">
        <f t="shared" si="151"/>
        <v>0</v>
      </c>
      <c r="N1535" s="1309">
        <f t="shared" si="152"/>
        <v>0</v>
      </c>
      <c r="O1535" s="1296" t="str">
        <f t="shared" si="153"/>
        <v>0</v>
      </c>
    </row>
    <row r="1536" spans="1:15" s="1296" customFormat="1" hidden="1">
      <c r="A1536" s="1310"/>
      <c r="B1536" s="1311"/>
      <c r="C1536" s="1312">
        <v>0</v>
      </c>
      <c r="D1536" s="1313">
        <v>0</v>
      </c>
      <c r="E1536" s="1314"/>
      <c r="F1536" s="1315"/>
      <c r="G1536" s="1316">
        <f>+SUMIF(asientos!$C$13:$C$1276,SYS_4_3_Digitos!A1536,asientos!$B$13:$B$1276)</f>
        <v>0</v>
      </c>
      <c r="H1536" s="1317">
        <f>+SUMIF(asientos!$I$13:$I$1276,SYS_4_3_Digitos!A1536,asientos!$J$13:$J$1276)</f>
        <v>0</v>
      </c>
      <c r="I1536" s="1314">
        <f t="shared" si="148"/>
        <v>0</v>
      </c>
      <c r="J1536" s="1315">
        <f t="shared" si="149"/>
        <v>0</v>
      </c>
      <c r="L1536" s="1308">
        <f t="shared" si="150"/>
        <v>0</v>
      </c>
      <c r="M1536" s="1296" t="str">
        <f t="shared" si="151"/>
        <v>0</v>
      </c>
      <c r="N1536" s="1309">
        <f t="shared" si="152"/>
        <v>0</v>
      </c>
      <c r="O1536" s="1296" t="str">
        <f t="shared" si="153"/>
        <v>0</v>
      </c>
    </row>
    <row r="1537" spans="1:15" s="1296" customFormat="1" hidden="1">
      <c r="A1537" s="1310"/>
      <c r="B1537" s="1311"/>
      <c r="C1537" s="1312">
        <v>0</v>
      </c>
      <c r="D1537" s="1313">
        <v>0</v>
      </c>
      <c r="E1537" s="1314"/>
      <c r="F1537" s="1315"/>
      <c r="G1537" s="1316">
        <f>+SUMIF(asientos!$C$13:$C$1276,SYS_4_3_Digitos!A1537,asientos!$B$13:$B$1276)</f>
        <v>0</v>
      </c>
      <c r="H1537" s="1317">
        <f>+SUMIF(asientos!$I$13:$I$1276,SYS_4_3_Digitos!A1537,asientos!$J$13:$J$1276)</f>
        <v>0</v>
      </c>
      <c r="I1537" s="1314">
        <f t="shared" si="148"/>
        <v>0</v>
      </c>
      <c r="J1537" s="1315">
        <f t="shared" si="149"/>
        <v>0</v>
      </c>
      <c r="L1537" s="1308">
        <f t="shared" si="150"/>
        <v>0</v>
      </c>
      <c r="M1537" s="1296" t="str">
        <f t="shared" si="151"/>
        <v>0</v>
      </c>
      <c r="N1537" s="1309">
        <f t="shared" si="152"/>
        <v>0</v>
      </c>
      <c r="O1537" s="1296" t="str">
        <f t="shared" si="153"/>
        <v>0</v>
      </c>
    </row>
    <row r="1538" spans="1:15" s="1296" customFormat="1" hidden="1">
      <c r="A1538" s="1310"/>
      <c r="B1538" s="1311"/>
      <c r="C1538" s="1312">
        <v>0</v>
      </c>
      <c r="D1538" s="1313">
        <v>0</v>
      </c>
      <c r="E1538" s="1314"/>
      <c r="F1538" s="1315"/>
      <c r="G1538" s="1316">
        <f>+SUMIF(asientos!$C$13:$C$1276,SYS_4_3_Digitos!A1538,asientos!$B$13:$B$1276)</f>
        <v>0</v>
      </c>
      <c r="H1538" s="1317">
        <f>+SUMIF(asientos!$I$13:$I$1276,SYS_4_3_Digitos!A1538,asientos!$J$13:$J$1276)</f>
        <v>0</v>
      </c>
      <c r="I1538" s="1314">
        <f t="shared" si="148"/>
        <v>0</v>
      </c>
      <c r="J1538" s="1315">
        <f t="shared" si="149"/>
        <v>0</v>
      </c>
      <c r="L1538" s="1308">
        <f t="shared" si="150"/>
        <v>0</v>
      </c>
      <c r="M1538" s="1296" t="str">
        <f t="shared" si="151"/>
        <v>0</v>
      </c>
      <c r="N1538" s="1309">
        <f t="shared" si="152"/>
        <v>0</v>
      </c>
      <c r="O1538" s="1296" t="str">
        <f t="shared" si="153"/>
        <v>0</v>
      </c>
    </row>
    <row r="1539" spans="1:15" s="1296" customFormat="1" hidden="1">
      <c r="A1539" s="1310"/>
      <c r="B1539" s="1311"/>
      <c r="C1539" s="1312">
        <v>0</v>
      </c>
      <c r="D1539" s="1313">
        <v>0</v>
      </c>
      <c r="E1539" s="1314"/>
      <c r="F1539" s="1315"/>
      <c r="G1539" s="1316">
        <f>+SUMIF(asientos!$C$13:$C$1276,SYS_4_3_Digitos!A1539,asientos!$B$13:$B$1276)</f>
        <v>0</v>
      </c>
      <c r="H1539" s="1317">
        <f>+SUMIF(asientos!$I$13:$I$1276,SYS_4_3_Digitos!A1539,asientos!$J$13:$J$1276)</f>
        <v>0</v>
      </c>
      <c r="I1539" s="1314">
        <f t="shared" si="148"/>
        <v>0</v>
      </c>
      <c r="J1539" s="1315">
        <f t="shared" si="149"/>
        <v>0</v>
      </c>
      <c r="L1539" s="1308">
        <f t="shared" si="150"/>
        <v>0</v>
      </c>
      <c r="M1539" s="1296" t="str">
        <f t="shared" si="151"/>
        <v>0</v>
      </c>
      <c r="N1539" s="1309">
        <f t="shared" si="152"/>
        <v>0</v>
      </c>
      <c r="O1539" s="1296" t="str">
        <f t="shared" si="153"/>
        <v>0</v>
      </c>
    </row>
    <row r="1540" spans="1:15" s="1296" customFormat="1" hidden="1">
      <c r="A1540" s="1310"/>
      <c r="B1540" s="1311"/>
      <c r="C1540" s="1312">
        <v>0</v>
      </c>
      <c r="D1540" s="1313">
        <v>0</v>
      </c>
      <c r="E1540" s="1314"/>
      <c r="F1540" s="1315"/>
      <c r="G1540" s="1316">
        <f>+SUMIF(asientos!$C$13:$C$1276,SYS_4_3_Digitos!A1540,asientos!$B$13:$B$1276)</f>
        <v>0</v>
      </c>
      <c r="H1540" s="1317">
        <f>+SUMIF(asientos!$I$13:$I$1276,SYS_4_3_Digitos!A1540,asientos!$J$13:$J$1276)</f>
        <v>0</v>
      </c>
      <c r="I1540" s="1314">
        <f t="shared" si="148"/>
        <v>0</v>
      </c>
      <c r="J1540" s="1315">
        <f t="shared" si="149"/>
        <v>0</v>
      </c>
      <c r="L1540" s="1308">
        <f t="shared" si="150"/>
        <v>0</v>
      </c>
      <c r="M1540" s="1296" t="str">
        <f t="shared" si="151"/>
        <v>0</v>
      </c>
      <c r="N1540" s="1309">
        <f t="shared" si="152"/>
        <v>0</v>
      </c>
      <c r="O1540" s="1296" t="str">
        <f t="shared" si="153"/>
        <v>0</v>
      </c>
    </row>
    <row r="1541" spans="1:15" s="1296" customFormat="1" hidden="1">
      <c r="A1541" s="1310"/>
      <c r="B1541" s="1311"/>
      <c r="C1541" s="1312">
        <v>0</v>
      </c>
      <c r="D1541" s="1313">
        <v>0</v>
      </c>
      <c r="E1541" s="1314"/>
      <c r="F1541" s="1315"/>
      <c r="G1541" s="1316">
        <f>+SUMIF(asientos!$C$13:$C$1276,SYS_4_3_Digitos!A1541,asientos!$B$13:$B$1276)</f>
        <v>0</v>
      </c>
      <c r="H1541" s="1317">
        <f>+SUMIF(asientos!$I$13:$I$1276,SYS_4_3_Digitos!A1541,asientos!$J$13:$J$1276)</f>
        <v>0</v>
      </c>
      <c r="I1541" s="1314">
        <f t="shared" si="148"/>
        <v>0</v>
      </c>
      <c r="J1541" s="1315">
        <f t="shared" si="149"/>
        <v>0</v>
      </c>
      <c r="L1541" s="1308">
        <f t="shared" si="150"/>
        <v>0</v>
      </c>
      <c r="M1541" s="1296" t="str">
        <f t="shared" si="151"/>
        <v>0</v>
      </c>
      <c r="N1541" s="1309">
        <f t="shared" si="152"/>
        <v>0</v>
      </c>
      <c r="O1541" s="1296" t="str">
        <f t="shared" si="153"/>
        <v>0</v>
      </c>
    </row>
    <row r="1542" spans="1:15" s="1296" customFormat="1" hidden="1">
      <c r="A1542" s="1310"/>
      <c r="B1542" s="1311"/>
      <c r="C1542" s="1312">
        <v>0</v>
      </c>
      <c r="D1542" s="1313">
        <v>0</v>
      </c>
      <c r="E1542" s="1314"/>
      <c r="F1542" s="1315"/>
      <c r="G1542" s="1316">
        <f>+SUMIF(asientos!$C$13:$C$1276,SYS_4_3_Digitos!A1542,asientos!$B$13:$B$1276)</f>
        <v>0</v>
      </c>
      <c r="H1542" s="1317">
        <f>+SUMIF(asientos!$I$13:$I$1276,SYS_4_3_Digitos!A1542,asientos!$J$13:$J$1276)</f>
        <v>0</v>
      </c>
      <c r="I1542" s="1314">
        <f t="shared" si="148"/>
        <v>0</v>
      </c>
      <c r="J1542" s="1315">
        <f t="shared" si="149"/>
        <v>0</v>
      </c>
      <c r="L1542" s="1308">
        <f t="shared" si="150"/>
        <v>0</v>
      </c>
      <c r="M1542" s="1296" t="str">
        <f t="shared" si="151"/>
        <v>0</v>
      </c>
      <c r="N1542" s="1309">
        <f t="shared" si="152"/>
        <v>0</v>
      </c>
      <c r="O1542" s="1296" t="str">
        <f t="shared" si="153"/>
        <v>0</v>
      </c>
    </row>
    <row r="1543" spans="1:15" s="1296" customFormat="1" hidden="1">
      <c r="A1543" s="1310"/>
      <c r="B1543" s="1311"/>
      <c r="C1543" s="1312">
        <v>0</v>
      </c>
      <c r="D1543" s="1313">
        <v>0</v>
      </c>
      <c r="E1543" s="1314"/>
      <c r="F1543" s="1315"/>
      <c r="G1543" s="1316">
        <f>+SUMIF(asientos!$C$13:$C$1276,SYS_4_3_Digitos!A1543,asientos!$B$13:$B$1276)</f>
        <v>0</v>
      </c>
      <c r="H1543" s="1317">
        <f>+SUMIF(asientos!$I$13:$I$1276,SYS_4_3_Digitos!A1543,asientos!$J$13:$J$1276)</f>
        <v>0</v>
      </c>
      <c r="I1543" s="1314">
        <f t="shared" si="148"/>
        <v>0</v>
      </c>
      <c r="J1543" s="1315">
        <f t="shared" si="149"/>
        <v>0</v>
      </c>
      <c r="L1543" s="1308">
        <f t="shared" si="150"/>
        <v>0</v>
      </c>
      <c r="M1543" s="1296" t="str">
        <f t="shared" si="151"/>
        <v>0</v>
      </c>
      <c r="N1543" s="1309">
        <f t="shared" si="152"/>
        <v>0</v>
      </c>
      <c r="O1543" s="1296" t="str">
        <f t="shared" si="153"/>
        <v>0</v>
      </c>
    </row>
    <row r="1544" spans="1:15" s="1296" customFormat="1" hidden="1">
      <c r="A1544" s="1310"/>
      <c r="B1544" s="1311"/>
      <c r="C1544" s="1312">
        <v>0</v>
      </c>
      <c r="D1544" s="1313">
        <v>0</v>
      </c>
      <c r="E1544" s="1314"/>
      <c r="F1544" s="1315"/>
      <c r="G1544" s="1316">
        <f>+SUMIF(asientos!$C$13:$C$1276,SYS_4_3_Digitos!A1544,asientos!$B$13:$B$1276)</f>
        <v>0</v>
      </c>
      <c r="H1544" s="1317">
        <f>+SUMIF(asientos!$I$13:$I$1276,SYS_4_3_Digitos!A1544,asientos!$J$13:$J$1276)</f>
        <v>0</v>
      </c>
      <c r="I1544" s="1314">
        <f t="shared" si="148"/>
        <v>0</v>
      </c>
      <c r="J1544" s="1315">
        <f t="shared" si="149"/>
        <v>0</v>
      </c>
      <c r="L1544" s="1308">
        <f t="shared" si="150"/>
        <v>0</v>
      </c>
      <c r="M1544" s="1296" t="str">
        <f t="shared" si="151"/>
        <v>0</v>
      </c>
      <c r="N1544" s="1309">
        <f t="shared" si="152"/>
        <v>0</v>
      </c>
      <c r="O1544" s="1296" t="str">
        <f t="shared" si="153"/>
        <v>0</v>
      </c>
    </row>
    <row r="1545" spans="1:15" s="1296" customFormat="1" hidden="1">
      <c r="A1545" s="1310"/>
      <c r="B1545" s="1311"/>
      <c r="C1545" s="1312">
        <v>0</v>
      </c>
      <c r="D1545" s="1313">
        <v>0</v>
      </c>
      <c r="E1545" s="1314"/>
      <c r="F1545" s="1315"/>
      <c r="G1545" s="1316">
        <f>+SUMIF(asientos!$C$13:$C$1276,SYS_4_3_Digitos!A1545,asientos!$B$13:$B$1276)</f>
        <v>0</v>
      </c>
      <c r="H1545" s="1317">
        <f>+SUMIF(asientos!$I$13:$I$1276,SYS_4_3_Digitos!A1545,asientos!$J$13:$J$1276)</f>
        <v>0</v>
      </c>
      <c r="I1545" s="1314">
        <f t="shared" si="148"/>
        <v>0</v>
      </c>
      <c r="J1545" s="1315">
        <f t="shared" si="149"/>
        <v>0</v>
      </c>
      <c r="L1545" s="1308">
        <f t="shared" si="150"/>
        <v>0</v>
      </c>
      <c r="M1545" s="1296" t="str">
        <f t="shared" si="151"/>
        <v>0</v>
      </c>
      <c r="N1545" s="1309">
        <f t="shared" si="152"/>
        <v>0</v>
      </c>
      <c r="O1545" s="1296" t="str">
        <f t="shared" si="153"/>
        <v>0</v>
      </c>
    </row>
    <row r="1546" spans="1:15" s="1296" customFormat="1" hidden="1">
      <c r="A1546" s="1310"/>
      <c r="B1546" s="1311"/>
      <c r="C1546" s="1312">
        <v>0</v>
      </c>
      <c r="D1546" s="1313">
        <v>0</v>
      </c>
      <c r="E1546" s="1314"/>
      <c r="F1546" s="1315"/>
      <c r="G1546" s="1316">
        <f>+SUMIF(asientos!$C$13:$C$1276,SYS_4_3_Digitos!A1546,asientos!$B$13:$B$1276)</f>
        <v>0</v>
      </c>
      <c r="H1546" s="1317">
        <f>+SUMIF(asientos!$I$13:$I$1276,SYS_4_3_Digitos!A1546,asientos!$J$13:$J$1276)</f>
        <v>0</v>
      </c>
      <c r="I1546" s="1314">
        <f t="shared" si="148"/>
        <v>0</v>
      </c>
      <c r="J1546" s="1315">
        <f t="shared" si="149"/>
        <v>0</v>
      </c>
      <c r="L1546" s="1308">
        <f t="shared" si="150"/>
        <v>0</v>
      </c>
      <c r="M1546" s="1296" t="str">
        <f t="shared" si="151"/>
        <v>0</v>
      </c>
      <c r="N1546" s="1309">
        <f t="shared" si="152"/>
        <v>0</v>
      </c>
      <c r="O1546" s="1296" t="str">
        <f t="shared" si="153"/>
        <v>0</v>
      </c>
    </row>
    <row r="1547" spans="1:15" s="1296" customFormat="1" hidden="1">
      <c r="A1547" s="1310"/>
      <c r="B1547" s="1311"/>
      <c r="C1547" s="1312">
        <v>0</v>
      </c>
      <c r="D1547" s="1313">
        <v>0</v>
      </c>
      <c r="E1547" s="1314"/>
      <c r="F1547" s="1315"/>
      <c r="G1547" s="1316">
        <f>+SUMIF(asientos!$C$13:$C$1276,SYS_4_3_Digitos!A1547,asientos!$B$13:$B$1276)</f>
        <v>0</v>
      </c>
      <c r="H1547" s="1317">
        <f>+SUMIF(asientos!$I$13:$I$1276,SYS_4_3_Digitos!A1547,asientos!$J$13:$J$1276)</f>
        <v>0</v>
      </c>
      <c r="I1547" s="1314">
        <f t="shared" si="148"/>
        <v>0</v>
      </c>
      <c r="J1547" s="1315">
        <f t="shared" si="149"/>
        <v>0</v>
      </c>
      <c r="L1547" s="1308">
        <f t="shared" si="150"/>
        <v>0</v>
      </c>
      <c r="M1547" s="1296" t="str">
        <f t="shared" si="151"/>
        <v>0</v>
      </c>
      <c r="N1547" s="1309">
        <f t="shared" si="152"/>
        <v>0</v>
      </c>
      <c r="O1547" s="1296" t="str">
        <f t="shared" si="153"/>
        <v>0</v>
      </c>
    </row>
    <row r="1548" spans="1:15" s="1296" customFormat="1" hidden="1">
      <c r="A1548" s="1310"/>
      <c r="B1548" s="1311"/>
      <c r="C1548" s="1312">
        <v>0</v>
      </c>
      <c r="D1548" s="1313">
        <v>0</v>
      </c>
      <c r="E1548" s="1314"/>
      <c r="F1548" s="1315"/>
      <c r="G1548" s="1316">
        <f>+SUMIF(asientos!$C$13:$C$1276,SYS_4_3_Digitos!A1548,asientos!$B$13:$B$1276)</f>
        <v>0</v>
      </c>
      <c r="H1548" s="1317">
        <f>+SUMIF(asientos!$I$13:$I$1276,SYS_4_3_Digitos!A1548,asientos!$J$13:$J$1276)</f>
        <v>0</v>
      </c>
      <c r="I1548" s="1314">
        <f t="shared" si="148"/>
        <v>0</v>
      </c>
      <c r="J1548" s="1315">
        <f t="shared" si="149"/>
        <v>0</v>
      </c>
      <c r="L1548" s="1308">
        <f t="shared" si="150"/>
        <v>0</v>
      </c>
      <c r="M1548" s="1296" t="str">
        <f t="shared" si="151"/>
        <v>0</v>
      </c>
      <c r="N1548" s="1309">
        <f t="shared" si="152"/>
        <v>0</v>
      </c>
      <c r="O1548" s="1296" t="str">
        <f t="shared" si="153"/>
        <v>0</v>
      </c>
    </row>
    <row r="1549" spans="1:15" s="1296" customFormat="1" hidden="1">
      <c r="A1549" s="1310"/>
      <c r="B1549" s="1311"/>
      <c r="C1549" s="1312">
        <v>0</v>
      </c>
      <c r="D1549" s="1313">
        <v>0</v>
      </c>
      <c r="E1549" s="1314"/>
      <c r="F1549" s="1315"/>
      <c r="G1549" s="1316">
        <f>+SUMIF(asientos!$C$13:$C$1276,SYS_4_3_Digitos!A1549,asientos!$B$13:$B$1276)</f>
        <v>0</v>
      </c>
      <c r="H1549" s="1317">
        <f>+SUMIF(asientos!$I$13:$I$1276,SYS_4_3_Digitos!A1549,asientos!$J$13:$J$1276)</f>
        <v>0</v>
      </c>
      <c r="I1549" s="1314">
        <f t="shared" si="148"/>
        <v>0</v>
      </c>
      <c r="J1549" s="1315">
        <f t="shared" si="149"/>
        <v>0</v>
      </c>
      <c r="L1549" s="1308">
        <f t="shared" si="150"/>
        <v>0</v>
      </c>
      <c r="M1549" s="1296" t="str">
        <f t="shared" si="151"/>
        <v>0</v>
      </c>
      <c r="N1549" s="1309">
        <f t="shared" si="152"/>
        <v>0</v>
      </c>
      <c r="O1549" s="1296" t="str">
        <f t="shared" si="153"/>
        <v>0</v>
      </c>
    </row>
    <row r="1550" spans="1:15" s="1296" customFormat="1" hidden="1">
      <c r="A1550" s="1310"/>
      <c r="B1550" s="1311"/>
      <c r="C1550" s="1312">
        <v>0</v>
      </c>
      <c r="D1550" s="1313">
        <v>0</v>
      </c>
      <c r="E1550" s="1314"/>
      <c r="F1550" s="1315"/>
      <c r="G1550" s="1316">
        <f>+SUMIF(asientos!$C$13:$C$1276,SYS_4_3_Digitos!A1550,asientos!$B$13:$B$1276)</f>
        <v>0</v>
      </c>
      <c r="H1550" s="1317">
        <f>+SUMIF(asientos!$I$13:$I$1276,SYS_4_3_Digitos!A1550,asientos!$J$13:$J$1276)</f>
        <v>0</v>
      </c>
      <c r="I1550" s="1314">
        <f t="shared" si="148"/>
        <v>0</v>
      </c>
      <c r="J1550" s="1315">
        <f t="shared" si="149"/>
        <v>0</v>
      </c>
      <c r="L1550" s="1308">
        <f t="shared" si="150"/>
        <v>0</v>
      </c>
      <c r="M1550" s="1296" t="str">
        <f t="shared" si="151"/>
        <v>0</v>
      </c>
      <c r="N1550" s="1309">
        <f t="shared" si="152"/>
        <v>0</v>
      </c>
      <c r="O1550" s="1296" t="str">
        <f t="shared" si="153"/>
        <v>0</v>
      </c>
    </row>
    <row r="1551" spans="1:15" s="1296" customFormat="1" hidden="1">
      <c r="A1551" s="1310"/>
      <c r="B1551" s="1311"/>
      <c r="C1551" s="1312">
        <v>0</v>
      </c>
      <c r="D1551" s="1313">
        <v>0</v>
      </c>
      <c r="E1551" s="1314"/>
      <c r="F1551" s="1315"/>
      <c r="G1551" s="1316">
        <f>+SUMIF(asientos!$C$13:$C$1276,SYS_4_3_Digitos!A1551,asientos!$B$13:$B$1276)</f>
        <v>0</v>
      </c>
      <c r="H1551" s="1317">
        <f>+SUMIF(asientos!$I$13:$I$1276,SYS_4_3_Digitos!A1551,asientos!$J$13:$J$1276)</f>
        <v>0</v>
      </c>
      <c r="I1551" s="1314">
        <f t="shared" si="148"/>
        <v>0</v>
      </c>
      <c r="J1551" s="1315">
        <f t="shared" si="149"/>
        <v>0</v>
      </c>
      <c r="L1551" s="1308">
        <f t="shared" si="150"/>
        <v>0</v>
      </c>
      <c r="M1551" s="1296" t="str">
        <f t="shared" si="151"/>
        <v>0</v>
      </c>
      <c r="N1551" s="1309">
        <f t="shared" si="152"/>
        <v>0</v>
      </c>
      <c r="O1551" s="1296" t="str">
        <f t="shared" si="153"/>
        <v>0</v>
      </c>
    </row>
    <row r="1552" spans="1:15" s="1296" customFormat="1" hidden="1">
      <c r="A1552" s="1310"/>
      <c r="B1552" s="1311"/>
      <c r="C1552" s="1312">
        <v>0</v>
      </c>
      <c r="D1552" s="1313">
        <v>0</v>
      </c>
      <c r="E1552" s="1314"/>
      <c r="F1552" s="1315"/>
      <c r="G1552" s="1316">
        <f>+SUMIF(asientos!$C$13:$C$1276,SYS_4_3_Digitos!A1552,asientos!$B$13:$B$1276)</f>
        <v>0</v>
      </c>
      <c r="H1552" s="1317">
        <f>+SUMIF(asientos!$I$13:$I$1276,SYS_4_3_Digitos!A1552,asientos!$J$13:$J$1276)</f>
        <v>0</v>
      </c>
      <c r="I1552" s="1314">
        <f t="shared" si="148"/>
        <v>0</v>
      </c>
      <c r="J1552" s="1315">
        <f t="shared" si="149"/>
        <v>0</v>
      </c>
      <c r="L1552" s="1308">
        <f t="shared" si="150"/>
        <v>0</v>
      </c>
      <c r="M1552" s="1296" t="str">
        <f t="shared" si="151"/>
        <v>0</v>
      </c>
      <c r="N1552" s="1309">
        <f t="shared" si="152"/>
        <v>0</v>
      </c>
      <c r="O1552" s="1296" t="str">
        <f t="shared" si="153"/>
        <v>0</v>
      </c>
    </row>
    <row r="1553" spans="1:15" s="1296" customFormat="1" hidden="1">
      <c r="A1553" s="1310"/>
      <c r="B1553" s="1311"/>
      <c r="C1553" s="1312">
        <v>0</v>
      </c>
      <c r="D1553" s="1313">
        <v>0</v>
      </c>
      <c r="E1553" s="1314"/>
      <c r="F1553" s="1315"/>
      <c r="G1553" s="1316">
        <f>+SUMIF(asientos!$C$13:$C$1276,SYS_4_3_Digitos!A1553,asientos!$B$13:$B$1276)</f>
        <v>0</v>
      </c>
      <c r="H1553" s="1317">
        <f>+SUMIF(asientos!$I$13:$I$1276,SYS_4_3_Digitos!A1553,asientos!$J$13:$J$1276)</f>
        <v>0</v>
      </c>
      <c r="I1553" s="1314">
        <f t="shared" si="148"/>
        <v>0</v>
      </c>
      <c r="J1553" s="1315">
        <f t="shared" si="149"/>
        <v>0</v>
      </c>
      <c r="L1553" s="1308">
        <f t="shared" si="150"/>
        <v>0</v>
      </c>
      <c r="M1553" s="1296" t="str">
        <f t="shared" si="151"/>
        <v>0</v>
      </c>
      <c r="N1553" s="1309">
        <f t="shared" si="152"/>
        <v>0</v>
      </c>
      <c r="O1553" s="1296" t="str">
        <f t="shared" si="153"/>
        <v>0</v>
      </c>
    </row>
    <row r="1554" spans="1:15" s="1296" customFormat="1" hidden="1">
      <c r="A1554" s="1310"/>
      <c r="B1554" s="1311"/>
      <c r="C1554" s="1312">
        <v>0</v>
      </c>
      <c r="D1554" s="1313">
        <v>0</v>
      </c>
      <c r="E1554" s="1314"/>
      <c r="F1554" s="1315"/>
      <c r="G1554" s="1316">
        <f>+SUMIF(asientos!$C$13:$C$1276,SYS_4_3_Digitos!A1554,asientos!$B$13:$B$1276)</f>
        <v>0</v>
      </c>
      <c r="H1554" s="1317">
        <f>+SUMIF(asientos!$I$13:$I$1276,SYS_4_3_Digitos!A1554,asientos!$J$13:$J$1276)</f>
        <v>0</v>
      </c>
      <c r="I1554" s="1314">
        <f t="shared" si="148"/>
        <v>0</v>
      </c>
      <c r="J1554" s="1315">
        <f t="shared" si="149"/>
        <v>0</v>
      </c>
      <c r="L1554" s="1308">
        <f t="shared" si="150"/>
        <v>0</v>
      </c>
      <c r="M1554" s="1296" t="str">
        <f t="shared" si="151"/>
        <v>0</v>
      </c>
      <c r="N1554" s="1309">
        <f t="shared" si="152"/>
        <v>0</v>
      </c>
      <c r="O1554" s="1296" t="str">
        <f t="shared" si="153"/>
        <v>0</v>
      </c>
    </row>
    <row r="1555" spans="1:15" s="1296" customFormat="1" hidden="1">
      <c r="A1555" s="1310"/>
      <c r="B1555" s="1311"/>
      <c r="C1555" s="1312">
        <v>0</v>
      </c>
      <c r="D1555" s="1313">
        <v>0</v>
      </c>
      <c r="E1555" s="1314"/>
      <c r="F1555" s="1315"/>
      <c r="G1555" s="1316">
        <f>+SUMIF(asientos!$C$13:$C$1276,SYS_4_3_Digitos!A1555,asientos!$B$13:$B$1276)</f>
        <v>0</v>
      </c>
      <c r="H1555" s="1317">
        <f>+SUMIF(asientos!$I$13:$I$1276,SYS_4_3_Digitos!A1555,asientos!$J$13:$J$1276)</f>
        <v>0</v>
      </c>
      <c r="I1555" s="1314">
        <f t="shared" si="148"/>
        <v>0</v>
      </c>
      <c r="J1555" s="1315">
        <f t="shared" si="149"/>
        <v>0</v>
      </c>
      <c r="L1555" s="1308">
        <f t="shared" si="150"/>
        <v>0</v>
      </c>
      <c r="M1555" s="1296" t="str">
        <f t="shared" si="151"/>
        <v>0</v>
      </c>
      <c r="N1555" s="1309">
        <f t="shared" si="152"/>
        <v>0</v>
      </c>
      <c r="O1555" s="1296" t="str">
        <f t="shared" si="153"/>
        <v>0</v>
      </c>
    </row>
    <row r="1556" spans="1:15" s="1296" customFormat="1" hidden="1">
      <c r="A1556" s="1310"/>
      <c r="B1556" s="1311"/>
      <c r="C1556" s="1312">
        <v>0</v>
      </c>
      <c r="D1556" s="1313">
        <v>0</v>
      </c>
      <c r="E1556" s="1314"/>
      <c r="F1556" s="1315"/>
      <c r="G1556" s="1316">
        <f>+SUMIF(asientos!$C$13:$C$1276,SYS_4_3_Digitos!A1556,asientos!$B$13:$B$1276)</f>
        <v>0</v>
      </c>
      <c r="H1556" s="1317">
        <f>+SUMIF(asientos!$I$13:$I$1276,SYS_4_3_Digitos!A1556,asientos!$J$13:$J$1276)</f>
        <v>0</v>
      </c>
      <c r="I1556" s="1314">
        <f t="shared" si="148"/>
        <v>0</v>
      </c>
      <c r="J1556" s="1315">
        <f t="shared" si="149"/>
        <v>0</v>
      </c>
      <c r="L1556" s="1308">
        <f t="shared" si="150"/>
        <v>0</v>
      </c>
      <c r="M1556" s="1296" t="str">
        <f t="shared" si="151"/>
        <v>0</v>
      </c>
      <c r="N1556" s="1309">
        <f t="shared" si="152"/>
        <v>0</v>
      </c>
      <c r="O1556" s="1296" t="str">
        <f t="shared" si="153"/>
        <v>0</v>
      </c>
    </row>
    <row r="1557" spans="1:15" s="1296" customFormat="1" hidden="1">
      <c r="A1557" s="1310"/>
      <c r="B1557" s="1311"/>
      <c r="C1557" s="1312">
        <v>0</v>
      </c>
      <c r="D1557" s="1313">
        <v>0</v>
      </c>
      <c r="E1557" s="1314"/>
      <c r="F1557" s="1315"/>
      <c r="G1557" s="1316">
        <f>+SUMIF(asientos!$C$13:$C$1276,SYS_4_3_Digitos!A1557,asientos!$B$13:$B$1276)</f>
        <v>0</v>
      </c>
      <c r="H1557" s="1317">
        <f>+SUMIF(asientos!$I$13:$I$1276,SYS_4_3_Digitos!A1557,asientos!$J$13:$J$1276)</f>
        <v>0</v>
      </c>
      <c r="I1557" s="1314">
        <f t="shared" si="148"/>
        <v>0</v>
      </c>
      <c r="J1557" s="1315">
        <f t="shared" si="149"/>
        <v>0</v>
      </c>
      <c r="L1557" s="1308">
        <f t="shared" si="150"/>
        <v>0</v>
      </c>
      <c r="M1557" s="1296" t="str">
        <f t="shared" si="151"/>
        <v>0</v>
      </c>
      <c r="N1557" s="1309">
        <f t="shared" si="152"/>
        <v>0</v>
      </c>
      <c r="O1557" s="1296" t="str">
        <f t="shared" si="153"/>
        <v>0</v>
      </c>
    </row>
    <row r="1558" spans="1:15" s="1296" customFormat="1" hidden="1">
      <c r="A1558" s="1310"/>
      <c r="B1558" s="1311"/>
      <c r="C1558" s="1312">
        <v>0</v>
      </c>
      <c r="D1558" s="1313">
        <v>0</v>
      </c>
      <c r="E1558" s="1314"/>
      <c r="F1558" s="1315"/>
      <c r="G1558" s="1316">
        <f>+SUMIF(asientos!$C$13:$C$1276,SYS_4_3_Digitos!A1558,asientos!$B$13:$B$1276)</f>
        <v>0</v>
      </c>
      <c r="H1558" s="1317">
        <f>+SUMIF(asientos!$I$13:$I$1276,SYS_4_3_Digitos!A1558,asientos!$J$13:$J$1276)</f>
        <v>0</v>
      </c>
      <c r="I1558" s="1314">
        <f t="shared" si="148"/>
        <v>0</v>
      </c>
      <c r="J1558" s="1315">
        <f t="shared" si="149"/>
        <v>0</v>
      </c>
      <c r="L1558" s="1308">
        <f t="shared" si="150"/>
        <v>0</v>
      </c>
      <c r="M1558" s="1296" t="str">
        <f t="shared" si="151"/>
        <v>0</v>
      </c>
      <c r="N1558" s="1309">
        <f t="shared" si="152"/>
        <v>0</v>
      </c>
      <c r="O1558" s="1296" t="str">
        <f t="shared" si="153"/>
        <v>0</v>
      </c>
    </row>
    <row r="1559" spans="1:15" s="1296" customFormat="1" hidden="1">
      <c r="A1559" s="1310"/>
      <c r="B1559" s="1311"/>
      <c r="C1559" s="1312">
        <v>0</v>
      </c>
      <c r="D1559" s="1313">
        <v>0</v>
      </c>
      <c r="E1559" s="1314"/>
      <c r="F1559" s="1315"/>
      <c r="G1559" s="1316">
        <f>+SUMIF(asientos!$C$13:$C$1276,SYS_4_3_Digitos!A1559,asientos!$B$13:$B$1276)</f>
        <v>0</v>
      </c>
      <c r="H1559" s="1317">
        <f>+SUMIF(asientos!$I$13:$I$1276,SYS_4_3_Digitos!A1559,asientos!$J$13:$J$1276)</f>
        <v>0</v>
      </c>
      <c r="I1559" s="1314">
        <f t="shared" si="148"/>
        <v>0</v>
      </c>
      <c r="J1559" s="1315">
        <f t="shared" si="149"/>
        <v>0</v>
      </c>
      <c r="L1559" s="1308">
        <f t="shared" si="150"/>
        <v>0</v>
      </c>
      <c r="M1559" s="1296" t="str">
        <f t="shared" si="151"/>
        <v>0</v>
      </c>
      <c r="N1559" s="1309">
        <f t="shared" si="152"/>
        <v>0</v>
      </c>
      <c r="O1559" s="1296" t="str">
        <f t="shared" si="153"/>
        <v>0</v>
      </c>
    </row>
    <row r="1560" spans="1:15" s="1296" customFormat="1" hidden="1">
      <c r="A1560" s="1310"/>
      <c r="B1560" s="1311"/>
      <c r="C1560" s="1312">
        <v>0</v>
      </c>
      <c r="D1560" s="1313">
        <v>0</v>
      </c>
      <c r="E1560" s="1314"/>
      <c r="F1560" s="1315"/>
      <c r="G1560" s="1316">
        <f>+SUMIF(asientos!$C$13:$C$1276,SYS_4_3_Digitos!A1560,asientos!$B$13:$B$1276)</f>
        <v>0</v>
      </c>
      <c r="H1560" s="1317">
        <f>+SUMIF(asientos!$I$13:$I$1276,SYS_4_3_Digitos!A1560,asientos!$J$13:$J$1276)</f>
        <v>0</v>
      </c>
      <c r="I1560" s="1314">
        <f t="shared" si="148"/>
        <v>0</v>
      </c>
      <c r="J1560" s="1315">
        <f t="shared" si="149"/>
        <v>0</v>
      </c>
      <c r="L1560" s="1308">
        <f t="shared" si="150"/>
        <v>0</v>
      </c>
      <c r="M1560" s="1296" t="str">
        <f t="shared" si="151"/>
        <v>0</v>
      </c>
      <c r="N1560" s="1309">
        <f t="shared" si="152"/>
        <v>0</v>
      </c>
      <c r="O1560" s="1296" t="str">
        <f t="shared" si="153"/>
        <v>0</v>
      </c>
    </row>
    <row r="1561" spans="1:15" s="1296" customFormat="1" hidden="1">
      <c r="A1561" s="1310"/>
      <c r="B1561" s="1311"/>
      <c r="C1561" s="1312">
        <v>0</v>
      </c>
      <c r="D1561" s="1313">
        <v>0</v>
      </c>
      <c r="E1561" s="1314"/>
      <c r="F1561" s="1315"/>
      <c r="G1561" s="1316">
        <f>+SUMIF(asientos!$C$13:$C$1276,SYS_4_3_Digitos!A1561,asientos!$B$13:$B$1276)</f>
        <v>0</v>
      </c>
      <c r="H1561" s="1317">
        <f>+SUMIF(asientos!$I$13:$I$1276,SYS_4_3_Digitos!A1561,asientos!$J$13:$J$1276)</f>
        <v>0</v>
      </c>
      <c r="I1561" s="1314">
        <f t="shared" si="148"/>
        <v>0</v>
      </c>
      <c r="J1561" s="1315">
        <f t="shared" si="149"/>
        <v>0</v>
      </c>
      <c r="L1561" s="1308">
        <f t="shared" si="150"/>
        <v>0</v>
      </c>
      <c r="M1561" s="1296" t="str">
        <f t="shared" si="151"/>
        <v>0</v>
      </c>
      <c r="N1561" s="1309">
        <f t="shared" si="152"/>
        <v>0</v>
      </c>
      <c r="O1561" s="1296" t="str">
        <f t="shared" si="153"/>
        <v>0</v>
      </c>
    </row>
    <row r="1562" spans="1:15" s="1296" customFormat="1" hidden="1">
      <c r="A1562" s="1310"/>
      <c r="B1562" s="1311"/>
      <c r="C1562" s="1312">
        <v>0</v>
      </c>
      <c r="D1562" s="1313">
        <v>0</v>
      </c>
      <c r="E1562" s="1314"/>
      <c r="F1562" s="1315"/>
      <c r="G1562" s="1316">
        <f>+SUMIF(asientos!$C$13:$C$1276,SYS_4_3_Digitos!A1562,asientos!$B$13:$B$1276)</f>
        <v>0</v>
      </c>
      <c r="H1562" s="1317">
        <f>+SUMIF(asientos!$I$13:$I$1276,SYS_4_3_Digitos!A1562,asientos!$J$13:$J$1276)</f>
        <v>0</v>
      </c>
      <c r="I1562" s="1314">
        <f t="shared" si="148"/>
        <v>0</v>
      </c>
      <c r="J1562" s="1315">
        <f t="shared" si="149"/>
        <v>0</v>
      </c>
      <c r="L1562" s="1308">
        <f t="shared" si="150"/>
        <v>0</v>
      </c>
      <c r="M1562" s="1296" t="str">
        <f t="shared" si="151"/>
        <v>0</v>
      </c>
      <c r="N1562" s="1309">
        <f t="shared" si="152"/>
        <v>0</v>
      </c>
      <c r="O1562" s="1296" t="str">
        <f t="shared" si="153"/>
        <v>0</v>
      </c>
    </row>
    <row r="1563" spans="1:15" s="1296" customFormat="1" hidden="1">
      <c r="A1563" s="1310"/>
      <c r="B1563" s="1311"/>
      <c r="C1563" s="1312">
        <v>0</v>
      </c>
      <c r="D1563" s="1313">
        <v>0</v>
      </c>
      <c r="E1563" s="1314"/>
      <c r="F1563" s="1315"/>
      <c r="G1563" s="1316">
        <f>+SUMIF(asientos!$C$13:$C$1276,SYS_4_3_Digitos!A1563,asientos!$B$13:$B$1276)</f>
        <v>0</v>
      </c>
      <c r="H1563" s="1317">
        <f>+SUMIF(asientos!$I$13:$I$1276,SYS_4_3_Digitos!A1563,asientos!$J$13:$J$1276)</f>
        <v>0</v>
      </c>
      <c r="I1563" s="1314">
        <f t="shared" si="148"/>
        <v>0</v>
      </c>
      <c r="J1563" s="1315">
        <f t="shared" si="149"/>
        <v>0</v>
      </c>
      <c r="L1563" s="1308">
        <f t="shared" si="150"/>
        <v>0</v>
      </c>
      <c r="M1563" s="1296" t="str">
        <f t="shared" si="151"/>
        <v>0</v>
      </c>
      <c r="N1563" s="1309">
        <f t="shared" si="152"/>
        <v>0</v>
      </c>
      <c r="O1563" s="1296" t="str">
        <f t="shared" si="153"/>
        <v>0</v>
      </c>
    </row>
    <row r="1564" spans="1:15" s="1296" customFormat="1" hidden="1">
      <c r="A1564" s="1310"/>
      <c r="B1564" s="1311"/>
      <c r="C1564" s="1312">
        <v>0</v>
      </c>
      <c r="D1564" s="1313">
        <v>0</v>
      </c>
      <c r="E1564" s="1314"/>
      <c r="F1564" s="1315"/>
      <c r="G1564" s="1316">
        <f>+SUMIF(asientos!$C$13:$C$1276,SYS_4_3_Digitos!A1564,asientos!$B$13:$B$1276)</f>
        <v>0</v>
      </c>
      <c r="H1564" s="1317">
        <f>+SUMIF(asientos!$I$13:$I$1276,SYS_4_3_Digitos!A1564,asientos!$J$13:$J$1276)</f>
        <v>0</v>
      </c>
      <c r="I1564" s="1314">
        <f t="shared" si="148"/>
        <v>0</v>
      </c>
      <c r="J1564" s="1315">
        <f t="shared" si="149"/>
        <v>0</v>
      </c>
      <c r="L1564" s="1308">
        <f t="shared" si="150"/>
        <v>0</v>
      </c>
      <c r="M1564" s="1296" t="str">
        <f t="shared" si="151"/>
        <v>0</v>
      </c>
      <c r="N1564" s="1309">
        <f t="shared" si="152"/>
        <v>0</v>
      </c>
      <c r="O1564" s="1296" t="str">
        <f t="shared" si="153"/>
        <v>0</v>
      </c>
    </row>
    <row r="1565" spans="1:15" s="1296" customFormat="1" hidden="1">
      <c r="A1565" s="1310"/>
      <c r="B1565" s="1311"/>
      <c r="C1565" s="1312">
        <v>0</v>
      </c>
      <c r="D1565" s="1313">
        <v>0</v>
      </c>
      <c r="E1565" s="1314"/>
      <c r="F1565" s="1315"/>
      <c r="G1565" s="1316">
        <f>+SUMIF(asientos!$C$13:$C$1276,SYS_4_3_Digitos!A1565,asientos!$B$13:$B$1276)</f>
        <v>0</v>
      </c>
      <c r="H1565" s="1317">
        <f>+SUMIF(asientos!$I$13:$I$1276,SYS_4_3_Digitos!A1565,asientos!$J$13:$J$1276)</f>
        <v>0</v>
      </c>
      <c r="I1565" s="1314">
        <f t="shared" si="148"/>
        <v>0</v>
      </c>
      <c r="J1565" s="1315">
        <f t="shared" si="149"/>
        <v>0</v>
      </c>
      <c r="L1565" s="1308">
        <f t="shared" si="150"/>
        <v>0</v>
      </c>
      <c r="M1565" s="1296" t="str">
        <f t="shared" si="151"/>
        <v>0</v>
      </c>
      <c r="N1565" s="1309">
        <f t="shared" si="152"/>
        <v>0</v>
      </c>
      <c r="O1565" s="1296" t="str">
        <f t="shared" si="153"/>
        <v>0</v>
      </c>
    </row>
    <row r="1566" spans="1:15" s="1296" customFormat="1" hidden="1">
      <c r="A1566" s="1310"/>
      <c r="B1566" s="1311"/>
      <c r="C1566" s="1312">
        <v>0</v>
      </c>
      <c r="D1566" s="1313">
        <v>0</v>
      </c>
      <c r="E1566" s="1314"/>
      <c r="F1566" s="1315"/>
      <c r="G1566" s="1316">
        <f>+SUMIF(asientos!$C$13:$C$1276,SYS_4_3_Digitos!A1566,asientos!$B$13:$B$1276)</f>
        <v>0</v>
      </c>
      <c r="H1566" s="1317">
        <f>+SUMIF(asientos!$I$13:$I$1276,SYS_4_3_Digitos!A1566,asientos!$J$13:$J$1276)</f>
        <v>0</v>
      </c>
      <c r="I1566" s="1314">
        <f t="shared" si="148"/>
        <v>0</v>
      </c>
      <c r="J1566" s="1315">
        <f t="shared" si="149"/>
        <v>0</v>
      </c>
      <c r="L1566" s="1308">
        <f t="shared" si="150"/>
        <v>0</v>
      </c>
      <c r="M1566" s="1296" t="str">
        <f t="shared" si="151"/>
        <v>0</v>
      </c>
      <c r="N1566" s="1309">
        <f t="shared" si="152"/>
        <v>0</v>
      </c>
      <c r="O1566" s="1296" t="str">
        <f t="shared" si="153"/>
        <v>0</v>
      </c>
    </row>
    <row r="1567" spans="1:15" s="1296" customFormat="1" hidden="1">
      <c r="A1567" s="1310"/>
      <c r="B1567" s="1311"/>
      <c r="C1567" s="1312">
        <v>0</v>
      </c>
      <c r="D1567" s="1313">
        <v>0</v>
      </c>
      <c r="E1567" s="1314"/>
      <c r="F1567" s="1315"/>
      <c r="G1567" s="1316">
        <f>+SUMIF(asientos!$C$13:$C$1276,SYS_4_3_Digitos!A1567,asientos!$B$13:$B$1276)</f>
        <v>0</v>
      </c>
      <c r="H1567" s="1317">
        <f>+SUMIF(asientos!$I$13:$I$1276,SYS_4_3_Digitos!A1567,asientos!$J$13:$J$1276)</f>
        <v>0</v>
      </c>
      <c r="I1567" s="1314">
        <f t="shared" si="148"/>
        <v>0</v>
      </c>
      <c r="J1567" s="1315">
        <f t="shared" si="149"/>
        <v>0</v>
      </c>
      <c r="L1567" s="1308">
        <f t="shared" si="150"/>
        <v>0</v>
      </c>
      <c r="M1567" s="1296" t="str">
        <f t="shared" si="151"/>
        <v>0</v>
      </c>
      <c r="N1567" s="1309">
        <f t="shared" si="152"/>
        <v>0</v>
      </c>
      <c r="O1567" s="1296" t="str">
        <f t="shared" si="153"/>
        <v>0</v>
      </c>
    </row>
    <row r="1568" spans="1:15" s="1296" customFormat="1" hidden="1">
      <c r="A1568" s="1310"/>
      <c r="B1568" s="1311"/>
      <c r="C1568" s="1312">
        <v>0</v>
      </c>
      <c r="D1568" s="1313">
        <v>0</v>
      </c>
      <c r="E1568" s="1314"/>
      <c r="F1568" s="1315"/>
      <c r="G1568" s="1316">
        <f>+SUMIF(asientos!$C$13:$C$1276,SYS_4_3_Digitos!A1568,asientos!$B$13:$B$1276)</f>
        <v>0</v>
      </c>
      <c r="H1568" s="1317">
        <f>+SUMIF(asientos!$I$13:$I$1276,SYS_4_3_Digitos!A1568,asientos!$J$13:$J$1276)</f>
        <v>0</v>
      </c>
      <c r="I1568" s="1314">
        <f t="shared" si="148"/>
        <v>0</v>
      </c>
      <c r="J1568" s="1315">
        <f t="shared" si="149"/>
        <v>0</v>
      </c>
      <c r="L1568" s="1308">
        <f t="shared" si="150"/>
        <v>0</v>
      </c>
      <c r="M1568" s="1296" t="str">
        <f t="shared" si="151"/>
        <v>0</v>
      </c>
      <c r="N1568" s="1309">
        <f t="shared" si="152"/>
        <v>0</v>
      </c>
      <c r="O1568" s="1296" t="str">
        <f t="shared" si="153"/>
        <v>0</v>
      </c>
    </row>
    <row r="1569" spans="1:15" s="1296" customFormat="1" hidden="1">
      <c r="A1569" s="1310"/>
      <c r="B1569" s="1311"/>
      <c r="C1569" s="1312">
        <v>0</v>
      </c>
      <c r="D1569" s="1313">
        <v>0</v>
      </c>
      <c r="E1569" s="1314"/>
      <c r="F1569" s="1315"/>
      <c r="G1569" s="1316">
        <f>+SUMIF(asientos!$C$13:$C$1276,SYS_4_3_Digitos!A1569,asientos!$B$13:$B$1276)</f>
        <v>0</v>
      </c>
      <c r="H1569" s="1317">
        <f>+SUMIF(asientos!$I$13:$I$1276,SYS_4_3_Digitos!A1569,asientos!$J$13:$J$1276)</f>
        <v>0</v>
      </c>
      <c r="I1569" s="1314">
        <f t="shared" si="148"/>
        <v>0</v>
      </c>
      <c r="J1569" s="1315">
        <f t="shared" si="149"/>
        <v>0</v>
      </c>
      <c r="L1569" s="1308">
        <f t="shared" si="150"/>
        <v>0</v>
      </c>
      <c r="M1569" s="1296" t="str">
        <f t="shared" si="151"/>
        <v>0</v>
      </c>
      <c r="N1569" s="1309">
        <f t="shared" si="152"/>
        <v>0</v>
      </c>
      <c r="O1569" s="1296" t="str">
        <f t="shared" si="153"/>
        <v>0</v>
      </c>
    </row>
    <row r="1570" spans="1:15" s="1296" customFormat="1" hidden="1">
      <c r="A1570" s="1310"/>
      <c r="B1570" s="1311"/>
      <c r="C1570" s="1312">
        <v>0</v>
      </c>
      <c r="D1570" s="1313">
        <v>0</v>
      </c>
      <c r="E1570" s="1314"/>
      <c r="F1570" s="1315"/>
      <c r="G1570" s="1316">
        <f>+SUMIF(asientos!$C$13:$C$1276,SYS_4_3_Digitos!A1570,asientos!$B$13:$B$1276)</f>
        <v>0</v>
      </c>
      <c r="H1570" s="1317">
        <f>+SUMIF(asientos!$I$13:$I$1276,SYS_4_3_Digitos!A1570,asientos!$J$13:$J$1276)</f>
        <v>0</v>
      </c>
      <c r="I1570" s="1314">
        <f t="shared" si="148"/>
        <v>0</v>
      </c>
      <c r="J1570" s="1315">
        <f t="shared" si="149"/>
        <v>0</v>
      </c>
      <c r="L1570" s="1308">
        <f t="shared" si="150"/>
        <v>0</v>
      </c>
      <c r="M1570" s="1296" t="str">
        <f t="shared" si="151"/>
        <v>0</v>
      </c>
      <c r="N1570" s="1309">
        <f t="shared" si="152"/>
        <v>0</v>
      </c>
      <c r="O1570" s="1296" t="str">
        <f t="shared" si="153"/>
        <v>0</v>
      </c>
    </row>
    <row r="1571" spans="1:15" s="1296" customFormat="1" hidden="1">
      <c r="A1571" s="1310"/>
      <c r="B1571" s="1311"/>
      <c r="C1571" s="1312">
        <v>0</v>
      </c>
      <c r="D1571" s="1313">
        <v>0</v>
      </c>
      <c r="E1571" s="1314"/>
      <c r="F1571" s="1315"/>
      <c r="G1571" s="1316">
        <f>+SUMIF(asientos!$C$13:$C$1276,SYS_4_3_Digitos!A1571,asientos!$B$13:$B$1276)</f>
        <v>0</v>
      </c>
      <c r="H1571" s="1317">
        <f>+SUMIF(asientos!$I$13:$I$1276,SYS_4_3_Digitos!A1571,asientos!$J$13:$J$1276)</f>
        <v>0</v>
      </c>
      <c r="I1571" s="1314">
        <f t="shared" si="148"/>
        <v>0</v>
      </c>
      <c r="J1571" s="1315">
        <f t="shared" si="149"/>
        <v>0</v>
      </c>
      <c r="L1571" s="1308">
        <f t="shared" si="150"/>
        <v>0</v>
      </c>
      <c r="M1571" s="1296" t="str">
        <f t="shared" si="151"/>
        <v>0</v>
      </c>
      <c r="N1571" s="1309">
        <f t="shared" si="152"/>
        <v>0</v>
      </c>
      <c r="O1571" s="1296" t="str">
        <f t="shared" si="153"/>
        <v>0</v>
      </c>
    </row>
    <row r="1572" spans="1:15" s="1296" customFormat="1" hidden="1">
      <c r="A1572" s="1310"/>
      <c r="B1572" s="1311"/>
      <c r="C1572" s="1312">
        <v>0</v>
      </c>
      <c r="D1572" s="1313">
        <v>0</v>
      </c>
      <c r="E1572" s="1314"/>
      <c r="F1572" s="1315"/>
      <c r="G1572" s="1316">
        <f>+SUMIF(asientos!$C$13:$C$1276,SYS_4_3_Digitos!A1572,asientos!$B$13:$B$1276)</f>
        <v>0</v>
      </c>
      <c r="H1572" s="1317">
        <f>+SUMIF(asientos!$I$13:$I$1276,SYS_4_3_Digitos!A1572,asientos!$J$13:$J$1276)</f>
        <v>0</v>
      </c>
      <c r="I1572" s="1314">
        <f t="shared" si="148"/>
        <v>0</v>
      </c>
      <c r="J1572" s="1315">
        <f t="shared" si="149"/>
        <v>0</v>
      </c>
      <c r="L1572" s="1308">
        <f t="shared" si="150"/>
        <v>0</v>
      </c>
      <c r="M1572" s="1296" t="str">
        <f t="shared" si="151"/>
        <v>0</v>
      </c>
      <c r="N1572" s="1309">
        <f t="shared" si="152"/>
        <v>0</v>
      </c>
      <c r="O1572" s="1296" t="str">
        <f t="shared" si="153"/>
        <v>0</v>
      </c>
    </row>
    <row r="1573" spans="1:15" s="1296" customFormat="1" hidden="1">
      <c r="A1573" s="1310"/>
      <c r="B1573" s="1311"/>
      <c r="C1573" s="1312">
        <v>0</v>
      </c>
      <c r="D1573" s="1313">
        <v>0</v>
      </c>
      <c r="E1573" s="1314"/>
      <c r="F1573" s="1315"/>
      <c r="G1573" s="1316">
        <f>+SUMIF(asientos!$C$13:$C$1276,SYS_4_3_Digitos!A1573,asientos!$B$13:$B$1276)</f>
        <v>0</v>
      </c>
      <c r="H1573" s="1317">
        <f>+SUMIF(asientos!$I$13:$I$1276,SYS_4_3_Digitos!A1573,asientos!$J$13:$J$1276)</f>
        <v>0</v>
      </c>
      <c r="I1573" s="1314">
        <f t="shared" ref="I1573:I1636" si="154">IF((E1573+G1573-F1573-H1573)&gt;0,E1573+G1573-F1573-H1573,0)</f>
        <v>0</v>
      </c>
      <c r="J1573" s="1315">
        <f t="shared" ref="J1573:J1636" si="155">IF((F1573+H1573-E1573-G1573)&gt;0,F1573+H1573-E1573-G1573,0)</f>
        <v>0</v>
      </c>
      <c r="L1573" s="1308">
        <f t="shared" ref="L1573:L1636" si="156">+A1573*1000000</f>
        <v>0</v>
      </c>
      <c r="M1573" s="1296" t="str">
        <f t="shared" ref="M1573:M1636" si="157">+LEFT(L1573,4)</f>
        <v>0</v>
      </c>
      <c r="N1573" s="1309">
        <f t="shared" ref="N1573:N1636" si="158">+I1573-J1573</f>
        <v>0</v>
      </c>
      <c r="O1573" s="1296" t="str">
        <f t="shared" ref="O1573:O1636" si="159">+LEFT(M1573,2)</f>
        <v>0</v>
      </c>
    </row>
    <row r="1574" spans="1:15" s="1296" customFormat="1" hidden="1">
      <c r="A1574" s="1310"/>
      <c r="B1574" s="1311"/>
      <c r="C1574" s="1312">
        <v>0</v>
      </c>
      <c r="D1574" s="1313">
        <v>0</v>
      </c>
      <c r="E1574" s="1314"/>
      <c r="F1574" s="1315"/>
      <c r="G1574" s="1316">
        <f>+SUMIF(asientos!$C$13:$C$1276,SYS_4_3_Digitos!A1574,asientos!$B$13:$B$1276)</f>
        <v>0</v>
      </c>
      <c r="H1574" s="1317">
        <f>+SUMIF(asientos!$I$13:$I$1276,SYS_4_3_Digitos!A1574,asientos!$J$13:$J$1276)</f>
        <v>0</v>
      </c>
      <c r="I1574" s="1314">
        <f t="shared" si="154"/>
        <v>0</v>
      </c>
      <c r="J1574" s="1315">
        <f t="shared" si="155"/>
        <v>0</v>
      </c>
      <c r="L1574" s="1308">
        <f t="shared" si="156"/>
        <v>0</v>
      </c>
      <c r="M1574" s="1296" t="str">
        <f t="shared" si="157"/>
        <v>0</v>
      </c>
      <c r="N1574" s="1309">
        <f t="shared" si="158"/>
        <v>0</v>
      </c>
      <c r="O1574" s="1296" t="str">
        <f t="shared" si="159"/>
        <v>0</v>
      </c>
    </row>
    <row r="1575" spans="1:15" s="1296" customFormat="1" hidden="1">
      <c r="A1575" s="1310"/>
      <c r="B1575" s="1311"/>
      <c r="C1575" s="1312">
        <v>0</v>
      </c>
      <c r="D1575" s="1313">
        <v>0</v>
      </c>
      <c r="E1575" s="1314"/>
      <c r="F1575" s="1315"/>
      <c r="G1575" s="1316">
        <f>+SUMIF(asientos!$C$13:$C$1276,SYS_4_3_Digitos!A1575,asientos!$B$13:$B$1276)</f>
        <v>0</v>
      </c>
      <c r="H1575" s="1317">
        <f>+SUMIF(asientos!$I$13:$I$1276,SYS_4_3_Digitos!A1575,asientos!$J$13:$J$1276)</f>
        <v>0</v>
      </c>
      <c r="I1575" s="1314">
        <f t="shared" si="154"/>
        <v>0</v>
      </c>
      <c r="J1575" s="1315">
        <f t="shared" si="155"/>
        <v>0</v>
      </c>
      <c r="L1575" s="1308">
        <f t="shared" si="156"/>
        <v>0</v>
      </c>
      <c r="M1575" s="1296" t="str">
        <f t="shared" si="157"/>
        <v>0</v>
      </c>
      <c r="N1575" s="1309">
        <f t="shared" si="158"/>
        <v>0</v>
      </c>
      <c r="O1575" s="1296" t="str">
        <f t="shared" si="159"/>
        <v>0</v>
      </c>
    </row>
    <row r="1576" spans="1:15" s="1296" customFormat="1" hidden="1">
      <c r="A1576" s="1310"/>
      <c r="B1576" s="1311"/>
      <c r="C1576" s="1312">
        <v>0</v>
      </c>
      <c r="D1576" s="1313">
        <v>0</v>
      </c>
      <c r="E1576" s="1314"/>
      <c r="F1576" s="1315"/>
      <c r="G1576" s="1316">
        <f>+SUMIF(asientos!$C$13:$C$1276,SYS_4_3_Digitos!A1576,asientos!$B$13:$B$1276)</f>
        <v>0</v>
      </c>
      <c r="H1576" s="1317">
        <f>+SUMIF(asientos!$I$13:$I$1276,SYS_4_3_Digitos!A1576,asientos!$J$13:$J$1276)</f>
        <v>0</v>
      </c>
      <c r="I1576" s="1314">
        <f t="shared" si="154"/>
        <v>0</v>
      </c>
      <c r="J1576" s="1315">
        <f t="shared" si="155"/>
        <v>0</v>
      </c>
      <c r="L1576" s="1308">
        <f t="shared" si="156"/>
        <v>0</v>
      </c>
      <c r="M1576" s="1296" t="str">
        <f t="shared" si="157"/>
        <v>0</v>
      </c>
      <c r="N1576" s="1309">
        <f t="shared" si="158"/>
        <v>0</v>
      </c>
      <c r="O1576" s="1296" t="str">
        <f t="shared" si="159"/>
        <v>0</v>
      </c>
    </row>
    <row r="1577" spans="1:15" s="1296" customFormat="1" hidden="1">
      <c r="A1577" s="1310"/>
      <c r="B1577" s="1311"/>
      <c r="C1577" s="1312">
        <v>0</v>
      </c>
      <c r="D1577" s="1313">
        <v>0</v>
      </c>
      <c r="E1577" s="1314"/>
      <c r="F1577" s="1315"/>
      <c r="G1577" s="1316">
        <f>+SUMIF(asientos!$C$13:$C$1276,SYS_4_3_Digitos!A1577,asientos!$B$13:$B$1276)</f>
        <v>0</v>
      </c>
      <c r="H1577" s="1317">
        <f>+SUMIF(asientos!$I$13:$I$1276,SYS_4_3_Digitos!A1577,asientos!$J$13:$J$1276)</f>
        <v>0</v>
      </c>
      <c r="I1577" s="1314">
        <f t="shared" si="154"/>
        <v>0</v>
      </c>
      <c r="J1577" s="1315">
        <f t="shared" si="155"/>
        <v>0</v>
      </c>
      <c r="L1577" s="1308">
        <f t="shared" si="156"/>
        <v>0</v>
      </c>
      <c r="M1577" s="1296" t="str">
        <f t="shared" si="157"/>
        <v>0</v>
      </c>
      <c r="N1577" s="1309">
        <f t="shared" si="158"/>
        <v>0</v>
      </c>
      <c r="O1577" s="1296" t="str">
        <f t="shared" si="159"/>
        <v>0</v>
      </c>
    </row>
    <row r="1578" spans="1:15" s="1296" customFormat="1" hidden="1">
      <c r="A1578" s="1310"/>
      <c r="B1578" s="1311"/>
      <c r="C1578" s="1312">
        <v>0</v>
      </c>
      <c r="D1578" s="1313">
        <v>0</v>
      </c>
      <c r="E1578" s="1314"/>
      <c r="F1578" s="1315"/>
      <c r="G1578" s="1316">
        <f>+SUMIF(asientos!$C$13:$C$1276,SYS_4_3_Digitos!A1578,asientos!$B$13:$B$1276)</f>
        <v>0</v>
      </c>
      <c r="H1578" s="1317">
        <f>+SUMIF(asientos!$I$13:$I$1276,SYS_4_3_Digitos!A1578,asientos!$J$13:$J$1276)</f>
        <v>0</v>
      </c>
      <c r="I1578" s="1314">
        <f t="shared" si="154"/>
        <v>0</v>
      </c>
      <c r="J1578" s="1315">
        <f t="shared" si="155"/>
        <v>0</v>
      </c>
      <c r="L1578" s="1308">
        <f t="shared" si="156"/>
        <v>0</v>
      </c>
      <c r="M1578" s="1296" t="str">
        <f t="shared" si="157"/>
        <v>0</v>
      </c>
      <c r="N1578" s="1309">
        <f t="shared" si="158"/>
        <v>0</v>
      </c>
      <c r="O1578" s="1296" t="str">
        <f t="shared" si="159"/>
        <v>0</v>
      </c>
    </row>
    <row r="1579" spans="1:15" s="1296" customFormat="1" hidden="1">
      <c r="A1579" s="1310"/>
      <c r="B1579" s="1311"/>
      <c r="C1579" s="1312">
        <v>0</v>
      </c>
      <c r="D1579" s="1313">
        <v>0</v>
      </c>
      <c r="E1579" s="1314"/>
      <c r="F1579" s="1315"/>
      <c r="G1579" s="1316">
        <f>+SUMIF(asientos!$C$13:$C$1276,SYS_4_3_Digitos!A1579,asientos!$B$13:$B$1276)</f>
        <v>0</v>
      </c>
      <c r="H1579" s="1317">
        <f>+SUMIF(asientos!$I$13:$I$1276,SYS_4_3_Digitos!A1579,asientos!$J$13:$J$1276)</f>
        <v>0</v>
      </c>
      <c r="I1579" s="1314">
        <f t="shared" si="154"/>
        <v>0</v>
      </c>
      <c r="J1579" s="1315">
        <f t="shared" si="155"/>
        <v>0</v>
      </c>
      <c r="L1579" s="1308">
        <f t="shared" si="156"/>
        <v>0</v>
      </c>
      <c r="M1579" s="1296" t="str">
        <f t="shared" si="157"/>
        <v>0</v>
      </c>
      <c r="N1579" s="1309">
        <f t="shared" si="158"/>
        <v>0</v>
      </c>
      <c r="O1579" s="1296" t="str">
        <f t="shared" si="159"/>
        <v>0</v>
      </c>
    </row>
    <row r="1580" spans="1:15" s="1296" customFormat="1" hidden="1">
      <c r="A1580" s="1310"/>
      <c r="B1580" s="1311"/>
      <c r="C1580" s="1312">
        <v>0</v>
      </c>
      <c r="D1580" s="1313">
        <v>0</v>
      </c>
      <c r="E1580" s="1314"/>
      <c r="F1580" s="1315"/>
      <c r="G1580" s="1316">
        <f>+SUMIF(asientos!$C$13:$C$1276,SYS_4_3_Digitos!A1580,asientos!$B$13:$B$1276)</f>
        <v>0</v>
      </c>
      <c r="H1580" s="1317">
        <f>+SUMIF(asientos!$I$13:$I$1276,SYS_4_3_Digitos!A1580,asientos!$J$13:$J$1276)</f>
        <v>0</v>
      </c>
      <c r="I1580" s="1314">
        <f t="shared" si="154"/>
        <v>0</v>
      </c>
      <c r="J1580" s="1315">
        <f t="shared" si="155"/>
        <v>0</v>
      </c>
      <c r="L1580" s="1308">
        <f t="shared" si="156"/>
        <v>0</v>
      </c>
      <c r="M1580" s="1296" t="str">
        <f t="shared" si="157"/>
        <v>0</v>
      </c>
      <c r="N1580" s="1309">
        <f t="shared" si="158"/>
        <v>0</v>
      </c>
      <c r="O1580" s="1296" t="str">
        <f t="shared" si="159"/>
        <v>0</v>
      </c>
    </row>
    <row r="1581" spans="1:15" s="1296" customFormat="1" hidden="1">
      <c r="A1581" s="1310"/>
      <c r="B1581" s="1311"/>
      <c r="C1581" s="1312">
        <v>0</v>
      </c>
      <c r="D1581" s="1313">
        <v>0</v>
      </c>
      <c r="E1581" s="1314"/>
      <c r="F1581" s="1315"/>
      <c r="G1581" s="1316">
        <f>+SUMIF(asientos!$C$13:$C$1276,SYS_4_3_Digitos!A1581,asientos!$B$13:$B$1276)</f>
        <v>0</v>
      </c>
      <c r="H1581" s="1317">
        <f>+SUMIF(asientos!$I$13:$I$1276,SYS_4_3_Digitos!A1581,asientos!$J$13:$J$1276)</f>
        <v>0</v>
      </c>
      <c r="I1581" s="1314">
        <f t="shared" si="154"/>
        <v>0</v>
      </c>
      <c r="J1581" s="1315">
        <f t="shared" si="155"/>
        <v>0</v>
      </c>
      <c r="L1581" s="1308">
        <f t="shared" si="156"/>
        <v>0</v>
      </c>
      <c r="M1581" s="1296" t="str">
        <f t="shared" si="157"/>
        <v>0</v>
      </c>
      <c r="N1581" s="1309">
        <f t="shared" si="158"/>
        <v>0</v>
      </c>
      <c r="O1581" s="1296" t="str">
        <f t="shared" si="159"/>
        <v>0</v>
      </c>
    </row>
    <row r="1582" spans="1:15" s="1296" customFormat="1" hidden="1">
      <c r="A1582" s="1310"/>
      <c r="B1582" s="1311"/>
      <c r="C1582" s="1312">
        <v>0</v>
      </c>
      <c r="D1582" s="1313">
        <v>0</v>
      </c>
      <c r="E1582" s="1314"/>
      <c r="F1582" s="1315"/>
      <c r="G1582" s="1316">
        <f>+SUMIF(asientos!$C$13:$C$1276,SYS_4_3_Digitos!A1582,asientos!$B$13:$B$1276)</f>
        <v>0</v>
      </c>
      <c r="H1582" s="1317">
        <f>+SUMIF(asientos!$I$13:$I$1276,SYS_4_3_Digitos!A1582,asientos!$J$13:$J$1276)</f>
        <v>0</v>
      </c>
      <c r="I1582" s="1314">
        <f t="shared" si="154"/>
        <v>0</v>
      </c>
      <c r="J1582" s="1315">
        <f t="shared" si="155"/>
        <v>0</v>
      </c>
      <c r="L1582" s="1308">
        <f t="shared" si="156"/>
        <v>0</v>
      </c>
      <c r="M1582" s="1296" t="str">
        <f t="shared" si="157"/>
        <v>0</v>
      </c>
      <c r="N1582" s="1309">
        <f t="shared" si="158"/>
        <v>0</v>
      </c>
      <c r="O1582" s="1296" t="str">
        <f t="shared" si="159"/>
        <v>0</v>
      </c>
    </row>
    <row r="1583" spans="1:15" s="1296" customFormat="1" hidden="1">
      <c r="A1583" s="1310"/>
      <c r="B1583" s="1311"/>
      <c r="C1583" s="1312">
        <v>0</v>
      </c>
      <c r="D1583" s="1313">
        <v>0</v>
      </c>
      <c r="E1583" s="1314"/>
      <c r="F1583" s="1315"/>
      <c r="G1583" s="1316">
        <f>+SUMIF(asientos!$C$13:$C$1276,SYS_4_3_Digitos!A1583,asientos!$B$13:$B$1276)</f>
        <v>0</v>
      </c>
      <c r="H1583" s="1317">
        <f>+SUMIF(asientos!$I$13:$I$1276,SYS_4_3_Digitos!A1583,asientos!$J$13:$J$1276)</f>
        <v>0</v>
      </c>
      <c r="I1583" s="1314">
        <f t="shared" si="154"/>
        <v>0</v>
      </c>
      <c r="J1583" s="1315">
        <f t="shared" si="155"/>
        <v>0</v>
      </c>
      <c r="L1583" s="1308">
        <f t="shared" si="156"/>
        <v>0</v>
      </c>
      <c r="M1583" s="1296" t="str">
        <f t="shared" si="157"/>
        <v>0</v>
      </c>
      <c r="N1583" s="1309">
        <f t="shared" si="158"/>
        <v>0</v>
      </c>
      <c r="O1583" s="1296" t="str">
        <f t="shared" si="159"/>
        <v>0</v>
      </c>
    </row>
    <row r="1584" spans="1:15" s="1296" customFormat="1" hidden="1">
      <c r="A1584" s="1310"/>
      <c r="B1584" s="1311"/>
      <c r="C1584" s="1312">
        <v>0</v>
      </c>
      <c r="D1584" s="1313">
        <v>0</v>
      </c>
      <c r="E1584" s="1314"/>
      <c r="F1584" s="1315"/>
      <c r="G1584" s="1316">
        <f>+SUMIF(asientos!$C$13:$C$1276,SYS_4_3_Digitos!A1584,asientos!$B$13:$B$1276)</f>
        <v>0</v>
      </c>
      <c r="H1584" s="1317">
        <f>+SUMIF(asientos!$I$13:$I$1276,SYS_4_3_Digitos!A1584,asientos!$J$13:$J$1276)</f>
        <v>0</v>
      </c>
      <c r="I1584" s="1314">
        <f t="shared" si="154"/>
        <v>0</v>
      </c>
      <c r="J1584" s="1315">
        <f t="shared" si="155"/>
        <v>0</v>
      </c>
      <c r="L1584" s="1308">
        <f t="shared" si="156"/>
        <v>0</v>
      </c>
      <c r="M1584" s="1296" t="str">
        <f t="shared" si="157"/>
        <v>0</v>
      </c>
      <c r="N1584" s="1309">
        <f t="shared" si="158"/>
        <v>0</v>
      </c>
      <c r="O1584" s="1296" t="str">
        <f t="shared" si="159"/>
        <v>0</v>
      </c>
    </row>
    <row r="1585" spans="1:15" s="1296" customFormat="1" hidden="1">
      <c r="A1585" s="1310"/>
      <c r="B1585" s="1311"/>
      <c r="C1585" s="1312">
        <v>0</v>
      </c>
      <c r="D1585" s="1313">
        <v>0</v>
      </c>
      <c r="E1585" s="1314"/>
      <c r="F1585" s="1315"/>
      <c r="G1585" s="1316">
        <f>+SUMIF(asientos!$C$13:$C$1276,SYS_4_3_Digitos!A1585,asientos!$B$13:$B$1276)</f>
        <v>0</v>
      </c>
      <c r="H1585" s="1317">
        <f>+SUMIF(asientos!$I$13:$I$1276,SYS_4_3_Digitos!A1585,asientos!$J$13:$J$1276)</f>
        <v>0</v>
      </c>
      <c r="I1585" s="1314">
        <f t="shared" si="154"/>
        <v>0</v>
      </c>
      <c r="J1585" s="1315">
        <f t="shared" si="155"/>
        <v>0</v>
      </c>
      <c r="L1585" s="1308">
        <f t="shared" si="156"/>
        <v>0</v>
      </c>
      <c r="M1585" s="1296" t="str">
        <f t="shared" si="157"/>
        <v>0</v>
      </c>
      <c r="N1585" s="1309">
        <f t="shared" si="158"/>
        <v>0</v>
      </c>
      <c r="O1585" s="1296" t="str">
        <f t="shared" si="159"/>
        <v>0</v>
      </c>
    </row>
    <row r="1586" spans="1:15" s="1296" customFormat="1" hidden="1">
      <c r="A1586" s="1310"/>
      <c r="B1586" s="1311"/>
      <c r="C1586" s="1312">
        <v>0</v>
      </c>
      <c r="D1586" s="1313">
        <v>0</v>
      </c>
      <c r="E1586" s="1314"/>
      <c r="F1586" s="1315"/>
      <c r="G1586" s="1316">
        <f>+SUMIF(asientos!$C$13:$C$1276,SYS_4_3_Digitos!A1586,asientos!$B$13:$B$1276)</f>
        <v>0</v>
      </c>
      <c r="H1586" s="1317">
        <f>+SUMIF(asientos!$I$13:$I$1276,SYS_4_3_Digitos!A1586,asientos!$J$13:$J$1276)</f>
        <v>0</v>
      </c>
      <c r="I1586" s="1314">
        <f t="shared" si="154"/>
        <v>0</v>
      </c>
      <c r="J1586" s="1315">
        <f t="shared" si="155"/>
        <v>0</v>
      </c>
      <c r="L1586" s="1308">
        <f t="shared" si="156"/>
        <v>0</v>
      </c>
      <c r="M1586" s="1296" t="str">
        <f t="shared" si="157"/>
        <v>0</v>
      </c>
      <c r="N1586" s="1309">
        <f t="shared" si="158"/>
        <v>0</v>
      </c>
      <c r="O1586" s="1296" t="str">
        <f t="shared" si="159"/>
        <v>0</v>
      </c>
    </row>
    <row r="1587" spans="1:15" s="1296" customFormat="1" hidden="1">
      <c r="A1587" s="1310"/>
      <c r="B1587" s="1311"/>
      <c r="C1587" s="1312">
        <v>0</v>
      </c>
      <c r="D1587" s="1313">
        <v>0</v>
      </c>
      <c r="E1587" s="1314"/>
      <c r="F1587" s="1315"/>
      <c r="G1587" s="1316">
        <f>+SUMIF(asientos!$C$13:$C$1276,SYS_4_3_Digitos!A1587,asientos!$B$13:$B$1276)</f>
        <v>0</v>
      </c>
      <c r="H1587" s="1317">
        <f>+SUMIF(asientos!$I$13:$I$1276,SYS_4_3_Digitos!A1587,asientos!$J$13:$J$1276)</f>
        <v>0</v>
      </c>
      <c r="I1587" s="1314">
        <f t="shared" si="154"/>
        <v>0</v>
      </c>
      <c r="J1587" s="1315">
        <f t="shared" si="155"/>
        <v>0</v>
      </c>
      <c r="L1587" s="1308">
        <f t="shared" si="156"/>
        <v>0</v>
      </c>
      <c r="M1587" s="1296" t="str">
        <f t="shared" si="157"/>
        <v>0</v>
      </c>
      <c r="N1587" s="1309">
        <f t="shared" si="158"/>
        <v>0</v>
      </c>
      <c r="O1587" s="1296" t="str">
        <f t="shared" si="159"/>
        <v>0</v>
      </c>
    </row>
    <row r="1588" spans="1:15" s="1296" customFormat="1" hidden="1">
      <c r="A1588" s="1310"/>
      <c r="B1588" s="1311"/>
      <c r="C1588" s="1312">
        <v>0</v>
      </c>
      <c r="D1588" s="1313">
        <v>0</v>
      </c>
      <c r="E1588" s="1314"/>
      <c r="F1588" s="1315"/>
      <c r="G1588" s="1316">
        <f>+SUMIF(asientos!$C$13:$C$1276,SYS_4_3_Digitos!A1588,asientos!$B$13:$B$1276)</f>
        <v>0</v>
      </c>
      <c r="H1588" s="1317">
        <f>+SUMIF(asientos!$I$13:$I$1276,SYS_4_3_Digitos!A1588,asientos!$J$13:$J$1276)</f>
        <v>0</v>
      </c>
      <c r="I1588" s="1314">
        <f t="shared" si="154"/>
        <v>0</v>
      </c>
      <c r="J1588" s="1315">
        <f t="shared" si="155"/>
        <v>0</v>
      </c>
      <c r="L1588" s="1308">
        <f t="shared" si="156"/>
        <v>0</v>
      </c>
      <c r="M1588" s="1296" t="str">
        <f t="shared" si="157"/>
        <v>0</v>
      </c>
      <c r="N1588" s="1309">
        <f t="shared" si="158"/>
        <v>0</v>
      </c>
      <c r="O1588" s="1296" t="str">
        <f t="shared" si="159"/>
        <v>0</v>
      </c>
    </row>
    <row r="1589" spans="1:15" s="1296" customFormat="1" hidden="1">
      <c r="A1589" s="1310"/>
      <c r="B1589" s="1311"/>
      <c r="C1589" s="1312">
        <v>0</v>
      </c>
      <c r="D1589" s="1313">
        <v>0</v>
      </c>
      <c r="E1589" s="1314"/>
      <c r="F1589" s="1315"/>
      <c r="G1589" s="1316">
        <f>+SUMIF(asientos!$C$13:$C$1276,SYS_4_3_Digitos!A1589,asientos!$B$13:$B$1276)</f>
        <v>0</v>
      </c>
      <c r="H1589" s="1317">
        <f>+SUMIF(asientos!$I$13:$I$1276,SYS_4_3_Digitos!A1589,asientos!$J$13:$J$1276)</f>
        <v>0</v>
      </c>
      <c r="I1589" s="1314">
        <f t="shared" si="154"/>
        <v>0</v>
      </c>
      <c r="J1589" s="1315">
        <f t="shared" si="155"/>
        <v>0</v>
      </c>
      <c r="L1589" s="1308">
        <f t="shared" si="156"/>
        <v>0</v>
      </c>
      <c r="M1589" s="1296" t="str">
        <f t="shared" si="157"/>
        <v>0</v>
      </c>
      <c r="N1589" s="1309">
        <f t="shared" si="158"/>
        <v>0</v>
      </c>
      <c r="O1589" s="1296" t="str">
        <f t="shared" si="159"/>
        <v>0</v>
      </c>
    </row>
    <row r="1590" spans="1:15" s="1296" customFormat="1" hidden="1">
      <c r="A1590" s="1310"/>
      <c r="B1590" s="1311"/>
      <c r="C1590" s="1312">
        <v>0</v>
      </c>
      <c r="D1590" s="1313">
        <v>0</v>
      </c>
      <c r="E1590" s="1314"/>
      <c r="F1590" s="1315"/>
      <c r="G1590" s="1316">
        <f>+SUMIF(asientos!$C$13:$C$1276,SYS_4_3_Digitos!A1590,asientos!$B$13:$B$1276)</f>
        <v>0</v>
      </c>
      <c r="H1590" s="1317">
        <f>+SUMIF(asientos!$I$13:$I$1276,SYS_4_3_Digitos!A1590,asientos!$J$13:$J$1276)</f>
        <v>0</v>
      </c>
      <c r="I1590" s="1314">
        <f t="shared" si="154"/>
        <v>0</v>
      </c>
      <c r="J1590" s="1315">
        <f t="shared" si="155"/>
        <v>0</v>
      </c>
      <c r="L1590" s="1308">
        <f t="shared" si="156"/>
        <v>0</v>
      </c>
      <c r="M1590" s="1296" t="str">
        <f t="shared" si="157"/>
        <v>0</v>
      </c>
      <c r="N1590" s="1309">
        <f t="shared" si="158"/>
        <v>0</v>
      </c>
      <c r="O1590" s="1296" t="str">
        <f t="shared" si="159"/>
        <v>0</v>
      </c>
    </row>
    <row r="1591" spans="1:15" s="1296" customFormat="1" hidden="1">
      <c r="A1591" s="1310"/>
      <c r="B1591" s="1311"/>
      <c r="C1591" s="1312">
        <v>0</v>
      </c>
      <c r="D1591" s="1313">
        <v>0</v>
      </c>
      <c r="E1591" s="1314"/>
      <c r="F1591" s="1315"/>
      <c r="G1591" s="1316">
        <f>+SUMIF(asientos!$C$13:$C$1276,SYS_4_3_Digitos!A1591,asientos!$B$13:$B$1276)</f>
        <v>0</v>
      </c>
      <c r="H1591" s="1317">
        <f>+SUMIF(asientos!$I$13:$I$1276,SYS_4_3_Digitos!A1591,asientos!$J$13:$J$1276)</f>
        <v>0</v>
      </c>
      <c r="I1591" s="1314">
        <f t="shared" si="154"/>
        <v>0</v>
      </c>
      <c r="J1591" s="1315">
        <f t="shared" si="155"/>
        <v>0</v>
      </c>
      <c r="L1591" s="1308">
        <f t="shared" si="156"/>
        <v>0</v>
      </c>
      <c r="M1591" s="1296" t="str">
        <f t="shared" si="157"/>
        <v>0</v>
      </c>
      <c r="N1591" s="1309">
        <f t="shared" si="158"/>
        <v>0</v>
      </c>
      <c r="O1591" s="1296" t="str">
        <f t="shared" si="159"/>
        <v>0</v>
      </c>
    </row>
    <row r="1592" spans="1:15" s="1296" customFormat="1" hidden="1">
      <c r="A1592" s="1310"/>
      <c r="B1592" s="1311"/>
      <c r="C1592" s="1312">
        <v>0</v>
      </c>
      <c r="D1592" s="1313">
        <v>0</v>
      </c>
      <c r="E1592" s="1314"/>
      <c r="F1592" s="1315"/>
      <c r="G1592" s="1316">
        <f>+SUMIF(asientos!$C$13:$C$1276,SYS_4_3_Digitos!A1592,asientos!$B$13:$B$1276)</f>
        <v>0</v>
      </c>
      <c r="H1592" s="1317">
        <f>+SUMIF(asientos!$I$13:$I$1276,SYS_4_3_Digitos!A1592,asientos!$J$13:$J$1276)</f>
        <v>0</v>
      </c>
      <c r="I1592" s="1314">
        <f t="shared" si="154"/>
        <v>0</v>
      </c>
      <c r="J1592" s="1315">
        <f t="shared" si="155"/>
        <v>0</v>
      </c>
      <c r="L1592" s="1308">
        <f t="shared" si="156"/>
        <v>0</v>
      </c>
      <c r="M1592" s="1296" t="str">
        <f t="shared" si="157"/>
        <v>0</v>
      </c>
      <c r="N1592" s="1309">
        <f t="shared" si="158"/>
        <v>0</v>
      </c>
      <c r="O1592" s="1296" t="str">
        <f t="shared" si="159"/>
        <v>0</v>
      </c>
    </row>
    <row r="1593" spans="1:15" s="1296" customFormat="1" hidden="1">
      <c r="A1593" s="1310"/>
      <c r="B1593" s="1311"/>
      <c r="C1593" s="1312">
        <v>0</v>
      </c>
      <c r="D1593" s="1313">
        <v>0</v>
      </c>
      <c r="E1593" s="1314"/>
      <c r="F1593" s="1315"/>
      <c r="G1593" s="1316">
        <f>+SUMIF(asientos!$C$13:$C$1276,SYS_4_3_Digitos!A1593,asientos!$B$13:$B$1276)</f>
        <v>0</v>
      </c>
      <c r="H1593" s="1317">
        <f>+SUMIF(asientos!$I$13:$I$1276,SYS_4_3_Digitos!A1593,asientos!$J$13:$J$1276)</f>
        <v>0</v>
      </c>
      <c r="I1593" s="1314">
        <f t="shared" si="154"/>
        <v>0</v>
      </c>
      <c r="J1593" s="1315">
        <f t="shared" si="155"/>
        <v>0</v>
      </c>
      <c r="L1593" s="1308">
        <f t="shared" si="156"/>
        <v>0</v>
      </c>
      <c r="M1593" s="1296" t="str">
        <f t="shared" si="157"/>
        <v>0</v>
      </c>
      <c r="N1593" s="1309">
        <f t="shared" si="158"/>
        <v>0</v>
      </c>
      <c r="O1593" s="1296" t="str">
        <f t="shared" si="159"/>
        <v>0</v>
      </c>
    </row>
    <row r="1594" spans="1:15" s="1296" customFormat="1" hidden="1">
      <c r="A1594" s="1310"/>
      <c r="B1594" s="1311"/>
      <c r="C1594" s="1312">
        <v>0</v>
      </c>
      <c r="D1594" s="1313">
        <v>0</v>
      </c>
      <c r="E1594" s="1314"/>
      <c r="F1594" s="1315"/>
      <c r="G1594" s="1316">
        <f>+SUMIF(asientos!$C$13:$C$1276,SYS_4_3_Digitos!A1594,asientos!$B$13:$B$1276)</f>
        <v>0</v>
      </c>
      <c r="H1594" s="1317">
        <f>+SUMIF(asientos!$I$13:$I$1276,SYS_4_3_Digitos!A1594,asientos!$J$13:$J$1276)</f>
        <v>0</v>
      </c>
      <c r="I1594" s="1314">
        <f t="shared" si="154"/>
        <v>0</v>
      </c>
      <c r="J1594" s="1315">
        <f t="shared" si="155"/>
        <v>0</v>
      </c>
      <c r="L1594" s="1308">
        <f t="shared" si="156"/>
        <v>0</v>
      </c>
      <c r="M1594" s="1296" t="str">
        <f t="shared" si="157"/>
        <v>0</v>
      </c>
      <c r="N1594" s="1309">
        <f t="shared" si="158"/>
        <v>0</v>
      </c>
      <c r="O1594" s="1296" t="str">
        <f t="shared" si="159"/>
        <v>0</v>
      </c>
    </row>
    <row r="1595" spans="1:15" s="1296" customFormat="1" hidden="1">
      <c r="A1595" s="1310"/>
      <c r="B1595" s="1311"/>
      <c r="C1595" s="1312">
        <v>0</v>
      </c>
      <c r="D1595" s="1313">
        <v>0</v>
      </c>
      <c r="E1595" s="1314"/>
      <c r="F1595" s="1315"/>
      <c r="G1595" s="1316">
        <f>+SUMIF(asientos!$C$13:$C$1276,SYS_4_3_Digitos!A1595,asientos!$B$13:$B$1276)</f>
        <v>0</v>
      </c>
      <c r="H1595" s="1317">
        <f>+SUMIF(asientos!$I$13:$I$1276,SYS_4_3_Digitos!A1595,asientos!$J$13:$J$1276)</f>
        <v>0</v>
      </c>
      <c r="I1595" s="1314">
        <f t="shared" si="154"/>
        <v>0</v>
      </c>
      <c r="J1595" s="1315">
        <f t="shared" si="155"/>
        <v>0</v>
      </c>
      <c r="L1595" s="1308">
        <f t="shared" si="156"/>
        <v>0</v>
      </c>
      <c r="M1595" s="1296" t="str">
        <f t="shared" si="157"/>
        <v>0</v>
      </c>
      <c r="N1595" s="1309">
        <f t="shared" si="158"/>
        <v>0</v>
      </c>
      <c r="O1595" s="1296" t="str">
        <f t="shared" si="159"/>
        <v>0</v>
      </c>
    </row>
    <row r="1596" spans="1:15" s="1296" customFormat="1" hidden="1">
      <c r="A1596" s="1310"/>
      <c r="B1596" s="1311"/>
      <c r="C1596" s="1312">
        <v>0</v>
      </c>
      <c r="D1596" s="1313">
        <v>0</v>
      </c>
      <c r="E1596" s="1314"/>
      <c r="F1596" s="1315"/>
      <c r="G1596" s="1316">
        <f>+SUMIF(asientos!$C$13:$C$1276,SYS_4_3_Digitos!A1596,asientos!$B$13:$B$1276)</f>
        <v>0</v>
      </c>
      <c r="H1596" s="1317">
        <f>+SUMIF(asientos!$I$13:$I$1276,SYS_4_3_Digitos!A1596,asientos!$J$13:$J$1276)</f>
        <v>0</v>
      </c>
      <c r="I1596" s="1314">
        <f t="shared" si="154"/>
        <v>0</v>
      </c>
      <c r="J1596" s="1315">
        <f t="shared" si="155"/>
        <v>0</v>
      </c>
      <c r="L1596" s="1308">
        <f t="shared" si="156"/>
        <v>0</v>
      </c>
      <c r="M1596" s="1296" t="str">
        <f t="shared" si="157"/>
        <v>0</v>
      </c>
      <c r="N1596" s="1309">
        <f t="shared" si="158"/>
        <v>0</v>
      </c>
      <c r="O1596" s="1296" t="str">
        <f t="shared" si="159"/>
        <v>0</v>
      </c>
    </row>
    <row r="1597" spans="1:15" s="1296" customFormat="1" hidden="1">
      <c r="A1597" s="1310"/>
      <c r="B1597" s="1311"/>
      <c r="C1597" s="1312">
        <v>0</v>
      </c>
      <c r="D1597" s="1313">
        <v>0</v>
      </c>
      <c r="E1597" s="1314"/>
      <c r="F1597" s="1315"/>
      <c r="G1597" s="1316">
        <f>+SUMIF(asientos!$C$13:$C$1276,SYS_4_3_Digitos!A1597,asientos!$B$13:$B$1276)</f>
        <v>0</v>
      </c>
      <c r="H1597" s="1317">
        <f>+SUMIF(asientos!$I$13:$I$1276,SYS_4_3_Digitos!A1597,asientos!$J$13:$J$1276)</f>
        <v>0</v>
      </c>
      <c r="I1597" s="1314">
        <f t="shared" si="154"/>
        <v>0</v>
      </c>
      <c r="J1597" s="1315">
        <f t="shared" si="155"/>
        <v>0</v>
      </c>
      <c r="L1597" s="1308">
        <f t="shared" si="156"/>
        <v>0</v>
      </c>
      <c r="M1597" s="1296" t="str">
        <f t="shared" si="157"/>
        <v>0</v>
      </c>
      <c r="N1597" s="1309">
        <f t="shared" si="158"/>
        <v>0</v>
      </c>
      <c r="O1597" s="1296" t="str">
        <f t="shared" si="159"/>
        <v>0</v>
      </c>
    </row>
    <row r="1598" spans="1:15" s="1296" customFormat="1" hidden="1">
      <c r="A1598" s="1310"/>
      <c r="B1598" s="1311"/>
      <c r="C1598" s="1312">
        <v>0</v>
      </c>
      <c r="D1598" s="1313">
        <v>0</v>
      </c>
      <c r="E1598" s="1314"/>
      <c r="F1598" s="1315"/>
      <c r="G1598" s="1316">
        <f>+SUMIF(asientos!$C$13:$C$1276,SYS_4_3_Digitos!A1598,asientos!$B$13:$B$1276)</f>
        <v>0</v>
      </c>
      <c r="H1598" s="1317">
        <f>+SUMIF(asientos!$I$13:$I$1276,SYS_4_3_Digitos!A1598,asientos!$J$13:$J$1276)</f>
        <v>0</v>
      </c>
      <c r="I1598" s="1314">
        <f t="shared" si="154"/>
        <v>0</v>
      </c>
      <c r="J1598" s="1315">
        <f t="shared" si="155"/>
        <v>0</v>
      </c>
      <c r="L1598" s="1308">
        <f t="shared" si="156"/>
        <v>0</v>
      </c>
      <c r="M1598" s="1296" t="str">
        <f t="shared" si="157"/>
        <v>0</v>
      </c>
      <c r="N1598" s="1309">
        <f t="shared" si="158"/>
        <v>0</v>
      </c>
      <c r="O1598" s="1296" t="str">
        <f t="shared" si="159"/>
        <v>0</v>
      </c>
    </row>
    <row r="1599" spans="1:15" s="1296" customFormat="1" hidden="1">
      <c r="A1599" s="1310"/>
      <c r="B1599" s="1311"/>
      <c r="C1599" s="1312">
        <v>0</v>
      </c>
      <c r="D1599" s="1313">
        <v>0</v>
      </c>
      <c r="E1599" s="1314"/>
      <c r="F1599" s="1315"/>
      <c r="G1599" s="1316">
        <f>+SUMIF(asientos!$C$13:$C$1276,SYS_4_3_Digitos!A1599,asientos!$B$13:$B$1276)</f>
        <v>0</v>
      </c>
      <c r="H1599" s="1317">
        <f>+SUMIF(asientos!$I$13:$I$1276,SYS_4_3_Digitos!A1599,asientos!$J$13:$J$1276)</f>
        <v>0</v>
      </c>
      <c r="I1599" s="1314">
        <f t="shared" si="154"/>
        <v>0</v>
      </c>
      <c r="J1599" s="1315">
        <f t="shared" si="155"/>
        <v>0</v>
      </c>
      <c r="L1599" s="1308">
        <f t="shared" si="156"/>
        <v>0</v>
      </c>
      <c r="M1599" s="1296" t="str">
        <f t="shared" si="157"/>
        <v>0</v>
      </c>
      <c r="N1599" s="1309">
        <f t="shared" si="158"/>
        <v>0</v>
      </c>
      <c r="O1599" s="1296" t="str">
        <f t="shared" si="159"/>
        <v>0</v>
      </c>
    </row>
    <row r="1600" spans="1:15" s="1296" customFormat="1" hidden="1">
      <c r="A1600" s="1310"/>
      <c r="B1600" s="1311"/>
      <c r="C1600" s="1312">
        <v>0</v>
      </c>
      <c r="D1600" s="1313">
        <v>0</v>
      </c>
      <c r="E1600" s="1314"/>
      <c r="F1600" s="1315"/>
      <c r="G1600" s="1316">
        <f>+SUMIF(asientos!$C$13:$C$1276,SYS_4_3_Digitos!A1600,asientos!$B$13:$B$1276)</f>
        <v>0</v>
      </c>
      <c r="H1600" s="1317">
        <f>+SUMIF(asientos!$I$13:$I$1276,SYS_4_3_Digitos!A1600,asientos!$J$13:$J$1276)</f>
        <v>0</v>
      </c>
      <c r="I1600" s="1314">
        <f t="shared" si="154"/>
        <v>0</v>
      </c>
      <c r="J1600" s="1315">
        <f t="shared" si="155"/>
        <v>0</v>
      </c>
      <c r="L1600" s="1308">
        <f t="shared" si="156"/>
        <v>0</v>
      </c>
      <c r="M1600" s="1296" t="str">
        <f t="shared" si="157"/>
        <v>0</v>
      </c>
      <c r="N1600" s="1309">
        <f t="shared" si="158"/>
        <v>0</v>
      </c>
      <c r="O1600" s="1296" t="str">
        <f t="shared" si="159"/>
        <v>0</v>
      </c>
    </row>
    <row r="1601" spans="1:15" s="1296" customFormat="1" hidden="1">
      <c r="A1601" s="1310"/>
      <c r="B1601" s="1311"/>
      <c r="C1601" s="1312">
        <v>0</v>
      </c>
      <c r="D1601" s="1313">
        <v>0</v>
      </c>
      <c r="E1601" s="1314"/>
      <c r="F1601" s="1315"/>
      <c r="G1601" s="1316">
        <f>+SUMIF(asientos!$C$13:$C$1276,SYS_4_3_Digitos!A1601,asientos!$B$13:$B$1276)</f>
        <v>0</v>
      </c>
      <c r="H1601" s="1317">
        <f>+SUMIF(asientos!$I$13:$I$1276,SYS_4_3_Digitos!A1601,asientos!$J$13:$J$1276)</f>
        <v>0</v>
      </c>
      <c r="I1601" s="1314">
        <f t="shared" si="154"/>
        <v>0</v>
      </c>
      <c r="J1601" s="1315">
        <f t="shared" si="155"/>
        <v>0</v>
      </c>
      <c r="L1601" s="1308">
        <f t="shared" si="156"/>
        <v>0</v>
      </c>
      <c r="M1601" s="1296" t="str">
        <f t="shared" si="157"/>
        <v>0</v>
      </c>
      <c r="N1601" s="1309">
        <f t="shared" si="158"/>
        <v>0</v>
      </c>
      <c r="O1601" s="1296" t="str">
        <f t="shared" si="159"/>
        <v>0</v>
      </c>
    </row>
    <row r="1602" spans="1:15" s="1296" customFormat="1" hidden="1">
      <c r="A1602" s="1310"/>
      <c r="B1602" s="1311"/>
      <c r="C1602" s="1312">
        <v>0</v>
      </c>
      <c r="D1602" s="1313">
        <v>0</v>
      </c>
      <c r="E1602" s="1314"/>
      <c r="F1602" s="1315"/>
      <c r="G1602" s="1316">
        <f>+SUMIF(asientos!$C$13:$C$1276,SYS_4_3_Digitos!A1602,asientos!$B$13:$B$1276)</f>
        <v>0</v>
      </c>
      <c r="H1602" s="1317">
        <f>+SUMIF(asientos!$I$13:$I$1276,SYS_4_3_Digitos!A1602,asientos!$J$13:$J$1276)</f>
        <v>0</v>
      </c>
      <c r="I1602" s="1314">
        <f t="shared" si="154"/>
        <v>0</v>
      </c>
      <c r="J1602" s="1315">
        <f t="shared" si="155"/>
        <v>0</v>
      </c>
      <c r="L1602" s="1308">
        <f t="shared" si="156"/>
        <v>0</v>
      </c>
      <c r="M1602" s="1296" t="str">
        <f t="shared" si="157"/>
        <v>0</v>
      </c>
      <c r="N1602" s="1309">
        <f t="shared" si="158"/>
        <v>0</v>
      </c>
      <c r="O1602" s="1296" t="str">
        <f t="shared" si="159"/>
        <v>0</v>
      </c>
    </row>
    <row r="1603" spans="1:15" s="1296" customFormat="1" hidden="1">
      <c r="A1603" s="1310"/>
      <c r="B1603" s="1311"/>
      <c r="C1603" s="1312">
        <v>0</v>
      </c>
      <c r="D1603" s="1313">
        <v>0</v>
      </c>
      <c r="E1603" s="1314"/>
      <c r="F1603" s="1315"/>
      <c r="G1603" s="1316">
        <f>+SUMIF(asientos!$C$13:$C$1276,SYS_4_3_Digitos!A1603,asientos!$B$13:$B$1276)</f>
        <v>0</v>
      </c>
      <c r="H1603" s="1317">
        <f>+SUMIF(asientos!$I$13:$I$1276,SYS_4_3_Digitos!A1603,asientos!$J$13:$J$1276)</f>
        <v>0</v>
      </c>
      <c r="I1603" s="1314">
        <f t="shared" si="154"/>
        <v>0</v>
      </c>
      <c r="J1603" s="1315">
        <f t="shared" si="155"/>
        <v>0</v>
      </c>
      <c r="L1603" s="1308">
        <f t="shared" si="156"/>
        <v>0</v>
      </c>
      <c r="M1603" s="1296" t="str">
        <f t="shared" si="157"/>
        <v>0</v>
      </c>
      <c r="N1603" s="1309">
        <f t="shared" si="158"/>
        <v>0</v>
      </c>
      <c r="O1603" s="1296" t="str">
        <f t="shared" si="159"/>
        <v>0</v>
      </c>
    </row>
    <row r="1604" spans="1:15" s="1296" customFormat="1" hidden="1">
      <c r="A1604" s="1310"/>
      <c r="B1604" s="1311"/>
      <c r="C1604" s="1312">
        <v>0</v>
      </c>
      <c r="D1604" s="1313">
        <v>0</v>
      </c>
      <c r="E1604" s="1314"/>
      <c r="F1604" s="1315"/>
      <c r="G1604" s="1316">
        <f>+SUMIF(asientos!$C$13:$C$1276,SYS_4_3_Digitos!A1604,asientos!$B$13:$B$1276)</f>
        <v>0</v>
      </c>
      <c r="H1604" s="1317">
        <f>+SUMIF(asientos!$I$13:$I$1276,SYS_4_3_Digitos!A1604,asientos!$J$13:$J$1276)</f>
        <v>0</v>
      </c>
      <c r="I1604" s="1314">
        <f t="shared" si="154"/>
        <v>0</v>
      </c>
      <c r="J1604" s="1315">
        <f t="shared" si="155"/>
        <v>0</v>
      </c>
      <c r="L1604" s="1308">
        <f t="shared" si="156"/>
        <v>0</v>
      </c>
      <c r="M1604" s="1296" t="str">
        <f t="shared" si="157"/>
        <v>0</v>
      </c>
      <c r="N1604" s="1309">
        <f t="shared" si="158"/>
        <v>0</v>
      </c>
      <c r="O1604" s="1296" t="str">
        <f t="shared" si="159"/>
        <v>0</v>
      </c>
    </row>
    <row r="1605" spans="1:15" s="1296" customFormat="1" hidden="1">
      <c r="A1605" s="1310"/>
      <c r="B1605" s="1311"/>
      <c r="C1605" s="1312">
        <v>0</v>
      </c>
      <c r="D1605" s="1313">
        <v>0</v>
      </c>
      <c r="E1605" s="1314"/>
      <c r="F1605" s="1315"/>
      <c r="G1605" s="1316">
        <f>+SUMIF(asientos!$C$13:$C$1276,SYS_4_3_Digitos!A1605,asientos!$B$13:$B$1276)</f>
        <v>0</v>
      </c>
      <c r="H1605" s="1317">
        <f>+SUMIF(asientos!$I$13:$I$1276,SYS_4_3_Digitos!A1605,asientos!$J$13:$J$1276)</f>
        <v>0</v>
      </c>
      <c r="I1605" s="1314">
        <f t="shared" si="154"/>
        <v>0</v>
      </c>
      <c r="J1605" s="1315">
        <f t="shared" si="155"/>
        <v>0</v>
      </c>
      <c r="L1605" s="1308">
        <f t="shared" si="156"/>
        <v>0</v>
      </c>
      <c r="M1605" s="1296" t="str">
        <f t="shared" si="157"/>
        <v>0</v>
      </c>
      <c r="N1605" s="1309">
        <f t="shared" si="158"/>
        <v>0</v>
      </c>
      <c r="O1605" s="1296" t="str">
        <f t="shared" si="159"/>
        <v>0</v>
      </c>
    </row>
    <row r="1606" spans="1:15" s="1296" customFormat="1" hidden="1">
      <c r="A1606" s="1310"/>
      <c r="B1606" s="1311"/>
      <c r="C1606" s="1312">
        <v>0</v>
      </c>
      <c r="D1606" s="1313">
        <v>0</v>
      </c>
      <c r="E1606" s="1314"/>
      <c r="F1606" s="1315"/>
      <c r="G1606" s="1316">
        <f>+SUMIF(asientos!$C$13:$C$1276,SYS_4_3_Digitos!A1606,asientos!$B$13:$B$1276)</f>
        <v>0</v>
      </c>
      <c r="H1606" s="1317">
        <f>+SUMIF(asientos!$I$13:$I$1276,SYS_4_3_Digitos!A1606,asientos!$J$13:$J$1276)</f>
        <v>0</v>
      </c>
      <c r="I1606" s="1314">
        <f t="shared" si="154"/>
        <v>0</v>
      </c>
      <c r="J1606" s="1315">
        <f t="shared" si="155"/>
        <v>0</v>
      </c>
      <c r="L1606" s="1308">
        <f t="shared" si="156"/>
        <v>0</v>
      </c>
      <c r="M1606" s="1296" t="str">
        <f t="shared" si="157"/>
        <v>0</v>
      </c>
      <c r="N1606" s="1309">
        <f t="shared" si="158"/>
        <v>0</v>
      </c>
      <c r="O1606" s="1296" t="str">
        <f t="shared" si="159"/>
        <v>0</v>
      </c>
    </row>
    <row r="1607" spans="1:15" s="1296" customFormat="1" hidden="1">
      <c r="A1607" s="1310"/>
      <c r="B1607" s="1311"/>
      <c r="C1607" s="1312">
        <v>0</v>
      </c>
      <c r="D1607" s="1313">
        <v>0</v>
      </c>
      <c r="E1607" s="1314"/>
      <c r="F1607" s="1315"/>
      <c r="G1607" s="1316">
        <f>+SUMIF(asientos!$C$13:$C$1276,SYS_4_3_Digitos!A1607,asientos!$B$13:$B$1276)</f>
        <v>0</v>
      </c>
      <c r="H1607" s="1317">
        <f>+SUMIF(asientos!$I$13:$I$1276,SYS_4_3_Digitos!A1607,asientos!$J$13:$J$1276)</f>
        <v>0</v>
      </c>
      <c r="I1607" s="1314">
        <f t="shared" si="154"/>
        <v>0</v>
      </c>
      <c r="J1607" s="1315">
        <f t="shared" si="155"/>
        <v>0</v>
      </c>
      <c r="L1607" s="1308">
        <f t="shared" si="156"/>
        <v>0</v>
      </c>
      <c r="M1607" s="1296" t="str">
        <f t="shared" si="157"/>
        <v>0</v>
      </c>
      <c r="N1607" s="1309">
        <f t="shared" si="158"/>
        <v>0</v>
      </c>
      <c r="O1607" s="1296" t="str">
        <f t="shared" si="159"/>
        <v>0</v>
      </c>
    </row>
    <row r="1608" spans="1:15" s="1296" customFormat="1" hidden="1">
      <c r="A1608" s="1310"/>
      <c r="B1608" s="1311"/>
      <c r="C1608" s="1312">
        <v>0</v>
      </c>
      <c r="D1608" s="1313">
        <v>0</v>
      </c>
      <c r="E1608" s="1314"/>
      <c r="F1608" s="1315"/>
      <c r="G1608" s="1316">
        <f>+SUMIF(asientos!$C$13:$C$1276,SYS_4_3_Digitos!A1608,asientos!$B$13:$B$1276)</f>
        <v>0</v>
      </c>
      <c r="H1608" s="1317">
        <f>+SUMIF(asientos!$I$13:$I$1276,SYS_4_3_Digitos!A1608,asientos!$J$13:$J$1276)</f>
        <v>0</v>
      </c>
      <c r="I1608" s="1314">
        <f t="shared" si="154"/>
        <v>0</v>
      </c>
      <c r="J1608" s="1315">
        <f t="shared" si="155"/>
        <v>0</v>
      </c>
      <c r="L1608" s="1308">
        <f t="shared" si="156"/>
        <v>0</v>
      </c>
      <c r="M1608" s="1296" t="str">
        <f t="shared" si="157"/>
        <v>0</v>
      </c>
      <c r="N1608" s="1309">
        <f t="shared" si="158"/>
        <v>0</v>
      </c>
      <c r="O1608" s="1296" t="str">
        <f t="shared" si="159"/>
        <v>0</v>
      </c>
    </row>
    <row r="1609" spans="1:15" s="1296" customFormat="1" hidden="1">
      <c r="A1609" s="1310"/>
      <c r="B1609" s="1311"/>
      <c r="C1609" s="1312">
        <v>0</v>
      </c>
      <c r="D1609" s="1313">
        <v>0</v>
      </c>
      <c r="E1609" s="1314"/>
      <c r="F1609" s="1315"/>
      <c r="G1609" s="1316">
        <f>+SUMIF(asientos!$C$13:$C$1276,SYS_4_3_Digitos!A1609,asientos!$B$13:$B$1276)</f>
        <v>0</v>
      </c>
      <c r="H1609" s="1317">
        <f>+SUMIF(asientos!$I$13:$I$1276,SYS_4_3_Digitos!A1609,asientos!$J$13:$J$1276)</f>
        <v>0</v>
      </c>
      <c r="I1609" s="1314">
        <f t="shared" si="154"/>
        <v>0</v>
      </c>
      <c r="J1609" s="1315">
        <f t="shared" si="155"/>
        <v>0</v>
      </c>
      <c r="L1609" s="1308">
        <f t="shared" si="156"/>
        <v>0</v>
      </c>
      <c r="M1609" s="1296" t="str">
        <f t="shared" si="157"/>
        <v>0</v>
      </c>
      <c r="N1609" s="1309">
        <f t="shared" si="158"/>
        <v>0</v>
      </c>
      <c r="O1609" s="1296" t="str">
        <f t="shared" si="159"/>
        <v>0</v>
      </c>
    </row>
    <row r="1610" spans="1:15" s="1296" customFormat="1" hidden="1">
      <c r="A1610" s="1310"/>
      <c r="B1610" s="1311"/>
      <c r="C1610" s="1312">
        <v>0</v>
      </c>
      <c r="D1610" s="1313">
        <v>0</v>
      </c>
      <c r="E1610" s="1314"/>
      <c r="F1610" s="1315"/>
      <c r="G1610" s="1316">
        <f>+SUMIF(asientos!$C$13:$C$1276,SYS_4_3_Digitos!A1610,asientos!$B$13:$B$1276)</f>
        <v>0</v>
      </c>
      <c r="H1610" s="1317">
        <f>+SUMIF(asientos!$I$13:$I$1276,SYS_4_3_Digitos!A1610,asientos!$J$13:$J$1276)</f>
        <v>0</v>
      </c>
      <c r="I1610" s="1314">
        <f t="shared" si="154"/>
        <v>0</v>
      </c>
      <c r="J1610" s="1315">
        <f t="shared" si="155"/>
        <v>0</v>
      </c>
      <c r="L1610" s="1308">
        <f t="shared" si="156"/>
        <v>0</v>
      </c>
      <c r="M1610" s="1296" t="str">
        <f t="shared" si="157"/>
        <v>0</v>
      </c>
      <c r="N1610" s="1309">
        <f t="shared" si="158"/>
        <v>0</v>
      </c>
      <c r="O1610" s="1296" t="str">
        <f t="shared" si="159"/>
        <v>0</v>
      </c>
    </row>
    <row r="1611" spans="1:15" s="1296" customFormat="1" hidden="1">
      <c r="A1611" s="1310"/>
      <c r="B1611" s="1311"/>
      <c r="C1611" s="1312">
        <v>0</v>
      </c>
      <c r="D1611" s="1313">
        <v>0</v>
      </c>
      <c r="E1611" s="1314"/>
      <c r="F1611" s="1315"/>
      <c r="G1611" s="1316">
        <f>+SUMIF(asientos!$C$13:$C$1276,SYS_4_3_Digitos!A1611,asientos!$B$13:$B$1276)</f>
        <v>0</v>
      </c>
      <c r="H1611" s="1317">
        <f>+SUMIF(asientos!$I$13:$I$1276,SYS_4_3_Digitos!A1611,asientos!$J$13:$J$1276)</f>
        <v>0</v>
      </c>
      <c r="I1611" s="1314">
        <f t="shared" si="154"/>
        <v>0</v>
      </c>
      <c r="J1611" s="1315">
        <f t="shared" si="155"/>
        <v>0</v>
      </c>
      <c r="L1611" s="1308">
        <f t="shared" si="156"/>
        <v>0</v>
      </c>
      <c r="M1611" s="1296" t="str">
        <f t="shared" si="157"/>
        <v>0</v>
      </c>
      <c r="N1611" s="1309">
        <f t="shared" si="158"/>
        <v>0</v>
      </c>
      <c r="O1611" s="1296" t="str">
        <f t="shared" si="159"/>
        <v>0</v>
      </c>
    </row>
    <row r="1612" spans="1:15" s="1296" customFormat="1" hidden="1">
      <c r="A1612" s="1310"/>
      <c r="B1612" s="1311"/>
      <c r="C1612" s="1312">
        <v>0</v>
      </c>
      <c r="D1612" s="1313">
        <v>0</v>
      </c>
      <c r="E1612" s="1314"/>
      <c r="F1612" s="1315"/>
      <c r="G1612" s="1316">
        <f>+SUMIF(asientos!$C$13:$C$1276,SYS_4_3_Digitos!A1612,asientos!$B$13:$B$1276)</f>
        <v>0</v>
      </c>
      <c r="H1612" s="1317">
        <f>+SUMIF(asientos!$I$13:$I$1276,SYS_4_3_Digitos!A1612,asientos!$J$13:$J$1276)</f>
        <v>0</v>
      </c>
      <c r="I1612" s="1314">
        <f t="shared" si="154"/>
        <v>0</v>
      </c>
      <c r="J1612" s="1315">
        <f t="shared" si="155"/>
        <v>0</v>
      </c>
      <c r="L1612" s="1308">
        <f t="shared" si="156"/>
        <v>0</v>
      </c>
      <c r="M1612" s="1296" t="str">
        <f t="shared" si="157"/>
        <v>0</v>
      </c>
      <c r="N1612" s="1309">
        <f t="shared" si="158"/>
        <v>0</v>
      </c>
      <c r="O1612" s="1296" t="str">
        <f t="shared" si="159"/>
        <v>0</v>
      </c>
    </row>
    <row r="1613" spans="1:15" s="1296" customFormat="1" hidden="1">
      <c r="A1613" s="1310"/>
      <c r="B1613" s="1311"/>
      <c r="C1613" s="1312">
        <v>0</v>
      </c>
      <c r="D1613" s="1313">
        <v>0</v>
      </c>
      <c r="E1613" s="1314"/>
      <c r="F1613" s="1315"/>
      <c r="G1613" s="1316">
        <f>+SUMIF(asientos!$C$13:$C$1276,SYS_4_3_Digitos!A1613,asientos!$B$13:$B$1276)</f>
        <v>0</v>
      </c>
      <c r="H1613" s="1317">
        <f>+SUMIF(asientos!$I$13:$I$1276,SYS_4_3_Digitos!A1613,asientos!$J$13:$J$1276)</f>
        <v>0</v>
      </c>
      <c r="I1613" s="1314">
        <f t="shared" si="154"/>
        <v>0</v>
      </c>
      <c r="J1613" s="1315">
        <f t="shared" si="155"/>
        <v>0</v>
      </c>
      <c r="L1613" s="1308">
        <f t="shared" si="156"/>
        <v>0</v>
      </c>
      <c r="M1613" s="1296" t="str">
        <f t="shared" si="157"/>
        <v>0</v>
      </c>
      <c r="N1613" s="1309">
        <f t="shared" si="158"/>
        <v>0</v>
      </c>
      <c r="O1613" s="1296" t="str">
        <f t="shared" si="159"/>
        <v>0</v>
      </c>
    </row>
    <row r="1614" spans="1:15" s="1296" customFormat="1" hidden="1">
      <c r="A1614" s="1310"/>
      <c r="B1614" s="1311"/>
      <c r="C1614" s="1312">
        <v>0</v>
      </c>
      <c r="D1614" s="1313">
        <v>0</v>
      </c>
      <c r="E1614" s="1314"/>
      <c r="F1614" s="1315"/>
      <c r="G1614" s="1316">
        <f>+SUMIF(asientos!$C$13:$C$1276,SYS_4_3_Digitos!A1614,asientos!$B$13:$B$1276)</f>
        <v>0</v>
      </c>
      <c r="H1614" s="1317">
        <f>+SUMIF(asientos!$I$13:$I$1276,SYS_4_3_Digitos!A1614,asientos!$J$13:$J$1276)</f>
        <v>0</v>
      </c>
      <c r="I1614" s="1314">
        <f t="shared" si="154"/>
        <v>0</v>
      </c>
      <c r="J1614" s="1315">
        <f t="shared" si="155"/>
        <v>0</v>
      </c>
      <c r="L1614" s="1308">
        <f t="shared" si="156"/>
        <v>0</v>
      </c>
      <c r="M1614" s="1296" t="str">
        <f t="shared" si="157"/>
        <v>0</v>
      </c>
      <c r="N1614" s="1309">
        <f t="shared" si="158"/>
        <v>0</v>
      </c>
      <c r="O1614" s="1296" t="str">
        <f t="shared" si="159"/>
        <v>0</v>
      </c>
    </row>
    <row r="1615" spans="1:15" s="1296" customFormat="1" hidden="1">
      <c r="A1615" s="1310"/>
      <c r="B1615" s="1311"/>
      <c r="C1615" s="1312">
        <v>0</v>
      </c>
      <c r="D1615" s="1313">
        <v>0</v>
      </c>
      <c r="E1615" s="1314"/>
      <c r="F1615" s="1315"/>
      <c r="G1615" s="1316">
        <f>+SUMIF(asientos!$C$13:$C$1276,SYS_4_3_Digitos!A1615,asientos!$B$13:$B$1276)</f>
        <v>0</v>
      </c>
      <c r="H1615" s="1317">
        <f>+SUMIF(asientos!$I$13:$I$1276,SYS_4_3_Digitos!A1615,asientos!$J$13:$J$1276)</f>
        <v>0</v>
      </c>
      <c r="I1615" s="1314">
        <f t="shared" si="154"/>
        <v>0</v>
      </c>
      <c r="J1615" s="1315">
        <f t="shared" si="155"/>
        <v>0</v>
      </c>
      <c r="L1615" s="1308">
        <f t="shared" si="156"/>
        <v>0</v>
      </c>
      <c r="M1615" s="1296" t="str">
        <f t="shared" si="157"/>
        <v>0</v>
      </c>
      <c r="N1615" s="1309">
        <f t="shared" si="158"/>
        <v>0</v>
      </c>
      <c r="O1615" s="1296" t="str">
        <f t="shared" si="159"/>
        <v>0</v>
      </c>
    </row>
    <row r="1616" spans="1:15" s="1296" customFormat="1" hidden="1">
      <c r="A1616" s="1310"/>
      <c r="B1616" s="1311"/>
      <c r="C1616" s="1312">
        <v>0</v>
      </c>
      <c r="D1616" s="1313">
        <v>0</v>
      </c>
      <c r="E1616" s="1314"/>
      <c r="F1616" s="1315"/>
      <c r="G1616" s="1316">
        <f>+SUMIF(asientos!$C$13:$C$1276,SYS_4_3_Digitos!A1616,asientos!$B$13:$B$1276)</f>
        <v>0</v>
      </c>
      <c r="H1616" s="1317">
        <f>+SUMIF(asientos!$I$13:$I$1276,SYS_4_3_Digitos!A1616,asientos!$J$13:$J$1276)</f>
        <v>0</v>
      </c>
      <c r="I1616" s="1314">
        <f t="shared" si="154"/>
        <v>0</v>
      </c>
      <c r="J1616" s="1315">
        <f t="shared" si="155"/>
        <v>0</v>
      </c>
      <c r="L1616" s="1308">
        <f t="shared" si="156"/>
        <v>0</v>
      </c>
      <c r="M1616" s="1296" t="str">
        <f t="shared" si="157"/>
        <v>0</v>
      </c>
      <c r="N1616" s="1309">
        <f t="shared" si="158"/>
        <v>0</v>
      </c>
      <c r="O1616" s="1296" t="str">
        <f t="shared" si="159"/>
        <v>0</v>
      </c>
    </row>
    <row r="1617" spans="1:15" s="1296" customFormat="1" hidden="1">
      <c r="A1617" s="1310"/>
      <c r="B1617" s="1311"/>
      <c r="C1617" s="1312">
        <v>0</v>
      </c>
      <c r="D1617" s="1313">
        <v>0</v>
      </c>
      <c r="E1617" s="1314"/>
      <c r="F1617" s="1315"/>
      <c r="G1617" s="1316">
        <f>+SUMIF(asientos!$C$13:$C$1276,SYS_4_3_Digitos!A1617,asientos!$B$13:$B$1276)</f>
        <v>0</v>
      </c>
      <c r="H1617" s="1317">
        <f>+SUMIF(asientos!$I$13:$I$1276,SYS_4_3_Digitos!A1617,asientos!$J$13:$J$1276)</f>
        <v>0</v>
      </c>
      <c r="I1617" s="1314">
        <f t="shared" si="154"/>
        <v>0</v>
      </c>
      <c r="J1617" s="1315">
        <f t="shared" si="155"/>
        <v>0</v>
      </c>
      <c r="L1617" s="1308">
        <f t="shared" si="156"/>
        <v>0</v>
      </c>
      <c r="M1617" s="1296" t="str">
        <f t="shared" si="157"/>
        <v>0</v>
      </c>
      <c r="N1617" s="1309">
        <f t="shared" si="158"/>
        <v>0</v>
      </c>
      <c r="O1617" s="1296" t="str">
        <f t="shared" si="159"/>
        <v>0</v>
      </c>
    </row>
    <row r="1618" spans="1:15" s="1296" customFormat="1" hidden="1">
      <c r="A1618" s="1310"/>
      <c r="B1618" s="1311"/>
      <c r="C1618" s="1312">
        <v>0</v>
      </c>
      <c r="D1618" s="1313">
        <v>0</v>
      </c>
      <c r="E1618" s="1314"/>
      <c r="F1618" s="1315"/>
      <c r="G1618" s="1316">
        <f>+SUMIF(asientos!$C$13:$C$1276,SYS_4_3_Digitos!A1618,asientos!$B$13:$B$1276)</f>
        <v>0</v>
      </c>
      <c r="H1618" s="1317">
        <f>+SUMIF(asientos!$I$13:$I$1276,SYS_4_3_Digitos!A1618,asientos!$J$13:$J$1276)</f>
        <v>0</v>
      </c>
      <c r="I1618" s="1314">
        <f t="shared" si="154"/>
        <v>0</v>
      </c>
      <c r="J1618" s="1315">
        <f t="shared" si="155"/>
        <v>0</v>
      </c>
      <c r="L1618" s="1308">
        <f t="shared" si="156"/>
        <v>0</v>
      </c>
      <c r="M1618" s="1296" t="str">
        <f t="shared" si="157"/>
        <v>0</v>
      </c>
      <c r="N1618" s="1309">
        <f t="shared" si="158"/>
        <v>0</v>
      </c>
      <c r="O1618" s="1296" t="str">
        <f t="shared" si="159"/>
        <v>0</v>
      </c>
    </row>
    <row r="1619" spans="1:15" s="1296" customFormat="1" hidden="1">
      <c r="A1619" s="1310"/>
      <c r="B1619" s="1311"/>
      <c r="C1619" s="1312">
        <v>0</v>
      </c>
      <c r="D1619" s="1313">
        <v>0</v>
      </c>
      <c r="E1619" s="1314"/>
      <c r="F1619" s="1315"/>
      <c r="G1619" s="1316">
        <f>+SUMIF(asientos!$C$13:$C$1276,SYS_4_3_Digitos!A1619,asientos!$B$13:$B$1276)</f>
        <v>0</v>
      </c>
      <c r="H1619" s="1317">
        <f>+SUMIF(asientos!$I$13:$I$1276,SYS_4_3_Digitos!A1619,asientos!$J$13:$J$1276)</f>
        <v>0</v>
      </c>
      <c r="I1619" s="1314">
        <f t="shared" si="154"/>
        <v>0</v>
      </c>
      <c r="J1619" s="1315">
        <f t="shared" si="155"/>
        <v>0</v>
      </c>
      <c r="L1619" s="1308">
        <f t="shared" si="156"/>
        <v>0</v>
      </c>
      <c r="M1619" s="1296" t="str">
        <f t="shared" si="157"/>
        <v>0</v>
      </c>
      <c r="N1619" s="1309">
        <f t="shared" si="158"/>
        <v>0</v>
      </c>
      <c r="O1619" s="1296" t="str">
        <f t="shared" si="159"/>
        <v>0</v>
      </c>
    </row>
    <row r="1620" spans="1:15" s="1296" customFormat="1" hidden="1">
      <c r="A1620" s="1310"/>
      <c r="B1620" s="1311"/>
      <c r="C1620" s="1312">
        <v>0</v>
      </c>
      <c r="D1620" s="1313">
        <v>0</v>
      </c>
      <c r="E1620" s="1314"/>
      <c r="F1620" s="1315"/>
      <c r="G1620" s="1316">
        <f>+SUMIF(asientos!$C$13:$C$1276,SYS_4_3_Digitos!A1620,asientos!$B$13:$B$1276)</f>
        <v>0</v>
      </c>
      <c r="H1620" s="1317">
        <f>+SUMIF(asientos!$I$13:$I$1276,SYS_4_3_Digitos!A1620,asientos!$J$13:$J$1276)</f>
        <v>0</v>
      </c>
      <c r="I1620" s="1314">
        <f t="shared" si="154"/>
        <v>0</v>
      </c>
      <c r="J1620" s="1315">
        <f t="shared" si="155"/>
        <v>0</v>
      </c>
      <c r="L1620" s="1308">
        <f t="shared" si="156"/>
        <v>0</v>
      </c>
      <c r="M1620" s="1296" t="str">
        <f t="shared" si="157"/>
        <v>0</v>
      </c>
      <c r="N1620" s="1309">
        <f t="shared" si="158"/>
        <v>0</v>
      </c>
      <c r="O1620" s="1296" t="str">
        <f t="shared" si="159"/>
        <v>0</v>
      </c>
    </row>
    <row r="1621" spans="1:15" s="1296" customFormat="1" hidden="1">
      <c r="A1621" s="1310"/>
      <c r="B1621" s="1311"/>
      <c r="C1621" s="1312">
        <v>0</v>
      </c>
      <c r="D1621" s="1313">
        <v>0</v>
      </c>
      <c r="E1621" s="1314"/>
      <c r="F1621" s="1315"/>
      <c r="G1621" s="1316">
        <f>+SUMIF(asientos!$C$13:$C$1276,SYS_4_3_Digitos!A1621,asientos!$B$13:$B$1276)</f>
        <v>0</v>
      </c>
      <c r="H1621" s="1317">
        <f>+SUMIF(asientos!$I$13:$I$1276,SYS_4_3_Digitos!A1621,asientos!$J$13:$J$1276)</f>
        <v>0</v>
      </c>
      <c r="I1621" s="1314">
        <f t="shared" si="154"/>
        <v>0</v>
      </c>
      <c r="J1621" s="1315">
        <f t="shared" si="155"/>
        <v>0</v>
      </c>
      <c r="L1621" s="1308">
        <f t="shared" si="156"/>
        <v>0</v>
      </c>
      <c r="M1621" s="1296" t="str">
        <f t="shared" si="157"/>
        <v>0</v>
      </c>
      <c r="N1621" s="1309">
        <f t="shared" si="158"/>
        <v>0</v>
      </c>
      <c r="O1621" s="1296" t="str">
        <f t="shared" si="159"/>
        <v>0</v>
      </c>
    </row>
    <row r="1622" spans="1:15" s="1296" customFormat="1" hidden="1">
      <c r="A1622" s="1310"/>
      <c r="B1622" s="1311"/>
      <c r="C1622" s="1312">
        <v>0</v>
      </c>
      <c r="D1622" s="1313">
        <v>0</v>
      </c>
      <c r="E1622" s="1314"/>
      <c r="F1622" s="1315"/>
      <c r="G1622" s="1316">
        <f>+SUMIF(asientos!$C$13:$C$1276,SYS_4_3_Digitos!A1622,asientos!$B$13:$B$1276)</f>
        <v>0</v>
      </c>
      <c r="H1622" s="1317">
        <f>+SUMIF(asientos!$I$13:$I$1276,SYS_4_3_Digitos!A1622,asientos!$J$13:$J$1276)</f>
        <v>0</v>
      </c>
      <c r="I1622" s="1314">
        <f t="shared" si="154"/>
        <v>0</v>
      </c>
      <c r="J1622" s="1315">
        <f t="shared" si="155"/>
        <v>0</v>
      </c>
      <c r="L1622" s="1308">
        <f t="shared" si="156"/>
        <v>0</v>
      </c>
      <c r="M1622" s="1296" t="str">
        <f t="shared" si="157"/>
        <v>0</v>
      </c>
      <c r="N1622" s="1309">
        <f t="shared" si="158"/>
        <v>0</v>
      </c>
      <c r="O1622" s="1296" t="str">
        <f t="shared" si="159"/>
        <v>0</v>
      </c>
    </row>
    <row r="1623" spans="1:15" s="1296" customFormat="1" hidden="1">
      <c r="A1623" s="1310"/>
      <c r="B1623" s="1311"/>
      <c r="C1623" s="1312">
        <v>0</v>
      </c>
      <c r="D1623" s="1313">
        <v>0</v>
      </c>
      <c r="E1623" s="1314"/>
      <c r="F1623" s="1315"/>
      <c r="G1623" s="1316">
        <f>+SUMIF(asientos!$C$13:$C$1276,SYS_4_3_Digitos!A1623,asientos!$B$13:$B$1276)</f>
        <v>0</v>
      </c>
      <c r="H1623" s="1317">
        <f>+SUMIF(asientos!$I$13:$I$1276,SYS_4_3_Digitos!A1623,asientos!$J$13:$J$1276)</f>
        <v>0</v>
      </c>
      <c r="I1623" s="1314">
        <f t="shared" si="154"/>
        <v>0</v>
      </c>
      <c r="J1623" s="1315">
        <f t="shared" si="155"/>
        <v>0</v>
      </c>
      <c r="L1623" s="1308">
        <f t="shared" si="156"/>
        <v>0</v>
      </c>
      <c r="M1623" s="1296" t="str">
        <f t="shared" si="157"/>
        <v>0</v>
      </c>
      <c r="N1623" s="1309">
        <f t="shared" si="158"/>
        <v>0</v>
      </c>
      <c r="O1623" s="1296" t="str">
        <f t="shared" si="159"/>
        <v>0</v>
      </c>
    </row>
    <row r="1624" spans="1:15" s="1296" customFormat="1" hidden="1">
      <c r="A1624" s="1310"/>
      <c r="B1624" s="1311"/>
      <c r="C1624" s="1312">
        <v>0</v>
      </c>
      <c r="D1624" s="1313">
        <v>0</v>
      </c>
      <c r="E1624" s="1314"/>
      <c r="F1624" s="1315"/>
      <c r="G1624" s="1316">
        <f>+SUMIF(asientos!$C$13:$C$1276,SYS_4_3_Digitos!A1624,asientos!$B$13:$B$1276)</f>
        <v>0</v>
      </c>
      <c r="H1624" s="1317">
        <f>+SUMIF(asientos!$I$13:$I$1276,SYS_4_3_Digitos!A1624,asientos!$J$13:$J$1276)</f>
        <v>0</v>
      </c>
      <c r="I1624" s="1314">
        <f t="shared" si="154"/>
        <v>0</v>
      </c>
      <c r="J1624" s="1315">
        <f t="shared" si="155"/>
        <v>0</v>
      </c>
      <c r="L1624" s="1308">
        <f t="shared" si="156"/>
        <v>0</v>
      </c>
      <c r="M1624" s="1296" t="str">
        <f t="shared" si="157"/>
        <v>0</v>
      </c>
      <c r="N1624" s="1309">
        <f t="shared" si="158"/>
        <v>0</v>
      </c>
      <c r="O1624" s="1296" t="str">
        <f t="shared" si="159"/>
        <v>0</v>
      </c>
    </row>
    <row r="1625" spans="1:15" s="1296" customFormat="1" hidden="1">
      <c r="A1625" s="1310"/>
      <c r="B1625" s="1311"/>
      <c r="C1625" s="1312">
        <v>0</v>
      </c>
      <c r="D1625" s="1313">
        <v>0</v>
      </c>
      <c r="E1625" s="1314"/>
      <c r="F1625" s="1315"/>
      <c r="G1625" s="1316">
        <f>+SUMIF(asientos!$C$13:$C$1276,SYS_4_3_Digitos!A1625,asientos!$B$13:$B$1276)</f>
        <v>0</v>
      </c>
      <c r="H1625" s="1317">
        <f>+SUMIF(asientos!$I$13:$I$1276,SYS_4_3_Digitos!A1625,asientos!$J$13:$J$1276)</f>
        <v>0</v>
      </c>
      <c r="I1625" s="1314">
        <f t="shared" si="154"/>
        <v>0</v>
      </c>
      <c r="J1625" s="1315">
        <f t="shared" si="155"/>
        <v>0</v>
      </c>
      <c r="L1625" s="1308">
        <f t="shared" si="156"/>
        <v>0</v>
      </c>
      <c r="M1625" s="1296" t="str">
        <f t="shared" si="157"/>
        <v>0</v>
      </c>
      <c r="N1625" s="1309">
        <f t="shared" si="158"/>
        <v>0</v>
      </c>
      <c r="O1625" s="1296" t="str">
        <f t="shared" si="159"/>
        <v>0</v>
      </c>
    </row>
    <row r="1626" spans="1:15" s="1296" customFormat="1" hidden="1">
      <c r="A1626" s="1310"/>
      <c r="B1626" s="1311"/>
      <c r="C1626" s="1312">
        <v>0</v>
      </c>
      <c r="D1626" s="1313">
        <v>0</v>
      </c>
      <c r="E1626" s="1314"/>
      <c r="F1626" s="1315"/>
      <c r="G1626" s="1316">
        <f>+SUMIF(asientos!$C$13:$C$1276,SYS_4_3_Digitos!A1626,asientos!$B$13:$B$1276)</f>
        <v>0</v>
      </c>
      <c r="H1626" s="1317">
        <f>+SUMIF(asientos!$I$13:$I$1276,SYS_4_3_Digitos!A1626,asientos!$J$13:$J$1276)</f>
        <v>0</v>
      </c>
      <c r="I1626" s="1314">
        <f t="shared" si="154"/>
        <v>0</v>
      </c>
      <c r="J1626" s="1315">
        <f t="shared" si="155"/>
        <v>0</v>
      </c>
      <c r="L1626" s="1308">
        <f t="shared" si="156"/>
        <v>0</v>
      </c>
      <c r="M1626" s="1296" t="str">
        <f t="shared" si="157"/>
        <v>0</v>
      </c>
      <c r="N1626" s="1309">
        <f t="shared" si="158"/>
        <v>0</v>
      </c>
      <c r="O1626" s="1296" t="str">
        <f t="shared" si="159"/>
        <v>0</v>
      </c>
    </row>
    <row r="1627" spans="1:15" s="1296" customFormat="1" hidden="1">
      <c r="A1627" s="1310"/>
      <c r="B1627" s="1311"/>
      <c r="C1627" s="1312">
        <v>0</v>
      </c>
      <c r="D1627" s="1313">
        <v>0</v>
      </c>
      <c r="E1627" s="1314"/>
      <c r="F1627" s="1315"/>
      <c r="G1627" s="1316">
        <f>+SUMIF(asientos!$C$13:$C$1276,SYS_4_3_Digitos!A1627,asientos!$B$13:$B$1276)</f>
        <v>0</v>
      </c>
      <c r="H1627" s="1317">
        <f>+SUMIF(asientos!$I$13:$I$1276,SYS_4_3_Digitos!A1627,asientos!$J$13:$J$1276)</f>
        <v>0</v>
      </c>
      <c r="I1627" s="1314">
        <f t="shared" si="154"/>
        <v>0</v>
      </c>
      <c r="J1627" s="1315">
        <f t="shared" si="155"/>
        <v>0</v>
      </c>
      <c r="L1627" s="1308">
        <f t="shared" si="156"/>
        <v>0</v>
      </c>
      <c r="M1627" s="1296" t="str">
        <f t="shared" si="157"/>
        <v>0</v>
      </c>
      <c r="N1627" s="1309">
        <f t="shared" si="158"/>
        <v>0</v>
      </c>
      <c r="O1627" s="1296" t="str">
        <f t="shared" si="159"/>
        <v>0</v>
      </c>
    </row>
    <row r="1628" spans="1:15" s="1296" customFormat="1" hidden="1">
      <c r="A1628" s="1310"/>
      <c r="B1628" s="1311"/>
      <c r="C1628" s="1312">
        <v>0</v>
      </c>
      <c r="D1628" s="1313">
        <v>0</v>
      </c>
      <c r="E1628" s="1314"/>
      <c r="F1628" s="1315"/>
      <c r="G1628" s="1316">
        <f>+SUMIF(asientos!$C$13:$C$1276,SYS_4_3_Digitos!A1628,asientos!$B$13:$B$1276)</f>
        <v>0</v>
      </c>
      <c r="H1628" s="1317">
        <f>+SUMIF(asientos!$I$13:$I$1276,SYS_4_3_Digitos!A1628,asientos!$J$13:$J$1276)</f>
        <v>0</v>
      </c>
      <c r="I1628" s="1314">
        <f t="shared" si="154"/>
        <v>0</v>
      </c>
      <c r="J1628" s="1315">
        <f t="shared" si="155"/>
        <v>0</v>
      </c>
      <c r="L1628" s="1308">
        <f t="shared" si="156"/>
        <v>0</v>
      </c>
      <c r="M1628" s="1296" t="str">
        <f t="shared" si="157"/>
        <v>0</v>
      </c>
      <c r="N1628" s="1309">
        <f t="shared" si="158"/>
        <v>0</v>
      </c>
      <c r="O1628" s="1296" t="str">
        <f t="shared" si="159"/>
        <v>0</v>
      </c>
    </row>
    <row r="1629" spans="1:15" s="1296" customFormat="1" hidden="1">
      <c r="A1629" s="1310"/>
      <c r="B1629" s="1311"/>
      <c r="C1629" s="1312">
        <v>0</v>
      </c>
      <c r="D1629" s="1313">
        <v>0</v>
      </c>
      <c r="E1629" s="1314"/>
      <c r="F1629" s="1315"/>
      <c r="G1629" s="1316">
        <f>+SUMIF(asientos!$C$13:$C$1276,SYS_4_3_Digitos!A1629,asientos!$B$13:$B$1276)</f>
        <v>0</v>
      </c>
      <c r="H1629" s="1317">
        <f>+SUMIF(asientos!$I$13:$I$1276,SYS_4_3_Digitos!A1629,asientos!$J$13:$J$1276)</f>
        <v>0</v>
      </c>
      <c r="I1629" s="1314">
        <f t="shared" si="154"/>
        <v>0</v>
      </c>
      <c r="J1629" s="1315">
        <f t="shared" si="155"/>
        <v>0</v>
      </c>
      <c r="L1629" s="1308">
        <f t="shared" si="156"/>
        <v>0</v>
      </c>
      <c r="M1629" s="1296" t="str">
        <f t="shared" si="157"/>
        <v>0</v>
      </c>
      <c r="N1629" s="1309">
        <f t="shared" si="158"/>
        <v>0</v>
      </c>
      <c r="O1629" s="1296" t="str">
        <f t="shared" si="159"/>
        <v>0</v>
      </c>
    </row>
    <row r="1630" spans="1:15" s="1296" customFormat="1" hidden="1">
      <c r="A1630" s="1310"/>
      <c r="B1630" s="1311"/>
      <c r="C1630" s="1312">
        <v>0</v>
      </c>
      <c r="D1630" s="1313">
        <v>0</v>
      </c>
      <c r="E1630" s="1314"/>
      <c r="F1630" s="1315"/>
      <c r="G1630" s="1316">
        <f>+SUMIF(asientos!$C$13:$C$1276,SYS_4_3_Digitos!A1630,asientos!$B$13:$B$1276)</f>
        <v>0</v>
      </c>
      <c r="H1630" s="1317">
        <f>+SUMIF(asientos!$I$13:$I$1276,SYS_4_3_Digitos!A1630,asientos!$J$13:$J$1276)</f>
        <v>0</v>
      </c>
      <c r="I1630" s="1314">
        <f t="shared" si="154"/>
        <v>0</v>
      </c>
      <c r="J1630" s="1315">
        <f t="shared" si="155"/>
        <v>0</v>
      </c>
      <c r="L1630" s="1308">
        <f t="shared" si="156"/>
        <v>0</v>
      </c>
      <c r="M1630" s="1296" t="str">
        <f t="shared" si="157"/>
        <v>0</v>
      </c>
      <c r="N1630" s="1309">
        <f t="shared" si="158"/>
        <v>0</v>
      </c>
      <c r="O1630" s="1296" t="str">
        <f t="shared" si="159"/>
        <v>0</v>
      </c>
    </row>
    <row r="1631" spans="1:15" s="1296" customFormat="1" hidden="1">
      <c r="A1631" s="1310"/>
      <c r="B1631" s="1311"/>
      <c r="C1631" s="1312">
        <v>0</v>
      </c>
      <c r="D1631" s="1313">
        <v>0</v>
      </c>
      <c r="E1631" s="1314"/>
      <c r="F1631" s="1315"/>
      <c r="G1631" s="1316">
        <f>+SUMIF(asientos!$C$13:$C$1276,SYS_4_3_Digitos!A1631,asientos!$B$13:$B$1276)</f>
        <v>0</v>
      </c>
      <c r="H1631" s="1317">
        <f>+SUMIF(asientos!$I$13:$I$1276,SYS_4_3_Digitos!A1631,asientos!$J$13:$J$1276)</f>
        <v>0</v>
      </c>
      <c r="I1631" s="1314">
        <f t="shared" si="154"/>
        <v>0</v>
      </c>
      <c r="J1631" s="1315">
        <f t="shared" si="155"/>
        <v>0</v>
      </c>
      <c r="L1631" s="1308">
        <f t="shared" si="156"/>
        <v>0</v>
      </c>
      <c r="M1631" s="1296" t="str">
        <f t="shared" si="157"/>
        <v>0</v>
      </c>
      <c r="N1631" s="1309">
        <f t="shared" si="158"/>
        <v>0</v>
      </c>
      <c r="O1631" s="1296" t="str">
        <f t="shared" si="159"/>
        <v>0</v>
      </c>
    </row>
    <row r="1632" spans="1:15" s="1296" customFormat="1" hidden="1">
      <c r="A1632" s="1310"/>
      <c r="B1632" s="1311"/>
      <c r="C1632" s="1312">
        <v>0</v>
      </c>
      <c r="D1632" s="1313">
        <v>0</v>
      </c>
      <c r="E1632" s="1314"/>
      <c r="F1632" s="1315"/>
      <c r="G1632" s="1316">
        <f>+SUMIF(asientos!$C$13:$C$1276,SYS_4_3_Digitos!A1632,asientos!$B$13:$B$1276)</f>
        <v>0</v>
      </c>
      <c r="H1632" s="1317">
        <f>+SUMIF(asientos!$I$13:$I$1276,SYS_4_3_Digitos!A1632,asientos!$J$13:$J$1276)</f>
        <v>0</v>
      </c>
      <c r="I1632" s="1314">
        <f t="shared" si="154"/>
        <v>0</v>
      </c>
      <c r="J1632" s="1315">
        <f t="shared" si="155"/>
        <v>0</v>
      </c>
      <c r="L1632" s="1308">
        <f t="shared" si="156"/>
        <v>0</v>
      </c>
      <c r="M1632" s="1296" t="str">
        <f t="shared" si="157"/>
        <v>0</v>
      </c>
      <c r="N1632" s="1309">
        <f t="shared" si="158"/>
        <v>0</v>
      </c>
      <c r="O1632" s="1296" t="str">
        <f t="shared" si="159"/>
        <v>0</v>
      </c>
    </row>
    <row r="1633" spans="1:15" s="1296" customFormat="1" hidden="1">
      <c r="A1633" s="1310"/>
      <c r="B1633" s="1311"/>
      <c r="C1633" s="1312">
        <v>0</v>
      </c>
      <c r="D1633" s="1313">
        <v>0</v>
      </c>
      <c r="E1633" s="1314"/>
      <c r="F1633" s="1315"/>
      <c r="G1633" s="1316">
        <f>+SUMIF(asientos!$C$13:$C$1276,SYS_4_3_Digitos!A1633,asientos!$B$13:$B$1276)</f>
        <v>0</v>
      </c>
      <c r="H1633" s="1317">
        <f>+SUMIF(asientos!$I$13:$I$1276,SYS_4_3_Digitos!A1633,asientos!$J$13:$J$1276)</f>
        <v>0</v>
      </c>
      <c r="I1633" s="1314">
        <f t="shared" si="154"/>
        <v>0</v>
      </c>
      <c r="J1633" s="1315">
        <f t="shared" si="155"/>
        <v>0</v>
      </c>
      <c r="L1633" s="1308">
        <f t="shared" si="156"/>
        <v>0</v>
      </c>
      <c r="M1633" s="1296" t="str">
        <f t="shared" si="157"/>
        <v>0</v>
      </c>
      <c r="N1633" s="1309">
        <f t="shared" si="158"/>
        <v>0</v>
      </c>
      <c r="O1633" s="1296" t="str">
        <f t="shared" si="159"/>
        <v>0</v>
      </c>
    </row>
    <row r="1634" spans="1:15" s="1296" customFormat="1" hidden="1">
      <c r="A1634" s="1310"/>
      <c r="B1634" s="1311"/>
      <c r="C1634" s="1312">
        <v>0</v>
      </c>
      <c r="D1634" s="1313">
        <v>0</v>
      </c>
      <c r="E1634" s="1314"/>
      <c r="F1634" s="1315"/>
      <c r="G1634" s="1316">
        <f>+SUMIF(asientos!$C$13:$C$1276,SYS_4_3_Digitos!A1634,asientos!$B$13:$B$1276)</f>
        <v>0</v>
      </c>
      <c r="H1634" s="1317">
        <f>+SUMIF(asientos!$I$13:$I$1276,SYS_4_3_Digitos!A1634,asientos!$J$13:$J$1276)</f>
        <v>0</v>
      </c>
      <c r="I1634" s="1314">
        <f t="shared" si="154"/>
        <v>0</v>
      </c>
      <c r="J1634" s="1315">
        <f t="shared" si="155"/>
        <v>0</v>
      </c>
      <c r="L1634" s="1308">
        <f t="shared" si="156"/>
        <v>0</v>
      </c>
      <c r="M1634" s="1296" t="str">
        <f t="shared" si="157"/>
        <v>0</v>
      </c>
      <c r="N1634" s="1309">
        <f t="shared" si="158"/>
        <v>0</v>
      </c>
      <c r="O1634" s="1296" t="str">
        <f t="shared" si="159"/>
        <v>0</v>
      </c>
    </row>
    <row r="1635" spans="1:15" s="1296" customFormat="1" hidden="1">
      <c r="A1635" s="1310"/>
      <c r="B1635" s="1311"/>
      <c r="C1635" s="1312">
        <v>0</v>
      </c>
      <c r="D1635" s="1313">
        <v>0</v>
      </c>
      <c r="E1635" s="1314"/>
      <c r="F1635" s="1315"/>
      <c r="G1635" s="1316">
        <f>+SUMIF(asientos!$C$13:$C$1276,SYS_4_3_Digitos!A1635,asientos!$B$13:$B$1276)</f>
        <v>0</v>
      </c>
      <c r="H1635" s="1317">
        <f>+SUMIF(asientos!$I$13:$I$1276,SYS_4_3_Digitos!A1635,asientos!$J$13:$J$1276)</f>
        <v>0</v>
      </c>
      <c r="I1635" s="1314">
        <f t="shared" si="154"/>
        <v>0</v>
      </c>
      <c r="J1635" s="1315">
        <f t="shared" si="155"/>
        <v>0</v>
      </c>
      <c r="L1635" s="1308">
        <f t="shared" si="156"/>
        <v>0</v>
      </c>
      <c r="M1635" s="1296" t="str">
        <f t="shared" si="157"/>
        <v>0</v>
      </c>
      <c r="N1635" s="1309">
        <f t="shared" si="158"/>
        <v>0</v>
      </c>
      <c r="O1635" s="1296" t="str">
        <f t="shared" si="159"/>
        <v>0</v>
      </c>
    </row>
    <row r="1636" spans="1:15" s="1296" customFormat="1" hidden="1">
      <c r="A1636" s="1310"/>
      <c r="B1636" s="1311"/>
      <c r="C1636" s="1312">
        <v>0</v>
      </c>
      <c r="D1636" s="1313">
        <v>0</v>
      </c>
      <c r="E1636" s="1314"/>
      <c r="F1636" s="1315"/>
      <c r="G1636" s="1316">
        <f>+SUMIF(asientos!$C$13:$C$1276,SYS_4_3_Digitos!A1636,asientos!$B$13:$B$1276)</f>
        <v>0</v>
      </c>
      <c r="H1636" s="1317">
        <f>+SUMIF(asientos!$I$13:$I$1276,SYS_4_3_Digitos!A1636,asientos!$J$13:$J$1276)</f>
        <v>0</v>
      </c>
      <c r="I1636" s="1314">
        <f t="shared" si="154"/>
        <v>0</v>
      </c>
      <c r="J1636" s="1315">
        <f t="shared" si="155"/>
        <v>0</v>
      </c>
      <c r="L1636" s="1308">
        <f t="shared" si="156"/>
        <v>0</v>
      </c>
      <c r="M1636" s="1296" t="str">
        <f t="shared" si="157"/>
        <v>0</v>
      </c>
      <c r="N1636" s="1309">
        <f t="shared" si="158"/>
        <v>0</v>
      </c>
      <c r="O1636" s="1296" t="str">
        <f t="shared" si="159"/>
        <v>0</v>
      </c>
    </row>
    <row r="1637" spans="1:15" s="1296" customFormat="1" hidden="1">
      <c r="A1637" s="1310"/>
      <c r="B1637" s="1311"/>
      <c r="C1637" s="1312">
        <v>0</v>
      </c>
      <c r="D1637" s="1313">
        <v>0</v>
      </c>
      <c r="E1637" s="1314"/>
      <c r="F1637" s="1315"/>
      <c r="G1637" s="1316">
        <f>+SUMIF(asientos!$C$13:$C$1276,SYS_4_3_Digitos!A1637,asientos!$B$13:$B$1276)</f>
        <v>0</v>
      </c>
      <c r="H1637" s="1317">
        <f>+SUMIF(asientos!$I$13:$I$1276,SYS_4_3_Digitos!A1637,asientos!$J$13:$J$1276)</f>
        <v>0</v>
      </c>
      <c r="I1637" s="1314">
        <f t="shared" ref="I1637:I1700" si="160">IF((E1637+G1637-F1637-H1637)&gt;0,E1637+G1637-F1637-H1637,0)</f>
        <v>0</v>
      </c>
      <c r="J1637" s="1315">
        <f t="shared" ref="J1637:J1700" si="161">IF((F1637+H1637-E1637-G1637)&gt;0,F1637+H1637-E1637-G1637,0)</f>
        <v>0</v>
      </c>
      <c r="L1637" s="1308">
        <f t="shared" ref="L1637:L1700" si="162">+A1637*1000000</f>
        <v>0</v>
      </c>
      <c r="M1637" s="1296" t="str">
        <f t="shared" ref="M1637:M1700" si="163">+LEFT(L1637,4)</f>
        <v>0</v>
      </c>
      <c r="N1637" s="1309">
        <f t="shared" ref="N1637:N1700" si="164">+I1637-J1637</f>
        <v>0</v>
      </c>
      <c r="O1637" s="1296" t="str">
        <f t="shared" ref="O1637:O1700" si="165">+LEFT(M1637,2)</f>
        <v>0</v>
      </c>
    </row>
    <row r="1638" spans="1:15" s="1296" customFormat="1" hidden="1">
      <c r="A1638" s="1310"/>
      <c r="B1638" s="1311"/>
      <c r="C1638" s="1312">
        <v>0</v>
      </c>
      <c r="D1638" s="1313">
        <v>0</v>
      </c>
      <c r="E1638" s="1314"/>
      <c r="F1638" s="1315"/>
      <c r="G1638" s="1316">
        <f>+SUMIF(asientos!$C$13:$C$1276,SYS_4_3_Digitos!A1638,asientos!$B$13:$B$1276)</f>
        <v>0</v>
      </c>
      <c r="H1638" s="1317">
        <f>+SUMIF(asientos!$I$13:$I$1276,SYS_4_3_Digitos!A1638,asientos!$J$13:$J$1276)</f>
        <v>0</v>
      </c>
      <c r="I1638" s="1314">
        <f t="shared" si="160"/>
        <v>0</v>
      </c>
      <c r="J1638" s="1315">
        <f t="shared" si="161"/>
        <v>0</v>
      </c>
      <c r="L1638" s="1308">
        <f t="shared" si="162"/>
        <v>0</v>
      </c>
      <c r="M1638" s="1296" t="str">
        <f t="shared" si="163"/>
        <v>0</v>
      </c>
      <c r="N1638" s="1309">
        <f t="shared" si="164"/>
        <v>0</v>
      </c>
      <c r="O1638" s="1296" t="str">
        <f t="shared" si="165"/>
        <v>0</v>
      </c>
    </row>
    <row r="1639" spans="1:15" s="1296" customFormat="1" hidden="1">
      <c r="A1639" s="1310"/>
      <c r="B1639" s="1311"/>
      <c r="C1639" s="1312">
        <v>0</v>
      </c>
      <c r="D1639" s="1313">
        <v>0</v>
      </c>
      <c r="E1639" s="1314"/>
      <c r="F1639" s="1315"/>
      <c r="G1639" s="1316">
        <f>+SUMIF(asientos!$C$13:$C$1276,SYS_4_3_Digitos!A1639,asientos!$B$13:$B$1276)</f>
        <v>0</v>
      </c>
      <c r="H1639" s="1317">
        <f>+SUMIF(asientos!$I$13:$I$1276,SYS_4_3_Digitos!A1639,asientos!$J$13:$J$1276)</f>
        <v>0</v>
      </c>
      <c r="I1639" s="1314">
        <f t="shared" si="160"/>
        <v>0</v>
      </c>
      <c r="J1639" s="1315">
        <f t="shared" si="161"/>
        <v>0</v>
      </c>
      <c r="L1639" s="1308">
        <f t="shared" si="162"/>
        <v>0</v>
      </c>
      <c r="M1639" s="1296" t="str">
        <f t="shared" si="163"/>
        <v>0</v>
      </c>
      <c r="N1639" s="1309">
        <f t="shared" si="164"/>
        <v>0</v>
      </c>
      <c r="O1639" s="1296" t="str">
        <f t="shared" si="165"/>
        <v>0</v>
      </c>
    </row>
    <row r="1640" spans="1:15" s="1296" customFormat="1" hidden="1">
      <c r="A1640" s="1310"/>
      <c r="B1640" s="1311"/>
      <c r="C1640" s="1312">
        <v>0</v>
      </c>
      <c r="D1640" s="1313">
        <v>0</v>
      </c>
      <c r="E1640" s="1314"/>
      <c r="F1640" s="1315"/>
      <c r="G1640" s="1316">
        <f>+SUMIF(asientos!$C$13:$C$1276,SYS_4_3_Digitos!A1640,asientos!$B$13:$B$1276)</f>
        <v>0</v>
      </c>
      <c r="H1640" s="1317">
        <f>+SUMIF(asientos!$I$13:$I$1276,SYS_4_3_Digitos!A1640,asientos!$J$13:$J$1276)</f>
        <v>0</v>
      </c>
      <c r="I1640" s="1314">
        <f t="shared" si="160"/>
        <v>0</v>
      </c>
      <c r="J1640" s="1315">
        <f t="shared" si="161"/>
        <v>0</v>
      </c>
      <c r="L1640" s="1308">
        <f t="shared" si="162"/>
        <v>0</v>
      </c>
      <c r="M1640" s="1296" t="str">
        <f t="shared" si="163"/>
        <v>0</v>
      </c>
      <c r="N1640" s="1309">
        <f t="shared" si="164"/>
        <v>0</v>
      </c>
      <c r="O1640" s="1296" t="str">
        <f t="shared" si="165"/>
        <v>0</v>
      </c>
    </row>
    <row r="1641" spans="1:15" s="1296" customFormat="1" hidden="1">
      <c r="A1641" s="1310"/>
      <c r="B1641" s="1311"/>
      <c r="C1641" s="1312">
        <v>0</v>
      </c>
      <c r="D1641" s="1313">
        <v>0</v>
      </c>
      <c r="E1641" s="1314"/>
      <c r="F1641" s="1315"/>
      <c r="G1641" s="1316">
        <f>+SUMIF(asientos!$C$13:$C$1276,SYS_4_3_Digitos!A1641,asientos!$B$13:$B$1276)</f>
        <v>0</v>
      </c>
      <c r="H1641" s="1317">
        <f>+SUMIF(asientos!$I$13:$I$1276,SYS_4_3_Digitos!A1641,asientos!$J$13:$J$1276)</f>
        <v>0</v>
      </c>
      <c r="I1641" s="1314">
        <f t="shared" si="160"/>
        <v>0</v>
      </c>
      <c r="J1641" s="1315">
        <f t="shared" si="161"/>
        <v>0</v>
      </c>
      <c r="L1641" s="1308">
        <f t="shared" si="162"/>
        <v>0</v>
      </c>
      <c r="M1641" s="1296" t="str">
        <f t="shared" si="163"/>
        <v>0</v>
      </c>
      <c r="N1641" s="1309">
        <f t="shared" si="164"/>
        <v>0</v>
      </c>
      <c r="O1641" s="1296" t="str">
        <f t="shared" si="165"/>
        <v>0</v>
      </c>
    </row>
    <row r="1642" spans="1:15" s="1296" customFormat="1" hidden="1">
      <c r="A1642" s="1310"/>
      <c r="B1642" s="1311"/>
      <c r="C1642" s="1312">
        <v>0</v>
      </c>
      <c r="D1642" s="1313">
        <v>0</v>
      </c>
      <c r="E1642" s="1314"/>
      <c r="F1642" s="1315"/>
      <c r="G1642" s="1316">
        <f>+SUMIF(asientos!$C$13:$C$1276,SYS_4_3_Digitos!A1642,asientos!$B$13:$B$1276)</f>
        <v>0</v>
      </c>
      <c r="H1642" s="1317">
        <f>+SUMIF(asientos!$I$13:$I$1276,SYS_4_3_Digitos!A1642,asientos!$J$13:$J$1276)</f>
        <v>0</v>
      </c>
      <c r="I1642" s="1314">
        <f t="shared" si="160"/>
        <v>0</v>
      </c>
      <c r="J1642" s="1315">
        <f t="shared" si="161"/>
        <v>0</v>
      </c>
      <c r="L1642" s="1308">
        <f t="shared" si="162"/>
        <v>0</v>
      </c>
      <c r="M1642" s="1296" t="str">
        <f t="shared" si="163"/>
        <v>0</v>
      </c>
      <c r="N1642" s="1309">
        <f t="shared" si="164"/>
        <v>0</v>
      </c>
      <c r="O1642" s="1296" t="str">
        <f t="shared" si="165"/>
        <v>0</v>
      </c>
    </row>
    <row r="1643" spans="1:15" s="1296" customFormat="1" hidden="1">
      <c r="A1643" s="1310"/>
      <c r="B1643" s="1311"/>
      <c r="C1643" s="1312">
        <v>0</v>
      </c>
      <c r="D1643" s="1313">
        <v>0</v>
      </c>
      <c r="E1643" s="1314"/>
      <c r="F1643" s="1315"/>
      <c r="G1643" s="1316">
        <f>+SUMIF(asientos!$C$13:$C$1276,SYS_4_3_Digitos!A1643,asientos!$B$13:$B$1276)</f>
        <v>0</v>
      </c>
      <c r="H1643" s="1317">
        <f>+SUMIF(asientos!$I$13:$I$1276,SYS_4_3_Digitos!A1643,asientos!$J$13:$J$1276)</f>
        <v>0</v>
      </c>
      <c r="I1643" s="1314">
        <f t="shared" si="160"/>
        <v>0</v>
      </c>
      <c r="J1643" s="1315">
        <f t="shared" si="161"/>
        <v>0</v>
      </c>
      <c r="L1643" s="1308">
        <f t="shared" si="162"/>
        <v>0</v>
      </c>
      <c r="M1643" s="1296" t="str">
        <f t="shared" si="163"/>
        <v>0</v>
      </c>
      <c r="N1643" s="1309">
        <f t="shared" si="164"/>
        <v>0</v>
      </c>
      <c r="O1643" s="1296" t="str">
        <f t="shared" si="165"/>
        <v>0</v>
      </c>
    </row>
    <row r="1644" spans="1:15" s="1296" customFormat="1" hidden="1">
      <c r="A1644" s="1310"/>
      <c r="B1644" s="1311"/>
      <c r="C1644" s="1312">
        <v>0</v>
      </c>
      <c r="D1644" s="1313">
        <v>0</v>
      </c>
      <c r="E1644" s="1314"/>
      <c r="F1644" s="1315"/>
      <c r="G1644" s="1316">
        <f>+SUMIF(asientos!$C$13:$C$1276,SYS_4_3_Digitos!A1644,asientos!$B$13:$B$1276)</f>
        <v>0</v>
      </c>
      <c r="H1644" s="1317">
        <f>+SUMIF(asientos!$I$13:$I$1276,SYS_4_3_Digitos!A1644,asientos!$J$13:$J$1276)</f>
        <v>0</v>
      </c>
      <c r="I1644" s="1314">
        <f t="shared" si="160"/>
        <v>0</v>
      </c>
      <c r="J1644" s="1315">
        <f t="shared" si="161"/>
        <v>0</v>
      </c>
      <c r="L1644" s="1308">
        <f t="shared" si="162"/>
        <v>0</v>
      </c>
      <c r="M1644" s="1296" t="str">
        <f t="shared" si="163"/>
        <v>0</v>
      </c>
      <c r="N1644" s="1309">
        <f t="shared" si="164"/>
        <v>0</v>
      </c>
      <c r="O1644" s="1296" t="str">
        <f t="shared" si="165"/>
        <v>0</v>
      </c>
    </row>
    <row r="1645" spans="1:15" s="1296" customFormat="1" hidden="1">
      <c r="A1645" s="1310"/>
      <c r="B1645" s="1311"/>
      <c r="C1645" s="1312">
        <v>0</v>
      </c>
      <c r="D1645" s="1313">
        <v>0</v>
      </c>
      <c r="E1645" s="1314"/>
      <c r="F1645" s="1315"/>
      <c r="G1645" s="1316">
        <f>+SUMIF(asientos!$C$13:$C$1276,SYS_4_3_Digitos!A1645,asientos!$B$13:$B$1276)</f>
        <v>0</v>
      </c>
      <c r="H1645" s="1317">
        <f>+SUMIF(asientos!$I$13:$I$1276,SYS_4_3_Digitos!A1645,asientos!$J$13:$J$1276)</f>
        <v>0</v>
      </c>
      <c r="I1645" s="1314">
        <f t="shared" si="160"/>
        <v>0</v>
      </c>
      <c r="J1645" s="1315">
        <f t="shared" si="161"/>
        <v>0</v>
      </c>
      <c r="L1645" s="1308">
        <f t="shared" si="162"/>
        <v>0</v>
      </c>
      <c r="M1645" s="1296" t="str">
        <f t="shared" si="163"/>
        <v>0</v>
      </c>
      <c r="N1645" s="1309">
        <f t="shared" si="164"/>
        <v>0</v>
      </c>
      <c r="O1645" s="1296" t="str">
        <f t="shared" si="165"/>
        <v>0</v>
      </c>
    </row>
    <row r="1646" spans="1:15" s="1296" customFormat="1" hidden="1">
      <c r="A1646" s="1310"/>
      <c r="B1646" s="1311"/>
      <c r="C1646" s="1312">
        <v>0</v>
      </c>
      <c r="D1646" s="1313">
        <v>0</v>
      </c>
      <c r="E1646" s="1314"/>
      <c r="F1646" s="1315"/>
      <c r="G1646" s="1316">
        <f>+SUMIF(asientos!$C$13:$C$1276,SYS_4_3_Digitos!A1646,asientos!$B$13:$B$1276)</f>
        <v>0</v>
      </c>
      <c r="H1646" s="1317">
        <f>+SUMIF(asientos!$I$13:$I$1276,SYS_4_3_Digitos!A1646,asientos!$J$13:$J$1276)</f>
        <v>0</v>
      </c>
      <c r="I1646" s="1314">
        <f t="shared" si="160"/>
        <v>0</v>
      </c>
      <c r="J1646" s="1315">
        <f t="shared" si="161"/>
        <v>0</v>
      </c>
      <c r="L1646" s="1308">
        <f t="shared" si="162"/>
        <v>0</v>
      </c>
      <c r="M1646" s="1296" t="str">
        <f t="shared" si="163"/>
        <v>0</v>
      </c>
      <c r="N1646" s="1309">
        <f t="shared" si="164"/>
        <v>0</v>
      </c>
      <c r="O1646" s="1296" t="str">
        <f t="shared" si="165"/>
        <v>0</v>
      </c>
    </row>
    <row r="1647" spans="1:15" s="1296" customFormat="1" hidden="1">
      <c r="A1647" s="1310"/>
      <c r="B1647" s="1311"/>
      <c r="C1647" s="1312">
        <v>0</v>
      </c>
      <c r="D1647" s="1313">
        <v>0</v>
      </c>
      <c r="E1647" s="1314"/>
      <c r="F1647" s="1315"/>
      <c r="G1647" s="1316">
        <f>+SUMIF(asientos!$C$13:$C$1276,SYS_4_3_Digitos!A1647,asientos!$B$13:$B$1276)</f>
        <v>0</v>
      </c>
      <c r="H1647" s="1317">
        <f>+SUMIF(asientos!$I$13:$I$1276,SYS_4_3_Digitos!A1647,asientos!$J$13:$J$1276)</f>
        <v>0</v>
      </c>
      <c r="I1647" s="1314">
        <f t="shared" si="160"/>
        <v>0</v>
      </c>
      <c r="J1647" s="1315">
        <f t="shared" si="161"/>
        <v>0</v>
      </c>
      <c r="L1647" s="1308">
        <f t="shared" si="162"/>
        <v>0</v>
      </c>
      <c r="M1647" s="1296" t="str">
        <f t="shared" si="163"/>
        <v>0</v>
      </c>
      <c r="N1647" s="1309">
        <f t="shared" si="164"/>
        <v>0</v>
      </c>
      <c r="O1647" s="1296" t="str">
        <f t="shared" si="165"/>
        <v>0</v>
      </c>
    </row>
    <row r="1648" spans="1:15" s="1296" customFormat="1" hidden="1">
      <c r="A1648" s="1310"/>
      <c r="B1648" s="1311"/>
      <c r="C1648" s="1312">
        <v>0</v>
      </c>
      <c r="D1648" s="1313">
        <v>0</v>
      </c>
      <c r="E1648" s="1314"/>
      <c r="F1648" s="1315"/>
      <c r="G1648" s="1316">
        <f>+SUMIF(asientos!$C$13:$C$1276,SYS_4_3_Digitos!A1648,asientos!$B$13:$B$1276)</f>
        <v>0</v>
      </c>
      <c r="H1648" s="1317">
        <f>+SUMIF(asientos!$I$13:$I$1276,SYS_4_3_Digitos!A1648,asientos!$J$13:$J$1276)</f>
        <v>0</v>
      </c>
      <c r="I1648" s="1314">
        <f t="shared" si="160"/>
        <v>0</v>
      </c>
      <c r="J1648" s="1315">
        <f t="shared" si="161"/>
        <v>0</v>
      </c>
      <c r="L1648" s="1308">
        <f t="shared" si="162"/>
        <v>0</v>
      </c>
      <c r="M1648" s="1296" t="str">
        <f t="shared" si="163"/>
        <v>0</v>
      </c>
      <c r="N1648" s="1309">
        <f t="shared" si="164"/>
        <v>0</v>
      </c>
      <c r="O1648" s="1296" t="str">
        <f t="shared" si="165"/>
        <v>0</v>
      </c>
    </row>
    <row r="1649" spans="1:15" s="1296" customFormat="1" hidden="1">
      <c r="A1649" s="1310"/>
      <c r="B1649" s="1311"/>
      <c r="C1649" s="1312">
        <v>0</v>
      </c>
      <c r="D1649" s="1313">
        <v>0</v>
      </c>
      <c r="E1649" s="1314"/>
      <c r="F1649" s="1315"/>
      <c r="G1649" s="1316">
        <f>+SUMIF(asientos!$C$13:$C$1276,SYS_4_3_Digitos!A1649,asientos!$B$13:$B$1276)</f>
        <v>0</v>
      </c>
      <c r="H1649" s="1317">
        <f>+SUMIF(asientos!$I$13:$I$1276,SYS_4_3_Digitos!A1649,asientos!$J$13:$J$1276)</f>
        <v>0</v>
      </c>
      <c r="I1649" s="1314">
        <f t="shared" si="160"/>
        <v>0</v>
      </c>
      <c r="J1649" s="1315">
        <f t="shared" si="161"/>
        <v>0</v>
      </c>
      <c r="L1649" s="1308">
        <f t="shared" si="162"/>
        <v>0</v>
      </c>
      <c r="M1649" s="1296" t="str">
        <f t="shared" si="163"/>
        <v>0</v>
      </c>
      <c r="N1649" s="1309">
        <f t="shared" si="164"/>
        <v>0</v>
      </c>
      <c r="O1649" s="1296" t="str">
        <f t="shared" si="165"/>
        <v>0</v>
      </c>
    </row>
    <row r="1650" spans="1:15" s="1296" customFormat="1" hidden="1">
      <c r="A1650" s="1310"/>
      <c r="B1650" s="1311"/>
      <c r="C1650" s="1312">
        <v>0</v>
      </c>
      <c r="D1650" s="1313">
        <v>0</v>
      </c>
      <c r="E1650" s="1314"/>
      <c r="F1650" s="1315"/>
      <c r="G1650" s="1316">
        <f>+SUMIF(asientos!$C$13:$C$1276,SYS_4_3_Digitos!A1650,asientos!$B$13:$B$1276)</f>
        <v>0</v>
      </c>
      <c r="H1650" s="1317">
        <f>+SUMIF(asientos!$I$13:$I$1276,SYS_4_3_Digitos!A1650,asientos!$J$13:$J$1276)</f>
        <v>0</v>
      </c>
      <c r="I1650" s="1314">
        <f t="shared" si="160"/>
        <v>0</v>
      </c>
      <c r="J1650" s="1315">
        <f t="shared" si="161"/>
        <v>0</v>
      </c>
      <c r="L1650" s="1308">
        <f t="shared" si="162"/>
        <v>0</v>
      </c>
      <c r="M1650" s="1296" t="str">
        <f t="shared" si="163"/>
        <v>0</v>
      </c>
      <c r="N1650" s="1309">
        <f t="shared" si="164"/>
        <v>0</v>
      </c>
      <c r="O1650" s="1296" t="str">
        <f t="shared" si="165"/>
        <v>0</v>
      </c>
    </row>
    <row r="1651" spans="1:15" s="1296" customFormat="1" hidden="1">
      <c r="A1651" s="1310"/>
      <c r="B1651" s="1311"/>
      <c r="C1651" s="1312">
        <v>0</v>
      </c>
      <c r="D1651" s="1313">
        <v>0</v>
      </c>
      <c r="E1651" s="1314"/>
      <c r="F1651" s="1315"/>
      <c r="G1651" s="1316">
        <f>+SUMIF(asientos!$C$13:$C$1276,SYS_4_3_Digitos!A1651,asientos!$B$13:$B$1276)</f>
        <v>0</v>
      </c>
      <c r="H1651" s="1317">
        <f>+SUMIF(asientos!$I$13:$I$1276,SYS_4_3_Digitos!A1651,asientos!$J$13:$J$1276)</f>
        <v>0</v>
      </c>
      <c r="I1651" s="1314">
        <f t="shared" si="160"/>
        <v>0</v>
      </c>
      <c r="J1651" s="1315">
        <f t="shared" si="161"/>
        <v>0</v>
      </c>
      <c r="L1651" s="1308">
        <f t="shared" si="162"/>
        <v>0</v>
      </c>
      <c r="M1651" s="1296" t="str">
        <f t="shared" si="163"/>
        <v>0</v>
      </c>
      <c r="N1651" s="1309">
        <f t="shared" si="164"/>
        <v>0</v>
      </c>
      <c r="O1651" s="1296" t="str">
        <f t="shared" si="165"/>
        <v>0</v>
      </c>
    </row>
    <row r="1652" spans="1:15" s="1296" customFormat="1" hidden="1">
      <c r="A1652" s="1310"/>
      <c r="B1652" s="1311"/>
      <c r="C1652" s="1312">
        <v>0</v>
      </c>
      <c r="D1652" s="1313">
        <v>0</v>
      </c>
      <c r="E1652" s="1314"/>
      <c r="F1652" s="1315"/>
      <c r="G1652" s="1316">
        <f>+SUMIF(asientos!$C$13:$C$1276,SYS_4_3_Digitos!A1652,asientos!$B$13:$B$1276)</f>
        <v>0</v>
      </c>
      <c r="H1652" s="1317">
        <f>+SUMIF(asientos!$I$13:$I$1276,SYS_4_3_Digitos!A1652,asientos!$J$13:$J$1276)</f>
        <v>0</v>
      </c>
      <c r="I1652" s="1314">
        <f t="shared" si="160"/>
        <v>0</v>
      </c>
      <c r="J1652" s="1315">
        <f t="shared" si="161"/>
        <v>0</v>
      </c>
      <c r="L1652" s="1308">
        <f t="shared" si="162"/>
        <v>0</v>
      </c>
      <c r="M1652" s="1296" t="str">
        <f t="shared" si="163"/>
        <v>0</v>
      </c>
      <c r="N1652" s="1309">
        <f t="shared" si="164"/>
        <v>0</v>
      </c>
      <c r="O1652" s="1296" t="str">
        <f t="shared" si="165"/>
        <v>0</v>
      </c>
    </row>
    <row r="1653" spans="1:15" s="1296" customFormat="1" hidden="1">
      <c r="A1653" s="1310"/>
      <c r="B1653" s="1311"/>
      <c r="C1653" s="1312">
        <v>0</v>
      </c>
      <c r="D1653" s="1313">
        <v>0</v>
      </c>
      <c r="E1653" s="1314"/>
      <c r="F1653" s="1315"/>
      <c r="G1653" s="1316">
        <f>+SUMIF(asientos!$C$13:$C$1276,SYS_4_3_Digitos!A1653,asientos!$B$13:$B$1276)</f>
        <v>0</v>
      </c>
      <c r="H1653" s="1317">
        <f>+SUMIF(asientos!$I$13:$I$1276,SYS_4_3_Digitos!A1653,asientos!$J$13:$J$1276)</f>
        <v>0</v>
      </c>
      <c r="I1653" s="1314">
        <f t="shared" si="160"/>
        <v>0</v>
      </c>
      <c r="J1653" s="1315">
        <f t="shared" si="161"/>
        <v>0</v>
      </c>
      <c r="L1653" s="1308">
        <f t="shared" si="162"/>
        <v>0</v>
      </c>
      <c r="M1653" s="1296" t="str">
        <f t="shared" si="163"/>
        <v>0</v>
      </c>
      <c r="N1653" s="1309">
        <f t="shared" si="164"/>
        <v>0</v>
      </c>
      <c r="O1653" s="1296" t="str">
        <f t="shared" si="165"/>
        <v>0</v>
      </c>
    </row>
    <row r="1654" spans="1:15" s="1296" customFormat="1" hidden="1">
      <c r="A1654" s="1310"/>
      <c r="B1654" s="1311"/>
      <c r="C1654" s="1312">
        <v>0</v>
      </c>
      <c r="D1654" s="1313">
        <v>0</v>
      </c>
      <c r="E1654" s="1314"/>
      <c r="F1654" s="1315"/>
      <c r="G1654" s="1316">
        <f>+SUMIF(asientos!$C$13:$C$1276,SYS_4_3_Digitos!A1654,asientos!$B$13:$B$1276)</f>
        <v>0</v>
      </c>
      <c r="H1654" s="1317">
        <f>+SUMIF(asientos!$I$13:$I$1276,SYS_4_3_Digitos!A1654,asientos!$J$13:$J$1276)</f>
        <v>0</v>
      </c>
      <c r="I1654" s="1314">
        <f t="shared" si="160"/>
        <v>0</v>
      </c>
      <c r="J1654" s="1315">
        <f t="shared" si="161"/>
        <v>0</v>
      </c>
      <c r="L1654" s="1308">
        <f t="shared" si="162"/>
        <v>0</v>
      </c>
      <c r="M1654" s="1296" t="str">
        <f t="shared" si="163"/>
        <v>0</v>
      </c>
      <c r="N1654" s="1309">
        <f t="shared" si="164"/>
        <v>0</v>
      </c>
      <c r="O1654" s="1296" t="str">
        <f t="shared" si="165"/>
        <v>0</v>
      </c>
    </row>
    <row r="1655" spans="1:15" s="1296" customFormat="1" hidden="1">
      <c r="A1655" s="1310"/>
      <c r="B1655" s="1311"/>
      <c r="C1655" s="1312">
        <v>0</v>
      </c>
      <c r="D1655" s="1313">
        <v>0</v>
      </c>
      <c r="E1655" s="1314"/>
      <c r="F1655" s="1315"/>
      <c r="G1655" s="1316">
        <f>+SUMIF(asientos!$C$13:$C$1276,SYS_4_3_Digitos!A1655,asientos!$B$13:$B$1276)</f>
        <v>0</v>
      </c>
      <c r="H1655" s="1317">
        <f>+SUMIF(asientos!$I$13:$I$1276,SYS_4_3_Digitos!A1655,asientos!$J$13:$J$1276)</f>
        <v>0</v>
      </c>
      <c r="I1655" s="1314">
        <f t="shared" si="160"/>
        <v>0</v>
      </c>
      <c r="J1655" s="1315">
        <f t="shared" si="161"/>
        <v>0</v>
      </c>
      <c r="L1655" s="1308">
        <f t="shared" si="162"/>
        <v>0</v>
      </c>
      <c r="M1655" s="1296" t="str">
        <f t="shared" si="163"/>
        <v>0</v>
      </c>
      <c r="N1655" s="1309">
        <f t="shared" si="164"/>
        <v>0</v>
      </c>
      <c r="O1655" s="1296" t="str">
        <f t="shared" si="165"/>
        <v>0</v>
      </c>
    </row>
    <row r="1656" spans="1:15" s="1296" customFormat="1" hidden="1">
      <c r="A1656" s="1310"/>
      <c r="B1656" s="1311"/>
      <c r="C1656" s="1312">
        <v>0</v>
      </c>
      <c r="D1656" s="1313">
        <v>0</v>
      </c>
      <c r="E1656" s="1314"/>
      <c r="F1656" s="1315"/>
      <c r="G1656" s="1316">
        <f>+SUMIF(asientos!$C$13:$C$1276,SYS_4_3_Digitos!A1656,asientos!$B$13:$B$1276)</f>
        <v>0</v>
      </c>
      <c r="H1656" s="1317">
        <f>+SUMIF(asientos!$I$13:$I$1276,SYS_4_3_Digitos!A1656,asientos!$J$13:$J$1276)</f>
        <v>0</v>
      </c>
      <c r="I1656" s="1314">
        <f t="shared" si="160"/>
        <v>0</v>
      </c>
      <c r="J1656" s="1315">
        <f t="shared" si="161"/>
        <v>0</v>
      </c>
      <c r="L1656" s="1308">
        <f t="shared" si="162"/>
        <v>0</v>
      </c>
      <c r="M1656" s="1296" t="str">
        <f t="shared" si="163"/>
        <v>0</v>
      </c>
      <c r="N1656" s="1309">
        <f t="shared" si="164"/>
        <v>0</v>
      </c>
      <c r="O1656" s="1296" t="str">
        <f t="shared" si="165"/>
        <v>0</v>
      </c>
    </row>
    <row r="1657" spans="1:15" s="1296" customFormat="1" hidden="1">
      <c r="A1657" s="1310"/>
      <c r="B1657" s="1311"/>
      <c r="C1657" s="1312">
        <v>0</v>
      </c>
      <c r="D1657" s="1313">
        <v>0</v>
      </c>
      <c r="E1657" s="1314"/>
      <c r="F1657" s="1315"/>
      <c r="G1657" s="1316">
        <f>+SUMIF(asientos!$C$13:$C$1276,SYS_4_3_Digitos!A1657,asientos!$B$13:$B$1276)</f>
        <v>0</v>
      </c>
      <c r="H1657" s="1317">
        <f>+SUMIF(asientos!$I$13:$I$1276,SYS_4_3_Digitos!A1657,asientos!$J$13:$J$1276)</f>
        <v>0</v>
      </c>
      <c r="I1657" s="1314">
        <f t="shared" si="160"/>
        <v>0</v>
      </c>
      <c r="J1657" s="1315">
        <f t="shared" si="161"/>
        <v>0</v>
      </c>
      <c r="L1657" s="1308">
        <f t="shared" si="162"/>
        <v>0</v>
      </c>
      <c r="M1657" s="1296" t="str">
        <f t="shared" si="163"/>
        <v>0</v>
      </c>
      <c r="N1657" s="1309">
        <f t="shared" si="164"/>
        <v>0</v>
      </c>
      <c r="O1657" s="1296" t="str">
        <f t="shared" si="165"/>
        <v>0</v>
      </c>
    </row>
    <row r="1658" spans="1:15" s="1296" customFormat="1" hidden="1">
      <c r="A1658" s="1310"/>
      <c r="B1658" s="1311"/>
      <c r="C1658" s="1312">
        <v>0</v>
      </c>
      <c r="D1658" s="1313">
        <v>0</v>
      </c>
      <c r="E1658" s="1314"/>
      <c r="F1658" s="1315"/>
      <c r="G1658" s="1316">
        <f>+SUMIF(asientos!$C$13:$C$1276,SYS_4_3_Digitos!A1658,asientos!$B$13:$B$1276)</f>
        <v>0</v>
      </c>
      <c r="H1658" s="1317">
        <f>+SUMIF(asientos!$I$13:$I$1276,SYS_4_3_Digitos!A1658,asientos!$J$13:$J$1276)</f>
        <v>0</v>
      </c>
      <c r="I1658" s="1314">
        <f t="shared" si="160"/>
        <v>0</v>
      </c>
      <c r="J1658" s="1315">
        <f t="shared" si="161"/>
        <v>0</v>
      </c>
      <c r="L1658" s="1308">
        <f t="shared" si="162"/>
        <v>0</v>
      </c>
      <c r="M1658" s="1296" t="str">
        <f t="shared" si="163"/>
        <v>0</v>
      </c>
      <c r="N1658" s="1309">
        <f t="shared" si="164"/>
        <v>0</v>
      </c>
      <c r="O1658" s="1296" t="str">
        <f t="shared" si="165"/>
        <v>0</v>
      </c>
    </row>
    <row r="1659" spans="1:15" s="1296" customFormat="1" hidden="1">
      <c r="A1659" s="1310"/>
      <c r="B1659" s="1311"/>
      <c r="C1659" s="1312">
        <v>0</v>
      </c>
      <c r="D1659" s="1313">
        <v>0</v>
      </c>
      <c r="E1659" s="1314"/>
      <c r="F1659" s="1315"/>
      <c r="G1659" s="1316">
        <f>+SUMIF(asientos!$C$13:$C$1276,SYS_4_3_Digitos!A1659,asientos!$B$13:$B$1276)</f>
        <v>0</v>
      </c>
      <c r="H1659" s="1317">
        <f>+SUMIF(asientos!$I$13:$I$1276,SYS_4_3_Digitos!A1659,asientos!$J$13:$J$1276)</f>
        <v>0</v>
      </c>
      <c r="I1659" s="1314">
        <f t="shared" si="160"/>
        <v>0</v>
      </c>
      <c r="J1659" s="1315">
        <f t="shared" si="161"/>
        <v>0</v>
      </c>
      <c r="L1659" s="1308">
        <f t="shared" si="162"/>
        <v>0</v>
      </c>
      <c r="M1659" s="1296" t="str">
        <f t="shared" si="163"/>
        <v>0</v>
      </c>
      <c r="N1659" s="1309">
        <f t="shared" si="164"/>
        <v>0</v>
      </c>
      <c r="O1659" s="1296" t="str">
        <f t="shared" si="165"/>
        <v>0</v>
      </c>
    </row>
    <row r="1660" spans="1:15" s="1296" customFormat="1" hidden="1">
      <c r="A1660" s="1310"/>
      <c r="B1660" s="1311"/>
      <c r="C1660" s="1312">
        <v>0</v>
      </c>
      <c r="D1660" s="1313">
        <v>0</v>
      </c>
      <c r="E1660" s="1314"/>
      <c r="F1660" s="1315"/>
      <c r="G1660" s="1316">
        <f>+SUMIF(asientos!$C$13:$C$1276,SYS_4_3_Digitos!A1660,asientos!$B$13:$B$1276)</f>
        <v>0</v>
      </c>
      <c r="H1660" s="1317">
        <f>+SUMIF(asientos!$I$13:$I$1276,SYS_4_3_Digitos!A1660,asientos!$J$13:$J$1276)</f>
        <v>0</v>
      </c>
      <c r="I1660" s="1314">
        <f t="shared" si="160"/>
        <v>0</v>
      </c>
      <c r="J1660" s="1315">
        <f t="shared" si="161"/>
        <v>0</v>
      </c>
      <c r="L1660" s="1308">
        <f t="shared" si="162"/>
        <v>0</v>
      </c>
      <c r="M1660" s="1296" t="str">
        <f t="shared" si="163"/>
        <v>0</v>
      </c>
      <c r="N1660" s="1309">
        <f t="shared" si="164"/>
        <v>0</v>
      </c>
      <c r="O1660" s="1296" t="str">
        <f t="shared" si="165"/>
        <v>0</v>
      </c>
    </row>
    <row r="1661" spans="1:15" s="1296" customFormat="1" hidden="1">
      <c r="A1661" s="1310"/>
      <c r="B1661" s="1311"/>
      <c r="C1661" s="1312">
        <v>0</v>
      </c>
      <c r="D1661" s="1313">
        <v>0</v>
      </c>
      <c r="E1661" s="1314"/>
      <c r="F1661" s="1315"/>
      <c r="G1661" s="1316">
        <f>+SUMIF(asientos!$C$13:$C$1276,SYS_4_3_Digitos!A1661,asientos!$B$13:$B$1276)</f>
        <v>0</v>
      </c>
      <c r="H1661" s="1317">
        <f>+SUMIF(asientos!$I$13:$I$1276,SYS_4_3_Digitos!A1661,asientos!$J$13:$J$1276)</f>
        <v>0</v>
      </c>
      <c r="I1661" s="1314">
        <f t="shared" si="160"/>
        <v>0</v>
      </c>
      <c r="J1661" s="1315">
        <f t="shared" si="161"/>
        <v>0</v>
      </c>
      <c r="L1661" s="1308">
        <f t="shared" si="162"/>
        <v>0</v>
      </c>
      <c r="M1661" s="1296" t="str">
        <f t="shared" si="163"/>
        <v>0</v>
      </c>
      <c r="N1661" s="1309">
        <f t="shared" si="164"/>
        <v>0</v>
      </c>
      <c r="O1661" s="1296" t="str">
        <f t="shared" si="165"/>
        <v>0</v>
      </c>
    </row>
    <row r="1662" spans="1:15" s="1296" customFormat="1" hidden="1">
      <c r="A1662" s="1310"/>
      <c r="B1662" s="1311"/>
      <c r="C1662" s="1312">
        <v>0</v>
      </c>
      <c r="D1662" s="1313">
        <v>0</v>
      </c>
      <c r="E1662" s="1314"/>
      <c r="F1662" s="1315"/>
      <c r="G1662" s="1316">
        <f>+SUMIF(asientos!$C$13:$C$1276,SYS_4_3_Digitos!A1662,asientos!$B$13:$B$1276)</f>
        <v>0</v>
      </c>
      <c r="H1662" s="1317">
        <f>+SUMIF(asientos!$I$13:$I$1276,SYS_4_3_Digitos!A1662,asientos!$J$13:$J$1276)</f>
        <v>0</v>
      </c>
      <c r="I1662" s="1314">
        <f t="shared" si="160"/>
        <v>0</v>
      </c>
      <c r="J1662" s="1315">
        <f t="shared" si="161"/>
        <v>0</v>
      </c>
      <c r="L1662" s="1308">
        <f t="shared" si="162"/>
        <v>0</v>
      </c>
      <c r="M1662" s="1296" t="str">
        <f t="shared" si="163"/>
        <v>0</v>
      </c>
      <c r="N1662" s="1309">
        <f t="shared" si="164"/>
        <v>0</v>
      </c>
      <c r="O1662" s="1296" t="str">
        <f t="shared" si="165"/>
        <v>0</v>
      </c>
    </row>
    <row r="1663" spans="1:15" s="1296" customFormat="1" hidden="1">
      <c r="A1663" s="1310"/>
      <c r="B1663" s="1311"/>
      <c r="C1663" s="1312">
        <v>0</v>
      </c>
      <c r="D1663" s="1313">
        <v>0</v>
      </c>
      <c r="E1663" s="1314"/>
      <c r="F1663" s="1315"/>
      <c r="G1663" s="1316">
        <f>+SUMIF(asientos!$C$13:$C$1276,SYS_4_3_Digitos!A1663,asientos!$B$13:$B$1276)</f>
        <v>0</v>
      </c>
      <c r="H1663" s="1317">
        <f>+SUMIF(asientos!$I$13:$I$1276,SYS_4_3_Digitos!A1663,asientos!$J$13:$J$1276)</f>
        <v>0</v>
      </c>
      <c r="I1663" s="1314">
        <f t="shared" si="160"/>
        <v>0</v>
      </c>
      <c r="J1663" s="1315">
        <f t="shared" si="161"/>
        <v>0</v>
      </c>
      <c r="L1663" s="1308">
        <f t="shared" si="162"/>
        <v>0</v>
      </c>
      <c r="M1663" s="1296" t="str">
        <f t="shared" si="163"/>
        <v>0</v>
      </c>
      <c r="N1663" s="1309">
        <f t="shared" si="164"/>
        <v>0</v>
      </c>
      <c r="O1663" s="1296" t="str">
        <f t="shared" si="165"/>
        <v>0</v>
      </c>
    </row>
    <row r="1664" spans="1:15" s="1296" customFormat="1" hidden="1">
      <c r="A1664" s="1310"/>
      <c r="B1664" s="1311"/>
      <c r="C1664" s="1312">
        <v>0</v>
      </c>
      <c r="D1664" s="1313">
        <v>0</v>
      </c>
      <c r="E1664" s="1314"/>
      <c r="F1664" s="1315"/>
      <c r="G1664" s="1316">
        <f>+SUMIF(asientos!$C$13:$C$1276,SYS_4_3_Digitos!A1664,asientos!$B$13:$B$1276)</f>
        <v>0</v>
      </c>
      <c r="H1664" s="1317">
        <f>+SUMIF(asientos!$I$13:$I$1276,SYS_4_3_Digitos!A1664,asientos!$J$13:$J$1276)</f>
        <v>0</v>
      </c>
      <c r="I1664" s="1314">
        <f t="shared" si="160"/>
        <v>0</v>
      </c>
      <c r="J1664" s="1315">
        <f t="shared" si="161"/>
        <v>0</v>
      </c>
      <c r="L1664" s="1308">
        <f t="shared" si="162"/>
        <v>0</v>
      </c>
      <c r="M1664" s="1296" t="str">
        <f t="shared" si="163"/>
        <v>0</v>
      </c>
      <c r="N1664" s="1309">
        <f t="shared" si="164"/>
        <v>0</v>
      </c>
      <c r="O1664" s="1296" t="str">
        <f t="shared" si="165"/>
        <v>0</v>
      </c>
    </row>
    <row r="1665" spans="1:15" s="1296" customFormat="1" hidden="1">
      <c r="A1665" s="1310"/>
      <c r="B1665" s="1311"/>
      <c r="C1665" s="1312">
        <v>0</v>
      </c>
      <c r="D1665" s="1313">
        <v>0</v>
      </c>
      <c r="E1665" s="1314"/>
      <c r="F1665" s="1315"/>
      <c r="G1665" s="1316">
        <f>+SUMIF(asientos!$C$13:$C$1276,SYS_4_3_Digitos!A1665,asientos!$B$13:$B$1276)</f>
        <v>0</v>
      </c>
      <c r="H1665" s="1317">
        <f>+SUMIF(asientos!$I$13:$I$1276,SYS_4_3_Digitos!A1665,asientos!$J$13:$J$1276)</f>
        <v>0</v>
      </c>
      <c r="I1665" s="1314">
        <f t="shared" si="160"/>
        <v>0</v>
      </c>
      <c r="J1665" s="1315">
        <f t="shared" si="161"/>
        <v>0</v>
      </c>
      <c r="L1665" s="1308">
        <f t="shared" si="162"/>
        <v>0</v>
      </c>
      <c r="M1665" s="1296" t="str">
        <f t="shared" si="163"/>
        <v>0</v>
      </c>
      <c r="N1665" s="1309">
        <f t="shared" si="164"/>
        <v>0</v>
      </c>
      <c r="O1665" s="1296" t="str">
        <f t="shared" si="165"/>
        <v>0</v>
      </c>
    </row>
    <row r="1666" spans="1:15" s="1296" customFormat="1" hidden="1">
      <c r="A1666" s="1310"/>
      <c r="B1666" s="1311"/>
      <c r="C1666" s="1312">
        <v>0</v>
      </c>
      <c r="D1666" s="1313">
        <v>0</v>
      </c>
      <c r="E1666" s="1314"/>
      <c r="F1666" s="1315"/>
      <c r="G1666" s="1316">
        <f>+SUMIF(asientos!$C$13:$C$1276,SYS_4_3_Digitos!A1666,asientos!$B$13:$B$1276)</f>
        <v>0</v>
      </c>
      <c r="H1666" s="1317">
        <f>+SUMIF(asientos!$I$13:$I$1276,SYS_4_3_Digitos!A1666,asientos!$J$13:$J$1276)</f>
        <v>0</v>
      </c>
      <c r="I1666" s="1314">
        <f t="shared" si="160"/>
        <v>0</v>
      </c>
      <c r="J1666" s="1315">
        <f t="shared" si="161"/>
        <v>0</v>
      </c>
      <c r="L1666" s="1308">
        <f t="shared" si="162"/>
        <v>0</v>
      </c>
      <c r="M1666" s="1296" t="str">
        <f t="shared" si="163"/>
        <v>0</v>
      </c>
      <c r="N1666" s="1309">
        <f t="shared" si="164"/>
        <v>0</v>
      </c>
      <c r="O1666" s="1296" t="str">
        <f t="shared" si="165"/>
        <v>0</v>
      </c>
    </row>
    <row r="1667" spans="1:15" s="1296" customFormat="1" hidden="1">
      <c r="A1667" s="1310"/>
      <c r="B1667" s="1311"/>
      <c r="C1667" s="1312">
        <v>0</v>
      </c>
      <c r="D1667" s="1313">
        <v>0</v>
      </c>
      <c r="E1667" s="1314"/>
      <c r="F1667" s="1315"/>
      <c r="G1667" s="1316">
        <f>+SUMIF(asientos!$C$13:$C$1276,SYS_4_3_Digitos!A1667,asientos!$B$13:$B$1276)</f>
        <v>0</v>
      </c>
      <c r="H1667" s="1317">
        <f>+SUMIF(asientos!$I$13:$I$1276,SYS_4_3_Digitos!A1667,asientos!$J$13:$J$1276)</f>
        <v>0</v>
      </c>
      <c r="I1667" s="1314">
        <f t="shared" si="160"/>
        <v>0</v>
      </c>
      <c r="J1667" s="1315">
        <f t="shared" si="161"/>
        <v>0</v>
      </c>
      <c r="L1667" s="1308">
        <f t="shared" si="162"/>
        <v>0</v>
      </c>
      <c r="M1667" s="1296" t="str">
        <f t="shared" si="163"/>
        <v>0</v>
      </c>
      <c r="N1667" s="1309">
        <f t="shared" si="164"/>
        <v>0</v>
      </c>
      <c r="O1667" s="1296" t="str">
        <f t="shared" si="165"/>
        <v>0</v>
      </c>
    </row>
    <row r="1668" spans="1:15" s="1296" customFormat="1" hidden="1">
      <c r="A1668" s="1310"/>
      <c r="B1668" s="1311"/>
      <c r="C1668" s="1312">
        <v>0</v>
      </c>
      <c r="D1668" s="1313">
        <v>0</v>
      </c>
      <c r="E1668" s="1314"/>
      <c r="F1668" s="1315"/>
      <c r="G1668" s="1316">
        <f>+SUMIF(asientos!$C$13:$C$1276,SYS_4_3_Digitos!A1668,asientos!$B$13:$B$1276)</f>
        <v>0</v>
      </c>
      <c r="H1668" s="1317">
        <f>+SUMIF(asientos!$I$13:$I$1276,SYS_4_3_Digitos!A1668,asientos!$J$13:$J$1276)</f>
        <v>0</v>
      </c>
      <c r="I1668" s="1314">
        <f t="shared" si="160"/>
        <v>0</v>
      </c>
      <c r="J1668" s="1315">
        <f t="shared" si="161"/>
        <v>0</v>
      </c>
      <c r="L1668" s="1308">
        <f t="shared" si="162"/>
        <v>0</v>
      </c>
      <c r="M1668" s="1296" t="str">
        <f t="shared" si="163"/>
        <v>0</v>
      </c>
      <c r="N1668" s="1309">
        <f t="shared" si="164"/>
        <v>0</v>
      </c>
      <c r="O1668" s="1296" t="str">
        <f t="shared" si="165"/>
        <v>0</v>
      </c>
    </row>
    <row r="1669" spans="1:15" s="1296" customFormat="1" hidden="1">
      <c r="A1669" s="1310"/>
      <c r="B1669" s="1311"/>
      <c r="C1669" s="1312">
        <v>0</v>
      </c>
      <c r="D1669" s="1313">
        <v>0</v>
      </c>
      <c r="E1669" s="1314"/>
      <c r="F1669" s="1315"/>
      <c r="G1669" s="1316">
        <f>+SUMIF(asientos!$C$13:$C$1276,SYS_4_3_Digitos!A1669,asientos!$B$13:$B$1276)</f>
        <v>0</v>
      </c>
      <c r="H1669" s="1317">
        <f>+SUMIF(asientos!$I$13:$I$1276,SYS_4_3_Digitos!A1669,asientos!$J$13:$J$1276)</f>
        <v>0</v>
      </c>
      <c r="I1669" s="1314">
        <f t="shared" si="160"/>
        <v>0</v>
      </c>
      <c r="J1669" s="1315">
        <f t="shared" si="161"/>
        <v>0</v>
      </c>
      <c r="L1669" s="1308">
        <f t="shared" si="162"/>
        <v>0</v>
      </c>
      <c r="M1669" s="1296" t="str">
        <f t="shared" si="163"/>
        <v>0</v>
      </c>
      <c r="N1669" s="1309">
        <f t="shared" si="164"/>
        <v>0</v>
      </c>
      <c r="O1669" s="1296" t="str">
        <f t="shared" si="165"/>
        <v>0</v>
      </c>
    </row>
    <row r="1670" spans="1:15" s="1296" customFormat="1" hidden="1">
      <c r="A1670" s="1310"/>
      <c r="B1670" s="1311"/>
      <c r="C1670" s="1312">
        <v>0</v>
      </c>
      <c r="D1670" s="1313">
        <v>0</v>
      </c>
      <c r="E1670" s="1314"/>
      <c r="F1670" s="1315"/>
      <c r="G1670" s="1316">
        <f>+SUMIF(asientos!$C$13:$C$1276,SYS_4_3_Digitos!A1670,asientos!$B$13:$B$1276)</f>
        <v>0</v>
      </c>
      <c r="H1670" s="1317">
        <f>+SUMIF(asientos!$I$13:$I$1276,SYS_4_3_Digitos!A1670,asientos!$J$13:$J$1276)</f>
        <v>0</v>
      </c>
      <c r="I1670" s="1314">
        <f t="shared" si="160"/>
        <v>0</v>
      </c>
      <c r="J1670" s="1315">
        <f t="shared" si="161"/>
        <v>0</v>
      </c>
      <c r="L1670" s="1308">
        <f t="shared" si="162"/>
        <v>0</v>
      </c>
      <c r="M1670" s="1296" t="str">
        <f t="shared" si="163"/>
        <v>0</v>
      </c>
      <c r="N1670" s="1309">
        <f t="shared" si="164"/>
        <v>0</v>
      </c>
      <c r="O1670" s="1296" t="str">
        <f t="shared" si="165"/>
        <v>0</v>
      </c>
    </row>
    <row r="1671" spans="1:15" s="1296" customFormat="1" hidden="1">
      <c r="A1671" s="1310"/>
      <c r="B1671" s="1311"/>
      <c r="C1671" s="1312">
        <v>0</v>
      </c>
      <c r="D1671" s="1313">
        <v>0</v>
      </c>
      <c r="E1671" s="1314"/>
      <c r="F1671" s="1315"/>
      <c r="G1671" s="1316">
        <f>+SUMIF(asientos!$C$13:$C$1276,SYS_4_3_Digitos!A1671,asientos!$B$13:$B$1276)</f>
        <v>0</v>
      </c>
      <c r="H1671" s="1317">
        <f>+SUMIF(asientos!$I$13:$I$1276,SYS_4_3_Digitos!A1671,asientos!$J$13:$J$1276)</f>
        <v>0</v>
      </c>
      <c r="I1671" s="1314">
        <f t="shared" si="160"/>
        <v>0</v>
      </c>
      <c r="J1671" s="1315">
        <f t="shared" si="161"/>
        <v>0</v>
      </c>
      <c r="L1671" s="1308">
        <f t="shared" si="162"/>
        <v>0</v>
      </c>
      <c r="M1671" s="1296" t="str">
        <f t="shared" si="163"/>
        <v>0</v>
      </c>
      <c r="N1671" s="1309">
        <f t="shared" si="164"/>
        <v>0</v>
      </c>
      <c r="O1671" s="1296" t="str">
        <f t="shared" si="165"/>
        <v>0</v>
      </c>
    </row>
    <row r="1672" spans="1:15" s="1296" customFormat="1" hidden="1">
      <c r="A1672" s="1310"/>
      <c r="B1672" s="1311"/>
      <c r="C1672" s="1312">
        <v>0</v>
      </c>
      <c r="D1672" s="1313">
        <v>0</v>
      </c>
      <c r="E1672" s="1314"/>
      <c r="F1672" s="1315"/>
      <c r="G1672" s="1316">
        <f>+SUMIF(asientos!$C$13:$C$1276,SYS_4_3_Digitos!A1672,asientos!$B$13:$B$1276)</f>
        <v>0</v>
      </c>
      <c r="H1672" s="1317">
        <f>+SUMIF(asientos!$I$13:$I$1276,SYS_4_3_Digitos!A1672,asientos!$J$13:$J$1276)</f>
        <v>0</v>
      </c>
      <c r="I1672" s="1314">
        <f t="shared" si="160"/>
        <v>0</v>
      </c>
      <c r="J1672" s="1315">
        <f t="shared" si="161"/>
        <v>0</v>
      </c>
      <c r="L1672" s="1308">
        <f t="shared" si="162"/>
        <v>0</v>
      </c>
      <c r="M1672" s="1296" t="str">
        <f t="shared" si="163"/>
        <v>0</v>
      </c>
      <c r="N1672" s="1309">
        <f t="shared" si="164"/>
        <v>0</v>
      </c>
      <c r="O1672" s="1296" t="str">
        <f t="shared" si="165"/>
        <v>0</v>
      </c>
    </row>
    <row r="1673" spans="1:15" s="1296" customFormat="1" hidden="1">
      <c r="A1673" s="1310"/>
      <c r="B1673" s="1311"/>
      <c r="C1673" s="1312">
        <v>0</v>
      </c>
      <c r="D1673" s="1313">
        <v>0</v>
      </c>
      <c r="E1673" s="1314"/>
      <c r="F1673" s="1315"/>
      <c r="G1673" s="1316">
        <f>+SUMIF(asientos!$C$13:$C$1276,SYS_4_3_Digitos!A1673,asientos!$B$13:$B$1276)</f>
        <v>0</v>
      </c>
      <c r="H1673" s="1317">
        <f>+SUMIF(asientos!$I$13:$I$1276,SYS_4_3_Digitos!A1673,asientos!$J$13:$J$1276)</f>
        <v>0</v>
      </c>
      <c r="I1673" s="1314">
        <f t="shared" si="160"/>
        <v>0</v>
      </c>
      <c r="J1673" s="1315">
        <f t="shared" si="161"/>
        <v>0</v>
      </c>
      <c r="L1673" s="1308">
        <f t="shared" si="162"/>
        <v>0</v>
      </c>
      <c r="M1673" s="1296" t="str">
        <f t="shared" si="163"/>
        <v>0</v>
      </c>
      <c r="N1673" s="1309">
        <f t="shared" si="164"/>
        <v>0</v>
      </c>
      <c r="O1673" s="1296" t="str">
        <f t="shared" si="165"/>
        <v>0</v>
      </c>
    </row>
    <row r="1674" spans="1:15" s="1296" customFormat="1" hidden="1">
      <c r="A1674" s="1310"/>
      <c r="B1674" s="1311"/>
      <c r="C1674" s="1312">
        <v>0</v>
      </c>
      <c r="D1674" s="1313">
        <v>0</v>
      </c>
      <c r="E1674" s="1314"/>
      <c r="F1674" s="1315"/>
      <c r="G1674" s="1316">
        <f>+SUMIF(asientos!$C$13:$C$1276,SYS_4_3_Digitos!A1674,asientos!$B$13:$B$1276)</f>
        <v>0</v>
      </c>
      <c r="H1674" s="1317">
        <f>+SUMIF(asientos!$I$13:$I$1276,SYS_4_3_Digitos!A1674,asientos!$J$13:$J$1276)</f>
        <v>0</v>
      </c>
      <c r="I1674" s="1314">
        <f t="shared" si="160"/>
        <v>0</v>
      </c>
      <c r="J1674" s="1315">
        <f t="shared" si="161"/>
        <v>0</v>
      </c>
      <c r="L1674" s="1308">
        <f t="shared" si="162"/>
        <v>0</v>
      </c>
      <c r="M1674" s="1296" t="str">
        <f t="shared" si="163"/>
        <v>0</v>
      </c>
      <c r="N1674" s="1309">
        <f t="shared" si="164"/>
        <v>0</v>
      </c>
      <c r="O1674" s="1296" t="str">
        <f t="shared" si="165"/>
        <v>0</v>
      </c>
    </row>
    <row r="1675" spans="1:15" s="1296" customFormat="1" hidden="1">
      <c r="A1675" s="1310"/>
      <c r="B1675" s="1311"/>
      <c r="C1675" s="1312">
        <v>0</v>
      </c>
      <c r="D1675" s="1313">
        <v>0</v>
      </c>
      <c r="E1675" s="1314"/>
      <c r="F1675" s="1315"/>
      <c r="G1675" s="1316">
        <f>+SUMIF(asientos!$C$13:$C$1276,SYS_4_3_Digitos!A1675,asientos!$B$13:$B$1276)</f>
        <v>0</v>
      </c>
      <c r="H1675" s="1317">
        <f>+SUMIF(asientos!$I$13:$I$1276,SYS_4_3_Digitos!A1675,asientos!$J$13:$J$1276)</f>
        <v>0</v>
      </c>
      <c r="I1675" s="1314">
        <f t="shared" si="160"/>
        <v>0</v>
      </c>
      <c r="J1675" s="1315">
        <f t="shared" si="161"/>
        <v>0</v>
      </c>
      <c r="L1675" s="1308">
        <f t="shared" si="162"/>
        <v>0</v>
      </c>
      <c r="M1675" s="1296" t="str">
        <f t="shared" si="163"/>
        <v>0</v>
      </c>
      <c r="N1675" s="1309">
        <f t="shared" si="164"/>
        <v>0</v>
      </c>
      <c r="O1675" s="1296" t="str">
        <f t="shared" si="165"/>
        <v>0</v>
      </c>
    </row>
    <row r="1676" spans="1:15" s="1296" customFormat="1" hidden="1">
      <c r="A1676" s="1310"/>
      <c r="B1676" s="1311"/>
      <c r="C1676" s="1312">
        <v>0</v>
      </c>
      <c r="D1676" s="1313">
        <v>0</v>
      </c>
      <c r="E1676" s="1314"/>
      <c r="F1676" s="1315"/>
      <c r="G1676" s="1316">
        <f>+SUMIF(asientos!$C$13:$C$1276,SYS_4_3_Digitos!A1676,asientos!$B$13:$B$1276)</f>
        <v>0</v>
      </c>
      <c r="H1676" s="1317">
        <f>+SUMIF(asientos!$I$13:$I$1276,SYS_4_3_Digitos!A1676,asientos!$J$13:$J$1276)</f>
        <v>0</v>
      </c>
      <c r="I1676" s="1314">
        <f t="shared" si="160"/>
        <v>0</v>
      </c>
      <c r="J1676" s="1315">
        <f t="shared" si="161"/>
        <v>0</v>
      </c>
      <c r="L1676" s="1308">
        <f t="shared" si="162"/>
        <v>0</v>
      </c>
      <c r="M1676" s="1296" t="str">
        <f t="shared" si="163"/>
        <v>0</v>
      </c>
      <c r="N1676" s="1309">
        <f t="shared" si="164"/>
        <v>0</v>
      </c>
      <c r="O1676" s="1296" t="str">
        <f t="shared" si="165"/>
        <v>0</v>
      </c>
    </row>
    <row r="1677" spans="1:15" s="1296" customFormat="1" hidden="1">
      <c r="A1677" s="1310"/>
      <c r="B1677" s="1311"/>
      <c r="C1677" s="1312">
        <v>0</v>
      </c>
      <c r="D1677" s="1313">
        <v>0</v>
      </c>
      <c r="E1677" s="1314"/>
      <c r="F1677" s="1315"/>
      <c r="G1677" s="1316">
        <f>+SUMIF(asientos!$C$13:$C$1276,SYS_4_3_Digitos!A1677,asientos!$B$13:$B$1276)</f>
        <v>0</v>
      </c>
      <c r="H1677" s="1317">
        <f>+SUMIF(asientos!$I$13:$I$1276,SYS_4_3_Digitos!A1677,asientos!$J$13:$J$1276)</f>
        <v>0</v>
      </c>
      <c r="I1677" s="1314">
        <f t="shared" si="160"/>
        <v>0</v>
      </c>
      <c r="J1677" s="1315">
        <f t="shared" si="161"/>
        <v>0</v>
      </c>
      <c r="L1677" s="1308">
        <f t="shared" si="162"/>
        <v>0</v>
      </c>
      <c r="M1677" s="1296" t="str">
        <f t="shared" si="163"/>
        <v>0</v>
      </c>
      <c r="N1677" s="1309">
        <f t="shared" si="164"/>
        <v>0</v>
      </c>
      <c r="O1677" s="1296" t="str">
        <f t="shared" si="165"/>
        <v>0</v>
      </c>
    </row>
    <row r="1678" spans="1:15" s="1296" customFormat="1" hidden="1">
      <c r="A1678" s="1310"/>
      <c r="B1678" s="1311"/>
      <c r="C1678" s="1312">
        <v>0</v>
      </c>
      <c r="D1678" s="1313">
        <v>0</v>
      </c>
      <c r="E1678" s="1314"/>
      <c r="F1678" s="1315"/>
      <c r="G1678" s="1316">
        <f>+SUMIF(asientos!$C$13:$C$1276,SYS_4_3_Digitos!A1678,asientos!$B$13:$B$1276)</f>
        <v>0</v>
      </c>
      <c r="H1678" s="1317">
        <f>+SUMIF(asientos!$I$13:$I$1276,SYS_4_3_Digitos!A1678,asientos!$J$13:$J$1276)</f>
        <v>0</v>
      </c>
      <c r="I1678" s="1314">
        <f t="shared" si="160"/>
        <v>0</v>
      </c>
      <c r="J1678" s="1315">
        <f t="shared" si="161"/>
        <v>0</v>
      </c>
      <c r="L1678" s="1308">
        <f t="shared" si="162"/>
        <v>0</v>
      </c>
      <c r="M1678" s="1296" t="str">
        <f t="shared" si="163"/>
        <v>0</v>
      </c>
      <c r="N1678" s="1309">
        <f t="shared" si="164"/>
        <v>0</v>
      </c>
      <c r="O1678" s="1296" t="str">
        <f t="shared" si="165"/>
        <v>0</v>
      </c>
    </row>
    <row r="1679" spans="1:15" s="1296" customFormat="1" hidden="1">
      <c r="A1679" s="1310"/>
      <c r="B1679" s="1311"/>
      <c r="C1679" s="1312">
        <v>0</v>
      </c>
      <c r="D1679" s="1313">
        <v>0</v>
      </c>
      <c r="E1679" s="1314"/>
      <c r="F1679" s="1315"/>
      <c r="G1679" s="1316">
        <f>+SUMIF(asientos!$C$13:$C$1276,SYS_4_3_Digitos!A1679,asientos!$B$13:$B$1276)</f>
        <v>0</v>
      </c>
      <c r="H1679" s="1317">
        <f>+SUMIF(asientos!$I$13:$I$1276,SYS_4_3_Digitos!A1679,asientos!$J$13:$J$1276)</f>
        <v>0</v>
      </c>
      <c r="I1679" s="1314">
        <f t="shared" si="160"/>
        <v>0</v>
      </c>
      <c r="J1679" s="1315">
        <f t="shared" si="161"/>
        <v>0</v>
      </c>
      <c r="L1679" s="1308">
        <f t="shared" si="162"/>
        <v>0</v>
      </c>
      <c r="M1679" s="1296" t="str">
        <f t="shared" si="163"/>
        <v>0</v>
      </c>
      <c r="N1679" s="1309">
        <f t="shared" si="164"/>
        <v>0</v>
      </c>
      <c r="O1679" s="1296" t="str">
        <f t="shared" si="165"/>
        <v>0</v>
      </c>
    </row>
    <row r="1680" spans="1:15" s="1296" customFormat="1" hidden="1">
      <c r="A1680" s="1310"/>
      <c r="B1680" s="1311"/>
      <c r="C1680" s="1312">
        <v>0</v>
      </c>
      <c r="D1680" s="1313">
        <v>0</v>
      </c>
      <c r="E1680" s="1314"/>
      <c r="F1680" s="1315"/>
      <c r="G1680" s="1316">
        <f>+SUMIF(asientos!$C$13:$C$1276,SYS_4_3_Digitos!A1680,asientos!$B$13:$B$1276)</f>
        <v>0</v>
      </c>
      <c r="H1680" s="1317">
        <f>+SUMIF(asientos!$I$13:$I$1276,SYS_4_3_Digitos!A1680,asientos!$J$13:$J$1276)</f>
        <v>0</v>
      </c>
      <c r="I1680" s="1314">
        <f t="shared" si="160"/>
        <v>0</v>
      </c>
      <c r="J1680" s="1315">
        <f t="shared" si="161"/>
        <v>0</v>
      </c>
      <c r="L1680" s="1308">
        <f t="shared" si="162"/>
        <v>0</v>
      </c>
      <c r="M1680" s="1296" t="str">
        <f t="shared" si="163"/>
        <v>0</v>
      </c>
      <c r="N1680" s="1309">
        <f t="shared" si="164"/>
        <v>0</v>
      </c>
      <c r="O1680" s="1296" t="str">
        <f t="shared" si="165"/>
        <v>0</v>
      </c>
    </row>
    <row r="1681" spans="1:15" s="1296" customFormat="1" hidden="1">
      <c r="A1681" s="1310"/>
      <c r="B1681" s="1311"/>
      <c r="C1681" s="1312">
        <v>0</v>
      </c>
      <c r="D1681" s="1313">
        <v>0</v>
      </c>
      <c r="E1681" s="1314"/>
      <c r="F1681" s="1315"/>
      <c r="G1681" s="1316">
        <f>+SUMIF(asientos!$C$13:$C$1276,SYS_4_3_Digitos!A1681,asientos!$B$13:$B$1276)</f>
        <v>0</v>
      </c>
      <c r="H1681" s="1317">
        <f>+SUMIF(asientos!$I$13:$I$1276,SYS_4_3_Digitos!A1681,asientos!$J$13:$J$1276)</f>
        <v>0</v>
      </c>
      <c r="I1681" s="1314">
        <f t="shared" si="160"/>
        <v>0</v>
      </c>
      <c r="J1681" s="1315">
        <f t="shared" si="161"/>
        <v>0</v>
      </c>
      <c r="L1681" s="1308">
        <f t="shared" si="162"/>
        <v>0</v>
      </c>
      <c r="M1681" s="1296" t="str">
        <f t="shared" si="163"/>
        <v>0</v>
      </c>
      <c r="N1681" s="1309">
        <f t="shared" si="164"/>
        <v>0</v>
      </c>
      <c r="O1681" s="1296" t="str">
        <f t="shared" si="165"/>
        <v>0</v>
      </c>
    </row>
    <row r="1682" spans="1:15" s="1296" customFormat="1" hidden="1">
      <c r="A1682" s="1310"/>
      <c r="B1682" s="1311"/>
      <c r="C1682" s="1312">
        <v>0</v>
      </c>
      <c r="D1682" s="1313">
        <v>0</v>
      </c>
      <c r="E1682" s="1314"/>
      <c r="F1682" s="1315"/>
      <c r="G1682" s="1316">
        <f>+SUMIF(asientos!$C$13:$C$1276,SYS_4_3_Digitos!A1682,asientos!$B$13:$B$1276)</f>
        <v>0</v>
      </c>
      <c r="H1682" s="1317">
        <f>+SUMIF(asientos!$I$13:$I$1276,SYS_4_3_Digitos!A1682,asientos!$J$13:$J$1276)</f>
        <v>0</v>
      </c>
      <c r="I1682" s="1314">
        <f t="shared" si="160"/>
        <v>0</v>
      </c>
      <c r="J1682" s="1315">
        <f t="shared" si="161"/>
        <v>0</v>
      </c>
      <c r="L1682" s="1308">
        <f t="shared" si="162"/>
        <v>0</v>
      </c>
      <c r="M1682" s="1296" t="str">
        <f t="shared" si="163"/>
        <v>0</v>
      </c>
      <c r="N1682" s="1309">
        <f t="shared" si="164"/>
        <v>0</v>
      </c>
      <c r="O1682" s="1296" t="str">
        <f t="shared" si="165"/>
        <v>0</v>
      </c>
    </row>
    <row r="1683" spans="1:15" s="1296" customFormat="1" hidden="1">
      <c r="A1683" s="1310"/>
      <c r="B1683" s="1311"/>
      <c r="C1683" s="1312">
        <v>0</v>
      </c>
      <c r="D1683" s="1313">
        <v>0</v>
      </c>
      <c r="E1683" s="1314"/>
      <c r="F1683" s="1315"/>
      <c r="G1683" s="1316">
        <f>+SUMIF(asientos!$C$13:$C$1276,SYS_4_3_Digitos!A1683,asientos!$B$13:$B$1276)</f>
        <v>0</v>
      </c>
      <c r="H1683" s="1317">
        <f>+SUMIF(asientos!$I$13:$I$1276,SYS_4_3_Digitos!A1683,asientos!$J$13:$J$1276)</f>
        <v>0</v>
      </c>
      <c r="I1683" s="1314">
        <f t="shared" si="160"/>
        <v>0</v>
      </c>
      <c r="J1683" s="1315">
        <f t="shared" si="161"/>
        <v>0</v>
      </c>
      <c r="L1683" s="1308">
        <f t="shared" si="162"/>
        <v>0</v>
      </c>
      <c r="M1683" s="1296" t="str">
        <f t="shared" si="163"/>
        <v>0</v>
      </c>
      <c r="N1683" s="1309">
        <f t="shared" si="164"/>
        <v>0</v>
      </c>
      <c r="O1683" s="1296" t="str">
        <f t="shared" si="165"/>
        <v>0</v>
      </c>
    </row>
    <row r="1684" spans="1:15" s="1296" customFormat="1" hidden="1">
      <c r="A1684" s="1310"/>
      <c r="B1684" s="1311"/>
      <c r="C1684" s="1312">
        <v>0</v>
      </c>
      <c r="D1684" s="1313">
        <v>0</v>
      </c>
      <c r="E1684" s="1314"/>
      <c r="F1684" s="1315"/>
      <c r="G1684" s="1316">
        <f>+SUMIF(asientos!$C$13:$C$1276,SYS_4_3_Digitos!A1684,asientos!$B$13:$B$1276)</f>
        <v>0</v>
      </c>
      <c r="H1684" s="1317">
        <f>+SUMIF(asientos!$I$13:$I$1276,SYS_4_3_Digitos!A1684,asientos!$J$13:$J$1276)</f>
        <v>0</v>
      </c>
      <c r="I1684" s="1314">
        <f t="shared" si="160"/>
        <v>0</v>
      </c>
      <c r="J1684" s="1315">
        <f t="shared" si="161"/>
        <v>0</v>
      </c>
      <c r="L1684" s="1308">
        <f t="shared" si="162"/>
        <v>0</v>
      </c>
      <c r="M1684" s="1296" t="str">
        <f t="shared" si="163"/>
        <v>0</v>
      </c>
      <c r="N1684" s="1309">
        <f t="shared" si="164"/>
        <v>0</v>
      </c>
      <c r="O1684" s="1296" t="str">
        <f t="shared" si="165"/>
        <v>0</v>
      </c>
    </row>
    <row r="1685" spans="1:15" s="1296" customFormat="1" hidden="1">
      <c r="A1685" s="1310"/>
      <c r="B1685" s="1311"/>
      <c r="C1685" s="1312">
        <v>0</v>
      </c>
      <c r="D1685" s="1313">
        <v>0</v>
      </c>
      <c r="E1685" s="1314"/>
      <c r="F1685" s="1315"/>
      <c r="G1685" s="1316">
        <f>+SUMIF(asientos!$C$13:$C$1276,SYS_4_3_Digitos!A1685,asientos!$B$13:$B$1276)</f>
        <v>0</v>
      </c>
      <c r="H1685" s="1317">
        <f>+SUMIF(asientos!$I$13:$I$1276,SYS_4_3_Digitos!A1685,asientos!$J$13:$J$1276)</f>
        <v>0</v>
      </c>
      <c r="I1685" s="1314">
        <f t="shared" si="160"/>
        <v>0</v>
      </c>
      <c r="J1685" s="1315">
        <f t="shared" si="161"/>
        <v>0</v>
      </c>
      <c r="L1685" s="1308">
        <f t="shared" si="162"/>
        <v>0</v>
      </c>
      <c r="M1685" s="1296" t="str">
        <f t="shared" si="163"/>
        <v>0</v>
      </c>
      <c r="N1685" s="1309">
        <f t="shared" si="164"/>
        <v>0</v>
      </c>
      <c r="O1685" s="1296" t="str">
        <f t="shared" si="165"/>
        <v>0</v>
      </c>
    </row>
    <row r="1686" spans="1:15" s="1296" customFormat="1" hidden="1">
      <c r="A1686" s="1310"/>
      <c r="B1686" s="1311"/>
      <c r="C1686" s="1312">
        <v>0</v>
      </c>
      <c r="D1686" s="1313">
        <v>0</v>
      </c>
      <c r="E1686" s="1314"/>
      <c r="F1686" s="1315"/>
      <c r="G1686" s="1316">
        <f>+SUMIF(asientos!$C$13:$C$1276,SYS_4_3_Digitos!A1686,asientos!$B$13:$B$1276)</f>
        <v>0</v>
      </c>
      <c r="H1686" s="1317">
        <f>+SUMIF(asientos!$I$13:$I$1276,SYS_4_3_Digitos!A1686,asientos!$J$13:$J$1276)</f>
        <v>0</v>
      </c>
      <c r="I1686" s="1314">
        <f t="shared" si="160"/>
        <v>0</v>
      </c>
      <c r="J1686" s="1315">
        <f t="shared" si="161"/>
        <v>0</v>
      </c>
      <c r="L1686" s="1308">
        <f t="shared" si="162"/>
        <v>0</v>
      </c>
      <c r="M1686" s="1296" t="str">
        <f t="shared" si="163"/>
        <v>0</v>
      </c>
      <c r="N1686" s="1309">
        <f t="shared" si="164"/>
        <v>0</v>
      </c>
      <c r="O1686" s="1296" t="str">
        <f t="shared" si="165"/>
        <v>0</v>
      </c>
    </row>
    <row r="1687" spans="1:15" s="1296" customFormat="1" hidden="1">
      <c r="A1687" s="1310"/>
      <c r="B1687" s="1311"/>
      <c r="C1687" s="1312">
        <v>0</v>
      </c>
      <c r="D1687" s="1313">
        <v>0</v>
      </c>
      <c r="E1687" s="1314"/>
      <c r="F1687" s="1315"/>
      <c r="G1687" s="1316">
        <f>+SUMIF(asientos!$C$13:$C$1276,SYS_4_3_Digitos!A1687,asientos!$B$13:$B$1276)</f>
        <v>0</v>
      </c>
      <c r="H1687" s="1317">
        <f>+SUMIF(asientos!$I$13:$I$1276,SYS_4_3_Digitos!A1687,asientos!$J$13:$J$1276)</f>
        <v>0</v>
      </c>
      <c r="I1687" s="1314">
        <f t="shared" si="160"/>
        <v>0</v>
      </c>
      <c r="J1687" s="1315">
        <f t="shared" si="161"/>
        <v>0</v>
      </c>
      <c r="L1687" s="1308">
        <f t="shared" si="162"/>
        <v>0</v>
      </c>
      <c r="M1687" s="1296" t="str">
        <f t="shared" si="163"/>
        <v>0</v>
      </c>
      <c r="N1687" s="1309">
        <f t="shared" si="164"/>
        <v>0</v>
      </c>
      <c r="O1687" s="1296" t="str">
        <f t="shared" si="165"/>
        <v>0</v>
      </c>
    </row>
    <row r="1688" spans="1:15" s="1296" customFormat="1" hidden="1">
      <c r="A1688" s="1310"/>
      <c r="B1688" s="1311"/>
      <c r="C1688" s="1312">
        <v>0</v>
      </c>
      <c r="D1688" s="1313">
        <v>0</v>
      </c>
      <c r="E1688" s="1314"/>
      <c r="F1688" s="1315"/>
      <c r="G1688" s="1316">
        <f>+SUMIF(asientos!$C$13:$C$1276,SYS_4_3_Digitos!A1688,asientos!$B$13:$B$1276)</f>
        <v>0</v>
      </c>
      <c r="H1688" s="1317">
        <f>+SUMIF(asientos!$I$13:$I$1276,SYS_4_3_Digitos!A1688,asientos!$J$13:$J$1276)</f>
        <v>0</v>
      </c>
      <c r="I1688" s="1314">
        <f t="shared" si="160"/>
        <v>0</v>
      </c>
      <c r="J1688" s="1315">
        <f t="shared" si="161"/>
        <v>0</v>
      </c>
      <c r="L1688" s="1308">
        <f t="shared" si="162"/>
        <v>0</v>
      </c>
      <c r="M1688" s="1296" t="str">
        <f t="shared" si="163"/>
        <v>0</v>
      </c>
      <c r="N1688" s="1309">
        <f t="shared" si="164"/>
        <v>0</v>
      </c>
      <c r="O1688" s="1296" t="str">
        <f t="shared" si="165"/>
        <v>0</v>
      </c>
    </row>
    <row r="1689" spans="1:15" s="1296" customFormat="1" hidden="1">
      <c r="A1689" s="1310"/>
      <c r="B1689" s="1311"/>
      <c r="C1689" s="1312">
        <v>0</v>
      </c>
      <c r="D1689" s="1313">
        <v>0</v>
      </c>
      <c r="E1689" s="1314"/>
      <c r="F1689" s="1315"/>
      <c r="G1689" s="1316">
        <f>+SUMIF(asientos!$C$13:$C$1276,SYS_4_3_Digitos!A1689,asientos!$B$13:$B$1276)</f>
        <v>0</v>
      </c>
      <c r="H1689" s="1317">
        <f>+SUMIF(asientos!$I$13:$I$1276,SYS_4_3_Digitos!A1689,asientos!$J$13:$J$1276)</f>
        <v>0</v>
      </c>
      <c r="I1689" s="1314">
        <f t="shared" si="160"/>
        <v>0</v>
      </c>
      <c r="J1689" s="1315">
        <f t="shared" si="161"/>
        <v>0</v>
      </c>
      <c r="L1689" s="1308">
        <f t="shared" si="162"/>
        <v>0</v>
      </c>
      <c r="M1689" s="1296" t="str">
        <f t="shared" si="163"/>
        <v>0</v>
      </c>
      <c r="N1689" s="1309">
        <f t="shared" si="164"/>
        <v>0</v>
      </c>
      <c r="O1689" s="1296" t="str">
        <f t="shared" si="165"/>
        <v>0</v>
      </c>
    </row>
    <row r="1690" spans="1:15" s="1296" customFormat="1" hidden="1">
      <c r="A1690" s="1310"/>
      <c r="B1690" s="1311"/>
      <c r="C1690" s="1312">
        <v>0</v>
      </c>
      <c r="D1690" s="1313">
        <v>0</v>
      </c>
      <c r="E1690" s="1314"/>
      <c r="F1690" s="1315"/>
      <c r="G1690" s="1316">
        <f>+SUMIF(asientos!$C$13:$C$1276,SYS_4_3_Digitos!A1690,asientos!$B$13:$B$1276)</f>
        <v>0</v>
      </c>
      <c r="H1690" s="1317">
        <f>+SUMIF(asientos!$I$13:$I$1276,SYS_4_3_Digitos!A1690,asientos!$J$13:$J$1276)</f>
        <v>0</v>
      </c>
      <c r="I1690" s="1314">
        <f t="shared" si="160"/>
        <v>0</v>
      </c>
      <c r="J1690" s="1315">
        <f t="shared" si="161"/>
        <v>0</v>
      </c>
      <c r="L1690" s="1308">
        <f t="shared" si="162"/>
        <v>0</v>
      </c>
      <c r="M1690" s="1296" t="str">
        <f t="shared" si="163"/>
        <v>0</v>
      </c>
      <c r="N1690" s="1309">
        <f t="shared" si="164"/>
        <v>0</v>
      </c>
      <c r="O1690" s="1296" t="str">
        <f t="shared" si="165"/>
        <v>0</v>
      </c>
    </row>
    <row r="1691" spans="1:15" s="1296" customFormat="1" hidden="1">
      <c r="A1691" s="1310"/>
      <c r="B1691" s="1311"/>
      <c r="C1691" s="1312">
        <v>0</v>
      </c>
      <c r="D1691" s="1313">
        <v>0</v>
      </c>
      <c r="E1691" s="1314"/>
      <c r="F1691" s="1315"/>
      <c r="G1691" s="1316">
        <f>+SUMIF(asientos!$C$13:$C$1276,SYS_4_3_Digitos!A1691,asientos!$B$13:$B$1276)</f>
        <v>0</v>
      </c>
      <c r="H1691" s="1317">
        <f>+SUMIF(asientos!$I$13:$I$1276,SYS_4_3_Digitos!A1691,asientos!$J$13:$J$1276)</f>
        <v>0</v>
      </c>
      <c r="I1691" s="1314">
        <f t="shared" si="160"/>
        <v>0</v>
      </c>
      <c r="J1691" s="1315">
        <f t="shared" si="161"/>
        <v>0</v>
      </c>
      <c r="L1691" s="1308">
        <f t="shared" si="162"/>
        <v>0</v>
      </c>
      <c r="M1691" s="1296" t="str">
        <f t="shared" si="163"/>
        <v>0</v>
      </c>
      <c r="N1691" s="1309">
        <f t="shared" si="164"/>
        <v>0</v>
      </c>
      <c r="O1691" s="1296" t="str">
        <f t="shared" si="165"/>
        <v>0</v>
      </c>
    </row>
    <row r="1692" spans="1:15" s="1296" customFormat="1" hidden="1">
      <c r="A1692" s="1310"/>
      <c r="B1692" s="1311"/>
      <c r="C1692" s="1312">
        <v>0</v>
      </c>
      <c r="D1692" s="1313">
        <v>0</v>
      </c>
      <c r="E1692" s="1314"/>
      <c r="F1692" s="1315"/>
      <c r="G1692" s="1316">
        <f>+SUMIF(asientos!$C$13:$C$1276,SYS_4_3_Digitos!A1692,asientos!$B$13:$B$1276)</f>
        <v>0</v>
      </c>
      <c r="H1692" s="1317">
        <f>+SUMIF(asientos!$I$13:$I$1276,SYS_4_3_Digitos!A1692,asientos!$J$13:$J$1276)</f>
        <v>0</v>
      </c>
      <c r="I1692" s="1314">
        <f t="shared" si="160"/>
        <v>0</v>
      </c>
      <c r="J1692" s="1315">
        <f t="shared" si="161"/>
        <v>0</v>
      </c>
      <c r="L1692" s="1308">
        <f t="shared" si="162"/>
        <v>0</v>
      </c>
      <c r="M1692" s="1296" t="str">
        <f t="shared" si="163"/>
        <v>0</v>
      </c>
      <c r="N1692" s="1309">
        <f t="shared" si="164"/>
        <v>0</v>
      </c>
      <c r="O1692" s="1296" t="str">
        <f t="shared" si="165"/>
        <v>0</v>
      </c>
    </row>
    <row r="1693" spans="1:15" s="1296" customFormat="1" hidden="1">
      <c r="A1693" s="1310"/>
      <c r="B1693" s="1311"/>
      <c r="C1693" s="1312">
        <v>0</v>
      </c>
      <c r="D1693" s="1313">
        <v>0</v>
      </c>
      <c r="E1693" s="1314"/>
      <c r="F1693" s="1315"/>
      <c r="G1693" s="1316">
        <f>+SUMIF(asientos!$C$13:$C$1276,SYS_4_3_Digitos!A1693,asientos!$B$13:$B$1276)</f>
        <v>0</v>
      </c>
      <c r="H1693" s="1317">
        <f>+SUMIF(asientos!$I$13:$I$1276,SYS_4_3_Digitos!A1693,asientos!$J$13:$J$1276)</f>
        <v>0</v>
      </c>
      <c r="I1693" s="1314">
        <f t="shared" si="160"/>
        <v>0</v>
      </c>
      <c r="J1693" s="1315">
        <f t="shared" si="161"/>
        <v>0</v>
      </c>
      <c r="L1693" s="1308">
        <f t="shared" si="162"/>
        <v>0</v>
      </c>
      <c r="M1693" s="1296" t="str">
        <f t="shared" si="163"/>
        <v>0</v>
      </c>
      <c r="N1693" s="1309">
        <f t="shared" si="164"/>
        <v>0</v>
      </c>
      <c r="O1693" s="1296" t="str">
        <f t="shared" si="165"/>
        <v>0</v>
      </c>
    </row>
    <row r="1694" spans="1:15" s="1296" customFormat="1" hidden="1">
      <c r="A1694" s="1310"/>
      <c r="B1694" s="1311"/>
      <c r="C1694" s="1312">
        <v>0</v>
      </c>
      <c r="D1694" s="1313">
        <v>0</v>
      </c>
      <c r="E1694" s="1314"/>
      <c r="F1694" s="1315"/>
      <c r="G1694" s="1316">
        <f>+SUMIF(asientos!$C$13:$C$1276,SYS_4_3_Digitos!A1694,asientos!$B$13:$B$1276)</f>
        <v>0</v>
      </c>
      <c r="H1694" s="1317">
        <f>+SUMIF(asientos!$I$13:$I$1276,SYS_4_3_Digitos!A1694,asientos!$J$13:$J$1276)</f>
        <v>0</v>
      </c>
      <c r="I1694" s="1314">
        <f t="shared" si="160"/>
        <v>0</v>
      </c>
      <c r="J1694" s="1315">
        <f t="shared" si="161"/>
        <v>0</v>
      </c>
      <c r="L1694" s="1308">
        <f t="shared" si="162"/>
        <v>0</v>
      </c>
      <c r="M1694" s="1296" t="str">
        <f t="shared" si="163"/>
        <v>0</v>
      </c>
      <c r="N1694" s="1309">
        <f t="shared" si="164"/>
        <v>0</v>
      </c>
      <c r="O1694" s="1296" t="str">
        <f t="shared" si="165"/>
        <v>0</v>
      </c>
    </row>
    <row r="1695" spans="1:15" s="1296" customFormat="1" hidden="1">
      <c r="A1695" s="1310"/>
      <c r="B1695" s="1311"/>
      <c r="C1695" s="1312">
        <v>0</v>
      </c>
      <c r="D1695" s="1313">
        <v>0</v>
      </c>
      <c r="E1695" s="1314"/>
      <c r="F1695" s="1315"/>
      <c r="G1695" s="1316">
        <f>+SUMIF(asientos!$C$13:$C$1276,SYS_4_3_Digitos!A1695,asientos!$B$13:$B$1276)</f>
        <v>0</v>
      </c>
      <c r="H1695" s="1317">
        <f>+SUMIF(asientos!$I$13:$I$1276,SYS_4_3_Digitos!A1695,asientos!$J$13:$J$1276)</f>
        <v>0</v>
      </c>
      <c r="I1695" s="1314">
        <f t="shared" si="160"/>
        <v>0</v>
      </c>
      <c r="J1695" s="1315">
        <f t="shared" si="161"/>
        <v>0</v>
      </c>
      <c r="L1695" s="1308">
        <f t="shared" si="162"/>
        <v>0</v>
      </c>
      <c r="M1695" s="1296" t="str">
        <f t="shared" si="163"/>
        <v>0</v>
      </c>
      <c r="N1695" s="1309">
        <f t="shared" si="164"/>
        <v>0</v>
      </c>
      <c r="O1695" s="1296" t="str">
        <f t="shared" si="165"/>
        <v>0</v>
      </c>
    </row>
    <row r="1696" spans="1:15" s="1296" customFormat="1" hidden="1">
      <c r="A1696" s="1310"/>
      <c r="B1696" s="1311"/>
      <c r="C1696" s="1312">
        <v>0</v>
      </c>
      <c r="D1696" s="1313">
        <v>0</v>
      </c>
      <c r="E1696" s="1314"/>
      <c r="F1696" s="1315"/>
      <c r="G1696" s="1316">
        <f>+SUMIF(asientos!$C$13:$C$1276,SYS_4_3_Digitos!A1696,asientos!$B$13:$B$1276)</f>
        <v>0</v>
      </c>
      <c r="H1696" s="1317">
        <f>+SUMIF(asientos!$I$13:$I$1276,SYS_4_3_Digitos!A1696,asientos!$J$13:$J$1276)</f>
        <v>0</v>
      </c>
      <c r="I1696" s="1314">
        <f t="shared" si="160"/>
        <v>0</v>
      </c>
      <c r="J1696" s="1315">
        <f t="shared" si="161"/>
        <v>0</v>
      </c>
      <c r="L1696" s="1308">
        <f t="shared" si="162"/>
        <v>0</v>
      </c>
      <c r="M1696" s="1296" t="str">
        <f t="shared" si="163"/>
        <v>0</v>
      </c>
      <c r="N1696" s="1309">
        <f t="shared" si="164"/>
        <v>0</v>
      </c>
      <c r="O1696" s="1296" t="str">
        <f t="shared" si="165"/>
        <v>0</v>
      </c>
    </row>
    <row r="1697" spans="1:15" s="1296" customFormat="1" hidden="1">
      <c r="A1697" s="1310"/>
      <c r="B1697" s="1311"/>
      <c r="C1697" s="1312">
        <v>0</v>
      </c>
      <c r="D1697" s="1313">
        <v>0</v>
      </c>
      <c r="E1697" s="1314"/>
      <c r="F1697" s="1315"/>
      <c r="G1697" s="1316">
        <f>+SUMIF(asientos!$C$13:$C$1276,SYS_4_3_Digitos!A1697,asientos!$B$13:$B$1276)</f>
        <v>0</v>
      </c>
      <c r="H1697" s="1317">
        <f>+SUMIF(asientos!$I$13:$I$1276,SYS_4_3_Digitos!A1697,asientos!$J$13:$J$1276)</f>
        <v>0</v>
      </c>
      <c r="I1697" s="1314">
        <f t="shared" si="160"/>
        <v>0</v>
      </c>
      <c r="J1697" s="1315">
        <f t="shared" si="161"/>
        <v>0</v>
      </c>
      <c r="L1697" s="1308">
        <f t="shared" si="162"/>
        <v>0</v>
      </c>
      <c r="M1697" s="1296" t="str">
        <f t="shared" si="163"/>
        <v>0</v>
      </c>
      <c r="N1697" s="1309">
        <f t="shared" si="164"/>
        <v>0</v>
      </c>
      <c r="O1697" s="1296" t="str">
        <f t="shared" si="165"/>
        <v>0</v>
      </c>
    </row>
    <row r="1698" spans="1:15" s="1296" customFormat="1" hidden="1">
      <c r="A1698" s="1310"/>
      <c r="B1698" s="1311"/>
      <c r="C1698" s="1312">
        <v>0</v>
      </c>
      <c r="D1698" s="1313">
        <v>0</v>
      </c>
      <c r="E1698" s="1314"/>
      <c r="F1698" s="1315"/>
      <c r="G1698" s="1316">
        <f>+SUMIF(asientos!$C$13:$C$1276,SYS_4_3_Digitos!A1698,asientos!$B$13:$B$1276)</f>
        <v>0</v>
      </c>
      <c r="H1698" s="1317">
        <f>+SUMIF(asientos!$I$13:$I$1276,SYS_4_3_Digitos!A1698,asientos!$J$13:$J$1276)</f>
        <v>0</v>
      </c>
      <c r="I1698" s="1314">
        <f t="shared" si="160"/>
        <v>0</v>
      </c>
      <c r="J1698" s="1315">
        <f t="shared" si="161"/>
        <v>0</v>
      </c>
      <c r="L1698" s="1308">
        <f t="shared" si="162"/>
        <v>0</v>
      </c>
      <c r="M1698" s="1296" t="str">
        <f t="shared" si="163"/>
        <v>0</v>
      </c>
      <c r="N1698" s="1309">
        <f t="shared" si="164"/>
        <v>0</v>
      </c>
      <c r="O1698" s="1296" t="str">
        <f t="shared" si="165"/>
        <v>0</v>
      </c>
    </row>
    <row r="1699" spans="1:15" s="1296" customFormat="1" hidden="1">
      <c r="A1699" s="1310"/>
      <c r="B1699" s="1311"/>
      <c r="C1699" s="1312">
        <v>0</v>
      </c>
      <c r="D1699" s="1313">
        <v>0</v>
      </c>
      <c r="E1699" s="1314"/>
      <c r="F1699" s="1315"/>
      <c r="G1699" s="1316">
        <f>+SUMIF(asientos!$C$13:$C$1276,SYS_4_3_Digitos!A1699,asientos!$B$13:$B$1276)</f>
        <v>0</v>
      </c>
      <c r="H1699" s="1317">
        <f>+SUMIF(asientos!$I$13:$I$1276,SYS_4_3_Digitos!A1699,asientos!$J$13:$J$1276)</f>
        <v>0</v>
      </c>
      <c r="I1699" s="1314">
        <f t="shared" si="160"/>
        <v>0</v>
      </c>
      <c r="J1699" s="1315">
        <f t="shared" si="161"/>
        <v>0</v>
      </c>
      <c r="L1699" s="1308">
        <f t="shared" si="162"/>
        <v>0</v>
      </c>
      <c r="M1699" s="1296" t="str">
        <f t="shared" si="163"/>
        <v>0</v>
      </c>
      <c r="N1699" s="1309">
        <f t="shared" si="164"/>
        <v>0</v>
      </c>
      <c r="O1699" s="1296" t="str">
        <f t="shared" si="165"/>
        <v>0</v>
      </c>
    </row>
    <row r="1700" spans="1:15" s="1296" customFormat="1" hidden="1">
      <c r="A1700" s="1310"/>
      <c r="B1700" s="1311"/>
      <c r="C1700" s="1312">
        <v>0</v>
      </c>
      <c r="D1700" s="1313">
        <v>0</v>
      </c>
      <c r="E1700" s="1314"/>
      <c r="F1700" s="1315"/>
      <c r="G1700" s="1316">
        <f>+SUMIF(asientos!$C$13:$C$1276,SYS_4_3_Digitos!A1700,asientos!$B$13:$B$1276)</f>
        <v>0</v>
      </c>
      <c r="H1700" s="1317">
        <f>+SUMIF(asientos!$I$13:$I$1276,SYS_4_3_Digitos!A1700,asientos!$J$13:$J$1276)</f>
        <v>0</v>
      </c>
      <c r="I1700" s="1314">
        <f t="shared" si="160"/>
        <v>0</v>
      </c>
      <c r="J1700" s="1315">
        <f t="shared" si="161"/>
        <v>0</v>
      </c>
      <c r="L1700" s="1308">
        <f t="shared" si="162"/>
        <v>0</v>
      </c>
      <c r="M1700" s="1296" t="str">
        <f t="shared" si="163"/>
        <v>0</v>
      </c>
      <c r="N1700" s="1309">
        <f t="shared" si="164"/>
        <v>0</v>
      </c>
      <c r="O1700" s="1296" t="str">
        <f t="shared" si="165"/>
        <v>0</v>
      </c>
    </row>
    <row r="1701" spans="1:15" s="1296" customFormat="1" hidden="1">
      <c r="A1701" s="1310"/>
      <c r="B1701" s="1311"/>
      <c r="C1701" s="1312">
        <v>0</v>
      </c>
      <c r="D1701" s="1313">
        <v>0</v>
      </c>
      <c r="E1701" s="1314"/>
      <c r="F1701" s="1315"/>
      <c r="G1701" s="1316">
        <f>+SUMIF(asientos!$C$13:$C$1276,SYS_4_3_Digitos!A1701,asientos!$B$13:$B$1276)</f>
        <v>0</v>
      </c>
      <c r="H1701" s="1317">
        <f>+SUMIF(asientos!$I$13:$I$1276,SYS_4_3_Digitos!A1701,asientos!$J$13:$J$1276)</f>
        <v>0</v>
      </c>
      <c r="I1701" s="1314">
        <f t="shared" ref="I1701:I1709" si="166">IF((E1701+G1701-F1701-H1701)&gt;0,E1701+G1701-F1701-H1701,0)</f>
        <v>0</v>
      </c>
      <c r="J1701" s="1315">
        <f t="shared" ref="J1701:J1709" si="167">IF((F1701+H1701-E1701-G1701)&gt;0,F1701+H1701-E1701-G1701,0)</f>
        <v>0</v>
      </c>
      <c r="L1701" s="1308">
        <f t="shared" ref="L1701:L1709" si="168">+A1701*1000000</f>
        <v>0</v>
      </c>
      <c r="M1701" s="1296" t="str">
        <f t="shared" ref="M1701:M1709" si="169">+LEFT(L1701,4)</f>
        <v>0</v>
      </c>
      <c r="N1701" s="1309">
        <f t="shared" ref="N1701:N1709" si="170">+I1701-J1701</f>
        <v>0</v>
      </c>
      <c r="O1701" s="1296" t="str">
        <f t="shared" ref="O1701:O1709" si="171">+LEFT(M1701,2)</f>
        <v>0</v>
      </c>
    </row>
    <row r="1702" spans="1:15" s="1296" customFormat="1" hidden="1">
      <c r="A1702" s="1310"/>
      <c r="B1702" s="1311"/>
      <c r="C1702" s="1312">
        <v>0</v>
      </c>
      <c r="D1702" s="1313">
        <v>0</v>
      </c>
      <c r="E1702" s="1314"/>
      <c r="F1702" s="1315"/>
      <c r="G1702" s="1316">
        <f>+SUMIF(asientos!$C$13:$C$1276,SYS_4_3_Digitos!A1702,asientos!$B$13:$B$1276)</f>
        <v>0</v>
      </c>
      <c r="H1702" s="1317">
        <f>+SUMIF(asientos!$I$13:$I$1276,SYS_4_3_Digitos!A1702,asientos!$J$13:$J$1276)</f>
        <v>0</v>
      </c>
      <c r="I1702" s="1314">
        <f t="shared" si="166"/>
        <v>0</v>
      </c>
      <c r="J1702" s="1315">
        <f t="shared" si="167"/>
        <v>0</v>
      </c>
      <c r="L1702" s="1308">
        <f t="shared" si="168"/>
        <v>0</v>
      </c>
      <c r="M1702" s="1296" t="str">
        <f t="shared" si="169"/>
        <v>0</v>
      </c>
      <c r="N1702" s="1309">
        <f t="shared" si="170"/>
        <v>0</v>
      </c>
      <c r="O1702" s="1296" t="str">
        <f t="shared" si="171"/>
        <v>0</v>
      </c>
    </row>
    <row r="1703" spans="1:15" s="1296" customFormat="1" hidden="1">
      <c r="A1703" s="1310"/>
      <c r="B1703" s="1311"/>
      <c r="C1703" s="1312">
        <v>0</v>
      </c>
      <c r="D1703" s="1313">
        <v>0</v>
      </c>
      <c r="E1703" s="1314"/>
      <c r="F1703" s="1315"/>
      <c r="G1703" s="1316">
        <f>+SUMIF(asientos!$C$13:$C$1276,SYS_4_3_Digitos!A1703,asientos!$B$13:$B$1276)</f>
        <v>0</v>
      </c>
      <c r="H1703" s="1317">
        <f>+SUMIF(asientos!$I$13:$I$1276,SYS_4_3_Digitos!A1703,asientos!$J$13:$J$1276)</f>
        <v>0</v>
      </c>
      <c r="I1703" s="1314">
        <f t="shared" si="166"/>
        <v>0</v>
      </c>
      <c r="J1703" s="1315">
        <f t="shared" si="167"/>
        <v>0</v>
      </c>
      <c r="L1703" s="1308">
        <f t="shared" si="168"/>
        <v>0</v>
      </c>
      <c r="M1703" s="1296" t="str">
        <f t="shared" si="169"/>
        <v>0</v>
      </c>
      <c r="N1703" s="1309">
        <f t="shared" si="170"/>
        <v>0</v>
      </c>
      <c r="O1703" s="1296" t="str">
        <f t="shared" si="171"/>
        <v>0</v>
      </c>
    </row>
    <row r="1704" spans="1:15" s="1296" customFormat="1" hidden="1">
      <c r="A1704" s="1310"/>
      <c r="B1704" s="1311"/>
      <c r="C1704" s="1312">
        <v>0</v>
      </c>
      <c r="D1704" s="1313">
        <v>0</v>
      </c>
      <c r="E1704" s="1314"/>
      <c r="F1704" s="1315"/>
      <c r="G1704" s="1316">
        <f>+SUMIF(asientos!$C$13:$C$1276,SYS_4_3_Digitos!A1704,asientos!$B$13:$B$1276)</f>
        <v>0</v>
      </c>
      <c r="H1704" s="1317">
        <f>+SUMIF(asientos!$I$13:$I$1276,SYS_4_3_Digitos!A1704,asientos!$J$13:$J$1276)</f>
        <v>0</v>
      </c>
      <c r="I1704" s="1314">
        <f t="shared" si="166"/>
        <v>0</v>
      </c>
      <c r="J1704" s="1315">
        <f t="shared" si="167"/>
        <v>0</v>
      </c>
      <c r="L1704" s="1308">
        <f t="shared" si="168"/>
        <v>0</v>
      </c>
      <c r="M1704" s="1296" t="str">
        <f t="shared" si="169"/>
        <v>0</v>
      </c>
      <c r="N1704" s="1309">
        <f t="shared" si="170"/>
        <v>0</v>
      </c>
      <c r="O1704" s="1296" t="str">
        <f t="shared" si="171"/>
        <v>0</v>
      </c>
    </row>
    <row r="1705" spans="1:15" s="1296" customFormat="1" hidden="1">
      <c r="A1705" s="1310"/>
      <c r="B1705" s="1311"/>
      <c r="C1705" s="1312">
        <v>0</v>
      </c>
      <c r="D1705" s="1313">
        <v>0</v>
      </c>
      <c r="E1705" s="1314"/>
      <c r="F1705" s="1315"/>
      <c r="G1705" s="1316">
        <f>+SUMIF(asientos!$C$13:$C$1276,SYS_4_3_Digitos!A1705,asientos!$B$13:$B$1276)</f>
        <v>0</v>
      </c>
      <c r="H1705" s="1317">
        <f>+SUMIF(asientos!$I$13:$I$1276,SYS_4_3_Digitos!A1705,asientos!$J$13:$J$1276)</f>
        <v>0</v>
      </c>
      <c r="I1705" s="1314">
        <f t="shared" si="166"/>
        <v>0</v>
      </c>
      <c r="J1705" s="1315">
        <f t="shared" si="167"/>
        <v>0</v>
      </c>
      <c r="L1705" s="1308">
        <f t="shared" si="168"/>
        <v>0</v>
      </c>
      <c r="M1705" s="1296" t="str">
        <f t="shared" si="169"/>
        <v>0</v>
      </c>
      <c r="N1705" s="1309">
        <f t="shared" si="170"/>
        <v>0</v>
      </c>
      <c r="O1705" s="1296" t="str">
        <f t="shared" si="171"/>
        <v>0</v>
      </c>
    </row>
    <row r="1706" spans="1:15" s="1296" customFormat="1" hidden="1">
      <c r="A1706" s="1310"/>
      <c r="B1706" s="1311"/>
      <c r="C1706" s="1312">
        <v>0</v>
      </c>
      <c r="D1706" s="1313">
        <v>0</v>
      </c>
      <c r="E1706" s="1314"/>
      <c r="F1706" s="1315"/>
      <c r="G1706" s="1316">
        <f>+SUMIF(asientos!$C$13:$C$1276,SYS_4_3_Digitos!A1706,asientos!$B$13:$B$1276)</f>
        <v>0</v>
      </c>
      <c r="H1706" s="1317">
        <f>+SUMIF(asientos!$I$13:$I$1276,SYS_4_3_Digitos!A1706,asientos!$J$13:$J$1276)</f>
        <v>0</v>
      </c>
      <c r="I1706" s="1314">
        <f t="shared" si="166"/>
        <v>0</v>
      </c>
      <c r="J1706" s="1315">
        <f t="shared" si="167"/>
        <v>0</v>
      </c>
      <c r="L1706" s="1308">
        <f t="shared" si="168"/>
        <v>0</v>
      </c>
      <c r="M1706" s="1296" t="str">
        <f t="shared" si="169"/>
        <v>0</v>
      </c>
      <c r="N1706" s="1309">
        <f t="shared" si="170"/>
        <v>0</v>
      </c>
      <c r="O1706" s="1296" t="str">
        <f t="shared" si="171"/>
        <v>0</v>
      </c>
    </row>
    <row r="1707" spans="1:15" s="1296" customFormat="1" hidden="1">
      <c r="A1707" s="1310"/>
      <c r="B1707" s="1311"/>
      <c r="C1707" s="1312">
        <v>0</v>
      </c>
      <c r="D1707" s="1313">
        <v>0</v>
      </c>
      <c r="E1707" s="1314"/>
      <c r="F1707" s="1315"/>
      <c r="G1707" s="1316">
        <f>+SUMIF(asientos!$C$13:$C$1276,SYS_4_3_Digitos!A1707,asientos!$B$13:$B$1276)</f>
        <v>0</v>
      </c>
      <c r="H1707" s="1317">
        <f>+SUMIF(asientos!$I$13:$I$1276,SYS_4_3_Digitos!A1707,asientos!$J$13:$J$1276)</f>
        <v>0</v>
      </c>
      <c r="I1707" s="1314">
        <f t="shared" si="166"/>
        <v>0</v>
      </c>
      <c r="J1707" s="1315">
        <f t="shared" si="167"/>
        <v>0</v>
      </c>
      <c r="L1707" s="1308">
        <f t="shared" si="168"/>
        <v>0</v>
      </c>
      <c r="M1707" s="1296" t="str">
        <f t="shared" si="169"/>
        <v>0</v>
      </c>
      <c r="N1707" s="1309">
        <f t="shared" si="170"/>
        <v>0</v>
      </c>
      <c r="O1707" s="1296" t="str">
        <f t="shared" si="171"/>
        <v>0</v>
      </c>
    </row>
    <row r="1708" spans="1:15" s="1296" customFormat="1" hidden="1">
      <c r="A1708" s="1310"/>
      <c r="B1708" s="1311"/>
      <c r="C1708" s="1312">
        <v>0</v>
      </c>
      <c r="D1708" s="1313">
        <v>0</v>
      </c>
      <c r="E1708" s="1314"/>
      <c r="F1708" s="1315"/>
      <c r="G1708" s="1316">
        <f>+SUMIF(asientos!$C$13:$C$1276,SYS_4_3_Digitos!A1708,asientos!$B$13:$B$1276)</f>
        <v>0</v>
      </c>
      <c r="H1708" s="1317">
        <f>+SUMIF(asientos!$I$13:$I$1276,SYS_4_3_Digitos!A1708,asientos!$J$13:$J$1276)</f>
        <v>0</v>
      </c>
      <c r="I1708" s="1314">
        <f t="shared" si="166"/>
        <v>0</v>
      </c>
      <c r="J1708" s="1315">
        <f t="shared" si="167"/>
        <v>0</v>
      </c>
      <c r="L1708" s="1308">
        <f t="shared" si="168"/>
        <v>0</v>
      </c>
      <c r="M1708" s="1296" t="str">
        <f t="shared" si="169"/>
        <v>0</v>
      </c>
      <c r="N1708" s="1309">
        <f t="shared" si="170"/>
        <v>0</v>
      </c>
      <c r="O1708" s="1296" t="str">
        <f t="shared" si="171"/>
        <v>0</v>
      </c>
    </row>
    <row r="1709" spans="1:15" s="1296" customFormat="1" hidden="1">
      <c r="A1709" s="1328"/>
      <c r="B1709" s="1329"/>
      <c r="C1709" s="1330">
        <v>0</v>
      </c>
      <c r="D1709" s="1331">
        <v>0</v>
      </c>
      <c r="E1709" s="1332"/>
      <c r="F1709" s="1333"/>
      <c r="G1709" s="1334">
        <f>+SUMIF(asientos!$C$13:$C$1276,SYS_4_3_Digitos!A1709,asientos!$B$13:$B$1276)</f>
        <v>0</v>
      </c>
      <c r="H1709" s="1335">
        <f>+SUMIF(asientos!$I$13:$I$1276,SYS_4_3_Digitos!A1709,asientos!$J$13:$J$1276)</f>
        <v>0</v>
      </c>
      <c r="I1709" s="1332">
        <f t="shared" si="166"/>
        <v>0</v>
      </c>
      <c r="J1709" s="1333">
        <f t="shared" si="167"/>
        <v>0</v>
      </c>
      <c r="L1709" s="1336">
        <f t="shared" si="168"/>
        <v>0</v>
      </c>
      <c r="M1709" s="1337" t="str">
        <f t="shared" si="169"/>
        <v>0</v>
      </c>
      <c r="N1709" s="1338">
        <f t="shared" si="170"/>
        <v>0</v>
      </c>
      <c r="O1709" s="1296" t="str">
        <f t="shared" si="171"/>
        <v>0</v>
      </c>
    </row>
    <row r="1710" spans="1:15" s="1296" customFormat="1">
      <c r="A1710" s="1339"/>
      <c r="C1710" s="1340">
        <v>0</v>
      </c>
      <c r="D1710" s="1340">
        <v>0</v>
      </c>
      <c r="E1710" s="1340">
        <f t="shared" ref="E1710:J1710" si="172">SUM(E5:E1709)</f>
        <v>458855934.63</v>
      </c>
      <c r="F1710" s="1340">
        <f t="shared" ca="1" si="172"/>
        <v>458855934.63000023</v>
      </c>
      <c r="G1710" s="1340">
        <f t="shared" si="172"/>
        <v>5323965.79</v>
      </c>
      <c r="H1710" s="1340">
        <f t="shared" si="172"/>
        <v>5323965.7899999991</v>
      </c>
      <c r="I1710" s="1340">
        <f t="shared" ca="1" si="172"/>
        <v>458855934.63</v>
      </c>
      <c r="J1710" s="1340">
        <f t="shared" ca="1" si="172"/>
        <v>458855934.63000017</v>
      </c>
    </row>
  </sheetData>
  <sheetProtection autoFilter="0"/>
  <mergeCells count="5">
    <mergeCell ref="N3:N4"/>
    <mergeCell ref="G3:H3"/>
    <mergeCell ref="I3:J3"/>
    <mergeCell ref="L3:L4"/>
    <mergeCell ref="M3:M4"/>
  </mergeCells>
  <conditionalFormatting sqref="E2">
    <cfRule type="expression" dxfId="578" priority="9">
      <formula>E2&lt;&gt;0</formula>
    </cfRule>
  </conditionalFormatting>
  <conditionalFormatting sqref="G2">
    <cfRule type="expression" dxfId="577" priority="8">
      <formula>G2&lt;&gt;0</formula>
    </cfRule>
  </conditionalFormatting>
  <conditionalFormatting sqref="I2">
    <cfRule type="expression" dxfId="576" priority="7">
      <formula>I2&lt;&gt;0</formula>
    </cfRule>
  </conditionalFormatting>
  <conditionalFormatting sqref="C2">
    <cfRule type="expression" dxfId="575" priority="6">
      <formula>C2&lt;&gt;0</formula>
    </cfRule>
  </conditionalFormatting>
  <conditionalFormatting sqref="A6:J1709">
    <cfRule type="expression" dxfId="574" priority="5">
      <formula>A6=""</formula>
    </cfRule>
  </conditionalFormatting>
  <conditionalFormatting sqref="E5:F5">
    <cfRule type="expression" dxfId="573" priority="1">
      <formula>E5=""</formula>
    </cfRule>
  </conditionalFormatting>
  <conditionalFormatting sqref="G5:H5">
    <cfRule type="expression" dxfId="572" priority="3">
      <formula>G5=""</formula>
    </cfRule>
  </conditionalFormatting>
  <conditionalFormatting sqref="I5:J5">
    <cfRule type="expression" dxfId="571" priority="2">
      <formula>I5=""</formula>
    </cfRule>
  </conditionalFormatting>
  <conditionalFormatting sqref="A5:D5">
    <cfRule type="expression" dxfId="570" priority="4">
      <formula>A5=""</formula>
    </cfRule>
  </conditionalFormatting>
  <pageMargins left="0.19685039370078741" right="0.19685039370078741" top="0" bottom="0" header="0" footer="0"/>
  <pageSetup paperSize="9" scale="7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tabColor rgb="FFFFC000"/>
    <pageSetUpPr autoPageBreaks="0"/>
  </sheetPr>
  <dimension ref="A1:AD2063"/>
  <sheetViews>
    <sheetView showGridLines="0" showRowColHeaders="0" showRuler="0" view="pageBreakPreview" topLeftCell="A35" zoomScale="70" zoomScaleNormal="80" zoomScaleSheetLayoutView="70" zoomScalePageLayoutView="60" workbookViewId="0">
      <selection activeCell="H58" sqref="H58"/>
    </sheetView>
  </sheetViews>
  <sheetFormatPr baseColWidth="10" defaultColWidth="0" defaultRowHeight="13.8" zeroHeight="1" outlineLevelCol="1"/>
  <cols>
    <col min="1" max="2" width="2" style="553" customWidth="1"/>
    <col min="3" max="3" width="66" style="553" customWidth="1"/>
    <col min="4" max="4" width="1" style="553" customWidth="1"/>
    <col min="5" max="5" width="36" style="553" customWidth="1"/>
    <col min="6" max="6" width="13" style="553" customWidth="1" outlineLevel="1"/>
    <col min="7" max="7" width="5" style="553" customWidth="1"/>
    <col min="8" max="8" width="36" style="553" customWidth="1"/>
    <col min="9" max="9" width="11" style="553" customWidth="1" outlineLevel="1"/>
    <col min="10" max="10" width="4.44140625" style="553" customWidth="1"/>
    <col min="11" max="11" width="66" style="553" customWidth="1"/>
    <col min="12" max="12" width="1" style="553" customWidth="1"/>
    <col min="13" max="13" width="36" style="553" customWidth="1"/>
    <col min="14" max="14" width="11" style="553" customWidth="1" outlineLevel="1"/>
    <col min="15" max="15" width="5" style="553" customWidth="1"/>
    <col min="16" max="16" width="36" style="553" customWidth="1"/>
    <col min="17" max="17" width="11" style="605" customWidth="1" outlineLevel="1"/>
    <col min="18" max="18" width="4.5546875" style="553" customWidth="1"/>
    <col min="19" max="19" width="3" style="553" customWidth="1"/>
    <col min="20" max="20" width="11.44140625" style="553" hidden="1" customWidth="1"/>
    <col min="21" max="21" width="46" style="606" hidden="1" customWidth="1"/>
    <col min="22" max="22" width="40" style="553" hidden="1" customWidth="1"/>
    <col min="23" max="23" width="16" style="553" hidden="1" customWidth="1"/>
    <col min="24" max="24" width="11.5546875" style="553" hidden="1" customWidth="1"/>
    <col min="25" max="25" width="11.44140625" style="553" hidden="1" customWidth="1"/>
    <col min="26" max="26" width="49" style="607" hidden="1" customWidth="1"/>
    <col min="27" max="27" width="47.5546875" style="553" hidden="1" customWidth="1"/>
    <col min="28" max="28" width="18" style="553" hidden="1" customWidth="1"/>
    <col min="29" max="16384" width="11.44140625" style="553" hidden="1"/>
  </cols>
  <sheetData>
    <row r="1" spans="3:28"/>
    <row r="2" spans="3:28" ht="9" customHeight="1"/>
    <row r="3" spans="3:28" ht="5.25" customHeight="1"/>
    <row r="4" spans="3:28" ht="5.25" customHeight="1"/>
    <row r="5" spans="3:28" ht="30">
      <c r="C5" s="1085" t="str">
        <f>+MENU!C5</f>
        <v>Sociedad:</v>
      </c>
      <c r="E5" s="1098" t="str">
        <f>+MENU!E5</f>
        <v>MARIO PILATO BLAT, S.A.</v>
      </c>
      <c r="F5" s="1099"/>
      <c r="G5" s="1099"/>
      <c r="I5" s="608"/>
      <c r="K5" s="1091" t="str">
        <f>+C5</f>
        <v>Sociedad:</v>
      </c>
      <c r="M5" s="1098" t="str">
        <f>+E5</f>
        <v>MARIO PILATO BLAT, S.A.</v>
      </c>
      <c r="N5" s="1099"/>
      <c r="O5" s="1099"/>
      <c r="Q5" s="609"/>
    </row>
    <row r="6" spans="3:28" ht="20.25" customHeight="1"/>
    <row r="7" spans="3:28" ht="21.75" customHeight="1">
      <c r="C7" s="604" t="s">
        <v>0</v>
      </c>
      <c r="E7" s="2249">
        <f>+MENU!D7</f>
        <v>45657</v>
      </c>
      <c r="F7" s="2249"/>
      <c r="J7" s="610"/>
      <c r="K7" s="604" t="str">
        <f>+C7</f>
        <v xml:space="preserve">Balance de situación comparativo a </v>
      </c>
      <c r="L7" s="553">
        <f>+D7</f>
        <v>0</v>
      </c>
      <c r="M7" s="2249">
        <f>+E7</f>
        <v>45657</v>
      </c>
      <c r="N7" s="2249"/>
      <c r="V7" s="611" t="s">
        <v>168</v>
      </c>
    </row>
    <row r="8" spans="3:28" ht="15" customHeight="1">
      <c r="C8" s="612"/>
      <c r="E8" s="613"/>
      <c r="F8" s="613"/>
      <c r="G8" s="613"/>
      <c r="H8" s="613"/>
      <c r="I8" s="613"/>
      <c r="J8" s="613"/>
    </row>
    <row r="9" spans="3:28" ht="15" customHeight="1"/>
    <row r="10" spans="3:28" ht="15" customHeight="1"/>
    <row r="11" spans="3:28" s="639" customFormat="1" ht="20.25" customHeight="1">
      <c r="E11" s="730">
        <f>+E7</f>
        <v>45657</v>
      </c>
      <c r="F11" s="614" t="s">
        <v>180</v>
      </c>
      <c r="H11" s="730">
        <v>45291</v>
      </c>
      <c r="I11" s="614" t="s">
        <v>180</v>
      </c>
      <c r="M11" s="730">
        <f>+E11</f>
        <v>45657</v>
      </c>
      <c r="N11" s="614" t="s">
        <v>180</v>
      </c>
      <c r="P11" s="730">
        <v>45291</v>
      </c>
      <c r="Q11" s="614" t="s">
        <v>180</v>
      </c>
      <c r="U11" s="728"/>
      <c r="Z11" s="729"/>
    </row>
    <row r="12" spans="3:28" ht="6" customHeight="1">
      <c r="E12" s="615"/>
      <c r="F12" s="615"/>
      <c r="H12" s="615"/>
      <c r="I12" s="615"/>
    </row>
    <row r="13" spans="3:28" ht="24.9" customHeight="1">
      <c r="C13" s="616" t="s">
        <v>3</v>
      </c>
      <c r="E13" s="617">
        <f ca="1">+E15+E44</f>
        <v>352348840.22999996</v>
      </c>
      <c r="F13" s="618">
        <f ca="1">+IF(E13=0,"",E13/$E$13)</f>
        <v>1</v>
      </c>
      <c r="H13" s="617">
        <v>320877052.67000002</v>
      </c>
      <c r="I13" s="618">
        <v>1</v>
      </c>
      <c r="K13" s="616" t="s">
        <v>53</v>
      </c>
      <c r="M13" s="619">
        <f ca="1">+M15+M44+M61</f>
        <v>352348840.23000002</v>
      </c>
      <c r="N13" s="618">
        <f ca="1">+IF(M13=0,"",M13/$M$13)</f>
        <v>1</v>
      </c>
      <c r="P13" s="619">
        <v>320877052.67000002</v>
      </c>
      <c r="Q13" s="618">
        <v>1</v>
      </c>
      <c r="V13" s="620" t="s">
        <v>3</v>
      </c>
      <c r="W13" s="621"/>
      <c r="X13" s="622"/>
      <c r="AA13" s="620" t="s">
        <v>53</v>
      </c>
      <c r="AB13" s="623"/>
    </row>
    <row r="14" spans="3:28" ht="6" customHeight="1">
      <c r="M14" s="624"/>
      <c r="N14" s="624"/>
      <c r="P14" s="624"/>
      <c r="Q14" s="624"/>
      <c r="W14" s="625"/>
      <c r="X14" s="626"/>
      <c r="AB14" s="627"/>
    </row>
    <row r="15" spans="3:28" ht="20.25" customHeight="1">
      <c r="C15" s="628" t="s">
        <v>4</v>
      </c>
      <c r="E15" s="629">
        <f ca="1">+E16+E23+E27+E30+E36+E42</f>
        <v>193402893.98999998</v>
      </c>
      <c r="F15" s="630">
        <f t="shared" ref="F15:F42" ca="1" si="0">+IF(E15=0,"",E15/$E$13)</f>
        <v>0.54889607090448744</v>
      </c>
      <c r="H15" s="629">
        <v>182072916.52000001</v>
      </c>
      <c r="I15" s="630">
        <v>0.56742267795400592</v>
      </c>
      <c r="K15" s="631" t="s">
        <v>54</v>
      </c>
      <c r="M15" s="632">
        <f ca="1">+M17+M35+M41</f>
        <v>340811132.96000004</v>
      </c>
      <c r="N15" s="633">
        <f t="shared" ref="N15:N82" ca="1" si="1">+IF(M15=0,"",M15/$M$13)</f>
        <v>0.96725487371416174</v>
      </c>
      <c r="P15" s="632">
        <v>313525867.13999999</v>
      </c>
      <c r="Q15" s="633">
        <v>0.9770903357880184</v>
      </c>
      <c r="V15" s="634" t="s">
        <v>4</v>
      </c>
      <c r="W15" s="635"/>
      <c r="X15" s="636"/>
      <c r="AA15" s="634" t="s">
        <v>54</v>
      </c>
      <c r="AB15" s="637"/>
    </row>
    <row r="16" spans="3:28" ht="15.6">
      <c r="C16" s="638" t="s">
        <v>5</v>
      </c>
      <c r="D16" s="639"/>
      <c r="E16" s="640">
        <f ca="1">SUM(E17:E22)</f>
        <v>43207.829999999994</v>
      </c>
      <c r="F16" s="641">
        <f t="shared" ca="1" si="0"/>
        <v>1.226279898403967E-4</v>
      </c>
      <c r="G16" s="639"/>
      <c r="H16" s="640">
        <v>67914.289999999994</v>
      </c>
      <c r="I16" s="641">
        <v>2.1165206247965998E-4</v>
      </c>
      <c r="M16" s="642"/>
      <c r="N16" s="643" t="str">
        <f t="shared" si="1"/>
        <v/>
      </c>
      <c r="P16" s="642"/>
      <c r="Q16" s="643" t="s">
        <v>1392</v>
      </c>
      <c r="V16" s="644" t="s">
        <v>5</v>
      </c>
      <c r="W16" s="645"/>
      <c r="X16" s="645"/>
      <c r="AB16" s="642"/>
    </row>
    <row r="17" spans="3:30" ht="15">
      <c r="C17" s="646" t="s">
        <v>6</v>
      </c>
      <c r="E17" s="647">
        <f ca="1">+W17</f>
        <v>0</v>
      </c>
      <c r="F17" s="648" t="str">
        <f t="shared" ca="1" si="0"/>
        <v/>
      </c>
      <c r="H17" s="647">
        <v>0</v>
      </c>
      <c r="I17" s="648" t="s">
        <v>1392</v>
      </c>
      <c r="K17" s="649" t="s">
        <v>55</v>
      </c>
      <c r="L17" s="639"/>
      <c r="M17" s="650">
        <f ca="1">+M19+M22+M23+M26+M27+M30+M31+M32+M33</f>
        <v>317062467.81000006</v>
      </c>
      <c r="N17" s="651">
        <f t="shared" ca="1" si="1"/>
        <v>0.89985387096217961</v>
      </c>
      <c r="O17" s="639"/>
      <c r="P17" s="650">
        <v>302420967.47000003</v>
      </c>
      <c r="Q17" s="651">
        <v>0.94248237745133867</v>
      </c>
      <c r="U17" s="652" t="s">
        <v>109</v>
      </c>
      <c r="V17" s="653" t="s">
        <v>6</v>
      </c>
      <c r="W17" s="654">
        <f ca="1">SUM(W18:W39)</f>
        <v>0</v>
      </c>
      <c r="X17" s="655"/>
      <c r="AA17" s="656" t="s">
        <v>55</v>
      </c>
      <c r="AB17" s="657"/>
    </row>
    <row r="18" spans="3:30">
      <c r="C18" s="646" t="s">
        <v>7</v>
      </c>
      <c r="E18" s="647">
        <f ca="1">+W40</f>
        <v>11171.26</v>
      </c>
      <c r="F18" s="648">
        <f t="shared" ca="1" si="0"/>
        <v>3.17051135820621E-5</v>
      </c>
      <c r="H18" s="647">
        <v>11614.3</v>
      </c>
      <c r="I18" s="648">
        <v>3.6195483296041453E-5</v>
      </c>
      <c r="K18" s="658"/>
      <c r="M18" s="659"/>
      <c r="N18" s="660"/>
      <c r="P18" s="659"/>
      <c r="Q18" s="660"/>
      <c r="V18" s="661">
        <v>2000</v>
      </c>
      <c r="W18" s="662">
        <f ca="1">+SUMIF(SYS_4_3_Digitos!$M$5:$M$1682,BALANCE!V18,SYS_4_3_Digitos!$N$5:$N$1682)</f>
        <v>0</v>
      </c>
      <c r="X18" s="655"/>
      <c r="Z18" s="663"/>
      <c r="AA18" s="664" t="s">
        <v>56</v>
      </c>
      <c r="AB18" s="642"/>
    </row>
    <row r="19" spans="3:30" ht="15.6">
      <c r="C19" s="646" t="s">
        <v>8</v>
      </c>
      <c r="E19" s="647">
        <f ca="1">+W53</f>
        <v>0</v>
      </c>
      <c r="F19" s="648" t="str">
        <f t="shared" ca="1" si="0"/>
        <v/>
      </c>
      <c r="H19" s="647">
        <v>0</v>
      </c>
      <c r="I19" s="648" t="s">
        <v>1392</v>
      </c>
      <c r="K19" s="638" t="s">
        <v>56</v>
      </c>
      <c r="L19" s="639"/>
      <c r="M19" s="665">
        <f ca="1">+M20+M21</f>
        <v>140000005.09999999</v>
      </c>
      <c r="N19" s="641">
        <f t="shared" ca="1" si="1"/>
        <v>0.39733352040725683</v>
      </c>
      <c r="O19" s="639"/>
      <c r="P19" s="665">
        <v>140000005.09999999</v>
      </c>
      <c r="Q19" s="641">
        <v>0.43630419793209824</v>
      </c>
      <c r="V19" s="661">
        <v>2001</v>
      </c>
      <c r="W19" s="662">
        <f>+SUMIF(SYS_4_3_Digitos!$M$5:$M$1682,BALANCE!V19,SYS_4_3_Digitos!$N$5:$N$1682)</f>
        <v>0</v>
      </c>
      <c r="X19" s="655"/>
      <c r="Z19" s="666" t="s">
        <v>144</v>
      </c>
      <c r="AA19" s="653" t="s">
        <v>57</v>
      </c>
      <c r="AB19" s="667">
        <f ca="1">SUM(AB20:AB49)</f>
        <v>-140000005.09999999</v>
      </c>
      <c r="AD19" s="668"/>
    </row>
    <row r="20" spans="3:30">
      <c r="C20" s="646" t="s">
        <v>9</v>
      </c>
      <c r="E20" s="647">
        <f ca="1">+W66</f>
        <v>0</v>
      </c>
      <c r="F20" s="648" t="str">
        <f t="shared" ca="1" si="0"/>
        <v/>
      </c>
      <c r="H20" s="647">
        <v>0</v>
      </c>
      <c r="I20" s="648" t="s">
        <v>1392</v>
      </c>
      <c r="K20" s="669" t="s">
        <v>57</v>
      </c>
      <c r="M20" s="670">
        <f ca="1">-AB19</f>
        <v>140000005.09999999</v>
      </c>
      <c r="N20" s="671">
        <f t="shared" ca="1" si="1"/>
        <v>0.39733352040725683</v>
      </c>
      <c r="P20" s="670">
        <v>140000005.09999999</v>
      </c>
      <c r="Q20" s="671">
        <v>0.43630419793209824</v>
      </c>
      <c r="V20" s="661">
        <v>2002</v>
      </c>
      <c r="W20" s="662">
        <f>+SUMIF(SYS_4_3_Digitos!$M$5:$M$1682,BALANCE!V20,SYS_4_3_Digitos!$N$5:$N$1682)</f>
        <v>0</v>
      </c>
      <c r="X20" s="655"/>
      <c r="Z20" s="666"/>
      <c r="AA20" s="661">
        <v>1000</v>
      </c>
      <c r="AB20" s="672">
        <f ca="1">+SUMIF(SYS_4_3_Digitos!$M$5:$M$1682,BALANCE!AA20,SYS_4_3_Digitos!$N$5:$N$1682)</f>
        <v>-140000005.09999999</v>
      </c>
      <c r="AD20" s="668"/>
    </row>
    <row r="21" spans="3:30">
      <c r="C21" s="646" t="s">
        <v>10</v>
      </c>
      <c r="E21" s="647">
        <f ca="1">+W78</f>
        <v>32036.569999999992</v>
      </c>
      <c r="F21" s="648">
        <f t="shared" ca="1" si="0"/>
        <v>9.0922876258334591E-5</v>
      </c>
      <c r="H21" s="647">
        <v>56299.99</v>
      </c>
      <c r="I21" s="648">
        <v>1.7545657918361854E-4</v>
      </c>
      <c r="K21" s="669" t="s">
        <v>58</v>
      </c>
      <c r="M21" s="673">
        <f ca="1">-AB50</f>
        <v>0</v>
      </c>
      <c r="N21" s="674" t="str">
        <f t="shared" ca="1" si="1"/>
        <v/>
      </c>
      <c r="P21" s="673">
        <v>0</v>
      </c>
      <c r="Q21" s="674" t="s">
        <v>1392</v>
      </c>
      <c r="V21" s="661">
        <v>2003</v>
      </c>
      <c r="W21" s="662">
        <f>+SUMIF(SYS_4_3_Digitos!$M$5:$M$1682,BALANCE!V21,SYS_4_3_Digitos!$N$5:$N$1682)</f>
        <v>0</v>
      </c>
      <c r="X21" s="655"/>
      <c r="Z21" s="666"/>
      <c r="AA21" s="661">
        <v>1001</v>
      </c>
      <c r="AB21" s="672">
        <f>+SUMIF(SYS_4_3_Digitos!$M$5:$M$1682,BALANCE!AA21,SYS_4_3_Digitos!$N$5:$N$1682)</f>
        <v>0</v>
      </c>
      <c r="AD21" s="668"/>
    </row>
    <row r="22" spans="3:30" ht="15.6">
      <c r="C22" s="646" t="s">
        <v>11</v>
      </c>
      <c r="E22" s="647">
        <f ca="1">+W90</f>
        <v>0</v>
      </c>
      <c r="F22" s="648" t="str">
        <f t="shared" ca="1" si="0"/>
        <v/>
      </c>
      <c r="H22" s="647">
        <v>0</v>
      </c>
      <c r="I22" s="648" t="s">
        <v>1392</v>
      </c>
      <c r="K22" s="638" t="s">
        <v>59</v>
      </c>
      <c r="L22" s="639"/>
      <c r="M22" s="665">
        <f ca="1">-AB53</f>
        <v>0</v>
      </c>
      <c r="N22" s="641" t="str">
        <f t="shared" ca="1" si="1"/>
        <v/>
      </c>
      <c r="O22" s="639"/>
      <c r="P22" s="665">
        <v>0</v>
      </c>
      <c r="Q22" s="641" t="s">
        <v>1392</v>
      </c>
      <c r="V22" s="661">
        <v>2004</v>
      </c>
      <c r="W22" s="662">
        <f>+SUMIF(SYS_4_3_Digitos!$M$5:$M$1682,BALANCE!V22,SYS_4_3_Digitos!$N$5:$N$1682)</f>
        <v>0</v>
      </c>
      <c r="X22" s="655"/>
      <c r="Z22" s="666"/>
      <c r="AA22" s="661">
        <v>1002</v>
      </c>
      <c r="AB22" s="672">
        <f>+SUMIF(SYS_4_3_Digitos!$M$5:$M$1682,BALANCE!AA22,SYS_4_3_Digitos!$N$5:$N$1682)</f>
        <v>0</v>
      </c>
      <c r="AD22" s="668"/>
    </row>
    <row r="23" spans="3:30" ht="15.6">
      <c r="C23" s="638" t="s">
        <v>12</v>
      </c>
      <c r="D23" s="639"/>
      <c r="E23" s="640">
        <f ca="1">SUM(E24:E26)</f>
        <v>5522964.8300000001</v>
      </c>
      <c r="F23" s="641">
        <f t="shared" ca="1" si="0"/>
        <v>1.5674706993202583E-2</v>
      </c>
      <c r="G23" s="639"/>
      <c r="H23" s="640">
        <v>5651000.570000004</v>
      </c>
      <c r="I23" s="641">
        <v>1.7611108438507349E-2</v>
      </c>
      <c r="K23" s="638" t="s">
        <v>60</v>
      </c>
      <c r="L23" s="639"/>
      <c r="M23" s="665">
        <f ca="1">+M24+M25</f>
        <v>162420962.37</v>
      </c>
      <c r="N23" s="641">
        <f t="shared" ca="1" si="1"/>
        <v>0.46096636011055897</v>
      </c>
      <c r="O23" s="639"/>
      <c r="P23" s="665">
        <v>151615618.87</v>
      </c>
      <c r="Q23" s="641">
        <v>0.47250377553774853</v>
      </c>
      <c r="V23" s="661">
        <v>2005</v>
      </c>
      <c r="W23" s="662">
        <f>+SUMIF(SYS_4_3_Digitos!$M$5:$M$1682,BALANCE!V23,SYS_4_3_Digitos!$N$5:$N$1682)</f>
        <v>0</v>
      </c>
      <c r="X23" s="655"/>
      <c r="Z23" s="666"/>
      <c r="AA23" s="661">
        <v>1003</v>
      </c>
      <c r="AB23" s="672">
        <f>+SUMIF(SYS_4_3_Digitos!$M$5:$M$1682,BALANCE!AA23,SYS_4_3_Digitos!$N$5:$N$1682)</f>
        <v>0</v>
      </c>
      <c r="AD23" s="668"/>
    </row>
    <row r="24" spans="3:30">
      <c r="C24" s="646" t="s">
        <v>13</v>
      </c>
      <c r="E24" s="647">
        <f ca="1">+W106</f>
        <v>2994079.3899999997</v>
      </c>
      <c r="F24" s="648">
        <f t="shared" ca="1" si="0"/>
        <v>8.4974861505023782E-3</v>
      </c>
      <c r="H24" s="647">
        <v>3113102.2399999998</v>
      </c>
      <c r="I24" s="648">
        <v>9.7018537601740295E-3</v>
      </c>
      <c r="K24" s="669" t="s">
        <v>61</v>
      </c>
      <c r="M24" s="673">
        <f ca="1">-AB65</f>
        <v>16700583.99</v>
      </c>
      <c r="N24" s="674">
        <f t="shared" ca="1" si="1"/>
        <v>4.7397868484818882E-2</v>
      </c>
      <c r="P24" s="673">
        <v>15620049.640000001</v>
      </c>
      <c r="Q24" s="674">
        <v>4.8679235582683278E-2</v>
      </c>
      <c r="V24" s="661">
        <v>2006</v>
      </c>
      <c r="W24" s="662">
        <f>+SUMIF(SYS_4_3_Digitos!$M$5:$M$1682,BALANCE!V24,SYS_4_3_Digitos!$N$5:$N$1682)</f>
        <v>0</v>
      </c>
      <c r="X24" s="655"/>
      <c r="Z24" s="666"/>
      <c r="AA24" s="661">
        <v>1004</v>
      </c>
      <c r="AB24" s="672">
        <f>+SUMIF(SYS_4_3_Digitos!$M$5:$M$1682,BALANCE!AA24,SYS_4_3_Digitos!$N$5:$N$1682)</f>
        <v>0</v>
      </c>
      <c r="AD24" s="668"/>
    </row>
    <row r="25" spans="3:30">
      <c r="C25" s="646" t="s">
        <v>14</v>
      </c>
      <c r="E25" s="647">
        <f ca="1">+W130</f>
        <v>2528885.4400000004</v>
      </c>
      <c r="F25" s="648">
        <f t="shared" ca="1" si="0"/>
        <v>7.1772208427002054E-3</v>
      </c>
      <c r="H25" s="647">
        <v>2488884.1800000034</v>
      </c>
      <c r="I25" s="648">
        <v>7.7565041167329896E-3</v>
      </c>
      <c r="K25" s="669" t="s">
        <v>62</v>
      </c>
      <c r="M25" s="673">
        <f ca="1">-AB77</f>
        <v>145720378.38</v>
      </c>
      <c r="N25" s="674">
        <f t="shared" ca="1" si="1"/>
        <v>0.41356849162574011</v>
      </c>
      <c r="P25" s="673">
        <v>135995569.22999999</v>
      </c>
      <c r="Q25" s="674">
        <v>0.42382453995506519</v>
      </c>
      <c r="V25" s="661">
        <v>2007</v>
      </c>
      <c r="W25" s="662">
        <f>+SUMIF(SYS_4_3_Digitos!$M$5:$M$1682,BALANCE!V25,SYS_4_3_Digitos!$N$5:$N$1682)</f>
        <v>0</v>
      </c>
      <c r="X25" s="655"/>
      <c r="Z25" s="666"/>
      <c r="AA25" s="661">
        <v>1005</v>
      </c>
      <c r="AB25" s="672">
        <f>+SUMIF(SYS_4_3_Digitos!$M$5:$M$1682,BALANCE!AA25,SYS_4_3_Digitos!$N$5:$N$1682)</f>
        <v>0</v>
      </c>
      <c r="AD25" s="668"/>
    </row>
    <row r="26" spans="3:30" ht="15.6">
      <c r="C26" s="646" t="s">
        <v>15</v>
      </c>
      <c r="E26" s="647">
        <f ca="1">+W227</f>
        <v>0</v>
      </c>
      <c r="F26" s="648" t="str">
        <f t="shared" ca="1" si="0"/>
        <v/>
      </c>
      <c r="H26" s="647">
        <v>49014.15</v>
      </c>
      <c r="I26" s="648">
        <v>1.5275056160032636E-4</v>
      </c>
      <c r="K26" s="638" t="s">
        <v>63</v>
      </c>
      <c r="L26" s="639"/>
      <c r="M26" s="665">
        <f ca="1">-AB113</f>
        <v>0</v>
      </c>
      <c r="N26" s="641" t="str">
        <f t="shared" ca="1" si="1"/>
        <v/>
      </c>
      <c r="O26" s="639"/>
      <c r="P26" s="665">
        <v>0</v>
      </c>
      <c r="Q26" s="641" t="s">
        <v>1392</v>
      </c>
      <c r="V26" s="661">
        <v>2008</v>
      </c>
      <c r="W26" s="662">
        <f>+SUMIF(SYS_4_3_Digitos!$M$5:$M$1682,BALANCE!V26,SYS_4_3_Digitos!$N$5:$N$1682)</f>
        <v>0</v>
      </c>
      <c r="X26" s="655"/>
      <c r="Z26" s="666"/>
      <c r="AA26" s="661">
        <v>1006</v>
      </c>
      <c r="AB26" s="672">
        <f>+SUMIF(SYS_4_3_Digitos!$M$5:$M$1682,BALANCE!AA26,SYS_4_3_Digitos!$N$5:$N$1682)</f>
        <v>0</v>
      </c>
      <c r="AD26" s="668"/>
    </row>
    <row r="27" spans="3:30" ht="15.6">
      <c r="C27" s="638" t="s">
        <v>16</v>
      </c>
      <c r="D27" s="639"/>
      <c r="E27" s="640">
        <f ca="1">SUM(E28:E29)</f>
        <v>22285564.650000002</v>
      </c>
      <c r="F27" s="641">
        <f t="shared" ca="1" si="0"/>
        <v>6.32485823862875E-2</v>
      </c>
      <c r="G27" s="639"/>
      <c r="H27" s="640">
        <v>18524284.289999999</v>
      </c>
      <c r="I27" s="641">
        <v>5.7730162178505649E-2</v>
      </c>
      <c r="K27" s="638" t="s">
        <v>64</v>
      </c>
      <c r="L27" s="639"/>
      <c r="M27" s="665">
        <f ca="1">+M28+M29</f>
        <v>0</v>
      </c>
      <c r="N27" s="641" t="str">
        <f t="shared" ca="1" si="1"/>
        <v/>
      </c>
      <c r="O27" s="639"/>
      <c r="P27" s="665">
        <v>0</v>
      </c>
      <c r="Q27" s="641" t="s">
        <v>1392</v>
      </c>
      <c r="V27" s="661">
        <v>2009</v>
      </c>
      <c r="W27" s="662">
        <f>+SUMIF(SYS_4_3_Digitos!$M$5:$M$1682,BALANCE!V27,SYS_4_3_Digitos!$N$5:$N$1682)</f>
        <v>0</v>
      </c>
      <c r="X27" s="655"/>
      <c r="Z27" s="666"/>
      <c r="AA27" s="661">
        <v>1007</v>
      </c>
      <c r="AB27" s="672">
        <f>+SUMIF(SYS_4_3_Digitos!$M$5:$M$1682,BALANCE!AA27,SYS_4_3_Digitos!$N$5:$N$1682)</f>
        <v>0</v>
      </c>
      <c r="AD27" s="668"/>
    </row>
    <row r="28" spans="3:30">
      <c r="C28" s="646" t="s">
        <v>17</v>
      </c>
      <c r="E28" s="647">
        <f ca="1">+W329</f>
        <v>4595214.4400000004</v>
      </c>
      <c r="F28" s="648">
        <f t="shared" ca="1" si="0"/>
        <v>1.3041661885421331E-2</v>
      </c>
      <c r="H28" s="647">
        <v>3981136.05</v>
      </c>
      <c r="I28" s="648">
        <v>1.2407045056270586E-2</v>
      </c>
      <c r="K28" s="669" t="s">
        <v>65</v>
      </c>
      <c r="M28" s="673">
        <f ca="1">-AB135</f>
        <v>0</v>
      </c>
      <c r="N28" s="674" t="str">
        <f t="shared" ca="1" si="1"/>
        <v/>
      </c>
      <c r="P28" s="673">
        <v>0</v>
      </c>
      <c r="Q28" s="674" t="s">
        <v>1392</v>
      </c>
      <c r="V28" s="661">
        <v>2010</v>
      </c>
      <c r="W28" s="662">
        <f ca="1">+SUMIF(SYS_4_3_Digitos!$M$5:$M$1682,BALANCE!V28,SYS_4_3_Digitos!$N$5:$N$1682)</f>
        <v>0</v>
      </c>
      <c r="X28" s="655"/>
      <c r="Z28" s="666"/>
      <c r="AA28" s="661">
        <v>1008</v>
      </c>
      <c r="AB28" s="672">
        <f>+SUMIF(SYS_4_3_Digitos!$M$5:$M$1682,BALANCE!AA28,SYS_4_3_Digitos!$N$5:$N$1682)</f>
        <v>0</v>
      </c>
      <c r="AD28" s="668"/>
    </row>
    <row r="29" spans="3:30">
      <c r="C29" s="646" t="s">
        <v>18</v>
      </c>
      <c r="E29" s="647">
        <f ca="1">+W341</f>
        <v>17690350.210000001</v>
      </c>
      <c r="F29" s="648">
        <f t="shared" ca="1" si="0"/>
        <v>5.0206920500866163E-2</v>
      </c>
      <c r="H29" s="647">
        <v>14543148.239999998</v>
      </c>
      <c r="I29" s="648">
        <v>4.5323117122235058E-2</v>
      </c>
      <c r="K29" s="669" t="s">
        <v>66</v>
      </c>
      <c r="M29" s="675">
        <f ca="1">-AB146</f>
        <v>0</v>
      </c>
      <c r="N29" s="660" t="str">
        <f t="shared" ca="1" si="1"/>
        <v/>
      </c>
      <c r="P29" s="675">
        <v>0</v>
      </c>
      <c r="Q29" s="660" t="s">
        <v>1392</v>
      </c>
      <c r="V29" s="661">
        <v>2011</v>
      </c>
      <c r="W29" s="662">
        <f>+SUMIF(SYS_4_3_Digitos!$M$5:$M$1682,BALANCE!V29,SYS_4_3_Digitos!$N$5:$N$1682)</f>
        <v>0</v>
      </c>
      <c r="X29" s="655"/>
      <c r="Z29" s="666"/>
      <c r="AA29" s="661">
        <v>1009</v>
      </c>
      <c r="AB29" s="672">
        <f>+SUMIF(SYS_4_3_Digitos!$M$5:$M$1682,BALANCE!AA29,SYS_4_3_Digitos!$N$5:$N$1682)</f>
        <v>0</v>
      </c>
      <c r="AD29" s="668"/>
    </row>
    <row r="30" spans="3:30" ht="15.6">
      <c r="C30" s="638" t="s">
        <v>19</v>
      </c>
      <c r="D30" s="639"/>
      <c r="E30" s="640">
        <f ca="1">SUM(E31:E35)</f>
        <v>0</v>
      </c>
      <c r="F30" s="641" t="str">
        <f t="shared" ca="1" si="0"/>
        <v/>
      </c>
      <c r="G30" s="639"/>
      <c r="H30" s="640">
        <v>0</v>
      </c>
      <c r="I30" s="641" t="s">
        <v>1392</v>
      </c>
      <c r="K30" s="638" t="s">
        <v>67</v>
      </c>
      <c r="L30" s="639"/>
      <c r="M30" s="665">
        <f ca="1">-AB167</f>
        <v>0</v>
      </c>
      <c r="N30" s="641" t="str">
        <f t="shared" ca="1" si="1"/>
        <v/>
      </c>
      <c r="O30" s="639"/>
      <c r="P30" s="665">
        <v>0</v>
      </c>
      <c r="Q30" s="641" t="s">
        <v>1392</v>
      </c>
      <c r="V30" s="661">
        <v>2012</v>
      </c>
      <c r="W30" s="662">
        <f>+SUMIF(SYS_4_3_Digitos!$M$5:$M$1682,BALANCE!V30,SYS_4_3_Digitos!$N$5:$N$1682)</f>
        <v>0</v>
      </c>
      <c r="X30" s="655"/>
      <c r="Z30" s="666"/>
      <c r="AA30" s="661">
        <v>1010</v>
      </c>
      <c r="AB30" s="672">
        <f>+SUMIF(SYS_4_3_Digitos!$M$5:$M$1682,BALANCE!AA30,SYS_4_3_Digitos!$N$5:$N$1682)</f>
        <v>0</v>
      </c>
      <c r="AD30" s="668"/>
    </row>
    <row r="31" spans="3:30" ht="15.6">
      <c r="C31" s="646" t="s">
        <v>20</v>
      </c>
      <c r="E31" s="647">
        <f ca="1">+W364</f>
        <v>0</v>
      </c>
      <c r="F31" s="648" t="str">
        <f t="shared" ca="1" si="0"/>
        <v/>
      </c>
      <c r="H31" s="647">
        <v>0</v>
      </c>
      <c r="I31" s="648" t="s">
        <v>1392</v>
      </c>
      <c r="K31" s="638" t="s">
        <v>68</v>
      </c>
      <c r="L31" s="639"/>
      <c r="M31" s="665">
        <f ca="1">+PG!E81</f>
        <v>14641500.340000015</v>
      </c>
      <c r="N31" s="641">
        <f t="shared" ca="1" si="1"/>
        <v>4.1553990444363594E-2</v>
      </c>
      <c r="O31" s="639"/>
      <c r="P31" s="665">
        <v>10805343.500000006</v>
      </c>
      <c r="Q31" s="641">
        <v>3.367440398149181E-2</v>
      </c>
      <c r="V31" s="661">
        <v>2013</v>
      </c>
      <c r="W31" s="662">
        <f>+SUMIF(SYS_4_3_Digitos!$M$5:$M$1682,BALANCE!V31,SYS_4_3_Digitos!$N$5:$N$1682)</f>
        <v>0</v>
      </c>
      <c r="X31" s="655"/>
      <c r="Z31" s="666"/>
      <c r="AA31" s="661">
        <v>1011</v>
      </c>
      <c r="AB31" s="672">
        <f>+SUMIF(SYS_4_3_Digitos!$M$5:$M$1682,BALANCE!AA31,SYS_4_3_Digitos!$N$5:$N$1682)</f>
        <v>0</v>
      </c>
      <c r="AD31" s="668"/>
    </row>
    <row r="32" spans="3:30" ht="15.6">
      <c r="C32" s="646" t="s">
        <v>21</v>
      </c>
      <c r="E32" s="647">
        <f ca="1">+W380</f>
        <v>0</v>
      </c>
      <c r="F32" s="648" t="str">
        <f t="shared" ca="1" si="0"/>
        <v/>
      </c>
      <c r="H32" s="647">
        <v>0</v>
      </c>
      <c r="I32" s="648" t="s">
        <v>1392</v>
      </c>
      <c r="K32" s="638" t="s">
        <v>69</v>
      </c>
      <c r="L32" s="639"/>
      <c r="M32" s="665">
        <f ca="1">-AB189</f>
        <v>0</v>
      </c>
      <c r="N32" s="641" t="str">
        <f t="shared" ca="1" si="1"/>
        <v/>
      </c>
      <c r="O32" s="639"/>
      <c r="P32" s="665">
        <v>0</v>
      </c>
      <c r="Q32" s="641" t="s">
        <v>1392</v>
      </c>
      <c r="V32" s="661">
        <v>2014</v>
      </c>
      <c r="W32" s="662">
        <f>+SUMIF(SYS_4_3_Digitos!$M$5:$M$1682,BALANCE!V32,SYS_4_3_Digitos!$N$5:$N$1682)</f>
        <v>0</v>
      </c>
      <c r="X32" s="655"/>
      <c r="Z32" s="666"/>
      <c r="AA32" s="661">
        <v>1012</v>
      </c>
      <c r="AB32" s="672">
        <f>+SUMIF(SYS_4_3_Digitos!$M$5:$M$1682,BALANCE!AA32,SYS_4_3_Digitos!$N$5:$N$1682)</f>
        <v>0</v>
      </c>
      <c r="AD32" s="668"/>
    </row>
    <row r="33" spans="3:30" ht="15.6">
      <c r="C33" s="646" t="s">
        <v>22</v>
      </c>
      <c r="E33" s="647">
        <f>+W386</f>
        <v>0</v>
      </c>
      <c r="F33" s="648" t="str">
        <f t="shared" si="0"/>
        <v/>
      </c>
      <c r="H33" s="647">
        <v>0</v>
      </c>
      <c r="I33" s="648" t="s">
        <v>1392</v>
      </c>
      <c r="K33" s="638" t="s">
        <v>70</v>
      </c>
      <c r="L33" s="639"/>
      <c r="M33" s="665">
        <f ca="1">-AB200</f>
        <v>0</v>
      </c>
      <c r="N33" s="641" t="str">
        <f t="shared" ca="1" si="1"/>
        <v/>
      </c>
      <c r="O33" s="639"/>
      <c r="P33" s="665">
        <v>0</v>
      </c>
      <c r="Q33" s="641" t="s">
        <v>1392</v>
      </c>
      <c r="V33" s="661">
        <v>2015</v>
      </c>
      <c r="W33" s="662">
        <f>+SUMIF(SYS_4_3_Digitos!$M$5:$M$1682,BALANCE!V33,SYS_4_3_Digitos!$N$5:$N$1682)</f>
        <v>0</v>
      </c>
      <c r="X33" s="655"/>
      <c r="Z33" s="666"/>
      <c r="AA33" s="661">
        <v>1013</v>
      </c>
      <c r="AB33" s="672">
        <f>+SUMIF(SYS_4_3_Digitos!$M$5:$M$1682,BALANCE!AA33,SYS_4_3_Digitos!$N$5:$N$1682)</f>
        <v>0</v>
      </c>
      <c r="AD33" s="668"/>
    </row>
    <row r="34" spans="3:30" ht="15.6">
      <c r="C34" s="646" t="s">
        <v>23</v>
      </c>
      <c r="E34" s="647">
        <f>+W391</f>
        <v>0</v>
      </c>
      <c r="F34" s="648" t="str">
        <f t="shared" si="0"/>
        <v/>
      </c>
      <c r="H34" s="647">
        <v>0</v>
      </c>
      <c r="I34" s="648" t="s">
        <v>1392</v>
      </c>
      <c r="K34" s="638"/>
      <c r="L34" s="639"/>
      <c r="M34" s="676"/>
      <c r="N34" s="677" t="str">
        <f t="shared" si="1"/>
        <v/>
      </c>
      <c r="O34" s="639"/>
      <c r="P34" s="676"/>
      <c r="Q34" s="677" t="s">
        <v>1392</v>
      </c>
      <c r="V34" s="661">
        <v>2016</v>
      </c>
      <c r="W34" s="662">
        <f>+SUMIF(SYS_4_3_Digitos!$M$5:$M$1682,BALANCE!V34,SYS_4_3_Digitos!$N$5:$N$1682)</f>
        <v>0</v>
      </c>
      <c r="X34" s="655"/>
      <c r="Z34" s="666"/>
      <c r="AA34" s="661">
        <v>1014</v>
      </c>
      <c r="AB34" s="672">
        <f>+SUMIF(SYS_4_3_Digitos!$M$5:$M$1682,BALANCE!AA34,SYS_4_3_Digitos!$N$5:$N$1682)</f>
        <v>0</v>
      </c>
      <c r="AD34" s="668"/>
    </row>
    <row r="35" spans="3:30" ht="15">
      <c r="C35" s="646" t="s">
        <v>24</v>
      </c>
      <c r="E35" s="647">
        <f>+W392</f>
        <v>0</v>
      </c>
      <c r="F35" s="648" t="str">
        <f t="shared" si="0"/>
        <v/>
      </c>
      <c r="H35" s="647">
        <v>0</v>
      </c>
      <c r="I35" s="648" t="s">
        <v>1392</v>
      </c>
      <c r="K35" s="649" t="s">
        <v>71</v>
      </c>
      <c r="L35" s="639"/>
      <c r="M35" s="650">
        <f ca="1">+M37+M38+M39</f>
        <v>23713691.499999996</v>
      </c>
      <c r="N35" s="651">
        <f t="shared" ca="1" si="1"/>
        <v>6.7301744159341051E-2</v>
      </c>
      <c r="O35" s="639"/>
      <c r="P35" s="650">
        <v>11088325.029999999</v>
      </c>
      <c r="Q35" s="651">
        <v>3.4556304159910053E-2</v>
      </c>
      <c r="V35" s="661">
        <v>2017</v>
      </c>
      <c r="W35" s="662">
        <f>+SUMIF(SYS_4_3_Digitos!$M$5:$M$1682,BALANCE!V35,SYS_4_3_Digitos!$N$5:$N$1682)</f>
        <v>0</v>
      </c>
      <c r="X35" s="655"/>
      <c r="Z35" s="666"/>
      <c r="AA35" s="661">
        <v>1015</v>
      </c>
      <c r="AB35" s="672">
        <f>+SUMIF(SYS_4_3_Digitos!$M$5:$M$1682,BALANCE!AA35,SYS_4_3_Digitos!$N$5:$N$1682)</f>
        <v>0</v>
      </c>
      <c r="AD35" s="668"/>
    </row>
    <row r="36" spans="3:30" ht="15.6">
      <c r="C36" s="638" t="s">
        <v>25</v>
      </c>
      <c r="D36" s="639"/>
      <c r="E36" s="640">
        <f ca="1">SUM(E37:E41)</f>
        <v>163257538.41999999</v>
      </c>
      <c r="F36" s="641">
        <f t="shared" ca="1" si="0"/>
        <v>0.46334064364574512</v>
      </c>
      <c r="G36" s="639"/>
      <c r="H36" s="640">
        <v>155136438</v>
      </c>
      <c r="I36" s="641">
        <v>0.48347626204216965</v>
      </c>
      <c r="K36" s="678"/>
      <c r="L36" s="639"/>
      <c r="M36" s="679"/>
      <c r="N36" s="680"/>
      <c r="O36" s="639"/>
      <c r="P36" s="679"/>
      <c r="Q36" s="680"/>
      <c r="V36" s="661">
        <v>2018</v>
      </c>
      <c r="W36" s="662">
        <f>+SUMIF(SYS_4_3_Digitos!$M$5:$M$1682,BALANCE!V36,SYS_4_3_Digitos!$N$5:$N$1682)</f>
        <v>0</v>
      </c>
      <c r="X36" s="655"/>
      <c r="Z36" s="666"/>
      <c r="AA36" s="661">
        <v>1016</v>
      </c>
      <c r="AB36" s="672">
        <f>+SUMIF(SYS_4_3_Digitos!$M$5:$M$1682,BALANCE!AA36,SYS_4_3_Digitos!$N$5:$N$1682)</f>
        <v>0</v>
      </c>
      <c r="AD36" s="668"/>
    </row>
    <row r="37" spans="3:30" ht="15.6">
      <c r="C37" s="646" t="s">
        <v>20</v>
      </c>
      <c r="E37" s="647">
        <f ca="1">+W394</f>
        <v>163066826.97999999</v>
      </c>
      <c r="F37" s="648">
        <f t="shared" ca="1" si="0"/>
        <v>0.46279938618091138</v>
      </c>
      <c r="H37" s="647">
        <v>154951676.94999999</v>
      </c>
      <c r="I37" s="648">
        <v>0.48290046190793562</v>
      </c>
      <c r="K37" s="638" t="s">
        <v>72</v>
      </c>
      <c r="L37" s="639"/>
      <c r="M37" s="681">
        <f ca="1">-AB213</f>
        <v>23713691.499999996</v>
      </c>
      <c r="N37" s="682">
        <f t="shared" ca="1" si="1"/>
        <v>6.7301744159341051E-2</v>
      </c>
      <c r="O37" s="639"/>
      <c r="P37" s="681">
        <v>11088325.029999999</v>
      </c>
      <c r="Q37" s="682">
        <v>3.4556304159910053E-2</v>
      </c>
      <c r="V37" s="661">
        <v>2019</v>
      </c>
      <c r="W37" s="662">
        <f>+SUMIF(SYS_4_3_Digitos!$M$5:$M$1682,BALANCE!V37,SYS_4_3_Digitos!$N$5:$N$1682)</f>
        <v>0</v>
      </c>
      <c r="X37" s="655"/>
      <c r="Z37" s="666"/>
      <c r="AA37" s="661">
        <v>1017</v>
      </c>
      <c r="AB37" s="672">
        <f>+SUMIF(SYS_4_3_Digitos!$M$5:$M$1682,BALANCE!AA37,SYS_4_3_Digitos!$N$5:$N$1682)</f>
        <v>0</v>
      </c>
      <c r="AD37" s="668"/>
    </row>
    <row r="38" spans="3:30" ht="15.6">
      <c r="C38" s="646" t="s">
        <v>26</v>
      </c>
      <c r="E38" s="647">
        <f ca="1">+W418</f>
        <v>6095.42</v>
      </c>
      <c r="F38" s="648">
        <f t="shared" ca="1" si="0"/>
        <v>1.7299389990956522E-5</v>
      </c>
      <c r="H38" s="647">
        <v>0</v>
      </c>
      <c r="I38" s="648" t="s">
        <v>1392</v>
      </c>
      <c r="K38" s="638" t="s">
        <v>73</v>
      </c>
      <c r="L38" s="639"/>
      <c r="M38" s="681">
        <f ca="1">-AB224</f>
        <v>0</v>
      </c>
      <c r="N38" s="682" t="str">
        <f t="shared" ca="1" si="1"/>
        <v/>
      </c>
      <c r="O38" s="639"/>
      <c r="P38" s="681">
        <v>0</v>
      </c>
      <c r="Q38" s="682" t="s">
        <v>1392</v>
      </c>
      <c r="V38" s="661">
        <v>2801</v>
      </c>
      <c r="W38" s="662">
        <f ca="1">+SUMIF(SYS_4_3_Digitos!$M$5:$M$1682,BALANCE!V38,SYS_4_3_Digitos!$N$5:$N$1682)</f>
        <v>0</v>
      </c>
      <c r="X38" s="655"/>
      <c r="Z38" s="666"/>
      <c r="AA38" s="661">
        <v>1018</v>
      </c>
      <c r="AB38" s="672">
        <f>+SUMIF(SYS_4_3_Digitos!$M$5:$M$1682,BALANCE!AA38,SYS_4_3_Digitos!$N$5:$N$1682)</f>
        <v>0</v>
      </c>
      <c r="AD38" s="668"/>
    </row>
    <row r="39" spans="3:30" ht="15.6">
      <c r="C39" s="646" t="s">
        <v>22</v>
      </c>
      <c r="E39" s="647">
        <f ca="1">+W452</f>
        <v>0</v>
      </c>
      <c r="F39" s="648" t="str">
        <f t="shared" ca="1" si="0"/>
        <v/>
      </c>
      <c r="H39" s="647">
        <v>0</v>
      </c>
      <c r="I39" s="648" t="s">
        <v>1392</v>
      </c>
      <c r="K39" s="638" t="s">
        <v>74</v>
      </c>
      <c r="L39" s="639"/>
      <c r="M39" s="681">
        <f ca="1">-AB226</f>
        <v>0</v>
      </c>
      <c r="N39" s="682" t="str">
        <f t="shared" ca="1" si="1"/>
        <v/>
      </c>
      <c r="O39" s="639"/>
      <c r="P39" s="681">
        <v>0</v>
      </c>
      <c r="Q39" s="682" t="s">
        <v>1392</v>
      </c>
      <c r="V39" s="661">
        <v>2901</v>
      </c>
      <c r="W39" s="662">
        <f>+SUMIF(SYS_4_3_Digitos!$M$5:$M$1682,BALANCE!V39,SYS_4_3_Digitos!$N$5:$N$1682)</f>
        <v>0</v>
      </c>
      <c r="X39" s="655"/>
      <c r="Z39" s="666"/>
      <c r="AA39" s="661">
        <v>1019</v>
      </c>
      <c r="AB39" s="672">
        <f>+SUMIF(SYS_4_3_Digitos!$M$5:$M$1682,BALANCE!AA39,SYS_4_3_Digitos!$N$5:$N$1682)</f>
        <v>0</v>
      </c>
      <c r="AD39" s="668"/>
    </row>
    <row r="40" spans="3:30" ht="15.6">
      <c r="C40" s="646" t="s">
        <v>23</v>
      </c>
      <c r="E40" s="647">
        <f ca="1">+W475</f>
        <v>0</v>
      </c>
      <c r="F40" s="648" t="str">
        <f t="shared" ca="1" si="0"/>
        <v/>
      </c>
      <c r="H40" s="647">
        <v>0</v>
      </c>
      <c r="I40" s="648" t="s">
        <v>1392</v>
      </c>
      <c r="K40" s="638"/>
      <c r="L40" s="639"/>
      <c r="M40" s="676"/>
      <c r="N40" s="677"/>
      <c r="O40" s="639"/>
      <c r="P40" s="676"/>
      <c r="Q40" s="677"/>
      <c r="U40" s="652" t="s">
        <v>110</v>
      </c>
      <c r="V40" s="653" t="s">
        <v>7</v>
      </c>
      <c r="W40" s="654">
        <f ca="1">SUM(W41:W52)</f>
        <v>11171.26</v>
      </c>
      <c r="X40" s="655"/>
      <c r="Z40" s="666"/>
      <c r="AA40" s="661">
        <v>1020</v>
      </c>
      <c r="AB40" s="672">
        <f>+SUMIF(SYS_4_3_Digitos!$M$5:$M$1682,BALANCE!AA40,SYS_4_3_Digitos!$N$5:$N$1682)</f>
        <v>0</v>
      </c>
      <c r="AD40" s="668"/>
    </row>
    <row r="41" spans="3:30" ht="15">
      <c r="C41" s="646" t="s">
        <v>24</v>
      </c>
      <c r="E41" s="647">
        <f ca="1">+W486</f>
        <v>184616.02</v>
      </c>
      <c r="F41" s="648">
        <f t="shared" ca="1" si="0"/>
        <v>5.2395807484278837E-4</v>
      </c>
      <c r="H41" s="647">
        <v>184761.05</v>
      </c>
      <c r="I41" s="648">
        <v>5.758001342340115E-4</v>
      </c>
      <c r="K41" s="649" t="s">
        <v>75</v>
      </c>
      <c r="L41" s="639"/>
      <c r="M41" s="650">
        <f ca="1">-AB237</f>
        <v>34973.649999999994</v>
      </c>
      <c r="N41" s="651">
        <f t="shared" ca="1" si="1"/>
        <v>9.9258592641231666E-5</v>
      </c>
      <c r="O41" s="639"/>
      <c r="P41" s="650">
        <v>16574.64</v>
      </c>
      <c r="Q41" s="651">
        <v>5.1654176769835508E-5</v>
      </c>
      <c r="V41" s="661">
        <v>2020</v>
      </c>
      <c r="W41" s="662">
        <f ca="1">+SUMIF(SYS_4_3_Digitos!$M$5:$M$1682,BALANCE!V41,SYS_4_3_Digitos!$N$5:$N$1682)</f>
        <v>20800</v>
      </c>
      <c r="X41" s="655"/>
      <c r="Z41" s="666"/>
      <c r="AA41" s="661">
        <v>1021</v>
      </c>
      <c r="AB41" s="672">
        <f>+SUMIF(SYS_4_3_Digitos!$M$5:$M$1682,BALANCE!AA41,SYS_4_3_Digitos!$N$5:$N$1682)</f>
        <v>0</v>
      </c>
      <c r="AD41" s="668"/>
    </row>
    <row r="42" spans="3:30" ht="15.6">
      <c r="C42" s="683" t="s">
        <v>27</v>
      </c>
      <c r="D42" s="639"/>
      <c r="E42" s="684">
        <f ca="1">+W629</f>
        <v>2293618.2600000002</v>
      </c>
      <c r="F42" s="685">
        <f t="shared" ca="1" si="0"/>
        <v>6.5095098894119054E-3</v>
      </c>
      <c r="G42" s="639"/>
      <c r="H42" s="684">
        <v>2693279.37</v>
      </c>
      <c r="I42" s="685">
        <v>8.393493232343582E-3</v>
      </c>
      <c r="K42" s="686"/>
      <c r="M42" s="687"/>
      <c r="N42" s="688"/>
      <c r="P42" s="687"/>
      <c r="Q42" s="688"/>
      <c r="V42" s="661">
        <v>2021</v>
      </c>
      <c r="W42" s="662">
        <f>+SUMIF(SYS_4_3_Digitos!$M$5:$M$1682,BALANCE!V42,SYS_4_3_Digitos!$N$5:$N$1682)</f>
        <v>0</v>
      </c>
      <c r="X42" s="655"/>
      <c r="Z42" s="666"/>
      <c r="AA42" s="661">
        <v>1022</v>
      </c>
      <c r="AB42" s="672">
        <f>+SUMIF(SYS_4_3_Digitos!$M$5:$M$1682,BALANCE!AA42,SYS_4_3_Digitos!$N$5:$N$1682)</f>
        <v>0</v>
      </c>
      <c r="AD42" s="668"/>
    </row>
    <row r="43" spans="3:30">
      <c r="M43" s="642"/>
      <c r="N43" s="643" t="str">
        <f t="shared" si="1"/>
        <v/>
      </c>
      <c r="P43" s="642"/>
      <c r="Q43" s="643" t="s">
        <v>1392</v>
      </c>
      <c r="V43" s="661">
        <v>2022</v>
      </c>
      <c r="W43" s="662">
        <f>+SUMIF(SYS_4_3_Digitos!$M$5:$M$1682,BALANCE!V43,SYS_4_3_Digitos!$N$5:$N$1682)</f>
        <v>0</v>
      </c>
      <c r="X43" s="655"/>
      <c r="Z43" s="666"/>
      <c r="AA43" s="661">
        <v>1023</v>
      </c>
      <c r="AB43" s="672">
        <f>+SUMIF(SYS_4_3_Digitos!$M$5:$M$1682,BALANCE!AA43,SYS_4_3_Digitos!$N$5:$N$1682)</f>
        <v>0</v>
      </c>
      <c r="AD43" s="668"/>
    </row>
    <row r="44" spans="3:30" ht="20.25" customHeight="1">
      <c r="C44" s="628" t="s">
        <v>28</v>
      </c>
      <c r="E44" s="629">
        <f ca="1">+E45+E46+E53+E61+E67+E73+E74</f>
        <v>158945946.23999998</v>
      </c>
      <c r="F44" s="689">
        <f t="shared" ref="F44:F76" ca="1" si="2">+IF(E44=0,"",E44/$E$13)</f>
        <v>0.45110392909551256</v>
      </c>
      <c r="H44" s="629">
        <v>138804136.15000001</v>
      </c>
      <c r="I44" s="689">
        <v>0.43257732204599408</v>
      </c>
      <c r="K44" s="690" t="s">
        <v>76</v>
      </c>
      <c r="M44" s="632">
        <f ca="1">+M45+M50+M56+M57+M58+M59</f>
        <v>10203945.560000001</v>
      </c>
      <c r="N44" s="633">
        <f t="shared" ca="1" si="1"/>
        <v>2.8959781883599361E-2</v>
      </c>
      <c r="P44" s="632">
        <v>6315112.1199999982</v>
      </c>
      <c r="Q44" s="633">
        <v>1.9680784485684791E-2</v>
      </c>
      <c r="V44" s="661">
        <v>2023</v>
      </c>
      <c r="W44" s="662">
        <f>+SUMIF(SYS_4_3_Digitos!$M$5:$M$1682,BALANCE!V44,SYS_4_3_Digitos!$N$5:$N$1682)</f>
        <v>0</v>
      </c>
      <c r="X44" s="655"/>
      <c r="Z44" s="666"/>
      <c r="AA44" s="661">
        <v>1024</v>
      </c>
      <c r="AB44" s="672">
        <f>+SUMIF(SYS_4_3_Digitos!$M$5:$M$1682,BALANCE!AA44,SYS_4_3_Digitos!$N$5:$N$1682)</f>
        <v>0</v>
      </c>
      <c r="AD44" s="668"/>
    </row>
    <row r="45" spans="3:30" ht="15.6">
      <c r="C45" s="638" t="s">
        <v>29</v>
      </c>
      <c r="D45" s="639"/>
      <c r="E45" s="640">
        <f ca="1">W641</f>
        <v>0</v>
      </c>
      <c r="F45" s="641" t="str">
        <f t="shared" ca="1" si="2"/>
        <v/>
      </c>
      <c r="G45" s="639"/>
      <c r="H45" s="640">
        <v>0</v>
      </c>
      <c r="I45" s="641" t="s">
        <v>1392</v>
      </c>
      <c r="K45" s="638" t="s">
        <v>77</v>
      </c>
      <c r="L45" s="639"/>
      <c r="M45" s="691">
        <f ca="1">SUM(M46:M49)</f>
        <v>0</v>
      </c>
      <c r="N45" s="692" t="str">
        <f t="shared" ca="1" si="1"/>
        <v/>
      </c>
      <c r="O45" s="639"/>
      <c r="P45" s="691">
        <v>0</v>
      </c>
      <c r="Q45" s="692" t="s">
        <v>1392</v>
      </c>
      <c r="V45" s="661">
        <v>2024</v>
      </c>
      <c r="W45" s="662">
        <f>+SUMIF(SYS_4_3_Digitos!$M$5:$M$1682,BALANCE!V45,SYS_4_3_Digitos!$N$5:$N$1682)</f>
        <v>0</v>
      </c>
      <c r="X45" s="655"/>
      <c r="Z45" s="666"/>
      <c r="AA45" s="661">
        <v>1025</v>
      </c>
      <c r="AB45" s="672">
        <f>+SUMIF(SYS_4_3_Digitos!$M$5:$M$1682,BALANCE!AA45,SYS_4_3_Digitos!$N$5:$N$1682)</f>
        <v>0</v>
      </c>
    </row>
    <row r="46" spans="3:30" ht="15.6">
      <c r="C46" s="638" t="s">
        <v>30</v>
      </c>
      <c r="D46" s="639"/>
      <c r="E46" s="640">
        <f ca="1">SUM(E47:E52)</f>
        <v>45753952.569999993</v>
      </c>
      <c r="F46" s="641">
        <f t="shared" ca="1" si="2"/>
        <v>0.12985413132091919</v>
      </c>
      <c r="G46" s="639"/>
      <c r="H46" s="640">
        <v>41673214.149999999</v>
      </c>
      <c r="I46" s="641">
        <v>0.12987284009012023</v>
      </c>
      <c r="K46" s="669" t="s">
        <v>78</v>
      </c>
      <c r="M46" s="673">
        <f>-AB270</f>
        <v>0</v>
      </c>
      <c r="N46" s="674" t="str">
        <f t="shared" si="1"/>
        <v/>
      </c>
      <c r="P46" s="673">
        <v>0</v>
      </c>
      <c r="Q46" s="674" t="s">
        <v>1392</v>
      </c>
      <c r="V46" s="661">
        <v>2025</v>
      </c>
      <c r="W46" s="662">
        <f>+SUMIF(SYS_4_3_Digitos!$M$5:$M$1682,BALANCE!V46,SYS_4_3_Digitos!$N$5:$N$1682)</f>
        <v>0</v>
      </c>
      <c r="X46" s="655"/>
      <c r="Z46" s="666"/>
      <c r="AA46" s="661">
        <v>1026</v>
      </c>
      <c r="AB46" s="672">
        <f>+SUMIF(SYS_4_3_Digitos!$M$5:$M$1682,BALANCE!AA46,SYS_4_3_Digitos!$N$5:$N$1682)</f>
        <v>0</v>
      </c>
    </row>
    <row r="47" spans="3:30">
      <c r="C47" s="646" t="s">
        <v>31</v>
      </c>
      <c r="E47" s="647">
        <f ca="1">+W703</f>
        <v>7571396.0500000007</v>
      </c>
      <c r="F47" s="648">
        <f t="shared" ca="1" si="2"/>
        <v>2.1488352409667875E-2</v>
      </c>
      <c r="H47" s="647">
        <v>6339183.1399999997</v>
      </c>
      <c r="I47" s="648">
        <v>1.9755800819198539E-2</v>
      </c>
      <c r="K47" s="669" t="s">
        <v>79</v>
      </c>
      <c r="M47" s="673">
        <f ca="1">-AB272</f>
        <v>0</v>
      </c>
      <c r="N47" s="674" t="str">
        <f t="shared" ca="1" si="1"/>
        <v/>
      </c>
      <c r="P47" s="673">
        <v>0</v>
      </c>
      <c r="Q47" s="674" t="s">
        <v>1392</v>
      </c>
      <c r="V47" s="661">
        <v>2026</v>
      </c>
      <c r="W47" s="662">
        <f>+SUMIF(SYS_4_3_Digitos!$M$5:$M$1682,BALANCE!V47,SYS_4_3_Digitos!$N$5:$N$1682)</f>
        <v>0</v>
      </c>
      <c r="X47" s="655"/>
      <c r="Z47" s="666"/>
      <c r="AA47" s="661">
        <v>1027</v>
      </c>
      <c r="AB47" s="672">
        <f>+SUMIF(SYS_4_3_Digitos!$M$5:$M$1682,BALANCE!AA47,SYS_4_3_Digitos!$N$5:$N$1682)</f>
        <v>0</v>
      </c>
    </row>
    <row r="48" spans="3:30">
      <c r="C48" s="646" t="s">
        <v>32</v>
      </c>
      <c r="E48" s="647">
        <f ca="1">+W814</f>
        <v>33683237.159999996</v>
      </c>
      <c r="F48" s="648">
        <f t="shared" ca="1" si="2"/>
        <v>9.5596276513959452E-2</v>
      </c>
      <c r="H48" s="647">
        <v>28252833.219999999</v>
      </c>
      <c r="I48" s="648">
        <v>8.8048780630804707E-2</v>
      </c>
      <c r="K48" s="669" t="s">
        <v>80</v>
      </c>
      <c r="M48" s="673">
        <f ca="1">-AB283</f>
        <v>0</v>
      </c>
      <c r="N48" s="674" t="str">
        <f t="shared" ca="1" si="1"/>
        <v/>
      </c>
      <c r="P48" s="673">
        <v>0</v>
      </c>
      <c r="Q48" s="674" t="s">
        <v>1392</v>
      </c>
      <c r="V48" s="661">
        <v>2027</v>
      </c>
      <c r="W48" s="662">
        <f>+SUMIF(SYS_4_3_Digitos!$M$5:$M$1682,BALANCE!V48,SYS_4_3_Digitos!$N$5:$N$1682)</f>
        <v>0</v>
      </c>
      <c r="X48" s="655"/>
      <c r="Z48" s="666"/>
      <c r="AA48" s="661">
        <v>1028</v>
      </c>
      <c r="AB48" s="672">
        <f>+SUMIF(SYS_4_3_Digitos!$M$5:$M$1682,BALANCE!AA48,SYS_4_3_Digitos!$N$5:$N$1682)</f>
        <v>0</v>
      </c>
    </row>
    <row r="49" spans="3:28">
      <c r="C49" s="646" t="s">
        <v>33</v>
      </c>
      <c r="E49" s="647">
        <f ca="1">+W1035</f>
        <v>4499319.3600000003</v>
      </c>
      <c r="F49" s="648">
        <f t="shared" ca="1" si="2"/>
        <v>1.2769502397291887E-2</v>
      </c>
      <c r="H49" s="647">
        <v>7081197.79</v>
      </c>
      <c r="I49" s="648">
        <v>2.2068258640116984E-2</v>
      </c>
      <c r="K49" s="669" t="s">
        <v>81</v>
      </c>
      <c r="M49" s="673">
        <f ca="1">-AB294</f>
        <v>0</v>
      </c>
      <c r="N49" s="674" t="str">
        <f t="shared" ca="1" si="1"/>
        <v/>
      </c>
      <c r="P49" s="673">
        <v>0</v>
      </c>
      <c r="Q49" s="674" t="s">
        <v>1392</v>
      </c>
      <c r="V49" s="661">
        <v>2028</v>
      </c>
      <c r="W49" s="662">
        <f>+SUMIF(SYS_4_3_Digitos!$M$5:$M$1682,BALANCE!V49,SYS_4_3_Digitos!$N$5:$N$1682)</f>
        <v>0</v>
      </c>
      <c r="X49" s="655"/>
      <c r="Z49" s="666"/>
      <c r="AA49" s="661">
        <v>1029</v>
      </c>
      <c r="AB49" s="672">
        <f>+SUMIF(SYS_4_3_Digitos!$M$5:$M$1682,BALANCE!AA49,SYS_4_3_Digitos!$N$5:$N$1682)</f>
        <v>0</v>
      </c>
    </row>
    <row r="50" spans="3:28" ht="15.6">
      <c r="C50" s="646" t="s">
        <v>34</v>
      </c>
      <c r="E50" s="647">
        <f ca="1">+W1146</f>
        <v>0</v>
      </c>
      <c r="F50" s="648" t="str">
        <f t="shared" ca="1" si="2"/>
        <v/>
      </c>
      <c r="H50" s="647">
        <v>0</v>
      </c>
      <c r="I50" s="648" t="s">
        <v>1392</v>
      </c>
      <c r="K50" s="638" t="s">
        <v>82</v>
      </c>
      <c r="L50" s="639"/>
      <c r="M50" s="665">
        <f ca="1">SUM(M51:M55)</f>
        <v>205434</v>
      </c>
      <c r="N50" s="641">
        <f t="shared" ca="1" si="1"/>
        <v>5.8304151041309077E-4</v>
      </c>
      <c r="O50" s="639"/>
      <c r="P50" s="665">
        <v>197434</v>
      </c>
      <c r="Q50" s="641">
        <v>6.1529485626087227E-4</v>
      </c>
      <c r="V50" s="661">
        <v>2029</v>
      </c>
      <c r="W50" s="662">
        <f>+SUMIF(SYS_4_3_Digitos!$M$5:$M$1682,BALANCE!V50,SYS_4_3_Digitos!$N$5:$N$1682)</f>
        <v>0</v>
      </c>
      <c r="X50" s="655"/>
      <c r="Z50" s="666" t="s">
        <v>145</v>
      </c>
      <c r="AA50" s="653" t="s">
        <v>58</v>
      </c>
      <c r="AB50" s="667">
        <f ca="1">SUM(AB51:AB52)</f>
        <v>0</v>
      </c>
    </row>
    <row r="51" spans="3:28">
      <c r="C51" s="646" t="s">
        <v>35</v>
      </c>
      <c r="E51" s="647">
        <f>+W1477</f>
        <v>0</v>
      </c>
      <c r="F51" s="648" t="str">
        <f t="shared" si="2"/>
        <v/>
      </c>
      <c r="H51" s="647">
        <v>0</v>
      </c>
      <c r="I51" s="648" t="s">
        <v>1392</v>
      </c>
      <c r="K51" s="669" t="s">
        <v>83</v>
      </c>
      <c r="M51" s="673">
        <f ca="1">-AB336</f>
        <v>0</v>
      </c>
      <c r="N51" s="674" t="str">
        <f t="shared" ca="1" si="1"/>
        <v/>
      </c>
      <c r="P51" s="673">
        <v>0</v>
      </c>
      <c r="Q51" s="674" t="s">
        <v>1392</v>
      </c>
      <c r="V51" s="661">
        <v>2802</v>
      </c>
      <c r="W51" s="662">
        <f ca="1">+SUMIF(SYS_4_3_Digitos!$M$5:$M$1682,BALANCE!V51,SYS_4_3_Digitos!$N$5:$N$1682)</f>
        <v>-9628.74</v>
      </c>
      <c r="X51" s="655"/>
      <c r="Z51" s="666"/>
      <c r="AA51" s="661">
        <v>1030</v>
      </c>
      <c r="AB51" s="672">
        <f ca="1">+SUMIF(SYS_4_3_Digitos!$M$5:$M$1682,BALANCE!AA51,SYS_4_3_Digitos!$N$5:$N$1682)</f>
        <v>0</v>
      </c>
    </row>
    <row r="52" spans="3:28">
      <c r="C52" s="646" t="s">
        <v>36</v>
      </c>
      <c r="E52" s="647">
        <f ca="1">+W1479</f>
        <v>0</v>
      </c>
      <c r="F52" s="648" t="str">
        <f t="shared" ca="1" si="2"/>
        <v/>
      </c>
      <c r="H52" s="647">
        <v>0</v>
      </c>
      <c r="I52" s="648" t="s">
        <v>1392</v>
      </c>
      <c r="K52" s="669" t="s">
        <v>84</v>
      </c>
      <c r="M52" s="673">
        <f ca="1">-AB367</f>
        <v>0</v>
      </c>
      <c r="N52" s="674" t="str">
        <f t="shared" ca="1" si="1"/>
        <v/>
      </c>
      <c r="P52" s="673">
        <v>0</v>
      </c>
      <c r="Q52" s="674" t="s">
        <v>1392</v>
      </c>
      <c r="V52" s="661">
        <v>2902</v>
      </c>
      <c r="W52" s="662">
        <f>+SUMIF(SYS_4_3_Digitos!$M$5:$M$1682,BALANCE!V52,SYS_4_3_Digitos!$N$5:$N$1682)</f>
        <v>0</v>
      </c>
      <c r="X52" s="655"/>
      <c r="Z52" s="666"/>
      <c r="AA52" s="661">
        <v>1040</v>
      </c>
      <c r="AB52" s="672">
        <f ca="1">+SUMIF(SYS_4_3_Digitos!$M$5:$M$1682,BALANCE!AA52,SYS_4_3_Digitos!$N$5:$N$1682)</f>
        <v>0</v>
      </c>
    </row>
    <row r="53" spans="3:28" ht="15.6">
      <c r="C53" s="638" t="s">
        <v>37</v>
      </c>
      <c r="D53" s="639"/>
      <c r="E53" s="640">
        <f ca="1">SUM(E54:E60)</f>
        <v>27493302.080000002</v>
      </c>
      <c r="F53" s="641">
        <f t="shared" ca="1" si="2"/>
        <v>7.8028643608003406E-2</v>
      </c>
      <c r="G53" s="639"/>
      <c r="H53" s="640">
        <v>22173680.150000002</v>
      </c>
      <c r="I53" s="641">
        <v>6.9103352718725281E-2</v>
      </c>
      <c r="K53" s="669" t="s">
        <v>85</v>
      </c>
      <c r="M53" s="673">
        <f ca="1">-AB379</f>
        <v>0</v>
      </c>
      <c r="N53" s="674" t="str">
        <f t="shared" ca="1" si="1"/>
        <v/>
      </c>
      <c r="P53" s="673">
        <v>0</v>
      </c>
      <c r="Q53" s="674" t="s">
        <v>1392</v>
      </c>
      <c r="U53" s="652" t="s">
        <v>111</v>
      </c>
      <c r="V53" s="653" t="s">
        <v>8</v>
      </c>
      <c r="W53" s="654">
        <f ca="1">SUM(W54:W65)</f>
        <v>0</v>
      </c>
      <c r="X53" s="655"/>
      <c r="Z53" s="666">
        <v>110</v>
      </c>
      <c r="AA53" s="664" t="s">
        <v>59</v>
      </c>
      <c r="AB53" s="642">
        <f ca="1">SUM(AB54:AB63)</f>
        <v>0</v>
      </c>
    </row>
    <row r="54" spans="3:28">
      <c r="C54" s="646" t="s">
        <v>38</v>
      </c>
      <c r="E54" s="647">
        <f ca="1">+W1492</f>
        <v>24337588.380000003</v>
      </c>
      <c r="F54" s="648">
        <f t="shared" ca="1" si="2"/>
        <v>6.9072423692705637E-2</v>
      </c>
      <c r="H54" s="647">
        <v>20428155.5</v>
      </c>
      <c r="I54" s="648">
        <v>6.3663497685541734E-2</v>
      </c>
      <c r="K54" s="669" t="s">
        <v>23</v>
      </c>
      <c r="M54" s="673">
        <f ca="1">-AB391</f>
        <v>0</v>
      </c>
      <c r="N54" s="674" t="str">
        <f t="shared" ca="1" si="1"/>
        <v/>
      </c>
      <c r="P54" s="673">
        <v>0</v>
      </c>
      <c r="Q54" s="674" t="s">
        <v>1392</v>
      </c>
      <c r="V54" s="661">
        <v>2030</v>
      </c>
      <c r="W54" s="662">
        <f ca="1">+SUMIF(SYS_4_3_Digitos!$M$5:$M$1682,BALANCE!V54,SYS_4_3_Digitos!$N$5:$N$1682)</f>
        <v>0</v>
      </c>
      <c r="X54" s="655"/>
      <c r="Z54" s="666"/>
      <c r="AA54" s="661">
        <v>1100</v>
      </c>
      <c r="AB54" s="672">
        <f ca="1">+SUMIF(SYS_4_3_Digitos!$M$5:$M$1682,BALANCE!AA54,SYS_4_3_Digitos!$N$5:$N$1682)</f>
        <v>0</v>
      </c>
    </row>
    <row r="55" spans="3:28">
      <c r="C55" s="646" t="s">
        <v>39</v>
      </c>
      <c r="E55" s="647">
        <f ca="1">+W1564</f>
        <v>0</v>
      </c>
      <c r="F55" s="648" t="str">
        <f t="shared" ca="1" si="2"/>
        <v/>
      </c>
      <c r="H55" s="647">
        <v>0</v>
      </c>
      <c r="I55" s="648" t="s">
        <v>1392</v>
      </c>
      <c r="K55" s="669" t="s">
        <v>86</v>
      </c>
      <c r="M55" s="673">
        <f ca="1">-AB402</f>
        <v>205434</v>
      </c>
      <c r="N55" s="674">
        <f t="shared" ca="1" si="1"/>
        <v>5.8304151041309077E-4</v>
      </c>
      <c r="P55" s="673">
        <v>197434</v>
      </c>
      <c r="Q55" s="674">
        <v>6.1529485626087227E-4</v>
      </c>
      <c r="V55" s="661">
        <v>2031</v>
      </c>
      <c r="W55" s="662">
        <f>+SUMIF(SYS_4_3_Digitos!$M$5:$M$1682,BALANCE!V55,SYS_4_3_Digitos!$N$5:$N$1682)</f>
        <v>0</v>
      </c>
      <c r="X55" s="655"/>
      <c r="Z55" s="666"/>
      <c r="AA55" s="661">
        <v>1101</v>
      </c>
      <c r="AB55" s="672">
        <f>+SUMIF(SYS_4_3_Digitos!$M$5:$M$1682,BALANCE!AA55,SYS_4_3_Digitos!$N$5:$N$1682)</f>
        <v>0</v>
      </c>
    </row>
    <row r="56" spans="3:28" ht="15.6">
      <c r="C56" s="646" t="s">
        <v>40</v>
      </c>
      <c r="E56" s="647">
        <f ca="1">+W1587</f>
        <v>808.16000000000008</v>
      </c>
      <c r="F56" s="648">
        <f t="shared" ca="1" si="2"/>
        <v>2.2936360439627499E-6</v>
      </c>
      <c r="H56" s="647">
        <v>364.09</v>
      </c>
      <c r="I56" s="648">
        <v>1.134671354559098E-6</v>
      </c>
      <c r="K56" s="638" t="s">
        <v>87</v>
      </c>
      <c r="L56" s="639"/>
      <c r="M56" s="665">
        <f ca="1">-AB475</f>
        <v>0</v>
      </c>
      <c r="N56" s="641" t="str">
        <f t="shared" ca="1" si="1"/>
        <v/>
      </c>
      <c r="O56" s="639"/>
      <c r="P56" s="665">
        <v>0</v>
      </c>
      <c r="Q56" s="641" t="s">
        <v>1392</v>
      </c>
      <c r="V56" s="661">
        <v>2032</v>
      </c>
      <c r="W56" s="662">
        <f>+SUMIF(SYS_4_3_Digitos!$M$5:$M$1682,BALANCE!V56,SYS_4_3_Digitos!$N$5:$N$1682)</f>
        <v>0</v>
      </c>
      <c r="X56" s="655"/>
      <c r="Z56" s="666"/>
      <c r="AA56" s="661">
        <v>1102</v>
      </c>
      <c r="AB56" s="672">
        <f>+SUMIF(SYS_4_3_Digitos!$M$5:$M$1682,BALANCE!AA56,SYS_4_3_Digitos!$N$5:$N$1682)</f>
        <v>0</v>
      </c>
    </row>
    <row r="57" spans="3:28" ht="15.6">
      <c r="C57" s="646" t="s">
        <v>41</v>
      </c>
      <c r="E57" s="647">
        <f ca="1">+W1700</f>
        <v>3429.58</v>
      </c>
      <c r="F57" s="648">
        <f t="shared" ca="1" si="2"/>
        <v>9.7334788948398416E-6</v>
      </c>
      <c r="H57" s="647">
        <v>3750</v>
      </c>
      <c r="I57" s="648">
        <v>1.1686719161736433E-5</v>
      </c>
      <c r="K57" s="638" t="s">
        <v>88</v>
      </c>
      <c r="L57" s="639"/>
      <c r="M57" s="665">
        <f ca="1">-AB487</f>
        <v>9998511.5600000005</v>
      </c>
      <c r="N57" s="641">
        <f t="shared" ca="1" si="1"/>
        <v>2.8376740373186271E-2</v>
      </c>
      <c r="O57" s="639"/>
      <c r="P57" s="665">
        <v>6117678.1199999982</v>
      </c>
      <c r="Q57" s="641">
        <v>1.9065489629423921E-2</v>
      </c>
      <c r="V57" s="661">
        <v>2033</v>
      </c>
      <c r="W57" s="662">
        <f>+SUMIF(SYS_4_3_Digitos!$M$5:$M$1682,BALANCE!V57,SYS_4_3_Digitos!$N$5:$N$1682)</f>
        <v>0</v>
      </c>
      <c r="X57" s="655"/>
      <c r="Z57" s="666"/>
      <c r="AA57" s="661">
        <v>1103</v>
      </c>
      <c r="AB57" s="672">
        <f>+SUMIF(SYS_4_3_Digitos!$M$5:$M$1682,BALANCE!AA57,SYS_4_3_Digitos!$N$5:$N$1682)</f>
        <v>0</v>
      </c>
    </row>
    <row r="58" spans="3:28" ht="15.6">
      <c r="C58" s="646" t="s">
        <v>42</v>
      </c>
      <c r="E58" s="647">
        <f ca="1">+W1721</f>
        <v>3151475.96</v>
      </c>
      <c r="F58" s="648">
        <f t="shared" ca="1" si="2"/>
        <v>8.9441928003589737E-3</v>
      </c>
      <c r="H58" s="647">
        <v>1637490.19</v>
      </c>
      <c r="I58" s="648">
        <v>5.1031701281675822E-3</v>
      </c>
      <c r="K58" s="638" t="s">
        <v>89</v>
      </c>
      <c r="L58" s="639"/>
      <c r="M58" s="665">
        <f ca="1">-AB498</f>
        <v>0</v>
      </c>
      <c r="N58" s="641" t="str">
        <f t="shared" ca="1" si="1"/>
        <v/>
      </c>
      <c r="O58" s="639"/>
      <c r="P58" s="665">
        <v>0</v>
      </c>
      <c r="Q58" s="641" t="s">
        <v>1392</v>
      </c>
      <c r="V58" s="661">
        <v>2034</v>
      </c>
      <c r="W58" s="662">
        <f>+SUMIF(SYS_4_3_Digitos!$M$5:$M$1682,BALANCE!V58,SYS_4_3_Digitos!$N$5:$N$1682)</f>
        <v>0</v>
      </c>
      <c r="X58" s="655"/>
      <c r="Z58" s="666"/>
      <c r="AA58" s="661">
        <v>1104</v>
      </c>
      <c r="AB58" s="672">
        <f>+SUMIF(SYS_4_3_Digitos!$M$5:$M$1682,BALANCE!AA58,SYS_4_3_Digitos!$N$5:$N$1682)</f>
        <v>0</v>
      </c>
    </row>
    <row r="59" spans="3:28" ht="15.6">
      <c r="C59" s="646" t="s">
        <v>43</v>
      </c>
      <c r="E59" s="647">
        <f ca="1">+W1723</f>
        <v>0</v>
      </c>
      <c r="F59" s="648" t="str">
        <f t="shared" ca="1" si="2"/>
        <v/>
      </c>
      <c r="H59" s="647">
        <v>103920.37</v>
      </c>
      <c r="I59" s="648">
        <v>3.2386351449966398E-4</v>
      </c>
      <c r="K59" s="683" t="s">
        <v>90</v>
      </c>
      <c r="L59" s="639"/>
      <c r="M59" s="693">
        <f ca="1">-W598</f>
        <v>0</v>
      </c>
      <c r="N59" s="685" t="str">
        <f t="shared" ca="1" si="1"/>
        <v/>
      </c>
      <c r="O59" s="639"/>
      <c r="P59" s="693">
        <v>0</v>
      </c>
      <c r="Q59" s="685" t="s">
        <v>1392</v>
      </c>
      <c r="V59" s="661">
        <v>2035</v>
      </c>
      <c r="W59" s="662">
        <f>+SUMIF(SYS_4_3_Digitos!$M$5:$M$1682,BALANCE!V59,SYS_4_3_Digitos!$N$5:$N$1682)</f>
        <v>0</v>
      </c>
      <c r="X59" s="655"/>
      <c r="Z59" s="666"/>
      <c r="AA59" s="661">
        <v>1105</v>
      </c>
      <c r="AB59" s="672">
        <f>+SUMIF(SYS_4_3_Digitos!$M$5:$M$1682,BALANCE!AA59,SYS_4_3_Digitos!$N$5:$N$1682)</f>
        <v>0</v>
      </c>
    </row>
    <row r="60" spans="3:28">
      <c r="C60" s="646" t="s">
        <v>44</v>
      </c>
      <c r="E60" s="647">
        <f ca="1">+W1756</f>
        <v>0</v>
      </c>
      <c r="F60" s="648" t="str">
        <f t="shared" ca="1" si="2"/>
        <v/>
      </c>
      <c r="H60" s="647">
        <v>0</v>
      </c>
      <c r="I60" s="648" t="s">
        <v>1392</v>
      </c>
      <c r="K60" s="664"/>
      <c r="M60" s="694"/>
      <c r="N60" s="695" t="str">
        <f t="shared" si="1"/>
        <v/>
      </c>
      <c r="P60" s="694"/>
      <c r="Q60" s="695" t="s">
        <v>1392</v>
      </c>
      <c r="V60" s="661">
        <v>2036</v>
      </c>
      <c r="W60" s="662">
        <f>+SUMIF(SYS_4_3_Digitos!$M$5:$M$1682,BALANCE!V60,SYS_4_3_Digitos!$N$5:$N$1682)</f>
        <v>0</v>
      </c>
      <c r="X60" s="655"/>
      <c r="Z60" s="666"/>
      <c r="AA60" s="661">
        <v>1106</v>
      </c>
      <c r="AB60" s="672">
        <f>+SUMIF(SYS_4_3_Digitos!$M$5:$M$1682,BALANCE!AA60,SYS_4_3_Digitos!$N$5:$N$1682)</f>
        <v>0</v>
      </c>
    </row>
    <row r="61" spans="3:28" ht="15.6">
      <c r="C61" s="638" t="s">
        <v>45</v>
      </c>
      <c r="D61" s="639"/>
      <c r="E61" s="640">
        <f ca="1">SUM(E62:E66)</f>
        <v>0</v>
      </c>
      <c r="F61" s="641" t="str">
        <f t="shared" ca="1" si="2"/>
        <v/>
      </c>
      <c r="G61" s="639"/>
      <c r="H61" s="640">
        <v>0</v>
      </c>
      <c r="I61" s="641" t="s">
        <v>1392</v>
      </c>
      <c r="K61" s="690" t="s">
        <v>91</v>
      </c>
      <c r="L61" s="639"/>
      <c r="M61" s="632">
        <f ca="1">+M62+M63+M64+M70+M71+M79+M80</f>
        <v>1333761.71</v>
      </c>
      <c r="N61" s="696">
        <f t="shared" ca="1" si="1"/>
        <v>3.7853444022389023E-3</v>
      </c>
      <c r="O61" s="639"/>
      <c r="P61" s="632">
        <v>1036073.4100000006</v>
      </c>
      <c r="Q61" s="696">
        <v>3.2288797262966973E-3</v>
      </c>
      <c r="V61" s="661">
        <v>2037</v>
      </c>
      <c r="W61" s="662">
        <f>+SUMIF(SYS_4_3_Digitos!$M$5:$M$1682,BALANCE!V61,SYS_4_3_Digitos!$N$5:$N$1682)</f>
        <v>0</v>
      </c>
      <c r="X61" s="655"/>
      <c r="Z61" s="666"/>
      <c r="AA61" s="661">
        <v>1107</v>
      </c>
      <c r="AB61" s="672">
        <f>+SUMIF(SYS_4_3_Digitos!$M$5:$M$1682,BALANCE!AA61,SYS_4_3_Digitos!$N$5:$N$1682)</f>
        <v>0</v>
      </c>
    </row>
    <row r="62" spans="3:28" ht="15.6">
      <c r="C62" s="646" t="s">
        <v>20</v>
      </c>
      <c r="E62" s="647">
        <f ca="1">+W1759</f>
        <v>0</v>
      </c>
      <c r="F62" s="648" t="str">
        <f t="shared" ca="1" si="2"/>
        <v/>
      </c>
      <c r="H62" s="647">
        <v>0</v>
      </c>
      <c r="I62" s="648" t="s">
        <v>1392</v>
      </c>
      <c r="K62" s="638" t="s">
        <v>92</v>
      </c>
      <c r="L62" s="639"/>
      <c r="M62" s="691">
        <f ca="1">-AB511</f>
        <v>0</v>
      </c>
      <c r="N62" s="692" t="str">
        <f t="shared" ca="1" si="1"/>
        <v/>
      </c>
      <c r="O62" s="639"/>
      <c r="P62" s="691">
        <v>0</v>
      </c>
      <c r="Q62" s="692" t="s">
        <v>1392</v>
      </c>
      <c r="V62" s="661">
        <v>2038</v>
      </c>
      <c r="W62" s="662">
        <f>+SUMIF(SYS_4_3_Digitos!$M$5:$M$1682,BALANCE!V62,SYS_4_3_Digitos!$N$5:$N$1682)</f>
        <v>0</v>
      </c>
      <c r="X62" s="655"/>
      <c r="Z62" s="666"/>
      <c r="AA62" s="661">
        <v>1108</v>
      </c>
      <c r="AB62" s="672">
        <f>+SUMIF(SYS_4_3_Digitos!$M$5:$M$1682,BALANCE!AA62,SYS_4_3_Digitos!$N$5:$N$1682)</f>
        <v>0</v>
      </c>
    </row>
    <row r="63" spans="3:28" ht="15.6">
      <c r="C63" s="646" t="s">
        <v>21</v>
      </c>
      <c r="E63" s="647">
        <f ca="1">+W1774</f>
        <v>0</v>
      </c>
      <c r="F63" s="648" t="str">
        <f t="shared" ca="1" si="2"/>
        <v/>
      </c>
      <c r="H63" s="647">
        <v>0</v>
      </c>
      <c r="I63" s="648" t="s">
        <v>1392</v>
      </c>
      <c r="K63" s="638" t="s">
        <v>93</v>
      </c>
      <c r="L63" s="639"/>
      <c r="M63" s="665">
        <f ca="1">-AB562</f>
        <v>0</v>
      </c>
      <c r="N63" s="641" t="str">
        <f t="shared" ca="1" si="1"/>
        <v/>
      </c>
      <c r="O63" s="639"/>
      <c r="P63" s="665">
        <v>0</v>
      </c>
      <c r="Q63" s="641" t="s">
        <v>1392</v>
      </c>
      <c r="V63" s="661">
        <v>2039</v>
      </c>
      <c r="W63" s="662">
        <f>+SUMIF(SYS_4_3_Digitos!$M$5:$M$1682,BALANCE!V63,SYS_4_3_Digitos!$N$5:$N$1682)</f>
        <v>0</v>
      </c>
      <c r="X63" s="655"/>
      <c r="Z63" s="666"/>
      <c r="AA63" s="661">
        <v>1109</v>
      </c>
      <c r="AB63" s="672">
        <f>+SUMIF(SYS_4_3_Digitos!$M$5:$M$1682,BALANCE!AA63,SYS_4_3_Digitos!$N$5:$N$1682)</f>
        <v>0</v>
      </c>
    </row>
    <row r="64" spans="3:28" ht="15.6">
      <c r="C64" s="646" t="s">
        <v>22</v>
      </c>
      <c r="E64" s="647">
        <f>+W1781</f>
        <v>0</v>
      </c>
      <c r="F64" s="648" t="str">
        <f t="shared" si="2"/>
        <v/>
      </c>
      <c r="H64" s="647">
        <v>0</v>
      </c>
      <c r="I64" s="648" t="s">
        <v>1392</v>
      </c>
      <c r="K64" s="638" t="s">
        <v>94</v>
      </c>
      <c r="L64" s="639"/>
      <c r="M64" s="665">
        <f ca="1">SUM(M65:M69)</f>
        <v>652.07000000000005</v>
      </c>
      <c r="N64" s="641">
        <f t="shared" ca="1" si="1"/>
        <v>1.8506375658122031E-6</v>
      </c>
      <c r="O64" s="639"/>
      <c r="P64" s="665">
        <v>652.07000000000005</v>
      </c>
      <c r="Q64" s="641">
        <v>2.0321490570115937E-6</v>
      </c>
      <c r="V64" s="661">
        <v>2803</v>
      </c>
      <c r="W64" s="662">
        <f ca="1">+SUMIF(SYS_4_3_Digitos!$M$5:$M$1682,BALANCE!V64,SYS_4_3_Digitos!$N$5:$N$1682)</f>
        <v>0</v>
      </c>
      <c r="X64" s="655"/>
      <c r="Z64" s="666"/>
      <c r="AA64" s="664" t="s">
        <v>60</v>
      </c>
      <c r="AB64" s="642"/>
    </row>
    <row r="65" spans="3:28">
      <c r="C65" s="646" t="s">
        <v>23</v>
      </c>
      <c r="E65" s="647">
        <f>+W1788</f>
        <v>0</v>
      </c>
      <c r="F65" s="648" t="str">
        <f t="shared" si="2"/>
        <v/>
      </c>
      <c r="H65" s="647">
        <v>0</v>
      </c>
      <c r="I65" s="648" t="s">
        <v>1392</v>
      </c>
      <c r="K65" s="646" t="s">
        <v>95</v>
      </c>
      <c r="M65" s="697">
        <f ca="1">-AB584</f>
        <v>0</v>
      </c>
      <c r="N65" s="698" t="str">
        <f t="shared" ca="1" si="1"/>
        <v/>
      </c>
      <c r="P65" s="697">
        <v>0</v>
      </c>
      <c r="Q65" s="698" t="s">
        <v>1392</v>
      </c>
      <c r="V65" s="661">
        <v>2903</v>
      </c>
      <c r="W65" s="662">
        <f>+SUMIF(SYS_4_3_Digitos!$M$5:$M$1682,BALANCE!V65,SYS_4_3_Digitos!$N$5:$N$1682)</f>
        <v>0</v>
      </c>
      <c r="X65" s="655"/>
      <c r="Z65" s="666" t="s">
        <v>179</v>
      </c>
      <c r="AA65" s="653" t="s">
        <v>61</v>
      </c>
      <c r="AB65" s="667">
        <f ca="1">SUM(AB66:AB76)</f>
        <v>-16700583.99</v>
      </c>
    </row>
    <row r="66" spans="3:28">
      <c r="C66" s="646" t="s">
        <v>24</v>
      </c>
      <c r="E66" s="647">
        <f ca="1">+W1790</f>
        <v>0</v>
      </c>
      <c r="F66" s="648" t="str">
        <f t="shared" ca="1" si="2"/>
        <v/>
      </c>
      <c r="H66" s="647">
        <v>0</v>
      </c>
      <c r="I66" s="648" t="s">
        <v>1392</v>
      </c>
      <c r="K66" s="646" t="s">
        <v>96</v>
      </c>
      <c r="M66" s="697">
        <f ca="1">-AB625</f>
        <v>0</v>
      </c>
      <c r="N66" s="698" t="str">
        <f t="shared" ca="1" si="1"/>
        <v/>
      </c>
      <c r="P66" s="697">
        <v>0</v>
      </c>
      <c r="Q66" s="698" t="s">
        <v>1392</v>
      </c>
      <c r="U66" s="652">
        <v>204</v>
      </c>
      <c r="V66" s="653" t="s">
        <v>9</v>
      </c>
      <c r="W66" s="654">
        <f ca="1">SUM(W67:W77)</f>
        <v>0</v>
      </c>
      <c r="X66" s="699"/>
      <c r="Y66" s="668"/>
      <c r="Z66" s="666"/>
      <c r="AA66" s="661">
        <v>1120</v>
      </c>
      <c r="AB66" s="672">
        <f ca="1">+SUMIF(SYS_4_3_Digitos!$M$5:$M$1682,BALANCE!AA66,SYS_4_3_Digitos!$N$5:$N$1682)</f>
        <v>-16700583.99</v>
      </c>
    </row>
    <row r="67" spans="3:28" ht="15.6">
      <c r="C67" s="638" t="s">
        <v>46</v>
      </c>
      <c r="D67" s="639"/>
      <c r="E67" s="640">
        <f ca="1">SUM(E68:E72)</f>
        <v>103027.25</v>
      </c>
      <c r="F67" s="641">
        <f t="shared" ca="1" si="2"/>
        <v>2.9240127463665757E-4</v>
      </c>
      <c r="G67" s="639"/>
      <c r="H67" s="640">
        <v>125894.24</v>
      </c>
      <c r="I67" s="641">
        <v>3.9234416718939876E-4</v>
      </c>
      <c r="K67" s="646" t="s">
        <v>85</v>
      </c>
      <c r="M67" s="697">
        <f ca="1">-AB647</f>
        <v>0</v>
      </c>
      <c r="N67" s="698" t="str">
        <f t="shared" ca="1" si="1"/>
        <v/>
      </c>
      <c r="P67" s="697">
        <v>0</v>
      </c>
      <c r="Q67" s="698" t="s">
        <v>1392</v>
      </c>
      <c r="V67" s="661">
        <v>2040</v>
      </c>
      <c r="W67" s="662">
        <f ca="1">+SUMIF(SYS_4_3_Digitos!$M$5:$M$1682,BALANCE!V67,SYS_4_3_Digitos!$N$5:$N$1682)</f>
        <v>0</v>
      </c>
      <c r="X67" s="699"/>
      <c r="Y67" s="668"/>
      <c r="Z67" s="666"/>
      <c r="AA67" s="661">
        <v>1121</v>
      </c>
      <c r="AB67" s="672">
        <f>+SUMIF(SYS_4_3_Digitos!$M$5:$M$1682,BALANCE!AA67,SYS_4_3_Digitos!$N$5:$N$1682)</f>
        <v>0</v>
      </c>
    </row>
    <row r="68" spans="3:28">
      <c r="C68" s="646" t="s">
        <v>47</v>
      </c>
      <c r="E68" s="647">
        <f ca="1">+W1811</f>
        <v>0</v>
      </c>
      <c r="F68" s="648" t="str">
        <f t="shared" ca="1" si="2"/>
        <v/>
      </c>
      <c r="H68" s="647">
        <v>0</v>
      </c>
      <c r="I68" s="648" t="s">
        <v>1392</v>
      </c>
      <c r="K68" s="646" t="s">
        <v>23</v>
      </c>
      <c r="M68" s="697">
        <f>-AB659</f>
        <v>0</v>
      </c>
      <c r="N68" s="698" t="str">
        <f t="shared" si="1"/>
        <v/>
      </c>
      <c r="P68" s="697">
        <v>0</v>
      </c>
      <c r="Q68" s="698" t="s">
        <v>1392</v>
      </c>
      <c r="V68" s="661">
        <v>2041</v>
      </c>
      <c r="W68" s="662">
        <f>+SUMIF(SYS_4_3_Digitos!$M$5:$M$1682,BALANCE!V68,SYS_4_3_Digitos!$N$5:$N$1682)</f>
        <v>0</v>
      </c>
      <c r="X68" s="699"/>
      <c r="Y68" s="668"/>
      <c r="Z68" s="666"/>
      <c r="AA68" s="661">
        <v>1122</v>
      </c>
      <c r="AB68" s="672">
        <f>+SUMIF(SYS_4_3_Digitos!$M$5:$M$1682,BALANCE!AA68,SYS_4_3_Digitos!$N$5:$N$1682)</f>
        <v>0</v>
      </c>
    </row>
    <row r="69" spans="3:28">
      <c r="C69" s="646" t="s">
        <v>21</v>
      </c>
      <c r="E69" s="647">
        <f ca="1">+W1834</f>
        <v>0</v>
      </c>
      <c r="F69" s="648" t="str">
        <f t="shared" ca="1" si="2"/>
        <v/>
      </c>
      <c r="H69" s="647">
        <v>0</v>
      </c>
      <c r="I69" s="648" t="s">
        <v>1392</v>
      </c>
      <c r="K69" s="646" t="s">
        <v>86</v>
      </c>
      <c r="M69" s="697">
        <f ca="1">-AB662</f>
        <v>652.07000000000005</v>
      </c>
      <c r="N69" s="698">
        <f t="shared" ca="1" si="1"/>
        <v>1.8506375658122031E-6</v>
      </c>
      <c r="P69" s="697">
        <v>652.07000000000005</v>
      </c>
      <c r="Q69" s="698">
        <v>2.0321490570115937E-6</v>
      </c>
      <c r="V69" s="661">
        <v>2042</v>
      </c>
      <c r="W69" s="662">
        <f>+SUMIF(SYS_4_3_Digitos!$M$5:$M$1682,BALANCE!V69,SYS_4_3_Digitos!$N$5:$N$1682)</f>
        <v>0</v>
      </c>
      <c r="X69" s="699"/>
      <c r="Y69" s="668"/>
      <c r="Z69" s="666"/>
      <c r="AA69" s="661">
        <v>1123</v>
      </c>
      <c r="AB69" s="672">
        <f>+SUMIF(SYS_4_3_Digitos!$M$5:$M$1682,BALANCE!AA69,SYS_4_3_Digitos!$N$5:$N$1682)</f>
        <v>0</v>
      </c>
    </row>
    <row r="70" spans="3:28" ht="15.6">
      <c r="C70" s="646" t="s">
        <v>22</v>
      </c>
      <c r="E70" s="647">
        <f ca="1">+W1878</f>
        <v>0</v>
      </c>
      <c r="F70" s="648" t="str">
        <f t="shared" ca="1" si="2"/>
        <v/>
      </c>
      <c r="H70" s="647">
        <v>0</v>
      </c>
      <c r="I70" s="648" t="s">
        <v>1392</v>
      </c>
      <c r="K70" s="638" t="s">
        <v>97</v>
      </c>
      <c r="L70" s="639"/>
      <c r="M70" s="665">
        <f ca="1">-AB805</f>
        <v>0</v>
      </c>
      <c r="N70" s="641" t="str">
        <f t="shared" ca="1" si="1"/>
        <v/>
      </c>
      <c r="O70" s="639"/>
      <c r="P70" s="665">
        <v>0</v>
      </c>
      <c r="Q70" s="641" t="s">
        <v>1392</v>
      </c>
      <c r="V70" s="661">
        <v>2043</v>
      </c>
      <c r="W70" s="662">
        <f>+SUMIF(SYS_4_3_Digitos!$M$5:$M$1682,BALANCE!V70,SYS_4_3_Digitos!$N$5:$N$1682)</f>
        <v>0</v>
      </c>
      <c r="X70" s="699"/>
      <c r="Y70" s="668"/>
      <c r="Z70" s="666"/>
      <c r="AA70" s="661">
        <v>1124</v>
      </c>
      <c r="AB70" s="672">
        <f>+SUMIF(SYS_4_3_Digitos!$M$5:$M$1682,BALANCE!AA70,SYS_4_3_Digitos!$N$5:$N$1682)</f>
        <v>0</v>
      </c>
    </row>
    <row r="71" spans="3:28" ht="15.6">
      <c r="C71" s="646" t="s">
        <v>23</v>
      </c>
      <c r="E71" s="647">
        <f ca="1">+W1912</f>
        <v>0</v>
      </c>
      <c r="F71" s="648" t="str">
        <f t="shared" ca="1" si="2"/>
        <v/>
      </c>
      <c r="H71" s="647">
        <v>0</v>
      </c>
      <c r="I71" s="648" t="s">
        <v>1392</v>
      </c>
      <c r="K71" s="638" t="s">
        <v>98</v>
      </c>
      <c r="L71" s="639"/>
      <c r="M71" s="665">
        <f ca="1">SUM(M72:M78)</f>
        <v>1333109.6399999999</v>
      </c>
      <c r="N71" s="641">
        <f t="shared" ca="1" si="1"/>
        <v>3.7834937646730902E-3</v>
      </c>
      <c r="O71" s="639"/>
      <c r="P71" s="665">
        <v>1035421.3400000007</v>
      </c>
      <c r="Q71" s="641">
        <v>3.2268475772396859E-3</v>
      </c>
      <c r="V71" s="661">
        <v>2044</v>
      </c>
      <c r="W71" s="662">
        <f>+SUMIF(SYS_4_3_Digitos!$M$5:$M$1682,BALANCE!V71,SYS_4_3_Digitos!$N$5:$N$1682)</f>
        <v>0</v>
      </c>
      <c r="X71" s="699"/>
      <c r="Y71" s="668"/>
      <c r="Z71" s="666"/>
      <c r="AA71" s="661">
        <v>1125</v>
      </c>
      <c r="AB71" s="672">
        <f>+SUMIF(SYS_4_3_Digitos!$M$5:$M$1682,BALANCE!AA71,SYS_4_3_Digitos!$N$5:$N$1682)</f>
        <v>0</v>
      </c>
    </row>
    <row r="72" spans="3:28">
      <c r="C72" s="646" t="s">
        <v>24</v>
      </c>
      <c r="E72" s="647">
        <f ca="1">+W1915</f>
        <v>103027.25</v>
      </c>
      <c r="F72" s="648">
        <f t="shared" ca="1" si="2"/>
        <v>2.9240127463665757E-4</v>
      </c>
      <c r="H72" s="647">
        <v>125894.24</v>
      </c>
      <c r="I72" s="648">
        <v>3.9234416718939876E-4</v>
      </c>
      <c r="K72" s="646" t="s">
        <v>99</v>
      </c>
      <c r="M72" s="697">
        <f ca="1">-AB857</f>
        <v>159031.70999999996</v>
      </c>
      <c r="N72" s="698">
        <f t="shared" ca="1" si="1"/>
        <v>4.513473349201038E-4</v>
      </c>
      <c r="P72" s="697">
        <v>79309.050000000745</v>
      </c>
      <c r="Q72" s="698">
        <v>2.4716335848909909E-4</v>
      </c>
      <c r="V72" s="661">
        <v>2045</v>
      </c>
      <c r="W72" s="662">
        <f>+SUMIF(SYS_4_3_Digitos!$M$5:$M$1682,BALANCE!V72,SYS_4_3_Digitos!$N$5:$N$1682)</f>
        <v>0</v>
      </c>
      <c r="X72" s="699"/>
      <c r="Y72" s="668"/>
      <c r="Z72" s="666"/>
      <c r="AA72" s="661">
        <v>1126</v>
      </c>
      <c r="AB72" s="672">
        <f>+SUMIF(SYS_4_3_Digitos!$M$5:$M$1682,BALANCE!AA72,SYS_4_3_Digitos!$N$5:$N$1682)</f>
        <v>0</v>
      </c>
    </row>
    <row r="73" spans="3:28" ht="15.6">
      <c r="C73" s="638" t="s">
        <v>48</v>
      </c>
      <c r="D73" s="639"/>
      <c r="E73" s="640">
        <f ca="1">+W1968</f>
        <v>18505.640000000003</v>
      </c>
      <c r="F73" s="641">
        <f t="shared" ca="1" si="2"/>
        <v>5.2520791576666531E-5</v>
      </c>
      <c r="G73" s="639"/>
      <c r="H73" s="640">
        <v>18058.22</v>
      </c>
      <c r="I73" s="641">
        <v>5.6277692186893899E-5</v>
      </c>
      <c r="K73" s="646" t="s">
        <v>100</v>
      </c>
      <c r="M73" s="697">
        <f ca="1">-AB908</f>
        <v>0</v>
      </c>
      <c r="N73" s="698" t="str">
        <f t="shared" ca="1" si="1"/>
        <v/>
      </c>
      <c r="P73" s="697">
        <v>0</v>
      </c>
      <c r="Q73" s="698" t="s">
        <v>1392</v>
      </c>
      <c r="V73" s="661">
        <v>2046</v>
      </c>
      <c r="W73" s="662">
        <f>+SUMIF(SYS_4_3_Digitos!$M$5:$M$1682,BALANCE!V73,SYS_4_3_Digitos!$N$5:$N$1682)</f>
        <v>0</v>
      </c>
      <c r="X73" s="699"/>
      <c r="Y73" s="668"/>
      <c r="Z73" s="666"/>
      <c r="AA73" s="661">
        <v>1127</v>
      </c>
      <c r="AB73" s="672">
        <f>+SUMIF(SYS_4_3_Digitos!$M$5:$M$1682,BALANCE!AA73,SYS_4_3_Digitos!$N$5:$N$1682)</f>
        <v>0</v>
      </c>
    </row>
    <row r="74" spans="3:28" ht="15.6">
      <c r="C74" s="638" t="s">
        <v>278</v>
      </c>
      <c r="D74" s="639"/>
      <c r="E74" s="640">
        <f ca="1">SUM(E75:E76)</f>
        <v>85577158.699999988</v>
      </c>
      <c r="F74" s="641">
        <f t="shared" ca="1" si="2"/>
        <v>0.24287623210037662</v>
      </c>
      <c r="G74" s="639"/>
      <c r="H74" s="640">
        <v>74813289.390000001</v>
      </c>
      <c r="I74" s="641">
        <v>0.23315250737777227</v>
      </c>
      <c r="K74" s="646" t="s">
        <v>101</v>
      </c>
      <c r="M74" s="697">
        <f ca="1">-AB929</f>
        <v>277515.75</v>
      </c>
      <c r="N74" s="698">
        <f t="shared" ca="1" si="1"/>
        <v>7.8761647070797281E-4</v>
      </c>
      <c r="P74" s="697">
        <v>311008.31</v>
      </c>
      <c r="Q74" s="698">
        <v>9.6924447358300394E-4</v>
      </c>
      <c r="V74" s="661">
        <v>2047</v>
      </c>
      <c r="W74" s="662">
        <f>+SUMIF(SYS_4_3_Digitos!$M$5:$M$1682,BALANCE!V74,SYS_4_3_Digitos!$N$5:$N$1682)</f>
        <v>0</v>
      </c>
      <c r="X74" s="699"/>
      <c r="Y74" s="668"/>
      <c r="Z74" s="666"/>
      <c r="AA74" s="661">
        <v>1128</v>
      </c>
      <c r="AB74" s="672">
        <f>+SUMIF(SYS_4_3_Digitos!$M$5:$M$1682,BALANCE!AA74,SYS_4_3_Digitos!$N$5:$N$1682)</f>
        <v>0</v>
      </c>
    </row>
    <row r="75" spans="3:28">
      <c r="C75" s="646" t="s">
        <v>50</v>
      </c>
      <c r="E75" s="647">
        <f ca="1">+W1990</f>
        <v>85577158.699999988</v>
      </c>
      <c r="F75" s="648">
        <f t="shared" ca="1" si="2"/>
        <v>0.24287623210037662</v>
      </c>
      <c r="H75" s="647">
        <v>74813289.390000001</v>
      </c>
      <c r="I75" s="648">
        <v>0.23315250737777227</v>
      </c>
      <c r="K75" s="646" t="s">
        <v>102</v>
      </c>
      <c r="M75" s="697">
        <f ca="1">-AB1030</f>
        <v>-155.01</v>
      </c>
      <c r="N75" s="698">
        <f t="shared" ca="1" si="1"/>
        <v>-4.3993333396192054E-7</v>
      </c>
      <c r="P75" s="697">
        <v>1820.91</v>
      </c>
      <c r="Q75" s="698">
        <v>5.6747903436793303E-6</v>
      </c>
      <c r="V75" s="661">
        <v>2048</v>
      </c>
      <c r="W75" s="662">
        <f>+SUMIF(SYS_4_3_Digitos!$M$5:$M$1682,BALANCE!V75,SYS_4_3_Digitos!$N$5:$N$1682)</f>
        <v>0</v>
      </c>
      <c r="X75" s="699"/>
      <c r="Y75" s="668"/>
      <c r="Z75" s="666"/>
      <c r="AA75" s="661">
        <v>1129</v>
      </c>
      <c r="AB75" s="672">
        <f>+SUMIF(SYS_4_3_Digitos!$M$5:$M$1682,BALANCE!AA75,SYS_4_3_Digitos!$N$5:$N$1682)</f>
        <v>0</v>
      </c>
    </row>
    <row r="76" spans="3:28">
      <c r="C76" s="646" t="s">
        <v>51</v>
      </c>
      <c r="E76" s="700">
        <f>+W2051</f>
        <v>0</v>
      </c>
      <c r="F76" s="701" t="str">
        <f t="shared" si="2"/>
        <v/>
      </c>
      <c r="H76" s="700">
        <v>0</v>
      </c>
      <c r="I76" s="701" t="s">
        <v>1392</v>
      </c>
      <c r="K76" s="646" t="s">
        <v>103</v>
      </c>
      <c r="M76" s="697">
        <f ca="1">-AB1051</f>
        <v>0</v>
      </c>
      <c r="N76" s="698" t="str">
        <f t="shared" ca="1" si="1"/>
        <v/>
      </c>
      <c r="P76" s="697">
        <v>0</v>
      </c>
      <c r="Q76" s="698" t="s">
        <v>1392</v>
      </c>
      <c r="V76" s="661">
        <v>2049</v>
      </c>
      <c r="W76" s="662">
        <f>+SUMIF(SYS_4_3_Digitos!$M$5:$M$1682,BALANCE!V76,SYS_4_3_Digitos!$N$5:$N$1682)</f>
        <v>0</v>
      </c>
      <c r="X76" s="699"/>
      <c r="Y76" s="668"/>
      <c r="Z76" s="666"/>
      <c r="AA76" s="661">
        <v>1141</v>
      </c>
      <c r="AB76" s="672">
        <f>+SUMIF(SYS_4_3_Digitos!$M$5:$M$1682,BALANCE!AA76,SYS_4_3_Digitos!$N$5:$N$1682)</f>
        <v>0</v>
      </c>
    </row>
    <row r="77" spans="3:28">
      <c r="C77" s="646"/>
      <c r="E77" s="700"/>
      <c r="F77" s="701"/>
      <c r="H77" s="700"/>
      <c r="I77" s="701"/>
      <c r="K77" s="646" t="s">
        <v>104</v>
      </c>
      <c r="M77" s="697">
        <f ca="1">-AB1053</f>
        <v>896717.19</v>
      </c>
      <c r="N77" s="698">
        <f t="shared" ca="1" si="1"/>
        <v>2.5449698923789752E-3</v>
      </c>
      <c r="P77" s="697">
        <v>590152.52999999991</v>
      </c>
      <c r="Q77" s="698">
        <v>1.8391858348528625E-3</v>
      </c>
      <c r="V77" s="661">
        <v>2804</v>
      </c>
      <c r="W77" s="662">
        <f ca="1">+SUMIF(SYS_4_3_Digitos!$M$5:$M$1682,BALANCE!V77,SYS_4_3_Digitos!$N$5:$N$1682)</f>
        <v>0</v>
      </c>
      <c r="X77" s="702"/>
      <c r="Y77" s="668"/>
      <c r="Z77" s="666" t="s">
        <v>147</v>
      </c>
      <c r="AA77" s="653" t="s">
        <v>62</v>
      </c>
      <c r="AB77" s="667">
        <f ca="1">SUM(AB78:AB112)</f>
        <v>-145720378.38</v>
      </c>
    </row>
    <row r="78" spans="3:28">
      <c r="C78" s="646"/>
      <c r="E78" s="700"/>
      <c r="F78" s="701"/>
      <c r="H78" s="700"/>
      <c r="I78" s="701"/>
      <c r="K78" s="646" t="s">
        <v>105</v>
      </c>
      <c r="M78" s="697">
        <f ca="1">-AB1068</f>
        <v>0</v>
      </c>
      <c r="N78" s="698" t="str">
        <f t="shared" ca="1" si="1"/>
        <v/>
      </c>
      <c r="P78" s="697">
        <v>53130.54</v>
      </c>
      <c r="Q78" s="698">
        <v>1.6557911997104109E-4</v>
      </c>
      <c r="U78" s="652" t="s">
        <v>112</v>
      </c>
      <c r="V78" s="653" t="s">
        <v>10</v>
      </c>
      <c r="W78" s="654">
        <f ca="1">SUM(W79:W89)</f>
        <v>32036.569999999992</v>
      </c>
      <c r="X78" s="702"/>
      <c r="Y78" s="668"/>
      <c r="Z78" s="666"/>
      <c r="AA78" s="661">
        <v>1130</v>
      </c>
      <c r="AB78" s="672">
        <f ca="1">+SUMIF(SYS_4_3_Digitos!$M$5:$M$1682,BALANCE!AA78,SYS_4_3_Digitos!$N$5:$N$1682)</f>
        <v>-138943662.72</v>
      </c>
    </row>
    <row r="79" spans="3:28" ht="15.6">
      <c r="C79" s="646"/>
      <c r="E79" s="700"/>
      <c r="F79" s="701"/>
      <c r="H79" s="700"/>
      <c r="I79" s="701"/>
      <c r="K79" s="638" t="s">
        <v>106</v>
      </c>
      <c r="L79" s="639"/>
      <c r="M79" s="665">
        <f ca="1">-AB1079</f>
        <v>0</v>
      </c>
      <c r="N79" s="641" t="str">
        <f t="shared" ca="1" si="1"/>
        <v/>
      </c>
      <c r="O79" s="639"/>
      <c r="P79" s="665">
        <v>0</v>
      </c>
      <c r="Q79" s="641" t="s">
        <v>1392</v>
      </c>
      <c r="V79" s="661">
        <v>2060</v>
      </c>
      <c r="W79" s="662">
        <f ca="1">+SUMIF(SYS_4_3_Digitos!$M$5:$M$1682,BALANCE!V79,SYS_4_3_Digitos!$N$5:$N$1682)</f>
        <v>120967.7</v>
      </c>
      <c r="X79" s="702"/>
      <c r="Y79" s="668"/>
      <c r="Z79" s="666"/>
      <c r="AA79" s="661">
        <v>1131</v>
      </c>
      <c r="AB79" s="672">
        <f>+SUMIF(SYS_4_3_Digitos!$M$5:$M$1682,BALANCE!AA79,SYS_4_3_Digitos!$N$5:$N$1682)</f>
        <v>0</v>
      </c>
    </row>
    <row r="80" spans="3:28" ht="15.6">
      <c r="C80" s="703"/>
      <c r="E80" s="704"/>
      <c r="F80" s="705"/>
      <c r="H80" s="704"/>
      <c r="I80" s="705"/>
      <c r="K80" s="683" t="s">
        <v>107</v>
      </c>
      <c r="L80" s="639"/>
      <c r="M80" s="693">
        <f ca="1">-AB1100</f>
        <v>0</v>
      </c>
      <c r="N80" s="685" t="str">
        <f t="shared" ca="1" si="1"/>
        <v/>
      </c>
      <c r="O80" s="639"/>
      <c r="P80" s="693">
        <v>0</v>
      </c>
      <c r="Q80" s="685" t="s">
        <v>1392</v>
      </c>
      <c r="V80" s="661">
        <v>2061</v>
      </c>
      <c r="W80" s="662">
        <f>+SUMIF(SYS_4_3_Digitos!$M$5:$M$1682,BALANCE!V80,SYS_4_3_Digitos!$N$5:$N$1682)</f>
        <v>0</v>
      </c>
      <c r="X80" s="702"/>
      <c r="Y80" s="668"/>
      <c r="Z80" s="666"/>
      <c r="AA80" s="661">
        <v>1132</v>
      </c>
      <c r="AB80" s="672">
        <f>+SUMIF(SYS_4_3_Digitos!$M$5:$M$1682,BALANCE!AA80,SYS_4_3_Digitos!$N$5:$N$1682)</f>
        <v>0</v>
      </c>
    </row>
    <row r="81" spans="3:28">
      <c r="C81" s="706"/>
      <c r="E81" s="707"/>
      <c r="F81" s="708"/>
      <c r="H81" s="707"/>
      <c r="I81" s="708"/>
      <c r="M81" s="642"/>
      <c r="N81" s="643" t="str">
        <f t="shared" si="1"/>
        <v/>
      </c>
      <c r="P81" s="642"/>
      <c r="Q81" s="643" t="s">
        <v>1392</v>
      </c>
      <c r="V81" s="661">
        <v>2062</v>
      </c>
      <c r="W81" s="662">
        <f>+SUMIF(SYS_4_3_Digitos!$M$5:$M$1682,BALANCE!V81,SYS_4_3_Digitos!$N$5:$N$1682)</f>
        <v>0</v>
      </c>
      <c r="X81" s="702"/>
      <c r="Y81" s="668"/>
      <c r="Z81" s="666"/>
      <c r="AA81" s="661">
        <v>1133</v>
      </c>
      <c r="AB81" s="672">
        <f>+SUMIF(SYS_4_3_Digitos!$M$5:$M$1682,BALANCE!AA81,SYS_4_3_Digitos!$N$5:$N$1682)</f>
        <v>0</v>
      </c>
    </row>
    <row r="82" spans="3:28" ht="27" customHeight="1">
      <c r="C82" s="616" t="s">
        <v>52</v>
      </c>
      <c r="E82" s="617">
        <f ca="1">+E15+E44</f>
        <v>352348840.22999996</v>
      </c>
      <c r="F82" s="709">
        <f ca="1">+IF(E82=0,"",E82/$E$13)</f>
        <v>1</v>
      </c>
      <c r="H82" s="617">
        <v>320877052.67000002</v>
      </c>
      <c r="I82" s="709">
        <v>1</v>
      </c>
      <c r="K82" s="616" t="s">
        <v>108</v>
      </c>
      <c r="M82" s="619">
        <f ca="1">+M61+M44+M15</f>
        <v>352348840.23000002</v>
      </c>
      <c r="N82" s="709">
        <f t="shared" ca="1" si="1"/>
        <v>1</v>
      </c>
      <c r="P82" s="619">
        <v>320877052.66999996</v>
      </c>
      <c r="Q82" s="709">
        <v>0.99999999999999978</v>
      </c>
      <c r="V82" s="661">
        <v>2063</v>
      </c>
      <c r="W82" s="662">
        <f>+SUMIF(SYS_4_3_Digitos!$M$5:$M$1682,BALANCE!V82,SYS_4_3_Digitos!$N$5:$N$1682)</f>
        <v>0</v>
      </c>
      <c r="X82" s="702"/>
      <c r="Y82" s="668"/>
      <c r="Z82" s="666"/>
      <c r="AA82" s="661">
        <v>1134</v>
      </c>
      <c r="AB82" s="672">
        <f>+SUMIF(SYS_4_3_Digitos!$M$5:$M$1682,BALANCE!AA82,SYS_4_3_Digitos!$N$5:$N$1682)</f>
        <v>0</v>
      </c>
    </row>
    <row r="83" spans="3:28">
      <c r="E83" s="707"/>
      <c r="F83" s="707"/>
      <c r="G83" s="707"/>
      <c r="M83" s="642"/>
      <c r="N83" s="642"/>
      <c r="Q83" s="642"/>
      <c r="V83" s="661">
        <v>2064</v>
      </c>
      <c r="W83" s="662">
        <f>+SUMIF(SYS_4_3_Digitos!$M$5:$M$1682,BALANCE!V83,SYS_4_3_Digitos!$N$5:$N$1682)</f>
        <v>0</v>
      </c>
      <c r="X83" s="702"/>
      <c r="Y83" s="668"/>
      <c r="Z83" s="666"/>
      <c r="AA83" s="661">
        <v>1135</v>
      </c>
      <c r="AB83" s="672">
        <f>+SUMIF(SYS_4_3_Digitos!$M$5:$M$1682,BALANCE!AA83,SYS_4_3_Digitos!$N$5:$N$1682)</f>
        <v>0</v>
      </c>
    </row>
    <row r="84" spans="3:28" ht="17.399999999999999">
      <c r="C84" s="710" t="s">
        <v>177</v>
      </c>
      <c r="E84" s="711">
        <f ca="1">ROUND(+E82-M82,0)</f>
        <v>0</v>
      </c>
      <c r="H84" s="711">
        <f>ROUND(+H82-P82,0)</f>
        <v>0</v>
      </c>
      <c r="I84" s="707"/>
      <c r="M84" s="642"/>
      <c r="N84" s="642"/>
      <c r="Q84" s="642"/>
      <c r="V84" s="661">
        <v>2065</v>
      </c>
      <c r="W84" s="662">
        <f>+SUMIF(SYS_4_3_Digitos!$M$5:$M$1682,BALANCE!V84,SYS_4_3_Digitos!$N$5:$N$1682)</f>
        <v>0</v>
      </c>
      <c r="X84" s="702"/>
      <c r="Y84" s="668"/>
      <c r="Z84" s="666"/>
      <c r="AA84" s="661">
        <v>1137</v>
      </c>
      <c r="AB84" s="672">
        <f>+SUMIF(SYS_4_3_Digitos!$M$5:$M$1682,BALANCE!AA84,SYS_4_3_Digitos!$N$5:$N$1682)</f>
        <v>0</v>
      </c>
    </row>
    <row r="85" spans="3:28" ht="14.25" customHeight="1">
      <c r="E85" s="707"/>
      <c r="F85" s="707"/>
      <c r="G85" s="707"/>
      <c r="M85" s="642"/>
      <c r="N85" s="642"/>
      <c r="Q85" s="642"/>
      <c r="V85" s="661">
        <v>2067</v>
      </c>
      <c r="W85" s="662">
        <f>+SUMIF(SYS_4_3_Digitos!$M$5:$M$1682,BALANCE!V85,SYS_4_3_Digitos!$N$5:$N$1682)</f>
        <v>0</v>
      </c>
      <c r="X85" s="702"/>
      <c r="Y85" s="668"/>
      <c r="Z85" s="666"/>
      <c r="AA85" s="661">
        <v>1138</v>
      </c>
      <c r="AB85" s="672">
        <f>+SUMIF(SYS_4_3_Digitos!$M$5:$M$1682,BALANCE!AA85,SYS_4_3_Digitos!$N$5:$N$1682)</f>
        <v>0</v>
      </c>
    </row>
    <row r="86" spans="3:28">
      <c r="E86" s="707"/>
      <c r="F86" s="707"/>
      <c r="G86" s="707"/>
      <c r="M86" s="642"/>
      <c r="N86" s="642"/>
      <c r="Q86" s="642"/>
      <c r="V86" s="661">
        <v>2068</v>
      </c>
      <c r="W86" s="662">
        <f>+SUMIF(SYS_4_3_Digitos!$M$5:$M$1682,BALANCE!V86,SYS_4_3_Digitos!$N$5:$N$1682)</f>
        <v>0</v>
      </c>
      <c r="X86" s="702"/>
      <c r="Y86" s="668"/>
      <c r="Z86" s="666"/>
      <c r="AA86" s="661">
        <v>1139</v>
      </c>
      <c r="AB86" s="672">
        <f>+SUMIF(SYS_4_3_Digitos!$M$5:$M$1682,BALANCE!AA86,SYS_4_3_Digitos!$N$5:$N$1682)</f>
        <v>0</v>
      </c>
    </row>
    <row r="87" spans="3:28" hidden="1">
      <c r="E87" s="707"/>
      <c r="F87" s="707"/>
      <c r="G87" s="707"/>
      <c r="M87" s="642"/>
      <c r="N87" s="642"/>
      <c r="Q87" s="642"/>
      <c r="V87" s="661">
        <v>2069</v>
      </c>
      <c r="W87" s="662">
        <f>+SUMIF(SYS_4_3_Digitos!$M$5:$M$1682,BALANCE!V87,SYS_4_3_Digitos!$N$5:$N$1682)</f>
        <v>0</v>
      </c>
      <c r="X87" s="702"/>
      <c r="Y87" s="668"/>
      <c r="Z87" s="666"/>
      <c r="AA87" s="661">
        <v>1140</v>
      </c>
      <c r="AB87" s="672">
        <f ca="1">+SUMIF(SYS_4_3_Digitos!$M$5:$M$1682,BALANCE!AA87,SYS_4_3_Digitos!$N$5:$N$1682)</f>
        <v>0</v>
      </c>
    </row>
    <row r="88" spans="3:28" hidden="1">
      <c r="E88" s="707"/>
      <c r="F88" s="707"/>
      <c r="G88" s="707"/>
      <c r="M88" s="642"/>
      <c r="N88" s="642"/>
      <c r="Q88" s="642"/>
      <c r="V88" s="661">
        <v>2806</v>
      </c>
      <c r="W88" s="662">
        <f ca="1">+SUMIF(SYS_4_3_Digitos!$M$5:$M$1682,BALANCE!V88,SYS_4_3_Digitos!$N$5:$N$1682)</f>
        <v>-88931.13</v>
      </c>
      <c r="X88" s="702"/>
      <c r="Y88" s="668"/>
      <c r="Z88" s="666"/>
      <c r="AA88" s="661">
        <v>1142</v>
      </c>
      <c r="AB88" s="672">
        <f>+SUMIF(SYS_4_3_Digitos!$M$5:$M$1682,BALANCE!AA88,SYS_4_3_Digitos!$N$5:$N$1682)</f>
        <v>0</v>
      </c>
    </row>
    <row r="89" spans="3:28" hidden="1">
      <c r="E89" s="707"/>
      <c r="F89" s="707"/>
      <c r="G89" s="707"/>
      <c r="M89" s="642"/>
      <c r="N89" s="642"/>
      <c r="Q89" s="642"/>
      <c r="U89" s="712" t="s">
        <v>113</v>
      </c>
      <c r="V89" s="661">
        <v>2906</v>
      </c>
      <c r="W89" s="662">
        <f>+SUMIF(SYS_4_3_Digitos!$M$5:$M$1682,BALANCE!V89,SYS_4_3_Digitos!$N$5:$N$1682)</f>
        <v>0</v>
      </c>
      <c r="X89" s="702"/>
      <c r="Y89" s="668"/>
      <c r="Z89" s="666"/>
      <c r="AA89" s="661">
        <v>1147</v>
      </c>
      <c r="AB89" s="672">
        <f ca="1">+SUMIF(SYS_4_3_Digitos!$M$5:$M$1682,BALANCE!AA89,SYS_4_3_Digitos!$N$5:$N$1682)</f>
        <v>-6776702.0999999996</v>
      </c>
    </row>
    <row r="90" spans="3:28" hidden="1">
      <c r="E90" s="707"/>
      <c r="F90" s="707"/>
      <c r="G90" s="707"/>
      <c r="M90" s="642"/>
      <c r="N90" s="642"/>
      <c r="Q90" s="642"/>
      <c r="V90" s="653" t="s">
        <v>11</v>
      </c>
      <c r="W90" s="654">
        <f ca="1">SUM(W91:W104)</f>
        <v>0</v>
      </c>
      <c r="X90" s="702"/>
      <c r="Y90" s="668"/>
      <c r="Z90" s="666"/>
      <c r="AA90" s="661">
        <v>1148</v>
      </c>
      <c r="AB90" s="672">
        <f ca="1">+SUMIF(SYS_4_3_Digitos!$M$5:$M$1682,BALANCE!AA90,SYS_4_3_Digitos!$N$5:$N$1682)</f>
        <v>0</v>
      </c>
    </row>
    <row r="91" spans="3:28" hidden="1">
      <c r="E91" s="707"/>
      <c r="F91" s="707"/>
      <c r="G91" s="707"/>
      <c r="M91" s="642"/>
      <c r="N91" s="642"/>
      <c r="Q91" s="642"/>
      <c r="V91" s="661">
        <v>2050</v>
      </c>
      <c r="W91" s="662">
        <f ca="1">+SUMIF(SYS_4_3_Digitos!$M$5:$M$1682,BALANCE!V91,SYS_4_3_Digitos!$N$5:$N$1682)</f>
        <v>0</v>
      </c>
      <c r="X91" s="702"/>
      <c r="Y91" s="668"/>
      <c r="Z91" s="666"/>
      <c r="AA91" s="661">
        <v>1143</v>
      </c>
      <c r="AB91" s="672">
        <f>+SUMIF(SYS_4_3_Digitos!$M$5:$M$1682,BALANCE!AA91,SYS_4_3_Digitos!$N$5:$N$1682)</f>
        <v>0</v>
      </c>
    </row>
    <row r="92" spans="3:28" hidden="1">
      <c r="E92" s="707"/>
      <c r="F92" s="707"/>
      <c r="G92" s="707"/>
      <c r="M92" s="642"/>
      <c r="N92" s="642"/>
      <c r="Q92" s="642"/>
      <c r="V92" s="661">
        <v>2051</v>
      </c>
      <c r="W92" s="662">
        <f>+SUMIF(SYS_4_3_Digitos!$M$5:$M$1682,BALANCE!V92,SYS_4_3_Digitos!$N$5:$N$1682)</f>
        <v>0</v>
      </c>
      <c r="X92" s="702"/>
      <c r="Y92" s="668"/>
      <c r="Z92" s="666"/>
      <c r="AA92" s="661">
        <v>1144</v>
      </c>
      <c r="AB92" s="672">
        <f>+SUMIF(SYS_4_3_Digitos!$M$5:$M$1682,BALANCE!AA92,SYS_4_3_Digitos!$N$5:$N$1682)</f>
        <v>0</v>
      </c>
    </row>
    <row r="93" spans="3:28" hidden="1">
      <c r="E93" s="707"/>
      <c r="F93" s="707"/>
      <c r="G93" s="707"/>
      <c r="M93" s="642"/>
      <c r="N93" s="642"/>
      <c r="Q93" s="642"/>
      <c r="V93" s="661">
        <v>2052</v>
      </c>
      <c r="W93" s="662">
        <f>+SUMIF(SYS_4_3_Digitos!$M$5:$M$1682,BALANCE!V93,SYS_4_3_Digitos!$N$5:$N$1682)</f>
        <v>0</v>
      </c>
      <c r="X93" s="702"/>
      <c r="Y93" s="668"/>
      <c r="Z93" s="666"/>
      <c r="AA93" s="661">
        <v>1150</v>
      </c>
      <c r="AB93" s="672">
        <f ca="1">+SUMIF(SYS_4_3_Digitos!$M$5:$M$1682,BALANCE!AA93,SYS_4_3_Digitos!$N$5:$N$1682)</f>
        <v>0</v>
      </c>
    </row>
    <row r="94" spans="3:28" hidden="1">
      <c r="E94" s="707"/>
      <c r="F94" s="707"/>
      <c r="G94" s="707"/>
      <c r="M94" s="642"/>
      <c r="N94" s="642"/>
      <c r="Q94" s="642"/>
      <c r="V94" s="661">
        <v>2053</v>
      </c>
      <c r="W94" s="662">
        <f>+SUMIF(SYS_4_3_Digitos!$M$5:$M$1682,BALANCE!V94,SYS_4_3_Digitos!$N$5:$N$1682)</f>
        <v>0</v>
      </c>
      <c r="X94" s="702"/>
      <c r="Y94" s="668"/>
      <c r="Z94" s="666"/>
      <c r="AA94" s="661">
        <v>1151</v>
      </c>
      <c r="AB94" s="672">
        <f>+SUMIF(SYS_4_3_Digitos!$M$5:$M$1682,BALANCE!AA94,SYS_4_3_Digitos!$N$5:$N$1682)</f>
        <v>0</v>
      </c>
    </row>
    <row r="95" spans="3:28" hidden="1">
      <c r="E95" s="707"/>
      <c r="F95" s="707"/>
      <c r="G95" s="707"/>
      <c r="M95" s="642"/>
      <c r="N95" s="642"/>
      <c r="Q95" s="642"/>
      <c r="V95" s="661">
        <v>2054</v>
      </c>
      <c r="W95" s="662">
        <f>+SUMIF(SYS_4_3_Digitos!$M$5:$M$1682,BALANCE!V95,SYS_4_3_Digitos!$N$5:$N$1682)</f>
        <v>0</v>
      </c>
      <c r="X95" s="702"/>
      <c r="Y95" s="668"/>
      <c r="Z95" s="666"/>
      <c r="AA95" s="661">
        <v>1152</v>
      </c>
      <c r="AB95" s="672">
        <f>+SUMIF(SYS_4_3_Digitos!$M$5:$M$1682,BALANCE!AA95,SYS_4_3_Digitos!$N$5:$N$1682)</f>
        <v>0</v>
      </c>
    </row>
    <row r="96" spans="3:28" hidden="1">
      <c r="E96" s="707"/>
      <c r="F96" s="707"/>
      <c r="G96" s="707"/>
      <c r="M96" s="642"/>
      <c r="N96" s="642"/>
      <c r="Q96" s="642"/>
      <c r="V96" s="661">
        <v>2055</v>
      </c>
      <c r="W96" s="662">
        <f>+SUMIF(SYS_4_3_Digitos!$M$5:$M$1682,BALANCE!V96,SYS_4_3_Digitos!$N$5:$N$1682)</f>
        <v>0</v>
      </c>
      <c r="X96" s="702"/>
      <c r="Y96" s="668"/>
      <c r="Z96" s="666"/>
      <c r="AA96" s="661">
        <v>1153</v>
      </c>
      <c r="AB96" s="672">
        <f>+SUMIF(SYS_4_3_Digitos!$M$5:$M$1682,BALANCE!AA96,SYS_4_3_Digitos!$N$5:$N$1682)</f>
        <v>0</v>
      </c>
    </row>
    <row r="97" spans="5:28" hidden="1">
      <c r="E97" s="707"/>
      <c r="F97" s="707"/>
      <c r="G97" s="707"/>
      <c r="M97" s="642"/>
      <c r="N97" s="642"/>
      <c r="Q97" s="642"/>
      <c r="V97" s="661">
        <v>2056</v>
      </c>
      <c r="W97" s="662">
        <f>+SUMIF(SYS_4_3_Digitos!$M$5:$M$1682,BALANCE!V97,SYS_4_3_Digitos!$N$5:$N$1682)</f>
        <v>0</v>
      </c>
      <c r="X97" s="702"/>
      <c r="Y97" s="668"/>
      <c r="Z97" s="666"/>
      <c r="AA97" s="661">
        <v>1154</v>
      </c>
      <c r="AB97" s="672">
        <f>+SUMIF(SYS_4_3_Digitos!$M$5:$M$1682,BALANCE!AA97,SYS_4_3_Digitos!$N$5:$N$1682)</f>
        <v>0</v>
      </c>
    </row>
    <row r="98" spans="5:28" hidden="1">
      <c r="E98" s="707"/>
      <c r="F98" s="707"/>
      <c r="G98" s="707"/>
      <c r="M98" s="642"/>
      <c r="N98" s="642"/>
      <c r="Q98" s="642"/>
      <c r="V98" s="661">
        <v>2057</v>
      </c>
      <c r="W98" s="662">
        <f>+SUMIF(SYS_4_3_Digitos!$M$5:$M$1682,BALANCE!V98,SYS_4_3_Digitos!$N$5:$N$1682)</f>
        <v>0</v>
      </c>
      <c r="X98" s="702"/>
      <c r="Y98" s="668"/>
      <c r="Z98" s="666"/>
      <c r="AA98" s="661">
        <v>1155</v>
      </c>
      <c r="AB98" s="672">
        <f>+SUMIF(SYS_4_3_Digitos!$M$5:$M$1682,BALANCE!AA98,SYS_4_3_Digitos!$N$5:$N$1682)</f>
        <v>0</v>
      </c>
    </row>
    <row r="99" spans="5:28" hidden="1">
      <c r="E99" s="707"/>
      <c r="F99" s="707"/>
      <c r="G99" s="707"/>
      <c r="M99" s="642"/>
      <c r="N99" s="642"/>
      <c r="Q99" s="642"/>
      <c r="V99" s="661">
        <v>2058</v>
      </c>
      <c r="W99" s="662">
        <f>+SUMIF(SYS_4_3_Digitos!$M$5:$M$1682,BALANCE!V99,SYS_4_3_Digitos!$N$5:$N$1682)</f>
        <v>0</v>
      </c>
      <c r="X99" s="702"/>
      <c r="Y99" s="668"/>
      <c r="Z99" s="666"/>
      <c r="AA99" s="661">
        <v>1156</v>
      </c>
      <c r="AB99" s="672">
        <f>+SUMIF(SYS_4_3_Digitos!$M$5:$M$1682,BALANCE!AA99,SYS_4_3_Digitos!$N$5:$N$1682)</f>
        <v>0</v>
      </c>
    </row>
    <row r="100" spans="5:28" hidden="1">
      <c r="E100" s="707"/>
      <c r="F100" s="707"/>
      <c r="G100" s="707"/>
      <c r="M100" s="642"/>
      <c r="N100" s="642"/>
      <c r="Q100" s="642"/>
      <c r="V100" s="661">
        <v>2059</v>
      </c>
      <c r="W100" s="662">
        <f>+SUMIF(SYS_4_3_Digitos!$M$5:$M$1682,BALANCE!V100,SYS_4_3_Digitos!$N$5:$N$1682)</f>
        <v>0</v>
      </c>
      <c r="X100" s="702"/>
      <c r="Y100" s="668"/>
      <c r="Z100" s="666"/>
      <c r="AA100" s="661">
        <v>1157</v>
      </c>
      <c r="AB100" s="672">
        <f>+SUMIF(SYS_4_3_Digitos!$M$5:$M$1682,BALANCE!AA100,SYS_4_3_Digitos!$N$5:$N$1682)</f>
        <v>0</v>
      </c>
    </row>
    <row r="101" spans="5:28" hidden="1">
      <c r="E101" s="707"/>
      <c r="F101" s="707"/>
      <c r="G101" s="707"/>
      <c r="M101" s="642"/>
      <c r="N101" s="642"/>
      <c r="Q101" s="642"/>
      <c r="V101" s="661">
        <v>2090</v>
      </c>
      <c r="W101" s="662">
        <f ca="1">+SUMIF(SYS_4_3_Digitos!$M$5:$M$1682,BALANCE!V101,SYS_4_3_Digitos!$N$5:$N$1682)</f>
        <v>0</v>
      </c>
      <c r="X101" s="702"/>
      <c r="Y101" s="668"/>
      <c r="Z101" s="666"/>
      <c r="AA101" s="661">
        <v>1158</v>
      </c>
      <c r="AB101" s="672">
        <f>+SUMIF(SYS_4_3_Digitos!$M$5:$M$1682,BALANCE!AA101,SYS_4_3_Digitos!$N$5:$N$1682)</f>
        <v>0</v>
      </c>
    </row>
    <row r="102" spans="5:28" hidden="1">
      <c r="E102" s="707"/>
      <c r="F102" s="707"/>
      <c r="G102" s="707"/>
      <c r="M102" s="642"/>
      <c r="N102" s="642"/>
      <c r="Q102" s="642"/>
      <c r="V102" s="661">
        <v>2800</v>
      </c>
      <c r="W102" s="662">
        <f ca="1">+SUMIF(SYS_4_3_Digitos!$M$5:$M$1682,BALANCE!V102,SYS_4_3_Digitos!$N$5:$N$1682)</f>
        <v>0</v>
      </c>
      <c r="X102" s="702"/>
      <c r="Y102" s="668"/>
      <c r="Z102" s="666"/>
      <c r="AA102" s="661">
        <v>1159</v>
      </c>
      <c r="AB102" s="672">
        <f>+SUMIF(SYS_4_3_Digitos!$M$5:$M$1682,BALANCE!AA102,SYS_4_3_Digitos!$N$5:$N$1682)</f>
        <v>0</v>
      </c>
    </row>
    <row r="103" spans="5:28" hidden="1">
      <c r="E103" s="707"/>
      <c r="F103" s="707"/>
      <c r="G103" s="707"/>
      <c r="M103" s="642"/>
      <c r="N103" s="642"/>
      <c r="Q103" s="642"/>
      <c r="V103" s="661">
        <v>2805</v>
      </c>
      <c r="W103" s="662">
        <f ca="1">+SUMIF(SYS_4_3_Digitos!$M$5:$M$1682,BALANCE!V103,SYS_4_3_Digitos!$N$5:$N$1682)</f>
        <v>0</v>
      </c>
      <c r="X103" s="702"/>
      <c r="Y103" s="668"/>
      <c r="Z103" s="666"/>
      <c r="AA103" s="661">
        <v>1190</v>
      </c>
      <c r="AB103" s="672">
        <f ca="1">+SUMIF(SYS_4_3_Digitos!$M$5:$M$1682,BALANCE!AA103,SYS_4_3_Digitos!$N$5:$N$1682)</f>
        <v>-13.56</v>
      </c>
    </row>
    <row r="104" spans="5:28" hidden="1">
      <c r="E104" s="707"/>
      <c r="F104" s="707"/>
      <c r="G104" s="707"/>
      <c r="M104" s="642"/>
      <c r="N104" s="642"/>
      <c r="Q104" s="642"/>
      <c r="V104" s="661">
        <v>2905</v>
      </c>
      <c r="W104" s="662">
        <f>+SUMIF(SYS_4_3_Digitos!$M$5:$M$1682,BALANCE!V104,SYS_4_3_Digitos!$N$5:$N$1682)</f>
        <v>0</v>
      </c>
      <c r="X104" s="702"/>
      <c r="Y104" s="668"/>
      <c r="Z104" s="666"/>
      <c r="AA104" s="661">
        <v>1191</v>
      </c>
      <c r="AB104" s="672">
        <f>+SUMIF(SYS_4_3_Digitos!$M$5:$M$1682,BALANCE!AA104,SYS_4_3_Digitos!$N$5:$N$1682)</f>
        <v>0</v>
      </c>
    </row>
    <row r="105" spans="5:28" hidden="1">
      <c r="E105" s="707"/>
      <c r="F105" s="707"/>
      <c r="G105" s="707"/>
      <c r="M105" s="642"/>
      <c r="N105" s="642"/>
      <c r="Q105" s="642"/>
      <c r="U105" s="652" t="s">
        <v>114</v>
      </c>
      <c r="V105" s="664" t="s">
        <v>12</v>
      </c>
      <c r="W105" s="699"/>
      <c r="X105" s="699"/>
      <c r="Y105" s="668"/>
      <c r="Z105" s="666"/>
      <c r="AA105" s="661">
        <v>1192</v>
      </c>
      <c r="AB105" s="672">
        <f>+SUMIF(SYS_4_3_Digitos!$M$5:$M$1682,BALANCE!AA105,SYS_4_3_Digitos!$N$5:$N$1682)</f>
        <v>0</v>
      </c>
    </row>
    <row r="106" spans="5:28" hidden="1">
      <c r="E106" s="707"/>
      <c r="F106" s="707"/>
      <c r="G106" s="707"/>
      <c r="M106" s="642"/>
      <c r="N106" s="642"/>
      <c r="Q106" s="642"/>
      <c r="V106" s="653" t="s">
        <v>13</v>
      </c>
      <c r="W106" s="654">
        <f ca="1">SUM(W107:W129)</f>
        <v>2994079.3899999997</v>
      </c>
      <c r="X106" s="702"/>
      <c r="Y106" s="668"/>
      <c r="Z106" s="666"/>
      <c r="AA106" s="661">
        <v>1193</v>
      </c>
      <c r="AB106" s="672">
        <f>+SUMIF(SYS_4_3_Digitos!$M$5:$M$1682,BALANCE!AA106,SYS_4_3_Digitos!$N$5:$N$1682)</f>
        <v>0</v>
      </c>
    </row>
    <row r="107" spans="5:28" hidden="1">
      <c r="E107" s="707"/>
      <c r="F107" s="707"/>
      <c r="G107" s="707"/>
      <c r="M107" s="642"/>
      <c r="N107" s="642"/>
      <c r="Q107" s="642"/>
      <c r="V107" s="661">
        <v>2100</v>
      </c>
      <c r="W107" s="662">
        <f ca="1">+SUMIF(SYS_4_3_Digitos!$M$5:$M$1682,BALANCE!V107,SYS_4_3_Digitos!$N$5:$N$1682)</f>
        <v>1217233.03</v>
      </c>
      <c r="X107" s="702"/>
      <c r="Z107" s="666"/>
      <c r="AA107" s="661">
        <v>1194</v>
      </c>
      <c r="AB107" s="672">
        <f>+SUMIF(SYS_4_3_Digitos!$M$5:$M$1682,BALANCE!AA107,SYS_4_3_Digitos!$N$5:$N$1682)</f>
        <v>0</v>
      </c>
    </row>
    <row r="108" spans="5:28" hidden="1">
      <c r="E108" s="707"/>
      <c r="F108" s="707"/>
      <c r="G108" s="707"/>
      <c r="M108" s="642"/>
      <c r="N108" s="642"/>
      <c r="Q108" s="642"/>
      <c r="V108" s="661">
        <v>2101</v>
      </c>
      <c r="W108" s="662">
        <f>+SUMIF(SYS_4_3_Digitos!$M$5:$M$1682,BALANCE!V108,SYS_4_3_Digitos!$N$5:$N$1682)</f>
        <v>0</v>
      </c>
      <c r="X108" s="702"/>
      <c r="Z108" s="666"/>
      <c r="AA108" s="661">
        <v>1195</v>
      </c>
      <c r="AB108" s="672">
        <f>+SUMIF(SYS_4_3_Digitos!$M$5:$M$1682,BALANCE!AA108,SYS_4_3_Digitos!$N$5:$N$1682)</f>
        <v>0</v>
      </c>
    </row>
    <row r="109" spans="5:28" hidden="1">
      <c r="E109" s="707"/>
      <c r="F109" s="707"/>
      <c r="G109" s="707"/>
      <c r="M109" s="642"/>
      <c r="N109" s="642"/>
      <c r="Q109" s="642"/>
      <c r="V109" s="661">
        <v>2102</v>
      </c>
      <c r="W109" s="662">
        <f>+SUMIF(SYS_4_3_Digitos!$M$5:$M$1682,BALANCE!V109,SYS_4_3_Digitos!$N$5:$N$1682)</f>
        <v>0</v>
      </c>
      <c r="X109" s="702"/>
      <c r="Z109" s="666"/>
      <c r="AA109" s="661">
        <v>1196</v>
      </c>
      <c r="AB109" s="672">
        <f>+SUMIF(SYS_4_3_Digitos!$M$5:$M$1682,BALANCE!AA109,SYS_4_3_Digitos!$N$5:$N$1682)</f>
        <v>0</v>
      </c>
    </row>
    <row r="110" spans="5:28" hidden="1">
      <c r="E110" s="707"/>
      <c r="F110" s="707"/>
      <c r="G110" s="707"/>
      <c r="M110" s="642"/>
      <c r="N110" s="642"/>
      <c r="Q110" s="642"/>
      <c r="V110" s="661">
        <v>2103</v>
      </c>
      <c r="W110" s="662">
        <f>+SUMIF(SYS_4_3_Digitos!$M$5:$M$1682,BALANCE!V110,SYS_4_3_Digitos!$N$5:$N$1682)</f>
        <v>0</v>
      </c>
      <c r="X110" s="702"/>
      <c r="Z110" s="666"/>
      <c r="AA110" s="661">
        <v>1197</v>
      </c>
      <c r="AB110" s="672">
        <f>+SUMIF(SYS_4_3_Digitos!$M$5:$M$1682,BALANCE!AA110,SYS_4_3_Digitos!$N$5:$N$1682)</f>
        <v>0</v>
      </c>
    </row>
    <row r="111" spans="5:28" hidden="1">
      <c r="E111" s="707"/>
      <c r="F111" s="707"/>
      <c r="G111" s="707"/>
      <c r="M111" s="642"/>
      <c r="N111" s="642"/>
      <c r="Q111" s="642"/>
      <c r="V111" s="661">
        <v>2104</v>
      </c>
      <c r="W111" s="662">
        <f>+SUMIF(SYS_4_3_Digitos!$M$5:$M$1682,BALANCE!V111,SYS_4_3_Digitos!$N$5:$N$1682)</f>
        <v>0</v>
      </c>
      <c r="X111" s="702"/>
      <c r="Z111" s="666"/>
      <c r="AA111" s="661">
        <v>1198</v>
      </c>
      <c r="AB111" s="672">
        <f>+SUMIF(SYS_4_3_Digitos!$M$5:$M$1682,BALANCE!AA111,SYS_4_3_Digitos!$N$5:$N$1682)</f>
        <v>0</v>
      </c>
    </row>
    <row r="112" spans="5:28" hidden="1">
      <c r="E112" s="707"/>
      <c r="F112" s="707"/>
      <c r="G112" s="707"/>
      <c r="M112" s="642"/>
      <c r="N112" s="642"/>
      <c r="Q112" s="642"/>
      <c r="V112" s="661">
        <v>2105</v>
      </c>
      <c r="W112" s="662">
        <f>+SUMIF(SYS_4_3_Digitos!$M$5:$M$1682,BALANCE!V112,SYS_4_3_Digitos!$N$5:$N$1682)</f>
        <v>0</v>
      </c>
      <c r="X112" s="702"/>
      <c r="Z112" s="666"/>
      <c r="AA112" s="661">
        <v>1199</v>
      </c>
      <c r="AB112" s="672">
        <f>+SUMIF(SYS_4_3_Digitos!$M$5:$M$1682,BALANCE!AA112,SYS_4_3_Digitos!$N$5:$N$1682)</f>
        <v>0</v>
      </c>
    </row>
    <row r="113" spans="5:28" hidden="1">
      <c r="E113" s="707"/>
      <c r="F113" s="707"/>
      <c r="G113" s="707"/>
      <c r="M113" s="642"/>
      <c r="N113" s="642"/>
      <c r="Q113" s="642"/>
      <c r="V113" s="661">
        <v>2106</v>
      </c>
      <c r="W113" s="662">
        <f>+SUMIF(SYS_4_3_Digitos!$M$5:$M$1682,BALANCE!V113,SYS_4_3_Digitos!$N$5:$N$1682)</f>
        <v>0</v>
      </c>
      <c r="X113" s="702"/>
      <c r="Z113" s="666" t="s">
        <v>148</v>
      </c>
      <c r="AA113" s="664" t="s">
        <v>63</v>
      </c>
      <c r="AB113" s="642">
        <f ca="1">SUM(AB114:AB133)</f>
        <v>0</v>
      </c>
    </row>
    <row r="114" spans="5:28" hidden="1">
      <c r="E114" s="707"/>
      <c r="F114" s="707"/>
      <c r="G114" s="707"/>
      <c r="M114" s="642"/>
      <c r="N114" s="642"/>
      <c r="Q114" s="642"/>
      <c r="V114" s="661">
        <v>2107</v>
      </c>
      <c r="W114" s="662">
        <f>+SUMIF(SYS_4_3_Digitos!$M$5:$M$1682,BALANCE!V114,SYS_4_3_Digitos!$N$5:$N$1682)</f>
        <v>0</v>
      </c>
      <c r="X114" s="702"/>
      <c r="Z114" s="666"/>
      <c r="AA114" s="661">
        <v>1080</v>
      </c>
      <c r="AB114" s="672">
        <f ca="1">+SUMIF(SYS_4_3_Digitos!$M$5:$M$1682,BALANCE!AA114,SYS_4_3_Digitos!$N$5:$N$1682)</f>
        <v>0</v>
      </c>
    </row>
    <row r="115" spans="5:28" hidden="1">
      <c r="E115" s="707"/>
      <c r="F115" s="707"/>
      <c r="G115" s="707"/>
      <c r="M115" s="642"/>
      <c r="N115" s="642"/>
      <c r="Q115" s="642"/>
      <c r="V115" s="661">
        <v>2108</v>
      </c>
      <c r="W115" s="662">
        <f>+SUMIF(SYS_4_3_Digitos!$M$5:$M$1682,BALANCE!V115,SYS_4_3_Digitos!$N$5:$N$1682)</f>
        <v>0</v>
      </c>
      <c r="X115" s="702"/>
      <c r="Z115" s="666"/>
      <c r="AA115" s="661">
        <v>1081</v>
      </c>
      <c r="AB115" s="672">
        <f>+SUMIF(SYS_4_3_Digitos!$M$5:$M$1682,BALANCE!AA115,SYS_4_3_Digitos!$N$5:$N$1682)</f>
        <v>0</v>
      </c>
    </row>
    <row r="116" spans="5:28" hidden="1">
      <c r="E116" s="707"/>
      <c r="F116" s="707"/>
      <c r="G116" s="707"/>
      <c r="M116" s="642"/>
      <c r="N116" s="642"/>
      <c r="Q116" s="642"/>
      <c r="V116" s="661">
        <v>2109</v>
      </c>
      <c r="W116" s="662">
        <f>+SUMIF(SYS_4_3_Digitos!$M$5:$M$1682,BALANCE!V116,SYS_4_3_Digitos!$N$5:$N$1682)</f>
        <v>0</v>
      </c>
      <c r="X116" s="702"/>
      <c r="Z116" s="666"/>
      <c r="AA116" s="661">
        <v>1082</v>
      </c>
      <c r="AB116" s="672">
        <f>+SUMIF(SYS_4_3_Digitos!$M$5:$M$1682,BALANCE!AA116,SYS_4_3_Digitos!$N$5:$N$1682)</f>
        <v>0</v>
      </c>
    </row>
    <row r="117" spans="5:28" hidden="1">
      <c r="E117" s="707"/>
      <c r="F117" s="707"/>
      <c r="G117" s="707"/>
      <c r="M117" s="642"/>
      <c r="N117" s="642"/>
      <c r="Q117" s="642"/>
      <c r="V117" s="661">
        <v>2110</v>
      </c>
      <c r="W117" s="662">
        <f ca="1">+SUMIF(SYS_4_3_Digitos!$M$5:$M$1682,BALANCE!V117,SYS_4_3_Digitos!$N$5:$N$1682)</f>
        <v>4905408.5199999996</v>
      </c>
      <c r="X117" s="702"/>
      <c r="Z117" s="666"/>
      <c r="AA117" s="661">
        <v>1083</v>
      </c>
      <c r="AB117" s="672">
        <f>+SUMIF(SYS_4_3_Digitos!$M$5:$M$1682,BALANCE!AA117,SYS_4_3_Digitos!$N$5:$N$1682)</f>
        <v>0</v>
      </c>
    </row>
    <row r="118" spans="5:28" hidden="1">
      <c r="E118" s="707"/>
      <c r="F118" s="707"/>
      <c r="G118" s="707"/>
      <c r="M118" s="642"/>
      <c r="N118" s="642"/>
      <c r="Q118" s="642"/>
      <c r="V118" s="661">
        <v>2111</v>
      </c>
      <c r="W118" s="662">
        <f>+SUMIF(SYS_4_3_Digitos!$M$5:$M$1682,BALANCE!V118,SYS_4_3_Digitos!$N$5:$N$1682)</f>
        <v>0</v>
      </c>
      <c r="X118" s="702"/>
      <c r="Z118" s="666"/>
      <c r="AA118" s="661">
        <v>1084</v>
      </c>
      <c r="AB118" s="672">
        <f>+SUMIF(SYS_4_3_Digitos!$M$5:$M$1682,BALANCE!AA118,SYS_4_3_Digitos!$N$5:$N$1682)</f>
        <v>0</v>
      </c>
    </row>
    <row r="119" spans="5:28" hidden="1">
      <c r="E119" s="707"/>
      <c r="F119" s="707"/>
      <c r="G119" s="707"/>
      <c r="M119" s="642"/>
      <c r="N119" s="642"/>
      <c r="Q119" s="642"/>
      <c r="V119" s="661">
        <v>2112</v>
      </c>
      <c r="W119" s="662">
        <f>+SUMIF(SYS_4_3_Digitos!$M$5:$M$1682,BALANCE!V119,SYS_4_3_Digitos!$N$5:$N$1682)</f>
        <v>0</v>
      </c>
      <c r="X119" s="702"/>
      <c r="Z119" s="666"/>
      <c r="AA119" s="661">
        <v>1085</v>
      </c>
      <c r="AB119" s="672">
        <f>+SUMIF(SYS_4_3_Digitos!$M$5:$M$1682,BALANCE!AA119,SYS_4_3_Digitos!$N$5:$N$1682)</f>
        <v>0</v>
      </c>
    </row>
    <row r="120" spans="5:28" hidden="1">
      <c r="E120" s="707"/>
      <c r="F120" s="707"/>
      <c r="G120" s="707"/>
      <c r="M120" s="642"/>
      <c r="N120" s="642"/>
      <c r="Q120" s="642"/>
      <c r="V120" s="661">
        <v>2113</v>
      </c>
      <c r="W120" s="662">
        <f>+SUMIF(SYS_4_3_Digitos!$M$5:$M$1682,BALANCE!V120,SYS_4_3_Digitos!$N$5:$N$1682)</f>
        <v>0</v>
      </c>
      <c r="X120" s="702"/>
      <c r="Z120" s="666"/>
      <c r="AA120" s="661">
        <v>1086</v>
      </c>
      <c r="AB120" s="672">
        <f>+SUMIF(SYS_4_3_Digitos!$M$5:$M$1682,BALANCE!AA120,SYS_4_3_Digitos!$N$5:$N$1682)</f>
        <v>0</v>
      </c>
    </row>
    <row r="121" spans="5:28" hidden="1">
      <c r="E121" s="707"/>
      <c r="F121" s="707"/>
      <c r="G121" s="707"/>
      <c r="M121" s="642"/>
      <c r="N121" s="642"/>
      <c r="Q121" s="642"/>
      <c r="V121" s="661">
        <v>2114</v>
      </c>
      <c r="W121" s="662">
        <f>+SUMIF(SYS_4_3_Digitos!$M$5:$M$1682,BALANCE!V121,SYS_4_3_Digitos!$N$5:$N$1682)</f>
        <v>0</v>
      </c>
      <c r="X121" s="702"/>
      <c r="Z121" s="666"/>
      <c r="AA121" s="661">
        <v>1087</v>
      </c>
      <c r="AB121" s="672">
        <f>+SUMIF(SYS_4_3_Digitos!$M$5:$M$1682,BALANCE!AA121,SYS_4_3_Digitos!$N$5:$N$1682)</f>
        <v>0</v>
      </c>
    </row>
    <row r="122" spans="5:28" hidden="1">
      <c r="E122" s="707"/>
      <c r="F122" s="707"/>
      <c r="G122" s="707"/>
      <c r="M122" s="642"/>
      <c r="N122" s="642"/>
      <c r="Q122" s="642"/>
      <c r="V122" s="661">
        <v>2115</v>
      </c>
      <c r="W122" s="662">
        <f>+SUMIF(SYS_4_3_Digitos!$M$5:$M$1682,BALANCE!V122,SYS_4_3_Digitos!$N$5:$N$1682)</f>
        <v>0</v>
      </c>
      <c r="X122" s="702"/>
      <c r="Z122" s="666"/>
      <c r="AA122" s="661">
        <v>1088</v>
      </c>
      <c r="AB122" s="672">
        <f>+SUMIF(SYS_4_3_Digitos!$M$5:$M$1682,BALANCE!AA122,SYS_4_3_Digitos!$N$5:$N$1682)</f>
        <v>0</v>
      </c>
    </row>
    <row r="123" spans="5:28" hidden="1">
      <c r="E123" s="707"/>
      <c r="F123" s="707"/>
      <c r="G123" s="707"/>
      <c r="M123" s="642"/>
      <c r="N123" s="642"/>
      <c r="Q123" s="642"/>
      <c r="V123" s="661">
        <v>2116</v>
      </c>
      <c r="W123" s="662">
        <f>+SUMIF(SYS_4_3_Digitos!$M$5:$M$1682,BALANCE!V123,SYS_4_3_Digitos!$N$5:$N$1682)</f>
        <v>0</v>
      </c>
      <c r="X123" s="702"/>
      <c r="Z123" s="666"/>
      <c r="AA123" s="661">
        <v>1089</v>
      </c>
      <c r="AB123" s="672">
        <f>+SUMIF(SYS_4_3_Digitos!$M$5:$M$1682,BALANCE!AA123,SYS_4_3_Digitos!$N$5:$N$1682)</f>
        <v>0</v>
      </c>
    </row>
    <row r="124" spans="5:28" hidden="1">
      <c r="E124" s="707"/>
      <c r="F124" s="707"/>
      <c r="G124" s="707"/>
      <c r="M124" s="642"/>
      <c r="N124" s="642"/>
      <c r="Q124" s="642"/>
      <c r="V124" s="661">
        <v>2117</v>
      </c>
      <c r="W124" s="662">
        <f>+SUMIF(SYS_4_3_Digitos!$M$5:$M$1682,BALANCE!V124,SYS_4_3_Digitos!$N$5:$N$1682)</f>
        <v>0</v>
      </c>
      <c r="X124" s="702"/>
      <c r="Z124" s="666"/>
      <c r="AA124" s="661">
        <v>1090</v>
      </c>
      <c r="AB124" s="672">
        <f ca="1">+SUMIF(SYS_4_3_Digitos!$M$5:$M$1682,BALANCE!AA124,SYS_4_3_Digitos!$N$5:$N$1682)</f>
        <v>0</v>
      </c>
    </row>
    <row r="125" spans="5:28" hidden="1">
      <c r="E125" s="707"/>
      <c r="F125" s="707"/>
      <c r="G125" s="707"/>
      <c r="M125" s="642"/>
      <c r="N125" s="642"/>
      <c r="Q125" s="642"/>
      <c r="V125" s="661">
        <v>2118</v>
      </c>
      <c r="W125" s="662">
        <f>+SUMIF(SYS_4_3_Digitos!$M$5:$M$1682,BALANCE!V125,SYS_4_3_Digitos!$N$5:$N$1682)</f>
        <v>0</v>
      </c>
      <c r="X125" s="702"/>
      <c r="Z125" s="666"/>
      <c r="AA125" s="661">
        <v>1091</v>
      </c>
      <c r="AB125" s="672">
        <f>+SUMIF(SYS_4_3_Digitos!$M$5:$M$1682,BALANCE!AA125,SYS_4_3_Digitos!$N$5:$N$1682)</f>
        <v>0</v>
      </c>
    </row>
    <row r="126" spans="5:28" hidden="1">
      <c r="E126" s="707"/>
      <c r="F126" s="707"/>
      <c r="G126" s="707"/>
      <c r="M126" s="642"/>
      <c r="N126" s="642"/>
      <c r="Q126" s="642"/>
      <c r="V126" s="661">
        <v>2119</v>
      </c>
      <c r="W126" s="662">
        <f>+SUMIF(SYS_4_3_Digitos!$M$5:$M$1682,BALANCE!V126,SYS_4_3_Digitos!$N$5:$N$1682)</f>
        <v>0</v>
      </c>
      <c r="X126" s="699"/>
      <c r="Z126" s="666"/>
      <c r="AA126" s="661">
        <v>1092</v>
      </c>
      <c r="AB126" s="672">
        <f>+SUMIF(SYS_4_3_Digitos!$M$5:$M$1682,BALANCE!AA126,SYS_4_3_Digitos!$N$5:$N$1682)</f>
        <v>0</v>
      </c>
    </row>
    <row r="127" spans="5:28" hidden="1">
      <c r="E127" s="707"/>
      <c r="F127" s="707"/>
      <c r="G127" s="707"/>
      <c r="M127" s="642"/>
      <c r="N127" s="642"/>
      <c r="Q127" s="642"/>
      <c r="V127" s="661">
        <v>2811</v>
      </c>
      <c r="W127" s="662">
        <f ca="1">+SUMIF(SYS_4_3_Digitos!$M$5:$M$1682,BALANCE!V127,SYS_4_3_Digitos!$N$5:$N$1682)</f>
        <v>-3128562.16</v>
      </c>
      <c r="X127" s="702"/>
      <c r="Z127" s="666"/>
      <c r="AA127" s="661">
        <v>1093</v>
      </c>
      <c r="AB127" s="672">
        <f>+SUMIF(SYS_4_3_Digitos!$M$5:$M$1682,BALANCE!AA127,SYS_4_3_Digitos!$N$5:$N$1682)</f>
        <v>0</v>
      </c>
    </row>
    <row r="128" spans="5:28" hidden="1">
      <c r="E128" s="707"/>
      <c r="F128" s="707"/>
      <c r="G128" s="707"/>
      <c r="M128" s="642"/>
      <c r="N128" s="642"/>
      <c r="Q128" s="642"/>
      <c r="V128" s="661">
        <v>2910</v>
      </c>
      <c r="W128" s="662">
        <f ca="1">+SUMIF(SYS_4_3_Digitos!$M$5:$M$1682,BALANCE!V128,SYS_4_3_Digitos!$N$5:$N$1682)</f>
        <v>0</v>
      </c>
      <c r="X128" s="702"/>
      <c r="Z128" s="666"/>
      <c r="AA128" s="661">
        <v>1094</v>
      </c>
      <c r="AB128" s="672">
        <f>+SUMIF(SYS_4_3_Digitos!$M$5:$M$1682,BALANCE!AA128,SYS_4_3_Digitos!$N$5:$N$1682)</f>
        <v>0</v>
      </c>
    </row>
    <row r="129" spans="5:28" hidden="1">
      <c r="E129" s="707"/>
      <c r="F129" s="707"/>
      <c r="G129" s="707"/>
      <c r="M129" s="642"/>
      <c r="N129" s="642"/>
      <c r="Q129" s="642"/>
      <c r="U129" s="652" t="s">
        <v>115</v>
      </c>
      <c r="V129" s="661">
        <v>2911</v>
      </c>
      <c r="W129" s="662">
        <f>+SUMIF(SYS_4_3_Digitos!$M$5:$M$1682,BALANCE!V129,SYS_4_3_Digitos!$N$5:$N$1682)</f>
        <v>0</v>
      </c>
      <c r="X129" s="702"/>
      <c r="Z129" s="666"/>
      <c r="AA129" s="661">
        <v>1095</v>
      </c>
      <c r="AB129" s="672">
        <f>+SUMIF(SYS_4_3_Digitos!$M$5:$M$1682,BALANCE!AA129,SYS_4_3_Digitos!$N$5:$N$1682)</f>
        <v>0</v>
      </c>
    </row>
    <row r="130" spans="5:28" hidden="1">
      <c r="E130" s="707"/>
      <c r="F130" s="707"/>
      <c r="G130" s="707"/>
      <c r="M130" s="642"/>
      <c r="N130" s="642"/>
      <c r="Q130" s="642"/>
      <c r="V130" s="653" t="s">
        <v>14</v>
      </c>
      <c r="W130" s="654">
        <f ca="1">SUM(W131:W226)</f>
        <v>2528885.4400000004</v>
      </c>
      <c r="X130" s="702"/>
      <c r="Z130" s="666"/>
      <c r="AA130" s="661">
        <v>1096</v>
      </c>
      <c r="AB130" s="672">
        <f>+SUMIF(SYS_4_3_Digitos!$M$5:$M$1682,BALANCE!AA130,SYS_4_3_Digitos!$N$5:$N$1682)</f>
        <v>0</v>
      </c>
    </row>
    <row r="131" spans="5:28" hidden="1">
      <c r="E131" s="707"/>
      <c r="F131" s="707"/>
      <c r="G131" s="707"/>
      <c r="M131" s="642"/>
      <c r="N131" s="642"/>
      <c r="Q131" s="642"/>
      <c r="V131" s="661">
        <v>2120</v>
      </c>
      <c r="W131" s="662">
        <f ca="1">+SUMIF(SYS_4_3_Digitos!$M$5:$M$1682,BALANCE!V131,SYS_4_3_Digitos!$N$5:$N$1682)</f>
        <v>19677094.84</v>
      </c>
      <c r="X131" s="702"/>
      <c r="Z131" s="666"/>
      <c r="AA131" s="661">
        <v>1097</v>
      </c>
      <c r="AB131" s="672">
        <f>+SUMIF(SYS_4_3_Digitos!$M$5:$M$1682,BALANCE!AA131,SYS_4_3_Digitos!$N$5:$N$1682)</f>
        <v>0</v>
      </c>
    </row>
    <row r="132" spans="5:28" hidden="1">
      <c r="E132" s="707"/>
      <c r="F132" s="707"/>
      <c r="G132" s="707"/>
      <c r="M132" s="642"/>
      <c r="N132" s="642"/>
      <c r="Q132" s="642"/>
      <c r="V132" s="661">
        <v>2121</v>
      </c>
      <c r="W132" s="662">
        <f>+SUMIF(SYS_4_3_Digitos!$M$5:$M$1682,BALANCE!V132,SYS_4_3_Digitos!$N$5:$N$1682)</f>
        <v>0</v>
      </c>
      <c r="X132" s="702"/>
      <c r="Z132" s="666"/>
      <c r="AA132" s="661">
        <v>1098</v>
      </c>
      <c r="AB132" s="672">
        <f>+SUMIF(SYS_4_3_Digitos!$M$5:$M$1682,BALANCE!AA132,SYS_4_3_Digitos!$N$5:$N$1682)</f>
        <v>0</v>
      </c>
    </row>
    <row r="133" spans="5:28" hidden="1">
      <c r="E133" s="707"/>
      <c r="F133" s="707"/>
      <c r="G133" s="707"/>
      <c r="M133" s="642"/>
      <c r="N133" s="642"/>
      <c r="Q133" s="642"/>
      <c r="V133" s="661">
        <v>2122</v>
      </c>
      <c r="W133" s="662">
        <f>+SUMIF(SYS_4_3_Digitos!$M$5:$M$1682,BALANCE!V133,SYS_4_3_Digitos!$N$5:$N$1682)</f>
        <v>0</v>
      </c>
      <c r="X133" s="702"/>
      <c r="Z133" s="666"/>
      <c r="AA133" s="661">
        <v>1099</v>
      </c>
      <c r="AB133" s="672">
        <f>+SUMIF(SYS_4_3_Digitos!$M$5:$M$1682,BALANCE!AA133,SYS_4_3_Digitos!$N$5:$N$1682)</f>
        <v>0</v>
      </c>
    </row>
    <row r="134" spans="5:28" hidden="1">
      <c r="E134" s="707"/>
      <c r="F134" s="707"/>
      <c r="G134" s="707"/>
      <c r="M134" s="642"/>
      <c r="N134" s="642"/>
      <c r="Q134" s="642"/>
      <c r="V134" s="661">
        <v>2123</v>
      </c>
      <c r="W134" s="662">
        <f>+SUMIF(SYS_4_3_Digitos!$M$5:$M$1682,BALANCE!V134,SYS_4_3_Digitos!$N$5:$N$1682)</f>
        <v>0</v>
      </c>
      <c r="X134" s="702"/>
      <c r="Z134" s="666"/>
      <c r="AA134" s="664" t="s">
        <v>64</v>
      </c>
      <c r="AB134" s="642"/>
    </row>
    <row r="135" spans="5:28" hidden="1">
      <c r="E135" s="707"/>
      <c r="F135" s="707"/>
      <c r="G135" s="707"/>
      <c r="M135" s="642"/>
      <c r="N135" s="642"/>
      <c r="Q135" s="642"/>
      <c r="V135" s="661">
        <v>2124</v>
      </c>
      <c r="W135" s="662">
        <f>+SUMIF(SYS_4_3_Digitos!$M$5:$M$1682,BALANCE!V135,SYS_4_3_Digitos!$N$5:$N$1682)</f>
        <v>0</v>
      </c>
      <c r="X135" s="702"/>
      <c r="Z135" s="666">
        <v>120</v>
      </c>
      <c r="AA135" s="653" t="s">
        <v>65</v>
      </c>
      <c r="AB135" s="667">
        <f ca="1">SUM(AB136:AB145)</f>
        <v>0</v>
      </c>
    </row>
    <row r="136" spans="5:28" hidden="1">
      <c r="E136" s="707"/>
      <c r="F136" s="707"/>
      <c r="G136" s="707"/>
      <c r="M136" s="642"/>
      <c r="N136" s="642"/>
      <c r="Q136" s="642"/>
      <c r="V136" s="661">
        <v>2125</v>
      </c>
      <c r="W136" s="662">
        <f>+SUMIF(SYS_4_3_Digitos!$M$5:$M$1682,BALANCE!V136,SYS_4_3_Digitos!$N$5:$N$1682)</f>
        <v>0</v>
      </c>
      <c r="X136" s="702"/>
      <c r="Z136" s="666"/>
      <c r="AA136" s="661">
        <v>1200</v>
      </c>
      <c r="AB136" s="672">
        <f ca="1">+SUMIF(SYS_4_3_Digitos!$M$5:$M$1682,BALANCE!AA136,SYS_4_3_Digitos!$N$5:$N$1682)</f>
        <v>0</v>
      </c>
    </row>
    <row r="137" spans="5:28" hidden="1">
      <c r="E137" s="707"/>
      <c r="F137" s="707"/>
      <c r="G137" s="707"/>
      <c r="M137" s="642"/>
      <c r="N137" s="642"/>
      <c r="Q137" s="642"/>
      <c r="V137" s="661">
        <v>2126</v>
      </c>
      <c r="W137" s="662">
        <f>+SUMIF(SYS_4_3_Digitos!$M$5:$M$1682,BALANCE!V137,SYS_4_3_Digitos!$N$5:$N$1682)</f>
        <v>0</v>
      </c>
      <c r="X137" s="702"/>
      <c r="Z137" s="666"/>
      <c r="AA137" s="661">
        <v>1201</v>
      </c>
      <c r="AB137" s="672">
        <f>+SUMIF(SYS_4_3_Digitos!$M$5:$M$1682,BALANCE!AA137,SYS_4_3_Digitos!$N$5:$N$1682)</f>
        <v>0</v>
      </c>
    </row>
    <row r="138" spans="5:28" hidden="1">
      <c r="E138" s="707"/>
      <c r="F138" s="707"/>
      <c r="G138" s="707"/>
      <c r="M138" s="642"/>
      <c r="N138" s="642"/>
      <c r="Q138" s="642"/>
      <c r="V138" s="661">
        <v>2127</v>
      </c>
      <c r="W138" s="662">
        <f>+SUMIF(SYS_4_3_Digitos!$M$5:$M$1682,BALANCE!V138,SYS_4_3_Digitos!$N$5:$N$1682)</f>
        <v>0</v>
      </c>
      <c r="X138" s="702"/>
      <c r="Z138" s="666"/>
      <c r="AA138" s="661">
        <v>1202</v>
      </c>
      <c r="AB138" s="672">
        <f>+SUMIF(SYS_4_3_Digitos!$M$5:$M$1682,BALANCE!AA138,SYS_4_3_Digitos!$N$5:$N$1682)</f>
        <v>0</v>
      </c>
    </row>
    <row r="139" spans="5:28" hidden="1">
      <c r="E139" s="707"/>
      <c r="F139" s="707"/>
      <c r="G139" s="707"/>
      <c r="M139" s="642"/>
      <c r="N139" s="642"/>
      <c r="Q139" s="642"/>
      <c r="V139" s="661">
        <v>2128</v>
      </c>
      <c r="W139" s="662">
        <f>+SUMIF(SYS_4_3_Digitos!$M$5:$M$1682,BALANCE!V139,SYS_4_3_Digitos!$N$5:$N$1682)</f>
        <v>0</v>
      </c>
      <c r="X139" s="702"/>
      <c r="Z139" s="666"/>
      <c r="AA139" s="661">
        <v>1203</v>
      </c>
      <c r="AB139" s="672">
        <f>+SUMIF(SYS_4_3_Digitos!$M$5:$M$1682,BALANCE!AA139,SYS_4_3_Digitos!$N$5:$N$1682)</f>
        <v>0</v>
      </c>
    </row>
    <row r="140" spans="5:28" hidden="1">
      <c r="E140" s="707"/>
      <c r="F140" s="707"/>
      <c r="G140" s="707"/>
      <c r="M140" s="642"/>
      <c r="N140" s="642"/>
      <c r="Q140" s="642"/>
      <c r="V140" s="661">
        <v>2129</v>
      </c>
      <c r="W140" s="662">
        <f>+SUMIF(SYS_4_3_Digitos!$M$5:$M$1682,BALANCE!V140,SYS_4_3_Digitos!$N$5:$N$1682)</f>
        <v>0</v>
      </c>
      <c r="X140" s="702"/>
      <c r="Z140" s="666"/>
      <c r="AA140" s="661">
        <v>1204</v>
      </c>
      <c r="AB140" s="672">
        <f>+SUMIF(SYS_4_3_Digitos!$M$5:$M$1682,BALANCE!AA140,SYS_4_3_Digitos!$N$5:$N$1682)</f>
        <v>0</v>
      </c>
    </row>
    <row r="141" spans="5:28" hidden="1">
      <c r="E141" s="707"/>
      <c r="F141" s="707"/>
      <c r="G141" s="707"/>
      <c r="M141" s="642"/>
      <c r="N141" s="642"/>
      <c r="Q141" s="642"/>
      <c r="V141" s="661">
        <v>2130</v>
      </c>
      <c r="W141" s="662">
        <f ca="1">+SUMIF(SYS_4_3_Digitos!$M$5:$M$1682,BALANCE!V141,SYS_4_3_Digitos!$N$5:$N$1682)</f>
        <v>1060116.9099999999</v>
      </c>
      <c r="X141" s="702"/>
      <c r="Z141" s="666"/>
      <c r="AA141" s="661">
        <v>1205</v>
      </c>
      <c r="AB141" s="672">
        <f>+SUMIF(SYS_4_3_Digitos!$M$5:$M$1682,BALANCE!AA141,SYS_4_3_Digitos!$N$5:$N$1682)</f>
        <v>0</v>
      </c>
    </row>
    <row r="142" spans="5:28" hidden="1">
      <c r="E142" s="707"/>
      <c r="F142" s="707"/>
      <c r="G142" s="707"/>
      <c r="M142" s="642"/>
      <c r="N142" s="642"/>
      <c r="Q142" s="642"/>
      <c r="V142" s="661">
        <v>2131</v>
      </c>
      <c r="W142" s="662">
        <f>+SUMIF(SYS_4_3_Digitos!$M$5:$M$1682,BALANCE!V142,SYS_4_3_Digitos!$N$5:$N$1682)</f>
        <v>0</v>
      </c>
      <c r="X142" s="702"/>
      <c r="Z142" s="666"/>
      <c r="AA142" s="661">
        <v>1206</v>
      </c>
      <c r="AB142" s="672">
        <f>+SUMIF(SYS_4_3_Digitos!$M$5:$M$1682,BALANCE!AA142,SYS_4_3_Digitos!$N$5:$N$1682)</f>
        <v>0</v>
      </c>
    </row>
    <row r="143" spans="5:28" hidden="1">
      <c r="E143" s="707"/>
      <c r="F143" s="707"/>
      <c r="G143" s="707"/>
      <c r="M143" s="642"/>
      <c r="N143" s="642"/>
      <c r="Q143" s="642"/>
      <c r="V143" s="661">
        <v>2132</v>
      </c>
      <c r="W143" s="662">
        <f>+SUMIF(SYS_4_3_Digitos!$M$5:$M$1682,BALANCE!V143,SYS_4_3_Digitos!$N$5:$N$1682)</f>
        <v>0</v>
      </c>
      <c r="X143" s="702"/>
      <c r="Z143" s="666"/>
      <c r="AA143" s="661">
        <v>1207</v>
      </c>
      <c r="AB143" s="672">
        <f>+SUMIF(SYS_4_3_Digitos!$M$5:$M$1682,BALANCE!AA143,SYS_4_3_Digitos!$N$5:$N$1682)</f>
        <v>0</v>
      </c>
    </row>
    <row r="144" spans="5:28" hidden="1">
      <c r="E144" s="707"/>
      <c r="F144" s="707"/>
      <c r="G144" s="707"/>
      <c r="M144" s="642"/>
      <c r="N144" s="642"/>
      <c r="Q144" s="642"/>
      <c r="V144" s="661">
        <v>2133</v>
      </c>
      <c r="W144" s="662">
        <f>+SUMIF(SYS_4_3_Digitos!$M$5:$M$1682,BALANCE!V144,SYS_4_3_Digitos!$N$5:$N$1682)</f>
        <v>0</v>
      </c>
      <c r="X144" s="702"/>
      <c r="Z144" s="666"/>
      <c r="AA144" s="661">
        <v>1208</v>
      </c>
      <c r="AB144" s="672">
        <f>+SUMIF(SYS_4_3_Digitos!$M$5:$M$1682,BALANCE!AA144,SYS_4_3_Digitos!$N$5:$N$1682)</f>
        <v>0</v>
      </c>
    </row>
    <row r="145" spans="5:28" hidden="1">
      <c r="E145" s="707"/>
      <c r="F145" s="707"/>
      <c r="G145" s="707"/>
      <c r="M145" s="642"/>
      <c r="N145" s="642"/>
      <c r="Q145" s="642"/>
      <c r="V145" s="661">
        <v>2134</v>
      </c>
      <c r="W145" s="662">
        <f>+SUMIF(SYS_4_3_Digitos!$M$5:$M$1682,BALANCE!V145,SYS_4_3_Digitos!$N$5:$N$1682)</f>
        <v>0</v>
      </c>
      <c r="X145" s="702"/>
      <c r="Z145" s="666"/>
      <c r="AA145" s="661">
        <v>1209</v>
      </c>
      <c r="AB145" s="672">
        <f>+SUMIF(SYS_4_3_Digitos!$M$5:$M$1682,BALANCE!AA145,SYS_4_3_Digitos!$N$5:$N$1682)</f>
        <v>0</v>
      </c>
    </row>
    <row r="146" spans="5:28" hidden="1">
      <c r="E146" s="707"/>
      <c r="F146" s="707"/>
      <c r="G146" s="707"/>
      <c r="M146" s="642"/>
      <c r="N146" s="642"/>
      <c r="Q146" s="642"/>
      <c r="V146" s="661">
        <v>2135</v>
      </c>
      <c r="W146" s="662">
        <f>+SUMIF(SYS_4_3_Digitos!$M$5:$M$1682,BALANCE!V146,SYS_4_3_Digitos!$N$5:$N$1682)</f>
        <v>0</v>
      </c>
      <c r="X146" s="702"/>
      <c r="Z146" s="666">
        <v>-121</v>
      </c>
      <c r="AA146" s="653" t="s">
        <v>66</v>
      </c>
      <c r="AB146" s="667">
        <f ca="1">SUM(AB147:AB166)</f>
        <v>0</v>
      </c>
    </row>
    <row r="147" spans="5:28" hidden="1">
      <c r="E147" s="707"/>
      <c r="F147" s="707"/>
      <c r="G147" s="707"/>
      <c r="M147" s="642"/>
      <c r="N147" s="642"/>
      <c r="Q147" s="642"/>
      <c r="V147" s="661">
        <v>2136</v>
      </c>
      <c r="W147" s="662">
        <f>+SUMIF(SYS_4_3_Digitos!$M$5:$M$1682,BALANCE!V147,SYS_4_3_Digitos!$N$5:$N$1682)</f>
        <v>0</v>
      </c>
      <c r="X147" s="702"/>
      <c r="Z147" s="666"/>
      <c r="AA147" s="661">
        <v>1210</v>
      </c>
      <c r="AB147" s="672">
        <f ca="1">+SUMIF(SYS_4_3_Digitos!$M$5:$M$1682,BALANCE!AA147,SYS_4_3_Digitos!$N$5:$N$1682)</f>
        <v>0</v>
      </c>
    </row>
    <row r="148" spans="5:28" hidden="1">
      <c r="E148" s="707"/>
      <c r="F148" s="707"/>
      <c r="G148" s="707"/>
      <c r="M148" s="642"/>
      <c r="N148" s="642"/>
      <c r="Q148" s="642"/>
      <c r="V148" s="661">
        <v>2137</v>
      </c>
      <c r="W148" s="662">
        <f>+SUMIF(SYS_4_3_Digitos!$M$5:$M$1682,BALANCE!V148,SYS_4_3_Digitos!$N$5:$N$1682)</f>
        <v>0</v>
      </c>
      <c r="X148" s="702"/>
      <c r="Z148" s="666"/>
      <c r="AA148" s="661">
        <v>1211</v>
      </c>
      <c r="AB148" s="672">
        <f>+SUMIF(SYS_4_3_Digitos!$M$5:$M$1682,BALANCE!AA148,SYS_4_3_Digitos!$N$5:$N$1682)</f>
        <v>0</v>
      </c>
    </row>
    <row r="149" spans="5:28" hidden="1">
      <c r="E149" s="707"/>
      <c r="F149" s="707"/>
      <c r="G149" s="707"/>
      <c r="M149" s="642"/>
      <c r="N149" s="642"/>
      <c r="Q149" s="642"/>
      <c r="V149" s="661">
        <v>2138</v>
      </c>
      <c r="W149" s="662">
        <f>+SUMIF(SYS_4_3_Digitos!$M$5:$M$1682,BALANCE!V149,SYS_4_3_Digitos!$N$5:$N$1682)</f>
        <v>0</v>
      </c>
      <c r="X149" s="702"/>
      <c r="Z149" s="666"/>
      <c r="AA149" s="661">
        <v>1212</v>
      </c>
      <c r="AB149" s="672">
        <f>+SUMIF(SYS_4_3_Digitos!$M$5:$M$1682,BALANCE!AA149,SYS_4_3_Digitos!$N$5:$N$1682)</f>
        <v>0</v>
      </c>
    </row>
    <row r="150" spans="5:28" hidden="1">
      <c r="E150" s="707"/>
      <c r="F150" s="707"/>
      <c r="G150" s="707"/>
      <c r="M150" s="642"/>
      <c r="N150" s="642"/>
      <c r="Q150" s="642"/>
      <c r="V150" s="661">
        <v>2139</v>
      </c>
      <c r="W150" s="662">
        <f>+SUMIF(SYS_4_3_Digitos!$M$5:$M$1682,BALANCE!V150,SYS_4_3_Digitos!$N$5:$N$1682)</f>
        <v>0</v>
      </c>
      <c r="X150" s="702"/>
      <c r="Z150" s="666"/>
      <c r="AA150" s="661">
        <v>1213</v>
      </c>
      <c r="AB150" s="672">
        <f>+SUMIF(SYS_4_3_Digitos!$M$5:$M$1682,BALANCE!AA150,SYS_4_3_Digitos!$N$5:$N$1682)</f>
        <v>0</v>
      </c>
    </row>
    <row r="151" spans="5:28" hidden="1">
      <c r="E151" s="707"/>
      <c r="F151" s="707"/>
      <c r="G151" s="707"/>
      <c r="M151" s="642"/>
      <c r="N151" s="642"/>
      <c r="Q151" s="642"/>
      <c r="V151" s="661">
        <v>2140</v>
      </c>
      <c r="W151" s="662">
        <f ca="1">+SUMIF(SYS_4_3_Digitos!$M$5:$M$1682,BALANCE!V151,SYS_4_3_Digitos!$N$5:$N$1682)</f>
        <v>10306.1</v>
      </c>
      <c r="X151" s="702"/>
      <c r="Z151" s="666"/>
      <c r="AA151" s="661">
        <v>1214</v>
      </c>
      <c r="AB151" s="672">
        <f>+SUMIF(SYS_4_3_Digitos!$M$5:$M$1682,BALANCE!AA151,SYS_4_3_Digitos!$N$5:$N$1682)</f>
        <v>0</v>
      </c>
    </row>
    <row r="152" spans="5:28" hidden="1">
      <c r="E152" s="707"/>
      <c r="F152" s="707"/>
      <c r="G152" s="707"/>
      <c r="M152" s="642"/>
      <c r="N152" s="642"/>
      <c r="Q152" s="642"/>
      <c r="V152" s="661">
        <v>2141</v>
      </c>
      <c r="W152" s="662">
        <f>+SUMIF(SYS_4_3_Digitos!$M$5:$M$1682,BALANCE!V152,SYS_4_3_Digitos!$N$5:$N$1682)</f>
        <v>0</v>
      </c>
      <c r="X152" s="702"/>
      <c r="Z152" s="666"/>
      <c r="AA152" s="661">
        <v>1215</v>
      </c>
      <c r="AB152" s="672">
        <f>+SUMIF(SYS_4_3_Digitos!$M$5:$M$1682,BALANCE!AA152,SYS_4_3_Digitos!$N$5:$N$1682)</f>
        <v>0</v>
      </c>
    </row>
    <row r="153" spans="5:28" hidden="1">
      <c r="E153" s="707"/>
      <c r="F153" s="707"/>
      <c r="G153" s="707"/>
      <c r="M153" s="642"/>
      <c r="N153" s="642"/>
      <c r="Q153" s="642"/>
      <c r="V153" s="661">
        <v>2142</v>
      </c>
      <c r="W153" s="662">
        <f>+SUMIF(SYS_4_3_Digitos!$M$5:$M$1682,BALANCE!V153,SYS_4_3_Digitos!$N$5:$N$1682)</f>
        <v>0</v>
      </c>
      <c r="X153" s="702"/>
      <c r="Z153" s="666"/>
      <c r="AA153" s="661">
        <v>1216</v>
      </c>
      <c r="AB153" s="672">
        <f>+SUMIF(SYS_4_3_Digitos!$M$5:$M$1682,BALANCE!AA153,SYS_4_3_Digitos!$N$5:$N$1682)</f>
        <v>0</v>
      </c>
    </row>
    <row r="154" spans="5:28" hidden="1">
      <c r="E154" s="707"/>
      <c r="F154" s="707"/>
      <c r="G154" s="707"/>
      <c r="M154" s="642"/>
      <c r="N154" s="642"/>
      <c r="Q154" s="642"/>
      <c r="V154" s="661">
        <v>2143</v>
      </c>
      <c r="W154" s="662">
        <f>+SUMIF(SYS_4_3_Digitos!$M$5:$M$1682,BALANCE!V154,SYS_4_3_Digitos!$N$5:$N$1682)</f>
        <v>0</v>
      </c>
      <c r="X154" s="702"/>
      <c r="Z154" s="666"/>
      <c r="AA154" s="661">
        <v>1217</v>
      </c>
      <c r="AB154" s="672">
        <f>+SUMIF(SYS_4_3_Digitos!$M$5:$M$1682,BALANCE!AA154,SYS_4_3_Digitos!$N$5:$N$1682)</f>
        <v>0</v>
      </c>
    </row>
    <row r="155" spans="5:28" hidden="1">
      <c r="E155" s="707"/>
      <c r="F155" s="707"/>
      <c r="G155" s="707"/>
      <c r="M155" s="642"/>
      <c r="N155" s="642"/>
      <c r="Q155" s="642"/>
      <c r="V155" s="661">
        <v>2144</v>
      </c>
      <c r="W155" s="662">
        <f>+SUMIF(SYS_4_3_Digitos!$M$5:$M$1682,BALANCE!V155,SYS_4_3_Digitos!$N$5:$N$1682)</f>
        <v>0</v>
      </c>
      <c r="X155" s="702"/>
      <c r="Z155" s="666"/>
      <c r="AA155" s="661">
        <v>1218</v>
      </c>
      <c r="AB155" s="672">
        <f>+SUMIF(SYS_4_3_Digitos!$M$5:$M$1682,BALANCE!AA155,SYS_4_3_Digitos!$N$5:$N$1682)</f>
        <v>0</v>
      </c>
    </row>
    <row r="156" spans="5:28" hidden="1">
      <c r="E156" s="707"/>
      <c r="F156" s="707"/>
      <c r="G156" s="707"/>
      <c r="M156" s="642"/>
      <c r="N156" s="642"/>
      <c r="Q156" s="642"/>
      <c r="V156" s="661">
        <v>2145</v>
      </c>
      <c r="W156" s="662">
        <f>+SUMIF(SYS_4_3_Digitos!$M$5:$M$1682,BALANCE!V156,SYS_4_3_Digitos!$N$5:$N$1682)</f>
        <v>0</v>
      </c>
      <c r="X156" s="702"/>
      <c r="Z156" s="666"/>
      <c r="AA156" s="661">
        <v>1219</v>
      </c>
      <c r="AB156" s="672">
        <f>+SUMIF(SYS_4_3_Digitos!$M$5:$M$1682,BALANCE!AA156,SYS_4_3_Digitos!$N$5:$N$1682)</f>
        <v>0</v>
      </c>
    </row>
    <row r="157" spans="5:28" hidden="1">
      <c r="E157" s="707"/>
      <c r="F157" s="707"/>
      <c r="G157" s="707"/>
      <c r="M157" s="642"/>
      <c r="N157" s="642"/>
      <c r="Q157" s="642"/>
      <c r="V157" s="661">
        <v>2146</v>
      </c>
      <c r="W157" s="662">
        <f>+SUMIF(SYS_4_3_Digitos!$M$5:$M$1682,BALANCE!V157,SYS_4_3_Digitos!$N$5:$N$1682)</f>
        <v>0</v>
      </c>
      <c r="X157" s="702"/>
      <c r="Z157" s="666"/>
      <c r="AA157" s="661">
        <v>1290</v>
      </c>
      <c r="AB157" s="672">
        <f ca="1">+SUMIF(SYS_4_3_Digitos!$M$5:$M$1682,BALANCE!AA157,SYS_4_3_Digitos!$N$5:$N$1682)</f>
        <v>0</v>
      </c>
    </row>
    <row r="158" spans="5:28" hidden="1">
      <c r="E158" s="707"/>
      <c r="F158" s="707"/>
      <c r="G158" s="707"/>
      <c r="M158" s="642"/>
      <c r="N158" s="642"/>
      <c r="Q158" s="642"/>
      <c r="V158" s="661">
        <v>2147</v>
      </c>
      <c r="W158" s="662">
        <f>+SUMIF(SYS_4_3_Digitos!$M$5:$M$1682,BALANCE!V158,SYS_4_3_Digitos!$N$5:$N$1682)</f>
        <v>0</v>
      </c>
      <c r="X158" s="702"/>
      <c r="Z158" s="666"/>
      <c r="AA158" s="661">
        <v>1291</v>
      </c>
      <c r="AB158" s="672">
        <f>+SUMIF(SYS_4_3_Digitos!$M$5:$M$1682,BALANCE!AA158,SYS_4_3_Digitos!$N$5:$N$1682)</f>
        <v>0</v>
      </c>
    </row>
    <row r="159" spans="5:28" hidden="1">
      <c r="E159" s="707"/>
      <c r="F159" s="707"/>
      <c r="G159" s="707"/>
      <c r="M159" s="642"/>
      <c r="N159" s="642"/>
      <c r="Q159" s="642"/>
      <c r="V159" s="661">
        <v>2148</v>
      </c>
      <c r="W159" s="662">
        <f>+SUMIF(SYS_4_3_Digitos!$M$5:$M$1682,BALANCE!V159,SYS_4_3_Digitos!$N$5:$N$1682)</f>
        <v>0</v>
      </c>
      <c r="X159" s="702"/>
      <c r="Z159" s="666"/>
      <c r="AA159" s="661">
        <v>1292</v>
      </c>
      <c r="AB159" s="672">
        <f>+SUMIF(SYS_4_3_Digitos!$M$5:$M$1682,BALANCE!AA159,SYS_4_3_Digitos!$N$5:$N$1682)</f>
        <v>0</v>
      </c>
    </row>
    <row r="160" spans="5:28" hidden="1">
      <c r="E160" s="707"/>
      <c r="F160" s="707"/>
      <c r="G160" s="707"/>
      <c r="M160" s="642"/>
      <c r="N160" s="642"/>
      <c r="Q160" s="642"/>
      <c r="V160" s="661">
        <v>2149</v>
      </c>
      <c r="W160" s="662">
        <f>+SUMIF(SYS_4_3_Digitos!$M$5:$M$1682,BALANCE!V160,SYS_4_3_Digitos!$N$5:$N$1682)</f>
        <v>0</v>
      </c>
      <c r="X160" s="702"/>
      <c r="Z160" s="666"/>
      <c r="AA160" s="661">
        <v>1293</v>
      </c>
      <c r="AB160" s="672">
        <f>+SUMIF(SYS_4_3_Digitos!$M$5:$M$1682,BALANCE!AA160,SYS_4_3_Digitos!$N$5:$N$1682)</f>
        <v>0</v>
      </c>
    </row>
    <row r="161" spans="5:28" hidden="1">
      <c r="E161" s="707"/>
      <c r="F161" s="707"/>
      <c r="G161" s="707"/>
      <c r="M161" s="642"/>
      <c r="N161" s="642"/>
      <c r="Q161" s="642"/>
      <c r="V161" s="661">
        <v>2150</v>
      </c>
      <c r="W161" s="662">
        <f ca="1">+SUMIF(SYS_4_3_Digitos!$M$5:$M$1682,BALANCE!V161,SYS_4_3_Digitos!$N$5:$N$1682)</f>
        <v>1162570.3500000001</v>
      </c>
      <c r="X161" s="702"/>
      <c r="Z161" s="666"/>
      <c r="AA161" s="661">
        <v>1294</v>
      </c>
      <c r="AB161" s="672">
        <f>+SUMIF(SYS_4_3_Digitos!$M$5:$M$1682,BALANCE!AA161,SYS_4_3_Digitos!$N$5:$N$1682)</f>
        <v>0</v>
      </c>
    </row>
    <row r="162" spans="5:28" hidden="1">
      <c r="E162" s="707"/>
      <c r="F162" s="707"/>
      <c r="G162" s="707"/>
      <c r="M162" s="642"/>
      <c r="N162" s="642"/>
      <c r="Q162" s="642"/>
      <c r="V162" s="661">
        <v>2151</v>
      </c>
      <c r="W162" s="662">
        <f>+SUMIF(SYS_4_3_Digitos!$M$5:$M$1682,BALANCE!V162,SYS_4_3_Digitos!$N$5:$N$1682)</f>
        <v>0</v>
      </c>
      <c r="X162" s="702"/>
      <c r="Z162" s="666"/>
      <c r="AA162" s="661">
        <v>1295</v>
      </c>
      <c r="AB162" s="672">
        <f>+SUMIF(SYS_4_3_Digitos!$M$5:$M$1682,BALANCE!AA162,SYS_4_3_Digitos!$N$5:$N$1682)</f>
        <v>0</v>
      </c>
    </row>
    <row r="163" spans="5:28" hidden="1">
      <c r="E163" s="707"/>
      <c r="F163" s="707"/>
      <c r="G163" s="707"/>
      <c r="M163" s="642"/>
      <c r="N163" s="642"/>
      <c r="Q163" s="642"/>
      <c r="V163" s="661">
        <v>2152</v>
      </c>
      <c r="W163" s="662">
        <f>+SUMIF(SYS_4_3_Digitos!$M$5:$M$1682,BALANCE!V163,SYS_4_3_Digitos!$N$5:$N$1682)</f>
        <v>0</v>
      </c>
      <c r="X163" s="702"/>
      <c r="Z163" s="666"/>
      <c r="AA163" s="661">
        <v>1296</v>
      </c>
      <c r="AB163" s="672">
        <f>+SUMIF(SYS_4_3_Digitos!$M$5:$M$1682,BALANCE!AA163,SYS_4_3_Digitos!$N$5:$N$1682)</f>
        <v>0</v>
      </c>
    </row>
    <row r="164" spans="5:28" hidden="1">
      <c r="E164" s="707"/>
      <c r="F164" s="707"/>
      <c r="G164" s="707"/>
      <c r="M164" s="642"/>
      <c r="N164" s="642"/>
      <c r="Q164" s="642"/>
      <c r="V164" s="661">
        <v>2153</v>
      </c>
      <c r="W164" s="662">
        <f>+SUMIF(SYS_4_3_Digitos!$M$5:$M$1682,BALANCE!V164,SYS_4_3_Digitos!$N$5:$N$1682)</f>
        <v>0</v>
      </c>
      <c r="X164" s="702"/>
      <c r="Z164" s="666"/>
      <c r="AA164" s="661">
        <v>1297</v>
      </c>
      <c r="AB164" s="672">
        <f>+SUMIF(SYS_4_3_Digitos!$M$5:$M$1682,BALANCE!AA164,SYS_4_3_Digitos!$N$5:$N$1682)</f>
        <v>0</v>
      </c>
    </row>
    <row r="165" spans="5:28" hidden="1">
      <c r="E165" s="707"/>
      <c r="F165" s="707"/>
      <c r="G165" s="707"/>
      <c r="M165" s="642"/>
      <c r="N165" s="642"/>
      <c r="Q165" s="642"/>
      <c r="V165" s="661">
        <v>2154</v>
      </c>
      <c r="W165" s="662">
        <f>+SUMIF(SYS_4_3_Digitos!$M$5:$M$1682,BALANCE!V165,SYS_4_3_Digitos!$N$5:$N$1682)</f>
        <v>0</v>
      </c>
      <c r="X165" s="702"/>
      <c r="Z165" s="666"/>
      <c r="AA165" s="661">
        <v>1298</v>
      </c>
      <c r="AB165" s="672">
        <f>+SUMIF(SYS_4_3_Digitos!$M$5:$M$1682,BALANCE!AA165,SYS_4_3_Digitos!$N$5:$N$1682)</f>
        <v>0</v>
      </c>
    </row>
    <row r="166" spans="5:28" hidden="1">
      <c r="E166" s="707"/>
      <c r="F166" s="707"/>
      <c r="G166" s="707"/>
      <c r="M166" s="642"/>
      <c r="N166" s="642"/>
      <c r="Q166" s="642"/>
      <c r="V166" s="661">
        <v>2155</v>
      </c>
      <c r="W166" s="662">
        <f>+SUMIF(SYS_4_3_Digitos!$M$5:$M$1682,BALANCE!V166,SYS_4_3_Digitos!$N$5:$N$1682)</f>
        <v>0</v>
      </c>
      <c r="X166" s="702"/>
      <c r="Z166" s="666"/>
      <c r="AA166" s="661">
        <v>1299</v>
      </c>
      <c r="AB166" s="672">
        <f>+SUMIF(SYS_4_3_Digitos!$M$5:$M$1682,BALANCE!AA166,SYS_4_3_Digitos!$N$5:$N$1682)</f>
        <v>0</v>
      </c>
    </row>
    <row r="167" spans="5:28" hidden="1">
      <c r="E167" s="707"/>
      <c r="F167" s="707"/>
      <c r="G167" s="707"/>
      <c r="M167" s="642"/>
      <c r="N167" s="642"/>
      <c r="Q167" s="642"/>
      <c r="V167" s="661">
        <v>2156</v>
      </c>
      <c r="W167" s="662">
        <f>+SUMIF(SYS_4_3_Digitos!$M$5:$M$1682,BALANCE!V167,SYS_4_3_Digitos!$N$5:$N$1682)</f>
        <v>0</v>
      </c>
      <c r="X167" s="702"/>
      <c r="Z167" s="666">
        <v>118</v>
      </c>
      <c r="AA167" s="664" t="s">
        <v>67</v>
      </c>
      <c r="AB167" s="642">
        <f ca="1">SUM(AB168:AB177)</f>
        <v>0</v>
      </c>
    </row>
    <row r="168" spans="5:28" hidden="1">
      <c r="E168" s="707"/>
      <c r="F168" s="707"/>
      <c r="G168" s="707"/>
      <c r="M168" s="642"/>
      <c r="N168" s="642"/>
      <c r="Q168" s="642"/>
      <c r="V168" s="661">
        <v>2157</v>
      </c>
      <c r="W168" s="662">
        <f>+SUMIF(SYS_4_3_Digitos!$M$5:$M$1682,BALANCE!V168,SYS_4_3_Digitos!$N$5:$N$1682)</f>
        <v>0</v>
      </c>
      <c r="X168" s="702"/>
      <c r="Z168" s="666"/>
      <c r="AA168" s="661">
        <v>1180</v>
      </c>
      <c r="AB168" s="672">
        <f ca="1">+SUMIF(SYS_4_3_Digitos!$M$5:$M$1682,BALANCE!AA168,SYS_4_3_Digitos!$N$5:$N$1682)</f>
        <v>0</v>
      </c>
    </row>
    <row r="169" spans="5:28" hidden="1">
      <c r="E169" s="707"/>
      <c r="F169" s="707"/>
      <c r="G169" s="707"/>
      <c r="M169" s="642"/>
      <c r="N169" s="642"/>
      <c r="Q169" s="642"/>
      <c r="V169" s="661">
        <v>2158</v>
      </c>
      <c r="W169" s="662">
        <f>+SUMIF(SYS_4_3_Digitos!$M$5:$M$1682,BALANCE!V169,SYS_4_3_Digitos!$N$5:$N$1682)</f>
        <v>0</v>
      </c>
      <c r="X169" s="699"/>
      <c r="Z169" s="666"/>
      <c r="AA169" s="661">
        <v>1181</v>
      </c>
      <c r="AB169" s="672">
        <f>+SUMIF(SYS_4_3_Digitos!$M$5:$M$1682,BALANCE!AA169,SYS_4_3_Digitos!$N$5:$N$1682)</f>
        <v>0</v>
      </c>
    </row>
    <row r="170" spans="5:28" hidden="1">
      <c r="E170" s="707"/>
      <c r="F170" s="707"/>
      <c r="G170" s="707"/>
      <c r="M170" s="642"/>
      <c r="N170" s="642"/>
      <c r="Q170" s="642"/>
      <c r="V170" s="661">
        <v>2159</v>
      </c>
      <c r="W170" s="662">
        <f>+SUMIF(SYS_4_3_Digitos!$M$5:$M$1682,BALANCE!V170,SYS_4_3_Digitos!$N$5:$N$1682)</f>
        <v>0</v>
      </c>
      <c r="X170" s="702"/>
      <c r="Z170" s="666"/>
      <c r="AA170" s="661">
        <v>1182</v>
      </c>
      <c r="AB170" s="672">
        <f>+SUMIF(SYS_4_3_Digitos!$M$5:$M$1682,BALANCE!AA170,SYS_4_3_Digitos!$N$5:$N$1682)</f>
        <v>0</v>
      </c>
    </row>
    <row r="171" spans="5:28" hidden="1">
      <c r="E171" s="707"/>
      <c r="F171" s="707"/>
      <c r="G171" s="707"/>
      <c r="M171" s="642"/>
      <c r="N171" s="642"/>
      <c r="Q171" s="642"/>
      <c r="V171" s="661">
        <v>2160</v>
      </c>
      <c r="W171" s="662">
        <f ca="1">+SUMIF(SYS_4_3_Digitos!$M$5:$M$1682,BALANCE!V171,SYS_4_3_Digitos!$N$5:$N$1682)</f>
        <v>454455.79</v>
      </c>
      <c r="X171" s="702"/>
      <c r="Z171" s="666"/>
      <c r="AA171" s="661">
        <v>1183</v>
      </c>
      <c r="AB171" s="672">
        <f>+SUMIF(SYS_4_3_Digitos!$M$5:$M$1682,BALANCE!AA171,SYS_4_3_Digitos!$N$5:$N$1682)</f>
        <v>0</v>
      </c>
    </row>
    <row r="172" spans="5:28" hidden="1">
      <c r="E172" s="707"/>
      <c r="F172" s="707"/>
      <c r="G172" s="707"/>
      <c r="M172" s="642"/>
      <c r="N172" s="642"/>
      <c r="Q172" s="642"/>
      <c r="V172" s="661">
        <v>2161</v>
      </c>
      <c r="W172" s="662">
        <f>+SUMIF(SYS_4_3_Digitos!$M$5:$M$1682,BALANCE!V172,SYS_4_3_Digitos!$N$5:$N$1682)</f>
        <v>0</v>
      </c>
      <c r="X172" s="702"/>
      <c r="Z172" s="666"/>
      <c r="AA172" s="661">
        <v>1184</v>
      </c>
      <c r="AB172" s="672">
        <f>+SUMIF(SYS_4_3_Digitos!$M$5:$M$1682,BALANCE!AA172,SYS_4_3_Digitos!$N$5:$N$1682)</f>
        <v>0</v>
      </c>
    </row>
    <row r="173" spans="5:28" hidden="1">
      <c r="E173" s="707"/>
      <c r="F173" s="707"/>
      <c r="G173" s="707"/>
      <c r="M173" s="642"/>
      <c r="N173" s="642"/>
      <c r="Q173" s="642"/>
      <c r="V173" s="661">
        <v>2162</v>
      </c>
      <c r="W173" s="662">
        <f>+SUMIF(SYS_4_3_Digitos!$M$5:$M$1682,BALANCE!V173,SYS_4_3_Digitos!$N$5:$N$1682)</f>
        <v>0</v>
      </c>
      <c r="X173" s="702"/>
      <c r="Z173" s="666"/>
      <c r="AA173" s="661">
        <v>1185</v>
      </c>
      <c r="AB173" s="672">
        <f>+SUMIF(SYS_4_3_Digitos!$M$5:$M$1682,BALANCE!AA173,SYS_4_3_Digitos!$N$5:$N$1682)</f>
        <v>0</v>
      </c>
    </row>
    <row r="174" spans="5:28" hidden="1">
      <c r="E174" s="707"/>
      <c r="F174" s="707"/>
      <c r="G174" s="707"/>
      <c r="M174" s="642"/>
      <c r="N174" s="642"/>
      <c r="Q174" s="642"/>
      <c r="V174" s="661">
        <v>2163</v>
      </c>
      <c r="W174" s="662">
        <f>+SUMIF(SYS_4_3_Digitos!$M$5:$M$1682,BALANCE!V174,SYS_4_3_Digitos!$N$5:$N$1682)</f>
        <v>0</v>
      </c>
      <c r="X174" s="702"/>
      <c r="Z174" s="666"/>
      <c r="AA174" s="661">
        <v>1186</v>
      </c>
      <c r="AB174" s="672">
        <f>+SUMIF(SYS_4_3_Digitos!$M$5:$M$1682,BALANCE!AA174,SYS_4_3_Digitos!$N$5:$N$1682)</f>
        <v>0</v>
      </c>
    </row>
    <row r="175" spans="5:28" hidden="1">
      <c r="E175" s="707"/>
      <c r="F175" s="707"/>
      <c r="G175" s="707"/>
      <c r="M175" s="642"/>
      <c r="N175" s="642"/>
      <c r="Q175" s="642"/>
      <c r="V175" s="661">
        <v>2164</v>
      </c>
      <c r="W175" s="662">
        <f>+SUMIF(SYS_4_3_Digitos!$M$5:$M$1682,BALANCE!V175,SYS_4_3_Digitos!$N$5:$N$1682)</f>
        <v>0</v>
      </c>
      <c r="X175" s="702"/>
      <c r="Z175" s="666"/>
      <c r="AA175" s="661">
        <v>1187</v>
      </c>
      <c r="AB175" s="672">
        <f>+SUMIF(SYS_4_3_Digitos!$M$5:$M$1682,BALANCE!AA175,SYS_4_3_Digitos!$N$5:$N$1682)</f>
        <v>0</v>
      </c>
    </row>
    <row r="176" spans="5:28" hidden="1">
      <c r="E176" s="707"/>
      <c r="F176" s="707"/>
      <c r="G176" s="707"/>
      <c r="M176" s="642"/>
      <c r="N176" s="642"/>
      <c r="Q176" s="642"/>
      <c r="V176" s="661">
        <v>2165</v>
      </c>
      <c r="W176" s="662">
        <f>+SUMIF(SYS_4_3_Digitos!$M$5:$M$1682,BALANCE!V176,SYS_4_3_Digitos!$N$5:$N$1682)</f>
        <v>0</v>
      </c>
      <c r="X176" s="702"/>
      <c r="Z176" s="666"/>
      <c r="AA176" s="661">
        <v>1188</v>
      </c>
      <c r="AB176" s="672">
        <f>+SUMIF(SYS_4_3_Digitos!$M$5:$M$1682,BALANCE!AA176,SYS_4_3_Digitos!$N$5:$N$1682)</f>
        <v>0</v>
      </c>
    </row>
    <row r="177" spans="5:28" hidden="1">
      <c r="E177" s="707"/>
      <c r="F177" s="707"/>
      <c r="G177" s="707"/>
      <c r="M177" s="642"/>
      <c r="N177" s="642"/>
      <c r="Q177" s="642"/>
      <c r="V177" s="661">
        <v>2166</v>
      </c>
      <c r="W177" s="662">
        <f>+SUMIF(SYS_4_3_Digitos!$M$5:$M$1682,BALANCE!V177,SYS_4_3_Digitos!$N$5:$N$1682)</f>
        <v>0</v>
      </c>
      <c r="X177" s="702"/>
      <c r="Z177" s="666"/>
      <c r="AA177" s="661">
        <v>1189</v>
      </c>
      <c r="AB177" s="672">
        <f>+SUMIF(SYS_4_3_Digitos!$M$5:$M$1682,BALANCE!AA177,SYS_4_3_Digitos!$N$5:$N$1682)</f>
        <v>0</v>
      </c>
    </row>
    <row r="178" spans="5:28" hidden="1">
      <c r="E178" s="707"/>
      <c r="F178" s="707"/>
      <c r="G178" s="707"/>
      <c r="M178" s="642"/>
      <c r="N178" s="642"/>
      <c r="Q178" s="642"/>
      <c r="V178" s="661">
        <v>2167</v>
      </c>
      <c r="W178" s="662">
        <f>+SUMIF(SYS_4_3_Digitos!$M$5:$M$1682,BALANCE!V178,SYS_4_3_Digitos!$N$5:$N$1682)</f>
        <v>0</v>
      </c>
      <c r="X178" s="702"/>
      <c r="Z178" s="666">
        <v>129</v>
      </c>
      <c r="AA178" s="664" t="s">
        <v>68</v>
      </c>
      <c r="AB178" s="642">
        <f ca="1">SUM(AB179:AB188)</f>
        <v>0</v>
      </c>
    </row>
    <row r="179" spans="5:28" hidden="1">
      <c r="E179" s="707"/>
      <c r="F179" s="707"/>
      <c r="G179" s="707"/>
      <c r="M179" s="642"/>
      <c r="N179" s="642"/>
      <c r="Q179" s="642"/>
      <c r="V179" s="661">
        <v>2168</v>
      </c>
      <c r="W179" s="662">
        <f>+SUMIF(SYS_4_3_Digitos!$M$5:$M$1682,BALANCE!V179,SYS_4_3_Digitos!$N$5:$N$1682)</f>
        <v>0</v>
      </c>
      <c r="X179" s="702"/>
      <c r="Z179" s="666"/>
      <c r="AA179" s="661">
        <v>1290</v>
      </c>
      <c r="AB179" s="672">
        <f ca="1">+SUMIF(SYS_4_3_Digitos!$M$5:$M$1682,BALANCE!AA179,SYS_4_3_Digitos!$N$5:$N$1682)</f>
        <v>0</v>
      </c>
    </row>
    <row r="180" spans="5:28" hidden="1">
      <c r="E180" s="707"/>
      <c r="F180" s="707"/>
      <c r="G180" s="707"/>
      <c r="M180" s="642"/>
      <c r="N180" s="642"/>
      <c r="Q180" s="642"/>
      <c r="V180" s="661">
        <v>2169</v>
      </c>
      <c r="W180" s="662">
        <f>+SUMIF(SYS_4_3_Digitos!$M$5:$M$1682,BALANCE!V180,SYS_4_3_Digitos!$N$5:$N$1682)</f>
        <v>0</v>
      </c>
      <c r="X180" s="702"/>
      <c r="Z180" s="666"/>
      <c r="AA180" s="661">
        <v>1291</v>
      </c>
      <c r="AB180" s="672">
        <f>+SUMIF(SYS_4_3_Digitos!$M$5:$M$1682,BALANCE!AA180,SYS_4_3_Digitos!$N$5:$N$1682)</f>
        <v>0</v>
      </c>
    </row>
    <row r="181" spans="5:28" hidden="1">
      <c r="E181" s="707"/>
      <c r="F181" s="707"/>
      <c r="G181" s="707"/>
      <c r="M181" s="642"/>
      <c r="N181" s="642"/>
      <c r="Q181" s="642"/>
      <c r="V181" s="661">
        <v>2170</v>
      </c>
      <c r="W181" s="662">
        <f ca="1">+SUMIF(SYS_4_3_Digitos!$M$5:$M$1682,BALANCE!V181,SYS_4_3_Digitos!$N$5:$N$1682)</f>
        <v>53303.6</v>
      </c>
      <c r="X181" s="702"/>
      <c r="Z181" s="666"/>
      <c r="AA181" s="661">
        <v>1292</v>
      </c>
      <c r="AB181" s="672">
        <f>+SUMIF(SYS_4_3_Digitos!$M$5:$M$1682,BALANCE!AA181,SYS_4_3_Digitos!$N$5:$N$1682)</f>
        <v>0</v>
      </c>
    </row>
    <row r="182" spans="5:28" hidden="1">
      <c r="E182" s="707"/>
      <c r="F182" s="707"/>
      <c r="G182" s="707"/>
      <c r="M182" s="642"/>
      <c r="N182" s="642"/>
      <c r="Q182" s="642"/>
      <c r="V182" s="661">
        <v>2171</v>
      </c>
      <c r="W182" s="662">
        <f>+SUMIF(SYS_4_3_Digitos!$M$5:$M$1682,BALANCE!V182,SYS_4_3_Digitos!$N$5:$N$1682)</f>
        <v>0</v>
      </c>
      <c r="X182" s="702"/>
      <c r="Z182" s="666"/>
      <c r="AA182" s="661">
        <v>1293</v>
      </c>
      <c r="AB182" s="672">
        <f>+SUMIF(SYS_4_3_Digitos!$M$5:$M$1682,BALANCE!AA182,SYS_4_3_Digitos!$N$5:$N$1682)</f>
        <v>0</v>
      </c>
    </row>
    <row r="183" spans="5:28" hidden="1">
      <c r="E183" s="707"/>
      <c r="F183" s="707"/>
      <c r="G183" s="707"/>
      <c r="M183" s="642"/>
      <c r="N183" s="642"/>
      <c r="Q183" s="642"/>
      <c r="V183" s="661">
        <v>2172</v>
      </c>
      <c r="W183" s="662">
        <f>+SUMIF(SYS_4_3_Digitos!$M$5:$M$1682,BALANCE!V183,SYS_4_3_Digitos!$N$5:$N$1682)</f>
        <v>0</v>
      </c>
      <c r="X183" s="702"/>
      <c r="Z183" s="666"/>
      <c r="AA183" s="661">
        <v>1294</v>
      </c>
      <c r="AB183" s="672">
        <f>+SUMIF(SYS_4_3_Digitos!$M$5:$M$1682,BALANCE!AA183,SYS_4_3_Digitos!$N$5:$N$1682)</f>
        <v>0</v>
      </c>
    </row>
    <row r="184" spans="5:28" hidden="1">
      <c r="E184" s="707"/>
      <c r="F184" s="707"/>
      <c r="G184" s="707"/>
      <c r="M184" s="642"/>
      <c r="N184" s="642"/>
      <c r="Q184" s="642"/>
      <c r="V184" s="661">
        <v>2173</v>
      </c>
      <c r="W184" s="662">
        <f>+SUMIF(SYS_4_3_Digitos!$M$5:$M$1682,BALANCE!V184,SYS_4_3_Digitos!$N$5:$N$1682)</f>
        <v>0</v>
      </c>
      <c r="X184" s="702"/>
      <c r="Z184" s="666"/>
      <c r="AA184" s="661">
        <v>1295</v>
      </c>
      <c r="AB184" s="672">
        <f>+SUMIF(SYS_4_3_Digitos!$M$5:$M$1682,BALANCE!AA184,SYS_4_3_Digitos!$N$5:$N$1682)</f>
        <v>0</v>
      </c>
    </row>
    <row r="185" spans="5:28" hidden="1">
      <c r="E185" s="707"/>
      <c r="F185" s="707"/>
      <c r="G185" s="707"/>
      <c r="V185" s="661">
        <v>2174</v>
      </c>
      <c r="W185" s="662">
        <f>+SUMIF(SYS_4_3_Digitos!$M$5:$M$1682,BALANCE!V185,SYS_4_3_Digitos!$N$5:$N$1682)</f>
        <v>0</v>
      </c>
      <c r="X185" s="702"/>
      <c r="Z185" s="666"/>
      <c r="AA185" s="661">
        <v>1296</v>
      </c>
      <c r="AB185" s="672">
        <f>+SUMIF(SYS_4_3_Digitos!$M$5:$M$1682,BALANCE!AA185,SYS_4_3_Digitos!$N$5:$N$1682)</f>
        <v>0</v>
      </c>
    </row>
    <row r="186" spans="5:28" hidden="1">
      <c r="E186" s="707"/>
      <c r="F186" s="707"/>
      <c r="G186" s="707"/>
      <c r="V186" s="661">
        <v>2175</v>
      </c>
      <c r="W186" s="662">
        <f>+SUMIF(SYS_4_3_Digitos!$M$5:$M$1682,BALANCE!V186,SYS_4_3_Digitos!$N$5:$N$1682)</f>
        <v>0</v>
      </c>
      <c r="X186" s="702"/>
      <c r="Z186" s="666"/>
      <c r="AA186" s="661">
        <v>1297</v>
      </c>
      <c r="AB186" s="672">
        <f>+SUMIF(SYS_4_3_Digitos!$M$5:$M$1682,BALANCE!AA186,SYS_4_3_Digitos!$N$5:$N$1682)</f>
        <v>0</v>
      </c>
    </row>
    <row r="187" spans="5:28" hidden="1">
      <c r="E187" s="707"/>
      <c r="F187" s="707"/>
      <c r="G187" s="707"/>
      <c r="V187" s="661">
        <v>2176</v>
      </c>
      <c r="W187" s="662">
        <f>+SUMIF(SYS_4_3_Digitos!$M$5:$M$1682,BALANCE!V187,SYS_4_3_Digitos!$N$5:$N$1682)</f>
        <v>0</v>
      </c>
      <c r="X187" s="702"/>
      <c r="Z187" s="666"/>
      <c r="AA187" s="661">
        <v>1298</v>
      </c>
      <c r="AB187" s="672">
        <f>+SUMIF(SYS_4_3_Digitos!$M$5:$M$1682,BALANCE!AA187,SYS_4_3_Digitos!$N$5:$N$1682)</f>
        <v>0</v>
      </c>
    </row>
    <row r="188" spans="5:28" hidden="1">
      <c r="E188" s="707"/>
      <c r="F188" s="707"/>
      <c r="G188" s="707"/>
      <c r="V188" s="661">
        <v>2177</v>
      </c>
      <c r="W188" s="662">
        <f>+SUMIF(SYS_4_3_Digitos!$M$5:$M$1682,BALANCE!V188,SYS_4_3_Digitos!$N$5:$N$1682)</f>
        <v>0</v>
      </c>
      <c r="X188" s="702"/>
      <c r="Z188" s="666"/>
      <c r="AA188" s="661">
        <v>1299</v>
      </c>
      <c r="AB188" s="672">
        <f>+SUMIF(SYS_4_3_Digitos!$M$5:$M$1682,BALANCE!AA188,SYS_4_3_Digitos!$N$5:$N$1682)</f>
        <v>0</v>
      </c>
    </row>
    <row r="189" spans="5:28" hidden="1">
      <c r="E189" s="707"/>
      <c r="F189" s="707"/>
      <c r="G189" s="707"/>
      <c r="V189" s="661">
        <v>2178</v>
      </c>
      <c r="W189" s="662">
        <f>+SUMIF(SYS_4_3_Digitos!$M$5:$M$1682,BALANCE!V189,SYS_4_3_Digitos!$N$5:$N$1682)</f>
        <v>0</v>
      </c>
      <c r="X189" s="702"/>
      <c r="Z189" s="666">
        <v>-557</v>
      </c>
      <c r="AA189" s="664" t="s">
        <v>69</v>
      </c>
      <c r="AB189" s="642">
        <f ca="1">SUM(AB190:AB199)</f>
        <v>0</v>
      </c>
    </row>
    <row r="190" spans="5:28" hidden="1">
      <c r="E190" s="707"/>
      <c r="F190" s="707"/>
      <c r="G190" s="707"/>
      <c r="V190" s="661">
        <v>2179</v>
      </c>
      <c r="W190" s="662">
        <f>+SUMIF(SYS_4_3_Digitos!$M$5:$M$1682,BALANCE!V190,SYS_4_3_Digitos!$N$5:$N$1682)</f>
        <v>0</v>
      </c>
      <c r="X190" s="702"/>
      <c r="Z190" s="666"/>
      <c r="AA190" s="661">
        <v>5570</v>
      </c>
      <c r="AB190" s="672">
        <f ca="1">+SUMIF(SYS_4_3_Digitos!$M$5:$M$1682,BALANCE!AA190,SYS_4_3_Digitos!$N$5:$N$1682)</f>
        <v>0</v>
      </c>
    </row>
    <row r="191" spans="5:28" hidden="1">
      <c r="E191" s="707"/>
      <c r="F191" s="707"/>
      <c r="G191" s="707"/>
      <c r="V191" s="661">
        <v>2180</v>
      </c>
      <c r="W191" s="662">
        <f ca="1">+SUMIF(SYS_4_3_Digitos!$M$5:$M$1682,BALANCE!V191,SYS_4_3_Digitos!$N$5:$N$1682)</f>
        <v>85249.7</v>
      </c>
      <c r="X191" s="702"/>
      <c r="Z191" s="666"/>
      <c r="AA191" s="661">
        <v>5571</v>
      </c>
      <c r="AB191" s="672">
        <f>+SUMIF(SYS_4_3_Digitos!$M$5:$M$1682,BALANCE!AA191,SYS_4_3_Digitos!$N$5:$N$1682)</f>
        <v>0</v>
      </c>
    </row>
    <row r="192" spans="5:28" hidden="1">
      <c r="E192" s="707"/>
      <c r="F192" s="707"/>
      <c r="G192" s="707"/>
      <c r="V192" s="661">
        <v>2181</v>
      </c>
      <c r="W192" s="662">
        <f>+SUMIF(SYS_4_3_Digitos!$M$5:$M$1682,BALANCE!V192,SYS_4_3_Digitos!$N$5:$N$1682)</f>
        <v>0</v>
      </c>
      <c r="X192" s="702"/>
      <c r="Z192" s="666"/>
      <c r="AA192" s="661">
        <v>5572</v>
      </c>
      <c r="AB192" s="672">
        <f>+SUMIF(SYS_4_3_Digitos!$M$5:$M$1682,BALANCE!AA192,SYS_4_3_Digitos!$N$5:$N$1682)</f>
        <v>0</v>
      </c>
    </row>
    <row r="193" spans="5:28" hidden="1">
      <c r="E193" s="707"/>
      <c r="F193" s="707"/>
      <c r="G193" s="707"/>
      <c r="V193" s="661">
        <v>2182</v>
      </c>
      <c r="W193" s="662">
        <f>+SUMIF(SYS_4_3_Digitos!$M$5:$M$1682,BALANCE!V193,SYS_4_3_Digitos!$N$5:$N$1682)</f>
        <v>0</v>
      </c>
      <c r="X193" s="702"/>
      <c r="Z193" s="666"/>
      <c r="AA193" s="661">
        <v>5573</v>
      </c>
      <c r="AB193" s="672">
        <f>+SUMIF(SYS_4_3_Digitos!$M$5:$M$1682,BALANCE!AA193,SYS_4_3_Digitos!$N$5:$N$1682)</f>
        <v>0</v>
      </c>
    </row>
    <row r="194" spans="5:28" hidden="1">
      <c r="E194" s="707"/>
      <c r="F194" s="707"/>
      <c r="G194" s="707"/>
      <c r="V194" s="661">
        <v>2183</v>
      </c>
      <c r="W194" s="662">
        <f>+SUMIF(SYS_4_3_Digitos!$M$5:$M$1682,BALANCE!V194,SYS_4_3_Digitos!$N$5:$N$1682)</f>
        <v>0</v>
      </c>
      <c r="X194" s="702"/>
      <c r="Z194" s="666"/>
      <c r="AA194" s="661">
        <v>5574</v>
      </c>
      <c r="AB194" s="672">
        <f>+SUMIF(SYS_4_3_Digitos!$M$5:$M$1682,BALANCE!AA194,SYS_4_3_Digitos!$N$5:$N$1682)</f>
        <v>0</v>
      </c>
    </row>
    <row r="195" spans="5:28" hidden="1">
      <c r="E195" s="707"/>
      <c r="F195" s="707"/>
      <c r="G195" s="707"/>
      <c r="V195" s="661">
        <v>2184</v>
      </c>
      <c r="W195" s="662">
        <f>+SUMIF(SYS_4_3_Digitos!$M$5:$M$1682,BALANCE!V195,SYS_4_3_Digitos!$N$5:$N$1682)</f>
        <v>0</v>
      </c>
      <c r="X195" s="702"/>
      <c r="Z195" s="666"/>
      <c r="AA195" s="661">
        <v>5575</v>
      </c>
      <c r="AB195" s="672">
        <f>+SUMIF(SYS_4_3_Digitos!$M$5:$M$1682,BALANCE!AA195,SYS_4_3_Digitos!$N$5:$N$1682)</f>
        <v>0</v>
      </c>
    </row>
    <row r="196" spans="5:28" hidden="1">
      <c r="E196" s="707"/>
      <c r="F196" s="707"/>
      <c r="G196" s="707"/>
      <c r="V196" s="661">
        <v>2185</v>
      </c>
      <c r="W196" s="662">
        <f>+SUMIF(SYS_4_3_Digitos!$M$5:$M$1682,BALANCE!V196,SYS_4_3_Digitos!$N$5:$N$1682)</f>
        <v>0</v>
      </c>
      <c r="X196" s="702"/>
      <c r="Z196" s="666"/>
      <c r="AA196" s="661">
        <v>5576</v>
      </c>
      <c r="AB196" s="672">
        <f>+SUMIF(SYS_4_3_Digitos!$M$5:$M$1682,BALANCE!AA196,SYS_4_3_Digitos!$N$5:$N$1682)</f>
        <v>0</v>
      </c>
    </row>
    <row r="197" spans="5:28" hidden="1">
      <c r="E197" s="707"/>
      <c r="F197" s="707"/>
      <c r="G197" s="707"/>
      <c r="V197" s="661">
        <v>2186</v>
      </c>
      <c r="W197" s="662">
        <f>+SUMIF(SYS_4_3_Digitos!$M$5:$M$1682,BALANCE!V197,SYS_4_3_Digitos!$N$5:$N$1682)</f>
        <v>0</v>
      </c>
      <c r="X197" s="702"/>
      <c r="Z197" s="666"/>
      <c r="AA197" s="661">
        <v>5577</v>
      </c>
      <c r="AB197" s="672">
        <f>+SUMIF(SYS_4_3_Digitos!$M$5:$M$1682,BALANCE!AA197,SYS_4_3_Digitos!$N$5:$N$1682)</f>
        <v>0</v>
      </c>
    </row>
    <row r="198" spans="5:28" hidden="1">
      <c r="E198" s="707"/>
      <c r="F198" s="707"/>
      <c r="G198" s="707"/>
      <c r="V198" s="661">
        <v>2187</v>
      </c>
      <c r="W198" s="662">
        <f>+SUMIF(SYS_4_3_Digitos!$M$5:$M$1682,BALANCE!V198,SYS_4_3_Digitos!$N$5:$N$1682)</f>
        <v>0</v>
      </c>
      <c r="X198" s="702"/>
      <c r="Z198" s="666"/>
      <c r="AA198" s="661">
        <v>5578</v>
      </c>
      <c r="AB198" s="672">
        <f>+SUMIF(SYS_4_3_Digitos!$M$5:$M$1682,BALANCE!AA198,SYS_4_3_Digitos!$N$5:$N$1682)</f>
        <v>0</v>
      </c>
    </row>
    <row r="199" spans="5:28" hidden="1">
      <c r="E199" s="707"/>
      <c r="F199" s="707"/>
      <c r="G199" s="707"/>
      <c r="V199" s="661">
        <v>2188</v>
      </c>
      <c r="W199" s="662">
        <f>+SUMIF(SYS_4_3_Digitos!$M$5:$M$1682,BALANCE!V199,SYS_4_3_Digitos!$N$5:$N$1682)</f>
        <v>0</v>
      </c>
      <c r="X199" s="702"/>
      <c r="Z199" s="666"/>
      <c r="AA199" s="661">
        <v>5579</v>
      </c>
      <c r="AB199" s="672">
        <f>+SUMIF(SYS_4_3_Digitos!$M$5:$M$1682,BALANCE!AA199,SYS_4_3_Digitos!$N$5:$N$1682)</f>
        <v>0</v>
      </c>
    </row>
    <row r="200" spans="5:28" hidden="1">
      <c r="E200" s="707"/>
      <c r="F200" s="707"/>
      <c r="G200" s="707"/>
      <c r="V200" s="661">
        <v>2189</v>
      </c>
      <c r="W200" s="662">
        <f>+SUMIF(SYS_4_3_Digitos!$M$5:$M$1682,BALANCE!V200,SYS_4_3_Digitos!$N$5:$N$1682)</f>
        <v>0</v>
      </c>
      <c r="X200" s="702"/>
      <c r="Z200" s="713">
        <v>111</v>
      </c>
      <c r="AA200" s="664" t="s">
        <v>70</v>
      </c>
      <c r="AB200" s="642">
        <f ca="1">SUM(AB201:AB210)</f>
        <v>0</v>
      </c>
    </row>
    <row r="201" spans="5:28" hidden="1">
      <c r="E201" s="707"/>
      <c r="F201" s="707"/>
      <c r="G201" s="707"/>
      <c r="V201" s="661">
        <v>2190</v>
      </c>
      <c r="W201" s="662">
        <f ca="1">+SUMIF(SYS_4_3_Digitos!$M$5:$M$1682,BALANCE!V201,SYS_4_3_Digitos!$N$5:$N$1682)</f>
        <v>651219.30999999994</v>
      </c>
      <c r="X201" s="702"/>
      <c r="Z201" s="713"/>
      <c r="AA201" s="661">
        <v>1110</v>
      </c>
      <c r="AB201" s="672">
        <f ca="1">+SUMIF(SYS_4_3_Digitos!$M$5:$M$1682,BALANCE!AA201,SYS_4_3_Digitos!$N$5:$N$1682)</f>
        <v>0</v>
      </c>
    </row>
    <row r="202" spans="5:28" hidden="1">
      <c r="E202" s="707"/>
      <c r="F202" s="707"/>
      <c r="G202" s="707"/>
      <c r="V202" s="661">
        <v>2191</v>
      </c>
      <c r="W202" s="662">
        <f>+SUMIF(SYS_4_3_Digitos!$M$5:$M$1682,BALANCE!V202,SYS_4_3_Digitos!$N$5:$N$1682)</f>
        <v>0</v>
      </c>
      <c r="X202" s="702"/>
      <c r="Z202" s="713"/>
      <c r="AA202" s="661">
        <v>1111</v>
      </c>
      <c r="AB202" s="672">
        <f>+SUMIF(SYS_4_3_Digitos!$M$5:$M$1682,BALANCE!AA202,SYS_4_3_Digitos!$N$5:$N$1682)</f>
        <v>0</v>
      </c>
    </row>
    <row r="203" spans="5:28" hidden="1">
      <c r="E203" s="707"/>
      <c r="F203" s="707"/>
      <c r="G203" s="707"/>
      <c r="V203" s="661">
        <v>2192</v>
      </c>
      <c r="W203" s="662">
        <f>+SUMIF(SYS_4_3_Digitos!$M$5:$M$1682,BALANCE!V203,SYS_4_3_Digitos!$N$5:$N$1682)</f>
        <v>0</v>
      </c>
      <c r="X203" s="702"/>
      <c r="Z203" s="713"/>
      <c r="AA203" s="661">
        <v>1112</v>
      </c>
      <c r="AB203" s="672">
        <f>+SUMIF(SYS_4_3_Digitos!$M$5:$M$1682,BALANCE!AA203,SYS_4_3_Digitos!$N$5:$N$1682)</f>
        <v>0</v>
      </c>
    </row>
    <row r="204" spans="5:28" hidden="1">
      <c r="E204" s="707"/>
      <c r="F204" s="707"/>
      <c r="G204" s="707"/>
      <c r="V204" s="661">
        <v>2193</v>
      </c>
      <c r="W204" s="662">
        <f>+SUMIF(SYS_4_3_Digitos!$M$5:$M$1682,BALANCE!V204,SYS_4_3_Digitos!$N$5:$N$1682)</f>
        <v>0</v>
      </c>
      <c r="X204" s="702"/>
      <c r="Z204" s="713"/>
      <c r="AA204" s="661">
        <v>1113</v>
      </c>
      <c r="AB204" s="672">
        <f>+SUMIF(SYS_4_3_Digitos!$M$5:$M$1682,BALANCE!AA204,SYS_4_3_Digitos!$N$5:$N$1682)</f>
        <v>0</v>
      </c>
    </row>
    <row r="205" spans="5:28" hidden="1">
      <c r="E205" s="707"/>
      <c r="F205" s="707"/>
      <c r="G205" s="707"/>
      <c r="V205" s="661">
        <v>2194</v>
      </c>
      <c r="W205" s="662">
        <f>+SUMIF(SYS_4_3_Digitos!$M$5:$M$1682,BALANCE!V205,SYS_4_3_Digitos!$N$5:$N$1682)</f>
        <v>0</v>
      </c>
      <c r="X205" s="702"/>
      <c r="Z205" s="713"/>
      <c r="AA205" s="661">
        <v>1114</v>
      </c>
      <c r="AB205" s="672">
        <f>+SUMIF(SYS_4_3_Digitos!$M$5:$M$1682,BALANCE!AA205,SYS_4_3_Digitos!$N$5:$N$1682)</f>
        <v>0</v>
      </c>
    </row>
    <row r="206" spans="5:28" hidden="1">
      <c r="E206" s="707"/>
      <c r="F206" s="707"/>
      <c r="G206" s="707"/>
      <c r="V206" s="661">
        <v>2195</v>
      </c>
      <c r="W206" s="662">
        <f>+SUMIF(SYS_4_3_Digitos!$M$5:$M$1682,BALANCE!V206,SYS_4_3_Digitos!$N$5:$N$1682)</f>
        <v>0</v>
      </c>
      <c r="X206" s="702"/>
      <c r="Z206" s="713"/>
      <c r="AA206" s="661">
        <v>1115</v>
      </c>
      <c r="AB206" s="672">
        <f>+SUMIF(SYS_4_3_Digitos!$M$5:$M$1682,BALANCE!AA206,SYS_4_3_Digitos!$N$5:$N$1682)</f>
        <v>0</v>
      </c>
    </row>
    <row r="207" spans="5:28" hidden="1">
      <c r="E207" s="707"/>
      <c r="F207" s="707"/>
      <c r="G207" s="707"/>
      <c r="V207" s="661">
        <v>2196</v>
      </c>
      <c r="W207" s="662">
        <f>+SUMIF(SYS_4_3_Digitos!$M$5:$M$1682,BALANCE!V207,SYS_4_3_Digitos!$N$5:$N$1682)</f>
        <v>0</v>
      </c>
      <c r="X207" s="702"/>
      <c r="Z207" s="713"/>
      <c r="AA207" s="661">
        <v>1116</v>
      </c>
      <c r="AB207" s="672">
        <f>+SUMIF(SYS_4_3_Digitos!$M$5:$M$1682,BALANCE!AA207,SYS_4_3_Digitos!$N$5:$N$1682)</f>
        <v>0</v>
      </c>
    </row>
    <row r="208" spans="5:28" hidden="1">
      <c r="E208" s="707"/>
      <c r="F208" s="707"/>
      <c r="G208" s="707"/>
      <c r="V208" s="661">
        <v>2197</v>
      </c>
      <c r="W208" s="662">
        <f>+SUMIF(SYS_4_3_Digitos!$M$5:$M$1682,BALANCE!V208,SYS_4_3_Digitos!$N$5:$N$1682)</f>
        <v>0</v>
      </c>
      <c r="X208" s="702"/>
      <c r="Z208" s="713"/>
      <c r="AA208" s="661">
        <v>1117</v>
      </c>
      <c r="AB208" s="672">
        <f>+SUMIF(SYS_4_3_Digitos!$M$5:$M$1682,BALANCE!AA208,SYS_4_3_Digitos!$N$5:$N$1682)</f>
        <v>0</v>
      </c>
    </row>
    <row r="209" spans="5:28" hidden="1">
      <c r="E209" s="707"/>
      <c r="F209" s="707"/>
      <c r="G209" s="707"/>
      <c r="V209" s="661">
        <v>2198</v>
      </c>
      <c r="W209" s="662">
        <f>+SUMIF(SYS_4_3_Digitos!$M$5:$M$1682,BALANCE!V209,SYS_4_3_Digitos!$N$5:$N$1682)</f>
        <v>0</v>
      </c>
      <c r="X209" s="702"/>
      <c r="Z209" s="713"/>
      <c r="AA209" s="661">
        <v>1118</v>
      </c>
      <c r="AB209" s="672">
        <f>+SUMIF(SYS_4_3_Digitos!$M$5:$M$1682,BALANCE!AA209,SYS_4_3_Digitos!$N$5:$N$1682)</f>
        <v>0</v>
      </c>
    </row>
    <row r="210" spans="5:28" hidden="1">
      <c r="E210" s="707"/>
      <c r="F210" s="707"/>
      <c r="G210" s="707"/>
      <c r="V210" s="661">
        <v>2199</v>
      </c>
      <c r="W210" s="662">
        <f>+SUMIF(SYS_4_3_Digitos!$M$5:$M$1682,BALANCE!V210,SYS_4_3_Digitos!$N$5:$N$1682)</f>
        <v>0</v>
      </c>
      <c r="X210" s="699"/>
      <c r="AA210" s="661">
        <v>1119</v>
      </c>
      <c r="AB210" s="672">
        <f>+SUMIF(SYS_4_3_Digitos!$M$5:$M$1682,BALANCE!AA210,SYS_4_3_Digitos!$N$5:$N$1682)</f>
        <v>0</v>
      </c>
    </row>
    <row r="211" spans="5:28" hidden="1">
      <c r="E211" s="707"/>
      <c r="F211" s="707"/>
      <c r="G211" s="707"/>
      <c r="V211" s="661">
        <v>2812</v>
      </c>
      <c r="W211" s="662">
        <f ca="1">+SUMIF(SYS_4_3_Digitos!$M$5:$M$1682,BALANCE!V211,SYS_4_3_Digitos!$N$5:$N$1682)</f>
        <v>-17859712.620000001</v>
      </c>
      <c r="X211" s="699"/>
      <c r="AA211" s="664"/>
      <c r="AB211" s="714"/>
    </row>
    <row r="212" spans="5:28" hidden="1">
      <c r="V212" s="661">
        <v>2813</v>
      </c>
      <c r="W212" s="662">
        <f ca="1">+SUMIF(SYS_4_3_Digitos!$M$5:$M$1682,BALANCE!V212,SYS_4_3_Digitos!$N$5:$N$1682)</f>
        <v>-946983.86</v>
      </c>
      <c r="X212" s="699"/>
      <c r="AA212" s="656" t="s">
        <v>71</v>
      </c>
      <c r="AB212" s="657"/>
    </row>
    <row r="213" spans="5:28" hidden="1">
      <c r="V213" s="661">
        <v>2814</v>
      </c>
      <c r="W213" s="662">
        <f ca="1">+SUMIF(SYS_4_3_Digitos!$M$5:$M$1682,BALANCE!V213,SYS_4_3_Digitos!$N$5:$N$1682)</f>
        <v>-10306.1</v>
      </c>
      <c r="X213" s="699"/>
      <c r="Z213" s="666">
        <v>133</v>
      </c>
      <c r="AA213" s="664" t="s">
        <v>72</v>
      </c>
      <c r="AB213" s="642">
        <f ca="1">SUM(AB214:AB223)</f>
        <v>-23713691.499999996</v>
      </c>
    </row>
    <row r="214" spans="5:28" hidden="1">
      <c r="V214" s="661">
        <v>2815</v>
      </c>
      <c r="W214" s="662">
        <f ca="1">+SUMIF(SYS_4_3_Digitos!$M$5:$M$1682,BALANCE!V214,SYS_4_3_Digitos!$N$5:$N$1682)</f>
        <v>-1078807.1499999999</v>
      </c>
      <c r="X214" s="699"/>
      <c r="Z214" s="666"/>
      <c r="AA214" s="661">
        <v>1330</v>
      </c>
      <c r="AB214" s="672">
        <f ca="1">+SUMIF(SYS_4_3_Digitos!$M$5:$M$1682,BALANCE!AA214,SYS_4_3_Digitos!$N$5:$N$1682)</f>
        <v>-23713691.499999996</v>
      </c>
    </row>
    <row r="215" spans="5:28" hidden="1">
      <c r="V215" s="661">
        <v>2816</v>
      </c>
      <c r="W215" s="662">
        <f ca="1">+SUMIF(SYS_4_3_Digitos!$M$5:$M$1682,BALANCE!V215,SYS_4_3_Digitos!$N$5:$N$1682)</f>
        <v>-87249.42</v>
      </c>
      <c r="X215" s="699"/>
      <c r="Z215" s="666"/>
      <c r="AA215" s="661">
        <v>1331</v>
      </c>
      <c r="AB215" s="672">
        <f>+SUMIF(SYS_4_3_Digitos!$M$5:$M$1682,BALANCE!AA215,SYS_4_3_Digitos!$N$5:$N$1682)</f>
        <v>0</v>
      </c>
    </row>
    <row r="216" spans="5:28" hidden="1">
      <c r="V216" s="661">
        <v>2817</v>
      </c>
      <c r="W216" s="662">
        <f ca="1">+SUMIF(SYS_4_3_Digitos!$M$5:$M$1682,BALANCE!V216,SYS_4_3_Digitos!$N$5:$N$1682)</f>
        <v>-46638.74</v>
      </c>
      <c r="X216" s="702"/>
      <c r="Z216" s="666"/>
      <c r="AA216" s="661">
        <v>1332</v>
      </c>
      <c r="AB216" s="672">
        <f>+SUMIF(SYS_4_3_Digitos!$M$5:$M$1682,BALANCE!AA216,SYS_4_3_Digitos!$N$5:$N$1682)</f>
        <v>0</v>
      </c>
    </row>
    <row r="217" spans="5:28" hidden="1">
      <c r="V217" s="661">
        <v>2818</v>
      </c>
      <c r="W217" s="662">
        <f ca="1">+SUMIF(SYS_4_3_Digitos!$M$5:$M$1682,BALANCE!V217,SYS_4_3_Digitos!$N$5:$N$1682)</f>
        <v>-85249.7</v>
      </c>
      <c r="X217" s="702"/>
      <c r="Z217" s="666"/>
      <c r="AA217" s="661">
        <v>1333</v>
      </c>
      <c r="AB217" s="672">
        <f>+SUMIF(SYS_4_3_Digitos!$M$5:$M$1682,BALANCE!AA217,SYS_4_3_Digitos!$N$5:$N$1682)</f>
        <v>0</v>
      </c>
    </row>
    <row r="218" spans="5:28" hidden="1">
      <c r="V218" s="661">
        <v>2819</v>
      </c>
      <c r="W218" s="662">
        <f ca="1">+SUMIF(SYS_4_3_Digitos!$M$5:$M$1682,BALANCE!V218,SYS_4_3_Digitos!$N$5:$N$1682)</f>
        <v>-510483.56999999995</v>
      </c>
      <c r="X218" s="702"/>
      <c r="Z218" s="666"/>
      <c r="AA218" s="661">
        <v>1334</v>
      </c>
      <c r="AB218" s="672">
        <f>+SUMIF(SYS_4_3_Digitos!$M$5:$M$1682,BALANCE!AA218,SYS_4_3_Digitos!$N$5:$N$1682)</f>
        <v>0</v>
      </c>
    </row>
    <row r="219" spans="5:28" hidden="1">
      <c r="V219" s="661">
        <v>2912</v>
      </c>
      <c r="W219" s="662">
        <f>+SUMIF(SYS_4_3_Digitos!$M$5:$M$1682,BALANCE!V219,SYS_4_3_Digitos!$N$5:$N$1682)</f>
        <v>0</v>
      </c>
      <c r="X219" s="702"/>
      <c r="Z219" s="666"/>
      <c r="AA219" s="661">
        <v>1335</v>
      </c>
      <c r="AB219" s="672">
        <f>+SUMIF(SYS_4_3_Digitos!$M$5:$M$1682,BALANCE!AA219,SYS_4_3_Digitos!$N$5:$N$1682)</f>
        <v>0</v>
      </c>
    </row>
    <row r="220" spans="5:28" hidden="1">
      <c r="V220" s="661">
        <v>2913</v>
      </c>
      <c r="W220" s="662">
        <f>+SUMIF(SYS_4_3_Digitos!$M$5:$M$1682,BALANCE!V220,SYS_4_3_Digitos!$N$5:$N$1682)</f>
        <v>0</v>
      </c>
      <c r="X220" s="702"/>
      <c r="Z220" s="666"/>
      <c r="AA220" s="661">
        <v>1336</v>
      </c>
      <c r="AB220" s="672">
        <f>+SUMIF(SYS_4_3_Digitos!$M$5:$M$1682,BALANCE!AA220,SYS_4_3_Digitos!$N$5:$N$1682)</f>
        <v>0</v>
      </c>
    </row>
    <row r="221" spans="5:28" hidden="1">
      <c r="V221" s="661">
        <v>2914</v>
      </c>
      <c r="W221" s="662">
        <f>+SUMIF(SYS_4_3_Digitos!$M$5:$M$1682,BALANCE!V221,SYS_4_3_Digitos!$N$5:$N$1682)</f>
        <v>0</v>
      </c>
      <c r="X221" s="699"/>
      <c r="Z221" s="666"/>
      <c r="AA221" s="661">
        <v>1337</v>
      </c>
      <c r="AB221" s="672">
        <f>+SUMIF(SYS_4_3_Digitos!$M$5:$M$1682,BALANCE!AA221,SYS_4_3_Digitos!$N$5:$N$1682)</f>
        <v>0</v>
      </c>
    </row>
    <row r="222" spans="5:28" hidden="1">
      <c r="V222" s="661">
        <v>2915</v>
      </c>
      <c r="W222" s="662">
        <f>+SUMIF(SYS_4_3_Digitos!$M$5:$M$1682,BALANCE!V222,SYS_4_3_Digitos!$N$5:$N$1682)</f>
        <v>0</v>
      </c>
      <c r="X222" s="702"/>
      <c r="Z222" s="666"/>
      <c r="AA222" s="661">
        <v>1338</v>
      </c>
      <c r="AB222" s="672">
        <f>+SUMIF(SYS_4_3_Digitos!$M$5:$M$1682,BALANCE!AA222,SYS_4_3_Digitos!$N$5:$N$1682)</f>
        <v>0</v>
      </c>
    </row>
    <row r="223" spans="5:28" hidden="1">
      <c r="V223" s="661">
        <v>2916</v>
      </c>
      <c r="W223" s="662">
        <f>+SUMIF(SYS_4_3_Digitos!$M$5:$M$1682,BALANCE!V223,SYS_4_3_Digitos!$N$5:$N$1682)</f>
        <v>0</v>
      </c>
      <c r="X223" s="702"/>
      <c r="Z223" s="666"/>
      <c r="AA223" s="661">
        <v>1339</v>
      </c>
      <c r="AB223" s="672">
        <f>+SUMIF(SYS_4_3_Digitos!$M$5:$M$1682,BALANCE!AA223,SYS_4_3_Digitos!$N$5:$N$1682)</f>
        <v>0</v>
      </c>
    </row>
    <row r="224" spans="5:28" hidden="1">
      <c r="V224" s="661">
        <v>2917</v>
      </c>
      <c r="W224" s="662">
        <f>+SUMIF(SYS_4_3_Digitos!$M$5:$M$1682,BALANCE!V224,SYS_4_3_Digitos!$N$5:$N$1682)</f>
        <v>0</v>
      </c>
      <c r="X224" s="702"/>
      <c r="Z224" s="666">
        <v>1340</v>
      </c>
      <c r="AA224" s="664" t="s">
        <v>73</v>
      </c>
      <c r="AB224" s="642">
        <f ca="1">+AB225</f>
        <v>0</v>
      </c>
    </row>
    <row r="225" spans="21:28" hidden="1">
      <c r="V225" s="661">
        <v>2918</v>
      </c>
      <c r="W225" s="662">
        <f>+SUMIF(SYS_4_3_Digitos!$M$5:$M$1682,BALANCE!V225,SYS_4_3_Digitos!$N$5:$N$1682)</f>
        <v>0</v>
      </c>
      <c r="X225" s="702"/>
      <c r="Z225" s="666"/>
      <c r="AA225" s="661">
        <v>1340</v>
      </c>
      <c r="AB225" s="672">
        <f ca="1">+SUMIF(SYS_4_3_Digitos!$M$5:$M$1682,BALANCE!AA225,SYS_4_3_Digitos!$N$5:$N$1682)</f>
        <v>0</v>
      </c>
    </row>
    <row r="226" spans="21:28" hidden="1">
      <c r="U226" s="715">
        <v>23</v>
      </c>
      <c r="V226" s="661">
        <v>2919</v>
      </c>
      <c r="W226" s="662">
        <f>+SUMIF(SYS_4_3_Digitos!$M$5:$M$1682,BALANCE!V226,SYS_4_3_Digitos!$N$5:$N$1682)</f>
        <v>0</v>
      </c>
      <c r="X226" s="702"/>
      <c r="Z226" s="666">
        <v>137</v>
      </c>
      <c r="AA226" s="664" t="s">
        <v>74</v>
      </c>
      <c r="AB226" s="642">
        <f ca="1">SUM(AB227:AB236)</f>
        <v>0</v>
      </c>
    </row>
    <row r="227" spans="21:28" hidden="1">
      <c r="V227" s="653" t="s">
        <v>15</v>
      </c>
      <c r="W227" s="654">
        <f ca="1">SUM(W228:W327)</f>
        <v>0</v>
      </c>
      <c r="X227" s="702"/>
      <c r="Z227" s="666"/>
      <c r="AA227" s="661">
        <v>1370</v>
      </c>
      <c r="AB227" s="672">
        <f ca="1">+SUMIF(SYS_4_3_Digitos!$M$5:$M$1682,BALANCE!AA227,SYS_4_3_Digitos!$N$5:$N$1682)</f>
        <v>0</v>
      </c>
    </row>
    <row r="228" spans="21:28" hidden="1">
      <c r="V228" s="661">
        <v>2300</v>
      </c>
      <c r="W228" s="662">
        <f ca="1">+SUMIF(SYS_4_3_Digitos!$M$5:$M$1682,BALANCE!V228,SYS_4_3_Digitos!$N$5:$N$1682)</f>
        <v>0</v>
      </c>
      <c r="X228" s="702"/>
      <c r="Z228" s="666"/>
      <c r="AA228" s="661">
        <v>1371</v>
      </c>
      <c r="AB228" s="672">
        <f>+SUMIF(SYS_4_3_Digitos!$M$5:$M$1682,BALANCE!AA228,SYS_4_3_Digitos!$N$5:$N$1682)</f>
        <v>0</v>
      </c>
    </row>
    <row r="229" spans="21:28" hidden="1">
      <c r="V229" s="661">
        <v>2301</v>
      </c>
      <c r="W229" s="662">
        <f>+SUMIF(SYS_4_3_Digitos!$M$5:$M$1682,BALANCE!V229,SYS_4_3_Digitos!$N$5:$N$1682)</f>
        <v>0</v>
      </c>
      <c r="X229" s="702"/>
      <c r="Z229" s="666"/>
      <c r="AA229" s="661">
        <v>1372</v>
      </c>
      <c r="AB229" s="672">
        <f>+SUMIF(SYS_4_3_Digitos!$M$5:$M$1682,BALANCE!AA229,SYS_4_3_Digitos!$N$5:$N$1682)</f>
        <v>0</v>
      </c>
    </row>
    <row r="230" spans="21:28" hidden="1">
      <c r="V230" s="661">
        <v>2302</v>
      </c>
      <c r="W230" s="662">
        <f>+SUMIF(SYS_4_3_Digitos!$M$5:$M$1682,BALANCE!V230,SYS_4_3_Digitos!$N$5:$N$1682)</f>
        <v>0</v>
      </c>
      <c r="X230" s="702"/>
      <c r="Z230" s="666"/>
      <c r="AA230" s="661">
        <v>1373</v>
      </c>
      <c r="AB230" s="672">
        <f>+SUMIF(SYS_4_3_Digitos!$M$5:$M$1682,BALANCE!AA230,SYS_4_3_Digitos!$N$5:$N$1682)</f>
        <v>0</v>
      </c>
    </row>
    <row r="231" spans="21:28" hidden="1">
      <c r="V231" s="661">
        <v>2303</v>
      </c>
      <c r="W231" s="662">
        <f>+SUMIF(SYS_4_3_Digitos!$M$5:$M$1682,BALANCE!V231,SYS_4_3_Digitos!$N$5:$N$1682)</f>
        <v>0</v>
      </c>
      <c r="X231" s="702"/>
      <c r="Z231" s="666"/>
      <c r="AA231" s="661">
        <v>1374</v>
      </c>
      <c r="AB231" s="672">
        <f>+SUMIF(SYS_4_3_Digitos!$M$5:$M$1682,BALANCE!AA231,SYS_4_3_Digitos!$N$5:$N$1682)</f>
        <v>0</v>
      </c>
    </row>
    <row r="232" spans="21:28" hidden="1">
      <c r="V232" s="661">
        <v>2304</v>
      </c>
      <c r="W232" s="662">
        <f>+SUMIF(SYS_4_3_Digitos!$M$5:$M$1682,BALANCE!V232,SYS_4_3_Digitos!$N$5:$N$1682)</f>
        <v>0</v>
      </c>
      <c r="X232" s="702"/>
      <c r="Z232" s="666"/>
      <c r="AA232" s="661">
        <v>1375</v>
      </c>
      <c r="AB232" s="672">
        <f>+SUMIF(SYS_4_3_Digitos!$M$5:$M$1682,BALANCE!AA232,SYS_4_3_Digitos!$N$5:$N$1682)</f>
        <v>0</v>
      </c>
    </row>
    <row r="233" spans="21:28" hidden="1">
      <c r="V233" s="661">
        <v>2305</v>
      </c>
      <c r="W233" s="662">
        <f>+SUMIF(SYS_4_3_Digitos!$M$5:$M$1682,BALANCE!V233,SYS_4_3_Digitos!$N$5:$N$1682)</f>
        <v>0</v>
      </c>
      <c r="X233" s="702"/>
      <c r="Z233" s="666"/>
      <c r="AA233" s="661">
        <v>1376</v>
      </c>
      <c r="AB233" s="672">
        <f>+SUMIF(SYS_4_3_Digitos!$M$5:$M$1682,BALANCE!AA233,SYS_4_3_Digitos!$N$5:$N$1682)</f>
        <v>0</v>
      </c>
    </row>
    <row r="234" spans="21:28" hidden="1">
      <c r="V234" s="661">
        <v>2306</v>
      </c>
      <c r="W234" s="662">
        <f>+SUMIF(SYS_4_3_Digitos!$M$5:$M$1682,BALANCE!V234,SYS_4_3_Digitos!$N$5:$N$1682)</f>
        <v>0</v>
      </c>
      <c r="X234" s="702"/>
      <c r="Z234" s="666"/>
      <c r="AA234" s="661">
        <v>1377</v>
      </c>
      <c r="AB234" s="672">
        <f>+SUMIF(SYS_4_3_Digitos!$M$5:$M$1682,BALANCE!AA234,SYS_4_3_Digitos!$N$5:$N$1682)</f>
        <v>0</v>
      </c>
    </row>
    <row r="235" spans="21:28" hidden="1">
      <c r="V235" s="661">
        <v>2307</v>
      </c>
      <c r="W235" s="662">
        <f>+SUMIF(SYS_4_3_Digitos!$M$5:$M$1682,BALANCE!V235,SYS_4_3_Digitos!$N$5:$N$1682)</f>
        <v>0</v>
      </c>
      <c r="X235" s="702"/>
      <c r="Z235" s="666"/>
      <c r="AA235" s="661">
        <v>1378</v>
      </c>
      <c r="AB235" s="672">
        <f>+SUMIF(SYS_4_3_Digitos!$M$5:$M$1682,BALANCE!AA235,SYS_4_3_Digitos!$N$5:$N$1682)</f>
        <v>0</v>
      </c>
    </row>
    <row r="236" spans="21:28" hidden="1">
      <c r="V236" s="661">
        <v>2308</v>
      </c>
      <c r="W236" s="662">
        <f>+SUMIF(SYS_4_3_Digitos!$M$5:$M$1682,BALANCE!V236,SYS_4_3_Digitos!$N$5:$N$1682)</f>
        <v>0</v>
      </c>
      <c r="X236" s="702"/>
      <c r="Z236" s="666"/>
      <c r="AA236" s="661">
        <v>1379</v>
      </c>
      <c r="AB236" s="672">
        <f>+SUMIF(SYS_4_3_Digitos!$M$5:$M$1682,BALANCE!AA236,SYS_4_3_Digitos!$N$5:$N$1682)</f>
        <v>0</v>
      </c>
    </row>
    <row r="237" spans="21:28" hidden="1">
      <c r="V237" s="661">
        <v>2309</v>
      </c>
      <c r="W237" s="662">
        <f>+SUMIF(SYS_4_3_Digitos!$M$5:$M$1682,BALANCE!V237,SYS_4_3_Digitos!$N$5:$N$1682)</f>
        <v>0</v>
      </c>
      <c r="X237" s="702"/>
      <c r="Z237" s="666" t="s">
        <v>149</v>
      </c>
      <c r="AA237" s="656" t="s">
        <v>75</v>
      </c>
      <c r="AB237" s="657">
        <f ca="1">SUM(AB238:AB267)</f>
        <v>-34973.649999999994</v>
      </c>
    </row>
    <row r="238" spans="21:28" hidden="1">
      <c r="V238" s="661">
        <v>2310</v>
      </c>
      <c r="W238" s="662">
        <f ca="1">+SUMIF(SYS_4_3_Digitos!$M$5:$M$1682,BALANCE!V238,SYS_4_3_Digitos!$N$5:$N$1682)</f>
        <v>0</v>
      </c>
      <c r="X238" s="702"/>
      <c r="AA238" s="661">
        <v>1300</v>
      </c>
      <c r="AB238" s="672">
        <f ca="1">+SUMIF(SYS_4_3_Digitos!$M$5:$M$1682,BALANCE!AA238,SYS_4_3_Digitos!$N$5:$N$1682)</f>
        <v>-34973.649999999994</v>
      </c>
    </row>
    <row r="239" spans="21:28" hidden="1">
      <c r="V239" s="661">
        <v>2311</v>
      </c>
      <c r="W239" s="662">
        <f>+SUMIF(SYS_4_3_Digitos!$M$5:$M$1682,BALANCE!V239,SYS_4_3_Digitos!$N$5:$N$1682)</f>
        <v>0</v>
      </c>
      <c r="X239" s="702"/>
      <c r="AA239" s="661">
        <v>1301</v>
      </c>
      <c r="AB239" s="672">
        <f>+SUMIF(SYS_4_3_Digitos!$M$5:$M$1682,BALANCE!AA239,SYS_4_3_Digitos!$N$5:$N$1682)</f>
        <v>0</v>
      </c>
    </row>
    <row r="240" spans="21:28" hidden="1">
      <c r="V240" s="661">
        <v>2312</v>
      </c>
      <c r="W240" s="662">
        <f>+SUMIF(SYS_4_3_Digitos!$M$5:$M$1682,BALANCE!V240,SYS_4_3_Digitos!$N$5:$N$1682)</f>
        <v>0</v>
      </c>
      <c r="X240" s="702"/>
      <c r="AA240" s="661">
        <v>1302</v>
      </c>
      <c r="AB240" s="672">
        <f>+SUMIF(SYS_4_3_Digitos!$M$5:$M$1682,BALANCE!AA240,SYS_4_3_Digitos!$N$5:$N$1682)</f>
        <v>0</v>
      </c>
    </row>
    <row r="241" spans="22:28" hidden="1">
      <c r="V241" s="661">
        <v>2313</v>
      </c>
      <c r="W241" s="662">
        <f>+SUMIF(SYS_4_3_Digitos!$M$5:$M$1682,BALANCE!V241,SYS_4_3_Digitos!$N$5:$N$1682)</f>
        <v>0</v>
      </c>
      <c r="X241" s="702"/>
      <c r="AA241" s="661">
        <v>1303</v>
      </c>
      <c r="AB241" s="672">
        <f>+SUMIF(SYS_4_3_Digitos!$M$5:$M$1682,BALANCE!AA241,SYS_4_3_Digitos!$N$5:$N$1682)</f>
        <v>0</v>
      </c>
    </row>
    <row r="242" spans="22:28" hidden="1">
      <c r="V242" s="661">
        <v>2314</v>
      </c>
      <c r="W242" s="662">
        <f>+SUMIF(SYS_4_3_Digitos!$M$5:$M$1682,BALANCE!V242,SYS_4_3_Digitos!$N$5:$N$1682)</f>
        <v>0</v>
      </c>
      <c r="X242" s="702"/>
      <c r="AA242" s="661">
        <v>1304</v>
      </c>
      <c r="AB242" s="672">
        <f>+SUMIF(SYS_4_3_Digitos!$M$5:$M$1682,BALANCE!AA242,SYS_4_3_Digitos!$N$5:$N$1682)</f>
        <v>0</v>
      </c>
    </row>
    <row r="243" spans="22:28" hidden="1">
      <c r="V243" s="661">
        <v>2315</v>
      </c>
      <c r="W243" s="662">
        <f>+SUMIF(SYS_4_3_Digitos!$M$5:$M$1682,BALANCE!V243,SYS_4_3_Digitos!$N$5:$N$1682)</f>
        <v>0</v>
      </c>
      <c r="X243" s="702"/>
      <c r="AA243" s="661">
        <v>1305</v>
      </c>
      <c r="AB243" s="672">
        <f>+SUMIF(SYS_4_3_Digitos!$M$5:$M$1682,BALANCE!AA243,SYS_4_3_Digitos!$N$5:$N$1682)</f>
        <v>0</v>
      </c>
    </row>
    <row r="244" spans="22:28" hidden="1">
      <c r="V244" s="661">
        <v>2316</v>
      </c>
      <c r="W244" s="662">
        <f>+SUMIF(SYS_4_3_Digitos!$M$5:$M$1682,BALANCE!V244,SYS_4_3_Digitos!$N$5:$N$1682)</f>
        <v>0</v>
      </c>
      <c r="X244" s="702"/>
      <c r="AA244" s="661">
        <v>1306</v>
      </c>
      <c r="AB244" s="672">
        <f>+SUMIF(SYS_4_3_Digitos!$M$5:$M$1682,BALANCE!AA244,SYS_4_3_Digitos!$N$5:$N$1682)</f>
        <v>0</v>
      </c>
    </row>
    <row r="245" spans="22:28" hidden="1">
      <c r="V245" s="661">
        <v>2317</v>
      </c>
      <c r="W245" s="662">
        <f>+SUMIF(SYS_4_3_Digitos!$M$5:$M$1682,BALANCE!V245,SYS_4_3_Digitos!$N$5:$N$1682)</f>
        <v>0</v>
      </c>
      <c r="X245" s="702"/>
      <c r="AA245" s="661">
        <v>1307</v>
      </c>
      <c r="AB245" s="672">
        <f>+SUMIF(SYS_4_3_Digitos!$M$5:$M$1682,BALANCE!AA245,SYS_4_3_Digitos!$N$5:$N$1682)</f>
        <v>0</v>
      </c>
    </row>
    <row r="246" spans="22:28" hidden="1">
      <c r="V246" s="661">
        <v>2318</v>
      </c>
      <c r="W246" s="662">
        <f>+SUMIF(SYS_4_3_Digitos!$M$5:$M$1682,BALANCE!V246,SYS_4_3_Digitos!$N$5:$N$1682)</f>
        <v>0</v>
      </c>
      <c r="X246" s="702"/>
      <c r="AA246" s="661">
        <v>1308</v>
      </c>
      <c r="AB246" s="672">
        <f>+SUMIF(SYS_4_3_Digitos!$M$5:$M$1682,BALANCE!AA246,SYS_4_3_Digitos!$N$5:$N$1682)</f>
        <v>0</v>
      </c>
    </row>
    <row r="247" spans="22:28" hidden="1">
      <c r="V247" s="661">
        <v>2319</v>
      </c>
      <c r="W247" s="662">
        <f>+SUMIF(SYS_4_3_Digitos!$M$5:$M$1682,BALANCE!V247,SYS_4_3_Digitos!$N$5:$N$1682)</f>
        <v>0</v>
      </c>
      <c r="X247" s="702"/>
      <c r="AA247" s="661">
        <v>1309</v>
      </c>
      <c r="AB247" s="672">
        <f>+SUMIF(SYS_4_3_Digitos!$M$5:$M$1682,BALANCE!AA247,SYS_4_3_Digitos!$N$5:$N$1682)</f>
        <v>0</v>
      </c>
    </row>
    <row r="248" spans="22:28" hidden="1">
      <c r="V248" s="661">
        <v>2320</v>
      </c>
      <c r="W248" s="662">
        <f ca="1">+SUMIF(SYS_4_3_Digitos!$M$5:$M$1682,BALANCE!V248,SYS_4_3_Digitos!$N$5:$N$1682)</f>
        <v>0</v>
      </c>
      <c r="X248" s="702"/>
      <c r="AA248" s="661">
        <v>1310</v>
      </c>
      <c r="AB248" s="672">
        <f ca="1">+SUMIF(SYS_4_3_Digitos!$M$5:$M$1682,BALANCE!AA248,SYS_4_3_Digitos!$N$5:$N$1682)</f>
        <v>0</v>
      </c>
    </row>
    <row r="249" spans="22:28" hidden="1">
      <c r="V249" s="661">
        <v>2321</v>
      </c>
      <c r="W249" s="662">
        <f>+SUMIF(SYS_4_3_Digitos!$M$5:$M$1682,BALANCE!V249,SYS_4_3_Digitos!$N$5:$N$1682)</f>
        <v>0</v>
      </c>
      <c r="X249" s="702"/>
      <c r="AA249" s="661">
        <v>1311</v>
      </c>
      <c r="AB249" s="672">
        <f>+SUMIF(SYS_4_3_Digitos!$M$5:$M$1682,BALANCE!AA249,SYS_4_3_Digitos!$N$5:$N$1682)</f>
        <v>0</v>
      </c>
    </row>
    <row r="250" spans="22:28" hidden="1">
      <c r="V250" s="661">
        <v>2322</v>
      </c>
      <c r="W250" s="662">
        <f>+SUMIF(SYS_4_3_Digitos!$M$5:$M$1682,BALANCE!V250,SYS_4_3_Digitos!$N$5:$N$1682)</f>
        <v>0</v>
      </c>
      <c r="X250" s="702"/>
      <c r="AA250" s="661">
        <v>1312</v>
      </c>
      <c r="AB250" s="672">
        <f>+SUMIF(SYS_4_3_Digitos!$M$5:$M$1682,BALANCE!AA250,SYS_4_3_Digitos!$N$5:$N$1682)</f>
        <v>0</v>
      </c>
    </row>
    <row r="251" spans="22:28" hidden="1">
      <c r="V251" s="661">
        <v>2323</v>
      </c>
      <c r="W251" s="662">
        <f>+SUMIF(SYS_4_3_Digitos!$M$5:$M$1682,BALANCE!V251,SYS_4_3_Digitos!$N$5:$N$1682)</f>
        <v>0</v>
      </c>
      <c r="X251" s="702"/>
      <c r="AA251" s="661">
        <v>1313</v>
      </c>
      <c r="AB251" s="672">
        <f>+SUMIF(SYS_4_3_Digitos!$M$5:$M$1682,BALANCE!AA251,SYS_4_3_Digitos!$N$5:$N$1682)</f>
        <v>0</v>
      </c>
    </row>
    <row r="252" spans="22:28" hidden="1">
      <c r="V252" s="661">
        <v>2324</v>
      </c>
      <c r="W252" s="662">
        <f>+SUMIF(SYS_4_3_Digitos!$M$5:$M$1682,BALANCE!V252,SYS_4_3_Digitos!$N$5:$N$1682)</f>
        <v>0</v>
      </c>
      <c r="X252" s="702"/>
      <c r="AA252" s="661">
        <v>1314</v>
      </c>
      <c r="AB252" s="672">
        <f>+SUMIF(SYS_4_3_Digitos!$M$5:$M$1682,BALANCE!AA252,SYS_4_3_Digitos!$N$5:$N$1682)</f>
        <v>0</v>
      </c>
    </row>
    <row r="253" spans="22:28" hidden="1">
      <c r="V253" s="661">
        <v>2325</v>
      </c>
      <c r="W253" s="662">
        <f>+SUMIF(SYS_4_3_Digitos!$M$5:$M$1682,BALANCE!V253,SYS_4_3_Digitos!$N$5:$N$1682)</f>
        <v>0</v>
      </c>
      <c r="X253" s="702"/>
      <c r="AA253" s="661">
        <v>1315</v>
      </c>
      <c r="AB253" s="672">
        <f>+SUMIF(SYS_4_3_Digitos!$M$5:$M$1682,BALANCE!AA253,SYS_4_3_Digitos!$N$5:$N$1682)</f>
        <v>0</v>
      </c>
    </row>
    <row r="254" spans="22:28" hidden="1">
      <c r="V254" s="661">
        <v>2326</v>
      </c>
      <c r="W254" s="662">
        <f>+SUMIF(SYS_4_3_Digitos!$M$5:$M$1682,BALANCE!V254,SYS_4_3_Digitos!$N$5:$N$1682)</f>
        <v>0</v>
      </c>
      <c r="X254" s="702"/>
      <c r="AA254" s="661">
        <v>1316</v>
      </c>
      <c r="AB254" s="672">
        <f>+SUMIF(SYS_4_3_Digitos!$M$5:$M$1682,BALANCE!AA254,SYS_4_3_Digitos!$N$5:$N$1682)</f>
        <v>0</v>
      </c>
    </row>
    <row r="255" spans="22:28" hidden="1">
      <c r="V255" s="661">
        <v>2327</v>
      </c>
      <c r="W255" s="662">
        <f>+SUMIF(SYS_4_3_Digitos!$M$5:$M$1682,BALANCE!V255,SYS_4_3_Digitos!$N$5:$N$1682)</f>
        <v>0</v>
      </c>
      <c r="X255" s="702"/>
      <c r="AA255" s="661">
        <v>1317</v>
      </c>
      <c r="AB255" s="672">
        <f>+SUMIF(SYS_4_3_Digitos!$M$5:$M$1682,BALANCE!AA255,SYS_4_3_Digitos!$N$5:$N$1682)</f>
        <v>0</v>
      </c>
    </row>
    <row r="256" spans="22:28" hidden="1">
      <c r="V256" s="661">
        <v>2328</v>
      </c>
      <c r="W256" s="662">
        <f>+SUMIF(SYS_4_3_Digitos!$M$5:$M$1682,BALANCE!V256,SYS_4_3_Digitos!$N$5:$N$1682)</f>
        <v>0</v>
      </c>
      <c r="X256" s="702"/>
      <c r="AA256" s="661">
        <v>1318</v>
      </c>
      <c r="AB256" s="672">
        <f>+SUMIF(SYS_4_3_Digitos!$M$5:$M$1682,BALANCE!AA256,SYS_4_3_Digitos!$N$5:$N$1682)</f>
        <v>0</v>
      </c>
    </row>
    <row r="257" spans="22:28" hidden="1">
      <c r="V257" s="661">
        <v>2329</v>
      </c>
      <c r="W257" s="662">
        <f>+SUMIF(SYS_4_3_Digitos!$M$5:$M$1682,BALANCE!V257,SYS_4_3_Digitos!$N$5:$N$1682)</f>
        <v>0</v>
      </c>
      <c r="X257" s="702"/>
      <c r="AA257" s="661">
        <v>1319</v>
      </c>
      <c r="AB257" s="672">
        <f>+SUMIF(SYS_4_3_Digitos!$M$5:$M$1682,BALANCE!AA257,SYS_4_3_Digitos!$N$5:$N$1682)</f>
        <v>0</v>
      </c>
    </row>
    <row r="258" spans="22:28" hidden="1">
      <c r="V258" s="661">
        <v>2330</v>
      </c>
      <c r="W258" s="662">
        <f ca="1">+SUMIF(SYS_4_3_Digitos!$M$5:$M$1682,BALANCE!V258,SYS_4_3_Digitos!$N$5:$N$1682)</f>
        <v>0</v>
      </c>
      <c r="X258" s="702"/>
      <c r="AA258" s="661">
        <v>1320</v>
      </c>
      <c r="AB258" s="672">
        <f ca="1">+SUMIF(SYS_4_3_Digitos!$M$5:$M$1682,BALANCE!AA258,SYS_4_3_Digitos!$N$5:$N$1682)</f>
        <v>0</v>
      </c>
    </row>
    <row r="259" spans="22:28" hidden="1">
      <c r="V259" s="661">
        <v>2331</v>
      </c>
      <c r="W259" s="662">
        <f>+SUMIF(SYS_4_3_Digitos!$M$5:$M$1682,BALANCE!V259,SYS_4_3_Digitos!$N$5:$N$1682)</f>
        <v>0</v>
      </c>
      <c r="X259" s="702"/>
      <c r="AA259" s="661">
        <v>1321</v>
      </c>
      <c r="AB259" s="672">
        <f>+SUMIF(SYS_4_3_Digitos!$M$5:$M$1682,BALANCE!AA259,SYS_4_3_Digitos!$N$5:$N$1682)</f>
        <v>0</v>
      </c>
    </row>
    <row r="260" spans="22:28" hidden="1">
      <c r="V260" s="661">
        <v>2332</v>
      </c>
      <c r="W260" s="662">
        <f>+SUMIF(SYS_4_3_Digitos!$M$5:$M$1682,BALANCE!V260,SYS_4_3_Digitos!$N$5:$N$1682)</f>
        <v>0</v>
      </c>
      <c r="X260" s="702"/>
      <c r="AA260" s="661">
        <v>1322</v>
      </c>
      <c r="AB260" s="672">
        <f>+SUMIF(SYS_4_3_Digitos!$M$5:$M$1682,BALANCE!AA260,SYS_4_3_Digitos!$N$5:$N$1682)</f>
        <v>0</v>
      </c>
    </row>
    <row r="261" spans="22:28" hidden="1">
      <c r="V261" s="661">
        <v>2333</v>
      </c>
      <c r="W261" s="662">
        <f>+SUMIF(SYS_4_3_Digitos!$M$5:$M$1682,BALANCE!V261,SYS_4_3_Digitos!$N$5:$N$1682)</f>
        <v>0</v>
      </c>
      <c r="X261" s="702"/>
      <c r="AA261" s="661">
        <v>1323</v>
      </c>
      <c r="AB261" s="672">
        <f>+SUMIF(SYS_4_3_Digitos!$M$5:$M$1682,BALANCE!AA261,SYS_4_3_Digitos!$N$5:$N$1682)</f>
        <v>0</v>
      </c>
    </row>
    <row r="262" spans="22:28" hidden="1">
      <c r="V262" s="661">
        <v>2334</v>
      </c>
      <c r="W262" s="662">
        <f>+SUMIF(SYS_4_3_Digitos!$M$5:$M$1682,BALANCE!V262,SYS_4_3_Digitos!$N$5:$N$1682)</f>
        <v>0</v>
      </c>
      <c r="X262" s="702"/>
      <c r="AA262" s="661">
        <v>1324</v>
      </c>
      <c r="AB262" s="672">
        <f>+SUMIF(SYS_4_3_Digitos!$M$5:$M$1682,BALANCE!AA262,SYS_4_3_Digitos!$N$5:$N$1682)</f>
        <v>0</v>
      </c>
    </row>
    <row r="263" spans="22:28" hidden="1">
      <c r="V263" s="661">
        <v>2335</v>
      </c>
      <c r="W263" s="662">
        <f>+SUMIF(SYS_4_3_Digitos!$M$5:$M$1682,BALANCE!V263,SYS_4_3_Digitos!$N$5:$N$1682)</f>
        <v>0</v>
      </c>
      <c r="X263" s="702"/>
      <c r="AA263" s="661">
        <v>1325</v>
      </c>
      <c r="AB263" s="672">
        <f>+SUMIF(SYS_4_3_Digitos!$M$5:$M$1682,BALANCE!AA263,SYS_4_3_Digitos!$N$5:$N$1682)</f>
        <v>0</v>
      </c>
    </row>
    <row r="264" spans="22:28" hidden="1">
      <c r="V264" s="661">
        <v>2336</v>
      </c>
      <c r="W264" s="662">
        <f>+SUMIF(SYS_4_3_Digitos!$M$5:$M$1682,BALANCE!V264,SYS_4_3_Digitos!$N$5:$N$1682)</f>
        <v>0</v>
      </c>
      <c r="X264" s="702"/>
      <c r="AA264" s="661">
        <v>1326</v>
      </c>
      <c r="AB264" s="672">
        <f>+SUMIF(SYS_4_3_Digitos!$M$5:$M$1682,BALANCE!AA264,SYS_4_3_Digitos!$N$5:$N$1682)</f>
        <v>0</v>
      </c>
    </row>
    <row r="265" spans="22:28" hidden="1">
      <c r="V265" s="661">
        <v>2337</v>
      </c>
      <c r="W265" s="662">
        <f>+SUMIF(SYS_4_3_Digitos!$M$5:$M$1682,BALANCE!V265,SYS_4_3_Digitos!$N$5:$N$1682)</f>
        <v>0</v>
      </c>
      <c r="X265" s="702"/>
      <c r="AA265" s="661">
        <v>1327</v>
      </c>
      <c r="AB265" s="672">
        <f>+SUMIF(SYS_4_3_Digitos!$M$5:$M$1682,BALANCE!AA265,SYS_4_3_Digitos!$N$5:$N$1682)</f>
        <v>0</v>
      </c>
    </row>
    <row r="266" spans="22:28" hidden="1">
      <c r="V266" s="661">
        <v>2338</v>
      </c>
      <c r="W266" s="662">
        <f>+SUMIF(SYS_4_3_Digitos!$M$5:$M$1682,BALANCE!V266,SYS_4_3_Digitos!$N$5:$N$1682)</f>
        <v>0</v>
      </c>
      <c r="X266" s="702"/>
      <c r="AA266" s="661">
        <v>1328</v>
      </c>
      <c r="AB266" s="672">
        <f>+SUMIF(SYS_4_3_Digitos!$M$5:$M$1682,BALANCE!AA266,SYS_4_3_Digitos!$N$5:$N$1682)</f>
        <v>0</v>
      </c>
    </row>
    <row r="267" spans="22:28" hidden="1">
      <c r="V267" s="661">
        <v>2339</v>
      </c>
      <c r="W267" s="662">
        <f>+SUMIF(SYS_4_3_Digitos!$M$5:$M$1682,BALANCE!V267,SYS_4_3_Digitos!$N$5:$N$1682)</f>
        <v>0</v>
      </c>
      <c r="X267" s="702"/>
      <c r="AA267" s="661">
        <v>1329</v>
      </c>
      <c r="AB267" s="672">
        <f>+SUMIF(SYS_4_3_Digitos!$M$5:$M$1682,BALANCE!AA267,SYS_4_3_Digitos!$N$5:$N$1682)</f>
        <v>0</v>
      </c>
    </row>
    <row r="268" spans="22:28" hidden="1">
      <c r="V268" s="661">
        <v>2340</v>
      </c>
      <c r="W268" s="662">
        <f>+SUMIF(SYS_4_3_Digitos!$M$5:$M$1682,BALANCE!V268,SYS_4_3_Digitos!$N$5:$N$1682)</f>
        <v>0</v>
      </c>
      <c r="X268" s="702"/>
      <c r="AA268" s="716" t="s">
        <v>76</v>
      </c>
      <c r="AB268" s="637"/>
    </row>
    <row r="269" spans="22:28" hidden="1">
      <c r="V269" s="661">
        <v>2341</v>
      </c>
      <c r="W269" s="662">
        <f>+SUMIF(SYS_4_3_Digitos!$M$5:$M$1682,BALANCE!V269,SYS_4_3_Digitos!$N$5:$N$1682)</f>
        <v>0</v>
      </c>
      <c r="X269" s="702"/>
      <c r="Z269" s="663"/>
      <c r="AA269" s="664" t="s">
        <v>77</v>
      </c>
      <c r="AB269" s="642"/>
    </row>
    <row r="270" spans="22:28" hidden="1">
      <c r="V270" s="661">
        <v>2342</v>
      </c>
      <c r="W270" s="662">
        <f>+SUMIF(SYS_4_3_Digitos!$M$5:$M$1682,BALANCE!V270,SYS_4_3_Digitos!$N$5:$N$1682)</f>
        <v>0</v>
      </c>
      <c r="X270" s="702"/>
      <c r="Z270" s="666" t="s">
        <v>150</v>
      </c>
      <c r="AA270" s="653" t="s">
        <v>78</v>
      </c>
      <c r="AB270" s="667">
        <f>+AB271</f>
        <v>0</v>
      </c>
    </row>
    <row r="271" spans="22:28" hidden="1">
      <c r="V271" s="661">
        <v>2343</v>
      </c>
      <c r="W271" s="662">
        <f>+SUMIF(SYS_4_3_Digitos!$M$5:$M$1682,BALANCE!V271,SYS_4_3_Digitos!$N$5:$N$1682)</f>
        <v>0</v>
      </c>
      <c r="X271" s="702"/>
      <c r="Z271" s="666"/>
      <c r="AA271" s="706"/>
      <c r="AB271" s="642"/>
    </row>
    <row r="272" spans="22:28" hidden="1">
      <c r="V272" s="661">
        <v>2344</v>
      </c>
      <c r="W272" s="662">
        <f>+SUMIF(SYS_4_3_Digitos!$M$5:$M$1682,BALANCE!V272,SYS_4_3_Digitos!$N$5:$N$1682)</f>
        <v>0</v>
      </c>
      <c r="X272" s="702"/>
      <c r="Z272" s="666">
        <v>145</v>
      </c>
      <c r="AA272" s="653" t="s">
        <v>79</v>
      </c>
      <c r="AB272" s="667">
        <f ca="1">SUM(AB273:AB282)</f>
        <v>0</v>
      </c>
    </row>
    <row r="273" spans="22:28" hidden="1">
      <c r="V273" s="661">
        <v>2345</v>
      </c>
      <c r="W273" s="662">
        <f>+SUMIF(SYS_4_3_Digitos!$M$5:$M$1682,BALANCE!V273,SYS_4_3_Digitos!$N$5:$N$1682)</f>
        <v>0</v>
      </c>
      <c r="X273" s="702"/>
      <c r="Z273" s="666"/>
      <c r="AA273" s="661">
        <v>1450</v>
      </c>
      <c r="AB273" s="672">
        <f ca="1">+SUMIF(SYS_4_3_Digitos!$M$5:$M$1682,BALANCE!AA273,SYS_4_3_Digitos!$N$5:$N$1682)</f>
        <v>0</v>
      </c>
    </row>
    <row r="274" spans="22:28" hidden="1">
      <c r="V274" s="661">
        <v>2346</v>
      </c>
      <c r="W274" s="662">
        <f>+SUMIF(SYS_4_3_Digitos!$M$5:$M$1682,BALANCE!V274,SYS_4_3_Digitos!$N$5:$N$1682)</f>
        <v>0</v>
      </c>
      <c r="X274" s="702"/>
      <c r="Z274" s="666"/>
      <c r="AA274" s="661">
        <v>1451</v>
      </c>
      <c r="AB274" s="672">
        <f>+SUMIF(SYS_4_3_Digitos!$M$5:$M$1682,BALANCE!AA274,SYS_4_3_Digitos!$N$5:$N$1682)</f>
        <v>0</v>
      </c>
    </row>
    <row r="275" spans="22:28" hidden="1">
      <c r="V275" s="661">
        <v>2347</v>
      </c>
      <c r="W275" s="662">
        <f>+SUMIF(SYS_4_3_Digitos!$M$5:$M$1682,BALANCE!V275,SYS_4_3_Digitos!$N$5:$N$1682)</f>
        <v>0</v>
      </c>
      <c r="X275" s="702"/>
      <c r="Z275" s="666"/>
      <c r="AA275" s="661">
        <v>1452</v>
      </c>
      <c r="AB275" s="672">
        <f>+SUMIF(SYS_4_3_Digitos!$M$5:$M$1682,BALANCE!AA275,SYS_4_3_Digitos!$N$5:$N$1682)</f>
        <v>0</v>
      </c>
    </row>
    <row r="276" spans="22:28" hidden="1">
      <c r="V276" s="661">
        <v>2348</v>
      </c>
      <c r="W276" s="662">
        <f>+SUMIF(SYS_4_3_Digitos!$M$5:$M$1682,BALANCE!V276,SYS_4_3_Digitos!$N$5:$N$1682)</f>
        <v>0</v>
      </c>
      <c r="X276" s="702"/>
      <c r="Z276" s="666"/>
      <c r="AA276" s="661">
        <v>1453</v>
      </c>
      <c r="AB276" s="672">
        <f>+SUMIF(SYS_4_3_Digitos!$M$5:$M$1682,BALANCE!AA276,SYS_4_3_Digitos!$N$5:$N$1682)</f>
        <v>0</v>
      </c>
    </row>
    <row r="277" spans="22:28" hidden="1">
      <c r="V277" s="661">
        <v>2349</v>
      </c>
      <c r="W277" s="662">
        <f>+SUMIF(SYS_4_3_Digitos!$M$5:$M$1682,BALANCE!V277,SYS_4_3_Digitos!$N$5:$N$1682)</f>
        <v>0</v>
      </c>
      <c r="X277" s="702"/>
      <c r="Z277" s="666"/>
      <c r="AA277" s="661">
        <v>1454</v>
      </c>
      <c r="AB277" s="672">
        <f>+SUMIF(SYS_4_3_Digitos!$M$5:$M$1682,BALANCE!AA277,SYS_4_3_Digitos!$N$5:$N$1682)</f>
        <v>0</v>
      </c>
    </row>
    <row r="278" spans="22:28" hidden="1">
      <c r="V278" s="661">
        <v>2350</v>
      </c>
      <c r="W278" s="662">
        <f>+SUMIF(SYS_4_3_Digitos!$M$5:$M$1682,BALANCE!V278,SYS_4_3_Digitos!$N$5:$N$1682)</f>
        <v>0</v>
      </c>
      <c r="X278" s="702"/>
      <c r="Z278" s="666"/>
      <c r="AA278" s="661">
        <v>1455</v>
      </c>
      <c r="AB278" s="672">
        <f>+SUMIF(SYS_4_3_Digitos!$M$5:$M$1682,BALANCE!AA278,SYS_4_3_Digitos!$N$5:$N$1682)</f>
        <v>0</v>
      </c>
    </row>
    <row r="279" spans="22:28" hidden="1">
      <c r="V279" s="661">
        <v>2351</v>
      </c>
      <c r="W279" s="662">
        <f>+SUMIF(SYS_4_3_Digitos!$M$5:$M$1682,BALANCE!V279,SYS_4_3_Digitos!$N$5:$N$1682)</f>
        <v>0</v>
      </c>
      <c r="X279" s="702"/>
      <c r="Z279" s="666"/>
      <c r="AA279" s="661">
        <v>1456</v>
      </c>
      <c r="AB279" s="672">
        <f>+SUMIF(SYS_4_3_Digitos!$M$5:$M$1682,BALANCE!AA279,SYS_4_3_Digitos!$N$5:$N$1682)</f>
        <v>0</v>
      </c>
    </row>
    <row r="280" spans="22:28" hidden="1">
      <c r="V280" s="661">
        <v>2352</v>
      </c>
      <c r="W280" s="662">
        <f>+SUMIF(SYS_4_3_Digitos!$M$5:$M$1682,BALANCE!V280,SYS_4_3_Digitos!$N$5:$N$1682)</f>
        <v>0</v>
      </c>
      <c r="X280" s="702"/>
      <c r="Z280" s="666"/>
      <c r="AA280" s="661">
        <v>1457</v>
      </c>
      <c r="AB280" s="672">
        <f>+SUMIF(SYS_4_3_Digitos!$M$5:$M$1682,BALANCE!AA280,SYS_4_3_Digitos!$N$5:$N$1682)</f>
        <v>0</v>
      </c>
    </row>
    <row r="281" spans="22:28" hidden="1">
      <c r="V281" s="661">
        <v>2353</v>
      </c>
      <c r="W281" s="662">
        <f>+SUMIF(SYS_4_3_Digitos!$M$5:$M$1682,BALANCE!V281,SYS_4_3_Digitos!$N$5:$N$1682)</f>
        <v>0</v>
      </c>
      <c r="X281" s="702"/>
      <c r="Z281" s="666"/>
      <c r="AA281" s="661">
        <v>1458</v>
      </c>
      <c r="AB281" s="672">
        <f>+SUMIF(SYS_4_3_Digitos!$M$5:$M$1682,BALANCE!AA281,SYS_4_3_Digitos!$N$5:$N$1682)</f>
        <v>0</v>
      </c>
    </row>
    <row r="282" spans="22:28" hidden="1">
      <c r="V282" s="661">
        <v>2354</v>
      </c>
      <c r="W282" s="662">
        <f>+SUMIF(SYS_4_3_Digitos!$M$5:$M$1682,BALANCE!V282,SYS_4_3_Digitos!$N$5:$N$1682)</f>
        <v>0</v>
      </c>
      <c r="X282" s="702"/>
      <c r="Z282" s="666"/>
      <c r="AA282" s="661">
        <v>1459</v>
      </c>
      <c r="AB282" s="672">
        <f>+SUMIF(SYS_4_3_Digitos!$M$5:$M$1682,BALANCE!AA282,SYS_4_3_Digitos!$N$5:$N$1682)</f>
        <v>0</v>
      </c>
    </row>
    <row r="283" spans="22:28" hidden="1">
      <c r="V283" s="661">
        <v>2355</v>
      </c>
      <c r="W283" s="662">
        <f>+SUMIF(SYS_4_3_Digitos!$M$5:$M$1682,BALANCE!V283,SYS_4_3_Digitos!$N$5:$N$1682)</f>
        <v>0</v>
      </c>
      <c r="X283" s="702"/>
      <c r="Z283" s="666">
        <v>146</v>
      </c>
      <c r="AA283" s="653" t="s">
        <v>80</v>
      </c>
      <c r="AB283" s="667">
        <f ca="1">SUM(AB284:AB293)</f>
        <v>0</v>
      </c>
    </row>
    <row r="284" spans="22:28" hidden="1">
      <c r="V284" s="661">
        <v>2356</v>
      </c>
      <c r="W284" s="662">
        <f>+SUMIF(SYS_4_3_Digitos!$M$5:$M$1682,BALANCE!V284,SYS_4_3_Digitos!$N$5:$N$1682)</f>
        <v>0</v>
      </c>
      <c r="X284" s="702"/>
      <c r="Z284" s="666"/>
      <c r="AA284" s="661">
        <v>1460</v>
      </c>
      <c r="AB284" s="672">
        <f ca="1">+SUMIF(SYS_4_3_Digitos!$M$5:$M$1682,BALANCE!AA284,SYS_4_3_Digitos!$N$5:$N$1682)</f>
        <v>0</v>
      </c>
    </row>
    <row r="285" spans="22:28" hidden="1">
      <c r="V285" s="661">
        <v>2357</v>
      </c>
      <c r="W285" s="662">
        <f>+SUMIF(SYS_4_3_Digitos!$M$5:$M$1682,BALANCE!V285,SYS_4_3_Digitos!$N$5:$N$1682)</f>
        <v>0</v>
      </c>
      <c r="X285" s="702"/>
      <c r="Z285" s="666"/>
      <c r="AA285" s="661">
        <v>1461</v>
      </c>
      <c r="AB285" s="672">
        <f>+SUMIF(SYS_4_3_Digitos!$M$5:$M$1682,BALANCE!AA285,SYS_4_3_Digitos!$N$5:$N$1682)</f>
        <v>0</v>
      </c>
    </row>
    <row r="286" spans="22:28" hidden="1">
      <c r="V286" s="661">
        <v>2358</v>
      </c>
      <c r="W286" s="662">
        <f>+SUMIF(SYS_4_3_Digitos!$M$5:$M$1682,BALANCE!V286,SYS_4_3_Digitos!$N$5:$N$1682)</f>
        <v>0</v>
      </c>
      <c r="X286" s="702"/>
      <c r="Z286" s="666"/>
      <c r="AA286" s="661">
        <v>1462</v>
      </c>
      <c r="AB286" s="672">
        <f>+SUMIF(SYS_4_3_Digitos!$M$5:$M$1682,BALANCE!AA286,SYS_4_3_Digitos!$N$5:$N$1682)</f>
        <v>0</v>
      </c>
    </row>
    <row r="287" spans="22:28" hidden="1">
      <c r="V287" s="661">
        <v>2359</v>
      </c>
      <c r="W287" s="662">
        <f>+SUMIF(SYS_4_3_Digitos!$M$5:$M$1682,BALANCE!V287,SYS_4_3_Digitos!$N$5:$N$1682)</f>
        <v>0</v>
      </c>
      <c r="X287" s="702"/>
      <c r="Z287" s="666"/>
      <c r="AA287" s="661">
        <v>1463</v>
      </c>
      <c r="AB287" s="672">
        <f>+SUMIF(SYS_4_3_Digitos!$M$5:$M$1682,BALANCE!AA287,SYS_4_3_Digitos!$N$5:$N$1682)</f>
        <v>0</v>
      </c>
    </row>
    <row r="288" spans="22:28" hidden="1">
      <c r="V288" s="661">
        <v>2360</v>
      </c>
      <c r="W288" s="662">
        <f>+SUMIF(SYS_4_3_Digitos!$M$5:$M$1682,BALANCE!V288,SYS_4_3_Digitos!$N$5:$N$1682)</f>
        <v>0</v>
      </c>
      <c r="X288" s="702"/>
      <c r="Z288" s="666"/>
      <c r="AA288" s="661">
        <v>1464</v>
      </c>
      <c r="AB288" s="672">
        <f>+SUMIF(SYS_4_3_Digitos!$M$5:$M$1682,BALANCE!AA288,SYS_4_3_Digitos!$N$5:$N$1682)</f>
        <v>0</v>
      </c>
    </row>
    <row r="289" spans="22:28" hidden="1">
      <c r="V289" s="661">
        <v>2361</v>
      </c>
      <c r="W289" s="662">
        <f>+SUMIF(SYS_4_3_Digitos!$M$5:$M$1682,BALANCE!V289,SYS_4_3_Digitos!$N$5:$N$1682)</f>
        <v>0</v>
      </c>
      <c r="X289" s="702"/>
      <c r="Z289" s="666"/>
      <c r="AA289" s="661">
        <v>1465</v>
      </c>
      <c r="AB289" s="672">
        <f>+SUMIF(SYS_4_3_Digitos!$M$5:$M$1682,BALANCE!AA289,SYS_4_3_Digitos!$N$5:$N$1682)</f>
        <v>0</v>
      </c>
    </row>
    <row r="290" spans="22:28" hidden="1">
      <c r="V290" s="661">
        <v>2362</v>
      </c>
      <c r="W290" s="662">
        <f>+SUMIF(SYS_4_3_Digitos!$M$5:$M$1682,BALANCE!V290,SYS_4_3_Digitos!$N$5:$N$1682)</f>
        <v>0</v>
      </c>
      <c r="X290" s="702"/>
      <c r="Z290" s="666"/>
      <c r="AA290" s="661">
        <v>1466</v>
      </c>
      <c r="AB290" s="672">
        <f>+SUMIF(SYS_4_3_Digitos!$M$5:$M$1682,BALANCE!AA290,SYS_4_3_Digitos!$N$5:$N$1682)</f>
        <v>0</v>
      </c>
    </row>
    <row r="291" spans="22:28" hidden="1">
      <c r="V291" s="661">
        <v>2363</v>
      </c>
      <c r="W291" s="662">
        <f>+SUMIF(SYS_4_3_Digitos!$M$5:$M$1682,BALANCE!V291,SYS_4_3_Digitos!$N$5:$N$1682)</f>
        <v>0</v>
      </c>
      <c r="X291" s="702"/>
      <c r="Z291" s="666"/>
      <c r="AA291" s="661">
        <v>1467</v>
      </c>
      <c r="AB291" s="672">
        <f>+SUMIF(SYS_4_3_Digitos!$M$5:$M$1682,BALANCE!AA291,SYS_4_3_Digitos!$N$5:$N$1682)</f>
        <v>0</v>
      </c>
    </row>
    <row r="292" spans="22:28" hidden="1">
      <c r="V292" s="661">
        <v>2364</v>
      </c>
      <c r="W292" s="662">
        <f>+SUMIF(SYS_4_3_Digitos!$M$5:$M$1682,BALANCE!V292,SYS_4_3_Digitos!$N$5:$N$1682)</f>
        <v>0</v>
      </c>
      <c r="X292" s="702"/>
      <c r="Z292" s="666"/>
      <c r="AA292" s="661">
        <v>1468</v>
      </c>
      <c r="AB292" s="672">
        <f>+SUMIF(SYS_4_3_Digitos!$M$5:$M$1682,BALANCE!AA292,SYS_4_3_Digitos!$N$5:$N$1682)</f>
        <v>0</v>
      </c>
    </row>
    <row r="293" spans="22:28" hidden="1">
      <c r="V293" s="661">
        <v>2365</v>
      </c>
      <c r="W293" s="662">
        <f>+SUMIF(SYS_4_3_Digitos!$M$5:$M$1682,BALANCE!V293,SYS_4_3_Digitos!$N$5:$N$1682)</f>
        <v>0</v>
      </c>
      <c r="X293" s="702"/>
      <c r="Z293" s="666"/>
      <c r="AA293" s="661">
        <v>1469</v>
      </c>
      <c r="AB293" s="672">
        <f>+SUMIF(SYS_4_3_Digitos!$M$5:$M$1682,BALANCE!AA293,SYS_4_3_Digitos!$N$5:$N$1682)</f>
        <v>0</v>
      </c>
    </row>
    <row r="294" spans="22:28" hidden="1">
      <c r="V294" s="661">
        <v>2366</v>
      </c>
      <c r="W294" s="662">
        <f>+SUMIF(SYS_4_3_Digitos!$M$5:$M$1682,BALANCE!V294,SYS_4_3_Digitos!$N$5:$N$1682)</f>
        <v>0</v>
      </c>
      <c r="X294" s="702"/>
      <c r="Z294" s="666" t="s">
        <v>151</v>
      </c>
      <c r="AA294" s="653" t="s">
        <v>81</v>
      </c>
      <c r="AB294" s="667">
        <f ca="1">SUM(AB295:AB334)</f>
        <v>0</v>
      </c>
    </row>
    <row r="295" spans="22:28" hidden="1">
      <c r="V295" s="661">
        <v>2367</v>
      </c>
      <c r="W295" s="662">
        <f>+SUMIF(SYS_4_3_Digitos!$M$5:$M$1682,BALANCE!V295,SYS_4_3_Digitos!$N$5:$N$1682)</f>
        <v>0</v>
      </c>
      <c r="X295" s="702"/>
      <c r="Z295" s="666"/>
      <c r="AA295" s="661">
        <v>1410</v>
      </c>
      <c r="AB295" s="672">
        <f ca="1">+SUMIF(SYS_4_3_Digitos!$M$5:$M$1682,BALANCE!AA295,SYS_4_3_Digitos!$N$5:$N$1682)</f>
        <v>0</v>
      </c>
    </row>
    <row r="296" spans="22:28" hidden="1">
      <c r="V296" s="661">
        <v>2368</v>
      </c>
      <c r="W296" s="662">
        <f>+SUMIF(SYS_4_3_Digitos!$M$5:$M$1682,BALANCE!V296,SYS_4_3_Digitos!$N$5:$N$1682)</f>
        <v>0</v>
      </c>
      <c r="X296" s="702"/>
      <c r="Z296" s="666"/>
      <c r="AA296" s="661">
        <v>1411</v>
      </c>
      <c r="AB296" s="672">
        <f>+SUMIF(SYS_4_3_Digitos!$M$5:$M$1682,BALANCE!AA296,SYS_4_3_Digitos!$N$5:$N$1682)</f>
        <v>0</v>
      </c>
    </row>
    <row r="297" spans="22:28" hidden="1">
      <c r="V297" s="661">
        <v>2369</v>
      </c>
      <c r="W297" s="662">
        <f>+SUMIF(SYS_4_3_Digitos!$M$5:$M$1682,BALANCE!V297,SYS_4_3_Digitos!$N$5:$N$1682)</f>
        <v>0</v>
      </c>
      <c r="X297" s="702"/>
      <c r="Z297" s="666"/>
      <c r="AA297" s="661">
        <v>1412</v>
      </c>
      <c r="AB297" s="672">
        <f>+SUMIF(SYS_4_3_Digitos!$M$5:$M$1682,BALANCE!AA297,SYS_4_3_Digitos!$N$5:$N$1682)</f>
        <v>0</v>
      </c>
    </row>
    <row r="298" spans="22:28" hidden="1">
      <c r="V298" s="661">
        <v>2370</v>
      </c>
      <c r="W298" s="662">
        <f ca="1">+SUMIF(SYS_4_3_Digitos!$M$5:$M$1682,BALANCE!V298,SYS_4_3_Digitos!$N$5:$N$1682)</f>
        <v>0</v>
      </c>
      <c r="X298" s="702"/>
      <c r="Z298" s="666"/>
      <c r="AA298" s="661">
        <v>1413</v>
      </c>
      <c r="AB298" s="672">
        <f>+SUMIF(SYS_4_3_Digitos!$M$5:$M$1682,BALANCE!AA298,SYS_4_3_Digitos!$N$5:$N$1682)</f>
        <v>0</v>
      </c>
    </row>
    <row r="299" spans="22:28" hidden="1">
      <c r="V299" s="661">
        <v>2371</v>
      </c>
      <c r="W299" s="662">
        <f>+SUMIF(SYS_4_3_Digitos!$M$5:$M$1682,BALANCE!V299,SYS_4_3_Digitos!$N$5:$N$1682)</f>
        <v>0</v>
      </c>
      <c r="X299" s="702"/>
      <c r="Z299" s="666"/>
      <c r="AA299" s="661">
        <v>1414</v>
      </c>
      <c r="AB299" s="672">
        <f>+SUMIF(SYS_4_3_Digitos!$M$5:$M$1682,BALANCE!AA299,SYS_4_3_Digitos!$N$5:$N$1682)</f>
        <v>0</v>
      </c>
    </row>
    <row r="300" spans="22:28" hidden="1">
      <c r="V300" s="661">
        <v>2372</v>
      </c>
      <c r="W300" s="662">
        <f>+SUMIF(SYS_4_3_Digitos!$M$5:$M$1682,BALANCE!V300,SYS_4_3_Digitos!$N$5:$N$1682)</f>
        <v>0</v>
      </c>
      <c r="X300" s="702"/>
      <c r="Z300" s="666"/>
      <c r="AA300" s="661">
        <v>1415</v>
      </c>
      <c r="AB300" s="672">
        <f>+SUMIF(SYS_4_3_Digitos!$M$5:$M$1682,BALANCE!AA300,SYS_4_3_Digitos!$N$5:$N$1682)</f>
        <v>0</v>
      </c>
    </row>
    <row r="301" spans="22:28" hidden="1">
      <c r="V301" s="661">
        <v>2373</v>
      </c>
      <c r="W301" s="662">
        <f>+SUMIF(SYS_4_3_Digitos!$M$5:$M$1682,BALANCE!V301,SYS_4_3_Digitos!$N$5:$N$1682)</f>
        <v>0</v>
      </c>
      <c r="X301" s="702"/>
      <c r="Z301" s="666"/>
      <c r="AA301" s="661">
        <v>1416</v>
      </c>
      <c r="AB301" s="672">
        <f>+SUMIF(SYS_4_3_Digitos!$M$5:$M$1682,BALANCE!AA301,SYS_4_3_Digitos!$N$5:$N$1682)</f>
        <v>0</v>
      </c>
    </row>
    <row r="302" spans="22:28" hidden="1">
      <c r="V302" s="661">
        <v>2374</v>
      </c>
      <c r="W302" s="662">
        <f>+SUMIF(SYS_4_3_Digitos!$M$5:$M$1682,BALANCE!V302,SYS_4_3_Digitos!$N$5:$N$1682)</f>
        <v>0</v>
      </c>
      <c r="X302" s="702"/>
      <c r="Z302" s="666"/>
      <c r="AA302" s="661">
        <v>1417</v>
      </c>
      <c r="AB302" s="672">
        <f>+SUMIF(SYS_4_3_Digitos!$M$5:$M$1682,BALANCE!AA302,SYS_4_3_Digitos!$N$5:$N$1682)</f>
        <v>0</v>
      </c>
    </row>
    <row r="303" spans="22:28" hidden="1">
      <c r="V303" s="661">
        <v>2375</v>
      </c>
      <c r="W303" s="662">
        <f>+SUMIF(SYS_4_3_Digitos!$M$5:$M$1682,BALANCE!V303,SYS_4_3_Digitos!$N$5:$N$1682)</f>
        <v>0</v>
      </c>
      <c r="X303" s="702"/>
      <c r="Z303" s="666"/>
      <c r="AA303" s="661">
        <v>1418</v>
      </c>
      <c r="AB303" s="672">
        <f>+SUMIF(SYS_4_3_Digitos!$M$5:$M$1682,BALANCE!AA303,SYS_4_3_Digitos!$N$5:$N$1682)</f>
        <v>0</v>
      </c>
    </row>
    <row r="304" spans="22:28" hidden="1">
      <c r="V304" s="661">
        <v>2376</v>
      </c>
      <c r="W304" s="662">
        <f>+SUMIF(SYS_4_3_Digitos!$M$5:$M$1682,BALANCE!V304,SYS_4_3_Digitos!$N$5:$N$1682)</f>
        <v>0</v>
      </c>
      <c r="X304" s="702"/>
      <c r="Z304" s="666"/>
      <c r="AA304" s="661">
        <v>1419</v>
      </c>
      <c r="AB304" s="672">
        <f>+SUMIF(SYS_4_3_Digitos!$M$5:$M$1682,BALANCE!AA304,SYS_4_3_Digitos!$N$5:$N$1682)</f>
        <v>0</v>
      </c>
    </row>
    <row r="305" spans="22:28" hidden="1">
      <c r="V305" s="661">
        <v>2377</v>
      </c>
      <c r="W305" s="662">
        <f>+SUMIF(SYS_4_3_Digitos!$M$5:$M$1682,BALANCE!V305,SYS_4_3_Digitos!$N$5:$N$1682)</f>
        <v>0</v>
      </c>
      <c r="X305" s="702"/>
      <c r="Z305" s="666"/>
      <c r="AA305" s="661">
        <v>1420</v>
      </c>
      <c r="AB305" s="672">
        <f ca="1">+SUMIF(SYS_4_3_Digitos!$M$5:$M$1682,BALANCE!AA305,SYS_4_3_Digitos!$N$5:$N$1682)</f>
        <v>0</v>
      </c>
    </row>
    <row r="306" spans="22:28" hidden="1">
      <c r="V306" s="661">
        <v>2378</v>
      </c>
      <c r="W306" s="662">
        <f>+SUMIF(SYS_4_3_Digitos!$M$5:$M$1682,BALANCE!V306,SYS_4_3_Digitos!$N$5:$N$1682)</f>
        <v>0</v>
      </c>
      <c r="X306" s="702"/>
      <c r="Z306" s="666"/>
      <c r="AA306" s="661">
        <v>1421</v>
      </c>
      <c r="AB306" s="672">
        <f>+SUMIF(SYS_4_3_Digitos!$M$5:$M$1682,BALANCE!AA306,SYS_4_3_Digitos!$N$5:$N$1682)</f>
        <v>0</v>
      </c>
    </row>
    <row r="307" spans="22:28" hidden="1">
      <c r="V307" s="661">
        <v>2379</v>
      </c>
      <c r="W307" s="662">
        <f>+SUMIF(SYS_4_3_Digitos!$M$5:$M$1682,BALANCE!V307,SYS_4_3_Digitos!$N$5:$N$1682)</f>
        <v>0</v>
      </c>
      <c r="X307" s="702"/>
      <c r="Z307" s="666"/>
      <c r="AA307" s="661">
        <v>1422</v>
      </c>
      <c r="AB307" s="672">
        <f>+SUMIF(SYS_4_3_Digitos!$M$5:$M$1682,BALANCE!AA307,SYS_4_3_Digitos!$N$5:$N$1682)</f>
        <v>0</v>
      </c>
    </row>
    <row r="308" spans="22:28" hidden="1">
      <c r="V308" s="661">
        <v>2380</v>
      </c>
      <c r="W308" s="662">
        <f>+SUMIF(SYS_4_3_Digitos!$M$5:$M$1682,BALANCE!V308,SYS_4_3_Digitos!$N$5:$N$1682)</f>
        <v>0</v>
      </c>
      <c r="X308" s="702"/>
      <c r="Z308" s="666"/>
      <c r="AA308" s="661">
        <v>1423</v>
      </c>
      <c r="AB308" s="672">
        <f>+SUMIF(SYS_4_3_Digitos!$M$5:$M$1682,BALANCE!AA308,SYS_4_3_Digitos!$N$5:$N$1682)</f>
        <v>0</v>
      </c>
    </row>
    <row r="309" spans="22:28" hidden="1">
      <c r="V309" s="661">
        <v>2381</v>
      </c>
      <c r="W309" s="662">
        <f>+SUMIF(SYS_4_3_Digitos!$M$5:$M$1682,BALANCE!V309,SYS_4_3_Digitos!$N$5:$N$1682)</f>
        <v>0</v>
      </c>
      <c r="X309" s="702"/>
      <c r="Z309" s="666"/>
      <c r="AA309" s="661">
        <v>1424</v>
      </c>
      <c r="AB309" s="672">
        <f>+SUMIF(SYS_4_3_Digitos!$M$5:$M$1682,BALANCE!AA309,SYS_4_3_Digitos!$N$5:$N$1682)</f>
        <v>0</v>
      </c>
    </row>
    <row r="310" spans="22:28" hidden="1">
      <c r="V310" s="661">
        <v>2382</v>
      </c>
      <c r="W310" s="662">
        <f>+SUMIF(SYS_4_3_Digitos!$M$5:$M$1682,BALANCE!V310,SYS_4_3_Digitos!$N$5:$N$1682)</f>
        <v>0</v>
      </c>
      <c r="X310" s="702"/>
      <c r="Z310" s="666"/>
      <c r="AA310" s="661">
        <v>1425</v>
      </c>
      <c r="AB310" s="672">
        <f>+SUMIF(SYS_4_3_Digitos!$M$5:$M$1682,BALANCE!AA310,SYS_4_3_Digitos!$N$5:$N$1682)</f>
        <v>0</v>
      </c>
    </row>
    <row r="311" spans="22:28" hidden="1">
      <c r="V311" s="661">
        <v>2383</v>
      </c>
      <c r="W311" s="662">
        <f>+SUMIF(SYS_4_3_Digitos!$M$5:$M$1682,BALANCE!V311,SYS_4_3_Digitos!$N$5:$N$1682)</f>
        <v>0</v>
      </c>
      <c r="X311" s="702"/>
      <c r="Z311" s="666"/>
      <c r="AA311" s="661">
        <v>1426</v>
      </c>
      <c r="AB311" s="672">
        <f>+SUMIF(SYS_4_3_Digitos!$M$5:$M$1682,BALANCE!AA311,SYS_4_3_Digitos!$N$5:$N$1682)</f>
        <v>0</v>
      </c>
    </row>
    <row r="312" spans="22:28" hidden="1">
      <c r="V312" s="661">
        <v>2384</v>
      </c>
      <c r="W312" s="662">
        <f>+SUMIF(SYS_4_3_Digitos!$M$5:$M$1682,BALANCE!V312,SYS_4_3_Digitos!$N$5:$N$1682)</f>
        <v>0</v>
      </c>
      <c r="X312" s="702"/>
      <c r="Z312" s="666"/>
      <c r="AA312" s="661">
        <v>1427</v>
      </c>
      <c r="AB312" s="672">
        <f>+SUMIF(SYS_4_3_Digitos!$M$5:$M$1682,BALANCE!AA312,SYS_4_3_Digitos!$N$5:$N$1682)</f>
        <v>0</v>
      </c>
    </row>
    <row r="313" spans="22:28" hidden="1">
      <c r="V313" s="661">
        <v>2385</v>
      </c>
      <c r="W313" s="662">
        <f>+SUMIF(SYS_4_3_Digitos!$M$5:$M$1682,BALANCE!V313,SYS_4_3_Digitos!$N$5:$N$1682)</f>
        <v>0</v>
      </c>
      <c r="X313" s="702"/>
      <c r="Z313" s="666"/>
      <c r="AA313" s="661">
        <v>1428</v>
      </c>
      <c r="AB313" s="672">
        <f>+SUMIF(SYS_4_3_Digitos!$M$5:$M$1682,BALANCE!AA313,SYS_4_3_Digitos!$N$5:$N$1682)</f>
        <v>0</v>
      </c>
    </row>
    <row r="314" spans="22:28" hidden="1">
      <c r="V314" s="661">
        <v>2386</v>
      </c>
      <c r="W314" s="662">
        <f>+SUMIF(SYS_4_3_Digitos!$M$5:$M$1682,BALANCE!V314,SYS_4_3_Digitos!$N$5:$N$1682)</f>
        <v>0</v>
      </c>
      <c r="X314" s="702"/>
      <c r="Z314" s="666"/>
      <c r="AA314" s="661">
        <v>1429</v>
      </c>
      <c r="AB314" s="672">
        <f>+SUMIF(SYS_4_3_Digitos!$M$5:$M$1682,BALANCE!AA314,SYS_4_3_Digitos!$N$5:$N$1682)</f>
        <v>0</v>
      </c>
    </row>
    <row r="315" spans="22:28" hidden="1">
      <c r="V315" s="661">
        <v>2387</v>
      </c>
      <c r="W315" s="662">
        <f>+SUMIF(SYS_4_3_Digitos!$M$5:$M$1682,BALANCE!V315,SYS_4_3_Digitos!$N$5:$N$1682)</f>
        <v>0</v>
      </c>
      <c r="X315" s="702"/>
      <c r="Z315" s="666"/>
      <c r="AA315" s="661">
        <v>1430</v>
      </c>
      <c r="AB315" s="672">
        <f ca="1">+SUMIF(SYS_4_3_Digitos!$M$5:$M$1682,BALANCE!AA315,SYS_4_3_Digitos!$N$5:$N$1682)</f>
        <v>0</v>
      </c>
    </row>
    <row r="316" spans="22:28" hidden="1">
      <c r="V316" s="661">
        <v>2388</v>
      </c>
      <c r="W316" s="662">
        <f>+SUMIF(SYS_4_3_Digitos!$M$5:$M$1682,BALANCE!V316,SYS_4_3_Digitos!$N$5:$N$1682)</f>
        <v>0</v>
      </c>
      <c r="X316" s="702"/>
      <c r="Z316" s="666"/>
      <c r="AA316" s="661">
        <v>1431</v>
      </c>
      <c r="AB316" s="672">
        <f>+SUMIF(SYS_4_3_Digitos!$M$5:$M$1682,BALANCE!AA316,SYS_4_3_Digitos!$N$5:$N$1682)</f>
        <v>0</v>
      </c>
    </row>
    <row r="317" spans="22:28" hidden="1">
      <c r="V317" s="661">
        <v>2389</v>
      </c>
      <c r="W317" s="662">
        <f>+SUMIF(SYS_4_3_Digitos!$M$5:$M$1682,BALANCE!V317,SYS_4_3_Digitos!$N$5:$N$1682)</f>
        <v>0</v>
      </c>
      <c r="X317" s="702"/>
      <c r="Z317" s="666"/>
      <c r="AA317" s="661">
        <v>1432</v>
      </c>
      <c r="AB317" s="672">
        <f>+SUMIF(SYS_4_3_Digitos!$M$5:$M$1682,BALANCE!AA317,SYS_4_3_Digitos!$N$5:$N$1682)</f>
        <v>0</v>
      </c>
    </row>
    <row r="318" spans="22:28" hidden="1">
      <c r="V318" s="661">
        <v>2390</v>
      </c>
      <c r="W318" s="662">
        <f ca="1">+SUMIF(SYS_4_3_Digitos!$M$5:$M$1682,BALANCE!V318,SYS_4_3_Digitos!$N$5:$N$1682)</f>
        <v>0</v>
      </c>
      <c r="X318" s="702"/>
      <c r="Z318" s="666"/>
      <c r="AA318" s="661">
        <v>1433</v>
      </c>
      <c r="AB318" s="672">
        <f>+SUMIF(SYS_4_3_Digitos!$M$5:$M$1682,BALANCE!AA318,SYS_4_3_Digitos!$N$5:$N$1682)</f>
        <v>0</v>
      </c>
    </row>
    <row r="319" spans="22:28" hidden="1">
      <c r="V319" s="661">
        <v>2391</v>
      </c>
      <c r="W319" s="662">
        <f>+SUMIF(SYS_4_3_Digitos!$M$5:$M$1682,BALANCE!V319,SYS_4_3_Digitos!$N$5:$N$1682)</f>
        <v>0</v>
      </c>
      <c r="X319" s="702"/>
      <c r="Z319" s="666"/>
      <c r="AA319" s="661">
        <v>1434</v>
      </c>
      <c r="AB319" s="672">
        <f>+SUMIF(SYS_4_3_Digitos!$M$5:$M$1682,BALANCE!AA319,SYS_4_3_Digitos!$N$5:$N$1682)</f>
        <v>0</v>
      </c>
    </row>
    <row r="320" spans="22:28" hidden="1">
      <c r="V320" s="661">
        <v>2392</v>
      </c>
      <c r="W320" s="662">
        <f>+SUMIF(SYS_4_3_Digitos!$M$5:$M$1682,BALANCE!V320,SYS_4_3_Digitos!$N$5:$N$1682)</f>
        <v>0</v>
      </c>
      <c r="X320" s="702"/>
      <c r="Z320" s="666"/>
      <c r="AA320" s="661">
        <v>1435</v>
      </c>
      <c r="AB320" s="672">
        <f>+SUMIF(SYS_4_3_Digitos!$M$5:$M$1682,BALANCE!AA320,SYS_4_3_Digitos!$N$5:$N$1682)</f>
        <v>0</v>
      </c>
    </row>
    <row r="321" spans="21:28" hidden="1">
      <c r="V321" s="661">
        <v>2393</v>
      </c>
      <c r="W321" s="662">
        <f>+SUMIF(SYS_4_3_Digitos!$M$5:$M$1682,BALANCE!V321,SYS_4_3_Digitos!$N$5:$N$1682)</f>
        <v>0</v>
      </c>
      <c r="X321" s="702"/>
      <c r="Z321" s="666"/>
      <c r="AA321" s="661">
        <v>1436</v>
      </c>
      <c r="AB321" s="672">
        <f>+SUMIF(SYS_4_3_Digitos!$M$5:$M$1682,BALANCE!AA321,SYS_4_3_Digitos!$N$5:$N$1682)</f>
        <v>0</v>
      </c>
    </row>
    <row r="322" spans="21:28" hidden="1">
      <c r="V322" s="661">
        <v>2394</v>
      </c>
      <c r="W322" s="662">
        <f>+SUMIF(SYS_4_3_Digitos!$M$5:$M$1682,BALANCE!V322,SYS_4_3_Digitos!$N$5:$N$1682)</f>
        <v>0</v>
      </c>
      <c r="X322" s="702"/>
      <c r="Z322" s="666"/>
      <c r="AA322" s="661">
        <v>1437</v>
      </c>
      <c r="AB322" s="672">
        <f>+SUMIF(SYS_4_3_Digitos!$M$5:$M$1682,BALANCE!AA322,SYS_4_3_Digitos!$N$5:$N$1682)</f>
        <v>0</v>
      </c>
    </row>
    <row r="323" spans="21:28" hidden="1">
      <c r="V323" s="661">
        <v>2395</v>
      </c>
      <c r="W323" s="662">
        <f>+SUMIF(SYS_4_3_Digitos!$M$5:$M$1682,BALANCE!V323,SYS_4_3_Digitos!$N$5:$N$1682)</f>
        <v>0</v>
      </c>
      <c r="X323" s="702"/>
      <c r="Z323" s="666"/>
      <c r="AA323" s="661">
        <v>1438</v>
      </c>
      <c r="AB323" s="672">
        <f>+SUMIF(SYS_4_3_Digitos!$M$5:$M$1682,BALANCE!AA323,SYS_4_3_Digitos!$N$5:$N$1682)</f>
        <v>0</v>
      </c>
    </row>
    <row r="324" spans="21:28" hidden="1">
      <c r="V324" s="661">
        <v>2396</v>
      </c>
      <c r="W324" s="662">
        <f>+SUMIF(SYS_4_3_Digitos!$M$5:$M$1682,BALANCE!V324,SYS_4_3_Digitos!$N$5:$N$1682)</f>
        <v>0</v>
      </c>
      <c r="X324" s="702"/>
      <c r="Z324" s="666"/>
      <c r="AA324" s="661">
        <v>1439</v>
      </c>
      <c r="AB324" s="672">
        <f>+SUMIF(SYS_4_3_Digitos!$M$5:$M$1682,BALANCE!AA324,SYS_4_3_Digitos!$N$5:$N$1682)</f>
        <v>0</v>
      </c>
    </row>
    <row r="325" spans="21:28" hidden="1">
      <c r="V325" s="661">
        <v>2397</v>
      </c>
      <c r="W325" s="662">
        <f>+SUMIF(SYS_4_3_Digitos!$M$5:$M$1682,BALANCE!V325,SYS_4_3_Digitos!$N$5:$N$1682)</f>
        <v>0</v>
      </c>
      <c r="X325" s="702"/>
      <c r="Z325" s="666"/>
      <c r="AA325" s="661">
        <v>1470</v>
      </c>
      <c r="AB325" s="672">
        <f ca="1">+SUMIF(SYS_4_3_Digitos!$M$5:$M$1682,BALANCE!AA325,SYS_4_3_Digitos!$N$5:$N$1682)</f>
        <v>0</v>
      </c>
    </row>
    <row r="326" spans="21:28" hidden="1">
      <c r="V326" s="661">
        <v>2398</v>
      </c>
      <c r="W326" s="662">
        <f>+SUMIF(SYS_4_3_Digitos!$M$5:$M$1682,BALANCE!V326,SYS_4_3_Digitos!$N$5:$N$1682)</f>
        <v>0</v>
      </c>
      <c r="X326" s="702"/>
      <c r="Z326" s="666"/>
      <c r="AA326" s="661">
        <v>1471</v>
      </c>
      <c r="AB326" s="672">
        <f>+SUMIF(SYS_4_3_Digitos!$M$5:$M$1682,BALANCE!AA326,SYS_4_3_Digitos!$N$5:$N$1682)</f>
        <v>0</v>
      </c>
    </row>
    <row r="327" spans="21:28" hidden="1">
      <c r="V327" s="661">
        <v>2399</v>
      </c>
      <c r="W327" s="662">
        <f>+SUMIF(SYS_4_3_Digitos!$M$5:$M$1682,BALANCE!V327,SYS_4_3_Digitos!$N$5:$N$1682)</f>
        <v>0</v>
      </c>
      <c r="X327" s="702"/>
      <c r="Z327" s="666"/>
      <c r="AA327" s="661">
        <v>1472</v>
      </c>
      <c r="AB327" s="672">
        <f>+SUMIF(SYS_4_3_Digitos!$M$5:$M$1682,BALANCE!AA327,SYS_4_3_Digitos!$N$5:$N$1682)</f>
        <v>0</v>
      </c>
    </row>
    <row r="328" spans="21:28" hidden="1">
      <c r="U328" s="715" t="s">
        <v>116</v>
      </c>
      <c r="V328" s="664" t="s">
        <v>16</v>
      </c>
      <c r="W328" s="699"/>
      <c r="X328" s="699"/>
      <c r="Z328" s="666"/>
      <c r="AA328" s="661">
        <v>1473</v>
      </c>
      <c r="AB328" s="672">
        <f>+SUMIF(SYS_4_3_Digitos!$M$5:$M$1682,BALANCE!AA328,SYS_4_3_Digitos!$N$5:$N$1682)</f>
        <v>0</v>
      </c>
    </row>
    <row r="329" spans="21:28" hidden="1">
      <c r="V329" s="653" t="s">
        <v>17</v>
      </c>
      <c r="W329" s="654">
        <f ca="1">SUM(W330:W340)</f>
        <v>4595214.4400000004</v>
      </c>
      <c r="X329" s="702"/>
      <c r="Z329" s="666"/>
      <c r="AA329" s="661">
        <v>1474</v>
      </c>
      <c r="AB329" s="672">
        <f>+SUMIF(SYS_4_3_Digitos!$M$5:$M$1682,BALANCE!AA329,SYS_4_3_Digitos!$N$5:$N$1682)</f>
        <v>0</v>
      </c>
    </row>
    <row r="330" spans="21:28" hidden="1">
      <c r="V330" s="661">
        <v>2200</v>
      </c>
      <c r="W330" s="662">
        <f ca="1">+SUMIF(SYS_4_3_Digitos!$M$5:$M$1682,BALANCE!V330,SYS_4_3_Digitos!$N$5:$N$1682)</f>
        <v>4595214.4400000004</v>
      </c>
      <c r="X330" s="702"/>
      <c r="Z330" s="666"/>
      <c r="AA330" s="661">
        <v>1475</v>
      </c>
      <c r="AB330" s="672">
        <f>+SUMIF(SYS_4_3_Digitos!$M$5:$M$1682,BALANCE!AA330,SYS_4_3_Digitos!$N$5:$N$1682)</f>
        <v>0</v>
      </c>
    </row>
    <row r="331" spans="21:28" hidden="1">
      <c r="V331" s="661">
        <v>2201</v>
      </c>
      <c r="W331" s="662">
        <f>+SUMIF(SYS_4_3_Digitos!$M$5:$M$1682,BALANCE!V331,SYS_4_3_Digitos!$N$5:$N$1682)</f>
        <v>0</v>
      </c>
      <c r="X331" s="702"/>
      <c r="Z331" s="666"/>
      <c r="AA331" s="661">
        <v>1476</v>
      </c>
      <c r="AB331" s="672">
        <f>+SUMIF(SYS_4_3_Digitos!$M$5:$M$1682,BALANCE!AA331,SYS_4_3_Digitos!$N$5:$N$1682)</f>
        <v>0</v>
      </c>
    </row>
    <row r="332" spans="21:28" hidden="1">
      <c r="V332" s="661">
        <v>2202</v>
      </c>
      <c r="W332" s="662">
        <f>+SUMIF(SYS_4_3_Digitos!$M$5:$M$1682,BALANCE!V332,SYS_4_3_Digitos!$N$5:$N$1682)</f>
        <v>0</v>
      </c>
      <c r="X332" s="702"/>
      <c r="Z332" s="666"/>
      <c r="AA332" s="661">
        <v>1477</v>
      </c>
      <c r="AB332" s="672">
        <f>+SUMIF(SYS_4_3_Digitos!$M$5:$M$1682,BALANCE!AA332,SYS_4_3_Digitos!$N$5:$N$1682)</f>
        <v>0</v>
      </c>
    </row>
    <row r="333" spans="21:28" hidden="1">
      <c r="V333" s="661">
        <v>2203</v>
      </c>
      <c r="W333" s="662">
        <f>+SUMIF(SYS_4_3_Digitos!$M$5:$M$1682,BALANCE!V333,SYS_4_3_Digitos!$N$5:$N$1682)</f>
        <v>0</v>
      </c>
      <c r="X333" s="702"/>
      <c r="Z333" s="666"/>
      <c r="AA333" s="661">
        <v>1478</v>
      </c>
      <c r="AB333" s="672">
        <f>+SUMIF(SYS_4_3_Digitos!$M$5:$M$1682,BALANCE!AA333,SYS_4_3_Digitos!$N$5:$N$1682)</f>
        <v>0</v>
      </c>
    </row>
    <row r="334" spans="21:28" hidden="1">
      <c r="V334" s="661">
        <v>2204</v>
      </c>
      <c r="W334" s="662">
        <f>+SUMIF(SYS_4_3_Digitos!$M$5:$M$1682,BALANCE!V334,SYS_4_3_Digitos!$N$5:$N$1682)</f>
        <v>0</v>
      </c>
      <c r="X334" s="702"/>
      <c r="Z334" s="666"/>
      <c r="AA334" s="661">
        <v>1479</v>
      </c>
      <c r="AB334" s="672">
        <f>+SUMIF(SYS_4_3_Digitos!$M$5:$M$1682,BALANCE!AA334,SYS_4_3_Digitos!$N$5:$N$1682)</f>
        <v>0</v>
      </c>
    </row>
    <row r="335" spans="21:28" hidden="1">
      <c r="V335" s="661">
        <v>2205</v>
      </c>
      <c r="W335" s="662">
        <f>+SUMIF(SYS_4_3_Digitos!$M$5:$M$1682,BALANCE!V335,SYS_4_3_Digitos!$N$5:$N$1682)</f>
        <v>0</v>
      </c>
      <c r="X335" s="702"/>
      <c r="Z335" s="666"/>
      <c r="AA335" s="664" t="s">
        <v>82</v>
      </c>
      <c r="AB335" s="642"/>
    </row>
    <row r="336" spans="21:28" hidden="1">
      <c r="V336" s="661">
        <v>2206</v>
      </c>
      <c r="W336" s="662">
        <f>+SUMIF(SYS_4_3_Digitos!$M$5:$M$1682,BALANCE!V336,SYS_4_3_Digitos!$N$5:$N$1682)</f>
        <v>0</v>
      </c>
      <c r="X336" s="702"/>
      <c r="Z336" s="666" t="s">
        <v>152</v>
      </c>
      <c r="AA336" s="653" t="s">
        <v>83</v>
      </c>
      <c r="AB336" s="667">
        <f ca="1">SUM(AB337:AB366)</f>
        <v>0</v>
      </c>
    </row>
    <row r="337" spans="21:28" hidden="1">
      <c r="V337" s="661">
        <v>2207</v>
      </c>
      <c r="W337" s="662">
        <f>+SUMIF(SYS_4_3_Digitos!$M$5:$M$1682,BALANCE!V337,SYS_4_3_Digitos!$N$5:$N$1682)</f>
        <v>0</v>
      </c>
      <c r="X337" s="702"/>
      <c r="Z337" s="666"/>
      <c r="AA337" s="661">
        <v>1770</v>
      </c>
      <c r="AB337" s="672">
        <f ca="1">+SUMIF(SYS_4_3_Digitos!$M$5:$M$1682,BALANCE!AA337,SYS_4_3_Digitos!$N$5:$N$1682)</f>
        <v>0</v>
      </c>
    </row>
    <row r="338" spans="21:28" hidden="1">
      <c r="V338" s="661">
        <v>2208</v>
      </c>
      <c r="W338" s="662">
        <f>+SUMIF(SYS_4_3_Digitos!$M$5:$M$1682,BALANCE!V338,SYS_4_3_Digitos!$N$5:$N$1682)</f>
        <v>0</v>
      </c>
      <c r="X338" s="702"/>
      <c r="Z338" s="666"/>
      <c r="AA338" s="661">
        <v>1771</v>
      </c>
      <c r="AB338" s="672">
        <f>+SUMIF(SYS_4_3_Digitos!$M$5:$M$1682,BALANCE!AA338,SYS_4_3_Digitos!$N$5:$N$1682)</f>
        <v>0</v>
      </c>
    </row>
    <row r="339" spans="21:28" hidden="1">
      <c r="V339" s="661">
        <v>2209</v>
      </c>
      <c r="W339" s="662">
        <f>+SUMIF(SYS_4_3_Digitos!$M$5:$M$1682,BALANCE!V339,SYS_4_3_Digitos!$N$5:$N$1682)</f>
        <v>0</v>
      </c>
      <c r="X339" s="702"/>
      <c r="Z339" s="666"/>
      <c r="AA339" s="661">
        <v>1772</v>
      </c>
      <c r="AB339" s="672">
        <f>+SUMIF(SYS_4_3_Digitos!$M$5:$M$1682,BALANCE!AA339,SYS_4_3_Digitos!$N$5:$N$1682)</f>
        <v>0</v>
      </c>
    </row>
    <row r="340" spans="21:28" hidden="1">
      <c r="U340" s="715" t="s">
        <v>117</v>
      </c>
      <c r="V340" s="661">
        <v>2920</v>
      </c>
      <c r="W340" s="662">
        <f ca="1">+SUMIF(SYS_4_3_Digitos!$M$5:$M$1682,BALANCE!V340,SYS_4_3_Digitos!$N$5:$N$1682)</f>
        <v>0</v>
      </c>
      <c r="X340" s="702"/>
      <c r="Z340" s="666"/>
      <c r="AA340" s="661">
        <v>1773</v>
      </c>
      <c r="AB340" s="672">
        <f>+SUMIF(SYS_4_3_Digitos!$M$5:$M$1682,BALANCE!AA340,SYS_4_3_Digitos!$N$5:$N$1682)</f>
        <v>0</v>
      </c>
    </row>
    <row r="341" spans="21:28" hidden="1">
      <c r="V341" s="653" t="s">
        <v>18</v>
      </c>
      <c r="W341" s="654">
        <f ca="1">SUM(W342:W362)</f>
        <v>17690350.210000001</v>
      </c>
      <c r="X341" s="702"/>
      <c r="Z341" s="666"/>
      <c r="AA341" s="661">
        <v>1774</v>
      </c>
      <c r="AB341" s="672">
        <f>+SUMIF(SYS_4_3_Digitos!$M$5:$M$1682,BALANCE!AA341,SYS_4_3_Digitos!$N$5:$N$1682)</f>
        <v>0</v>
      </c>
    </row>
    <row r="342" spans="21:28" hidden="1">
      <c r="V342" s="661">
        <v>2210</v>
      </c>
      <c r="W342" s="662">
        <f ca="1">+SUMIF(SYS_4_3_Digitos!$M$5:$M$1682,BALANCE!V342,SYS_4_3_Digitos!$N$5:$N$1682)</f>
        <v>18589908.699999999</v>
      </c>
      <c r="X342" s="702"/>
      <c r="Z342" s="666"/>
      <c r="AA342" s="661">
        <v>1775</v>
      </c>
      <c r="AB342" s="672">
        <f>+SUMIF(SYS_4_3_Digitos!$M$5:$M$1682,BALANCE!AA342,SYS_4_3_Digitos!$N$5:$N$1682)</f>
        <v>0</v>
      </c>
    </row>
    <row r="343" spans="21:28" hidden="1">
      <c r="V343" s="661">
        <v>2211</v>
      </c>
      <c r="W343" s="662">
        <f>+SUMIF(SYS_4_3_Digitos!$M$5:$M$1682,BALANCE!V343,SYS_4_3_Digitos!$N$5:$N$1682)</f>
        <v>0</v>
      </c>
      <c r="X343" s="702"/>
      <c r="Z343" s="666"/>
      <c r="AA343" s="661">
        <v>1776</v>
      </c>
      <c r="AB343" s="672">
        <f>+SUMIF(SYS_4_3_Digitos!$M$5:$M$1682,BALANCE!AA343,SYS_4_3_Digitos!$N$5:$N$1682)</f>
        <v>0</v>
      </c>
    </row>
    <row r="344" spans="21:28" hidden="1">
      <c r="V344" s="661">
        <v>2212</v>
      </c>
      <c r="W344" s="662">
        <f>+SUMIF(SYS_4_3_Digitos!$M$5:$M$1682,BALANCE!V344,SYS_4_3_Digitos!$N$5:$N$1682)</f>
        <v>0</v>
      </c>
      <c r="X344" s="702"/>
      <c r="Z344" s="666"/>
      <c r="AA344" s="661">
        <v>1777</v>
      </c>
      <c r="AB344" s="672">
        <f>+SUMIF(SYS_4_3_Digitos!$M$5:$M$1682,BALANCE!AA344,SYS_4_3_Digitos!$N$5:$N$1682)</f>
        <v>0</v>
      </c>
    </row>
    <row r="345" spans="21:28" hidden="1">
      <c r="V345" s="661">
        <v>2213</v>
      </c>
      <c r="W345" s="662">
        <f>+SUMIF(SYS_4_3_Digitos!$M$5:$M$1682,BALANCE!V345,SYS_4_3_Digitos!$N$5:$N$1682)</f>
        <v>0</v>
      </c>
      <c r="X345" s="702"/>
      <c r="Z345" s="666"/>
      <c r="AA345" s="661">
        <v>1778</v>
      </c>
      <c r="AB345" s="672">
        <f>+SUMIF(SYS_4_3_Digitos!$M$5:$M$1682,BALANCE!AA345,SYS_4_3_Digitos!$N$5:$N$1682)</f>
        <v>0</v>
      </c>
    </row>
    <row r="346" spans="21:28" hidden="1">
      <c r="V346" s="661">
        <v>2214</v>
      </c>
      <c r="W346" s="662">
        <f>+SUMIF(SYS_4_3_Digitos!$M$5:$M$1682,BALANCE!V346,SYS_4_3_Digitos!$N$5:$N$1682)</f>
        <v>0</v>
      </c>
      <c r="X346" s="702"/>
      <c r="Z346" s="666"/>
      <c r="AA346" s="661">
        <v>1779</v>
      </c>
      <c r="AB346" s="672">
        <f>+SUMIF(SYS_4_3_Digitos!$M$5:$M$1682,BALANCE!AA346,SYS_4_3_Digitos!$N$5:$N$1682)</f>
        <v>0</v>
      </c>
    </row>
    <row r="347" spans="21:28" hidden="1">
      <c r="V347" s="661">
        <v>2215</v>
      </c>
      <c r="W347" s="662">
        <f>+SUMIF(SYS_4_3_Digitos!$M$5:$M$1682,BALANCE!V347,SYS_4_3_Digitos!$N$5:$N$1682)</f>
        <v>0</v>
      </c>
      <c r="X347" s="702"/>
      <c r="Z347" s="666"/>
      <c r="AA347" s="661">
        <v>1780</v>
      </c>
      <c r="AB347" s="672">
        <f ca="1">+SUMIF(SYS_4_3_Digitos!$M$5:$M$1682,BALANCE!AA347,SYS_4_3_Digitos!$N$5:$N$1682)</f>
        <v>0</v>
      </c>
    </row>
    <row r="348" spans="21:28" hidden="1">
      <c r="V348" s="661">
        <v>2216</v>
      </c>
      <c r="W348" s="662">
        <f>+SUMIF(SYS_4_3_Digitos!$M$5:$M$1682,BALANCE!V348,SYS_4_3_Digitos!$N$5:$N$1682)</f>
        <v>0</v>
      </c>
      <c r="X348" s="702"/>
      <c r="Z348" s="666"/>
      <c r="AA348" s="661">
        <v>1781</v>
      </c>
      <c r="AB348" s="672">
        <f>+SUMIF(SYS_4_3_Digitos!$M$5:$M$1682,BALANCE!AA348,SYS_4_3_Digitos!$N$5:$N$1682)</f>
        <v>0</v>
      </c>
    </row>
    <row r="349" spans="21:28" hidden="1">
      <c r="V349" s="661">
        <v>2217</v>
      </c>
      <c r="W349" s="662">
        <f>+SUMIF(SYS_4_3_Digitos!$M$5:$M$1682,BALANCE!V349,SYS_4_3_Digitos!$N$5:$N$1682)</f>
        <v>0</v>
      </c>
      <c r="X349" s="702"/>
      <c r="Z349" s="666"/>
      <c r="AA349" s="661">
        <v>1782</v>
      </c>
      <c r="AB349" s="672">
        <f>+SUMIF(SYS_4_3_Digitos!$M$5:$M$1682,BALANCE!AA349,SYS_4_3_Digitos!$N$5:$N$1682)</f>
        <v>0</v>
      </c>
    </row>
    <row r="350" spans="21:28" hidden="1">
      <c r="V350" s="661">
        <v>2218</v>
      </c>
      <c r="W350" s="662">
        <f>+SUMIF(SYS_4_3_Digitos!$M$5:$M$1682,BALANCE!V350,SYS_4_3_Digitos!$N$5:$N$1682)</f>
        <v>0</v>
      </c>
      <c r="X350" s="702"/>
      <c r="Z350" s="666"/>
      <c r="AA350" s="661">
        <v>1783</v>
      </c>
      <c r="AB350" s="672">
        <f>+SUMIF(SYS_4_3_Digitos!$M$5:$M$1682,BALANCE!AA350,SYS_4_3_Digitos!$N$5:$N$1682)</f>
        <v>0</v>
      </c>
    </row>
    <row r="351" spans="21:28" hidden="1">
      <c r="V351" s="661">
        <v>2219</v>
      </c>
      <c r="W351" s="662">
        <f>+SUMIF(SYS_4_3_Digitos!$M$5:$M$1682,BALANCE!V351,SYS_4_3_Digitos!$N$5:$N$1682)</f>
        <v>0</v>
      </c>
      <c r="X351" s="702"/>
      <c r="Z351" s="666"/>
      <c r="AA351" s="661">
        <v>1784</v>
      </c>
      <c r="AB351" s="672">
        <f>+SUMIF(SYS_4_3_Digitos!$M$5:$M$1682,BALANCE!AA351,SYS_4_3_Digitos!$N$5:$N$1682)</f>
        <v>0</v>
      </c>
    </row>
    <row r="352" spans="21:28" hidden="1">
      <c r="V352" s="661">
        <v>2820</v>
      </c>
      <c r="W352" s="662">
        <f ca="1">+SUMIF(SYS_4_3_Digitos!$M$5:$M$1682,BALANCE!V352,SYS_4_3_Digitos!$N$5:$N$1682)</f>
        <v>-899558.49</v>
      </c>
      <c r="X352" s="702"/>
      <c r="Z352" s="666"/>
      <c r="AA352" s="661">
        <v>1785</v>
      </c>
      <c r="AB352" s="672">
        <f>+SUMIF(SYS_4_3_Digitos!$M$5:$M$1682,BALANCE!AA352,SYS_4_3_Digitos!$N$5:$N$1682)</f>
        <v>0</v>
      </c>
    </row>
    <row r="353" spans="21:28" hidden="1">
      <c r="V353" s="661">
        <v>2821</v>
      </c>
      <c r="W353" s="662">
        <f>+SUMIF(SYS_4_3_Digitos!$M$5:$M$1682,BALANCE!V353,SYS_4_3_Digitos!$N$5:$N$1682)</f>
        <v>0</v>
      </c>
      <c r="X353" s="699"/>
      <c r="Z353" s="666"/>
      <c r="AA353" s="661">
        <v>1786</v>
      </c>
      <c r="AB353" s="672">
        <f>+SUMIF(SYS_4_3_Digitos!$M$5:$M$1682,BALANCE!AA353,SYS_4_3_Digitos!$N$5:$N$1682)</f>
        <v>0</v>
      </c>
    </row>
    <row r="354" spans="21:28" hidden="1">
      <c r="V354" s="661">
        <v>2822</v>
      </c>
      <c r="W354" s="662">
        <f>+SUMIF(SYS_4_3_Digitos!$M$5:$M$1682,BALANCE!V354,SYS_4_3_Digitos!$N$5:$N$1682)</f>
        <v>0</v>
      </c>
      <c r="X354" s="702"/>
      <c r="Z354" s="666"/>
      <c r="AA354" s="661">
        <v>1787</v>
      </c>
      <c r="AB354" s="672">
        <f>+SUMIF(SYS_4_3_Digitos!$M$5:$M$1682,BALANCE!AA354,SYS_4_3_Digitos!$N$5:$N$1682)</f>
        <v>0</v>
      </c>
    </row>
    <row r="355" spans="21:28" hidden="1">
      <c r="V355" s="661">
        <v>2823</v>
      </c>
      <c r="W355" s="662">
        <f>+SUMIF(SYS_4_3_Digitos!$M$5:$M$1682,BALANCE!V355,SYS_4_3_Digitos!$N$5:$N$1682)</f>
        <v>0</v>
      </c>
      <c r="X355" s="702"/>
      <c r="Z355" s="666"/>
      <c r="AA355" s="661">
        <v>1788</v>
      </c>
      <c r="AB355" s="672">
        <f>+SUMIF(SYS_4_3_Digitos!$M$5:$M$1682,BALANCE!AA355,SYS_4_3_Digitos!$N$5:$N$1682)</f>
        <v>0</v>
      </c>
    </row>
    <row r="356" spans="21:28" hidden="1">
      <c r="V356" s="661">
        <v>2824</v>
      </c>
      <c r="W356" s="662">
        <f>+SUMIF(SYS_4_3_Digitos!$M$5:$M$1682,BALANCE!V356,SYS_4_3_Digitos!$N$5:$N$1682)</f>
        <v>0</v>
      </c>
      <c r="X356" s="702"/>
      <c r="Z356" s="666"/>
      <c r="AA356" s="661">
        <v>1789</v>
      </c>
      <c r="AB356" s="672">
        <f>+SUMIF(SYS_4_3_Digitos!$M$5:$M$1682,BALANCE!AA356,SYS_4_3_Digitos!$N$5:$N$1682)</f>
        <v>0</v>
      </c>
    </row>
    <row r="357" spans="21:28" hidden="1">
      <c r="V357" s="661">
        <v>2825</v>
      </c>
      <c r="W357" s="662">
        <f>+SUMIF(SYS_4_3_Digitos!$M$5:$M$1682,BALANCE!V357,SYS_4_3_Digitos!$N$5:$N$1682)</f>
        <v>0</v>
      </c>
      <c r="X357" s="702"/>
      <c r="Z357" s="666"/>
      <c r="AA357" s="661">
        <v>1790</v>
      </c>
      <c r="AB357" s="672">
        <f ca="1">+SUMIF(SYS_4_3_Digitos!$M$5:$M$1682,BALANCE!AA357,SYS_4_3_Digitos!$N$5:$N$1682)</f>
        <v>0</v>
      </c>
    </row>
    <row r="358" spans="21:28" hidden="1">
      <c r="V358" s="661">
        <v>2826</v>
      </c>
      <c r="W358" s="662">
        <f>+SUMIF(SYS_4_3_Digitos!$M$5:$M$1682,BALANCE!V358,SYS_4_3_Digitos!$N$5:$N$1682)</f>
        <v>0</v>
      </c>
      <c r="X358" s="702"/>
      <c r="Z358" s="666"/>
      <c r="AA358" s="661">
        <v>1791</v>
      </c>
      <c r="AB358" s="672">
        <f>+SUMIF(SYS_4_3_Digitos!$M$5:$M$1682,BALANCE!AA358,SYS_4_3_Digitos!$N$5:$N$1682)</f>
        <v>0</v>
      </c>
    </row>
    <row r="359" spans="21:28" hidden="1">
      <c r="V359" s="661">
        <v>2827</v>
      </c>
      <c r="W359" s="662">
        <f>+SUMIF(SYS_4_3_Digitos!$M$5:$M$1682,BALANCE!V359,SYS_4_3_Digitos!$N$5:$N$1682)</f>
        <v>0</v>
      </c>
      <c r="X359" s="702"/>
      <c r="Z359" s="666"/>
      <c r="AA359" s="661">
        <v>1792</v>
      </c>
      <c r="AB359" s="672">
        <f>+SUMIF(SYS_4_3_Digitos!$M$5:$M$1682,BALANCE!AA359,SYS_4_3_Digitos!$N$5:$N$1682)</f>
        <v>0</v>
      </c>
    </row>
    <row r="360" spans="21:28" hidden="1">
      <c r="V360" s="661">
        <v>2828</v>
      </c>
      <c r="W360" s="662">
        <f>+SUMIF(SYS_4_3_Digitos!$M$5:$M$1682,BALANCE!V360,SYS_4_3_Digitos!$N$5:$N$1682)</f>
        <v>0</v>
      </c>
      <c r="X360" s="702"/>
      <c r="Z360" s="666"/>
      <c r="AA360" s="661">
        <v>1793</v>
      </c>
      <c r="AB360" s="672">
        <f>+SUMIF(SYS_4_3_Digitos!$M$5:$M$1682,BALANCE!AA360,SYS_4_3_Digitos!$N$5:$N$1682)</f>
        <v>0</v>
      </c>
    </row>
    <row r="361" spans="21:28" hidden="1">
      <c r="V361" s="661">
        <v>2829</v>
      </c>
      <c r="W361" s="662">
        <f>+SUMIF(SYS_4_3_Digitos!$M$5:$M$1682,BALANCE!V361,SYS_4_3_Digitos!$N$5:$N$1682)</f>
        <v>0</v>
      </c>
      <c r="X361" s="702"/>
      <c r="Z361" s="666"/>
      <c r="AA361" s="661">
        <v>1794</v>
      </c>
      <c r="AB361" s="672">
        <f>+SUMIF(SYS_4_3_Digitos!$M$5:$M$1682,BALANCE!AA361,SYS_4_3_Digitos!$N$5:$N$1682)</f>
        <v>0</v>
      </c>
    </row>
    <row r="362" spans="21:28" hidden="1">
      <c r="V362" s="661">
        <v>2921</v>
      </c>
      <c r="W362" s="662">
        <f>+SUMIF(SYS_4_3_Digitos!$M$5:$M$1682,BALANCE!V362,SYS_4_3_Digitos!$N$5:$N$1682)</f>
        <v>0</v>
      </c>
      <c r="X362" s="699"/>
      <c r="Z362" s="666"/>
      <c r="AA362" s="661">
        <v>1795</v>
      </c>
      <c r="AB362" s="672">
        <f>+SUMIF(SYS_4_3_Digitos!$M$5:$M$1682,BALANCE!AA362,SYS_4_3_Digitos!$N$5:$N$1682)</f>
        <v>0</v>
      </c>
    </row>
    <row r="363" spans="21:28" hidden="1">
      <c r="U363" s="715" t="s">
        <v>118</v>
      </c>
      <c r="V363" s="664" t="s">
        <v>19</v>
      </c>
      <c r="W363" s="699"/>
      <c r="X363" s="699"/>
      <c r="Z363" s="666"/>
      <c r="AA363" s="661">
        <v>1796</v>
      </c>
      <c r="AB363" s="672">
        <f>+SUMIF(SYS_4_3_Digitos!$M$5:$M$1682,BALANCE!AA363,SYS_4_3_Digitos!$N$5:$N$1682)</f>
        <v>0</v>
      </c>
    </row>
    <row r="364" spans="21:28" hidden="1">
      <c r="U364" s="715"/>
      <c r="V364" s="653" t="s">
        <v>20</v>
      </c>
      <c r="W364" s="654">
        <f ca="1">SUM(W365:W379)</f>
        <v>0</v>
      </c>
      <c r="X364" s="699"/>
      <c r="Z364" s="666"/>
      <c r="AA364" s="661">
        <v>1797</v>
      </c>
      <c r="AB364" s="672">
        <f>+SUMIF(SYS_4_3_Digitos!$M$5:$M$1682,BALANCE!AA364,SYS_4_3_Digitos!$N$5:$N$1682)</f>
        <v>0</v>
      </c>
    </row>
    <row r="365" spans="21:28" hidden="1">
      <c r="V365" s="661">
        <v>2400</v>
      </c>
      <c r="W365" s="662">
        <f>+SUMIF(SYS_4_3_Digitos!$M$5:$M$1682,BALANCE!V365,SYS_4_3_Digitos!$N$5:$N$1682)</f>
        <v>0</v>
      </c>
      <c r="X365" s="702"/>
      <c r="Z365" s="666"/>
      <c r="AA365" s="661">
        <v>1798</v>
      </c>
      <c r="AB365" s="672">
        <f>+SUMIF(SYS_4_3_Digitos!$M$5:$M$1682,BALANCE!AA365,SYS_4_3_Digitos!$N$5:$N$1682)</f>
        <v>0</v>
      </c>
    </row>
    <row r="366" spans="21:28" hidden="1">
      <c r="V366" s="661">
        <v>2403</v>
      </c>
      <c r="W366" s="662">
        <f ca="1">+SUMIF(SYS_4_3_Digitos!$M$5:$M$1682,BALANCE!V366,SYS_4_3_Digitos!$N$5:$N$1682)</f>
        <v>0</v>
      </c>
      <c r="X366" s="668"/>
      <c r="Z366" s="666"/>
      <c r="AA366" s="661">
        <v>1799</v>
      </c>
      <c r="AB366" s="672">
        <f>+SUMIF(SYS_4_3_Digitos!$M$5:$M$1682,BALANCE!AA366,SYS_4_3_Digitos!$N$5:$N$1682)</f>
        <v>0</v>
      </c>
    </row>
    <row r="367" spans="21:28" hidden="1">
      <c r="V367" s="661">
        <v>2404</v>
      </c>
      <c r="W367" s="662">
        <f ca="1">+SUMIF(SYS_4_3_Digitos!$M$5:$M$1682,BALANCE!V367,SYS_4_3_Digitos!$N$5:$N$1682)</f>
        <v>0</v>
      </c>
      <c r="X367" s="668"/>
      <c r="Z367" s="666" t="s">
        <v>153</v>
      </c>
      <c r="AA367" s="653" t="s">
        <v>84</v>
      </c>
      <c r="AB367" s="667">
        <f ca="1">SUM(AB368:AB378)</f>
        <v>0</v>
      </c>
    </row>
    <row r="368" spans="21:28" hidden="1">
      <c r="V368" s="661">
        <v>2493</v>
      </c>
      <c r="W368" s="662">
        <f ca="1">+SUMIF(SYS_4_3_Digitos!$M$5:$M$1682,BALANCE!V368,SYS_4_3_Digitos!$N$5:$N$1682)</f>
        <v>0</v>
      </c>
      <c r="X368" s="668"/>
      <c r="Z368" s="666"/>
      <c r="AA368" s="661">
        <v>1605</v>
      </c>
      <c r="AB368" s="672">
        <f>+SUMIF(SYS_4_3_Digitos!$M$5:$M$1682,BALANCE!AA368,SYS_4_3_Digitos!$N$5:$N$1682)</f>
        <v>0</v>
      </c>
    </row>
    <row r="369" spans="21:28" hidden="1">
      <c r="V369" s="661">
        <v>2494</v>
      </c>
      <c r="W369" s="662">
        <f>+SUMIF(SYS_4_3_Digitos!$M$5:$M$1682,BALANCE!V369,SYS_4_3_Digitos!$N$5:$N$1682)</f>
        <v>0</v>
      </c>
      <c r="X369" s="668"/>
      <c r="Z369" s="666"/>
      <c r="AA369" s="661">
        <v>1700</v>
      </c>
      <c r="AB369" s="672">
        <f ca="1">+SUMIF(SYS_4_3_Digitos!$M$5:$M$1682,BALANCE!AA369,SYS_4_3_Digitos!$N$5:$N$1682)</f>
        <v>0</v>
      </c>
    </row>
    <row r="370" spans="21:28" hidden="1">
      <c r="V370" s="661">
        <v>2930</v>
      </c>
      <c r="W370" s="662">
        <f>+SUMIF(SYS_4_3_Digitos!$M$5:$M$1682,BALANCE!V370,SYS_4_3_Digitos!$N$5:$N$1682)</f>
        <v>0</v>
      </c>
      <c r="Z370" s="666"/>
      <c r="AA370" s="661">
        <v>1701</v>
      </c>
      <c r="AB370" s="672">
        <f>+SUMIF(SYS_4_3_Digitos!$M$5:$M$1682,BALANCE!AA370,SYS_4_3_Digitos!$N$5:$N$1682)</f>
        <v>0</v>
      </c>
    </row>
    <row r="371" spans="21:28" hidden="1">
      <c r="V371" s="661">
        <v>2931</v>
      </c>
      <c r="W371" s="662">
        <f>+SUMIF(SYS_4_3_Digitos!$M$5:$M$1682,BALANCE!V371,SYS_4_3_Digitos!$N$5:$N$1682)</f>
        <v>0</v>
      </c>
      <c r="Z371" s="666"/>
      <c r="AA371" s="661">
        <v>1702</v>
      </c>
      <c r="AB371" s="672">
        <f>+SUMIF(SYS_4_3_Digitos!$M$5:$M$1682,BALANCE!AA371,SYS_4_3_Digitos!$N$5:$N$1682)</f>
        <v>0</v>
      </c>
    </row>
    <row r="372" spans="21:28" hidden="1">
      <c r="V372" s="661">
        <v>2932</v>
      </c>
      <c r="W372" s="662">
        <f>+SUMIF(SYS_4_3_Digitos!$M$5:$M$1682,BALANCE!V372,SYS_4_3_Digitos!$N$5:$N$1682)</f>
        <v>0</v>
      </c>
      <c r="Z372" s="666"/>
      <c r="AA372" s="661">
        <v>1703</v>
      </c>
      <c r="AB372" s="672">
        <f>+SUMIF(SYS_4_3_Digitos!$M$5:$M$1682,BALANCE!AA372,SYS_4_3_Digitos!$N$5:$N$1682)</f>
        <v>0</v>
      </c>
    </row>
    <row r="373" spans="21:28" hidden="1">
      <c r="V373" s="661">
        <v>2933</v>
      </c>
      <c r="W373" s="662">
        <f ca="1">+SUMIF(SYS_4_3_Digitos!$M$5:$M$1682,BALANCE!V373,SYS_4_3_Digitos!$N$5:$N$1682)</f>
        <v>0</v>
      </c>
      <c r="Z373" s="666"/>
      <c r="AA373" s="661">
        <v>1704</v>
      </c>
      <c r="AB373" s="672">
        <f>+SUMIF(SYS_4_3_Digitos!$M$5:$M$1682,BALANCE!AA373,SYS_4_3_Digitos!$N$5:$N$1682)</f>
        <v>0</v>
      </c>
    </row>
    <row r="374" spans="21:28" hidden="1">
      <c r="V374" s="661">
        <v>2934</v>
      </c>
      <c r="W374" s="662">
        <f ca="1">+SUMIF(SYS_4_3_Digitos!$M$5:$M$1682,BALANCE!V374,SYS_4_3_Digitos!$N$5:$N$1682)</f>
        <v>0</v>
      </c>
      <c r="Z374" s="666"/>
      <c r="AA374" s="661">
        <v>1705</v>
      </c>
      <c r="AB374" s="672">
        <f>+SUMIF(SYS_4_3_Digitos!$M$5:$M$1682,BALANCE!AA374,SYS_4_3_Digitos!$N$5:$N$1682)</f>
        <v>0</v>
      </c>
    </row>
    <row r="375" spans="21:28" hidden="1">
      <c r="V375" s="661">
        <v>2935</v>
      </c>
      <c r="W375" s="662">
        <f>+SUMIF(SYS_4_3_Digitos!$M$5:$M$1682,BALANCE!V375,SYS_4_3_Digitos!$N$5:$N$1682)</f>
        <v>0</v>
      </c>
      <c r="Z375" s="666"/>
      <c r="AA375" s="661">
        <v>1706</v>
      </c>
      <c r="AB375" s="672">
        <f>+SUMIF(SYS_4_3_Digitos!$M$5:$M$1682,BALANCE!AA375,SYS_4_3_Digitos!$N$5:$N$1682)</f>
        <v>0</v>
      </c>
    </row>
    <row r="376" spans="21:28" hidden="1">
      <c r="V376" s="661">
        <v>2936</v>
      </c>
      <c r="W376" s="662">
        <f>+SUMIF(SYS_4_3_Digitos!$M$5:$M$1682,BALANCE!V376,SYS_4_3_Digitos!$N$5:$N$1682)</f>
        <v>0</v>
      </c>
      <c r="Z376" s="666"/>
      <c r="AA376" s="661">
        <v>1707</v>
      </c>
      <c r="AB376" s="672">
        <f>+SUMIF(SYS_4_3_Digitos!$M$5:$M$1682,BALANCE!AA376,SYS_4_3_Digitos!$N$5:$N$1682)</f>
        <v>0</v>
      </c>
    </row>
    <row r="377" spans="21:28" hidden="1">
      <c r="V377" s="661">
        <v>2937</v>
      </c>
      <c r="W377" s="662">
        <f>+SUMIF(SYS_4_3_Digitos!$M$5:$M$1682,BALANCE!V377,SYS_4_3_Digitos!$N$5:$N$1682)</f>
        <v>0</v>
      </c>
      <c r="Z377" s="666"/>
      <c r="AA377" s="661">
        <v>1708</v>
      </c>
      <c r="AB377" s="672">
        <f>+SUMIF(SYS_4_3_Digitos!$M$5:$M$1682,BALANCE!AA377,SYS_4_3_Digitos!$N$5:$N$1682)</f>
        <v>0</v>
      </c>
    </row>
    <row r="378" spans="21:28" hidden="1">
      <c r="V378" s="661">
        <v>2938</v>
      </c>
      <c r="W378" s="662">
        <f>+SUMIF(SYS_4_3_Digitos!$M$5:$M$1682,BALANCE!V378,SYS_4_3_Digitos!$N$5:$N$1682)</f>
        <v>0</v>
      </c>
      <c r="Z378" s="666"/>
      <c r="AA378" s="661">
        <v>1709</v>
      </c>
      <c r="AB378" s="672">
        <f>+SUMIF(SYS_4_3_Digitos!$M$5:$M$1682,BALANCE!AA378,SYS_4_3_Digitos!$N$5:$N$1682)</f>
        <v>0</v>
      </c>
    </row>
    <row r="379" spans="21:28" hidden="1">
      <c r="U379" s="715" t="s">
        <v>634</v>
      </c>
      <c r="V379" s="661">
        <v>2939</v>
      </c>
      <c r="W379" s="662">
        <f>+SUMIF(SYS_4_3_Digitos!$M$5:$M$1682,BALANCE!V379,SYS_4_3_Digitos!$N$5:$N$1682)</f>
        <v>0</v>
      </c>
      <c r="Z379" s="666" t="s">
        <v>154</v>
      </c>
      <c r="AA379" s="653" t="s">
        <v>85</v>
      </c>
      <c r="AB379" s="667">
        <f ca="1">SUM(AB380:AB390)</f>
        <v>0</v>
      </c>
    </row>
    <row r="380" spans="21:28" hidden="1">
      <c r="U380" s="715"/>
      <c r="V380" s="653" t="s">
        <v>21</v>
      </c>
      <c r="W380" s="654">
        <f ca="1">SUM(W381:W385)</f>
        <v>0</v>
      </c>
      <c r="Z380" s="666"/>
      <c r="AA380" s="661">
        <v>1625</v>
      </c>
      <c r="AB380" s="672">
        <f>+SUMIF(SYS_4_3_Digitos!$M$5:$M$1682,BALANCE!AA380,SYS_4_3_Digitos!$N$5:$N$1682)</f>
        <v>0</v>
      </c>
    </row>
    <row r="381" spans="21:28" hidden="1">
      <c r="V381" s="661">
        <v>2420</v>
      </c>
      <c r="W381" s="662">
        <f>+SUMIF(SYS_4_3_Digitos!$M$5:$M$1682,BALANCE!V381,SYS_4_3_Digitos!$N$5:$N$1682)</f>
        <v>0</v>
      </c>
      <c r="Z381" s="666"/>
      <c r="AA381" s="661">
        <v>1740</v>
      </c>
      <c r="AB381" s="672">
        <f ca="1">+SUMIF(SYS_4_3_Digitos!$M$5:$M$1682,BALANCE!AA381,SYS_4_3_Digitos!$N$5:$N$1682)</f>
        <v>0</v>
      </c>
    </row>
    <row r="382" spans="21:28" hidden="1">
      <c r="V382" s="661">
        <v>2423</v>
      </c>
      <c r="W382" s="662">
        <f ca="1">+SUMIF(SYS_4_3_Digitos!$M$5:$M$1682,BALANCE!V382,SYS_4_3_Digitos!$N$5:$N$1682)</f>
        <v>0</v>
      </c>
      <c r="Z382" s="666"/>
      <c r="AA382" s="661">
        <v>1741</v>
      </c>
      <c r="AB382" s="672">
        <f>+SUMIF(SYS_4_3_Digitos!$M$5:$M$1682,BALANCE!AA382,SYS_4_3_Digitos!$N$5:$N$1682)</f>
        <v>0</v>
      </c>
    </row>
    <row r="383" spans="21:28" hidden="1">
      <c r="V383" s="661">
        <v>2424</v>
      </c>
      <c r="W383" s="662">
        <f ca="1">+SUMIF(SYS_4_3_Digitos!$M$5:$M$1682,BALANCE!V383,SYS_4_3_Digitos!$N$5:$N$1682)</f>
        <v>0</v>
      </c>
      <c r="Z383" s="666"/>
      <c r="AA383" s="661">
        <v>1742</v>
      </c>
      <c r="AB383" s="672">
        <f>+SUMIF(SYS_4_3_Digitos!$M$5:$M$1682,BALANCE!AA383,SYS_4_3_Digitos!$N$5:$N$1682)</f>
        <v>0</v>
      </c>
    </row>
    <row r="384" spans="21:28" hidden="1">
      <c r="V384" s="661">
        <v>2953</v>
      </c>
      <c r="W384" s="662">
        <f ca="1">+SUMIF(SYS_4_3_Digitos!$M$5:$M$1682,BALANCE!V384,SYS_4_3_Digitos!$N$5:$N$1682)</f>
        <v>0</v>
      </c>
      <c r="Z384" s="666"/>
      <c r="AA384" s="661">
        <v>1743</v>
      </c>
      <c r="AB384" s="672">
        <f>+SUMIF(SYS_4_3_Digitos!$M$5:$M$1682,BALANCE!AA384,SYS_4_3_Digitos!$N$5:$N$1682)</f>
        <v>0</v>
      </c>
    </row>
    <row r="385" spans="21:28" hidden="1">
      <c r="U385" s="715" t="s">
        <v>120</v>
      </c>
      <c r="V385" s="661">
        <v>2954</v>
      </c>
      <c r="W385" s="662">
        <f ca="1">+SUMIF(SYS_4_3_Digitos!$M$5:$M$1682,BALANCE!V385,SYS_4_3_Digitos!$N$5:$N$1682)</f>
        <v>0</v>
      </c>
      <c r="Z385" s="666"/>
      <c r="AA385" s="661">
        <v>1744</v>
      </c>
      <c r="AB385" s="672">
        <f>+SUMIF(SYS_4_3_Digitos!$M$5:$M$1682,BALANCE!AA385,SYS_4_3_Digitos!$N$5:$N$1682)</f>
        <v>0</v>
      </c>
    </row>
    <row r="386" spans="21:28" hidden="1">
      <c r="V386" s="653" t="s">
        <v>22</v>
      </c>
      <c r="W386" s="654">
        <f>SUM(W387:W390)</f>
        <v>0</v>
      </c>
      <c r="Z386" s="666"/>
      <c r="AA386" s="661">
        <v>1745</v>
      </c>
      <c r="AB386" s="672">
        <f>+SUMIF(SYS_4_3_Digitos!$M$5:$M$1682,BALANCE!AA386,SYS_4_3_Digitos!$N$5:$N$1682)</f>
        <v>0</v>
      </c>
    </row>
    <row r="387" spans="21:28" hidden="1">
      <c r="V387" s="661">
        <v>2413</v>
      </c>
      <c r="W387" s="662">
        <f>+SUMIF(SYS_4_3_Digitos!$M$5:$M$1682,BALANCE!V387,SYS_4_3_Digitos!$N$5:$N$1682)</f>
        <v>0</v>
      </c>
      <c r="Z387" s="666"/>
      <c r="AA387" s="661">
        <v>1746</v>
      </c>
      <c r="AB387" s="672">
        <f>+SUMIF(SYS_4_3_Digitos!$M$5:$M$1682,BALANCE!AA387,SYS_4_3_Digitos!$N$5:$N$1682)</f>
        <v>0</v>
      </c>
    </row>
    <row r="388" spans="21:28" hidden="1">
      <c r="V388" s="661">
        <v>2414</v>
      </c>
      <c r="W388" s="662">
        <f>+SUMIF(SYS_4_3_Digitos!$M$5:$M$1682,BALANCE!V388,SYS_4_3_Digitos!$N$5:$N$1682)</f>
        <v>0</v>
      </c>
      <c r="Z388" s="666"/>
      <c r="AA388" s="661">
        <v>1747</v>
      </c>
      <c r="AB388" s="672">
        <f>+SUMIF(SYS_4_3_Digitos!$M$5:$M$1682,BALANCE!AA388,SYS_4_3_Digitos!$N$5:$N$1682)</f>
        <v>0</v>
      </c>
    </row>
    <row r="389" spans="21:28" hidden="1">
      <c r="V389" s="661">
        <v>2943</v>
      </c>
      <c r="W389" s="662">
        <f>+SUMIF(SYS_4_3_Digitos!$M$5:$M$1682,BALANCE!V389,SYS_4_3_Digitos!$N$5:$N$1682)</f>
        <v>0</v>
      </c>
      <c r="Z389" s="666"/>
      <c r="AA389" s="661">
        <v>1748</v>
      </c>
      <c r="AB389" s="672">
        <f>+SUMIF(SYS_4_3_Digitos!$M$5:$M$1682,BALANCE!AA389,SYS_4_3_Digitos!$N$5:$N$1682)</f>
        <v>0</v>
      </c>
    </row>
    <row r="390" spans="21:28" hidden="1">
      <c r="V390" s="661">
        <v>2944</v>
      </c>
      <c r="W390" s="662">
        <f>+SUMIF(SYS_4_3_Digitos!$M$5:$M$1682,BALANCE!V390,SYS_4_3_Digitos!$N$5:$N$1682)</f>
        <v>0</v>
      </c>
      <c r="Z390" s="666"/>
      <c r="AA390" s="661">
        <v>1749</v>
      </c>
      <c r="AB390" s="672">
        <f>+SUMIF(SYS_4_3_Digitos!$M$5:$M$1682,BALANCE!AA390,SYS_4_3_Digitos!$N$5:$N$1682)</f>
        <v>0</v>
      </c>
    </row>
    <row r="391" spans="21:28" hidden="1">
      <c r="V391" s="653" t="s">
        <v>23</v>
      </c>
      <c r="W391" s="654"/>
      <c r="Z391" s="666">
        <v>176</v>
      </c>
      <c r="AA391" s="653" t="s">
        <v>23</v>
      </c>
      <c r="AB391" s="667">
        <f ca="1">SUM(AB392:AB401)</f>
        <v>0</v>
      </c>
    </row>
    <row r="392" spans="21:28" hidden="1">
      <c r="V392" s="653" t="s">
        <v>24</v>
      </c>
      <c r="W392" s="654"/>
      <c r="Z392" s="666"/>
      <c r="AA392" s="661">
        <v>1760</v>
      </c>
      <c r="AB392" s="672">
        <f ca="1">+SUMIF(SYS_4_3_Digitos!$M$5:$M$1682,BALANCE!AA392,SYS_4_3_Digitos!$N$5:$N$1682)</f>
        <v>0</v>
      </c>
    </row>
    <row r="393" spans="21:28" hidden="1">
      <c r="U393" s="715" t="s">
        <v>1885</v>
      </c>
      <c r="V393" s="664" t="s">
        <v>25</v>
      </c>
      <c r="W393" s="699"/>
      <c r="Z393" s="666"/>
      <c r="AA393" s="661">
        <v>1761</v>
      </c>
      <c r="AB393" s="672">
        <f>+SUMIF(SYS_4_3_Digitos!$M$5:$M$1682,BALANCE!AA393,SYS_4_3_Digitos!$N$5:$N$1682)</f>
        <v>0</v>
      </c>
    </row>
    <row r="394" spans="21:28" hidden="1">
      <c r="V394" s="653" t="s">
        <v>20</v>
      </c>
      <c r="W394" s="654">
        <f ca="1">SUM(W395:W417)</f>
        <v>163066826.97999999</v>
      </c>
      <c r="Z394" s="666"/>
      <c r="AA394" s="661">
        <v>1762</v>
      </c>
      <c r="AB394" s="672">
        <f>+SUMIF(SYS_4_3_Digitos!$M$5:$M$1682,BALANCE!AA394,SYS_4_3_Digitos!$N$5:$N$1682)</f>
        <v>0</v>
      </c>
    </row>
    <row r="395" spans="21:28" hidden="1">
      <c r="V395" s="661">
        <v>2405</v>
      </c>
      <c r="W395" s="662">
        <f ca="1">+SUMIF(SYS_4_3_Digitos!$M$5:$M$1682,BALANCE!V395,SYS_4_3_Digitos!$N$5:$N$1682)</f>
        <v>0</v>
      </c>
      <c r="Z395" s="666"/>
      <c r="AA395" s="661">
        <v>1763</v>
      </c>
      <c r="AB395" s="672">
        <f>+SUMIF(SYS_4_3_Digitos!$M$5:$M$1682,BALANCE!AA395,SYS_4_3_Digitos!$N$5:$N$1682)</f>
        <v>0</v>
      </c>
    </row>
    <row r="396" spans="21:28" hidden="1">
      <c r="V396" s="661">
        <v>2495</v>
      </c>
      <c r="W396" s="662">
        <f>+SUMIF(SYS_4_3_Digitos!$M$5:$M$1682,BALANCE!V396,SYS_4_3_Digitos!$N$5:$N$1682)</f>
        <v>0</v>
      </c>
      <c r="Z396" s="666"/>
      <c r="AA396" s="661">
        <v>1764</v>
      </c>
      <c r="AB396" s="672">
        <f>+SUMIF(SYS_4_3_Digitos!$M$5:$M$1682,BALANCE!AA396,SYS_4_3_Digitos!$N$5:$N$1682)</f>
        <v>0</v>
      </c>
    </row>
    <row r="397" spans="21:28" hidden="1">
      <c r="V397" s="661">
        <v>2500</v>
      </c>
      <c r="W397" s="662">
        <f ca="1">+SUMIF(SYS_4_3_Digitos!$M$5:$M$1682,BALANCE!V397,SYS_4_3_Digitos!$N$5:$N$1682)</f>
        <v>163066826.97999999</v>
      </c>
      <c r="Z397" s="666"/>
      <c r="AA397" s="661">
        <v>1765</v>
      </c>
      <c r="AB397" s="672">
        <f>+SUMIF(SYS_4_3_Digitos!$M$5:$M$1682,BALANCE!AA397,SYS_4_3_Digitos!$N$5:$N$1682)</f>
        <v>0</v>
      </c>
    </row>
    <row r="398" spans="21:28" hidden="1">
      <c r="V398" s="661">
        <v>2501</v>
      </c>
      <c r="W398" s="662">
        <f>+SUMIF(SYS_4_3_Digitos!$M$5:$M$1682,BALANCE!V398,SYS_4_3_Digitos!$N$5:$N$1682)</f>
        <v>0</v>
      </c>
      <c r="Z398" s="666"/>
      <c r="AA398" s="661">
        <v>1766</v>
      </c>
      <c r="AB398" s="672">
        <f>+SUMIF(SYS_4_3_Digitos!$M$5:$M$1682,BALANCE!AA398,SYS_4_3_Digitos!$N$5:$N$1682)</f>
        <v>0</v>
      </c>
    </row>
    <row r="399" spans="21:28" hidden="1">
      <c r="V399" s="661">
        <v>2502</v>
      </c>
      <c r="W399" s="662">
        <f>+SUMIF(SYS_4_3_Digitos!$M$5:$M$1682,BALANCE!V399,SYS_4_3_Digitos!$N$5:$N$1682)</f>
        <v>0</v>
      </c>
      <c r="Z399" s="666"/>
      <c r="AA399" s="661">
        <v>1767</v>
      </c>
      <c r="AB399" s="672">
        <f>+SUMIF(SYS_4_3_Digitos!$M$5:$M$1682,BALANCE!AA399,SYS_4_3_Digitos!$N$5:$N$1682)</f>
        <v>0</v>
      </c>
    </row>
    <row r="400" spans="21:28" hidden="1">
      <c r="V400" s="661">
        <v>2503</v>
      </c>
      <c r="W400" s="662">
        <f>+SUMIF(SYS_4_3_Digitos!$M$5:$M$1682,BALANCE!V400,SYS_4_3_Digitos!$N$5:$N$1682)</f>
        <v>0</v>
      </c>
      <c r="Z400" s="666"/>
      <c r="AA400" s="661">
        <v>1768</v>
      </c>
      <c r="AB400" s="672">
        <f>+SUMIF(SYS_4_3_Digitos!$M$5:$M$1682,BALANCE!AA400,SYS_4_3_Digitos!$N$5:$N$1682)</f>
        <v>0</v>
      </c>
    </row>
    <row r="401" spans="22:28" hidden="1">
      <c r="V401" s="661">
        <v>2504</v>
      </c>
      <c r="W401" s="662">
        <f>+SUMIF(SYS_4_3_Digitos!$M$5:$M$1682,BALANCE!V401,SYS_4_3_Digitos!$N$5:$N$1682)</f>
        <v>0</v>
      </c>
      <c r="Z401" s="666"/>
      <c r="AA401" s="661">
        <v>1769</v>
      </c>
      <c r="AB401" s="672">
        <f>+SUMIF(SYS_4_3_Digitos!$M$5:$M$1682,BALANCE!AA401,SYS_4_3_Digitos!$N$5:$N$1682)</f>
        <v>0</v>
      </c>
    </row>
    <row r="402" spans="22:28" hidden="1">
      <c r="V402" s="661">
        <v>2505</v>
      </c>
      <c r="W402" s="662">
        <f>+SUMIF(SYS_4_3_Digitos!$M$5:$M$1682,BALANCE!V402,SYS_4_3_Digitos!$N$5:$N$1682)</f>
        <v>0</v>
      </c>
      <c r="Z402" s="666" t="s">
        <v>155</v>
      </c>
      <c r="AA402" s="653" t="s">
        <v>86</v>
      </c>
      <c r="AB402" s="667">
        <f ca="1">SUM(AB403:AB474)</f>
        <v>-205434</v>
      </c>
    </row>
    <row r="403" spans="22:28" hidden="1">
      <c r="V403" s="661">
        <v>2506</v>
      </c>
      <c r="W403" s="662">
        <f>+SUMIF(SYS_4_3_Digitos!$M$5:$M$1682,BALANCE!V403,SYS_4_3_Digitos!$N$5:$N$1682)</f>
        <v>0</v>
      </c>
      <c r="Z403" s="666"/>
      <c r="AA403" s="661">
        <v>1615</v>
      </c>
      <c r="AB403" s="672">
        <f>+SUMIF(SYS_4_3_Digitos!$M$5:$M$1682,BALANCE!AA403,SYS_4_3_Digitos!$N$5:$N$1682)</f>
        <v>0</v>
      </c>
    </row>
    <row r="404" spans="22:28" hidden="1">
      <c r="V404" s="661">
        <v>2507</v>
      </c>
      <c r="W404" s="662">
        <f>+SUMIF(SYS_4_3_Digitos!$M$5:$M$1682,BALANCE!V404,SYS_4_3_Digitos!$N$5:$N$1682)</f>
        <v>0</v>
      </c>
      <c r="Z404" s="666"/>
      <c r="AA404" s="661">
        <v>1635</v>
      </c>
      <c r="AB404" s="672">
        <f ca="1">+SUMIF(SYS_4_3_Digitos!$M$5:$M$1682,BALANCE!AA404,SYS_4_3_Digitos!$N$5:$N$1682)</f>
        <v>0</v>
      </c>
    </row>
    <row r="405" spans="22:28" hidden="1">
      <c r="V405" s="661">
        <v>2508</v>
      </c>
      <c r="W405" s="662">
        <f>+SUMIF(SYS_4_3_Digitos!$M$5:$M$1682,BALANCE!V405,SYS_4_3_Digitos!$N$5:$N$1682)</f>
        <v>0</v>
      </c>
      <c r="Z405" s="666"/>
      <c r="AA405" s="661">
        <v>1710</v>
      </c>
      <c r="AB405" s="672">
        <f ca="1">+SUMIF(SYS_4_3_Digitos!$M$5:$M$1682,BALANCE!AA405,SYS_4_3_Digitos!$N$5:$N$1682)</f>
        <v>0</v>
      </c>
    </row>
    <row r="406" spans="22:28" hidden="1">
      <c r="V406" s="661">
        <v>2509</v>
      </c>
      <c r="W406" s="662">
        <f>+SUMIF(SYS_4_3_Digitos!$M$5:$M$1682,BALANCE!V406,SYS_4_3_Digitos!$N$5:$N$1682)</f>
        <v>0</v>
      </c>
      <c r="Z406" s="666"/>
      <c r="AA406" s="661">
        <v>1711</v>
      </c>
      <c r="AB406" s="672">
        <f>+SUMIF(SYS_4_3_Digitos!$M$5:$M$1682,BALANCE!AA406,SYS_4_3_Digitos!$N$5:$N$1682)</f>
        <v>0</v>
      </c>
    </row>
    <row r="407" spans="22:28" hidden="1">
      <c r="V407" s="661">
        <v>2590</v>
      </c>
      <c r="W407" s="662">
        <f ca="1">+SUMIF(SYS_4_3_Digitos!$M$5:$M$1682,BALANCE!V407,SYS_4_3_Digitos!$N$5:$N$1682)</f>
        <v>0</v>
      </c>
      <c r="Z407" s="666"/>
      <c r="AA407" s="661">
        <v>1712</v>
      </c>
      <c r="AB407" s="672">
        <f>+SUMIF(SYS_4_3_Digitos!$M$5:$M$1682,BALANCE!AA407,SYS_4_3_Digitos!$N$5:$N$1682)</f>
        <v>0</v>
      </c>
    </row>
    <row r="408" spans="22:28" hidden="1">
      <c r="V408" s="661">
        <v>2591</v>
      </c>
      <c r="W408" s="662">
        <f>+SUMIF(SYS_4_3_Digitos!$M$5:$M$1682,BALANCE!V408,SYS_4_3_Digitos!$N$5:$N$1682)</f>
        <v>0</v>
      </c>
      <c r="Z408" s="666"/>
      <c r="AA408" s="661">
        <v>1713</v>
      </c>
      <c r="AB408" s="672">
        <f>+SUMIF(SYS_4_3_Digitos!$M$5:$M$1682,BALANCE!AA408,SYS_4_3_Digitos!$N$5:$N$1682)</f>
        <v>0</v>
      </c>
    </row>
    <row r="409" spans="22:28" hidden="1">
      <c r="V409" s="661">
        <v>2592</v>
      </c>
      <c r="W409" s="662">
        <f>+SUMIF(SYS_4_3_Digitos!$M$5:$M$1682,BALANCE!V409,SYS_4_3_Digitos!$N$5:$N$1682)</f>
        <v>0</v>
      </c>
      <c r="Z409" s="666"/>
      <c r="AA409" s="661">
        <v>1714</v>
      </c>
      <c r="AB409" s="672">
        <f>+SUMIF(SYS_4_3_Digitos!$M$5:$M$1682,BALANCE!AA409,SYS_4_3_Digitos!$N$5:$N$1682)</f>
        <v>0</v>
      </c>
    </row>
    <row r="410" spans="22:28" hidden="1">
      <c r="V410" s="661">
        <v>2593</v>
      </c>
      <c r="W410" s="662">
        <f>+SUMIF(SYS_4_3_Digitos!$M$5:$M$1682,BALANCE!V410,SYS_4_3_Digitos!$N$5:$N$1682)</f>
        <v>0</v>
      </c>
      <c r="Z410" s="666"/>
      <c r="AA410" s="661">
        <v>1715</v>
      </c>
      <c r="AB410" s="672">
        <f>+SUMIF(SYS_4_3_Digitos!$M$5:$M$1682,BALANCE!AA410,SYS_4_3_Digitos!$N$5:$N$1682)</f>
        <v>0</v>
      </c>
    </row>
    <row r="411" spans="22:28" hidden="1">
      <c r="V411" s="661">
        <v>2594</v>
      </c>
      <c r="W411" s="662">
        <f>+SUMIF(SYS_4_3_Digitos!$M$5:$M$1682,BALANCE!V411,SYS_4_3_Digitos!$N$5:$N$1682)</f>
        <v>0</v>
      </c>
      <c r="Z411" s="666"/>
      <c r="AA411" s="661">
        <v>1716</v>
      </c>
      <c r="AB411" s="672">
        <f>+SUMIF(SYS_4_3_Digitos!$M$5:$M$1682,BALANCE!AA411,SYS_4_3_Digitos!$N$5:$N$1682)</f>
        <v>0</v>
      </c>
    </row>
    <row r="412" spans="22:28" hidden="1">
      <c r="V412" s="661">
        <v>2595</v>
      </c>
      <c r="W412" s="662">
        <f>+SUMIF(SYS_4_3_Digitos!$M$5:$M$1682,BALANCE!V412,SYS_4_3_Digitos!$N$5:$N$1682)</f>
        <v>0</v>
      </c>
      <c r="Z412" s="666"/>
      <c r="AA412" s="661">
        <v>1717</v>
      </c>
      <c r="AB412" s="672">
        <f>+SUMIF(SYS_4_3_Digitos!$M$5:$M$1682,BALANCE!AA412,SYS_4_3_Digitos!$N$5:$N$1682)</f>
        <v>0</v>
      </c>
    </row>
    <row r="413" spans="22:28" hidden="1">
      <c r="V413" s="661">
        <v>2596</v>
      </c>
      <c r="W413" s="662">
        <f>+SUMIF(SYS_4_3_Digitos!$M$5:$M$1682,BALANCE!V413,SYS_4_3_Digitos!$N$5:$N$1682)</f>
        <v>0</v>
      </c>
      <c r="Z413" s="666"/>
      <c r="AA413" s="661">
        <v>1718</v>
      </c>
      <c r="AB413" s="672">
        <f>+SUMIF(SYS_4_3_Digitos!$M$5:$M$1682,BALANCE!AA413,SYS_4_3_Digitos!$N$5:$N$1682)</f>
        <v>0</v>
      </c>
    </row>
    <row r="414" spans="22:28" hidden="1">
      <c r="V414" s="661">
        <v>2597</v>
      </c>
      <c r="W414" s="662">
        <f>+SUMIF(SYS_4_3_Digitos!$M$5:$M$1682,BALANCE!V414,SYS_4_3_Digitos!$N$5:$N$1682)</f>
        <v>0</v>
      </c>
      <c r="Z414" s="666"/>
      <c r="AA414" s="661">
        <v>1719</v>
      </c>
      <c r="AB414" s="672">
        <f>+SUMIF(SYS_4_3_Digitos!$M$5:$M$1682,BALANCE!AA414,SYS_4_3_Digitos!$N$5:$N$1682)</f>
        <v>0</v>
      </c>
    </row>
    <row r="415" spans="22:28" hidden="1">
      <c r="V415" s="661">
        <v>2598</v>
      </c>
      <c r="W415" s="662">
        <f>+SUMIF(SYS_4_3_Digitos!$M$5:$M$1682,BALANCE!V415,SYS_4_3_Digitos!$N$5:$N$1682)</f>
        <v>0</v>
      </c>
      <c r="Z415" s="666"/>
      <c r="AA415" s="661">
        <v>1720</v>
      </c>
      <c r="AB415" s="672">
        <f ca="1">+SUMIF(SYS_4_3_Digitos!$M$5:$M$1682,BALANCE!AA415,SYS_4_3_Digitos!$N$5:$N$1682)</f>
        <v>0</v>
      </c>
    </row>
    <row r="416" spans="22:28" hidden="1">
      <c r="V416" s="661">
        <v>2599</v>
      </c>
      <c r="W416" s="662">
        <f>+SUMIF(SYS_4_3_Digitos!$M$5:$M$1682,BALANCE!V416,SYS_4_3_Digitos!$N$5:$N$1682)</f>
        <v>0</v>
      </c>
      <c r="Z416" s="666"/>
      <c r="AA416" s="661">
        <v>1721</v>
      </c>
      <c r="AB416" s="672">
        <f>+SUMIF(SYS_4_3_Digitos!$M$5:$M$1682,BALANCE!AA416,SYS_4_3_Digitos!$N$5:$N$1682)</f>
        <v>0</v>
      </c>
    </row>
    <row r="417" spans="21:28" hidden="1">
      <c r="U417" s="715" t="s">
        <v>122</v>
      </c>
      <c r="V417" s="661">
        <v>2960</v>
      </c>
      <c r="W417" s="662">
        <f ca="1">+SUMIF(SYS_4_3_Digitos!$M$5:$M$1682,BALANCE!V417,SYS_4_3_Digitos!$N$5:$N$1682)</f>
        <v>0</v>
      </c>
      <c r="Z417" s="666"/>
      <c r="AA417" s="661">
        <v>1722</v>
      </c>
      <c r="AB417" s="672">
        <f>+SUMIF(SYS_4_3_Digitos!$M$5:$M$1682,BALANCE!AA417,SYS_4_3_Digitos!$N$5:$N$1682)</f>
        <v>0</v>
      </c>
    </row>
    <row r="418" spans="21:28" hidden="1">
      <c r="V418" s="653" t="s">
        <v>26</v>
      </c>
      <c r="W418" s="654">
        <f ca="1">SUM(W419:W451)</f>
        <v>6095.42</v>
      </c>
      <c r="Z418" s="666"/>
      <c r="AA418" s="661">
        <v>1723</v>
      </c>
      <c r="AB418" s="672">
        <f>+SUMIF(SYS_4_3_Digitos!$M$5:$M$1682,BALANCE!AA418,SYS_4_3_Digitos!$N$5:$N$1682)</f>
        <v>0</v>
      </c>
    </row>
    <row r="419" spans="21:28" hidden="1">
      <c r="V419" s="661">
        <v>2425</v>
      </c>
      <c r="W419" s="662">
        <f ca="1">+SUMIF(SYS_4_3_Digitos!$M$5:$M$1682,BALANCE!V419,SYS_4_3_Digitos!$N$5:$N$1682)</f>
        <v>0</v>
      </c>
      <c r="Z419" s="666"/>
      <c r="AA419" s="661">
        <v>1724</v>
      </c>
      <c r="AB419" s="672">
        <f>+SUMIF(SYS_4_3_Digitos!$M$5:$M$1682,BALANCE!AA419,SYS_4_3_Digitos!$N$5:$N$1682)</f>
        <v>0</v>
      </c>
    </row>
    <row r="420" spans="21:28" hidden="1">
      <c r="V420" s="661">
        <v>2520</v>
      </c>
      <c r="W420" s="662">
        <f ca="1">+SUMIF(SYS_4_3_Digitos!$M$5:$M$1682,BALANCE!V420,SYS_4_3_Digitos!$N$5:$N$1682)</f>
        <v>0</v>
      </c>
      <c r="Z420" s="666"/>
      <c r="AA420" s="661">
        <v>1725</v>
      </c>
      <c r="AB420" s="672">
        <f>+SUMIF(SYS_4_3_Digitos!$M$5:$M$1682,BALANCE!AA420,SYS_4_3_Digitos!$N$5:$N$1682)</f>
        <v>0</v>
      </c>
    </row>
    <row r="421" spans="21:28" hidden="1">
      <c r="V421" s="661">
        <v>2530</v>
      </c>
      <c r="W421" s="662">
        <f ca="1">+SUMIF(SYS_4_3_Digitos!$M$5:$M$1682,BALANCE!V421,SYS_4_3_Digitos!$N$5:$N$1682)</f>
        <v>0</v>
      </c>
      <c r="Z421" s="666"/>
      <c r="AA421" s="661">
        <v>1726</v>
      </c>
      <c r="AB421" s="672">
        <f>+SUMIF(SYS_4_3_Digitos!$M$5:$M$1682,BALANCE!AA421,SYS_4_3_Digitos!$N$5:$N$1682)</f>
        <v>0</v>
      </c>
    </row>
    <row r="422" spans="21:28" hidden="1">
      <c r="V422" s="661">
        <v>2531</v>
      </c>
      <c r="W422" s="662">
        <f>+SUMIF(SYS_4_3_Digitos!$M$5:$M$1682,BALANCE!V422,SYS_4_3_Digitos!$N$5:$N$1682)</f>
        <v>0</v>
      </c>
      <c r="Z422" s="666"/>
      <c r="AA422" s="661">
        <v>1727</v>
      </c>
      <c r="AB422" s="672">
        <f>+SUMIF(SYS_4_3_Digitos!$M$5:$M$1682,BALANCE!AA422,SYS_4_3_Digitos!$N$5:$N$1682)</f>
        <v>0</v>
      </c>
    </row>
    <row r="423" spans="21:28" hidden="1">
      <c r="V423" s="661">
        <v>2532</v>
      </c>
      <c r="W423" s="662">
        <f>+SUMIF(SYS_4_3_Digitos!$M$5:$M$1682,BALANCE!V423,SYS_4_3_Digitos!$N$5:$N$1682)</f>
        <v>0</v>
      </c>
      <c r="Z423" s="666"/>
      <c r="AA423" s="661">
        <v>1728</v>
      </c>
      <c r="AB423" s="672">
        <f>+SUMIF(SYS_4_3_Digitos!$M$5:$M$1682,BALANCE!AA423,SYS_4_3_Digitos!$N$5:$N$1682)</f>
        <v>0</v>
      </c>
    </row>
    <row r="424" spans="21:28" hidden="1">
      <c r="V424" s="661">
        <v>2533</v>
      </c>
      <c r="W424" s="662">
        <f>+SUMIF(SYS_4_3_Digitos!$M$5:$M$1682,BALANCE!V424,SYS_4_3_Digitos!$N$5:$N$1682)</f>
        <v>0</v>
      </c>
      <c r="Z424" s="666"/>
      <c r="AA424" s="661">
        <v>1729</v>
      </c>
      <c r="AB424" s="672">
        <f>+SUMIF(SYS_4_3_Digitos!$M$5:$M$1682,BALANCE!AA424,SYS_4_3_Digitos!$N$5:$N$1682)</f>
        <v>0</v>
      </c>
    </row>
    <row r="425" spans="21:28" hidden="1">
      <c r="V425" s="661">
        <v>2534</v>
      </c>
      <c r="W425" s="662">
        <f>+SUMIF(SYS_4_3_Digitos!$M$5:$M$1682,BALANCE!V425,SYS_4_3_Digitos!$N$5:$N$1682)</f>
        <v>0</v>
      </c>
      <c r="Z425" s="666"/>
      <c r="AA425" s="661">
        <v>1730</v>
      </c>
      <c r="AB425" s="672">
        <f ca="1">+SUMIF(SYS_4_3_Digitos!$M$5:$M$1682,BALANCE!AA425,SYS_4_3_Digitos!$N$5:$N$1682)</f>
        <v>0</v>
      </c>
    </row>
    <row r="426" spans="21:28" hidden="1">
      <c r="V426" s="661">
        <v>2535</v>
      </c>
      <c r="W426" s="662">
        <f>+SUMIF(SYS_4_3_Digitos!$M$5:$M$1682,BALANCE!V426,SYS_4_3_Digitos!$N$5:$N$1682)</f>
        <v>0</v>
      </c>
      <c r="Z426" s="666"/>
      <c r="AA426" s="661">
        <v>1731</v>
      </c>
      <c r="AB426" s="672">
        <f>+SUMIF(SYS_4_3_Digitos!$M$5:$M$1682,BALANCE!AA426,SYS_4_3_Digitos!$N$5:$N$1682)</f>
        <v>0</v>
      </c>
    </row>
    <row r="427" spans="21:28" hidden="1">
      <c r="V427" s="661">
        <v>2536</v>
      </c>
      <c r="W427" s="662">
        <f>+SUMIF(SYS_4_3_Digitos!$M$5:$M$1682,BALANCE!V427,SYS_4_3_Digitos!$N$5:$N$1682)</f>
        <v>0</v>
      </c>
      <c r="Z427" s="666"/>
      <c r="AA427" s="661">
        <v>1732</v>
      </c>
      <c r="AB427" s="672">
        <f>+SUMIF(SYS_4_3_Digitos!$M$5:$M$1682,BALANCE!AA427,SYS_4_3_Digitos!$N$5:$N$1682)</f>
        <v>0</v>
      </c>
    </row>
    <row r="428" spans="21:28" hidden="1">
      <c r="V428" s="661">
        <v>2537</v>
      </c>
      <c r="W428" s="662">
        <f>+SUMIF(SYS_4_3_Digitos!$M$5:$M$1682,BALANCE!V428,SYS_4_3_Digitos!$N$5:$N$1682)</f>
        <v>0</v>
      </c>
      <c r="Z428" s="666"/>
      <c r="AA428" s="661">
        <v>1733</v>
      </c>
      <c r="AB428" s="672">
        <f>+SUMIF(SYS_4_3_Digitos!$M$5:$M$1682,BALANCE!AA428,SYS_4_3_Digitos!$N$5:$N$1682)</f>
        <v>0</v>
      </c>
    </row>
    <row r="429" spans="21:28" hidden="1">
      <c r="V429" s="661">
        <v>2538</v>
      </c>
      <c r="W429" s="662">
        <f>+SUMIF(SYS_4_3_Digitos!$M$5:$M$1682,BALANCE!V429,SYS_4_3_Digitos!$N$5:$N$1682)</f>
        <v>0</v>
      </c>
      <c r="Z429" s="666"/>
      <c r="AA429" s="661">
        <v>1734</v>
      </c>
      <c r="AB429" s="672">
        <f>+SUMIF(SYS_4_3_Digitos!$M$5:$M$1682,BALANCE!AA429,SYS_4_3_Digitos!$N$5:$N$1682)</f>
        <v>0</v>
      </c>
    </row>
    <row r="430" spans="21:28" hidden="1">
      <c r="V430" s="661">
        <v>2539</v>
      </c>
      <c r="W430" s="662">
        <f>+SUMIF(SYS_4_3_Digitos!$M$5:$M$1682,BALANCE!V430,SYS_4_3_Digitos!$N$5:$N$1682)</f>
        <v>0</v>
      </c>
      <c r="Z430" s="666"/>
      <c r="AA430" s="661">
        <v>1735</v>
      </c>
      <c r="AB430" s="672">
        <f>+SUMIF(SYS_4_3_Digitos!$M$5:$M$1682,BALANCE!AA430,SYS_4_3_Digitos!$N$5:$N$1682)</f>
        <v>0</v>
      </c>
    </row>
    <row r="431" spans="21:28" hidden="1">
      <c r="V431" s="661">
        <v>2540</v>
      </c>
      <c r="W431" s="662">
        <f ca="1">+SUMIF(SYS_4_3_Digitos!$M$5:$M$1682,BALANCE!V431,SYS_4_3_Digitos!$N$5:$N$1682)</f>
        <v>6095.42</v>
      </c>
      <c r="Z431" s="666"/>
      <c r="AA431" s="661">
        <v>1736</v>
      </c>
      <c r="AB431" s="672">
        <f>+SUMIF(SYS_4_3_Digitos!$M$5:$M$1682,BALANCE!AA431,SYS_4_3_Digitos!$N$5:$N$1682)</f>
        <v>0</v>
      </c>
    </row>
    <row r="432" spans="21:28" hidden="1">
      <c r="V432" s="661">
        <v>2541</v>
      </c>
      <c r="W432" s="662">
        <f>+SUMIF(SYS_4_3_Digitos!$M$5:$M$1682,BALANCE!V432,SYS_4_3_Digitos!$N$5:$N$1682)</f>
        <v>0</v>
      </c>
      <c r="Z432" s="666"/>
      <c r="AA432" s="661">
        <v>1737</v>
      </c>
      <c r="AB432" s="672">
        <f>+SUMIF(SYS_4_3_Digitos!$M$5:$M$1682,BALANCE!AA432,SYS_4_3_Digitos!$N$5:$N$1682)</f>
        <v>0</v>
      </c>
    </row>
    <row r="433" spans="22:28" hidden="1">
      <c r="V433" s="661">
        <v>2542</v>
      </c>
      <c r="W433" s="662">
        <f>+SUMIF(SYS_4_3_Digitos!$M$5:$M$1682,BALANCE!V433,SYS_4_3_Digitos!$N$5:$N$1682)</f>
        <v>0</v>
      </c>
      <c r="Z433" s="666"/>
      <c r="AA433" s="661">
        <v>1738</v>
      </c>
      <c r="AB433" s="672">
        <f>+SUMIF(SYS_4_3_Digitos!$M$5:$M$1682,BALANCE!AA433,SYS_4_3_Digitos!$N$5:$N$1682)</f>
        <v>0</v>
      </c>
    </row>
    <row r="434" spans="22:28" hidden="1">
      <c r="V434" s="661">
        <v>2543</v>
      </c>
      <c r="W434" s="662">
        <f>+SUMIF(SYS_4_3_Digitos!$M$5:$M$1682,BALANCE!V434,SYS_4_3_Digitos!$N$5:$N$1682)</f>
        <v>0</v>
      </c>
      <c r="Z434" s="666"/>
      <c r="AA434" s="661">
        <v>1739</v>
      </c>
      <c r="AB434" s="672">
        <f>+SUMIF(SYS_4_3_Digitos!$M$5:$M$1682,BALANCE!AA434,SYS_4_3_Digitos!$N$5:$N$1682)</f>
        <v>0</v>
      </c>
    </row>
    <row r="435" spans="22:28" hidden="1">
      <c r="V435" s="661">
        <v>2544</v>
      </c>
      <c r="W435" s="662">
        <f>+SUMIF(SYS_4_3_Digitos!$M$5:$M$1682,BALANCE!V435,SYS_4_3_Digitos!$N$5:$N$1682)</f>
        <v>0</v>
      </c>
      <c r="Z435" s="666"/>
      <c r="AA435" s="661">
        <v>1750</v>
      </c>
      <c r="AB435" s="672">
        <f ca="1">+SUMIF(SYS_4_3_Digitos!$M$5:$M$1682,BALANCE!AA435,SYS_4_3_Digitos!$N$5:$N$1682)</f>
        <v>0</v>
      </c>
    </row>
    <row r="436" spans="22:28" hidden="1">
      <c r="V436" s="661">
        <v>2545</v>
      </c>
      <c r="W436" s="662">
        <f>+SUMIF(SYS_4_3_Digitos!$M$5:$M$1682,BALANCE!V436,SYS_4_3_Digitos!$N$5:$N$1682)</f>
        <v>0</v>
      </c>
      <c r="Z436" s="666"/>
      <c r="AA436" s="661">
        <v>1751</v>
      </c>
      <c r="AB436" s="672">
        <f>+SUMIF(SYS_4_3_Digitos!$M$5:$M$1682,BALANCE!AA436,SYS_4_3_Digitos!$N$5:$N$1682)</f>
        <v>0</v>
      </c>
    </row>
    <row r="437" spans="22:28" hidden="1">
      <c r="V437" s="661">
        <v>2546</v>
      </c>
      <c r="W437" s="662">
        <f>+SUMIF(SYS_4_3_Digitos!$M$5:$M$1682,BALANCE!V437,SYS_4_3_Digitos!$N$5:$N$1682)</f>
        <v>0</v>
      </c>
      <c r="Z437" s="666"/>
      <c r="AA437" s="661">
        <v>1752</v>
      </c>
      <c r="AB437" s="672">
        <f>+SUMIF(SYS_4_3_Digitos!$M$5:$M$1682,BALANCE!AA437,SYS_4_3_Digitos!$N$5:$N$1682)</f>
        <v>0</v>
      </c>
    </row>
    <row r="438" spans="22:28" hidden="1">
      <c r="V438" s="661">
        <v>2547</v>
      </c>
      <c r="W438" s="662">
        <f>+SUMIF(SYS_4_3_Digitos!$M$5:$M$1682,BALANCE!V438,SYS_4_3_Digitos!$N$5:$N$1682)</f>
        <v>0</v>
      </c>
      <c r="Z438" s="666"/>
      <c r="AA438" s="661">
        <v>1753</v>
      </c>
      <c r="AB438" s="672">
        <f>+SUMIF(SYS_4_3_Digitos!$M$5:$M$1682,BALANCE!AA438,SYS_4_3_Digitos!$N$5:$N$1682)</f>
        <v>0</v>
      </c>
    </row>
    <row r="439" spans="22:28" hidden="1">
      <c r="V439" s="661">
        <v>2548</v>
      </c>
      <c r="W439" s="662">
        <f>+SUMIF(SYS_4_3_Digitos!$M$5:$M$1682,BALANCE!V439,SYS_4_3_Digitos!$N$5:$N$1682)</f>
        <v>0</v>
      </c>
      <c r="Z439" s="666"/>
      <c r="AA439" s="661">
        <v>1754</v>
      </c>
      <c r="AB439" s="672">
        <f>+SUMIF(SYS_4_3_Digitos!$M$5:$M$1682,BALANCE!AA439,SYS_4_3_Digitos!$N$5:$N$1682)</f>
        <v>0</v>
      </c>
    </row>
    <row r="440" spans="22:28" hidden="1">
      <c r="V440" s="661">
        <v>2549</v>
      </c>
      <c r="W440" s="662">
        <f>+SUMIF(SYS_4_3_Digitos!$M$5:$M$1682,BALANCE!V440,SYS_4_3_Digitos!$N$5:$N$1682)</f>
        <v>0</v>
      </c>
      <c r="Z440" s="666"/>
      <c r="AA440" s="661">
        <v>1755</v>
      </c>
      <c r="AB440" s="672">
        <f>+SUMIF(SYS_4_3_Digitos!$M$5:$M$1682,BALANCE!AA440,SYS_4_3_Digitos!$N$5:$N$1682)</f>
        <v>0</v>
      </c>
    </row>
    <row r="441" spans="22:28" hidden="1">
      <c r="V441" s="661">
        <v>2955</v>
      </c>
      <c r="W441" s="662">
        <f ca="1">+SUMIF(SYS_4_3_Digitos!$M$5:$M$1682,BALANCE!V441,SYS_4_3_Digitos!$N$5:$N$1682)</f>
        <v>0</v>
      </c>
      <c r="Z441" s="666"/>
      <c r="AA441" s="661">
        <v>1756</v>
      </c>
      <c r="AB441" s="672">
        <f>+SUMIF(SYS_4_3_Digitos!$M$5:$M$1682,BALANCE!AA441,SYS_4_3_Digitos!$N$5:$N$1682)</f>
        <v>0</v>
      </c>
    </row>
    <row r="442" spans="22:28" hidden="1">
      <c r="V442" s="661">
        <v>2980</v>
      </c>
      <c r="W442" s="662">
        <f ca="1">+SUMIF(SYS_4_3_Digitos!$M$5:$M$1682,BALANCE!V442,SYS_4_3_Digitos!$N$5:$N$1682)</f>
        <v>0</v>
      </c>
      <c r="Z442" s="666"/>
      <c r="AA442" s="661">
        <v>1757</v>
      </c>
      <c r="AB442" s="672">
        <f>+SUMIF(SYS_4_3_Digitos!$M$5:$M$1682,BALANCE!AA442,SYS_4_3_Digitos!$N$5:$N$1682)</f>
        <v>0</v>
      </c>
    </row>
    <row r="443" spans="22:28" hidden="1">
      <c r="V443" s="661">
        <v>2981</v>
      </c>
      <c r="W443" s="662">
        <f>+SUMIF(SYS_4_3_Digitos!$M$5:$M$1682,BALANCE!V443,SYS_4_3_Digitos!$N$5:$N$1682)</f>
        <v>0</v>
      </c>
      <c r="Z443" s="666"/>
      <c r="AA443" s="661">
        <v>1758</v>
      </c>
      <c r="AB443" s="672">
        <f>+SUMIF(SYS_4_3_Digitos!$M$5:$M$1682,BALANCE!AA443,SYS_4_3_Digitos!$N$5:$N$1682)</f>
        <v>0</v>
      </c>
    </row>
    <row r="444" spans="22:28" hidden="1">
      <c r="V444" s="661">
        <v>2982</v>
      </c>
      <c r="W444" s="662">
        <f>+SUMIF(SYS_4_3_Digitos!$M$5:$M$1682,BALANCE!V444,SYS_4_3_Digitos!$N$5:$N$1682)</f>
        <v>0</v>
      </c>
      <c r="Z444" s="666"/>
      <c r="AA444" s="661">
        <v>1759</v>
      </c>
      <c r="AB444" s="672">
        <f>+SUMIF(SYS_4_3_Digitos!$M$5:$M$1682,BALANCE!AA444,SYS_4_3_Digitos!$N$5:$N$1682)</f>
        <v>0</v>
      </c>
    </row>
    <row r="445" spans="22:28" hidden="1">
      <c r="V445" s="661">
        <v>2983</v>
      </c>
      <c r="W445" s="662">
        <f>+SUMIF(SYS_4_3_Digitos!$M$5:$M$1682,BALANCE!V445,SYS_4_3_Digitos!$N$5:$N$1682)</f>
        <v>0</v>
      </c>
      <c r="Z445" s="666"/>
      <c r="AA445" s="661">
        <v>1800</v>
      </c>
      <c r="AB445" s="672">
        <f ca="1">+SUMIF(SYS_4_3_Digitos!$M$5:$M$1682,BALANCE!AA445,SYS_4_3_Digitos!$N$5:$N$1682)</f>
        <v>-205434</v>
      </c>
    </row>
    <row r="446" spans="22:28" hidden="1">
      <c r="V446" s="661">
        <v>2984</v>
      </c>
      <c r="W446" s="662">
        <f>+SUMIF(SYS_4_3_Digitos!$M$5:$M$1682,BALANCE!V446,SYS_4_3_Digitos!$N$5:$N$1682)</f>
        <v>0</v>
      </c>
      <c r="Z446" s="666"/>
      <c r="AA446" s="661">
        <v>1801</v>
      </c>
      <c r="AB446" s="672">
        <f>+SUMIF(SYS_4_3_Digitos!$M$5:$M$1682,BALANCE!AA446,SYS_4_3_Digitos!$N$5:$N$1682)</f>
        <v>0</v>
      </c>
    </row>
    <row r="447" spans="22:28" hidden="1">
      <c r="V447" s="661">
        <v>2985</v>
      </c>
      <c r="W447" s="662">
        <f>+SUMIF(SYS_4_3_Digitos!$M$5:$M$1682,BALANCE!V447,SYS_4_3_Digitos!$N$5:$N$1682)</f>
        <v>0</v>
      </c>
      <c r="Z447" s="666"/>
      <c r="AA447" s="661">
        <v>1802</v>
      </c>
      <c r="AB447" s="672">
        <f>+SUMIF(SYS_4_3_Digitos!$M$5:$M$1682,BALANCE!AA447,SYS_4_3_Digitos!$N$5:$N$1682)</f>
        <v>0</v>
      </c>
    </row>
    <row r="448" spans="22:28" hidden="1">
      <c r="V448" s="661">
        <v>2986</v>
      </c>
      <c r="W448" s="662">
        <f>+SUMIF(SYS_4_3_Digitos!$M$5:$M$1682,BALANCE!V448,SYS_4_3_Digitos!$N$5:$N$1682)</f>
        <v>0</v>
      </c>
      <c r="Z448" s="666"/>
      <c r="AA448" s="661">
        <v>1803</v>
      </c>
      <c r="AB448" s="672">
        <f>+SUMIF(SYS_4_3_Digitos!$M$5:$M$1682,BALANCE!AA448,SYS_4_3_Digitos!$N$5:$N$1682)</f>
        <v>0</v>
      </c>
    </row>
    <row r="449" spans="21:28" hidden="1">
      <c r="V449" s="661">
        <v>2987</v>
      </c>
      <c r="W449" s="662">
        <f>+SUMIF(SYS_4_3_Digitos!$M$5:$M$1682,BALANCE!V449,SYS_4_3_Digitos!$N$5:$N$1682)</f>
        <v>0</v>
      </c>
      <c r="Z449" s="666"/>
      <c r="AA449" s="661">
        <v>1804</v>
      </c>
      <c r="AB449" s="672">
        <f>+SUMIF(SYS_4_3_Digitos!$M$5:$M$1682,BALANCE!AA449,SYS_4_3_Digitos!$N$5:$N$1682)</f>
        <v>0</v>
      </c>
    </row>
    <row r="450" spans="21:28" hidden="1">
      <c r="V450" s="661">
        <v>2988</v>
      </c>
      <c r="W450" s="662">
        <f>+SUMIF(SYS_4_3_Digitos!$M$5:$M$1682,BALANCE!V450,SYS_4_3_Digitos!$N$5:$N$1682)</f>
        <v>0</v>
      </c>
      <c r="Z450" s="666"/>
      <c r="AA450" s="661">
        <v>1805</v>
      </c>
      <c r="AB450" s="672">
        <f>+SUMIF(SYS_4_3_Digitos!$M$5:$M$1682,BALANCE!AA450,SYS_4_3_Digitos!$N$5:$N$1682)</f>
        <v>0</v>
      </c>
    </row>
    <row r="451" spans="21:28" hidden="1">
      <c r="U451" s="715" t="s">
        <v>123</v>
      </c>
      <c r="V451" s="661">
        <v>2989</v>
      </c>
      <c r="W451" s="662">
        <f>+SUMIF(SYS_4_3_Digitos!$M$5:$M$1682,BALANCE!V451,SYS_4_3_Digitos!$N$5:$N$1682)</f>
        <v>0</v>
      </c>
      <c r="Z451" s="666"/>
      <c r="AA451" s="661">
        <v>1806</v>
      </c>
      <c r="AB451" s="672">
        <f>+SUMIF(SYS_4_3_Digitos!$M$5:$M$1682,BALANCE!AA451,SYS_4_3_Digitos!$N$5:$N$1682)</f>
        <v>0</v>
      </c>
    </row>
    <row r="452" spans="21:28" hidden="1">
      <c r="V452" s="653" t="s">
        <v>22</v>
      </c>
      <c r="W452" s="654">
        <f ca="1">SUM(W453:W474)</f>
        <v>0</v>
      </c>
      <c r="Z452" s="666"/>
      <c r="AA452" s="661">
        <v>1807</v>
      </c>
      <c r="AB452" s="672">
        <f>+SUMIF(SYS_4_3_Digitos!$M$5:$M$1682,BALANCE!AA452,SYS_4_3_Digitos!$N$5:$N$1682)</f>
        <v>0</v>
      </c>
    </row>
    <row r="453" spans="21:28" hidden="1">
      <c r="V453" s="661">
        <v>2415</v>
      </c>
      <c r="W453" s="662">
        <f>+SUMIF(SYS_4_3_Digitos!$M$5:$M$1682,BALANCE!V453,SYS_4_3_Digitos!$N$5:$N$1682)</f>
        <v>0</v>
      </c>
      <c r="Z453" s="666"/>
      <c r="AA453" s="661">
        <v>1808</v>
      </c>
      <c r="AB453" s="672">
        <f>+SUMIF(SYS_4_3_Digitos!$M$5:$M$1682,BALANCE!AA453,SYS_4_3_Digitos!$N$5:$N$1682)</f>
        <v>0</v>
      </c>
    </row>
    <row r="454" spans="21:28" hidden="1">
      <c r="V454" s="661">
        <v>2510</v>
      </c>
      <c r="W454" s="662">
        <f ca="1">+SUMIF(SYS_4_3_Digitos!$M$5:$M$1682,BALANCE!V454,SYS_4_3_Digitos!$N$5:$N$1682)</f>
        <v>0</v>
      </c>
      <c r="Z454" s="666"/>
      <c r="AA454" s="661">
        <v>1809</v>
      </c>
      <c r="AB454" s="672">
        <f>+SUMIF(SYS_4_3_Digitos!$M$5:$M$1682,BALANCE!AA454,SYS_4_3_Digitos!$N$5:$N$1682)</f>
        <v>0</v>
      </c>
    </row>
    <row r="455" spans="21:28" hidden="1">
      <c r="V455" s="661">
        <v>2511</v>
      </c>
      <c r="W455" s="662">
        <f>+SUMIF(SYS_4_3_Digitos!$M$5:$M$1682,BALANCE!V455,SYS_4_3_Digitos!$N$5:$N$1682)</f>
        <v>0</v>
      </c>
      <c r="Z455" s="666"/>
      <c r="AA455" s="661">
        <v>1850</v>
      </c>
      <c r="AB455" s="672">
        <f ca="1">+SUMIF(SYS_4_3_Digitos!$M$5:$M$1682,BALANCE!AA455,SYS_4_3_Digitos!$N$5:$N$1682)</f>
        <v>0</v>
      </c>
    </row>
    <row r="456" spans="21:28" hidden="1">
      <c r="V456" s="661">
        <v>2512</v>
      </c>
      <c r="W456" s="662">
        <f>+SUMIF(SYS_4_3_Digitos!$M$5:$M$1682,BALANCE!V456,SYS_4_3_Digitos!$N$5:$N$1682)</f>
        <v>0</v>
      </c>
      <c r="Z456" s="666"/>
      <c r="AA456" s="661">
        <v>1851</v>
      </c>
      <c r="AB456" s="672">
        <f>+SUMIF(SYS_4_3_Digitos!$M$5:$M$1682,BALANCE!AA456,SYS_4_3_Digitos!$N$5:$N$1682)</f>
        <v>0</v>
      </c>
    </row>
    <row r="457" spans="21:28" hidden="1">
      <c r="V457" s="661">
        <v>2513</v>
      </c>
      <c r="W457" s="662">
        <f>+SUMIF(SYS_4_3_Digitos!$M$5:$M$1682,BALANCE!V457,SYS_4_3_Digitos!$N$5:$N$1682)</f>
        <v>0</v>
      </c>
      <c r="Z457" s="666"/>
      <c r="AA457" s="661">
        <v>1852</v>
      </c>
      <c r="AB457" s="672">
        <f>+SUMIF(SYS_4_3_Digitos!$M$5:$M$1682,BALANCE!AA457,SYS_4_3_Digitos!$N$5:$N$1682)</f>
        <v>0</v>
      </c>
    </row>
    <row r="458" spans="21:28" hidden="1">
      <c r="V458" s="661">
        <v>2514</v>
      </c>
      <c r="W458" s="662">
        <f>+SUMIF(SYS_4_3_Digitos!$M$5:$M$1682,BALANCE!V458,SYS_4_3_Digitos!$N$5:$N$1682)</f>
        <v>0</v>
      </c>
      <c r="Z458" s="666"/>
      <c r="AA458" s="661">
        <v>1853</v>
      </c>
      <c r="AB458" s="672">
        <f>+SUMIF(SYS_4_3_Digitos!$M$5:$M$1682,BALANCE!AA458,SYS_4_3_Digitos!$N$5:$N$1682)</f>
        <v>0</v>
      </c>
    </row>
    <row r="459" spans="21:28" hidden="1">
      <c r="V459" s="661">
        <v>2515</v>
      </c>
      <c r="W459" s="662">
        <f>+SUMIF(SYS_4_3_Digitos!$M$5:$M$1682,BALANCE!V459,SYS_4_3_Digitos!$N$5:$N$1682)</f>
        <v>0</v>
      </c>
      <c r="Z459" s="666"/>
      <c r="AA459" s="661">
        <v>1854</v>
      </c>
      <c r="AB459" s="672">
        <f>+SUMIF(SYS_4_3_Digitos!$M$5:$M$1682,BALANCE!AA459,SYS_4_3_Digitos!$N$5:$N$1682)</f>
        <v>0</v>
      </c>
    </row>
    <row r="460" spans="21:28" hidden="1">
      <c r="V460" s="661">
        <v>2516</v>
      </c>
      <c r="W460" s="662">
        <f>+SUMIF(SYS_4_3_Digitos!$M$5:$M$1682,BALANCE!V460,SYS_4_3_Digitos!$N$5:$N$1682)</f>
        <v>0</v>
      </c>
      <c r="Z460" s="666"/>
      <c r="AA460" s="661">
        <v>1855</v>
      </c>
      <c r="AB460" s="672">
        <f>+SUMIF(SYS_4_3_Digitos!$M$5:$M$1682,BALANCE!AA460,SYS_4_3_Digitos!$N$5:$N$1682)</f>
        <v>0</v>
      </c>
    </row>
    <row r="461" spans="21:28" hidden="1">
      <c r="V461" s="661">
        <v>2517</v>
      </c>
      <c r="W461" s="662">
        <f>+SUMIF(SYS_4_3_Digitos!$M$5:$M$1682,BALANCE!V461,SYS_4_3_Digitos!$N$5:$N$1682)</f>
        <v>0</v>
      </c>
      <c r="Z461" s="666"/>
      <c r="AA461" s="661">
        <v>1856</v>
      </c>
      <c r="AB461" s="672">
        <f>+SUMIF(SYS_4_3_Digitos!$M$5:$M$1682,BALANCE!AA461,SYS_4_3_Digitos!$N$5:$N$1682)</f>
        <v>0</v>
      </c>
    </row>
    <row r="462" spans="21:28" hidden="1">
      <c r="V462" s="661">
        <v>2518</v>
      </c>
      <c r="W462" s="662">
        <f>+SUMIF(SYS_4_3_Digitos!$M$5:$M$1682,BALANCE!V462,SYS_4_3_Digitos!$N$5:$N$1682)</f>
        <v>0</v>
      </c>
      <c r="Z462" s="666"/>
      <c r="AA462" s="661">
        <v>1857</v>
      </c>
      <c r="AB462" s="672">
        <f>+SUMIF(SYS_4_3_Digitos!$M$5:$M$1682,BALANCE!AA462,SYS_4_3_Digitos!$N$5:$N$1682)</f>
        <v>0</v>
      </c>
    </row>
    <row r="463" spans="21:28" hidden="1">
      <c r="V463" s="661">
        <v>2519</v>
      </c>
      <c r="W463" s="662">
        <f>+SUMIF(SYS_4_3_Digitos!$M$5:$M$1682,BALANCE!V463,SYS_4_3_Digitos!$N$5:$N$1682)</f>
        <v>0</v>
      </c>
      <c r="Z463" s="666"/>
      <c r="AA463" s="661">
        <v>1858</v>
      </c>
      <c r="AB463" s="672">
        <f>+SUMIF(SYS_4_3_Digitos!$M$5:$M$1682,BALANCE!AA463,SYS_4_3_Digitos!$N$5:$N$1682)</f>
        <v>0</v>
      </c>
    </row>
    <row r="464" spans="21:28" hidden="1">
      <c r="V464" s="661">
        <v>2945</v>
      </c>
      <c r="W464" s="662">
        <f>+SUMIF(SYS_4_3_Digitos!$M$5:$M$1682,BALANCE!V464,SYS_4_3_Digitos!$N$5:$N$1682)</f>
        <v>0</v>
      </c>
      <c r="Z464" s="666"/>
      <c r="AA464" s="661">
        <v>1859</v>
      </c>
      <c r="AB464" s="672">
        <f>+SUMIF(SYS_4_3_Digitos!$M$5:$M$1682,BALANCE!AA464,SYS_4_3_Digitos!$N$5:$N$1682)</f>
        <v>0</v>
      </c>
    </row>
    <row r="465" spans="21:28" hidden="1">
      <c r="V465" s="661">
        <v>2970</v>
      </c>
      <c r="W465" s="662">
        <f ca="1">+SUMIF(SYS_4_3_Digitos!$M$5:$M$1682,BALANCE!V465,SYS_4_3_Digitos!$N$5:$N$1682)</f>
        <v>0</v>
      </c>
      <c r="Z465" s="666"/>
      <c r="AA465" s="661">
        <v>1890</v>
      </c>
      <c r="AB465" s="672">
        <f ca="1">+SUMIF(SYS_4_3_Digitos!$M$5:$M$1682,BALANCE!AA465,SYS_4_3_Digitos!$N$5:$N$1682)</f>
        <v>0</v>
      </c>
    </row>
    <row r="466" spans="21:28" hidden="1">
      <c r="V466" s="661">
        <v>2971</v>
      </c>
      <c r="W466" s="662">
        <f>+SUMIF(SYS_4_3_Digitos!$M$5:$M$1682,BALANCE!V466,SYS_4_3_Digitos!$N$5:$N$1682)</f>
        <v>0</v>
      </c>
      <c r="Z466" s="666"/>
      <c r="AA466" s="661">
        <v>1891</v>
      </c>
      <c r="AB466" s="672">
        <f>+SUMIF(SYS_4_3_Digitos!$M$5:$M$1682,BALANCE!AA466,SYS_4_3_Digitos!$N$5:$N$1682)</f>
        <v>0</v>
      </c>
    </row>
    <row r="467" spans="21:28" hidden="1">
      <c r="V467" s="661">
        <v>2972</v>
      </c>
      <c r="W467" s="662">
        <f>+SUMIF(SYS_4_3_Digitos!$M$5:$M$1682,BALANCE!V467,SYS_4_3_Digitos!$N$5:$N$1682)</f>
        <v>0</v>
      </c>
      <c r="Z467" s="666"/>
      <c r="AA467" s="661">
        <v>1892</v>
      </c>
      <c r="AB467" s="672">
        <f>+SUMIF(SYS_4_3_Digitos!$M$5:$M$1682,BALANCE!AA467,SYS_4_3_Digitos!$N$5:$N$1682)</f>
        <v>0</v>
      </c>
    </row>
    <row r="468" spans="21:28" hidden="1">
      <c r="V468" s="661">
        <v>2973</v>
      </c>
      <c r="W468" s="662">
        <f>+SUMIF(SYS_4_3_Digitos!$M$5:$M$1682,BALANCE!V468,SYS_4_3_Digitos!$N$5:$N$1682)</f>
        <v>0</v>
      </c>
      <c r="Z468" s="666"/>
      <c r="AA468" s="661">
        <v>1893</v>
      </c>
      <c r="AB468" s="672">
        <f>+SUMIF(SYS_4_3_Digitos!$M$5:$M$1682,BALANCE!AA468,SYS_4_3_Digitos!$N$5:$N$1682)</f>
        <v>0</v>
      </c>
    </row>
    <row r="469" spans="21:28" hidden="1">
      <c r="V469" s="661">
        <v>2974</v>
      </c>
      <c r="W469" s="662">
        <f>+SUMIF(SYS_4_3_Digitos!$M$5:$M$1682,BALANCE!V469,SYS_4_3_Digitos!$N$5:$N$1682)</f>
        <v>0</v>
      </c>
      <c r="Z469" s="666"/>
      <c r="AA469" s="661">
        <v>1894</v>
      </c>
      <c r="AB469" s="672">
        <f>+SUMIF(SYS_4_3_Digitos!$M$5:$M$1682,BALANCE!AA469,SYS_4_3_Digitos!$N$5:$N$1682)</f>
        <v>0</v>
      </c>
    </row>
    <row r="470" spans="21:28" hidden="1">
      <c r="V470" s="661">
        <v>2975</v>
      </c>
      <c r="W470" s="662">
        <f>+SUMIF(SYS_4_3_Digitos!$M$5:$M$1682,BALANCE!V470,SYS_4_3_Digitos!$N$5:$N$1682)</f>
        <v>0</v>
      </c>
      <c r="Z470" s="666"/>
      <c r="AA470" s="661">
        <v>1895</v>
      </c>
      <c r="AB470" s="672">
        <f>+SUMIF(SYS_4_3_Digitos!$M$5:$M$1682,BALANCE!AA470,SYS_4_3_Digitos!$N$5:$N$1682)</f>
        <v>0</v>
      </c>
    </row>
    <row r="471" spans="21:28" hidden="1">
      <c r="V471" s="661">
        <v>2976</v>
      </c>
      <c r="W471" s="662">
        <f>+SUMIF(SYS_4_3_Digitos!$M$5:$M$1682,BALANCE!V471,SYS_4_3_Digitos!$N$5:$N$1682)</f>
        <v>0</v>
      </c>
      <c r="Z471" s="666"/>
      <c r="AA471" s="661">
        <v>1896</v>
      </c>
      <c r="AB471" s="672">
        <f>+SUMIF(SYS_4_3_Digitos!$M$5:$M$1682,BALANCE!AA471,SYS_4_3_Digitos!$N$5:$N$1682)</f>
        <v>0</v>
      </c>
    </row>
    <row r="472" spans="21:28" hidden="1">
      <c r="V472" s="661">
        <v>2977</v>
      </c>
      <c r="W472" s="662">
        <f>+SUMIF(SYS_4_3_Digitos!$M$5:$M$1682,BALANCE!V472,SYS_4_3_Digitos!$N$5:$N$1682)</f>
        <v>0</v>
      </c>
      <c r="Z472" s="666"/>
      <c r="AA472" s="661">
        <v>1897</v>
      </c>
      <c r="AB472" s="672">
        <f>+SUMIF(SYS_4_3_Digitos!$M$5:$M$1682,BALANCE!AA472,SYS_4_3_Digitos!$N$5:$N$1682)</f>
        <v>0</v>
      </c>
    </row>
    <row r="473" spans="21:28" hidden="1">
      <c r="V473" s="661">
        <v>2978</v>
      </c>
      <c r="W473" s="662">
        <f>+SUMIF(SYS_4_3_Digitos!$M$5:$M$1682,BALANCE!V473,SYS_4_3_Digitos!$N$5:$N$1682)</f>
        <v>0</v>
      </c>
      <c r="Z473" s="666"/>
      <c r="AA473" s="661">
        <v>1898</v>
      </c>
      <c r="AB473" s="672">
        <f>+SUMIF(SYS_4_3_Digitos!$M$5:$M$1682,BALANCE!AA473,SYS_4_3_Digitos!$N$5:$N$1682)</f>
        <v>0</v>
      </c>
    </row>
    <row r="474" spans="21:28" hidden="1">
      <c r="U474" s="715">
        <v>255</v>
      </c>
      <c r="V474" s="661">
        <v>2979</v>
      </c>
      <c r="W474" s="662">
        <f>+SUMIF(SYS_4_3_Digitos!$M$5:$M$1682,BALANCE!V474,SYS_4_3_Digitos!$N$5:$N$1682)</f>
        <v>0</v>
      </c>
      <c r="Z474" s="666"/>
      <c r="AA474" s="661">
        <v>1899</v>
      </c>
      <c r="AB474" s="672">
        <f>+SUMIF(SYS_4_3_Digitos!$M$5:$M$1682,BALANCE!AA474,SYS_4_3_Digitos!$N$5:$N$1682)</f>
        <v>0</v>
      </c>
    </row>
    <row r="475" spans="21:28" hidden="1">
      <c r="V475" s="653" t="s">
        <v>23</v>
      </c>
      <c r="W475" s="654">
        <f ca="1">SUM(W476:W485)</f>
        <v>0</v>
      </c>
      <c r="Z475" s="666" t="s">
        <v>1550</v>
      </c>
      <c r="AA475" s="664" t="s">
        <v>87</v>
      </c>
      <c r="AB475" s="642">
        <f ca="1">SUM(AB476:AB486)</f>
        <v>0</v>
      </c>
    </row>
    <row r="476" spans="21:28" hidden="1">
      <c r="V476" s="661">
        <v>2550</v>
      </c>
      <c r="W476" s="662">
        <f ca="1">+SUMIF(SYS_4_3_Digitos!$M$5:$M$1682,BALANCE!V476,SYS_4_3_Digitos!$N$5:$N$1682)</f>
        <v>0</v>
      </c>
      <c r="Z476" s="666"/>
      <c r="AA476" s="661">
        <v>1600</v>
      </c>
      <c r="AB476" s="672">
        <f ca="1">+SUMIF(SYS_4_3_Digitos!$M$5:$M$1682,BALANCE!AA476,SYS_4_3_Digitos!$N$5:$N$1682)</f>
        <v>0</v>
      </c>
    </row>
    <row r="477" spans="21:28" hidden="1">
      <c r="V477" s="661">
        <v>2551</v>
      </c>
      <c r="W477" s="662">
        <f>+SUMIF(SYS_4_3_Digitos!$M$5:$M$1682,BALANCE!V477,SYS_4_3_Digitos!$N$5:$N$1682)</f>
        <v>0</v>
      </c>
      <c r="Z477" s="666"/>
      <c r="AA477" s="661">
        <v>1601</v>
      </c>
      <c r="AB477" s="672">
        <f>+SUMIF(SYS_4_3_Digitos!$M$5:$M$1682,BALANCE!AA477,SYS_4_3_Digitos!$N$5:$N$1682)</f>
        <v>0</v>
      </c>
    </row>
    <row r="478" spans="21:28" hidden="1">
      <c r="V478" s="661">
        <v>2552</v>
      </c>
      <c r="W478" s="662">
        <f>+SUMIF(SYS_4_3_Digitos!$M$5:$M$1682,BALANCE!V478,SYS_4_3_Digitos!$N$5:$N$1682)</f>
        <v>0</v>
      </c>
      <c r="Z478" s="666"/>
      <c r="AA478" s="661">
        <v>1602</v>
      </c>
      <c r="AB478" s="672">
        <f>+SUMIF(SYS_4_3_Digitos!$M$5:$M$1682,BALANCE!AA478,SYS_4_3_Digitos!$N$5:$N$1682)</f>
        <v>0</v>
      </c>
    </row>
    <row r="479" spans="21:28" hidden="1">
      <c r="V479" s="661">
        <v>2553</v>
      </c>
      <c r="W479" s="662">
        <f>+SUMIF(SYS_4_3_Digitos!$M$5:$M$1682,BALANCE!V479,SYS_4_3_Digitos!$N$5:$N$1682)</f>
        <v>0</v>
      </c>
      <c r="Z479" s="666"/>
      <c r="AA479" s="661">
        <v>1603</v>
      </c>
      <c r="AB479" s="672">
        <f>+SUMIF(SYS_4_3_Digitos!$M$5:$M$1682,BALANCE!AA479,SYS_4_3_Digitos!$N$5:$N$1682)</f>
        <v>0</v>
      </c>
    </row>
    <row r="480" spans="21:28" hidden="1">
      <c r="V480" s="661">
        <v>2554</v>
      </c>
      <c r="W480" s="662">
        <f>+SUMIF(SYS_4_3_Digitos!$M$5:$M$1682,BALANCE!V480,SYS_4_3_Digitos!$N$5:$N$1682)</f>
        <v>0</v>
      </c>
      <c r="Z480" s="666"/>
      <c r="AA480" s="661">
        <v>1604</v>
      </c>
      <c r="AB480" s="672">
        <f>+SUMIF(SYS_4_3_Digitos!$M$5:$M$1682,BALANCE!AA480,SYS_4_3_Digitos!$N$5:$N$1682)</f>
        <v>0</v>
      </c>
    </row>
    <row r="481" spans="21:28" hidden="1">
      <c r="V481" s="661">
        <v>2555</v>
      </c>
      <c r="W481" s="662">
        <f>+SUMIF(SYS_4_3_Digitos!$M$5:$M$1682,BALANCE!V481,SYS_4_3_Digitos!$N$5:$N$1682)</f>
        <v>0</v>
      </c>
      <c r="Z481" s="666"/>
      <c r="AA481" s="661">
        <v>1613</v>
      </c>
      <c r="AB481" s="672">
        <f>+SUMIF(SYS_4_3_Digitos!$M$5:$M$1682,BALANCE!AA481,SYS_4_3_Digitos!$N$5:$N$1682)</f>
        <v>0</v>
      </c>
    </row>
    <row r="482" spans="21:28" hidden="1">
      <c r="V482" s="661">
        <v>2556</v>
      </c>
      <c r="W482" s="662">
        <f>+SUMIF(SYS_4_3_Digitos!$M$5:$M$1682,BALANCE!V482,SYS_4_3_Digitos!$N$5:$N$1682)</f>
        <v>0</v>
      </c>
      <c r="Z482" s="666"/>
      <c r="AA482" s="661">
        <v>1614</v>
      </c>
      <c r="AB482" s="672">
        <f>+SUMIF(SYS_4_3_Digitos!$M$5:$M$1682,BALANCE!AA482,SYS_4_3_Digitos!$N$5:$N$1682)</f>
        <v>0</v>
      </c>
    </row>
    <row r="483" spans="21:28" hidden="1">
      <c r="V483" s="661">
        <v>2557</v>
      </c>
      <c r="W483" s="662">
        <f>+SUMIF(SYS_4_3_Digitos!$M$5:$M$1682,BALANCE!V483,SYS_4_3_Digitos!$N$5:$N$1682)</f>
        <v>0</v>
      </c>
      <c r="Z483" s="666"/>
      <c r="AA483" s="661">
        <v>1623</v>
      </c>
      <c r="AB483" s="672">
        <f>+SUMIF(SYS_4_3_Digitos!$M$5:$M$1682,BALANCE!AA483,SYS_4_3_Digitos!$N$5:$N$1682)</f>
        <v>0</v>
      </c>
    </row>
    <row r="484" spans="21:28" hidden="1">
      <c r="V484" s="661">
        <v>2558</v>
      </c>
      <c r="W484" s="662">
        <f>+SUMIF(SYS_4_3_Digitos!$M$5:$M$1682,BALANCE!V484,SYS_4_3_Digitos!$N$5:$N$1682)</f>
        <v>0</v>
      </c>
      <c r="Z484" s="666"/>
      <c r="AA484" s="661">
        <v>1624</v>
      </c>
      <c r="AB484" s="672">
        <f>+SUMIF(SYS_4_3_Digitos!$M$5:$M$1682,BALANCE!AA484,SYS_4_3_Digitos!$N$5:$N$1682)</f>
        <v>0</v>
      </c>
    </row>
    <row r="485" spans="21:28" hidden="1">
      <c r="U485" s="715" t="s">
        <v>124</v>
      </c>
      <c r="V485" s="661">
        <v>2559</v>
      </c>
      <c r="W485" s="662">
        <f>+SUMIF(SYS_4_3_Digitos!$M$5:$M$1682,BALANCE!V485,SYS_4_3_Digitos!$N$5:$N$1682)</f>
        <v>0</v>
      </c>
      <c r="Z485" s="666"/>
      <c r="AA485" s="661">
        <v>1633</v>
      </c>
      <c r="AB485" s="672">
        <f ca="1">+SUMIF(SYS_4_3_Digitos!$M$5:$M$1682,BALANCE!AA485,SYS_4_3_Digitos!$N$5:$N$1682)</f>
        <v>0</v>
      </c>
    </row>
    <row r="486" spans="21:28" hidden="1">
      <c r="V486" s="653" t="s">
        <v>24</v>
      </c>
      <c r="W486" s="654">
        <f ca="1">SUM(W487:W596)</f>
        <v>184616.02</v>
      </c>
      <c r="Z486" s="666"/>
      <c r="AA486" s="661">
        <v>1634</v>
      </c>
      <c r="AB486" s="672">
        <f ca="1">+SUMIF(SYS_4_3_Digitos!$M$5:$M$1682,BALANCE!AA486,SYS_4_3_Digitos!$N$5:$N$1682)</f>
        <v>0</v>
      </c>
    </row>
    <row r="487" spans="21:28" hidden="1">
      <c r="V487" s="661">
        <v>2580</v>
      </c>
      <c r="W487" s="662">
        <f ca="1">+SUMIF(SYS_4_3_Digitos!$M$5:$M$1682,BALANCE!V487,SYS_4_3_Digitos!$N$5:$N$1682)</f>
        <v>0</v>
      </c>
      <c r="Z487" s="666">
        <v>479</v>
      </c>
      <c r="AA487" s="664" t="s">
        <v>88</v>
      </c>
      <c r="AB487" s="642">
        <f ca="1">SUM(AB488:AB497)</f>
        <v>-9998511.5600000005</v>
      </c>
    </row>
    <row r="488" spans="21:28" hidden="1">
      <c r="V488" s="661">
        <v>2581</v>
      </c>
      <c r="W488" s="662">
        <f>+SUMIF(SYS_4_3_Digitos!$M$5:$M$1682,BALANCE!V488,SYS_4_3_Digitos!$N$5:$N$1682)</f>
        <v>0</v>
      </c>
      <c r="Z488" s="666"/>
      <c r="AA488" s="661">
        <v>4790</v>
      </c>
      <c r="AB488" s="672">
        <f ca="1">+SUMIF(SYS_4_3_Digitos!$M$5:$M$1682,BALANCE!AA488,SYS_4_3_Digitos!$N$5:$N$1682)</f>
        <v>-9998511.5600000005</v>
      </c>
    </row>
    <row r="489" spans="21:28" hidden="1">
      <c r="V489" s="661">
        <v>2582</v>
      </c>
      <c r="W489" s="662">
        <f>+SUMIF(SYS_4_3_Digitos!$M$5:$M$1682,BALANCE!V489,SYS_4_3_Digitos!$N$5:$N$1682)</f>
        <v>0</v>
      </c>
      <c r="Z489" s="666"/>
      <c r="AA489" s="661">
        <v>4791</v>
      </c>
      <c r="AB489" s="672">
        <f>+SUMIF(SYS_4_3_Digitos!$M$5:$M$1682,BALANCE!AA489,SYS_4_3_Digitos!$N$5:$N$1682)</f>
        <v>0</v>
      </c>
    </row>
    <row r="490" spans="21:28" hidden="1">
      <c r="V490" s="661">
        <v>2583</v>
      </c>
      <c r="W490" s="662">
        <f>+SUMIF(SYS_4_3_Digitos!$M$5:$M$1682,BALANCE!V490,SYS_4_3_Digitos!$N$5:$N$1682)</f>
        <v>0</v>
      </c>
      <c r="Z490" s="666"/>
      <c r="AA490" s="661">
        <v>4792</v>
      </c>
      <c r="AB490" s="672">
        <f>+SUMIF(SYS_4_3_Digitos!$M$5:$M$1682,BALANCE!AA490,SYS_4_3_Digitos!$N$5:$N$1682)</f>
        <v>0</v>
      </c>
    </row>
    <row r="491" spans="21:28" hidden="1">
      <c r="V491" s="661">
        <v>2584</v>
      </c>
      <c r="W491" s="662">
        <f>+SUMIF(SYS_4_3_Digitos!$M$5:$M$1682,BALANCE!V491,SYS_4_3_Digitos!$N$5:$N$1682)</f>
        <v>0</v>
      </c>
      <c r="Z491" s="666"/>
      <c r="AA491" s="661">
        <v>4793</v>
      </c>
      <c r="AB491" s="672">
        <f>+SUMIF(SYS_4_3_Digitos!$M$5:$M$1682,BALANCE!AA491,SYS_4_3_Digitos!$N$5:$N$1682)</f>
        <v>0</v>
      </c>
    </row>
    <row r="492" spans="21:28" hidden="1">
      <c r="V492" s="661">
        <v>2585</v>
      </c>
      <c r="W492" s="662">
        <f>+SUMIF(SYS_4_3_Digitos!$M$5:$M$1682,BALANCE!V492,SYS_4_3_Digitos!$N$5:$N$1682)</f>
        <v>0</v>
      </c>
      <c r="Z492" s="666"/>
      <c r="AA492" s="661">
        <v>4794</v>
      </c>
      <c r="AB492" s="672">
        <f>+SUMIF(SYS_4_3_Digitos!$M$5:$M$1682,BALANCE!AA492,SYS_4_3_Digitos!$N$5:$N$1682)</f>
        <v>0</v>
      </c>
    </row>
    <row r="493" spans="21:28" hidden="1">
      <c r="V493" s="661">
        <v>2586</v>
      </c>
      <c r="W493" s="662">
        <f>+SUMIF(SYS_4_3_Digitos!$M$5:$M$1682,BALANCE!V493,SYS_4_3_Digitos!$N$5:$N$1682)</f>
        <v>0</v>
      </c>
      <c r="Z493" s="666"/>
      <c r="AA493" s="661">
        <v>4795</v>
      </c>
      <c r="AB493" s="672">
        <f>+SUMIF(SYS_4_3_Digitos!$M$5:$M$1682,BALANCE!AA493,SYS_4_3_Digitos!$N$5:$N$1682)</f>
        <v>0</v>
      </c>
    </row>
    <row r="494" spans="21:28" hidden="1">
      <c r="V494" s="661">
        <v>2587</v>
      </c>
      <c r="W494" s="662">
        <f>+SUMIF(SYS_4_3_Digitos!$M$5:$M$1682,BALANCE!V494,SYS_4_3_Digitos!$N$5:$N$1682)</f>
        <v>0</v>
      </c>
      <c r="Z494" s="666"/>
      <c r="AA494" s="661">
        <v>4796</v>
      </c>
      <c r="AB494" s="672">
        <f>+SUMIF(SYS_4_3_Digitos!$M$5:$M$1682,BALANCE!AA494,SYS_4_3_Digitos!$N$5:$N$1682)</f>
        <v>0</v>
      </c>
    </row>
    <row r="495" spans="21:28" hidden="1">
      <c r="V495" s="661">
        <v>2588</v>
      </c>
      <c r="W495" s="662">
        <f>+SUMIF(SYS_4_3_Digitos!$M$5:$M$1682,BALANCE!V495,SYS_4_3_Digitos!$N$5:$N$1682)</f>
        <v>0</v>
      </c>
      <c r="Z495" s="666"/>
      <c r="AA495" s="661">
        <v>4797</v>
      </c>
      <c r="AB495" s="672">
        <f>+SUMIF(SYS_4_3_Digitos!$M$5:$M$1682,BALANCE!AA495,SYS_4_3_Digitos!$N$5:$N$1682)</f>
        <v>0</v>
      </c>
    </row>
    <row r="496" spans="21:28" hidden="1">
      <c r="V496" s="661">
        <v>2589</v>
      </c>
      <c r="W496" s="662">
        <f>+SUMIF(SYS_4_3_Digitos!$M$5:$M$1682,BALANCE!V496,SYS_4_3_Digitos!$N$5:$N$1682)</f>
        <v>0</v>
      </c>
      <c r="Z496" s="666"/>
      <c r="AA496" s="661">
        <v>4798</v>
      </c>
      <c r="AB496" s="672">
        <f>+SUMIF(SYS_4_3_Digitos!$M$5:$M$1682,BALANCE!AA496,SYS_4_3_Digitos!$N$5:$N$1682)</f>
        <v>0</v>
      </c>
    </row>
    <row r="497" spans="22:28" hidden="1">
      <c r="V497" s="661">
        <v>2600</v>
      </c>
      <c r="W497" s="662">
        <f ca="1">+SUMIF(SYS_4_3_Digitos!$M$5:$M$1682,BALANCE!V497,SYS_4_3_Digitos!$N$5:$N$1682)</f>
        <v>202851.78</v>
      </c>
      <c r="Z497" s="666"/>
      <c r="AA497" s="661">
        <v>4799</v>
      </c>
      <c r="AB497" s="672">
        <f>+SUMIF(SYS_4_3_Digitos!$M$5:$M$1682,BALANCE!AA497,SYS_4_3_Digitos!$N$5:$N$1682)</f>
        <v>0</v>
      </c>
    </row>
    <row r="498" spans="22:28" hidden="1">
      <c r="V498" s="661">
        <v>2601</v>
      </c>
      <c r="W498" s="662">
        <f>+SUMIF(SYS_4_3_Digitos!$M$5:$M$1682,BALANCE!V498,SYS_4_3_Digitos!$N$5:$N$1682)</f>
        <v>0</v>
      </c>
      <c r="Z498" s="666">
        <v>181</v>
      </c>
      <c r="AA498" s="664" t="s">
        <v>89</v>
      </c>
      <c r="AB498" s="642">
        <f ca="1">SUM(AB499:AB508)</f>
        <v>0</v>
      </c>
    </row>
    <row r="499" spans="22:28" hidden="1">
      <c r="V499" s="661">
        <v>2602</v>
      </c>
      <c r="W499" s="662">
        <f>+SUMIF(SYS_4_3_Digitos!$M$5:$M$1682,BALANCE!V499,SYS_4_3_Digitos!$N$5:$N$1682)</f>
        <v>0</v>
      </c>
      <c r="Z499" s="666"/>
      <c r="AA499" s="661">
        <v>1810</v>
      </c>
      <c r="AB499" s="672">
        <f ca="1">+SUMIF(SYS_4_3_Digitos!$M$5:$M$1682,BALANCE!AA499,SYS_4_3_Digitos!$N$5:$N$1682)</f>
        <v>0</v>
      </c>
    </row>
    <row r="500" spans="22:28" hidden="1">
      <c r="V500" s="661">
        <v>2603</v>
      </c>
      <c r="W500" s="662">
        <f>+SUMIF(SYS_4_3_Digitos!$M$5:$M$1682,BALANCE!V500,SYS_4_3_Digitos!$N$5:$N$1682)</f>
        <v>0</v>
      </c>
      <c r="Z500" s="666"/>
      <c r="AA500" s="661">
        <v>1811</v>
      </c>
      <c r="AB500" s="672">
        <f>+SUMIF(SYS_4_3_Digitos!$M$5:$M$1682,BALANCE!AA500,SYS_4_3_Digitos!$N$5:$N$1682)</f>
        <v>0</v>
      </c>
    </row>
    <row r="501" spans="22:28" hidden="1">
      <c r="V501" s="661">
        <v>2604</v>
      </c>
      <c r="W501" s="662">
        <f>+SUMIF(SYS_4_3_Digitos!$M$5:$M$1682,BALANCE!V501,SYS_4_3_Digitos!$N$5:$N$1682)</f>
        <v>0</v>
      </c>
      <c r="Z501" s="666"/>
      <c r="AA501" s="661">
        <v>1812</v>
      </c>
      <c r="AB501" s="672">
        <f>+SUMIF(SYS_4_3_Digitos!$M$5:$M$1682,BALANCE!AA501,SYS_4_3_Digitos!$N$5:$N$1682)</f>
        <v>0</v>
      </c>
    </row>
    <row r="502" spans="22:28" hidden="1">
      <c r="V502" s="661">
        <v>2605</v>
      </c>
      <c r="W502" s="662">
        <f>+SUMIF(SYS_4_3_Digitos!$M$5:$M$1682,BALANCE!V502,SYS_4_3_Digitos!$N$5:$N$1682)</f>
        <v>0</v>
      </c>
      <c r="Z502" s="666"/>
      <c r="AA502" s="661">
        <v>1813</v>
      </c>
      <c r="AB502" s="672">
        <f>+SUMIF(SYS_4_3_Digitos!$M$5:$M$1682,BALANCE!AA502,SYS_4_3_Digitos!$N$5:$N$1682)</f>
        <v>0</v>
      </c>
    </row>
    <row r="503" spans="22:28" hidden="1">
      <c r="V503" s="661">
        <v>2606</v>
      </c>
      <c r="W503" s="662">
        <f>+SUMIF(SYS_4_3_Digitos!$M$5:$M$1682,BALANCE!V503,SYS_4_3_Digitos!$N$5:$N$1682)</f>
        <v>0</v>
      </c>
      <c r="Z503" s="666"/>
      <c r="AA503" s="661">
        <v>1814</v>
      </c>
      <c r="AB503" s="672">
        <f>+SUMIF(SYS_4_3_Digitos!$M$5:$M$1682,BALANCE!AA503,SYS_4_3_Digitos!$N$5:$N$1682)</f>
        <v>0</v>
      </c>
    </row>
    <row r="504" spans="22:28" hidden="1">
      <c r="V504" s="661">
        <v>2607</v>
      </c>
      <c r="W504" s="662">
        <f>+SUMIF(SYS_4_3_Digitos!$M$5:$M$1682,BALANCE!V504,SYS_4_3_Digitos!$N$5:$N$1682)</f>
        <v>0</v>
      </c>
      <c r="Z504" s="666"/>
      <c r="AA504" s="661">
        <v>1815</v>
      </c>
      <c r="AB504" s="672">
        <f>+SUMIF(SYS_4_3_Digitos!$M$5:$M$1682,BALANCE!AA504,SYS_4_3_Digitos!$N$5:$N$1682)</f>
        <v>0</v>
      </c>
    </row>
    <row r="505" spans="22:28" hidden="1">
      <c r="V505" s="661">
        <v>2608</v>
      </c>
      <c r="W505" s="662">
        <f>+SUMIF(SYS_4_3_Digitos!$M$5:$M$1682,BALANCE!V505,SYS_4_3_Digitos!$N$5:$N$1682)</f>
        <v>0</v>
      </c>
      <c r="Z505" s="666"/>
      <c r="AA505" s="661">
        <v>1816</v>
      </c>
      <c r="AB505" s="672">
        <f>+SUMIF(SYS_4_3_Digitos!$M$5:$M$1682,BALANCE!AA505,SYS_4_3_Digitos!$N$5:$N$1682)</f>
        <v>0</v>
      </c>
    </row>
    <row r="506" spans="22:28" hidden="1">
      <c r="V506" s="661">
        <v>2609</v>
      </c>
      <c r="W506" s="662">
        <f>+SUMIF(SYS_4_3_Digitos!$M$5:$M$1682,BALANCE!V506,SYS_4_3_Digitos!$N$5:$N$1682)</f>
        <v>0</v>
      </c>
      <c r="Z506" s="666"/>
      <c r="AA506" s="661">
        <v>1817</v>
      </c>
      <c r="AB506" s="672">
        <f>+SUMIF(SYS_4_3_Digitos!$M$5:$M$1682,BALANCE!AA506,SYS_4_3_Digitos!$N$5:$N$1682)</f>
        <v>0</v>
      </c>
    </row>
    <row r="507" spans="22:28" hidden="1">
      <c r="V507" s="661">
        <v>2610</v>
      </c>
      <c r="W507" s="662">
        <f>+SUMIF(SYS_4_3_Digitos!$M$5:$M$1682,BALANCE!V507,SYS_4_3_Digitos!$N$5:$N$1682)</f>
        <v>0</v>
      </c>
      <c r="Z507" s="666"/>
      <c r="AA507" s="661">
        <v>1818</v>
      </c>
      <c r="AB507" s="672">
        <f>+SUMIF(SYS_4_3_Digitos!$M$5:$M$1682,BALANCE!AA507,SYS_4_3_Digitos!$N$5:$N$1682)</f>
        <v>0</v>
      </c>
    </row>
    <row r="508" spans="22:28" hidden="1">
      <c r="V508" s="661">
        <v>2611</v>
      </c>
      <c r="W508" s="662">
        <f>+SUMIF(SYS_4_3_Digitos!$M$5:$M$1682,BALANCE!V508,SYS_4_3_Digitos!$N$5:$N$1682)</f>
        <v>0</v>
      </c>
      <c r="Z508" s="553"/>
      <c r="AA508" s="661">
        <v>1819</v>
      </c>
      <c r="AB508" s="672">
        <f>+SUMIF(SYS_4_3_Digitos!$M$5:$M$1682,BALANCE!AA508,SYS_4_3_Digitos!$N$5:$N$1682)</f>
        <v>0</v>
      </c>
    </row>
    <row r="509" spans="22:28" hidden="1">
      <c r="V509" s="661">
        <v>2612</v>
      </c>
      <c r="W509" s="662">
        <f>+SUMIF(SYS_4_3_Digitos!$M$5:$M$1682,BALANCE!V509,SYS_4_3_Digitos!$N$5:$N$1682)</f>
        <v>0</v>
      </c>
      <c r="Z509" s="553"/>
    </row>
    <row r="510" spans="22:28" hidden="1">
      <c r="V510" s="661">
        <v>2613</v>
      </c>
      <c r="W510" s="662">
        <f>+SUMIF(SYS_4_3_Digitos!$M$5:$M$1682,BALANCE!V510,SYS_4_3_Digitos!$N$5:$N$1682)</f>
        <v>0</v>
      </c>
      <c r="AA510" s="716" t="s">
        <v>91</v>
      </c>
      <c r="AB510" s="637"/>
    </row>
    <row r="511" spans="22:28" hidden="1">
      <c r="V511" s="661">
        <v>2614</v>
      </c>
      <c r="W511" s="662">
        <f>+SUMIF(SYS_4_3_Digitos!$M$5:$M$1682,BALANCE!V511,SYS_4_3_Digitos!$N$5:$N$1682)</f>
        <v>0</v>
      </c>
      <c r="Z511" s="717" t="s">
        <v>157</v>
      </c>
      <c r="AA511" s="664" t="s">
        <v>92</v>
      </c>
      <c r="AB511" s="642">
        <f ca="1">SUM(AB512:AB561)</f>
        <v>0</v>
      </c>
    </row>
    <row r="512" spans="22:28" hidden="1">
      <c r="V512" s="661">
        <v>2615</v>
      </c>
      <c r="W512" s="662">
        <f>+SUMIF(SYS_4_3_Digitos!$M$5:$M$1682,BALANCE!V512,SYS_4_3_Digitos!$N$5:$N$1682)</f>
        <v>0</v>
      </c>
      <c r="Z512" s="666"/>
      <c r="AA512" s="661">
        <v>5850</v>
      </c>
      <c r="AB512" s="672">
        <f ca="1">+SUMIF(SYS_4_3_Digitos!$M$5:$M$1682,BALANCE!AA512,SYS_4_3_Digitos!$N$5:$N$1682)</f>
        <v>0</v>
      </c>
    </row>
    <row r="513" spans="22:28" hidden="1">
      <c r="V513" s="661">
        <v>2616</v>
      </c>
      <c r="W513" s="662">
        <f>+SUMIF(SYS_4_3_Digitos!$M$5:$M$1682,BALANCE!V513,SYS_4_3_Digitos!$N$5:$N$1682)</f>
        <v>0</v>
      </c>
      <c r="Z513" s="666"/>
      <c r="AA513" s="661">
        <v>5851</v>
      </c>
      <c r="AB513" s="672">
        <f>+SUMIF(SYS_4_3_Digitos!$M$5:$M$1682,BALANCE!AA513,SYS_4_3_Digitos!$N$5:$N$1682)</f>
        <v>0</v>
      </c>
    </row>
    <row r="514" spans="22:28" hidden="1">
      <c r="V514" s="661">
        <v>2617</v>
      </c>
      <c r="W514" s="662">
        <f>+SUMIF(SYS_4_3_Digitos!$M$5:$M$1682,BALANCE!V514,SYS_4_3_Digitos!$N$5:$N$1682)</f>
        <v>0</v>
      </c>
      <c r="Z514" s="666"/>
      <c r="AA514" s="661">
        <v>5852</v>
      </c>
      <c r="AB514" s="672">
        <f>+SUMIF(SYS_4_3_Digitos!$M$5:$M$1682,BALANCE!AA514,SYS_4_3_Digitos!$N$5:$N$1682)</f>
        <v>0</v>
      </c>
    </row>
    <row r="515" spans="22:28" hidden="1">
      <c r="V515" s="661">
        <v>2618</v>
      </c>
      <c r="W515" s="662">
        <f>+SUMIF(SYS_4_3_Digitos!$M$5:$M$1682,BALANCE!V515,SYS_4_3_Digitos!$N$5:$N$1682)</f>
        <v>0</v>
      </c>
      <c r="Z515" s="666"/>
      <c r="AA515" s="661">
        <v>5853</v>
      </c>
      <c r="AB515" s="672">
        <f>+SUMIF(SYS_4_3_Digitos!$M$5:$M$1682,BALANCE!AA515,SYS_4_3_Digitos!$N$5:$N$1682)</f>
        <v>0</v>
      </c>
    </row>
    <row r="516" spans="22:28" hidden="1">
      <c r="V516" s="661">
        <v>2619</v>
      </c>
      <c r="W516" s="662">
        <f>+SUMIF(SYS_4_3_Digitos!$M$5:$M$1682,BALANCE!V516,SYS_4_3_Digitos!$N$5:$N$1682)</f>
        <v>0</v>
      </c>
      <c r="Z516" s="666"/>
      <c r="AA516" s="661">
        <v>5854</v>
      </c>
      <c r="AB516" s="672">
        <f>+SUMIF(SYS_4_3_Digitos!$M$5:$M$1682,BALANCE!AA516,SYS_4_3_Digitos!$N$5:$N$1682)</f>
        <v>0</v>
      </c>
    </row>
    <row r="517" spans="22:28" hidden="1">
      <c r="V517" s="661">
        <v>2620</v>
      </c>
      <c r="W517" s="662">
        <f>+SUMIF(SYS_4_3_Digitos!$M$5:$M$1682,BALANCE!V517,SYS_4_3_Digitos!$N$5:$N$1682)</f>
        <v>0</v>
      </c>
      <c r="Z517" s="666"/>
      <c r="AA517" s="661">
        <v>5855</v>
      </c>
      <c r="AB517" s="672">
        <f>+SUMIF(SYS_4_3_Digitos!$M$5:$M$1682,BALANCE!AA517,SYS_4_3_Digitos!$N$5:$N$1682)</f>
        <v>0</v>
      </c>
    </row>
    <row r="518" spans="22:28" hidden="1">
      <c r="V518" s="661">
        <v>2621</v>
      </c>
      <c r="W518" s="662">
        <f>+SUMIF(SYS_4_3_Digitos!$M$5:$M$1682,BALANCE!V518,SYS_4_3_Digitos!$N$5:$N$1682)</f>
        <v>0</v>
      </c>
      <c r="Z518" s="666"/>
      <c r="AA518" s="661">
        <v>5856</v>
      </c>
      <c r="AB518" s="672">
        <f>+SUMIF(SYS_4_3_Digitos!$M$5:$M$1682,BALANCE!AA518,SYS_4_3_Digitos!$N$5:$N$1682)</f>
        <v>0</v>
      </c>
    </row>
    <row r="519" spans="22:28" hidden="1">
      <c r="V519" s="661">
        <v>2622</v>
      </c>
      <c r="W519" s="662">
        <f>+SUMIF(SYS_4_3_Digitos!$M$5:$M$1682,BALANCE!V519,SYS_4_3_Digitos!$N$5:$N$1682)</f>
        <v>0</v>
      </c>
      <c r="Z519" s="666"/>
      <c r="AA519" s="661">
        <v>5857</v>
      </c>
      <c r="AB519" s="672">
        <f>+SUMIF(SYS_4_3_Digitos!$M$5:$M$1682,BALANCE!AA519,SYS_4_3_Digitos!$N$5:$N$1682)</f>
        <v>0</v>
      </c>
    </row>
    <row r="520" spans="22:28" hidden="1">
      <c r="V520" s="661">
        <v>2623</v>
      </c>
      <c r="W520" s="662">
        <f>+SUMIF(SYS_4_3_Digitos!$M$5:$M$1682,BALANCE!V520,SYS_4_3_Digitos!$N$5:$N$1682)</f>
        <v>0</v>
      </c>
      <c r="Z520" s="666"/>
      <c r="AA520" s="661">
        <v>5858</v>
      </c>
      <c r="AB520" s="672">
        <f>+SUMIF(SYS_4_3_Digitos!$M$5:$M$1682,BALANCE!AA520,SYS_4_3_Digitos!$N$5:$N$1682)</f>
        <v>0</v>
      </c>
    </row>
    <row r="521" spans="22:28" hidden="1">
      <c r="V521" s="661">
        <v>2624</v>
      </c>
      <c r="W521" s="662">
        <f>+SUMIF(SYS_4_3_Digitos!$M$5:$M$1682,BALANCE!V521,SYS_4_3_Digitos!$N$5:$N$1682)</f>
        <v>0</v>
      </c>
      <c r="Z521" s="666"/>
      <c r="AA521" s="661">
        <v>5859</v>
      </c>
      <c r="AB521" s="672">
        <f>+SUMIF(SYS_4_3_Digitos!$M$5:$M$1682,BALANCE!AA521,SYS_4_3_Digitos!$N$5:$N$1682)</f>
        <v>0</v>
      </c>
    </row>
    <row r="522" spans="22:28" hidden="1">
      <c r="V522" s="661">
        <v>2625</v>
      </c>
      <c r="W522" s="662">
        <f>+SUMIF(SYS_4_3_Digitos!$M$5:$M$1682,BALANCE!V522,SYS_4_3_Digitos!$N$5:$N$1682)</f>
        <v>0</v>
      </c>
      <c r="Z522" s="666"/>
      <c r="AA522" s="661">
        <v>5860</v>
      </c>
      <c r="AB522" s="672">
        <f ca="1">+SUMIF(SYS_4_3_Digitos!$M$5:$M$1682,BALANCE!AA522,SYS_4_3_Digitos!$N$5:$N$1682)</f>
        <v>0</v>
      </c>
    </row>
    <row r="523" spans="22:28" hidden="1">
      <c r="V523" s="661">
        <v>2626</v>
      </c>
      <c r="W523" s="662">
        <f>+SUMIF(SYS_4_3_Digitos!$M$5:$M$1682,BALANCE!V523,SYS_4_3_Digitos!$N$5:$N$1682)</f>
        <v>0</v>
      </c>
      <c r="Z523" s="666"/>
      <c r="AA523" s="661">
        <v>5861</v>
      </c>
      <c r="AB523" s="672">
        <f>+SUMIF(SYS_4_3_Digitos!$M$5:$M$1682,BALANCE!AA523,SYS_4_3_Digitos!$N$5:$N$1682)</f>
        <v>0</v>
      </c>
    </row>
    <row r="524" spans="22:28" hidden="1">
      <c r="V524" s="661">
        <v>2627</v>
      </c>
      <c r="W524" s="662">
        <f>+SUMIF(SYS_4_3_Digitos!$M$5:$M$1682,BALANCE!V524,SYS_4_3_Digitos!$N$5:$N$1682)</f>
        <v>0</v>
      </c>
      <c r="Z524" s="666"/>
      <c r="AA524" s="661">
        <v>5862</v>
      </c>
      <c r="AB524" s="672">
        <f>+SUMIF(SYS_4_3_Digitos!$M$5:$M$1682,BALANCE!AA524,SYS_4_3_Digitos!$N$5:$N$1682)</f>
        <v>0</v>
      </c>
    </row>
    <row r="525" spans="22:28" hidden="1">
      <c r="V525" s="661">
        <v>2628</v>
      </c>
      <c r="W525" s="662">
        <f>+SUMIF(SYS_4_3_Digitos!$M$5:$M$1682,BALANCE!V525,SYS_4_3_Digitos!$N$5:$N$1682)</f>
        <v>0</v>
      </c>
      <c r="Z525" s="666"/>
      <c r="AA525" s="661">
        <v>5863</v>
      </c>
      <c r="AB525" s="672">
        <f>+SUMIF(SYS_4_3_Digitos!$M$5:$M$1682,BALANCE!AA525,SYS_4_3_Digitos!$N$5:$N$1682)</f>
        <v>0</v>
      </c>
    </row>
    <row r="526" spans="22:28" hidden="1">
      <c r="V526" s="661">
        <v>2629</v>
      </c>
      <c r="W526" s="662">
        <f>+SUMIF(SYS_4_3_Digitos!$M$5:$M$1682,BALANCE!V526,SYS_4_3_Digitos!$N$5:$N$1682)</f>
        <v>0</v>
      </c>
      <c r="Z526" s="666"/>
      <c r="AA526" s="661">
        <v>5864</v>
      </c>
      <c r="AB526" s="672">
        <f>+SUMIF(SYS_4_3_Digitos!$M$5:$M$1682,BALANCE!AA526,SYS_4_3_Digitos!$N$5:$N$1682)</f>
        <v>0</v>
      </c>
    </row>
    <row r="527" spans="22:28" hidden="1">
      <c r="V527" s="661">
        <v>2630</v>
      </c>
      <c r="W527" s="662">
        <f>+SUMIF(SYS_4_3_Digitos!$M$5:$M$1682,BALANCE!V527,SYS_4_3_Digitos!$N$5:$N$1682)</f>
        <v>0</v>
      </c>
      <c r="Z527" s="666"/>
      <c r="AA527" s="661">
        <v>5865</v>
      </c>
      <c r="AB527" s="672">
        <f>+SUMIF(SYS_4_3_Digitos!$M$5:$M$1682,BALANCE!AA527,SYS_4_3_Digitos!$N$5:$N$1682)</f>
        <v>0</v>
      </c>
    </row>
    <row r="528" spans="22:28" hidden="1">
      <c r="V528" s="661">
        <v>2631</v>
      </c>
      <c r="W528" s="662">
        <f>+SUMIF(SYS_4_3_Digitos!$M$5:$M$1682,BALANCE!V528,SYS_4_3_Digitos!$N$5:$N$1682)</f>
        <v>0</v>
      </c>
      <c r="Z528" s="666"/>
      <c r="AA528" s="661">
        <v>5866</v>
      </c>
      <c r="AB528" s="672">
        <f>+SUMIF(SYS_4_3_Digitos!$M$5:$M$1682,BALANCE!AA528,SYS_4_3_Digitos!$N$5:$N$1682)</f>
        <v>0</v>
      </c>
    </row>
    <row r="529" spans="22:28" hidden="1">
      <c r="V529" s="661">
        <v>2632</v>
      </c>
      <c r="W529" s="662">
        <f>+SUMIF(SYS_4_3_Digitos!$M$5:$M$1682,BALANCE!V529,SYS_4_3_Digitos!$N$5:$N$1682)</f>
        <v>0</v>
      </c>
      <c r="Z529" s="666"/>
      <c r="AA529" s="661">
        <v>5867</v>
      </c>
      <c r="AB529" s="672">
        <f>+SUMIF(SYS_4_3_Digitos!$M$5:$M$1682,BALANCE!AA529,SYS_4_3_Digitos!$N$5:$N$1682)</f>
        <v>0</v>
      </c>
    </row>
    <row r="530" spans="22:28" hidden="1">
      <c r="V530" s="661">
        <v>2633</v>
      </c>
      <c r="W530" s="662">
        <f>+SUMIF(SYS_4_3_Digitos!$M$5:$M$1682,BALANCE!V530,SYS_4_3_Digitos!$N$5:$N$1682)</f>
        <v>0</v>
      </c>
      <c r="Z530" s="666"/>
      <c r="AA530" s="661">
        <v>5868</v>
      </c>
      <c r="AB530" s="672">
        <f>+SUMIF(SYS_4_3_Digitos!$M$5:$M$1682,BALANCE!AA530,SYS_4_3_Digitos!$N$5:$N$1682)</f>
        <v>0</v>
      </c>
    </row>
    <row r="531" spans="22:28" hidden="1">
      <c r="V531" s="661">
        <v>2634</v>
      </c>
      <c r="W531" s="662">
        <f>+SUMIF(SYS_4_3_Digitos!$M$5:$M$1682,BALANCE!V531,SYS_4_3_Digitos!$N$5:$N$1682)</f>
        <v>0</v>
      </c>
      <c r="Z531" s="666"/>
      <c r="AA531" s="661">
        <v>5869</v>
      </c>
      <c r="AB531" s="672">
        <f>+SUMIF(SYS_4_3_Digitos!$M$5:$M$1682,BALANCE!AA531,SYS_4_3_Digitos!$N$5:$N$1682)</f>
        <v>0</v>
      </c>
    </row>
    <row r="532" spans="22:28" hidden="1">
      <c r="V532" s="661">
        <v>2635</v>
      </c>
      <c r="W532" s="662">
        <f>+SUMIF(SYS_4_3_Digitos!$M$5:$M$1682,BALANCE!V532,SYS_4_3_Digitos!$N$5:$N$1682)</f>
        <v>0</v>
      </c>
      <c r="Z532" s="666"/>
      <c r="AA532" s="661">
        <v>5870</v>
      </c>
      <c r="AB532" s="672">
        <f ca="1">+SUMIF(SYS_4_3_Digitos!$M$5:$M$1682,BALANCE!AA532,SYS_4_3_Digitos!$N$5:$N$1682)</f>
        <v>0</v>
      </c>
    </row>
    <row r="533" spans="22:28" hidden="1">
      <c r="V533" s="661">
        <v>2636</v>
      </c>
      <c r="W533" s="662">
        <f>+SUMIF(SYS_4_3_Digitos!$M$5:$M$1682,BALANCE!V533,SYS_4_3_Digitos!$N$5:$N$1682)</f>
        <v>0</v>
      </c>
      <c r="Z533" s="666"/>
      <c r="AA533" s="661">
        <v>5871</v>
      </c>
      <c r="AB533" s="672">
        <f>+SUMIF(SYS_4_3_Digitos!$M$5:$M$1682,BALANCE!AA533,SYS_4_3_Digitos!$N$5:$N$1682)</f>
        <v>0</v>
      </c>
    </row>
    <row r="534" spans="22:28" hidden="1">
      <c r="V534" s="661">
        <v>2637</v>
      </c>
      <c r="W534" s="662">
        <f>+SUMIF(SYS_4_3_Digitos!$M$5:$M$1682,BALANCE!V534,SYS_4_3_Digitos!$N$5:$N$1682)</f>
        <v>0</v>
      </c>
      <c r="Z534" s="666"/>
      <c r="AA534" s="661">
        <v>5872</v>
      </c>
      <c r="AB534" s="672">
        <f>+SUMIF(SYS_4_3_Digitos!$M$5:$M$1682,BALANCE!AA534,SYS_4_3_Digitos!$N$5:$N$1682)</f>
        <v>0</v>
      </c>
    </row>
    <row r="535" spans="22:28" hidden="1">
      <c r="V535" s="661">
        <v>2638</v>
      </c>
      <c r="W535" s="662">
        <f>+SUMIF(SYS_4_3_Digitos!$M$5:$M$1682,BALANCE!V535,SYS_4_3_Digitos!$N$5:$N$1682)</f>
        <v>0</v>
      </c>
      <c r="Z535" s="666"/>
      <c r="AA535" s="661">
        <v>5873</v>
      </c>
      <c r="AB535" s="672">
        <f>+SUMIF(SYS_4_3_Digitos!$M$5:$M$1682,BALANCE!AA535,SYS_4_3_Digitos!$N$5:$N$1682)</f>
        <v>0</v>
      </c>
    </row>
    <row r="536" spans="22:28" hidden="1">
      <c r="V536" s="661">
        <v>2639</v>
      </c>
      <c r="W536" s="662">
        <f>+SUMIF(SYS_4_3_Digitos!$M$5:$M$1682,BALANCE!V536,SYS_4_3_Digitos!$N$5:$N$1682)</f>
        <v>0</v>
      </c>
      <c r="Z536" s="666"/>
      <c r="AA536" s="661">
        <v>5874</v>
      </c>
      <c r="AB536" s="672">
        <f>+SUMIF(SYS_4_3_Digitos!$M$5:$M$1682,BALANCE!AA536,SYS_4_3_Digitos!$N$5:$N$1682)</f>
        <v>0</v>
      </c>
    </row>
    <row r="537" spans="22:28" hidden="1">
      <c r="V537" s="661">
        <v>2640</v>
      </c>
      <c r="W537" s="662">
        <f>+SUMIF(SYS_4_3_Digitos!$M$5:$M$1682,BALANCE!V537,SYS_4_3_Digitos!$N$5:$N$1682)</f>
        <v>0</v>
      </c>
      <c r="Z537" s="666"/>
      <c r="AA537" s="661">
        <v>5875</v>
      </c>
      <c r="AB537" s="672">
        <f>+SUMIF(SYS_4_3_Digitos!$M$5:$M$1682,BALANCE!AA537,SYS_4_3_Digitos!$N$5:$N$1682)</f>
        <v>0</v>
      </c>
    </row>
    <row r="538" spans="22:28" hidden="1">
      <c r="V538" s="661">
        <v>2641</v>
      </c>
      <c r="W538" s="662">
        <f>+SUMIF(SYS_4_3_Digitos!$M$5:$M$1682,BALANCE!V538,SYS_4_3_Digitos!$N$5:$N$1682)</f>
        <v>0</v>
      </c>
      <c r="Z538" s="666"/>
      <c r="AA538" s="661">
        <v>5876</v>
      </c>
      <c r="AB538" s="672">
        <f>+SUMIF(SYS_4_3_Digitos!$M$5:$M$1682,BALANCE!AA538,SYS_4_3_Digitos!$N$5:$N$1682)</f>
        <v>0</v>
      </c>
    </row>
    <row r="539" spans="22:28" hidden="1">
      <c r="V539" s="661">
        <v>2642</v>
      </c>
      <c r="W539" s="662">
        <f>+SUMIF(SYS_4_3_Digitos!$M$5:$M$1682,BALANCE!V539,SYS_4_3_Digitos!$N$5:$N$1682)</f>
        <v>0</v>
      </c>
      <c r="Z539" s="666"/>
      <c r="AA539" s="661">
        <v>5877</v>
      </c>
      <c r="AB539" s="672">
        <f>+SUMIF(SYS_4_3_Digitos!$M$5:$M$1682,BALANCE!AA539,SYS_4_3_Digitos!$N$5:$N$1682)</f>
        <v>0</v>
      </c>
    </row>
    <row r="540" spans="22:28" hidden="1">
      <c r="V540" s="661">
        <v>2643</v>
      </c>
      <c r="W540" s="662">
        <f>+SUMIF(SYS_4_3_Digitos!$M$5:$M$1682,BALANCE!V540,SYS_4_3_Digitos!$N$5:$N$1682)</f>
        <v>0</v>
      </c>
      <c r="Z540" s="666"/>
      <c r="AA540" s="661">
        <v>5878</v>
      </c>
      <c r="AB540" s="672">
        <f>+SUMIF(SYS_4_3_Digitos!$M$5:$M$1682,BALANCE!AA540,SYS_4_3_Digitos!$N$5:$N$1682)</f>
        <v>0</v>
      </c>
    </row>
    <row r="541" spans="22:28" hidden="1">
      <c r="V541" s="661">
        <v>2644</v>
      </c>
      <c r="W541" s="662">
        <f>+SUMIF(SYS_4_3_Digitos!$M$5:$M$1682,BALANCE!V541,SYS_4_3_Digitos!$N$5:$N$1682)</f>
        <v>0</v>
      </c>
      <c r="Z541" s="666"/>
      <c r="AA541" s="661">
        <v>5879</v>
      </c>
      <c r="AB541" s="672">
        <f>+SUMIF(SYS_4_3_Digitos!$M$5:$M$1682,BALANCE!AA541,SYS_4_3_Digitos!$N$5:$N$1682)</f>
        <v>0</v>
      </c>
    </row>
    <row r="542" spans="22:28" hidden="1">
      <c r="V542" s="661">
        <v>2645</v>
      </c>
      <c r="W542" s="662">
        <f>+SUMIF(SYS_4_3_Digitos!$M$5:$M$1682,BALANCE!V542,SYS_4_3_Digitos!$N$5:$N$1682)</f>
        <v>0</v>
      </c>
      <c r="Z542" s="666"/>
      <c r="AA542" s="661">
        <v>5880</v>
      </c>
      <c r="AB542" s="672">
        <f ca="1">+SUMIF(SYS_4_3_Digitos!$M$5:$M$1682,BALANCE!AA542,SYS_4_3_Digitos!$N$5:$N$1682)</f>
        <v>0</v>
      </c>
    </row>
    <row r="543" spans="22:28" hidden="1">
      <c r="V543" s="661">
        <v>2646</v>
      </c>
      <c r="W543" s="662">
        <f>+SUMIF(SYS_4_3_Digitos!$M$5:$M$1682,BALANCE!V543,SYS_4_3_Digitos!$N$5:$N$1682)</f>
        <v>0</v>
      </c>
      <c r="Z543" s="666"/>
      <c r="AA543" s="661">
        <v>5881</v>
      </c>
      <c r="AB543" s="672">
        <f>+SUMIF(SYS_4_3_Digitos!$M$5:$M$1682,BALANCE!AA543,SYS_4_3_Digitos!$N$5:$N$1682)</f>
        <v>0</v>
      </c>
    </row>
    <row r="544" spans="22:28" hidden="1">
      <c r="V544" s="661">
        <v>2647</v>
      </c>
      <c r="W544" s="662">
        <f>+SUMIF(SYS_4_3_Digitos!$M$5:$M$1682,BALANCE!V544,SYS_4_3_Digitos!$N$5:$N$1682)</f>
        <v>0</v>
      </c>
      <c r="Z544" s="666"/>
      <c r="AA544" s="661">
        <v>5882</v>
      </c>
      <c r="AB544" s="672">
        <f>+SUMIF(SYS_4_3_Digitos!$M$5:$M$1682,BALANCE!AA544,SYS_4_3_Digitos!$N$5:$N$1682)</f>
        <v>0</v>
      </c>
    </row>
    <row r="545" spans="22:28" hidden="1">
      <c r="V545" s="661">
        <v>2648</v>
      </c>
      <c r="W545" s="662">
        <f>+SUMIF(SYS_4_3_Digitos!$M$5:$M$1682,BALANCE!V545,SYS_4_3_Digitos!$N$5:$N$1682)</f>
        <v>0</v>
      </c>
      <c r="Z545" s="666"/>
      <c r="AA545" s="661">
        <v>5883</v>
      </c>
      <c r="AB545" s="672">
        <f>+SUMIF(SYS_4_3_Digitos!$M$5:$M$1682,BALANCE!AA545,SYS_4_3_Digitos!$N$5:$N$1682)</f>
        <v>0</v>
      </c>
    </row>
    <row r="546" spans="22:28" hidden="1">
      <c r="V546" s="661">
        <v>2649</v>
      </c>
      <c r="W546" s="662">
        <f>+SUMIF(SYS_4_3_Digitos!$M$5:$M$1682,BALANCE!V546,SYS_4_3_Digitos!$N$5:$N$1682)</f>
        <v>0</v>
      </c>
      <c r="Z546" s="666"/>
      <c r="AA546" s="661">
        <v>5884</v>
      </c>
      <c r="AB546" s="672">
        <f>+SUMIF(SYS_4_3_Digitos!$M$5:$M$1682,BALANCE!AA546,SYS_4_3_Digitos!$N$5:$N$1682)</f>
        <v>0</v>
      </c>
    </row>
    <row r="547" spans="22:28" hidden="1">
      <c r="V547" s="661">
        <v>2650</v>
      </c>
      <c r="W547" s="662">
        <f ca="1">+SUMIF(SYS_4_3_Digitos!$M$5:$M$1682,BALANCE!V547,SYS_4_3_Digitos!$N$5:$N$1682)</f>
        <v>-18235.760000000002</v>
      </c>
      <c r="Z547" s="666"/>
      <c r="AA547" s="661">
        <v>5885</v>
      </c>
      <c r="AB547" s="672">
        <f>+SUMIF(SYS_4_3_Digitos!$M$5:$M$1682,BALANCE!AA547,SYS_4_3_Digitos!$N$5:$N$1682)</f>
        <v>0</v>
      </c>
    </row>
    <row r="548" spans="22:28" hidden="1">
      <c r="V548" s="661">
        <v>2651</v>
      </c>
      <c r="W548" s="662">
        <f>+SUMIF(SYS_4_3_Digitos!$M$5:$M$1682,BALANCE!V548,SYS_4_3_Digitos!$N$5:$N$1682)</f>
        <v>0</v>
      </c>
      <c r="Z548" s="666"/>
      <c r="AA548" s="661">
        <v>5886</v>
      </c>
      <c r="AB548" s="672">
        <f>+SUMIF(SYS_4_3_Digitos!$M$5:$M$1682,BALANCE!AA548,SYS_4_3_Digitos!$N$5:$N$1682)</f>
        <v>0</v>
      </c>
    </row>
    <row r="549" spans="22:28" hidden="1">
      <c r="V549" s="661">
        <v>2652</v>
      </c>
      <c r="W549" s="662">
        <f>+SUMIF(SYS_4_3_Digitos!$M$5:$M$1682,BALANCE!V549,SYS_4_3_Digitos!$N$5:$N$1682)</f>
        <v>0</v>
      </c>
      <c r="Z549" s="666"/>
      <c r="AA549" s="661">
        <v>5887</v>
      </c>
      <c r="AB549" s="672">
        <f>+SUMIF(SYS_4_3_Digitos!$M$5:$M$1682,BALANCE!AA549,SYS_4_3_Digitos!$N$5:$N$1682)</f>
        <v>0</v>
      </c>
    </row>
    <row r="550" spans="22:28" hidden="1">
      <c r="V550" s="661">
        <v>2653</v>
      </c>
      <c r="W550" s="662">
        <f>+SUMIF(SYS_4_3_Digitos!$M$5:$M$1682,BALANCE!V550,SYS_4_3_Digitos!$N$5:$N$1682)</f>
        <v>0</v>
      </c>
      <c r="Z550" s="666"/>
      <c r="AA550" s="661">
        <v>5888</v>
      </c>
      <c r="AB550" s="672">
        <f>+SUMIF(SYS_4_3_Digitos!$M$5:$M$1682,BALANCE!AA550,SYS_4_3_Digitos!$N$5:$N$1682)</f>
        <v>0</v>
      </c>
    </row>
    <row r="551" spans="22:28" hidden="1">
      <c r="V551" s="661">
        <v>2654</v>
      </c>
      <c r="W551" s="662">
        <f>+SUMIF(SYS_4_3_Digitos!$M$5:$M$1682,BALANCE!V551,SYS_4_3_Digitos!$N$5:$N$1682)</f>
        <v>0</v>
      </c>
      <c r="Z551" s="666"/>
      <c r="AA551" s="661">
        <v>5889</v>
      </c>
      <c r="AB551" s="672">
        <f>+SUMIF(SYS_4_3_Digitos!$M$5:$M$1682,BALANCE!AA551,SYS_4_3_Digitos!$N$5:$N$1682)</f>
        <v>0</v>
      </c>
    </row>
    <row r="552" spans="22:28" hidden="1">
      <c r="V552" s="661">
        <v>2655</v>
      </c>
      <c r="W552" s="662">
        <f>+SUMIF(SYS_4_3_Digitos!$M$5:$M$1682,BALANCE!V552,SYS_4_3_Digitos!$N$5:$N$1682)</f>
        <v>0</v>
      </c>
      <c r="Z552" s="666"/>
      <c r="AA552" s="661">
        <v>5890</v>
      </c>
      <c r="AB552" s="672">
        <f ca="1">+SUMIF(SYS_4_3_Digitos!$M$5:$M$1682,BALANCE!AA552,SYS_4_3_Digitos!$N$5:$N$1682)</f>
        <v>0</v>
      </c>
    </row>
    <row r="553" spans="22:28" hidden="1">
      <c r="V553" s="661">
        <v>2656</v>
      </c>
      <c r="W553" s="662">
        <f>+SUMIF(SYS_4_3_Digitos!$M$5:$M$1682,BALANCE!V553,SYS_4_3_Digitos!$N$5:$N$1682)</f>
        <v>0</v>
      </c>
      <c r="Z553" s="666"/>
      <c r="AA553" s="661">
        <v>5891</v>
      </c>
      <c r="AB553" s="672">
        <f>+SUMIF(SYS_4_3_Digitos!$M$5:$M$1682,BALANCE!AA553,SYS_4_3_Digitos!$N$5:$N$1682)</f>
        <v>0</v>
      </c>
    </row>
    <row r="554" spans="22:28" hidden="1">
      <c r="V554" s="661">
        <v>2657</v>
      </c>
      <c r="W554" s="662">
        <f>+SUMIF(SYS_4_3_Digitos!$M$5:$M$1682,BALANCE!V554,SYS_4_3_Digitos!$N$5:$N$1682)</f>
        <v>0</v>
      </c>
      <c r="Z554" s="666"/>
      <c r="AA554" s="661">
        <v>5892</v>
      </c>
      <c r="AB554" s="672">
        <f>+SUMIF(SYS_4_3_Digitos!$M$5:$M$1682,BALANCE!AA554,SYS_4_3_Digitos!$N$5:$N$1682)</f>
        <v>0</v>
      </c>
    </row>
    <row r="555" spans="22:28" hidden="1">
      <c r="V555" s="661">
        <v>2658</v>
      </c>
      <c r="W555" s="662">
        <f>+SUMIF(SYS_4_3_Digitos!$M$5:$M$1682,BALANCE!V555,SYS_4_3_Digitos!$N$5:$N$1682)</f>
        <v>0</v>
      </c>
      <c r="Z555" s="666"/>
      <c r="AA555" s="661">
        <v>5893</v>
      </c>
      <c r="AB555" s="672">
        <f>+SUMIF(SYS_4_3_Digitos!$M$5:$M$1682,BALANCE!AA555,SYS_4_3_Digitos!$N$5:$N$1682)</f>
        <v>0</v>
      </c>
    </row>
    <row r="556" spans="22:28" hidden="1">
      <c r="V556" s="661">
        <v>2659</v>
      </c>
      <c r="W556" s="662">
        <f>+SUMIF(SYS_4_3_Digitos!$M$5:$M$1682,BALANCE!V556,SYS_4_3_Digitos!$N$5:$N$1682)</f>
        <v>0</v>
      </c>
      <c r="Z556" s="666"/>
      <c r="AA556" s="661">
        <v>5894</v>
      </c>
      <c r="AB556" s="672">
        <f>+SUMIF(SYS_4_3_Digitos!$M$5:$M$1682,BALANCE!AA556,SYS_4_3_Digitos!$N$5:$N$1682)</f>
        <v>0</v>
      </c>
    </row>
    <row r="557" spans="22:28" hidden="1">
      <c r="V557" s="661">
        <v>2660</v>
      </c>
      <c r="W557" s="662">
        <f>+SUMIF(SYS_4_3_Digitos!$M$5:$M$1682,BALANCE!V557,SYS_4_3_Digitos!$N$5:$N$1682)</f>
        <v>0</v>
      </c>
      <c r="Z557" s="666"/>
      <c r="AA557" s="661">
        <v>5895</v>
      </c>
      <c r="AB557" s="672">
        <f>+SUMIF(SYS_4_3_Digitos!$M$5:$M$1682,BALANCE!AA557,SYS_4_3_Digitos!$N$5:$N$1682)</f>
        <v>0</v>
      </c>
    </row>
    <row r="558" spans="22:28" hidden="1">
      <c r="V558" s="661">
        <v>2661</v>
      </c>
      <c r="W558" s="662">
        <f>+SUMIF(SYS_4_3_Digitos!$M$5:$M$1682,BALANCE!V558,SYS_4_3_Digitos!$N$5:$N$1682)</f>
        <v>0</v>
      </c>
      <c r="Z558" s="666"/>
      <c r="AA558" s="661">
        <v>5896</v>
      </c>
      <c r="AB558" s="672">
        <f>+SUMIF(SYS_4_3_Digitos!$M$5:$M$1682,BALANCE!AA558,SYS_4_3_Digitos!$N$5:$N$1682)</f>
        <v>0</v>
      </c>
    </row>
    <row r="559" spans="22:28" hidden="1">
      <c r="V559" s="661">
        <v>2662</v>
      </c>
      <c r="W559" s="662">
        <f>+SUMIF(SYS_4_3_Digitos!$M$5:$M$1682,BALANCE!V559,SYS_4_3_Digitos!$N$5:$N$1682)</f>
        <v>0</v>
      </c>
      <c r="Z559" s="666"/>
      <c r="AA559" s="661">
        <v>5897</v>
      </c>
      <c r="AB559" s="672">
        <f>+SUMIF(SYS_4_3_Digitos!$M$5:$M$1682,BALANCE!AA559,SYS_4_3_Digitos!$N$5:$N$1682)</f>
        <v>0</v>
      </c>
    </row>
    <row r="560" spans="22:28" hidden="1">
      <c r="V560" s="661">
        <v>2663</v>
      </c>
      <c r="W560" s="662">
        <f>+SUMIF(SYS_4_3_Digitos!$M$5:$M$1682,BALANCE!V560,SYS_4_3_Digitos!$N$5:$N$1682)</f>
        <v>0</v>
      </c>
      <c r="Z560" s="666"/>
      <c r="AA560" s="661">
        <v>5898</v>
      </c>
      <c r="AB560" s="672">
        <f>+SUMIF(SYS_4_3_Digitos!$M$5:$M$1682,BALANCE!AA560,SYS_4_3_Digitos!$N$5:$N$1682)</f>
        <v>0</v>
      </c>
    </row>
    <row r="561" spans="22:28" hidden="1">
      <c r="V561" s="661">
        <v>2664</v>
      </c>
      <c r="W561" s="662">
        <f>+SUMIF(SYS_4_3_Digitos!$M$5:$M$1682,BALANCE!V561,SYS_4_3_Digitos!$N$5:$N$1682)</f>
        <v>0</v>
      </c>
      <c r="Z561" s="666"/>
      <c r="AA561" s="661">
        <v>5899</v>
      </c>
      <c r="AB561" s="672">
        <f>+SUMIF(SYS_4_3_Digitos!$M$5:$M$1682,BALANCE!AA561,SYS_4_3_Digitos!$N$5:$N$1682)</f>
        <v>0</v>
      </c>
    </row>
    <row r="562" spans="22:28" hidden="1">
      <c r="V562" s="661">
        <v>2665</v>
      </c>
      <c r="W562" s="662">
        <f>+SUMIF(SYS_4_3_Digitos!$M$5:$M$1682,BALANCE!V562,SYS_4_3_Digitos!$N$5:$N$1682)</f>
        <v>0</v>
      </c>
      <c r="Z562" s="717" t="s">
        <v>158</v>
      </c>
      <c r="AA562" s="664" t="s">
        <v>93</v>
      </c>
      <c r="AB562" s="642">
        <f ca="1">SUM(AB563:AB582)</f>
        <v>0</v>
      </c>
    </row>
    <row r="563" spans="22:28" hidden="1">
      <c r="V563" s="661">
        <v>2666</v>
      </c>
      <c r="W563" s="662">
        <f>+SUMIF(SYS_4_3_Digitos!$M$5:$M$1682,BALANCE!V563,SYS_4_3_Digitos!$N$5:$N$1682)</f>
        <v>0</v>
      </c>
      <c r="Z563" s="666"/>
      <c r="AA563" s="661">
        <v>4990</v>
      </c>
      <c r="AB563" s="672">
        <f>+SUMIF(SYS_4_3_Digitos!$M$5:$M$1682,BALANCE!AA563,SYS_4_3_Digitos!$N$5:$N$1682)</f>
        <v>0</v>
      </c>
    </row>
    <row r="564" spans="22:28" hidden="1">
      <c r="V564" s="661">
        <v>2667</v>
      </c>
      <c r="W564" s="662">
        <f>+SUMIF(SYS_4_3_Digitos!$M$5:$M$1682,BALANCE!V564,SYS_4_3_Digitos!$N$5:$N$1682)</f>
        <v>0</v>
      </c>
      <c r="Z564" s="666"/>
      <c r="AA564" s="661">
        <v>4991</v>
      </c>
      <c r="AB564" s="672">
        <f>+SUMIF(SYS_4_3_Digitos!$M$5:$M$1682,BALANCE!AA564,SYS_4_3_Digitos!$N$5:$N$1682)</f>
        <v>0</v>
      </c>
    </row>
    <row r="565" spans="22:28" hidden="1">
      <c r="V565" s="661">
        <v>2668</v>
      </c>
      <c r="W565" s="662">
        <f>+SUMIF(SYS_4_3_Digitos!$M$5:$M$1682,BALANCE!V565,SYS_4_3_Digitos!$N$5:$N$1682)</f>
        <v>0</v>
      </c>
      <c r="Z565" s="666"/>
      <c r="AA565" s="661">
        <v>4992</v>
      </c>
      <c r="AB565" s="672">
        <f>+SUMIF(SYS_4_3_Digitos!$M$5:$M$1682,BALANCE!AA565,SYS_4_3_Digitos!$N$5:$N$1682)</f>
        <v>0</v>
      </c>
    </row>
    <row r="566" spans="22:28" hidden="1">
      <c r="V566" s="661">
        <v>2669</v>
      </c>
      <c r="W566" s="662">
        <f>+SUMIF(SYS_4_3_Digitos!$M$5:$M$1682,BALANCE!V566,SYS_4_3_Digitos!$N$5:$N$1682)</f>
        <v>0</v>
      </c>
      <c r="Z566" s="666"/>
      <c r="AA566" s="661">
        <v>4993</v>
      </c>
      <c r="AB566" s="672">
        <f>+SUMIF(SYS_4_3_Digitos!$M$5:$M$1682,BALANCE!AA566,SYS_4_3_Digitos!$N$5:$N$1682)</f>
        <v>0</v>
      </c>
    </row>
    <row r="567" spans="22:28" hidden="1">
      <c r="V567" s="661">
        <v>2670</v>
      </c>
      <c r="W567" s="662">
        <f>+SUMIF(SYS_4_3_Digitos!$M$5:$M$1682,BALANCE!V567,SYS_4_3_Digitos!$N$5:$N$1682)</f>
        <v>0</v>
      </c>
      <c r="Z567" s="666"/>
      <c r="AA567" s="661">
        <v>4994</v>
      </c>
      <c r="AB567" s="672">
        <f>+SUMIF(SYS_4_3_Digitos!$M$5:$M$1682,BALANCE!AA567,SYS_4_3_Digitos!$N$5:$N$1682)</f>
        <v>0</v>
      </c>
    </row>
    <row r="568" spans="22:28" hidden="1">
      <c r="V568" s="661">
        <v>2671</v>
      </c>
      <c r="W568" s="662">
        <f>+SUMIF(SYS_4_3_Digitos!$M$5:$M$1682,BALANCE!V568,SYS_4_3_Digitos!$N$5:$N$1682)</f>
        <v>0</v>
      </c>
      <c r="Z568" s="666"/>
      <c r="AA568" s="661">
        <v>4995</v>
      </c>
      <c r="AB568" s="672">
        <f>+SUMIF(SYS_4_3_Digitos!$M$5:$M$1682,BALANCE!AA568,SYS_4_3_Digitos!$N$5:$N$1682)</f>
        <v>0</v>
      </c>
    </row>
    <row r="569" spans="22:28" hidden="1">
      <c r="V569" s="661">
        <v>2672</v>
      </c>
      <c r="W569" s="662">
        <f>+SUMIF(SYS_4_3_Digitos!$M$5:$M$1682,BALANCE!V569,SYS_4_3_Digitos!$N$5:$N$1682)</f>
        <v>0</v>
      </c>
      <c r="Z569" s="666"/>
      <c r="AA569" s="661">
        <v>4996</v>
      </c>
      <c r="AB569" s="672">
        <f>+SUMIF(SYS_4_3_Digitos!$M$5:$M$1682,BALANCE!AA569,SYS_4_3_Digitos!$N$5:$N$1682)</f>
        <v>0</v>
      </c>
    </row>
    <row r="570" spans="22:28" hidden="1">
      <c r="V570" s="661">
        <v>2673</v>
      </c>
      <c r="W570" s="662">
        <f>+SUMIF(SYS_4_3_Digitos!$M$5:$M$1682,BALANCE!V570,SYS_4_3_Digitos!$N$5:$N$1682)</f>
        <v>0</v>
      </c>
      <c r="Z570" s="666"/>
      <c r="AA570" s="661">
        <v>4997</v>
      </c>
      <c r="AB570" s="672">
        <f>+SUMIF(SYS_4_3_Digitos!$M$5:$M$1682,BALANCE!AA570,SYS_4_3_Digitos!$N$5:$N$1682)</f>
        <v>0</v>
      </c>
    </row>
    <row r="571" spans="22:28" hidden="1">
      <c r="V571" s="661">
        <v>2674</v>
      </c>
      <c r="W571" s="662">
        <f>+SUMIF(SYS_4_3_Digitos!$M$5:$M$1682,BALANCE!V571,SYS_4_3_Digitos!$N$5:$N$1682)</f>
        <v>0</v>
      </c>
      <c r="Z571" s="666"/>
      <c r="AA571" s="661">
        <v>4998</v>
      </c>
      <c r="AB571" s="672">
        <f>+SUMIF(SYS_4_3_Digitos!$M$5:$M$1682,BALANCE!AA571,SYS_4_3_Digitos!$N$5:$N$1682)</f>
        <v>0</v>
      </c>
    </row>
    <row r="572" spans="22:28" hidden="1">
      <c r="V572" s="661">
        <v>2675</v>
      </c>
      <c r="W572" s="662">
        <f>+SUMIF(SYS_4_3_Digitos!$M$5:$M$1682,BALANCE!V572,SYS_4_3_Digitos!$N$5:$N$1682)</f>
        <v>0</v>
      </c>
      <c r="Z572" s="666"/>
      <c r="AA572" s="661">
        <v>4999</v>
      </c>
      <c r="AB572" s="672">
        <f>+SUMIF(SYS_4_3_Digitos!$M$5:$M$1682,BALANCE!AA572,SYS_4_3_Digitos!$N$5:$N$1682)</f>
        <v>0</v>
      </c>
    </row>
    <row r="573" spans="22:28" hidden="1">
      <c r="V573" s="661">
        <v>2676</v>
      </c>
      <c r="W573" s="662">
        <f>+SUMIF(SYS_4_3_Digitos!$M$5:$M$1682,BALANCE!V573,SYS_4_3_Digitos!$N$5:$N$1682)</f>
        <v>0</v>
      </c>
      <c r="Z573" s="666"/>
      <c r="AA573" s="661">
        <v>5290</v>
      </c>
      <c r="AB573" s="672">
        <f ca="1">+SUMIF(SYS_4_3_Digitos!$M$5:$M$1682,BALANCE!AA573,SYS_4_3_Digitos!$N$5:$N$1682)</f>
        <v>0</v>
      </c>
    </row>
    <row r="574" spans="22:28" hidden="1">
      <c r="V574" s="661">
        <v>2677</v>
      </c>
      <c r="W574" s="662">
        <f>+SUMIF(SYS_4_3_Digitos!$M$5:$M$1682,BALANCE!V574,SYS_4_3_Digitos!$N$5:$N$1682)</f>
        <v>0</v>
      </c>
      <c r="Z574" s="666"/>
      <c r="AA574" s="661">
        <v>5291</v>
      </c>
      <c r="AB574" s="672">
        <f>+SUMIF(SYS_4_3_Digitos!$M$5:$M$1682,BALANCE!AA574,SYS_4_3_Digitos!$N$5:$N$1682)</f>
        <v>0</v>
      </c>
    </row>
    <row r="575" spans="22:28" hidden="1">
      <c r="V575" s="661">
        <v>2678</v>
      </c>
      <c r="W575" s="662">
        <f>+SUMIF(SYS_4_3_Digitos!$M$5:$M$1682,BALANCE!V575,SYS_4_3_Digitos!$N$5:$N$1682)</f>
        <v>0</v>
      </c>
      <c r="Z575" s="666"/>
      <c r="AA575" s="661">
        <v>5292</v>
      </c>
      <c r="AB575" s="672">
        <f>+SUMIF(SYS_4_3_Digitos!$M$5:$M$1682,BALANCE!AA575,SYS_4_3_Digitos!$N$5:$N$1682)</f>
        <v>0</v>
      </c>
    </row>
    <row r="576" spans="22:28" hidden="1">
      <c r="V576" s="661">
        <v>2679</v>
      </c>
      <c r="W576" s="662">
        <f>+SUMIF(SYS_4_3_Digitos!$M$5:$M$1682,BALANCE!V576,SYS_4_3_Digitos!$N$5:$N$1682)</f>
        <v>0</v>
      </c>
      <c r="Z576" s="666"/>
      <c r="AA576" s="661">
        <v>5293</v>
      </c>
      <c r="AB576" s="672">
        <f>+SUMIF(SYS_4_3_Digitos!$M$5:$M$1682,BALANCE!AA576,SYS_4_3_Digitos!$N$5:$N$1682)</f>
        <v>0</v>
      </c>
    </row>
    <row r="577" spans="22:28" hidden="1">
      <c r="V577" s="661">
        <v>2680</v>
      </c>
      <c r="W577" s="662">
        <f>+SUMIF(SYS_4_3_Digitos!$M$5:$M$1682,BALANCE!V577,SYS_4_3_Digitos!$N$5:$N$1682)</f>
        <v>0</v>
      </c>
      <c r="Z577" s="666"/>
      <c r="AA577" s="661">
        <v>5294</v>
      </c>
      <c r="AB577" s="672">
        <f>+SUMIF(SYS_4_3_Digitos!$M$5:$M$1682,BALANCE!AA577,SYS_4_3_Digitos!$N$5:$N$1682)</f>
        <v>0</v>
      </c>
    </row>
    <row r="578" spans="22:28" hidden="1">
      <c r="V578" s="661">
        <v>2681</v>
      </c>
      <c r="W578" s="662">
        <f>+SUMIF(SYS_4_3_Digitos!$M$5:$M$1682,BALANCE!V578,SYS_4_3_Digitos!$N$5:$N$1682)</f>
        <v>0</v>
      </c>
      <c r="Z578" s="666"/>
      <c r="AA578" s="661">
        <v>5295</v>
      </c>
      <c r="AB578" s="672">
        <f>+SUMIF(SYS_4_3_Digitos!$M$5:$M$1682,BALANCE!AA578,SYS_4_3_Digitos!$N$5:$N$1682)</f>
        <v>0</v>
      </c>
    </row>
    <row r="579" spans="22:28" hidden="1">
      <c r="V579" s="661">
        <v>2682</v>
      </c>
      <c r="W579" s="662">
        <f>+SUMIF(SYS_4_3_Digitos!$M$5:$M$1682,BALANCE!V579,SYS_4_3_Digitos!$N$5:$N$1682)</f>
        <v>0</v>
      </c>
      <c r="Z579" s="666"/>
      <c r="AA579" s="661">
        <v>5296</v>
      </c>
      <c r="AB579" s="672">
        <f>+SUMIF(SYS_4_3_Digitos!$M$5:$M$1682,BALANCE!AA579,SYS_4_3_Digitos!$N$5:$N$1682)</f>
        <v>0</v>
      </c>
    </row>
    <row r="580" spans="22:28" hidden="1">
      <c r="V580" s="661">
        <v>2683</v>
      </c>
      <c r="W580" s="662">
        <f>+SUMIF(SYS_4_3_Digitos!$M$5:$M$1682,BALANCE!V580,SYS_4_3_Digitos!$N$5:$N$1682)</f>
        <v>0</v>
      </c>
      <c r="Z580" s="666"/>
      <c r="AA580" s="661">
        <v>5297</v>
      </c>
      <c r="AB580" s="672">
        <f>+SUMIF(SYS_4_3_Digitos!$M$5:$M$1682,BALANCE!AA580,SYS_4_3_Digitos!$N$5:$N$1682)</f>
        <v>0</v>
      </c>
    </row>
    <row r="581" spans="22:28" hidden="1">
      <c r="V581" s="661">
        <v>2684</v>
      </c>
      <c r="W581" s="662">
        <f>+SUMIF(SYS_4_3_Digitos!$M$5:$M$1682,BALANCE!V581,SYS_4_3_Digitos!$N$5:$N$1682)</f>
        <v>0</v>
      </c>
      <c r="Z581" s="666"/>
      <c r="AA581" s="661">
        <v>5298</v>
      </c>
      <c r="AB581" s="672">
        <f>+SUMIF(SYS_4_3_Digitos!$M$5:$M$1682,BALANCE!AA581,SYS_4_3_Digitos!$N$5:$N$1682)</f>
        <v>0</v>
      </c>
    </row>
    <row r="582" spans="22:28" hidden="1">
      <c r="V582" s="661">
        <v>2685</v>
      </c>
      <c r="W582" s="662">
        <f>+SUMIF(SYS_4_3_Digitos!$M$5:$M$1682,BALANCE!V582,SYS_4_3_Digitos!$N$5:$N$1682)</f>
        <v>0</v>
      </c>
      <c r="Z582" s="666"/>
      <c r="AA582" s="661">
        <v>5299</v>
      </c>
      <c r="AB582" s="672">
        <f>+SUMIF(SYS_4_3_Digitos!$M$5:$M$1682,BALANCE!AA582,SYS_4_3_Digitos!$N$5:$N$1682)</f>
        <v>0</v>
      </c>
    </row>
    <row r="583" spans="22:28" hidden="1">
      <c r="V583" s="661">
        <v>2686</v>
      </c>
      <c r="W583" s="662">
        <f>+SUMIF(SYS_4_3_Digitos!$M$5:$M$1682,BALANCE!V583,SYS_4_3_Digitos!$N$5:$N$1682)</f>
        <v>0</v>
      </c>
      <c r="Z583" s="666"/>
      <c r="AA583" s="664" t="s">
        <v>94</v>
      </c>
      <c r="AB583" s="642"/>
    </row>
    <row r="584" spans="22:28" hidden="1">
      <c r="V584" s="661">
        <v>2687</v>
      </c>
      <c r="W584" s="662">
        <f>+SUMIF(SYS_4_3_Digitos!$M$5:$M$1682,BALANCE!V584,SYS_4_3_Digitos!$N$5:$N$1682)</f>
        <v>0</v>
      </c>
      <c r="Z584" s="718" t="s">
        <v>159</v>
      </c>
      <c r="AA584" s="653" t="s">
        <v>95</v>
      </c>
      <c r="AB584" s="667">
        <f ca="1">SUM(AB585:AB624)</f>
        <v>0</v>
      </c>
    </row>
    <row r="585" spans="22:28" hidden="1">
      <c r="V585" s="661">
        <v>2688</v>
      </c>
      <c r="W585" s="662">
        <f>+SUMIF(SYS_4_3_Digitos!$M$5:$M$1682,BALANCE!V585,SYS_4_3_Digitos!$N$5:$N$1682)</f>
        <v>0</v>
      </c>
      <c r="Z585" s="666"/>
      <c r="AA585" s="661">
        <v>5000</v>
      </c>
      <c r="AB585" s="672">
        <f ca="1">+SUMIF(SYS_4_3_Digitos!$M$5:$M$1682,BALANCE!AA585,SYS_4_3_Digitos!$N$5:$N$1682)</f>
        <v>0</v>
      </c>
    </row>
    <row r="586" spans="22:28" hidden="1">
      <c r="V586" s="661">
        <v>2689</v>
      </c>
      <c r="W586" s="662">
        <f>+SUMIF(SYS_4_3_Digitos!$M$5:$M$1682,BALANCE!V586,SYS_4_3_Digitos!$N$5:$N$1682)</f>
        <v>0</v>
      </c>
      <c r="Z586" s="666"/>
      <c r="AA586" s="661">
        <v>5001</v>
      </c>
      <c r="AB586" s="672">
        <f>+SUMIF(SYS_4_3_Digitos!$M$5:$M$1682,BALANCE!AA586,SYS_4_3_Digitos!$N$5:$N$1682)</f>
        <v>0</v>
      </c>
    </row>
    <row r="587" spans="22:28" hidden="1">
      <c r="V587" s="661">
        <v>2690</v>
      </c>
      <c r="W587" s="662">
        <f>+SUMIF(SYS_4_3_Digitos!$M$5:$M$1682,BALANCE!V587,SYS_4_3_Digitos!$N$5:$N$1682)</f>
        <v>0</v>
      </c>
      <c r="Z587" s="666"/>
      <c r="AA587" s="661">
        <v>5002</v>
      </c>
      <c r="AB587" s="672">
        <f>+SUMIF(SYS_4_3_Digitos!$M$5:$M$1682,BALANCE!AA587,SYS_4_3_Digitos!$N$5:$N$1682)</f>
        <v>0</v>
      </c>
    </row>
    <row r="588" spans="22:28" hidden="1">
      <c r="V588" s="661">
        <v>2691</v>
      </c>
      <c r="W588" s="662">
        <f>+SUMIF(SYS_4_3_Digitos!$M$5:$M$1682,BALANCE!V588,SYS_4_3_Digitos!$N$5:$N$1682)</f>
        <v>0</v>
      </c>
      <c r="Z588" s="666"/>
      <c r="AA588" s="661">
        <v>5003</v>
      </c>
      <c r="AB588" s="672">
        <f>+SUMIF(SYS_4_3_Digitos!$M$5:$M$1682,BALANCE!AA588,SYS_4_3_Digitos!$N$5:$N$1682)</f>
        <v>0</v>
      </c>
    </row>
    <row r="589" spans="22:28" hidden="1">
      <c r="V589" s="661">
        <v>2692</v>
      </c>
      <c r="W589" s="662">
        <f>+SUMIF(SYS_4_3_Digitos!$M$5:$M$1682,BALANCE!V589,SYS_4_3_Digitos!$N$5:$N$1682)</f>
        <v>0</v>
      </c>
      <c r="Z589" s="666"/>
      <c r="AA589" s="661">
        <v>5004</v>
      </c>
      <c r="AB589" s="672">
        <f>+SUMIF(SYS_4_3_Digitos!$M$5:$M$1682,BALANCE!AA589,SYS_4_3_Digitos!$N$5:$N$1682)</f>
        <v>0</v>
      </c>
    </row>
    <row r="590" spans="22:28" hidden="1">
      <c r="V590" s="661">
        <v>2693</v>
      </c>
      <c r="W590" s="662">
        <f>+SUMIF(SYS_4_3_Digitos!$M$5:$M$1682,BALANCE!V590,SYS_4_3_Digitos!$N$5:$N$1682)</f>
        <v>0</v>
      </c>
      <c r="Z590" s="666"/>
      <c r="AA590" s="661">
        <v>5005</v>
      </c>
      <c r="AB590" s="672">
        <f>+SUMIF(SYS_4_3_Digitos!$M$5:$M$1682,BALANCE!AA590,SYS_4_3_Digitos!$N$5:$N$1682)</f>
        <v>0</v>
      </c>
    </row>
    <row r="591" spans="22:28" hidden="1">
      <c r="V591" s="661">
        <v>2694</v>
      </c>
      <c r="W591" s="662">
        <f>+SUMIF(SYS_4_3_Digitos!$M$5:$M$1682,BALANCE!V591,SYS_4_3_Digitos!$N$5:$N$1682)</f>
        <v>0</v>
      </c>
      <c r="Z591" s="666"/>
      <c r="AA591" s="661">
        <v>5006</v>
      </c>
      <c r="AB591" s="672">
        <f>+SUMIF(SYS_4_3_Digitos!$M$5:$M$1682,BALANCE!AA591,SYS_4_3_Digitos!$N$5:$N$1682)</f>
        <v>0</v>
      </c>
    </row>
    <row r="592" spans="22:28" hidden="1">
      <c r="V592" s="661">
        <v>2695</v>
      </c>
      <c r="W592" s="662">
        <f>+SUMIF(SYS_4_3_Digitos!$M$5:$M$1682,BALANCE!V592,SYS_4_3_Digitos!$N$5:$N$1682)</f>
        <v>0</v>
      </c>
      <c r="Z592" s="666"/>
      <c r="AA592" s="661">
        <v>5007</v>
      </c>
      <c r="AB592" s="672">
        <f>+SUMIF(SYS_4_3_Digitos!$M$5:$M$1682,BALANCE!AA592,SYS_4_3_Digitos!$N$5:$N$1682)</f>
        <v>0</v>
      </c>
    </row>
    <row r="593" spans="21:28" hidden="1">
      <c r="V593" s="661">
        <v>2696</v>
      </c>
      <c r="W593" s="662">
        <f>+SUMIF(SYS_4_3_Digitos!$M$5:$M$1682,BALANCE!V593,SYS_4_3_Digitos!$N$5:$N$1682)</f>
        <v>0</v>
      </c>
      <c r="Z593" s="666"/>
      <c r="AA593" s="661">
        <v>5008</v>
      </c>
      <c r="AB593" s="672">
        <f>+SUMIF(SYS_4_3_Digitos!$M$5:$M$1682,BALANCE!AA593,SYS_4_3_Digitos!$N$5:$N$1682)</f>
        <v>0</v>
      </c>
    </row>
    <row r="594" spans="21:28" hidden="1">
      <c r="V594" s="661">
        <v>2697</v>
      </c>
      <c r="W594" s="662">
        <f>+SUMIF(SYS_4_3_Digitos!$M$5:$M$1682,BALANCE!V594,SYS_4_3_Digitos!$N$5:$N$1682)</f>
        <v>0</v>
      </c>
      <c r="Z594" s="666"/>
      <c r="AA594" s="661">
        <v>5009</v>
      </c>
      <c r="AB594" s="672">
        <f>+SUMIF(SYS_4_3_Digitos!$M$5:$M$1682,BALANCE!AA594,SYS_4_3_Digitos!$N$5:$N$1682)</f>
        <v>0</v>
      </c>
    </row>
    <row r="595" spans="21:28" hidden="1">
      <c r="V595" s="661">
        <v>2698</v>
      </c>
      <c r="W595" s="662">
        <f>+SUMIF(SYS_4_3_Digitos!$M$5:$M$1682,BALANCE!V595,SYS_4_3_Digitos!$N$5:$N$1682)</f>
        <v>0</v>
      </c>
      <c r="Z595" s="666"/>
      <c r="AA595" s="661">
        <v>5010</v>
      </c>
      <c r="AB595" s="672">
        <f>+SUMIF(SYS_4_3_Digitos!$M$5:$M$1682,BALANCE!AA595,SYS_4_3_Digitos!$N$5:$N$1682)</f>
        <v>0</v>
      </c>
    </row>
    <row r="596" spans="21:28" hidden="1">
      <c r="U596" s="666"/>
      <c r="V596" s="661">
        <v>2699</v>
      </c>
      <c r="W596" s="662">
        <f>+SUMIF(SYS_4_3_Digitos!$M$5:$M$1682,BALANCE!V596,SYS_4_3_Digitos!$N$5:$N$1682)</f>
        <v>0</v>
      </c>
      <c r="Z596" s="666"/>
      <c r="AA596" s="661">
        <v>5011</v>
      </c>
      <c r="AB596" s="672">
        <f>+SUMIF(SYS_4_3_Digitos!$M$5:$M$1682,BALANCE!AA596,SYS_4_3_Digitos!$N$5:$N$1682)</f>
        <v>0</v>
      </c>
    </row>
    <row r="597" spans="21:28" hidden="1">
      <c r="U597" s="666" t="s">
        <v>156</v>
      </c>
      <c r="Z597" s="666"/>
      <c r="AA597" s="661">
        <v>5012</v>
      </c>
      <c r="AB597" s="672">
        <f>+SUMIF(SYS_4_3_Digitos!$M$5:$M$1682,BALANCE!AA597,SYS_4_3_Digitos!$N$5:$N$1682)</f>
        <v>0</v>
      </c>
    </row>
    <row r="598" spans="21:28" hidden="1">
      <c r="U598" s="607"/>
      <c r="V598" s="664" t="s">
        <v>90</v>
      </c>
      <c r="W598" s="642">
        <f ca="1">SUM(W599:W628)</f>
        <v>0</v>
      </c>
      <c r="Z598" s="666"/>
      <c r="AA598" s="661">
        <v>5013</v>
      </c>
      <c r="AB598" s="672">
        <f>+SUMIF(SYS_4_3_Digitos!$M$5:$M$1682,BALANCE!AA598,SYS_4_3_Digitos!$N$5:$N$1682)</f>
        <v>0</v>
      </c>
    </row>
    <row r="599" spans="21:28" hidden="1">
      <c r="U599" s="607"/>
      <c r="V599" s="661">
        <v>1500</v>
      </c>
      <c r="W599" s="672">
        <f ca="1">+SUMIF(SYS_4_3_Digitos!$M$5:$M$1682,BALANCE!V599,SYS_4_3_Digitos!$N$5:$N$1682)</f>
        <v>0</v>
      </c>
      <c r="Z599" s="666"/>
      <c r="AA599" s="661">
        <v>5014</v>
      </c>
      <c r="AB599" s="672">
        <f>+SUMIF(SYS_4_3_Digitos!$M$5:$M$1682,BALANCE!AA599,SYS_4_3_Digitos!$N$5:$N$1682)</f>
        <v>0</v>
      </c>
    </row>
    <row r="600" spans="21:28" hidden="1">
      <c r="U600" s="607"/>
      <c r="V600" s="661">
        <v>1501</v>
      </c>
      <c r="W600" s="672">
        <f>+SUMIF(SYS_4_3_Digitos!$M$5:$M$1682,BALANCE!V600,SYS_4_3_Digitos!$N$5:$N$1682)</f>
        <v>0</v>
      </c>
      <c r="Z600" s="666"/>
      <c r="AA600" s="661">
        <v>5015</v>
      </c>
      <c r="AB600" s="672">
        <f>+SUMIF(SYS_4_3_Digitos!$M$5:$M$1682,BALANCE!AA600,SYS_4_3_Digitos!$N$5:$N$1682)</f>
        <v>0</v>
      </c>
    </row>
    <row r="601" spans="21:28" hidden="1">
      <c r="U601" s="607"/>
      <c r="V601" s="661">
        <v>1502</v>
      </c>
      <c r="W601" s="672">
        <f>+SUMIF(SYS_4_3_Digitos!$M$5:$M$1682,BALANCE!V601,SYS_4_3_Digitos!$N$5:$N$1682)</f>
        <v>0</v>
      </c>
      <c r="Z601" s="666"/>
      <c r="AA601" s="661">
        <v>5016</v>
      </c>
      <c r="AB601" s="672">
        <f>+SUMIF(SYS_4_3_Digitos!$M$5:$M$1682,BALANCE!AA601,SYS_4_3_Digitos!$N$5:$N$1682)</f>
        <v>0</v>
      </c>
    </row>
    <row r="602" spans="21:28" hidden="1">
      <c r="U602" s="607"/>
      <c r="V602" s="661">
        <v>1503</v>
      </c>
      <c r="W602" s="672">
        <f>+SUMIF(SYS_4_3_Digitos!$M$5:$M$1682,BALANCE!V602,SYS_4_3_Digitos!$N$5:$N$1682)</f>
        <v>0</v>
      </c>
      <c r="Z602" s="666"/>
      <c r="AA602" s="661">
        <v>5017</v>
      </c>
      <c r="AB602" s="672">
        <f>+SUMIF(SYS_4_3_Digitos!$M$5:$M$1682,BALANCE!AA602,SYS_4_3_Digitos!$N$5:$N$1682)</f>
        <v>0</v>
      </c>
    </row>
    <row r="603" spans="21:28" hidden="1">
      <c r="U603" s="607"/>
      <c r="V603" s="661">
        <v>1504</v>
      </c>
      <c r="W603" s="672">
        <f>+SUMIF(SYS_4_3_Digitos!$M$5:$M$1682,BALANCE!V603,SYS_4_3_Digitos!$N$5:$N$1682)</f>
        <v>0</v>
      </c>
      <c r="Z603" s="666"/>
      <c r="AA603" s="661">
        <v>5018</v>
      </c>
      <c r="AB603" s="672">
        <f>+SUMIF(SYS_4_3_Digitos!$M$5:$M$1682,BALANCE!AA603,SYS_4_3_Digitos!$N$5:$N$1682)</f>
        <v>0</v>
      </c>
    </row>
    <row r="604" spans="21:28" hidden="1">
      <c r="U604" s="607"/>
      <c r="V604" s="661">
        <v>1505</v>
      </c>
      <c r="W604" s="672">
        <f>+SUMIF(SYS_4_3_Digitos!$M$5:$M$1682,BALANCE!V604,SYS_4_3_Digitos!$N$5:$N$1682)</f>
        <v>0</v>
      </c>
      <c r="Z604" s="666"/>
      <c r="AA604" s="661">
        <v>5019</v>
      </c>
      <c r="AB604" s="672">
        <f>+SUMIF(SYS_4_3_Digitos!$M$5:$M$1682,BALANCE!AA604,SYS_4_3_Digitos!$N$5:$N$1682)</f>
        <v>0</v>
      </c>
    </row>
    <row r="605" spans="21:28" hidden="1">
      <c r="U605" s="607"/>
      <c r="V605" s="661">
        <v>1506</v>
      </c>
      <c r="W605" s="672">
        <f>+SUMIF(SYS_4_3_Digitos!$M$5:$M$1682,BALANCE!V605,SYS_4_3_Digitos!$N$5:$N$1682)</f>
        <v>0</v>
      </c>
      <c r="Z605" s="666"/>
      <c r="AA605" s="661">
        <v>5050</v>
      </c>
      <c r="AB605" s="672">
        <f>+SUMIF(SYS_4_3_Digitos!$M$5:$M$1682,BALANCE!AA605,SYS_4_3_Digitos!$N$5:$N$1682)</f>
        <v>0</v>
      </c>
    </row>
    <row r="606" spans="21:28" hidden="1">
      <c r="U606" s="607"/>
      <c r="V606" s="661">
        <v>1507</v>
      </c>
      <c r="W606" s="672">
        <f>+SUMIF(SYS_4_3_Digitos!$M$5:$M$1682,BALANCE!V606,SYS_4_3_Digitos!$N$5:$N$1682)</f>
        <v>0</v>
      </c>
      <c r="Z606" s="666"/>
      <c r="AA606" s="661">
        <v>5051</v>
      </c>
      <c r="AB606" s="672">
        <f>+SUMIF(SYS_4_3_Digitos!$M$5:$M$1682,BALANCE!AA606,SYS_4_3_Digitos!$N$5:$N$1682)</f>
        <v>0</v>
      </c>
    </row>
    <row r="607" spans="21:28" hidden="1">
      <c r="U607" s="607"/>
      <c r="V607" s="661">
        <v>1508</v>
      </c>
      <c r="W607" s="672">
        <f>+SUMIF(SYS_4_3_Digitos!$M$5:$M$1682,BALANCE!V607,SYS_4_3_Digitos!$N$5:$N$1682)</f>
        <v>0</v>
      </c>
      <c r="Z607" s="666"/>
      <c r="AA607" s="661">
        <v>5052</v>
      </c>
      <c r="AB607" s="672">
        <f>+SUMIF(SYS_4_3_Digitos!$M$5:$M$1682,BALANCE!AA607,SYS_4_3_Digitos!$N$5:$N$1682)</f>
        <v>0</v>
      </c>
    </row>
    <row r="608" spans="21:28" hidden="1">
      <c r="U608" s="607"/>
      <c r="V608" s="661">
        <v>1509</v>
      </c>
      <c r="W608" s="672">
        <f>+SUMIF(SYS_4_3_Digitos!$M$5:$M$1682,BALANCE!V608,SYS_4_3_Digitos!$N$5:$N$1682)</f>
        <v>0</v>
      </c>
      <c r="Z608" s="666"/>
      <c r="AA608" s="661">
        <v>5053</v>
      </c>
      <c r="AB608" s="672">
        <f>+SUMIF(SYS_4_3_Digitos!$M$5:$M$1682,BALANCE!AA608,SYS_4_3_Digitos!$N$5:$N$1682)</f>
        <v>0</v>
      </c>
    </row>
    <row r="609" spans="21:28" hidden="1">
      <c r="U609" s="607"/>
      <c r="V609" s="661">
        <v>1530</v>
      </c>
      <c r="W609" s="672">
        <f ca="1">+SUMIF(SYS_4_3_Digitos!$M$5:$M$1682,BALANCE!V609,SYS_4_3_Digitos!$N$5:$N$1682)</f>
        <v>0</v>
      </c>
      <c r="Z609" s="666"/>
      <c r="AA609" s="661">
        <v>5054</v>
      </c>
      <c r="AB609" s="672">
        <f>+SUMIF(SYS_4_3_Digitos!$M$5:$M$1682,BALANCE!AA609,SYS_4_3_Digitos!$N$5:$N$1682)</f>
        <v>0</v>
      </c>
    </row>
    <row r="610" spans="21:28" hidden="1">
      <c r="U610" s="607"/>
      <c r="V610" s="661">
        <v>1531</v>
      </c>
      <c r="W610" s="672">
        <f>+SUMIF(SYS_4_3_Digitos!$M$5:$M$1682,BALANCE!V610,SYS_4_3_Digitos!$N$5:$N$1682)</f>
        <v>0</v>
      </c>
      <c r="Z610" s="666"/>
      <c r="AA610" s="661">
        <v>5055</v>
      </c>
      <c r="AB610" s="672">
        <f>+SUMIF(SYS_4_3_Digitos!$M$5:$M$1682,BALANCE!AA610,SYS_4_3_Digitos!$N$5:$N$1682)</f>
        <v>0</v>
      </c>
    </row>
    <row r="611" spans="21:28" hidden="1">
      <c r="U611" s="607"/>
      <c r="V611" s="661">
        <v>1532</v>
      </c>
      <c r="W611" s="672">
        <f>+SUMIF(SYS_4_3_Digitos!$M$5:$M$1682,BALANCE!V611,SYS_4_3_Digitos!$N$5:$N$1682)</f>
        <v>0</v>
      </c>
      <c r="Z611" s="666"/>
      <c r="AA611" s="661">
        <v>5056</v>
      </c>
      <c r="AB611" s="672">
        <f>+SUMIF(SYS_4_3_Digitos!$M$5:$M$1682,BALANCE!AA611,SYS_4_3_Digitos!$N$5:$N$1682)</f>
        <v>0</v>
      </c>
    </row>
    <row r="612" spans="21:28" hidden="1">
      <c r="U612" s="607"/>
      <c r="V612" s="661">
        <v>1533</v>
      </c>
      <c r="W612" s="672">
        <f>+SUMIF(SYS_4_3_Digitos!$M$5:$M$1682,BALANCE!V612,SYS_4_3_Digitos!$N$5:$N$1682)</f>
        <v>0</v>
      </c>
      <c r="Z612" s="666"/>
      <c r="AA612" s="661">
        <v>5057</v>
      </c>
      <c r="AB612" s="672">
        <f>+SUMIF(SYS_4_3_Digitos!$M$5:$M$1682,BALANCE!AA612,SYS_4_3_Digitos!$N$5:$N$1682)</f>
        <v>0</v>
      </c>
    </row>
    <row r="613" spans="21:28" hidden="1">
      <c r="U613" s="607"/>
      <c r="V613" s="661">
        <v>1534</v>
      </c>
      <c r="W613" s="672">
        <f>+SUMIF(SYS_4_3_Digitos!$M$5:$M$1682,BALANCE!V613,SYS_4_3_Digitos!$N$5:$N$1682)</f>
        <v>0</v>
      </c>
      <c r="Z613" s="666"/>
      <c r="AA613" s="661">
        <v>5058</v>
      </c>
      <c r="AB613" s="672">
        <f>+SUMIF(SYS_4_3_Digitos!$M$5:$M$1682,BALANCE!AA613,SYS_4_3_Digitos!$N$5:$N$1682)</f>
        <v>0</v>
      </c>
    </row>
    <row r="614" spans="21:28" hidden="1">
      <c r="U614" s="607"/>
      <c r="V614" s="661">
        <v>1535</v>
      </c>
      <c r="W614" s="672">
        <f>+SUMIF(SYS_4_3_Digitos!$M$5:$M$1682,BALANCE!V614,SYS_4_3_Digitos!$N$5:$N$1682)</f>
        <v>0</v>
      </c>
      <c r="Z614" s="666"/>
      <c r="AA614" s="661">
        <v>5059</v>
      </c>
      <c r="AB614" s="672">
        <f>+SUMIF(SYS_4_3_Digitos!$M$5:$M$1682,BALANCE!AA614,SYS_4_3_Digitos!$N$5:$N$1682)</f>
        <v>0</v>
      </c>
    </row>
    <row r="615" spans="21:28" hidden="1">
      <c r="U615" s="607"/>
      <c r="V615" s="661">
        <v>1536</v>
      </c>
      <c r="W615" s="672">
        <f>+SUMIF(SYS_4_3_Digitos!$M$5:$M$1682,BALANCE!V615,SYS_4_3_Digitos!$N$5:$N$1682)</f>
        <v>0</v>
      </c>
      <c r="Z615" s="666"/>
      <c r="AA615" s="661">
        <v>5060</v>
      </c>
      <c r="AB615" s="672">
        <f>+SUMIF(SYS_4_3_Digitos!$M$5:$M$1682,BALANCE!AA615,SYS_4_3_Digitos!$N$5:$N$1682)</f>
        <v>0</v>
      </c>
    </row>
    <row r="616" spans="21:28" hidden="1">
      <c r="U616" s="607"/>
      <c r="V616" s="661">
        <v>1537</v>
      </c>
      <c r="W616" s="672">
        <f>+SUMIF(SYS_4_3_Digitos!$M$5:$M$1682,BALANCE!V616,SYS_4_3_Digitos!$N$5:$N$1682)</f>
        <v>0</v>
      </c>
      <c r="Z616" s="666"/>
      <c r="AA616" s="661">
        <v>5061</v>
      </c>
      <c r="AB616" s="672">
        <f>+SUMIF(SYS_4_3_Digitos!$M$5:$M$1682,BALANCE!AA616,SYS_4_3_Digitos!$N$5:$N$1682)</f>
        <v>0</v>
      </c>
    </row>
    <row r="617" spans="21:28" hidden="1">
      <c r="U617" s="607"/>
      <c r="V617" s="661">
        <v>1538</v>
      </c>
      <c r="W617" s="672">
        <f>+SUMIF(SYS_4_3_Digitos!$M$5:$M$1682,BALANCE!V617,SYS_4_3_Digitos!$N$5:$N$1682)</f>
        <v>0</v>
      </c>
      <c r="Z617" s="666"/>
      <c r="AA617" s="661">
        <v>5062</v>
      </c>
      <c r="AB617" s="672">
        <f>+SUMIF(SYS_4_3_Digitos!$M$5:$M$1682,BALANCE!AA617,SYS_4_3_Digitos!$N$5:$N$1682)</f>
        <v>0</v>
      </c>
    </row>
    <row r="618" spans="21:28" hidden="1">
      <c r="U618" s="607"/>
      <c r="V618" s="661">
        <v>1539</v>
      </c>
      <c r="W618" s="672">
        <f>+SUMIF(SYS_4_3_Digitos!$M$5:$M$1682,BALANCE!V618,SYS_4_3_Digitos!$N$5:$N$1682)</f>
        <v>0</v>
      </c>
      <c r="Z618" s="666"/>
      <c r="AA618" s="661">
        <v>5063</v>
      </c>
      <c r="AB618" s="672">
        <f>+SUMIF(SYS_4_3_Digitos!$M$5:$M$1682,BALANCE!AA618,SYS_4_3_Digitos!$N$5:$N$1682)</f>
        <v>0</v>
      </c>
    </row>
    <row r="619" spans="21:28" hidden="1">
      <c r="U619" s="607"/>
      <c r="V619" s="661">
        <v>1540</v>
      </c>
      <c r="W619" s="672">
        <f ca="1">+SUMIF(SYS_4_3_Digitos!$M$5:$M$1682,BALANCE!V619,SYS_4_3_Digitos!$N$5:$N$1682)</f>
        <v>0</v>
      </c>
      <c r="Z619" s="666"/>
      <c r="AA619" s="661">
        <v>5064</v>
      </c>
      <c r="AB619" s="672">
        <f>+SUMIF(SYS_4_3_Digitos!$M$5:$M$1682,BALANCE!AA619,SYS_4_3_Digitos!$N$5:$N$1682)</f>
        <v>0</v>
      </c>
    </row>
    <row r="620" spans="21:28" hidden="1">
      <c r="U620" s="607"/>
      <c r="V620" s="661">
        <v>1541</v>
      </c>
      <c r="W620" s="672">
        <f>+SUMIF(SYS_4_3_Digitos!$M$5:$M$1682,BALANCE!V620,SYS_4_3_Digitos!$N$5:$N$1682)</f>
        <v>0</v>
      </c>
      <c r="Z620" s="666"/>
      <c r="AA620" s="661">
        <v>5065</v>
      </c>
      <c r="AB620" s="672">
        <f>+SUMIF(SYS_4_3_Digitos!$M$5:$M$1682,BALANCE!AA620,SYS_4_3_Digitos!$N$5:$N$1682)</f>
        <v>0</v>
      </c>
    </row>
    <row r="621" spans="21:28" hidden="1">
      <c r="U621" s="607"/>
      <c r="V621" s="661">
        <v>1542</v>
      </c>
      <c r="W621" s="672">
        <f>+SUMIF(SYS_4_3_Digitos!$M$5:$M$1682,BALANCE!V621,SYS_4_3_Digitos!$N$5:$N$1682)</f>
        <v>0</v>
      </c>
      <c r="Z621" s="666"/>
      <c r="AA621" s="661">
        <v>5066</v>
      </c>
      <c r="AB621" s="672">
        <f>+SUMIF(SYS_4_3_Digitos!$M$5:$M$1682,BALANCE!AA621,SYS_4_3_Digitos!$N$5:$N$1682)</f>
        <v>0</v>
      </c>
    </row>
    <row r="622" spans="21:28" hidden="1">
      <c r="U622" s="607"/>
      <c r="V622" s="661">
        <v>1543</v>
      </c>
      <c r="W622" s="672">
        <f>+SUMIF(SYS_4_3_Digitos!$M$5:$M$1682,BALANCE!V622,SYS_4_3_Digitos!$N$5:$N$1682)</f>
        <v>0</v>
      </c>
      <c r="Z622" s="666"/>
      <c r="AA622" s="661">
        <v>5067</v>
      </c>
      <c r="AB622" s="672">
        <f>+SUMIF(SYS_4_3_Digitos!$M$5:$M$1682,BALANCE!AA622,SYS_4_3_Digitos!$N$5:$N$1682)</f>
        <v>0</v>
      </c>
    </row>
    <row r="623" spans="21:28" hidden="1">
      <c r="U623" s="607"/>
      <c r="V623" s="661">
        <v>1544</v>
      </c>
      <c r="W623" s="672">
        <f>+SUMIF(SYS_4_3_Digitos!$M$5:$M$1682,BALANCE!V623,SYS_4_3_Digitos!$N$5:$N$1682)</f>
        <v>0</v>
      </c>
      <c r="Z623" s="666"/>
      <c r="AA623" s="661">
        <v>5068</v>
      </c>
      <c r="AB623" s="672">
        <f>+SUMIF(SYS_4_3_Digitos!$M$5:$M$1682,BALANCE!AA623,SYS_4_3_Digitos!$N$5:$N$1682)</f>
        <v>0</v>
      </c>
    </row>
    <row r="624" spans="21:28" hidden="1">
      <c r="U624" s="607"/>
      <c r="V624" s="661">
        <v>1545</v>
      </c>
      <c r="W624" s="672">
        <f>+SUMIF(SYS_4_3_Digitos!$M$5:$M$1682,BALANCE!V624,SYS_4_3_Digitos!$N$5:$N$1682)</f>
        <v>0</v>
      </c>
      <c r="Z624" s="666"/>
      <c r="AA624" s="661">
        <v>5069</v>
      </c>
      <c r="AB624" s="672">
        <f>+SUMIF(SYS_4_3_Digitos!$M$5:$M$1682,BALANCE!AA624,SYS_4_3_Digitos!$N$5:$N$1682)</f>
        <v>0</v>
      </c>
    </row>
    <row r="625" spans="21:28" hidden="1">
      <c r="U625" s="607"/>
      <c r="V625" s="661">
        <v>1546</v>
      </c>
      <c r="W625" s="672">
        <f>+SUMIF(SYS_4_3_Digitos!$M$5:$M$1682,BALANCE!V625,SYS_4_3_Digitos!$N$5:$N$1682)</f>
        <v>0</v>
      </c>
      <c r="Z625" s="717" t="s">
        <v>160</v>
      </c>
      <c r="AA625" s="653" t="s">
        <v>96</v>
      </c>
      <c r="AB625" s="667">
        <f ca="1">SUM(AB626:AB646)</f>
        <v>0</v>
      </c>
    </row>
    <row r="626" spans="21:28" hidden="1">
      <c r="U626" s="607"/>
      <c r="V626" s="661">
        <v>1547</v>
      </c>
      <c r="W626" s="672">
        <f>+SUMIF(SYS_4_3_Digitos!$M$5:$M$1682,BALANCE!V626,SYS_4_3_Digitos!$N$5:$N$1682)</f>
        <v>0</v>
      </c>
      <c r="Z626" s="666"/>
      <c r="AA626" s="661">
        <v>5105</v>
      </c>
      <c r="AB626" s="672">
        <f>+SUMIF(SYS_4_3_Digitos!$M$5:$M$1682,BALANCE!AA626,SYS_4_3_Digitos!$N$5:$N$1682)</f>
        <v>0</v>
      </c>
    </row>
    <row r="627" spans="21:28" hidden="1">
      <c r="U627" s="607"/>
      <c r="V627" s="661">
        <v>1548</v>
      </c>
      <c r="W627" s="672">
        <f>+SUMIF(SYS_4_3_Digitos!$M$5:$M$1682,BALANCE!V627,SYS_4_3_Digitos!$N$5:$N$1682)</f>
        <v>0</v>
      </c>
      <c r="Z627" s="666"/>
      <c r="AA627" s="661">
        <v>5200</v>
      </c>
      <c r="AB627" s="672">
        <f ca="1">+SUMIF(SYS_4_3_Digitos!$M$5:$M$1682,BALANCE!AA627,SYS_4_3_Digitos!$N$5:$N$1682)</f>
        <v>0</v>
      </c>
    </row>
    <row r="628" spans="21:28" hidden="1">
      <c r="U628" s="715">
        <v>474</v>
      </c>
      <c r="V628" s="661">
        <v>1549</v>
      </c>
      <c r="W628" s="672">
        <f>+SUMIF(SYS_4_3_Digitos!$M$5:$M$1682,BALANCE!V628,SYS_4_3_Digitos!$N$5:$N$1682)</f>
        <v>0</v>
      </c>
      <c r="Z628" s="666"/>
      <c r="AA628" s="661">
        <v>5201</v>
      </c>
      <c r="AB628" s="672">
        <f>+SUMIF(SYS_4_3_Digitos!$M$5:$M$1682,BALANCE!AA628,SYS_4_3_Digitos!$N$5:$N$1682)</f>
        <v>0</v>
      </c>
    </row>
    <row r="629" spans="21:28" hidden="1">
      <c r="V629" s="664" t="s">
        <v>27</v>
      </c>
      <c r="W629" s="719">
        <f ca="1">SUM(W630:W639)</f>
        <v>2293618.2600000002</v>
      </c>
      <c r="Z629" s="666"/>
      <c r="AA629" s="661">
        <v>5202</v>
      </c>
      <c r="AB629" s="672">
        <f>+SUMIF(SYS_4_3_Digitos!$M$5:$M$1682,BALANCE!AA629,SYS_4_3_Digitos!$N$5:$N$1682)</f>
        <v>0</v>
      </c>
    </row>
    <row r="630" spans="21:28" hidden="1">
      <c r="V630" s="661">
        <v>4740</v>
      </c>
      <c r="W630" s="662">
        <f ca="1">+SUMIF(SYS_4_3_Digitos!$M$5:$M$1682,BALANCE!V630,SYS_4_3_Digitos!$N$5:$N$1682)</f>
        <v>2082289.74</v>
      </c>
      <c r="Z630" s="666"/>
      <c r="AA630" s="661">
        <v>5203</v>
      </c>
      <c r="AB630" s="672">
        <f>+SUMIF(SYS_4_3_Digitos!$M$5:$M$1682,BALANCE!AA630,SYS_4_3_Digitos!$N$5:$N$1682)</f>
        <v>0</v>
      </c>
    </row>
    <row r="631" spans="21:28" hidden="1">
      <c r="V631" s="661">
        <v>4741</v>
      </c>
      <c r="W631" s="662">
        <f>+SUMIF(SYS_4_3_Digitos!$M$5:$M$1682,BALANCE!V631,SYS_4_3_Digitos!$N$5:$N$1682)</f>
        <v>0</v>
      </c>
      <c r="Z631" s="666"/>
      <c r="AA631" s="661">
        <v>5204</v>
      </c>
      <c r="AB631" s="672">
        <f>+SUMIF(SYS_4_3_Digitos!$M$5:$M$1682,BALANCE!AA631,SYS_4_3_Digitos!$N$5:$N$1682)</f>
        <v>0</v>
      </c>
    </row>
    <row r="632" spans="21:28" hidden="1">
      <c r="V632" s="661">
        <v>4742</v>
      </c>
      <c r="W632" s="662">
        <f ca="1">+SUMIF(SYS_4_3_Digitos!$M$5:$M$1682,BALANCE!V632,SYS_4_3_Digitos!$N$5:$N$1682)</f>
        <v>211328.52000000008</v>
      </c>
      <c r="Z632" s="666"/>
      <c r="AA632" s="661">
        <v>5205</v>
      </c>
      <c r="AB632" s="672">
        <f>+SUMIF(SYS_4_3_Digitos!$M$5:$M$1682,BALANCE!AA632,SYS_4_3_Digitos!$N$5:$N$1682)</f>
        <v>0</v>
      </c>
    </row>
    <row r="633" spans="21:28" hidden="1">
      <c r="V633" s="661">
        <v>4743</v>
      </c>
      <c r="W633" s="662">
        <f>+SUMIF(SYS_4_3_Digitos!$M$5:$M$1682,BALANCE!V633,SYS_4_3_Digitos!$N$5:$N$1682)</f>
        <v>0</v>
      </c>
      <c r="Z633" s="666"/>
      <c r="AA633" s="661">
        <v>5206</v>
      </c>
      <c r="AB633" s="672">
        <f>+SUMIF(SYS_4_3_Digitos!$M$5:$M$1682,BALANCE!AA633,SYS_4_3_Digitos!$N$5:$N$1682)</f>
        <v>0</v>
      </c>
    </row>
    <row r="634" spans="21:28" hidden="1">
      <c r="V634" s="661">
        <v>4744</v>
      </c>
      <c r="W634" s="662">
        <f>+SUMIF(SYS_4_3_Digitos!$M$5:$M$1682,BALANCE!V634,SYS_4_3_Digitos!$N$5:$N$1682)</f>
        <v>0</v>
      </c>
      <c r="Z634" s="666"/>
      <c r="AA634" s="661">
        <v>5207</v>
      </c>
      <c r="AB634" s="672">
        <f>+SUMIF(SYS_4_3_Digitos!$M$5:$M$1682,BALANCE!AA634,SYS_4_3_Digitos!$N$5:$N$1682)</f>
        <v>0</v>
      </c>
    </row>
    <row r="635" spans="21:28" hidden="1">
      <c r="V635" s="661">
        <v>4745</v>
      </c>
      <c r="W635" s="662">
        <f ca="1">+SUMIF(SYS_4_3_Digitos!$M$5:$M$1682,BALANCE!V635,SYS_4_3_Digitos!$N$5:$N$1682)</f>
        <v>0</v>
      </c>
      <c r="Z635" s="666"/>
      <c r="AA635" s="661">
        <v>5208</v>
      </c>
      <c r="AB635" s="672">
        <f>+SUMIF(SYS_4_3_Digitos!$M$5:$M$1682,BALANCE!AA635,SYS_4_3_Digitos!$N$5:$N$1682)</f>
        <v>0</v>
      </c>
    </row>
    <row r="636" spans="21:28" hidden="1">
      <c r="V636" s="661">
        <v>4746</v>
      </c>
      <c r="W636" s="662">
        <f>+SUMIF(SYS_4_3_Digitos!$M$5:$M$1682,BALANCE!V636,SYS_4_3_Digitos!$N$5:$N$1682)</f>
        <v>0</v>
      </c>
      <c r="Z636" s="666"/>
      <c r="AA636" s="661">
        <v>5209</v>
      </c>
      <c r="AB636" s="672">
        <f>+SUMIF(SYS_4_3_Digitos!$M$5:$M$1682,BALANCE!AA636,SYS_4_3_Digitos!$N$5:$N$1682)</f>
        <v>0</v>
      </c>
    </row>
    <row r="637" spans="21:28" hidden="1">
      <c r="V637" s="661">
        <v>4747</v>
      </c>
      <c r="W637" s="662">
        <f>+SUMIF(SYS_4_3_Digitos!$M$5:$M$1682,BALANCE!V637,SYS_4_3_Digitos!$N$5:$N$1682)</f>
        <v>0</v>
      </c>
      <c r="Z637" s="666"/>
      <c r="AA637" s="661">
        <v>5270</v>
      </c>
      <c r="AB637" s="672">
        <f ca="1">+SUMIF(SYS_4_3_Digitos!$M$5:$M$1682,BALANCE!AA637,SYS_4_3_Digitos!$N$5:$N$1682)</f>
        <v>0</v>
      </c>
    </row>
    <row r="638" spans="21:28" hidden="1">
      <c r="V638" s="661">
        <v>4748</v>
      </c>
      <c r="W638" s="662">
        <f>+SUMIF(SYS_4_3_Digitos!$M$5:$M$1682,BALANCE!V638,SYS_4_3_Digitos!$N$5:$N$1682)</f>
        <v>0</v>
      </c>
      <c r="Z638" s="666"/>
      <c r="AA638" s="661">
        <v>5271</v>
      </c>
      <c r="AB638" s="672">
        <f>+SUMIF(SYS_4_3_Digitos!$M$5:$M$1682,BALANCE!AA638,SYS_4_3_Digitos!$N$5:$N$1682)</f>
        <v>0</v>
      </c>
    </row>
    <row r="639" spans="21:28" hidden="1">
      <c r="V639" s="661">
        <v>4749</v>
      </c>
      <c r="W639" s="662">
        <f>+SUMIF(SYS_4_3_Digitos!$M$5:$M$1682,BALANCE!V639,SYS_4_3_Digitos!$N$5:$N$1682)</f>
        <v>0</v>
      </c>
      <c r="Z639" s="666"/>
      <c r="AA639" s="661">
        <v>5272</v>
      </c>
      <c r="AB639" s="672">
        <f>+SUMIF(SYS_4_3_Digitos!$M$5:$M$1682,BALANCE!AA639,SYS_4_3_Digitos!$N$5:$N$1682)</f>
        <v>0</v>
      </c>
    </row>
    <row r="640" spans="21:28" hidden="1">
      <c r="U640" s="722" t="s">
        <v>125</v>
      </c>
      <c r="V640" s="720" t="s">
        <v>28</v>
      </c>
      <c r="W640" s="721"/>
      <c r="Z640" s="666"/>
      <c r="AA640" s="661">
        <v>5273</v>
      </c>
      <c r="AB640" s="672">
        <f>+SUMIF(SYS_4_3_Digitos!$M$5:$M$1682,BALANCE!AA640,SYS_4_3_Digitos!$N$5:$N$1682)</f>
        <v>0</v>
      </c>
    </row>
    <row r="641" spans="22:28" hidden="1">
      <c r="V641" s="664" t="s">
        <v>29</v>
      </c>
      <c r="W641" s="719">
        <f ca="1">SUM(W642:W701)</f>
        <v>0</v>
      </c>
      <c r="Z641" s="666"/>
      <c r="AA641" s="661">
        <v>5274</v>
      </c>
      <c r="AB641" s="672">
        <f>+SUMIF(SYS_4_3_Digitos!$M$5:$M$1682,BALANCE!AA641,SYS_4_3_Digitos!$N$5:$N$1682)</f>
        <v>0</v>
      </c>
    </row>
    <row r="642" spans="22:28" hidden="1">
      <c r="V642" s="661">
        <v>5800</v>
      </c>
      <c r="W642" s="662">
        <f ca="1">+SUMIF(SYS_4_3_Digitos!$M$5:$M$1682,BALANCE!V642,SYS_4_3_Digitos!$N$5:$N$1682)</f>
        <v>0</v>
      </c>
      <c r="Z642" s="666"/>
      <c r="AA642" s="661">
        <v>5275</v>
      </c>
      <c r="AB642" s="672">
        <f>+SUMIF(SYS_4_3_Digitos!$M$5:$M$1682,BALANCE!AA642,SYS_4_3_Digitos!$N$5:$N$1682)</f>
        <v>0</v>
      </c>
    </row>
    <row r="643" spans="22:28" hidden="1">
      <c r="V643" s="661">
        <v>5801</v>
      </c>
      <c r="W643" s="662">
        <f>+SUMIF(SYS_4_3_Digitos!$M$5:$M$1682,BALANCE!V643,SYS_4_3_Digitos!$N$5:$N$1682)</f>
        <v>0</v>
      </c>
      <c r="Z643" s="666"/>
      <c r="AA643" s="661">
        <v>5276</v>
      </c>
      <c r="AB643" s="672">
        <f>+SUMIF(SYS_4_3_Digitos!$M$5:$M$1682,BALANCE!AA643,SYS_4_3_Digitos!$N$5:$N$1682)</f>
        <v>0</v>
      </c>
    </row>
    <row r="644" spans="22:28" hidden="1">
      <c r="V644" s="661">
        <v>5802</v>
      </c>
      <c r="W644" s="662">
        <f>+SUMIF(SYS_4_3_Digitos!$M$5:$M$1682,BALANCE!V644,SYS_4_3_Digitos!$N$5:$N$1682)</f>
        <v>0</v>
      </c>
      <c r="Z644" s="666"/>
      <c r="AA644" s="661">
        <v>5277</v>
      </c>
      <c r="AB644" s="672">
        <f>+SUMIF(SYS_4_3_Digitos!$M$5:$M$1682,BALANCE!AA644,SYS_4_3_Digitos!$N$5:$N$1682)</f>
        <v>0</v>
      </c>
    </row>
    <row r="645" spans="22:28" hidden="1">
      <c r="V645" s="661">
        <v>5803</v>
      </c>
      <c r="W645" s="662">
        <f>+SUMIF(SYS_4_3_Digitos!$M$5:$M$1682,BALANCE!V645,SYS_4_3_Digitos!$N$5:$N$1682)</f>
        <v>0</v>
      </c>
      <c r="Z645" s="666"/>
      <c r="AA645" s="661">
        <v>5278</v>
      </c>
      <c r="AB645" s="672">
        <f>+SUMIF(SYS_4_3_Digitos!$M$5:$M$1682,BALANCE!AA645,SYS_4_3_Digitos!$N$5:$N$1682)</f>
        <v>0</v>
      </c>
    </row>
    <row r="646" spans="22:28" hidden="1">
      <c r="V646" s="661">
        <v>5804</v>
      </c>
      <c r="W646" s="662">
        <f>+SUMIF(SYS_4_3_Digitos!$M$5:$M$1682,BALANCE!V646,SYS_4_3_Digitos!$N$5:$N$1682)</f>
        <v>0</v>
      </c>
      <c r="Z646" s="666"/>
      <c r="AA646" s="661">
        <v>5279</v>
      </c>
      <c r="AB646" s="672">
        <f>+SUMIF(SYS_4_3_Digitos!$M$5:$M$1682,BALANCE!AA646,SYS_4_3_Digitos!$N$5:$N$1682)</f>
        <v>0</v>
      </c>
    </row>
    <row r="647" spans="22:28" hidden="1">
      <c r="V647" s="661">
        <v>5805</v>
      </c>
      <c r="W647" s="662">
        <f>+SUMIF(SYS_4_3_Digitos!$M$5:$M$1682,BALANCE!V647,SYS_4_3_Digitos!$N$5:$N$1682)</f>
        <v>0</v>
      </c>
      <c r="Z647" s="717" t="s">
        <v>161</v>
      </c>
      <c r="AA647" s="653" t="s">
        <v>85</v>
      </c>
      <c r="AB647" s="667">
        <f ca="1">SUM(AB648:AB658)</f>
        <v>0</v>
      </c>
    </row>
    <row r="648" spans="22:28" hidden="1">
      <c r="V648" s="661">
        <v>5806</v>
      </c>
      <c r="W648" s="662">
        <f>+SUMIF(SYS_4_3_Digitos!$M$5:$M$1682,BALANCE!V648,SYS_4_3_Digitos!$N$5:$N$1682)</f>
        <v>0</v>
      </c>
      <c r="Z648" s="666"/>
      <c r="AA648" s="661">
        <v>5125</v>
      </c>
      <c r="AB648" s="672">
        <f>+SUMIF(SYS_4_3_Digitos!$M$5:$M$1682,BALANCE!AA648,SYS_4_3_Digitos!$N$5:$N$1682)</f>
        <v>0</v>
      </c>
    </row>
    <row r="649" spans="22:28" hidden="1">
      <c r="V649" s="661">
        <v>5807</v>
      </c>
      <c r="W649" s="662">
        <f>+SUMIF(SYS_4_3_Digitos!$M$5:$M$1682,BALANCE!V649,SYS_4_3_Digitos!$N$5:$N$1682)</f>
        <v>0</v>
      </c>
      <c r="Z649" s="666"/>
      <c r="AA649" s="661">
        <v>5240</v>
      </c>
      <c r="AB649" s="672">
        <f ca="1">+SUMIF(SYS_4_3_Digitos!$M$5:$M$1682,BALANCE!AA649,SYS_4_3_Digitos!$N$5:$N$1682)</f>
        <v>0</v>
      </c>
    </row>
    <row r="650" spans="22:28" hidden="1">
      <c r="V650" s="661">
        <v>5808</v>
      </c>
      <c r="W650" s="662">
        <f>+SUMIF(SYS_4_3_Digitos!$M$5:$M$1682,BALANCE!V650,SYS_4_3_Digitos!$N$5:$N$1682)</f>
        <v>0</v>
      </c>
      <c r="Z650" s="666"/>
      <c r="AA650" s="661">
        <v>5241</v>
      </c>
      <c r="AB650" s="672">
        <f>+SUMIF(SYS_4_3_Digitos!$M$5:$M$1682,BALANCE!AA650,SYS_4_3_Digitos!$N$5:$N$1682)</f>
        <v>0</v>
      </c>
    </row>
    <row r="651" spans="22:28" hidden="1">
      <c r="V651" s="661">
        <v>5809</v>
      </c>
      <c r="W651" s="662">
        <f>+SUMIF(SYS_4_3_Digitos!$M$5:$M$1682,BALANCE!V651,SYS_4_3_Digitos!$N$5:$N$1682)</f>
        <v>0</v>
      </c>
      <c r="Z651" s="666"/>
      <c r="AA651" s="661">
        <v>5242</v>
      </c>
      <c r="AB651" s="672">
        <f>+SUMIF(SYS_4_3_Digitos!$M$5:$M$1682,BALANCE!AA651,SYS_4_3_Digitos!$N$5:$N$1682)</f>
        <v>0</v>
      </c>
    </row>
    <row r="652" spans="22:28" hidden="1">
      <c r="V652" s="661">
        <v>5810</v>
      </c>
      <c r="W652" s="662">
        <f ca="1">+SUMIF(SYS_4_3_Digitos!$M$5:$M$1682,BALANCE!V652,SYS_4_3_Digitos!$N$5:$N$1682)</f>
        <v>0</v>
      </c>
      <c r="Z652" s="666"/>
      <c r="AA652" s="661">
        <v>5243</v>
      </c>
      <c r="AB652" s="672">
        <f>+SUMIF(SYS_4_3_Digitos!$M$5:$M$1682,BALANCE!AA652,SYS_4_3_Digitos!$N$5:$N$1682)</f>
        <v>0</v>
      </c>
    </row>
    <row r="653" spans="22:28" hidden="1">
      <c r="V653" s="661">
        <v>5811</v>
      </c>
      <c r="W653" s="662">
        <f>+SUMIF(SYS_4_3_Digitos!$M$5:$M$1682,BALANCE!V653,SYS_4_3_Digitos!$N$5:$N$1682)</f>
        <v>0</v>
      </c>
      <c r="Z653" s="666"/>
      <c r="AA653" s="661">
        <v>5244</v>
      </c>
      <c r="AB653" s="672">
        <f>+SUMIF(SYS_4_3_Digitos!$M$5:$M$1682,BALANCE!AA653,SYS_4_3_Digitos!$N$5:$N$1682)</f>
        <v>0</v>
      </c>
    </row>
    <row r="654" spans="22:28" hidden="1">
      <c r="V654" s="661">
        <v>5812</v>
      </c>
      <c r="W654" s="662">
        <f>+SUMIF(SYS_4_3_Digitos!$M$5:$M$1682,BALANCE!V654,SYS_4_3_Digitos!$N$5:$N$1682)</f>
        <v>0</v>
      </c>
      <c r="Z654" s="666"/>
      <c r="AA654" s="661">
        <v>5245</v>
      </c>
      <c r="AB654" s="672">
        <f>+SUMIF(SYS_4_3_Digitos!$M$5:$M$1682,BALANCE!AA654,SYS_4_3_Digitos!$N$5:$N$1682)</f>
        <v>0</v>
      </c>
    </row>
    <row r="655" spans="22:28" hidden="1">
      <c r="V655" s="661">
        <v>5813</v>
      </c>
      <c r="W655" s="662">
        <f>+SUMIF(SYS_4_3_Digitos!$M$5:$M$1682,BALANCE!V655,SYS_4_3_Digitos!$N$5:$N$1682)</f>
        <v>0</v>
      </c>
      <c r="Z655" s="666"/>
      <c r="AA655" s="661">
        <v>5246</v>
      </c>
      <c r="AB655" s="672">
        <f>+SUMIF(SYS_4_3_Digitos!$M$5:$M$1682,BALANCE!AA655,SYS_4_3_Digitos!$N$5:$N$1682)</f>
        <v>0</v>
      </c>
    </row>
    <row r="656" spans="22:28" hidden="1">
      <c r="V656" s="661">
        <v>5814</v>
      </c>
      <c r="W656" s="662">
        <f>+SUMIF(SYS_4_3_Digitos!$M$5:$M$1682,BALANCE!V656,SYS_4_3_Digitos!$N$5:$N$1682)</f>
        <v>0</v>
      </c>
      <c r="Z656" s="666"/>
      <c r="AA656" s="661">
        <v>5247</v>
      </c>
      <c r="AB656" s="672">
        <f>+SUMIF(SYS_4_3_Digitos!$M$5:$M$1682,BALANCE!AA656,SYS_4_3_Digitos!$N$5:$N$1682)</f>
        <v>0</v>
      </c>
    </row>
    <row r="657" spans="22:28" hidden="1">
      <c r="V657" s="661">
        <v>5815</v>
      </c>
      <c r="W657" s="662">
        <f>+SUMIF(SYS_4_3_Digitos!$M$5:$M$1682,BALANCE!V657,SYS_4_3_Digitos!$N$5:$N$1682)</f>
        <v>0</v>
      </c>
      <c r="Z657" s="666"/>
      <c r="AA657" s="661">
        <v>5248</v>
      </c>
      <c r="AB657" s="672">
        <f>+SUMIF(SYS_4_3_Digitos!$M$5:$M$1682,BALANCE!AA657,SYS_4_3_Digitos!$N$5:$N$1682)</f>
        <v>0</v>
      </c>
    </row>
    <row r="658" spans="22:28" hidden="1">
      <c r="V658" s="661">
        <v>5816</v>
      </c>
      <c r="W658" s="662">
        <f>+SUMIF(SYS_4_3_Digitos!$M$5:$M$1682,BALANCE!V658,SYS_4_3_Digitos!$N$5:$N$1682)</f>
        <v>0</v>
      </c>
      <c r="Z658" s="666"/>
      <c r="AA658" s="661">
        <v>5249</v>
      </c>
      <c r="AB658" s="672">
        <f>+SUMIF(SYS_4_3_Digitos!$M$5:$M$1682,BALANCE!AA658,SYS_4_3_Digitos!$N$5:$N$1682)</f>
        <v>0</v>
      </c>
    </row>
    <row r="659" spans="22:28" hidden="1">
      <c r="V659" s="661">
        <v>5817</v>
      </c>
      <c r="W659" s="662">
        <f>+SUMIF(SYS_4_3_Digitos!$M$5:$M$1682,BALANCE!V659,SYS_4_3_Digitos!$N$5:$N$1682)</f>
        <v>0</v>
      </c>
      <c r="Z659" s="666" t="s">
        <v>162</v>
      </c>
      <c r="AA659" s="653" t="s">
        <v>23</v>
      </c>
      <c r="AB659" s="667">
        <f>SUM(AB660:AB661)</f>
        <v>0</v>
      </c>
    </row>
    <row r="660" spans="22:28" hidden="1">
      <c r="V660" s="661">
        <v>5818</v>
      </c>
      <c r="W660" s="662">
        <f>+SUMIF(SYS_4_3_Digitos!$M$5:$M$1682,BALANCE!V660,SYS_4_3_Digitos!$N$5:$N$1682)</f>
        <v>0</v>
      </c>
      <c r="Z660" s="666"/>
      <c r="AA660" s="661">
        <v>5595</v>
      </c>
      <c r="AB660" s="672">
        <f>+SUMIF(SYS_4_3_Digitos!$M$5:$M$1682,BALANCE!AA660,SYS_4_3_Digitos!$N$5:$N$1682)</f>
        <v>0</v>
      </c>
    </row>
    <row r="661" spans="22:28" hidden="1">
      <c r="V661" s="661">
        <v>5819</v>
      </c>
      <c r="W661" s="662">
        <f>+SUMIF(SYS_4_3_Digitos!$M$5:$M$1682,BALANCE!V661,SYS_4_3_Digitos!$N$5:$N$1682)</f>
        <v>0</v>
      </c>
      <c r="Z661" s="666"/>
      <c r="AA661" s="661">
        <v>5598</v>
      </c>
      <c r="AB661" s="672">
        <f>+SUMIF(SYS_4_3_Digitos!$M$5:$M$1682,BALANCE!AA661,SYS_4_3_Digitos!$N$5:$N$1682)</f>
        <v>0</v>
      </c>
    </row>
    <row r="662" spans="22:28" ht="21" hidden="1">
      <c r="V662" s="661">
        <v>5820</v>
      </c>
      <c r="W662" s="662">
        <f ca="1">+SUMIF(SYS_4_3_Digitos!$M$5:$M$1682,BALANCE!V662,SYS_4_3_Digitos!$N$5:$N$1682)</f>
        <v>0</v>
      </c>
      <c r="Z662" s="666" t="s">
        <v>1551</v>
      </c>
      <c r="AA662" s="653" t="s">
        <v>86</v>
      </c>
      <c r="AB662" s="667">
        <f ca="1">SUM(AB663:AB804)</f>
        <v>-652.07000000000005</v>
      </c>
    </row>
    <row r="663" spans="22:28" hidden="1">
      <c r="V663" s="661">
        <v>5821</v>
      </c>
      <c r="W663" s="662">
        <f>+SUMIF(SYS_4_3_Digitos!$M$5:$M$1682,BALANCE!V663,SYS_4_3_Digitos!$N$5:$N$1682)</f>
        <v>0</v>
      </c>
      <c r="Z663" s="666"/>
      <c r="AA663" s="661">
        <v>1034</v>
      </c>
      <c r="AB663" s="672">
        <f>+SUMIF(SYS_4_3_Digitos!$M$5:$M$1682,BALANCE!AA663,SYS_4_3_Digitos!$N$5:$N$1682)</f>
        <v>0</v>
      </c>
    </row>
    <row r="664" spans="22:28" hidden="1">
      <c r="V664" s="661">
        <v>5822</v>
      </c>
      <c r="W664" s="662">
        <f>+SUMIF(SYS_4_3_Digitos!$M$5:$M$1682,BALANCE!V664,SYS_4_3_Digitos!$N$5:$N$1682)</f>
        <v>0</v>
      </c>
      <c r="Z664" s="666"/>
      <c r="AA664" s="661">
        <v>1044</v>
      </c>
      <c r="AB664" s="672">
        <f>+SUMIF(SYS_4_3_Digitos!$M$5:$M$1682,BALANCE!AA664,SYS_4_3_Digitos!$N$5:$N$1682)</f>
        <v>0</v>
      </c>
    </row>
    <row r="665" spans="22:28" hidden="1">
      <c r="V665" s="661">
        <v>5823</v>
      </c>
      <c r="W665" s="662">
        <f>+SUMIF(SYS_4_3_Digitos!$M$5:$M$1682,BALANCE!V665,SYS_4_3_Digitos!$N$5:$N$1682)</f>
        <v>0</v>
      </c>
      <c r="Z665" s="666"/>
      <c r="AA665" s="661">
        <v>1900</v>
      </c>
      <c r="AB665" s="672">
        <f ca="1">+SUMIF(SYS_4_3_Digitos!$M$5:$M$1682,BALANCE!AA665,SYS_4_3_Digitos!$N$5:$N$1682)</f>
        <v>0</v>
      </c>
    </row>
    <row r="666" spans="22:28" hidden="1">
      <c r="V666" s="661">
        <v>5824</v>
      </c>
      <c r="W666" s="662">
        <f>+SUMIF(SYS_4_3_Digitos!$M$5:$M$1682,BALANCE!V666,SYS_4_3_Digitos!$N$5:$N$1682)</f>
        <v>0</v>
      </c>
      <c r="Z666" s="666"/>
      <c r="AA666" s="661">
        <v>1901</v>
      </c>
      <c r="AB666" s="672">
        <f>+SUMIF(SYS_4_3_Digitos!$M$5:$M$1682,BALANCE!AA666,SYS_4_3_Digitos!$N$5:$N$1682)</f>
        <v>0</v>
      </c>
    </row>
    <row r="667" spans="22:28" hidden="1">
      <c r="V667" s="661">
        <v>5825</v>
      </c>
      <c r="W667" s="662">
        <f>+SUMIF(SYS_4_3_Digitos!$M$5:$M$1682,BALANCE!V667,SYS_4_3_Digitos!$N$5:$N$1682)</f>
        <v>0</v>
      </c>
      <c r="Z667" s="666"/>
      <c r="AA667" s="661">
        <v>1902</v>
      </c>
      <c r="AB667" s="672">
        <f>+SUMIF(SYS_4_3_Digitos!$M$5:$M$1682,BALANCE!AA667,SYS_4_3_Digitos!$N$5:$N$1682)</f>
        <v>0</v>
      </c>
    </row>
    <row r="668" spans="22:28" hidden="1">
      <c r="V668" s="661">
        <v>5826</v>
      </c>
      <c r="W668" s="662">
        <f>+SUMIF(SYS_4_3_Digitos!$M$5:$M$1682,BALANCE!V668,SYS_4_3_Digitos!$N$5:$N$1682)</f>
        <v>0</v>
      </c>
      <c r="Z668" s="666"/>
      <c r="AA668" s="661">
        <v>1903</v>
      </c>
      <c r="AB668" s="672">
        <f>+SUMIF(SYS_4_3_Digitos!$M$5:$M$1682,BALANCE!AA668,SYS_4_3_Digitos!$N$5:$N$1682)</f>
        <v>0</v>
      </c>
    </row>
    <row r="669" spans="22:28" hidden="1">
      <c r="V669" s="661">
        <v>5827</v>
      </c>
      <c r="W669" s="662">
        <f>+SUMIF(SYS_4_3_Digitos!$M$5:$M$1682,BALANCE!V669,SYS_4_3_Digitos!$N$5:$N$1682)</f>
        <v>0</v>
      </c>
      <c r="Z669" s="666"/>
      <c r="AA669" s="661">
        <v>1904</v>
      </c>
      <c r="AB669" s="672">
        <f>+SUMIF(SYS_4_3_Digitos!$M$5:$M$1682,BALANCE!AA669,SYS_4_3_Digitos!$N$5:$N$1682)</f>
        <v>0</v>
      </c>
    </row>
    <row r="670" spans="22:28" hidden="1">
      <c r="V670" s="661">
        <v>5828</v>
      </c>
      <c r="W670" s="662">
        <f>+SUMIF(SYS_4_3_Digitos!$M$5:$M$1682,BALANCE!V670,SYS_4_3_Digitos!$N$5:$N$1682)</f>
        <v>0</v>
      </c>
      <c r="Z670" s="666"/>
      <c r="AA670" s="661">
        <v>1905</v>
      </c>
      <c r="AB670" s="672">
        <f>+SUMIF(SYS_4_3_Digitos!$M$5:$M$1682,BALANCE!AA670,SYS_4_3_Digitos!$N$5:$N$1682)</f>
        <v>0</v>
      </c>
    </row>
    <row r="671" spans="22:28" hidden="1">
      <c r="V671" s="661">
        <v>5829</v>
      </c>
      <c r="W671" s="662">
        <f>+SUMIF(SYS_4_3_Digitos!$M$5:$M$1682,BALANCE!V671,SYS_4_3_Digitos!$N$5:$N$1682)</f>
        <v>0</v>
      </c>
      <c r="Z671" s="666"/>
      <c r="AA671" s="661">
        <v>1906</v>
      </c>
      <c r="AB671" s="672">
        <f>+SUMIF(SYS_4_3_Digitos!$M$5:$M$1682,BALANCE!AA671,SYS_4_3_Digitos!$N$5:$N$1682)</f>
        <v>0</v>
      </c>
    </row>
    <row r="672" spans="22:28" hidden="1">
      <c r="V672" s="661">
        <v>5830</v>
      </c>
      <c r="W672" s="662">
        <f ca="1">+SUMIF(SYS_4_3_Digitos!$M$5:$M$1682,BALANCE!V672,SYS_4_3_Digitos!$N$5:$N$1682)</f>
        <v>0</v>
      </c>
      <c r="Z672" s="666"/>
      <c r="AA672" s="661">
        <v>1907</v>
      </c>
      <c r="AB672" s="672">
        <f>+SUMIF(SYS_4_3_Digitos!$M$5:$M$1682,BALANCE!AA672,SYS_4_3_Digitos!$N$5:$N$1682)</f>
        <v>0</v>
      </c>
    </row>
    <row r="673" spans="22:28" hidden="1">
      <c r="V673" s="661">
        <v>5831</v>
      </c>
      <c r="W673" s="662">
        <f>+SUMIF(SYS_4_3_Digitos!$M$5:$M$1682,BALANCE!V673,SYS_4_3_Digitos!$N$5:$N$1682)</f>
        <v>0</v>
      </c>
      <c r="Z673" s="666"/>
      <c r="AA673" s="661">
        <v>1908</v>
      </c>
      <c r="AB673" s="672">
        <f>+SUMIF(SYS_4_3_Digitos!$M$5:$M$1682,BALANCE!AA673,SYS_4_3_Digitos!$N$5:$N$1682)</f>
        <v>0</v>
      </c>
    </row>
    <row r="674" spans="22:28" hidden="1">
      <c r="V674" s="661">
        <v>5832</v>
      </c>
      <c r="W674" s="662">
        <f>+SUMIF(SYS_4_3_Digitos!$M$5:$M$1682,BALANCE!V674,SYS_4_3_Digitos!$N$5:$N$1682)</f>
        <v>0</v>
      </c>
      <c r="Z674" s="666"/>
      <c r="AA674" s="661">
        <v>1909</v>
      </c>
      <c r="AB674" s="672">
        <f>+SUMIF(SYS_4_3_Digitos!$M$5:$M$1682,BALANCE!AA674,SYS_4_3_Digitos!$N$5:$N$1682)</f>
        <v>0</v>
      </c>
    </row>
    <row r="675" spans="22:28" hidden="1">
      <c r="V675" s="661">
        <v>5833</v>
      </c>
      <c r="W675" s="662">
        <f>+SUMIF(SYS_4_3_Digitos!$M$5:$M$1682,BALANCE!V675,SYS_4_3_Digitos!$N$5:$N$1682)</f>
        <v>0</v>
      </c>
      <c r="Z675" s="666"/>
      <c r="AA675" s="661">
        <v>1920</v>
      </c>
      <c r="AB675" s="672">
        <f ca="1">+SUMIF(SYS_4_3_Digitos!$M$5:$M$1682,BALANCE!AA675,SYS_4_3_Digitos!$N$5:$N$1682)</f>
        <v>0</v>
      </c>
    </row>
    <row r="676" spans="22:28" hidden="1">
      <c r="V676" s="661">
        <v>5834</v>
      </c>
      <c r="W676" s="662">
        <f>+SUMIF(SYS_4_3_Digitos!$M$5:$M$1682,BALANCE!V676,SYS_4_3_Digitos!$N$5:$N$1682)</f>
        <v>0</v>
      </c>
      <c r="Z676" s="666"/>
      <c r="AA676" s="661">
        <v>1921</v>
      </c>
      <c r="AB676" s="672">
        <f>+SUMIF(SYS_4_3_Digitos!$M$5:$M$1682,BALANCE!AA676,SYS_4_3_Digitos!$N$5:$N$1682)</f>
        <v>0</v>
      </c>
    </row>
    <row r="677" spans="22:28" hidden="1">
      <c r="V677" s="661">
        <v>5835</v>
      </c>
      <c r="W677" s="662">
        <f>+SUMIF(SYS_4_3_Digitos!$M$5:$M$1682,BALANCE!V677,SYS_4_3_Digitos!$N$5:$N$1682)</f>
        <v>0</v>
      </c>
      <c r="Z677" s="666"/>
      <c r="AA677" s="661">
        <v>1922</v>
      </c>
      <c r="AB677" s="672">
        <f>+SUMIF(SYS_4_3_Digitos!$M$5:$M$1682,BALANCE!AA677,SYS_4_3_Digitos!$N$5:$N$1682)</f>
        <v>0</v>
      </c>
    </row>
    <row r="678" spans="22:28" hidden="1">
      <c r="V678" s="661">
        <v>5836</v>
      </c>
      <c r="W678" s="662">
        <f>+SUMIF(SYS_4_3_Digitos!$M$5:$M$1682,BALANCE!V678,SYS_4_3_Digitos!$N$5:$N$1682)</f>
        <v>0</v>
      </c>
      <c r="Z678" s="666"/>
      <c r="AA678" s="661">
        <v>1923</v>
      </c>
      <c r="AB678" s="672">
        <f>+SUMIF(SYS_4_3_Digitos!$M$5:$M$1682,BALANCE!AA678,SYS_4_3_Digitos!$N$5:$N$1682)</f>
        <v>0</v>
      </c>
    </row>
    <row r="679" spans="22:28" hidden="1">
      <c r="V679" s="661">
        <v>5837</v>
      </c>
      <c r="W679" s="662">
        <f>+SUMIF(SYS_4_3_Digitos!$M$5:$M$1682,BALANCE!V679,SYS_4_3_Digitos!$N$5:$N$1682)</f>
        <v>0</v>
      </c>
      <c r="Z679" s="666"/>
      <c r="AA679" s="661">
        <v>1924</v>
      </c>
      <c r="AB679" s="672">
        <f>+SUMIF(SYS_4_3_Digitos!$M$5:$M$1682,BALANCE!AA679,SYS_4_3_Digitos!$N$5:$N$1682)</f>
        <v>0</v>
      </c>
    </row>
    <row r="680" spans="22:28" hidden="1">
      <c r="V680" s="661">
        <v>5838</v>
      </c>
      <c r="W680" s="662">
        <f>+SUMIF(SYS_4_3_Digitos!$M$5:$M$1682,BALANCE!V680,SYS_4_3_Digitos!$N$5:$N$1682)</f>
        <v>0</v>
      </c>
      <c r="Z680" s="666"/>
      <c r="AA680" s="661">
        <v>1925</v>
      </c>
      <c r="AB680" s="672">
        <f>+SUMIF(SYS_4_3_Digitos!$M$5:$M$1682,BALANCE!AA680,SYS_4_3_Digitos!$N$5:$N$1682)</f>
        <v>0</v>
      </c>
    </row>
    <row r="681" spans="22:28" hidden="1">
      <c r="V681" s="661">
        <v>5839</v>
      </c>
      <c r="W681" s="662">
        <f>+SUMIF(SYS_4_3_Digitos!$M$5:$M$1682,BALANCE!V681,SYS_4_3_Digitos!$N$5:$N$1682)</f>
        <v>0</v>
      </c>
      <c r="Z681" s="666"/>
      <c r="AA681" s="661">
        <v>1926</v>
      </c>
      <c r="AB681" s="672">
        <f>+SUMIF(SYS_4_3_Digitos!$M$5:$M$1682,BALANCE!AA681,SYS_4_3_Digitos!$N$5:$N$1682)</f>
        <v>0</v>
      </c>
    </row>
    <row r="682" spans="22:28" hidden="1">
      <c r="V682" s="661">
        <v>5840</v>
      </c>
      <c r="W682" s="662">
        <f ca="1">+SUMIF(SYS_4_3_Digitos!$M$5:$M$1682,BALANCE!V682,SYS_4_3_Digitos!$N$5:$N$1682)</f>
        <v>0</v>
      </c>
      <c r="Z682" s="666"/>
      <c r="AA682" s="661">
        <v>1927</v>
      </c>
      <c r="AB682" s="672">
        <f>+SUMIF(SYS_4_3_Digitos!$M$5:$M$1682,BALANCE!AA682,SYS_4_3_Digitos!$N$5:$N$1682)</f>
        <v>0</v>
      </c>
    </row>
    <row r="683" spans="22:28" hidden="1">
      <c r="V683" s="661">
        <v>5841</v>
      </c>
      <c r="W683" s="662">
        <f>+SUMIF(SYS_4_3_Digitos!$M$5:$M$1682,BALANCE!V683,SYS_4_3_Digitos!$N$5:$N$1682)</f>
        <v>0</v>
      </c>
      <c r="Z683" s="666"/>
      <c r="AA683" s="661">
        <v>1928</v>
      </c>
      <c r="AB683" s="672">
        <f>+SUMIF(SYS_4_3_Digitos!$M$5:$M$1682,BALANCE!AA683,SYS_4_3_Digitos!$N$5:$N$1682)</f>
        <v>0</v>
      </c>
    </row>
    <row r="684" spans="22:28" hidden="1">
      <c r="V684" s="661">
        <v>5842</v>
      </c>
      <c r="W684" s="662">
        <f>+SUMIF(SYS_4_3_Digitos!$M$5:$M$1682,BALANCE!V684,SYS_4_3_Digitos!$N$5:$N$1682)</f>
        <v>0</v>
      </c>
      <c r="Z684" s="666"/>
      <c r="AA684" s="661">
        <v>1929</v>
      </c>
      <c r="AB684" s="672">
        <f>+SUMIF(SYS_4_3_Digitos!$M$5:$M$1682,BALANCE!AA684,SYS_4_3_Digitos!$N$5:$N$1682)</f>
        <v>0</v>
      </c>
    </row>
    <row r="685" spans="22:28" hidden="1">
      <c r="V685" s="661">
        <v>5843</v>
      </c>
      <c r="W685" s="662">
        <f>+SUMIF(SYS_4_3_Digitos!$M$5:$M$1682,BALANCE!V685,SYS_4_3_Digitos!$N$5:$N$1682)</f>
        <v>0</v>
      </c>
      <c r="Z685" s="666"/>
      <c r="AA685" s="661">
        <v>1940</v>
      </c>
      <c r="AB685" s="672">
        <f ca="1">+SUMIF(SYS_4_3_Digitos!$M$5:$M$1682,BALANCE!AA685,SYS_4_3_Digitos!$N$5:$N$1682)</f>
        <v>0</v>
      </c>
    </row>
    <row r="686" spans="22:28" hidden="1">
      <c r="V686" s="661">
        <v>5844</v>
      </c>
      <c r="W686" s="662">
        <f>+SUMIF(SYS_4_3_Digitos!$M$5:$M$1682,BALANCE!V686,SYS_4_3_Digitos!$N$5:$N$1682)</f>
        <v>0</v>
      </c>
      <c r="Z686" s="666"/>
      <c r="AA686" s="661">
        <v>1941</v>
      </c>
      <c r="AB686" s="672">
        <f>+SUMIF(SYS_4_3_Digitos!$M$5:$M$1682,BALANCE!AA686,SYS_4_3_Digitos!$N$5:$N$1682)</f>
        <v>0</v>
      </c>
    </row>
    <row r="687" spans="22:28" hidden="1">
      <c r="V687" s="661">
        <v>5845</v>
      </c>
      <c r="W687" s="662">
        <f>+SUMIF(SYS_4_3_Digitos!$M$5:$M$1682,BALANCE!V687,SYS_4_3_Digitos!$N$5:$N$1682)</f>
        <v>0</v>
      </c>
      <c r="Z687" s="666"/>
      <c r="AA687" s="661">
        <v>1942</v>
      </c>
      <c r="AB687" s="672">
        <f>+SUMIF(SYS_4_3_Digitos!$M$5:$M$1682,BALANCE!AA687,SYS_4_3_Digitos!$N$5:$N$1682)</f>
        <v>0</v>
      </c>
    </row>
    <row r="688" spans="22:28" hidden="1">
      <c r="V688" s="661">
        <v>5846</v>
      </c>
      <c r="W688" s="662">
        <f>+SUMIF(SYS_4_3_Digitos!$M$5:$M$1682,BALANCE!V688,SYS_4_3_Digitos!$N$5:$N$1682)</f>
        <v>0</v>
      </c>
      <c r="Z688" s="666"/>
      <c r="AA688" s="661">
        <v>1943</v>
      </c>
      <c r="AB688" s="672">
        <f>+SUMIF(SYS_4_3_Digitos!$M$5:$M$1682,BALANCE!AA688,SYS_4_3_Digitos!$N$5:$N$1682)</f>
        <v>0</v>
      </c>
    </row>
    <row r="689" spans="21:28" hidden="1">
      <c r="V689" s="661">
        <v>5847</v>
      </c>
      <c r="W689" s="662">
        <f>+SUMIF(SYS_4_3_Digitos!$M$5:$M$1682,BALANCE!V689,SYS_4_3_Digitos!$N$5:$N$1682)</f>
        <v>0</v>
      </c>
      <c r="Z689" s="666"/>
      <c r="AA689" s="661">
        <v>1944</v>
      </c>
      <c r="AB689" s="672">
        <f>+SUMIF(SYS_4_3_Digitos!$M$5:$M$1682,BALANCE!AA689,SYS_4_3_Digitos!$N$5:$N$1682)</f>
        <v>0</v>
      </c>
    </row>
    <row r="690" spans="21:28" hidden="1">
      <c r="V690" s="661">
        <v>5848</v>
      </c>
      <c r="W690" s="662">
        <f>+SUMIF(SYS_4_3_Digitos!$M$5:$M$1682,BALANCE!V690,SYS_4_3_Digitos!$N$5:$N$1682)</f>
        <v>0</v>
      </c>
      <c r="Z690" s="666"/>
      <c r="AA690" s="661">
        <v>1945</v>
      </c>
      <c r="AB690" s="672">
        <f>+SUMIF(SYS_4_3_Digitos!$M$5:$M$1682,BALANCE!AA690,SYS_4_3_Digitos!$N$5:$N$1682)</f>
        <v>0</v>
      </c>
    </row>
    <row r="691" spans="21:28" hidden="1">
      <c r="V691" s="661">
        <v>5849</v>
      </c>
      <c r="W691" s="662">
        <f>+SUMIF(SYS_4_3_Digitos!$M$5:$M$1682,BALANCE!V691,SYS_4_3_Digitos!$N$5:$N$1682)</f>
        <v>0</v>
      </c>
      <c r="Z691" s="666"/>
      <c r="AA691" s="661">
        <v>1946</v>
      </c>
      <c r="AB691" s="672">
        <f>+SUMIF(SYS_4_3_Digitos!$M$5:$M$1682,BALANCE!AA691,SYS_4_3_Digitos!$N$5:$N$1682)</f>
        <v>0</v>
      </c>
    </row>
    <row r="692" spans="21:28" hidden="1">
      <c r="V692" s="661">
        <v>5990</v>
      </c>
      <c r="W692" s="662">
        <f>+SUMIF(SYS_4_3_Digitos!$M$5:$M$1682,BALANCE!V692,SYS_4_3_Digitos!$N$5:$N$1682)</f>
        <v>0</v>
      </c>
      <c r="Z692" s="666"/>
      <c r="AA692" s="661">
        <v>1947</v>
      </c>
      <c r="AB692" s="672">
        <f>+SUMIF(SYS_4_3_Digitos!$M$5:$M$1682,BALANCE!AA692,SYS_4_3_Digitos!$N$5:$N$1682)</f>
        <v>0</v>
      </c>
    </row>
    <row r="693" spans="21:28" hidden="1">
      <c r="V693" s="661">
        <v>5991</v>
      </c>
      <c r="W693" s="662">
        <f>+SUMIF(SYS_4_3_Digitos!$M$5:$M$1682,BALANCE!V693,SYS_4_3_Digitos!$N$5:$N$1682)</f>
        <v>0</v>
      </c>
      <c r="Z693" s="666"/>
      <c r="AA693" s="661">
        <v>1948</v>
      </c>
      <c r="AB693" s="672">
        <f>+SUMIF(SYS_4_3_Digitos!$M$5:$M$1682,BALANCE!AA693,SYS_4_3_Digitos!$N$5:$N$1682)</f>
        <v>0</v>
      </c>
    </row>
    <row r="694" spans="21:28" hidden="1">
      <c r="V694" s="661">
        <v>5992</v>
      </c>
      <c r="W694" s="662">
        <f>+SUMIF(SYS_4_3_Digitos!$M$5:$M$1682,BALANCE!V694,SYS_4_3_Digitos!$N$5:$N$1682)</f>
        <v>0</v>
      </c>
      <c r="Z694" s="666"/>
      <c r="AA694" s="661">
        <v>1949</v>
      </c>
      <c r="AB694" s="672">
        <f>+SUMIF(SYS_4_3_Digitos!$M$5:$M$1682,BALANCE!AA694,SYS_4_3_Digitos!$N$5:$N$1682)</f>
        <v>0</v>
      </c>
    </row>
    <row r="695" spans="21:28" hidden="1">
      <c r="V695" s="661">
        <v>5993</v>
      </c>
      <c r="W695" s="662">
        <f>+SUMIF(SYS_4_3_Digitos!$M$5:$M$1682,BALANCE!V695,SYS_4_3_Digitos!$N$5:$N$1682)</f>
        <v>0</v>
      </c>
      <c r="Z695" s="666"/>
      <c r="AA695" s="661">
        <v>5090</v>
      </c>
      <c r="AB695" s="672">
        <f>+SUMIF(SYS_4_3_Digitos!$M$5:$M$1682,BALANCE!AA695,SYS_4_3_Digitos!$N$5:$N$1682)</f>
        <v>0</v>
      </c>
    </row>
    <row r="696" spans="21:28" hidden="1">
      <c r="V696" s="661">
        <v>5994</v>
      </c>
      <c r="W696" s="662">
        <f>+SUMIF(SYS_4_3_Digitos!$M$5:$M$1682,BALANCE!V696,SYS_4_3_Digitos!$N$5:$N$1682)</f>
        <v>0</v>
      </c>
      <c r="Z696" s="666"/>
      <c r="AA696" s="661">
        <v>5115</v>
      </c>
      <c r="AB696" s="672">
        <f>+SUMIF(SYS_4_3_Digitos!$M$5:$M$1682,BALANCE!AA696,SYS_4_3_Digitos!$N$5:$N$1682)</f>
        <v>0</v>
      </c>
    </row>
    <row r="697" spans="21:28" hidden="1">
      <c r="V697" s="661">
        <v>5995</v>
      </c>
      <c r="W697" s="662">
        <f>+SUMIF(SYS_4_3_Digitos!$M$5:$M$1682,BALANCE!V697,SYS_4_3_Digitos!$N$5:$N$1682)</f>
        <v>0</v>
      </c>
      <c r="Z697" s="666"/>
      <c r="AA697" s="661">
        <v>5135</v>
      </c>
      <c r="AB697" s="672">
        <f ca="1">+SUMIF(SYS_4_3_Digitos!$M$5:$M$1682,BALANCE!AA697,SYS_4_3_Digitos!$N$5:$N$1682)</f>
        <v>0</v>
      </c>
    </row>
    <row r="698" spans="21:28" hidden="1">
      <c r="V698" s="661">
        <v>5996</v>
      </c>
      <c r="W698" s="662">
        <f>+SUMIF(SYS_4_3_Digitos!$M$5:$M$1682,BALANCE!V698,SYS_4_3_Digitos!$N$5:$N$1682)</f>
        <v>0</v>
      </c>
      <c r="Z698" s="666"/>
      <c r="AA698" s="661">
        <v>5145</v>
      </c>
      <c r="AB698" s="672">
        <f ca="1">+SUMIF(SYS_4_3_Digitos!$M$5:$M$1682,BALANCE!AA698,SYS_4_3_Digitos!$N$5:$N$1682)</f>
        <v>0</v>
      </c>
    </row>
    <row r="699" spans="21:28" hidden="1">
      <c r="V699" s="661">
        <v>5997</v>
      </c>
      <c r="W699" s="662">
        <f>+SUMIF(SYS_4_3_Digitos!$M$5:$M$1682,BALANCE!V699,SYS_4_3_Digitos!$N$5:$N$1682)</f>
        <v>0</v>
      </c>
      <c r="Z699" s="666"/>
      <c r="AA699" s="661">
        <v>5210</v>
      </c>
      <c r="AB699" s="672">
        <f ca="1">+SUMIF(SYS_4_3_Digitos!$M$5:$M$1682,BALANCE!AA699,SYS_4_3_Digitos!$N$5:$N$1682)</f>
        <v>-652.07000000000005</v>
      </c>
    </row>
    <row r="700" spans="21:28" hidden="1">
      <c r="V700" s="661">
        <v>5998</v>
      </c>
      <c r="W700" s="662">
        <f>+SUMIF(SYS_4_3_Digitos!$M$5:$M$1682,BALANCE!V700,SYS_4_3_Digitos!$N$5:$N$1682)</f>
        <v>0</v>
      </c>
      <c r="Z700" s="666"/>
      <c r="AA700" s="661">
        <v>5211</v>
      </c>
      <c r="AB700" s="672">
        <f>+SUMIF(SYS_4_3_Digitos!$M$5:$M$1682,BALANCE!AA700,SYS_4_3_Digitos!$N$5:$N$1682)</f>
        <v>0</v>
      </c>
    </row>
    <row r="701" spans="21:28" hidden="1">
      <c r="V701" s="661">
        <v>5999</v>
      </c>
      <c r="W701" s="662">
        <f>+SUMIF(SYS_4_3_Digitos!$M$5:$M$1682,BALANCE!V701,SYS_4_3_Digitos!$N$5:$N$1682)</f>
        <v>0</v>
      </c>
      <c r="Z701" s="666"/>
      <c r="AA701" s="661">
        <v>5212</v>
      </c>
      <c r="AB701" s="672">
        <f>+SUMIF(SYS_4_3_Digitos!$M$5:$M$1682,BALANCE!AA701,SYS_4_3_Digitos!$N$5:$N$1682)</f>
        <v>0</v>
      </c>
    </row>
    <row r="702" spans="21:28" hidden="1">
      <c r="U702" s="715" t="s">
        <v>126</v>
      </c>
      <c r="V702" s="664" t="s">
        <v>30</v>
      </c>
      <c r="W702" s="722"/>
      <c r="Z702" s="666"/>
      <c r="AA702" s="661">
        <v>5213</v>
      </c>
      <c r="AB702" s="672">
        <f>+SUMIF(SYS_4_3_Digitos!$M$5:$M$1682,BALANCE!AA702,SYS_4_3_Digitos!$N$5:$N$1682)</f>
        <v>0</v>
      </c>
    </row>
    <row r="703" spans="21:28" hidden="1">
      <c r="V703" s="653" t="s">
        <v>31</v>
      </c>
      <c r="W703" s="654">
        <f ca="1">SUM(W704:W813)</f>
        <v>7571396.0500000007</v>
      </c>
      <c r="Z703" s="666"/>
      <c r="AA703" s="661">
        <v>5214</v>
      </c>
      <c r="AB703" s="672">
        <f>+SUMIF(SYS_4_3_Digitos!$M$5:$M$1682,BALANCE!AA703,SYS_4_3_Digitos!$N$5:$N$1682)</f>
        <v>0</v>
      </c>
    </row>
    <row r="704" spans="21:28" hidden="1">
      <c r="V704" s="661">
        <v>3000</v>
      </c>
      <c r="W704" s="662">
        <f ca="1">+SUMIF(SYS_4_3_Digitos!$M$5:$M$1682,BALANCE!V704,SYS_4_3_Digitos!$N$5:$N$1682)</f>
        <v>7571396.0500000007</v>
      </c>
      <c r="Z704" s="666"/>
      <c r="AA704" s="661">
        <v>5215</v>
      </c>
      <c r="AB704" s="672">
        <f>+SUMIF(SYS_4_3_Digitos!$M$5:$M$1682,BALANCE!AA704,SYS_4_3_Digitos!$N$5:$N$1682)</f>
        <v>0</v>
      </c>
    </row>
    <row r="705" spans="22:28" hidden="1">
      <c r="V705" s="661">
        <v>3001</v>
      </c>
      <c r="W705" s="662">
        <f>+SUMIF(SYS_4_3_Digitos!$M$5:$M$1682,BALANCE!V705,SYS_4_3_Digitos!$N$5:$N$1682)</f>
        <v>0</v>
      </c>
      <c r="Z705" s="666"/>
      <c r="AA705" s="661">
        <v>5216</v>
      </c>
      <c r="AB705" s="672">
        <f>+SUMIF(SYS_4_3_Digitos!$M$5:$M$1682,BALANCE!AA705,SYS_4_3_Digitos!$N$5:$N$1682)</f>
        <v>0</v>
      </c>
    </row>
    <row r="706" spans="22:28" hidden="1">
      <c r="V706" s="661">
        <v>3002</v>
      </c>
      <c r="W706" s="662">
        <f>+SUMIF(SYS_4_3_Digitos!$M$5:$M$1682,BALANCE!V706,SYS_4_3_Digitos!$N$5:$N$1682)</f>
        <v>0</v>
      </c>
      <c r="Z706" s="666"/>
      <c r="AA706" s="661">
        <v>5217</v>
      </c>
      <c r="AB706" s="672">
        <f>+SUMIF(SYS_4_3_Digitos!$M$5:$M$1682,BALANCE!AA706,SYS_4_3_Digitos!$N$5:$N$1682)</f>
        <v>0</v>
      </c>
    </row>
    <row r="707" spans="22:28" hidden="1">
      <c r="V707" s="661">
        <v>3003</v>
      </c>
      <c r="W707" s="662">
        <f>+SUMIF(SYS_4_3_Digitos!$M$5:$M$1682,BALANCE!V707,SYS_4_3_Digitos!$N$5:$N$1682)</f>
        <v>0</v>
      </c>
      <c r="Z707" s="666"/>
      <c r="AA707" s="661">
        <v>5218</v>
      </c>
      <c r="AB707" s="672">
        <f>+SUMIF(SYS_4_3_Digitos!$M$5:$M$1682,BALANCE!AA707,SYS_4_3_Digitos!$N$5:$N$1682)</f>
        <v>0</v>
      </c>
    </row>
    <row r="708" spans="22:28" hidden="1">
      <c r="V708" s="661">
        <v>3004</v>
      </c>
      <c r="W708" s="662">
        <f>+SUMIF(SYS_4_3_Digitos!$M$5:$M$1682,BALANCE!V708,SYS_4_3_Digitos!$N$5:$N$1682)</f>
        <v>0</v>
      </c>
      <c r="Z708" s="666"/>
      <c r="AA708" s="661">
        <v>5219</v>
      </c>
      <c r="AB708" s="672">
        <f>+SUMIF(SYS_4_3_Digitos!$M$5:$M$1682,BALANCE!AA708,SYS_4_3_Digitos!$N$5:$N$1682)</f>
        <v>0</v>
      </c>
    </row>
    <row r="709" spans="22:28" hidden="1">
      <c r="V709" s="661">
        <v>3005</v>
      </c>
      <c r="W709" s="662">
        <f>+SUMIF(SYS_4_3_Digitos!$M$5:$M$1682,BALANCE!V709,SYS_4_3_Digitos!$N$5:$N$1682)</f>
        <v>0</v>
      </c>
      <c r="Z709" s="666"/>
      <c r="AA709" s="661">
        <v>5220</v>
      </c>
      <c r="AB709" s="672">
        <f ca="1">+SUMIF(SYS_4_3_Digitos!$M$5:$M$1682,BALANCE!AA709,SYS_4_3_Digitos!$N$5:$N$1682)</f>
        <v>0</v>
      </c>
    </row>
    <row r="710" spans="22:28" hidden="1">
      <c r="V710" s="661">
        <v>3006</v>
      </c>
      <c r="W710" s="662">
        <f>+SUMIF(SYS_4_3_Digitos!$M$5:$M$1682,BALANCE!V710,SYS_4_3_Digitos!$N$5:$N$1682)</f>
        <v>0</v>
      </c>
      <c r="Z710" s="666"/>
      <c r="AA710" s="661">
        <v>5221</v>
      </c>
      <c r="AB710" s="672">
        <f>+SUMIF(SYS_4_3_Digitos!$M$5:$M$1682,BALANCE!AA710,SYS_4_3_Digitos!$N$5:$N$1682)</f>
        <v>0</v>
      </c>
    </row>
    <row r="711" spans="22:28" hidden="1">
      <c r="V711" s="661">
        <v>3007</v>
      </c>
      <c r="W711" s="662">
        <f>+SUMIF(SYS_4_3_Digitos!$M$5:$M$1682,BALANCE!V711,SYS_4_3_Digitos!$N$5:$N$1682)</f>
        <v>0</v>
      </c>
      <c r="Z711" s="666"/>
      <c r="AA711" s="661">
        <v>5222</v>
      </c>
      <c r="AB711" s="672">
        <f>+SUMIF(SYS_4_3_Digitos!$M$5:$M$1682,BALANCE!AA711,SYS_4_3_Digitos!$N$5:$N$1682)</f>
        <v>0</v>
      </c>
    </row>
    <row r="712" spans="22:28" hidden="1">
      <c r="V712" s="661">
        <v>3008</v>
      </c>
      <c r="W712" s="662">
        <f>+SUMIF(SYS_4_3_Digitos!$M$5:$M$1682,BALANCE!V712,SYS_4_3_Digitos!$N$5:$N$1682)</f>
        <v>0</v>
      </c>
      <c r="Z712" s="666"/>
      <c r="AA712" s="661">
        <v>5223</v>
      </c>
      <c r="AB712" s="672">
        <f>+SUMIF(SYS_4_3_Digitos!$M$5:$M$1682,BALANCE!AA712,SYS_4_3_Digitos!$N$5:$N$1682)</f>
        <v>0</v>
      </c>
    </row>
    <row r="713" spans="22:28" hidden="1">
      <c r="V713" s="661">
        <v>3009</v>
      </c>
      <c r="W713" s="662">
        <f>+SUMIF(SYS_4_3_Digitos!$M$5:$M$1682,BALANCE!V713,SYS_4_3_Digitos!$N$5:$N$1682)</f>
        <v>0</v>
      </c>
      <c r="Z713" s="666"/>
      <c r="AA713" s="661">
        <v>5224</v>
      </c>
      <c r="AB713" s="672">
        <f>+SUMIF(SYS_4_3_Digitos!$M$5:$M$1682,BALANCE!AA713,SYS_4_3_Digitos!$N$5:$N$1682)</f>
        <v>0</v>
      </c>
    </row>
    <row r="714" spans="22:28" hidden="1">
      <c r="V714" s="661">
        <v>3010</v>
      </c>
      <c r="W714" s="662">
        <f>+SUMIF(SYS_4_3_Digitos!$M$5:$M$1682,BALANCE!V714,SYS_4_3_Digitos!$N$5:$N$1682)</f>
        <v>0</v>
      </c>
      <c r="Z714" s="666"/>
      <c r="AA714" s="661">
        <v>5225</v>
      </c>
      <c r="AB714" s="672">
        <f>+SUMIF(SYS_4_3_Digitos!$M$5:$M$1682,BALANCE!AA714,SYS_4_3_Digitos!$N$5:$N$1682)</f>
        <v>0</v>
      </c>
    </row>
    <row r="715" spans="22:28" hidden="1">
      <c r="V715" s="661">
        <v>3011</v>
      </c>
      <c r="W715" s="662">
        <f>+SUMIF(SYS_4_3_Digitos!$M$5:$M$1682,BALANCE!V715,SYS_4_3_Digitos!$N$5:$N$1682)</f>
        <v>0</v>
      </c>
      <c r="Z715" s="666"/>
      <c r="AA715" s="661">
        <v>5226</v>
      </c>
      <c r="AB715" s="672">
        <f>+SUMIF(SYS_4_3_Digitos!$M$5:$M$1682,BALANCE!AA715,SYS_4_3_Digitos!$N$5:$N$1682)</f>
        <v>0</v>
      </c>
    </row>
    <row r="716" spans="22:28" hidden="1">
      <c r="V716" s="661">
        <v>3012</v>
      </c>
      <c r="W716" s="662">
        <f>+SUMIF(SYS_4_3_Digitos!$M$5:$M$1682,BALANCE!V716,SYS_4_3_Digitos!$N$5:$N$1682)</f>
        <v>0</v>
      </c>
      <c r="Z716" s="666"/>
      <c r="AA716" s="661">
        <v>5227</v>
      </c>
      <c r="AB716" s="672">
        <f>+SUMIF(SYS_4_3_Digitos!$M$5:$M$1682,BALANCE!AA716,SYS_4_3_Digitos!$N$5:$N$1682)</f>
        <v>0</v>
      </c>
    </row>
    <row r="717" spans="22:28" hidden="1">
      <c r="V717" s="661">
        <v>3013</v>
      </c>
      <c r="W717" s="662">
        <f>+SUMIF(SYS_4_3_Digitos!$M$5:$M$1682,BALANCE!V717,SYS_4_3_Digitos!$N$5:$N$1682)</f>
        <v>0</v>
      </c>
      <c r="Z717" s="666"/>
      <c r="AA717" s="661">
        <v>5228</v>
      </c>
      <c r="AB717" s="672">
        <f>+SUMIF(SYS_4_3_Digitos!$M$5:$M$1682,BALANCE!AA717,SYS_4_3_Digitos!$N$5:$N$1682)</f>
        <v>0</v>
      </c>
    </row>
    <row r="718" spans="22:28" hidden="1">
      <c r="V718" s="661">
        <v>3014</v>
      </c>
      <c r="W718" s="662">
        <f>+SUMIF(SYS_4_3_Digitos!$M$5:$M$1682,BALANCE!V718,SYS_4_3_Digitos!$N$5:$N$1682)</f>
        <v>0</v>
      </c>
      <c r="Z718" s="666"/>
      <c r="AA718" s="661">
        <v>5229</v>
      </c>
      <c r="AB718" s="672">
        <f>+SUMIF(SYS_4_3_Digitos!$M$5:$M$1682,BALANCE!AA718,SYS_4_3_Digitos!$N$5:$N$1682)</f>
        <v>0</v>
      </c>
    </row>
    <row r="719" spans="22:28" hidden="1">
      <c r="V719" s="661">
        <v>3015</v>
      </c>
      <c r="W719" s="662">
        <f>+SUMIF(SYS_4_3_Digitos!$M$5:$M$1682,BALANCE!V719,SYS_4_3_Digitos!$N$5:$N$1682)</f>
        <v>0</v>
      </c>
      <c r="Z719" s="666"/>
      <c r="AA719" s="661">
        <v>5230</v>
      </c>
      <c r="AB719" s="672">
        <f ca="1">+SUMIF(SYS_4_3_Digitos!$M$5:$M$1682,BALANCE!AA719,SYS_4_3_Digitos!$N$5:$N$1682)</f>
        <v>0</v>
      </c>
    </row>
    <row r="720" spans="22:28" hidden="1">
      <c r="V720" s="661">
        <v>3016</v>
      </c>
      <c r="W720" s="662">
        <f>+SUMIF(SYS_4_3_Digitos!$M$5:$M$1682,BALANCE!V720,SYS_4_3_Digitos!$N$5:$N$1682)</f>
        <v>0</v>
      </c>
      <c r="Z720" s="666"/>
      <c r="AA720" s="661">
        <v>5231</v>
      </c>
      <c r="AB720" s="672">
        <f>+SUMIF(SYS_4_3_Digitos!$M$5:$M$1682,BALANCE!AA720,SYS_4_3_Digitos!$N$5:$N$1682)</f>
        <v>0</v>
      </c>
    </row>
    <row r="721" spans="22:28" hidden="1">
      <c r="V721" s="661">
        <v>3017</v>
      </c>
      <c r="W721" s="662">
        <f>+SUMIF(SYS_4_3_Digitos!$M$5:$M$1682,BALANCE!V721,SYS_4_3_Digitos!$N$5:$N$1682)</f>
        <v>0</v>
      </c>
      <c r="Z721" s="666"/>
      <c r="AA721" s="661">
        <v>5232</v>
      </c>
      <c r="AB721" s="672">
        <f>+SUMIF(SYS_4_3_Digitos!$M$5:$M$1682,BALANCE!AA721,SYS_4_3_Digitos!$N$5:$N$1682)</f>
        <v>0</v>
      </c>
    </row>
    <row r="722" spans="22:28" hidden="1">
      <c r="V722" s="661">
        <v>3018</v>
      </c>
      <c r="W722" s="662">
        <f>+SUMIF(SYS_4_3_Digitos!$M$5:$M$1682,BALANCE!V722,SYS_4_3_Digitos!$N$5:$N$1682)</f>
        <v>0</v>
      </c>
      <c r="Z722" s="666"/>
      <c r="AA722" s="661">
        <v>5233</v>
      </c>
      <c r="AB722" s="672">
        <f>+SUMIF(SYS_4_3_Digitos!$M$5:$M$1682,BALANCE!AA722,SYS_4_3_Digitos!$N$5:$N$1682)</f>
        <v>0</v>
      </c>
    </row>
    <row r="723" spans="22:28" hidden="1">
      <c r="V723" s="661">
        <v>3019</v>
      </c>
      <c r="W723" s="662">
        <f>+SUMIF(SYS_4_3_Digitos!$M$5:$M$1682,BALANCE!V723,SYS_4_3_Digitos!$N$5:$N$1682)</f>
        <v>0</v>
      </c>
      <c r="Z723" s="666"/>
      <c r="AA723" s="661">
        <v>5234</v>
      </c>
      <c r="AB723" s="672">
        <f>+SUMIF(SYS_4_3_Digitos!$M$5:$M$1682,BALANCE!AA723,SYS_4_3_Digitos!$N$5:$N$1682)</f>
        <v>0</v>
      </c>
    </row>
    <row r="724" spans="22:28" hidden="1">
      <c r="V724" s="661">
        <v>3020</v>
      </c>
      <c r="W724" s="662">
        <f>+SUMIF(SYS_4_3_Digitos!$M$5:$M$1682,BALANCE!V724,SYS_4_3_Digitos!$N$5:$N$1682)</f>
        <v>0</v>
      </c>
      <c r="Z724" s="666"/>
      <c r="AA724" s="661">
        <v>5235</v>
      </c>
      <c r="AB724" s="672">
        <f>+SUMIF(SYS_4_3_Digitos!$M$5:$M$1682,BALANCE!AA724,SYS_4_3_Digitos!$N$5:$N$1682)</f>
        <v>0</v>
      </c>
    </row>
    <row r="725" spans="22:28" hidden="1">
      <c r="V725" s="661">
        <v>3021</v>
      </c>
      <c r="W725" s="662">
        <f>+SUMIF(SYS_4_3_Digitos!$M$5:$M$1682,BALANCE!V725,SYS_4_3_Digitos!$N$5:$N$1682)</f>
        <v>0</v>
      </c>
      <c r="Z725" s="666"/>
      <c r="AA725" s="661">
        <v>5236</v>
      </c>
      <c r="AB725" s="672">
        <f>+SUMIF(SYS_4_3_Digitos!$M$5:$M$1682,BALANCE!AA725,SYS_4_3_Digitos!$N$5:$N$1682)</f>
        <v>0</v>
      </c>
    </row>
    <row r="726" spans="22:28" hidden="1">
      <c r="V726" s="661">
        <v>3022</v>
      </c>
      <c r="W726" s="662">
        <f>+SUMIF(SYS_4_3_Digitos!$M$5:$M$1682,BALANCE!V726,SYS_4_3_Digitos!$N$5:$N$1682)</f>
        <v>0</v>
      </c>
      <c r="Z726" s="666"/>
      <c r="AA726" s="661">
        <v>5237</v>
      </c>
      <c r="AB726" s="672">
        <f>+SUMIF(SYS_4_3_Digitos!$M$5:$M$1682,BALANCE!AA726,SYS_4_3_Digitos!$N$5:$N$1682)</f>
        <v>0</v>
      </c>
    </row>
    <row r="727" spans="22:28" hidden="1">
      <c r="V727" s="661">
        <v>3023</v>
      </c>
      <c r="W727" s="662">
        <f>+SUMIF(SYS_4_3_Digitos!$M$5:$M$1682,BALANCE!V727,SYS_4_3_Digitos!$N$5:$N$1682)</f>
        <v>0</v>
      </c>
      <c r="Z727" s="666"/>
      <c r="AA727" s="661">
        <v>5238</v>
      </c>
      <c r="AB727" s="672">
        <f>+SUMIF(SYS_4_3_Digitos!$M$5:$M$1682,BALANCE!AA727,SYS_4_3_Digitos!$N$5:$N$1682)</f>
        <v>0</v>
      </c>
    </row>
    <row r="728" spans="22:28" hidden="1">
      <c r="V728" s="661">
        <v>3024</v>
      </c>
      <c r="W728" s="662">
        <f>+SUMIF(SYS_4_3_Digitos!$M$5:$M$1682,BALANCE!V728,SYS_4_3_Digitos!$N$5:$N$1682)</f>
        <v>0</v>
      </c>
      <c r="Z728" s="666"/>
      <c r="AA728" s="661">
        <v>5239</v>
      </c>
      <c r="AB728" s="672">
        <f>+SUMIF(SYS_4_3_Digitos!$M$5:$M$1682,BALANCE!AA728,SYS_4_3_Digitos!$N$5:$N$1682)</f>
        <v>0</v>
      </c>
    </row>
    <row r="729" spans="22:28" hidden="1">
      <c r="V729" s="661">
        <v>3025</v>
      </c>
      <c r="W729" s="662">
        <f>+SUMIF(SYS_4_3_Digitos!$M$5:$M$1682,BALANCE!V729,SYS_4_3_Digitos!$N$5:$N$1682)</f>
        <v>0</v>
      </c>
      <c r="Z729" s="666"/>
      <c r="AA729" s="661">
        <v>5250</v>
      </c>
      <c r="AB729" s="672">
        <f ca="1">+SUMIF(SYS_4_3_Digitos!$M$5:$M$1682,BALANCE!AA729,SYS_4_3_Digitos!$N$5:$N$1682)</f>
        <v>0</v>
      </c>
    </row>
    <row r="730" spans="22:28" hidden="1">
      <c r="V730" s="661">
        <v>3026</v>
      </c>
      <c r="W730" s="662">
        <f>+SUMIF(SYS_4_3_Digitos!$M$5:$M$1682,BALANCE!V730,SYS_4_3_Digitos!$N$5:$N$1682)</f>
        <v>0</v>
      </c>
      <c r="Z730" s="666"/>
      <c r="AA730" s="661">
        <v>5251</v>
      </c>
      <c r="AB730" s="672">
        <f>+SUMIF(SYS_4_3_Digitos!$M$5:$M$1682,BALANCE!AA730,SYS_4_3_Digitos!$N$5:$N$1682)</f>
        <v>0</v>
      </c>
    </row>
    <row r="731" spans="22:28" hidden="1">
      <c r="V731" s="661">
        <v>3027</v>
      </c>
      <c r="W731" s="662">
        <f>+SUMIF(SYS_4_3_Digitos!$M$5:$M$1682,BALANCE!V731,SYS_4_3_Digitos!$N$5:$N$1682)</f>
        <v>0</v>
      </c>
      <c r="Z731" s="666"/>
      <c r="AA731" s="661">
        <v>5252</v>
      </c>
      <c r="AB731" s="672">
        <f>+SUMIF(SYS_4_3_Digitos!$M$5:$M$1682,BALANCE!AA731,SYS_4_3_Digitos!$N$5:$N$1682)</f>
        <v>0</v>
      </c>
    </row>
    <row r="732" spans="22:28" hidden="1">
      <c r="V732" s="661">
        <v>3028</v>
      </c>
      <c r="W732" s="662">
        <f>+SUMIF(SYS_4_3_Digitos!$M$5:$M$1682,BALANCE!V732,SYS_4_3_Digitos!$N$5:$N$1682)</f>
        <v>0</v>
      </c>
      <c r="Z732" s="666"/>
      <c r="AA732" s="661">
        <v>5253</v>
      </c>
      <c r="AB732" s="672">
        <f>+SUMIF(SYS_4_3_Digitos!$M$5:$M$1682,BALANCE!AA732,SYS_4_3_Digitos!$N$5:$N$1682)</f>
        <v>0</v>
      </c>
    </row>
    <row r="733" spans="22:28" hidden="1">
      <c r="V733" s="661">
        <v>3029</v>
      </c>
      <c r="W733" s="662">
        <f>+SUMIF(SYS_4_3_Digitos!$M$5:$M$1682,BALANCE!V733,SYS_4_3_Digitos!$N$5:$N$1682)</f>
        <v>0</v>
      </c>
      <c r="Z733" s="666"/>
      <c r="AA733" s="661">
        <v>5254</v>
      </c>
      <c r="AB733" s="672">
        <f>+SUMIF(SYS_4_3_Digitos!$M$5:$M$1682,BALANCE!AA733,SYS_4_3_Digitos!$N$5:$N$1682)</f>
        <v>0</v>
      </c>
    </row>
    <row r="734" spans="22:28" hidden="1">
      <c r="V734" s="661">
        <v>3030</v>
      </c>
      <c r="W734" s="662">
        <f>+SUMIF(SYS_4_3_Digitos!$M$5:$M$1682,BALANCE!V734,SYS_4_3_Digitos!$N$5:$N$1682)</f>
        <v>0</v>
      </c>
      <c r="Z734" s="666"/>
      <c r="AA734" s="661">
        <v>5255</v>
      </c>
      <c r="AB734" s="672">
        <f>+SUMIF(SYS_4_3_Digitos!$M$5:$M$1682,BALANCE!AA734,SYS_4_3_Digitos!$N$5:$N$1682)</f>
        <v>0</v>
      </c>
    </row>
    <row r="735" spans="22:28" hidden="1">
      <c r="V735" s="661">
        <v>3031</v>
      </c>
      <c r="W735" s="662">
        <f>+SUMIF(SYS_4_3_Digitos!$M$5:$M$1682,BALANCE!V735,SYS_4_3_Digitos!$N$5:$N$1682)</f>
        <v>0</v>
      </c>
      <c r="Z735" s="666"/>
      <c r="AA735" s="661">
        <v>5256</v>
      </c>
      <c r="AB735" s="672">
        <f>+SUMIF(SYS_4_3_Digitos!$M$5:$M$1682,BALANCE!AA735,SYS_4_3_Digitos!$N$5:$N$1682)</f>
        <v>0</v>
      </c>
    </row>
    <row r="736" spans="22:28" hidden="1">
      <c r="V736" s="661">
        <v>3032</v>
      </c>
      <c r="W736" s="662">
        <f>+SUMIF(SYS_4_3_Digitos!$M$5:$M$1682,BALANCE!V736,SYS_4_3_Digitos!$N$5:$N$1682)</f>
        <v>0</v>
      </c>
      <c r="Z736" s="666"/>
      <c r="AA736" s="661">
        <v>5257</v>
      </c>
      <c r="AB736" s="672">
        <f>+SUMIF(SYS_4_3_Digitos!$M$5:$M$1682,BALANCE!AA736,SYS_4_3_Digitos!$N$5:$N$1682)</f>
        <v>0</v>
      </c>
    </row>
    <row r="737" spans="22:28" hidden="1">
      <c r="V737" s="661">
        <v>3033</v>
      </c>
      <c r="W737" s="662">
        <f>+SUMIF(SYS_4_3_Digitos!$M$5:$M$1682,BALANCE!V737,SYS_4_3_Digitos!$N$5:$N$1682)</f>
        <v>0</v>
      </c>
      <c r="Z737" s="666"/>
      <c r="AA737" s="661">
        <v>5258</v>
      </c>
      <c r="AB737" s="672">
        <f>+SUMIF(SYS_4_3_Digitos!$M$5:$M$1682,BALANCE!AA737,SYS_4_3_Digitos!$N$5:$N$1682)</f>
        <v>0</v>
      </c>
    </row>
    <row r="738" spans="22:28" hidden="1">
      <c r="V738" s="661">
        <v>3034</v>
      </c>
      <c r="W738" s="662">
        <f>+SUMIF(SYS_4_3_Digitos!$M$5:$M$1682,BALANCE!V738,SYS_4_3_Digitos!$N$5:$N$1682)</f>
        <v>0</v>
      </c>
      <c r="Z738" s="666"/>
      <c r="AA738" s="661">
        <v>5259</v>
      </c>
      <c r="AB738" s="672">
        <f>+SUMIF(SYS_4_3_Digitos!$M$5:$M$1682,BALANCE!AA738,SYS_4_3_Digitos!$N$5:$N$1682)</f>
        <v>0</v>
      </c>
    </row>
    <row r="739" spans="22:28" hidden="1">
      <c r="V739" s="661">
        <v>3035</v>
      </c>
      <c r="W739" s="662">
        <f>+SUMIF(SYS_4_3_Digitos!$M$5:$M$1682,BALANCE!V739,SYS_4_3_Digitos!$N$5:$N$1682)</f>
        <v>0</v>
      </c>
      <c r="Z739" s="666"/>
      <c r="AA739" s="661">
        <v>5260</v>
      </c>
      <c r="AB739" s="672">
        <f ca="1">+SUMIF(SYS_4_3_Digitos!$M$5:$M$1682,BALANCE!AA739,SYS_4_3_Digitos!$N$5:$N$1682)</f>
        <v>0</v>
      </c>
    </row>
    <row r="740" spans="22:28" hidden="1">
      <c r="V740" s="661">
        <v>3036</v>
      </c>
      <c r="W740" s="662">
        <f>+SUMIF(SYS_4_3_Digitos!$M$5:$M$1682,BALANCE!V740,SYS_4_3_Digitos!$N$5:$N$1682)</f>
        <v>0</v>
      </c>
      <c r="Z740" s="666"/>
      <c r="AA740" s="661">
        <v>5261</v>
      </c>
      <c r="AB740" s="672">
        <f>+SUMIF(SYS_4_3_Digitos!$M$5:$M$1682,BALANCE!AA740,SYS_4_3_Digitos!$N$5:$N$1682)</f>
        <v>0</v>
      </c>
    </row>
    <row r="741" spans="22:28" hidden="1">
      <c r="V741" s="661">
        <v>3037</v>
      </c>
      <c r="W741" s="662">
        <f>+SUMIF(SYS_4_3_Digitos!$M$5:$M$1682,BALANCE!V741,SYS_4_3_Digitos!$N$5:$N$1682)</f>
        <v>0</v>
      </c>
      <c r="Z741" s="666"/>
      <c r="AA741" s="661">
        <v>5262</v>
      </c>
      <c r="AB741" s="672">
        <f>+SUMIF(SYS_4_3_Digitos!$M$5:$M$1682,BALANCE!AA741,SYS_4_3_Digitos!$N$5:$N$1682)</f>
        <v>0</v>
      </c>
    </row>
    <row r="742" spans="22:28" hidden="1">
      <c r="V742" s="661">
        <v>3038</v>
      </c>
      <c r="W742" s="662">
        <f>+SUMIF(SYS_4_3_Digitos!$M$5:$M$1682,BALANCE!V742,SYS_4_3_Digitos!$N$5:$N$1682)</f>
        <v>0</v>
      </c>
      <c r="Z742" s="666"/>
      <c r="AA742" s="661">
        <v>5263</v>
      </c>
      <c r="AB742" s="672">
        <f>+SUMIF(SYS_4_3_Digitos!$M$5:$M$1682,BALANCE!AA742,SYS_4_3_Digitos!$N$5:$N$1682)</f>
        <v>0</v>
      </c>
    </row>
    <row r="743" spans="22:28" hidden="1">
      <c r="V743" s="661">
        <v>3039</v>
      </c>
      <c r="W743" s="662">
        <f>+SUMIF(SYS_4_3_Digitos!$M$5:$M$1682,BALANCE!V743,SYS_4_3_Digitos!$N$5:$N$1682)</f>
        <v>0</v>
      </c>
      <c r="Z743" s="666"/>
      <c r="AA743" s="661">
        <v>5264</v>
      </c>
      <c r="AB743" s="672">
        <f>+SUMIF(SYS_4_3_Digitos!$M$5:$M$1682,BALANCE!AA743,SYS_4_3_Digitos!$N$5:$N$1682)</f>
        <v>0</v>
      </c>
    </row>
    <row r="744" spans="22:28" hidden="1">
      <c r="V744" s="661">
        <v>3040</v>
      </c>
      <c r="W744" s="662">
        <f>+SUMIF(SYS_4_3_Digitos!$M$5:$M$1682,BALANCE!V744,SYS_4_3_Digitos!$N$5:$N$1682)</f>
        <v>0</v>
      </c>
      <c r="Z744" s="666"/>
      <c r="AA744" s="661">
        <v>5265</v>
      </c>
      <c r="AB744" s="672">
        <f>+SUMIF(SYS_4_3_Digitos!$M$5:$M$1682,BALANCE!AA744,SYS_4_3_Digitos!$N$5:$N$1682)</f>
        <v>0</v>
      </c>
    </row>
    <row r="745" spans="22:28" hidden="1">
      <c r="V745" s="661">
        <v>3041</v>
      </c>
      <c r="W745" s="662">
        <f>+SUMIF(SYS_4_3_Digitos!$M$5:$M$1682,BALANCE!V745,SYS_4_3_Digitos!$N$5:$N$1682)</f>
        <v>0</v>
      </c>
      <c r="Z745" s="666"/>
      <c r="AA745" s="661">
        <v>5266</v>
      </c>
      <c r="AB745" s="672">
        <f>+SUMIF(SYS_4_3_Digitos!$M$5:$M$1682,BALANCE!AA745,SYS_4_3_Digitos!$N$5:$N$1682)</f>
        <v>0</v>
      </c>
    </row>
    <row r="746" spans="22:28" hidden="1">
      <c r="V746" s="661">
        <v>3042</v>
      </c>
      <c r="W746" s="662">
        <f>+SUMIF(SYS_4_3_Digitos!$M$5:$M$1682,BALANCE!V746,SYS_4_3_Digitos!$N$5:$N$1682)</f>
        <v>0</v>
      </c>
      <c r="Z746" s="666"/>
      <c r="AA746" s="661">
        <v>5267</v>
      </c>
      <c r="AB746" s="672">
        <f>+SUMIF(SYS_4_3_Digitos!$M$5:$M$1682,BALANCE!AA746,SYS_4_3_Digitos!$N$5:$N$1682)</f>
        <v>0</v>
      </c>
    </row>
    <row r="747" spans="22:28" hidden="1">
      <c r="V747" s="661">
        <v>3043</v>
      </c>
      <c r="W747" s="662">
        <f>+SUMIF(SYS_4_3_Digitos!$M$5:$M$1682,BALANCE!V747,SYS_4_3_Digitos!$N$5:$N$1682)</f>
        <v>0</v>
      </c>
      <c r="Z747" s="666"/>
      <c r="AA747" s="661">
        <v>5268</v>
      </c>
      <c r="AB747" s="672">
        <f>+SUMIF(SYS_4_3_Digitos!$M$5:$M$1682,BALANCE!AA747,SYS_4_3_Digitos!$N$5:$N$1682)</f>
        <v>0</v>
      </c>
    </row>
    <row r="748" spans="22:28" hidden="1">
      <c r="V748" s="661">
        <v>3044</v>
      </c>
      <c r="W748" s="662">
        <f>+SUMIF(SYS_4_3_Digitos!$M$5:$M$1682,BALANCE!V748,SYS_4_3_Digitos!$N$5:$N$1682)</f>
        <v>0</v>
      </c>
      <c r="Z748" s="666"/>
      <c r="AA748" s="661">
        <v>5269</v>
      </c>
      <c r="AB748" s="672">
        <f>+SUMIF(SYS_4_3_Digitos!$M$5:$M$1682,BALANCE!AA748,SYS_4_3_Digitos!$N$5:$N$1682)</f>
        <v>0</v>
      </c>
    </row>
    <row r="749" spans="22:28" hidden="1">
      <c r="V749" s="661">
        <v>3045</v>
      </c>
      <c r="W749" s="662">
        <f>+SUMIF(SYS_4_3_Digitos!$M$5:$M$1682,BALANCE!V749,SYS_4_3_Digitos!$N$5:$N$1682)</f>
        <v>0</v>
      </c>
      <c r="Z749" s="666"/>
      <c r="AA749" s="661">
        <v>5280</v>
      </c>
      <c r="AB749" s="672">
        <f ca="1">+SUMIF(SYS_4_3_Digitos!$M$5:$M$1682,BALANCE!AA749,SYS_4_3_Digitos!$N$5:$N$1682)</f>
        <v>0</v>
      </c>
    </row>
    <row r="750" spans="22:28" hidden="1">
      <c r="V750" s="661">
        <v>3046</v>
      </c>
      <c r="W750" s="662">
        <f>+SUMIF(SYS_4_3_Digitos!$M$5:$M$1682,BALANCE!V750,SYS_4_3_Digitos!$N$5:$N$1682)</f>
        <v>0</v>
      </c>
      <c r="Z750" s="666"/>
      <c r="AA750" s="661">
        <v>5281</v>
      </c>
      <c r="AB750" s="672">
        <f>+SUMIF(SYS_4_3_Digitos!$M$5:$M$1682,BALANCE!AA750,SYS_4_3_Digitos!$N$5:$N$1682)</f>
        <v>0</v>
      </c>
    </row>
    <row r="751" spans="22:28" hidden="1">
      <c r="V751" s="661">
        <v>3047</v>
      </c>
      <c r="W751" s="662">
        <f>+SUMIF(SYS_4_3_Digitos!$M$5:$M$1682,BALANCE!V751,SYS_4_3_Digitos!$N$5:$N$1682)</f>
        <v>0</v>
      </c>
      <c r="Z751" s="666"/>
      <c r="AA751" s="661">
        <v>5282</v>
      </c>
      <c r="AB751" s="672">
        <f>+SUMIF(SYS_4_3_Digitos!$M$5:$M$1682,BALANCE!AA751,SYS_4_3_Digitos!$N$5:$N$1682)</f>
        <v>0</v>
      </c>
    </row>
    <row r="752" spans="22:28" hidden="1">
      <c r="V752" s="661">
        <v>3048</v>
      </c>
      <c r="W752" s="662">
        <f>+SUMIF(SYS_4_3_Digitos!$M$5:$M$1682,BALANCE!V752,SYS_4_3_Digitos!$N$5:$N$1682)</f>
        <v>0</v>
      </c>
      <c r="Z752" s="666"/>
      <c r="AA752" s="661">
        <v>5283</v>
      </c>
      <c r="AB752" s="672">
        <f>+SUMIF(SYS_4_3_Digitos!$M$5:$M$1682,BALANCE!AA752,SYS_4_3_Digitos!$N$5:$N$1682)</f>
        <v>0</v>
      </c>
    </row>
    <row r="753" spans="22:28" hidden="1">
      <c r="V753" s="661">
        <v>3049</v>
      </c>
      <c r="W753" s="662">
        <f>+SUMIF(SYS_4_3_Digitos!$M$5:$M$1682,BALANCE!V753,SYS_4_3_Digitos!$N$5:$N$1682)</f>
        <v>0</v>
      </c>
      <c r="Z753" s="666"/>
      <c r="AA753" s="661">
        <v>5284</v>
      </c>
      <c r="AB753" s="672">
        <f>+SUMIF(SYS_4_3_Digitos!$M$5:$M$1682,BALANCE!AA753,SYS_4_3_Digitos!$N$5:$N$1682)</f>
        <v>0</v>
      </c>
    </row>
    <row r="754" spans="22:28" hidden="1">
      <c r="V754" s="661">
        <v>3050</v>
      </c>
      <c r="W754" s="662">
        <f>+SUMIF(SYS_4_3_Digitos!$M$5:$M$1682,BALANCE!V754,SYS_4_3_Digitos!$N$5:$N$1682)</f>
        <v>0</v>
      </c>
      <c r="Z754" s="666"/>
      <c r="AA754" s="661">
        <v>5285</v>
      </c>
      <c r="AB754" s="672">
        <f>+SUMIF(SYS_4_3_Digitos!$M$5:$M$1682,BALANCE!AA754,SYS_4_3_Digitos!$N$5:$N$1682)</f>
        <v>0</v>
      </c>
    </row>
    <row r="755" spans="22:28" hidden="1">
      <c r="V755" s="661">
        <v>3051</v>
      </c>
      <c r="W755" s="662">
        <f>+SUMIF(SYS_4_3_Digitos!$M$5:$M$1682,BALANCE!V755,SYS_4_3_Digitos!$N$5:$N$1682)</f>
        <v>0</v>
      </c>
      <c r="Z755" s="666"/>
      <c r="AA755" s="661">
        <v>5286</v>
      </c>
      <c r="AB755" s="672">
        <f>+SUMIF(SYS_4_3_Digitos!$M$5:$M$1682,BALANCE!AA755,SYS_4_3_Digitos!$N$5:$N$1682)</f>
        <v>0</v>
      </c>
    </row>
    <row r="756" spans="22:28" hidden="1">
      <c r="V756" s="661">
        <v>3052</v>
      </c>
      <c r="W756" s="662">
        <f>+SUMIF(SYS_4_3_Digitos!$M$5:$M$1682,BALANCE!V756,SYS_4_3_Digitos!$N$5:$N$1682)</f>
        <v>0</v>
      </c>
      <c r="Z756" s="666"/>
      <c r="AA756" s="661">
        <v>5287</v>
      </c>
      <c r="AB756" s="672">
        <f>+SUMIF(SYS_4_3_Digitos!$M$5:$M$1682,BALANCE!AA756,SYS_4_3_Digitos!$N$5:$N$1682)</f>
        <v>0</v>
      </c>
    </row>
    <row r="757" spans="22:28" hidden="1">
      <c r="V757" s="661">
        <v>3053</v>
      </c>
      <c r="W757" s="662">
        <f>+SUMIF(SYS_4_3_Digitos!$M$5:$M$1682,BALANCE!V757,SYS_4_3_Digitos!$N$5:$N$1682)</f>
        <v>0</v>
      </c>
      <c r="Z757" s="666"/>
      <c r="AA757" s="661">
        <v>5288</v>
      </c>
      <c r="AB757" s="672">
        <f>+SUMIF(SYS_4_3_Digitos!$M$5:$M$1682,BALANCE!AA757,SYS_4_3_Digitos!$N$5:$N$1682)</f>
        <v>0</v>
      </c>
    </row>
    <row r="758" spans="22:28" hidden="1">
      <c r="V758" s="661">
        <v>3054</v>
      </c>
      <c r="W758" s="662">
        <f>+SUMIF(SYS_4_3_Digitos!$M$5:$M$1682,BALANCE!V758,SYS_4_3_Digitos!$N$5:$N$1682)</f>
        <v>0</v>
      </c>
      <c r="Z758" s="666"/>
      <c r="AA758" s="661">
        <v>5289</v>
      </c>
      <c r="AB758" s="672">
        <f>+SUMIF(SYS_4_3_Digitos!$M$5:$M$1682,BALANCE!AA758,SYS_4_3_Digitos!$N$5:$N$1682)</f>
        <v>0</v>
      </c>
    </row>
    <row r="759" spans="22:28" hidden="1">
      <c r="V759" s="661">
        <v>3055</v>
      </c>
      <c r="W759" s="662">
        <f>+SUMIF(SYS_4_3_Digitos!$M$5:$M$1682,BALANCE!V759,SYS_4_3_Digitos!$N$5:$N$1682)</f>
        <v>0</v>
      </c>
      <c r="Z759" s="666"/>
      <c r="AA759" s="723">
        <v>5510</v>
      </c>
      <c r="AB759" s="672">
        <f ca="1">IF(+SUMIF(SYS_4_3_Digitos!$M$5:$M$1682,BALANCE!AA759,SYS_4_3_Digitos!$N$5:$N$1682)&gt;0,0,+SUMIF(SYS_4_3_Digitos!$M$5:$M$1682,BALANCE!AA759,SYS_4_3_Digitos!$N$5:$N$1682))</f>
        <v>0</v>
      </c>
    </row>
    <row r="760" spans="22:28" hidden="1">
      <c r="V760" s="661">
        <v>3056</v>
      </c>
      <c r="W760" s="662">
        <f>+SUMIF(SYS_4_3_Digitos!$M$5:$M$1682,BALANCE!V760,SYS_4_3_Digitos!$N$5:$N$1682)</f>
        <v>0</v>
      </c>
      <c r="Z760" s="666"/>
      <c r="AA760" s="723">
        <v>5511</v>
      </c>
      <c r="AB760" s="672">
        <f>IF(+SUMIF(SYS_4_3_Digitos!$M$5:$M$1682,BALANCE!AA760,SYS_4_3_Digitos!$N$5:$N$1682)&gt;0,0,+SUMIF(SYS_4_3_Digitos!$M$5:$M$1682,BALANCE!AA760,SYS_4_3_Digitos!$N$5:$N$1682))</f>
        <v>0</v>
      </c>
    </row>
    <row r="761" spans="22:28" hidden="1">
      <c r="V761" s="661">
        <v>3057</v>
      </c>
      <c r="W761" s="662">
        <f>+SUMIF(SYS_4_3_Digitos!$M$5:$M$1682,BALANCE!V761,SYS_4_3_Digitos!$N$5:$N$1682)</f>
        <v>0</v>
      </c>
      <c r="Z761" s="666"/>
      <c r="AA761" s="723">
        <v>5512</v>
      </c>
      <c r="AB761" s="672">
        <f>IF(+SUMIF(SYS_4_3_Digitos!$M$5:$M$1682,BALANCE!AA761,SYS_4_3_Digitos!$N$5:$N$1682)&gt;0,0,+SUMIF(SYS_4_3_Digitos!$M$5:$M$1682,BALANCE!AA761,SYS_4_3_Digitos!$N$5:$N$1682))</f>
        <v>0</v>
      </c>
    </row>
    <row r="762" spans="22:28" hidden="1">
      <c r="V762" s="661">
        <v>3058</v>
      </c>
      <c r="W762" s="662">
        <f>+SUMIF(SYS_4_3_Digitos!$M$5:$M$1682,BALANCE!V762,SYS_4_3_Digitos!$N$5:$N$1682)</f>
        <v>0</v>
      </c>
      <c r="Z762" s="666"/>
      <c r="AA762" s="723">
        <v>5513</v>
      </c>
      <c r="AB762" s="672">
        <f>IF(+SUMIF(SYS_4_3_Digitos!$M$5:$M$1682,BALANCE!AA762,SYS_4_3_Digitos!$N$5:$N$1682)&gt;0,0,+SUMIF(SYS_4_3_Digitos!$M$5:$M$1682,BALANCE!AA762,SYS_4_3_Digitos!$N$5:$N$1682))</f>
        <v>0</v>
      </c>
    </row>
    <row r="763" spans="22:28" hidden="1">
      <c r="V763" s="661">
        <v>3059</v>
      </c>
      <c r="W763" s="662">
        <f>+SUMIF(SYS_4_3_Digitos!$M$5:$M$1682,BALANCE!V763,SYS_4_3_Digitos!$N$5:$N$1682)</f>
        <v>0</v>
      </c>
      <c r="Z763" s="666"/>
      <c r="AA763" s="723">
        <v>5514</v>
      </c>
      <c r="AB763" s="672">
        <f>IF(+SUMIF(SYS_4_3_Digitos!$M$5:$M$1682,BALANCE!AA763,SYS_4_3_Digitos!$N$5:$N$1682)&gt;0,0,+SUMIF(SYS_4_3_Digitos!$M$5:$M$1682,BALANCE!AA763,SYS_4_3_Digitos!$N$5:$N$1682))</f>
        <v>0</v>
      </c>
    </row>
    <row r="764" spans="22:28" hidden="1">
      <c r="V764" s="661">
        <v>3060</v>
      </c>
      <c r="W764" s="662">
        <f>+SUMIF(SYS_4_3_Digitos!$M$5:$M$1682,BALANCE!V764,SYS_4_3_Digitos!$N$5:$N$1682)</f>
        <v>0</v>
      </c>
      <c r="Z764" s="666"/>
      <c r="AA764" s="723">
        <v>5515</v>
      </c>
      <c r="AB764" s="672">
        <f>IF(+SUMIF(SYS_4_3_Digitos!$M$5:$M$1682,BALANCE!AA764,SYS_4_3_Digitos!$N$5:$N$1682)&gt;0,0,+SUMIF(SYS_4_3_Digitos!$M$5:$M$1682,BALANCE!AA764,SYS_4_3_Digitos!$N$5:$N$1682))</f>
        <v>0</v>
      </c>
    </row>
    <row r="765" spans="22:28" hidden="1">
      <c r="V765" s="661">
        <v>3061</v>
      </c>
      <c r="W765" s="662">
        <f>+SUMIF(SYS_4_3_Digitos!$M$5:$M$1682,BALANCE!V765,SYS_4_3_Digitos!$N$5:$N$1682)</f>
        <v>0</v>
      </c>
      <c r="Z765" s="666"/>
      <c r="AA765" s="723">
        <v>5516</v>
      </c>
      <c r="AB765" s="672">
        <f>IF(+SUMIF(SYS_4_3_Digitos!$M$5:$M$1682,BALANCE!AA765,SYS_4_3_Digitos!$N$5:$N$1682)&gt;0,0,+SUMIF(SYS_4_3_Digitos!$M$5:$M$1682,BALANCE!AA765,SYS_4_3_Digitos!$N$5:$N$1682))</f>
        <v>0</v>
      </c>
    </row>
    <row r="766" spans="22:28" hidden="1">
      <c r="V766" s="661">
        <v>3062</v>
      </c>
      <c r="W766" s="662">
        <f>+SUMIF(SYS_4_3_Digitos!$M$5:$M$1682,BALANCE!V766,SYS_4_3_Digitos!$N$5:$N$1682)</f>
        <v>0</v>
      </c>
      <c r="Z766" s="666"/>
      <c r="AA766" s="723">
        <v>5517</v>
      </c>
      <c r="AB766" s="672">
        <f>IF(+SUMIF(SYS_4_3_Digitos!$M$5:$M$1682,BALANCE!AA766,SYS_4_3_Digitos!$N$5:$N$1682)&gt;0,0,+SUMIF(SYS_4_3_Digitos!$M$5:$M$1682,BALANCE!AA766,SYS_4_3_Digitos!$N$5:$N$1682))</f>
        <v>0</v>
      </c>
    </row>
    <row r="767" spans="22:28" hidden="1">
      <c r="V767" s="661">
        <v>3063</v>
      </c>
      <c r="W767" s="662">
        <f>+SUMIF(SYS_4_3_Digitos!$M$5:$M$1682,BALANCE!V767,SYS_4_3_Digitos!$N$5:$N$1682)</f>
        <v>0</v>
      </c>
      <c r="Z767" s="666"/>
      <c r="AA767" s="723">
        <v>5518</v>
      </c>
      <c r="AB767" s="672">
        <f>IF(+SUMIF(SYS_4_3_Digitos!$M$5:$M$1682,BALANCE!AA767,SYS_4_3_Digitos!$N$5:$N$1682)&gt;0,0,+SUMIF(SYS_4_3_Digitos!$M$5:$M$1682,BALANCE!AA767,SYS_4_3_Digitos!$N$5:$N$1682))</f>
        <v>0</v>
      </c>
    </row>
    <row r="768" spans="22:28" hidden="1">
      <c r="V768" s="661">
        <v>3064</v>
      </c>
      <c r="W768" s="662">
        <f>+SUMIF(SYS_4_3_Digitos!$M$5:$M$1682,BALANCE!V768,SYS_4_3_Digitos!$N$5:$N$1682)</f>
        <v>0</v>
      </c>
      <c r="Z768" s="666"/>
      <c r="AA768" s="723">
        <v>5519</v>
      </c>
      <c r="AB768" s="672">
        <f>IF(+SUMIF(SYS_4_3_Digitos!$M$5:$M$1682,BALANCE!AA768,SYS_4_3_Digitos!$N$5:$N$1682)&gt;0,0,+SUMIF(SYS_4_3_Digitos!$M$5:$M$1682,BALANCE!AA768,SYS_4_3_Digitos!$N$5:$N$1682))</f>
        <v>0</v>
      </c>
    </row>
    <row r="769" spans="22:28" hidden="1">
      <c r="V769" s="661">
        <v>3065</v>
      </c>
      <c r="W769" s="662">
        <f>+SUMIF(SYS_4_3_Digitos!$M$5:$M$1682,BALANCE!V769,SYS_4_3_Digitos!$N$5:$N$1682)</f>
        <v>0</v>
      </c>
      <c r="Z769" s="666"/>
      <c r="AA769" s="723">
        <v>5525</v>
      </c>
      <c r="AB769" s="672">
        <f ca="1">IF(+SUMIF(SYS_4_3_Digitos!$M$5:$M$1682,BALANCE!AA769,SYS_4_3_Digitos!$N$5:$N$1682)&gt;0,0,+SUMIF(SYS_4_3_Digitos!$M$5:$M$1682,BALANCE!AA769,SYS_4_3_Digitos!$N$5:$N$1682))</f>
        <v>0</v>
      </c>
    </row>
    <row r="770" spans="22:28" hidden="1">
      <c r="V770" s="661">
        <v>3066</v>
      </c>
      <c r="W770" s="662">
        <f>+SUMIF(SYS_4_3_Digitos!$M$5:$M$1682,BALANCE!V770,SYS_4_3_Digitos!$N$5:$N$1682)</f>
        <v>0</v>
      </c>
      <c r="Z770" s="666"/>
      <c r="AA770" s="661">
        <v>5530</v>
      </c>
      <c r="AB770" s="672">
        <f ca="1">+SUMIF(SYS_4_3_Digitos!$M$5:$M$1682,BALANCE!AA770,SYS_4_3_Digitos!$N$5:$N$1682)</f>
        <v>0</v>
      </c>
    </row>
    <row r="771" spans="22:28" hidden="1">
      <c r="V771" s="661">
        <v>3067</v>
      </c>
      <c r="W771" s="662">
        <f>+SUMIF(SYS_4_3_Digitos!$M$5:$M$1682,BALANCE!V771,SYS_4_3_Digitos!$N$5:$N$1682)</f>
        <v>0</v>
      </c>
      <c r="Z771" s="666"/>
      <c r="AA771" s="661">
        <v>5532</v>
      </c>
      <c r="AB771" s="672">
        <f>+SUMIF(SYS_4_3_Digitos!$M$5:$M$1682,BALANCE!AA771,SYS_4_3_Digitos!$N$5:$N$1682)</f>
        <v>0</v>
      </c>
    </row>
    <row r="772" spans="22:28" hidden="1">
      <c r="V772" s="661">
        <v>3068</v>
      </c>
      <c r="W772" s="662">
        <f>+SUMIF(SYS_4_3_Digitos!$M$5:$M$1682,BALANCE!V772,SYS_4_3_Digitos!$N$5:$N$1682)</f>
        <v>0</v>
      </c>
      <c r="Z772" s="666"/>
      <c r="AA772" s="724">
        <v>5550</v>
      </c>
      <c r="AB772" s="725">
        <f ca="1">IF(+SUMIF(SYS_4_3_Digitos!$M$5:$M$1682,BALANCE!AA772,SYS_4_3_Digitos!$N$5:$N$1682)&gt;0,0,+SUMIF(SYS_4_3_Digitos!$M$5:$M$1682,BALANCE!AA772,SYS_4_3_Digitos!$N$5:$N$1682))</f>
        <v>0</v>
      </c>
    </row>
    <row r="773" spans="22:28" hidden="1">
      <c r="V773" s="661">
        <v>3069</v>
      </c>
      <c r="W773" s="662">
        <f>+SUMIF(SYS_4_3_Digitos!$M$5:$M$1682,BALANCE!V773,SYS_4_3_Digitos!$N$5:$N$1682)</f>
        <v>0</v>
      </c>
      <c r="Z773" s="666"/>
      <c r="AA773" s="724">
        <v>5551</v>
      </c>
      <c r="AB773" s="725">
        <f>IF(+SUMIF(SYS_4_3_Digitos!$M$5:$M$1682,BALANCE!AA773,SYS_4_3_Digitos!$N$5:$N$1682)&gt;0,0,+SUMIF(SYS_4_3_Digitos!$M$5:$M$1682,BALANCE!AA773,SYS_4_3_Digitos!$N$5:$N$1682))</f>
        <v>0</v>
      </c>
    </row>
    <row r="774" spans="22:28" hidden="1">
      <c r="V774" s="661">
        <v>3070</v>
      </c>
      <c r="W774" s="662">
        <f>+SUMIF(SYS_4_3_Digitos!$M$5:$M$1682,BALANCE!V774,SYS_4_3_Digitos!$N$5:$N$1682)</f>
        <v>0</v>
      </c>
      <c r="Z774" s="666"/>
      <c r="AA774" s="724">
        <v>5552</v>
      </c>
      <c r="AB774" s="725">
        <f>IF(+SUMIF(SYS_4_3_Digitos!$M$5:$M$1682,BALANCE!AA774,SYS_4_3_Digitos!$N$5:$N$1682)&gt;0,0,+SUMIF(SYS_4_3_Digitos!$M$5:$M$1682,BALANCE!AA774,SYS_4_3_Digitos!$N$5:$N$1682))</f>
        <v>0</v>
      </c>
    </row>
    <row r="775" spans="22:28" hidden="1">
      <c r="V775" s="661">
        <v>3071</v>
      </c>
      <c r="W775" s="662">
        <f>+SUMIF(SYS_4_3_Digitos!$M$5:$M$1682,BALANCE!V775,SYS_4_3_Digitos!$N$5:$N$1682)</f>
        <v>0</v>
      </c>
      <c r="Z775" s="666"/>
      <c r="AA775" s="724">
        <v>5553</v>
      </c>
      <c r="AB775" s="725">
        <f>IF(+SUMIF(SYS_4_3_Digitos!$M$5:$M$1682,BALANCE!AA775,SYS_4_3_Digitos!$N$5:$N$1682)&gt;0,0,+SUMIF(SYS_4_3_Digitos!$M$5:$M$1682,BALANCE!AA775,SYS_4_3_Digitos!$N$5:$N$1682))</f>
        <v>0</v>
      </c>
    </row>
    <row r="776" spans="22:28" hidden="1">
      <c r="V776" s="661">
        <v>3072</v>
      </c>
      <c r="W776" s="662">
        <f>+SUMIF(SYS_4_3_Digitos!$M$5:$M$1682,BALANCE!V776,SYS_4_3_Digitos!$N$5:$N$1682)</f>
        <v>0</v>
      </c>
      <c r="Z776" s="666"/>
      <c r="AA776" s="724">
        <v>5554</v>
      </c>
      <c r="AB776" s="725">
        <f>IF(+SUMIF(SYS_4_3_Digitos!$M$5:$M$1682,BALANCE!AA776,SYS_4_3_Digitos!$N$5:$N$1682)&gt;0,0,+SUMIF(SYS_4_3_Digitos!$M$5:$M$1682,BALANCE!AA776,SYS_4_3_Digitos!$N$5:$N$1682))</f>
        <v>0</v>
      </c>
    </row>
    <row r="777" spans="22:28" hidden="1">
      <c r="V777" s="661">
        <v>3073</v>
      </c>
      <c r="W777" s="662">
        <f>+SUMIF(SYS_4_3_Digitos!$M$5:$M$1682,BALANCE!V777,SYS_4_3_Digitos!$N$5:$N$1682)</f>
        <v>0</v>
      </c>
      <c r="Z777" s="666"/>
      <c r="AA777" s="724">
        <v>5555</v>
      </c>
      <c r="AB777" s="725">
        <f>IF(+SUMIF(SYS_4_3_Digitos!$M$5:$M$1682,BALANCE!AA777,SYS_4_3_Digitos!$N$5:$N$1682)&gt;0,0,+SUMIF(SYS_4_3_Digitos!$M$5:$M$1682,BALANCE!AA777,SYS_4_3_Digitos!$N$5:$N$1682))</f>
        <v>0</v>
      </c>
    </row>
    <row r="778" spans="22:28" hidden="1">
      <c r="V778" s="661">
        <v>3074</v>
      </c>
      <c r="W778" s="662">
        <f>+SUMIF(SYS_4_3_Digitos!$M$5:$M$1682,BALANCE!V778,SYS_4_3_Digitos!$N$5:$N$1682)</f>
        <v>0</v>
      </c>
      <c r="Z778" s="666"/>
      <c r="AA778" s="724">
        <v>5556</v>
      </c>
      <c r="AB778" s="725">
        <f>IF(+SUMIF(SYS_4_3_Digitos!$M$5:$M$1682,BALANCE!AA778,SYS_4_3_Digitos!$N$5:$N$1682)&gt;0,0,+SUMIF(SYS_4_3_Digitos!$M$5:$M$1682,BALANCE!AA778,SYS_4_3_Digitos!$N$5:$N$1682))</f>
        <v>0</v>
      </c>
    </row>
    <row r="779" spans="22:28" hidden="1">
      <c r="V779" s="661">
        <v>3075</v>
      </c>
      <c r="W779" s="662">
        <f>+SUMIF(SYS_4_3_Digitos!$M$5:$M$1682,BALANCE!V779,SYS_4_3_Digitos!$N$5:$N$1682)</f>
        <v>0</v>
      </c>
      <c r="Z779" s="666"/>
      <c r="AA779" s="724">
        <v>5557</v>
      </c>
      <c r="AB779" s="725">
        <f>IF(+SUMIF(SYS_4_3_Digitos!$M$5:$M$1682,BALANCE!AA779,SYS_4_3_Digitos!$N$5:$N$1682)&gt;0,0,+SUMIF(SYS_4_3_Digitos!$M$5:$M$1682,BALANCE!AA779,SYS_4_3_Digitos!$N$5:$N$1682))</f>
        <v>0</v>
      </c>
    </row>
    <row r="780" spans="22:28" hidden="1">
      <c r="V780" s="661">
        <v>3076</v>
      </c>
      <c r="W780" s="662">
        <f>+SUMIF(SYS_4_3_Digitos!$M$5:$M$1682,BALANCE!V780,SYS_4_3_Digitos!$N$5:$N$1682)</f>
        <v>0</v>
      </c>
      <c r="Z780" s="666"/>
      <c r="AA780" s="724">
        <v>5558</v>
      </c>
      <c r="AB780" s="725">
        <f>IF(+SUMIF(SYS_4_3_Digitos!$M$5:$M$1682,BALANCE!AA780,SYS_4_3_Digitos!$N$5:$N$1682)&gt;0,0,+SUMIF(SYS_4_3_Digitos!$M$5:$M$1682,BALANCE!AA780,SYS_4_3_Digitos!$N$5:$N$1682))</f>
        <v>0</v>
      </c>
    </row>
    <row r="781" spans="22:28" hidden="1">
      <c r="V781" s="661">
        <v>3077</v>
      </c>
      <c r="W781" s="662">
        <f>+SUMIF(SYS_4_3_Digitos!$M$5:$M$1682,BALANCE!V781,SYS_4_3_Digitos!$N$5:$N$1682)</f>
        <v>0</v>
      </c>
      <c r="Z781" s="666"/>
      <c r="AA781" s="724">
        <v>5559</v>
      </c>
      <c r="AB781" s="725">
        <f>IF(+SUMIF(SYS_4_3_Digitos!$M$5:$M$1682,BALANCE!AA781,SYS_4_3_Digitos!$N$5:$N$1682)&gt;0,0,+SUMIF(SYS_4_3_Digitos!$M$5:$M$1682,BALANCE!AA781,SYS_4_3_Digitos!$N$5:$N$1682))</f>
        <v>0</v>
      </c>
    </row>
    <row r="782" spans="22:28" hidden="1">
      <c r="V782" s="661">
        <v>3078</v>
      </c>
      <c r="W782" s="662">
        <f>+SUMIF(SYS_4_3_Digitos!$M$5:$M$1682,BALANCE!V782,SYS_4_3_Digitos!$N$5:$N$1682)</f>
        <v>0</v>
      </c>
      <c r="Z782" s="666"/>
      <c r="AA782" s="661">
        <v>5565</v>
      </c>
      <c r="AB782" s="672">
        <f>+SUMIF(SYS_4_3_Digitos!$M$5:$M$1682,BALANCE!AA782,SYS_4_3_Digitos!$N$5:$N$1682)</f>
        <v>0</v>
      </c>
    </row>
    <row r="783" spans="22:28" hidden="1">
      <c r="V783" s="661">
        <v>3079</v>
      </c>
      <c r="W783" s="662">
        <f>+SUMIF(SYS_4_3_Digitos!$M$5:$M$1682,BALANCE!V783,SYS_4_3_Digitos!$N$5:$N$1682)</f>
        <v>0</v>
      </c>
      <c r="Z783" s="666"/>
      <c r="AA783" s="661">
        <v>5566</v>
      </c>
      <c r="AB783" s="672">
        <f>+SUMIF(SYS_4_3_Digitos!$M$5:$M$1682,BALANCE!AA783,SYS_4_3_Digitos!$N$5:$N$1682)</f>
        <v>0</v>
      </c>
    </row>
    <row r="784" spans="22:28" hidden="1">
      <c r="V784" s="661">
        <v>3080</v>
      </c>
      <c r="W784" s="662">
        <f>+SUMIF(SYS_4_3_Digitos!$M$5:$M$1682,BALANCE!V784,SYS_4_3_Digitos!$N$5:$N$1682)</f>
        <v>0</v>
      </c>
      <c r="Z784" s="666"/>
      <c r="AA784" s="661">
        <v>5600</v>
      </c>
      <c r="AB784" s="672">
        <f ca="1">+SUMIF(SYS_4_3_Digitos!$M$5:$M$1682,BALANCE!AA784,SYS_4_3_Digitos!$N$5:$N$1682)</f>
        <v>0</v>
      </c>
    </row>
    <row r="785" spans="22:28" hidden="1">
      <c r="V785" s="661">
        <v>3081</v>
      </c>
      <c r="W785" s="662">
        <f>+SUMIF(SYS_4_3_Digitos!$M$5:$M$1682,BALANCE!V785,SYS_4_3_Digitos!$N$5:$N$1682)</f>
        <v>0</v>
      </c>
      <c r="Z785" s="666"/>
      <c r="AA785" s="661">
        <v>5601</v>
      </c>
      <c r="AB785" s="672">
        <f>+SUMIF(SYS_4_3_Digitos!$M$5:$M$1682,BALANCE!AA785,SYS_4_3_Digitos!$N$5:$N$1682)</f>
        <v>0</v>
      </c>
    </row>
    <row r="786" spans="22:28" hidden="1">
      <c r="V786" s="661">
        <v>3082</v>
      </c>
      <c r="W786" s="662">
        <f>+SUMIF(SYS_4_3_Digitos!$M$5:$M$1682,BALANCE!V786,SYS_4_3_Digitos!$N$5:$N$1682)</f>
        <v>0</v>
      </c>
      <c r="Z786" s="666"/>
      <c r="AA786" s="661">
        <v>5602</v>
      </c>
      <c r="AB786" s="672">
        <f>+SUMIF(SYS_4_3_Digitos!$M$5:$M$1682,BALANCE!AA786,SYS_4_3_Digitos!$N$5:$N$1682)</f>
        <v>0</v>
      </c>
    </row>
    <row r="787" spans="22:28" hidden="1">
      <c r="V787" s="661">
        <v>3083</v>
      </c>
      <c r="W787" s="662">
        <f>+SUMIF(SYS_4_3_Digitos!$M$5:$M$1682,BALANCE!V787,SYS_4_3_Digitos!$N$5:$N$1682)</f>
        <v>0</v>
      </c>
      <c r="Z787" s="666"/>
      <c r="AA787" s="661">
        <v>5603</v>
      </c>
      <c r="AB787" s="672">
        <f>+SUMIF(SYS_4_3_Digitos!$M$5:$M$1682,BALANCE!AA787,SYS_4_3_Digitos!$N$5:$N$1682)</f>
        <v>0</v>
      </c>
    </row>
    <row r="788" spans="22:28" hidden="1">
      <c r="V788" s="661">
        <v>3084</v>
      </c>
      <c r="W788" s="662">
        <f>+SUMIF(SYS_4_3_Digitos!$M$5:$M$1682,BALANCE!V788,SYS_4_3_Digitos!$N$5:$N$1682)</f>
        <v>0</v>
      </c>
      <c r="Z788" s="666"/>
      <c r="AA788" s="661">
        <v>5604</v>
      </c>
      <c r="AB788" s="672">
        <f>+SUMIF(SYS_4_3_Digitos!$M$5:$M$1682,BALANCE!AA788,SYS_4_3_Digitos!$N$5:$N$1682)</f>
        <v>0</v>
      </c>
    </row>
    <row r="789" spans="22:28" hidden="1">
      <c r="V789" s="661">
        <v>3085</v>
      </c>
      <c r="W789" s="662">
        <f>+SUMIF(SYS_4_3_Digitos!$M$5:$M$1682,BALANCE!V789,SYS_4_3_Digitos!$N$5:$N$1682)</f>
        <v>0</v>
      </c>
      <c r="Z789" s="666"/>
      <c r="AA789" s="661">
        <v>5605</v>
      </c>
      <c r="AB789" s="672">
        <f>+SUMIF(SYS_4_3_Digitos!$M$5:$M$1682,BALANCE!AA789,SYS_4_3_Digitos!$N$5:$N$1682)</f>
        <v>0</v>
      </c>
    </row>
    <row r="790" spans="22:28" hidden="1">
      <c r="V790" s="661">
        <v>3086</v>
      </c>
      <c r="W790" s="662">
        <f>+SUMIF(SYS_4_3_Digitos!$M$5:$M$1682,BALANCE!V790,SYS_4_3_Digitos!$N$5:$N$1682)</f>
        <v>0</v>
      </c>
      <c r="Z790" s="666"/>
      <c r="AA790" s="661">
        <v>5606</v>
      </c>
      <c r="AB790" s="672">
        <f>+SUMIF(SYS_4_3_Digitos!$M$5:$M$1682,BALANCE!AA790,SYS_4_3_Digitos!$N$5:$N$1682)</f>
        <v>0</v>
      </c>
    </row>
    <row r="791" spans="22:28" hidden="1">
      <c r="V791" s="661">
        <v>3087</v>
      </c>
      <c r="W791" s="662">
        <f>+SUMIF(SYS_4_3_Digitos!$M$5:$M$1682,BALANCE!V791,SYS_4_3_Digitos!$N$5:$N$1682)</f>
        <v>0</v>
      </c>
      <c r="Z791" s="666"/>
      <c r="AA791" s="661">
        <v>5607</v>
      </c>
      <c r="AB791" s="672">
        <f>+SUMIF(SYS_4_3_Digitos!$M$5:$M$1682,BALANCE!AA791,SYS_4_3_Digitos!$N$5:$N$1682)</f>
        <v>0</v>
      </c>
    </row>
    <row r="792" spans="22:28" hidden="1">
      <c r="V792" s="661">
        <v>3088</v>
      </c>
      <c r="W792" s="662">
        <f>+SUMIF(SYS_4_3_Digitos!$M$5:$M$1682,BALANCE!V792,SYS_4_3_Digitos!$N$5:$N$1682)</f>
        <v>0</v>
      </c>
      <c r="Z792" s="666"/>
      <c r="AA792" s="661">
        <v>5608</v>
      </c>
      <c r="AB792" s="672">
        <f>+SUMIF(SYS_4_3_Digitos!$M$5:$M$1682,BALANCE!AA792,SYS_4_3_Digitos!$N$5:$N$1682)</f>
        <v>0</v>
      </c>
    </row>
    <row r="793" spans="22:28" hidden="1">
      <c r="V793" s="661">
        <v>3089</v>
      </c>
      <c r="W793" s="662">
        <f>+SUMIF(SYS_4_3_Digitos!$M$5:$M$1682,BALANCE!V793,SYS_4_3_Digitos!$N$5:$N$1682)</f>
        <v>0</v>
      </c>
      <c r="Z793" s="666"/>
      <c r="AA793" s="661">
        <v>5609</v>
      </c>
      <c r="AB793" s="672">
        <f>+SUMIF(SYS_4_3_Digitos!$M$5:$M$1682,BALANCE!AA793,SYS_4_3_Digitos!$N$5:$N$1682)</f>
        <v>0</v>
      </c>
    </row>
    <row r="794" spans="22:28" hidden="1">
      <c r="V794" s="661">
        <v>3090</v>
      </c>
      <c r="W794" s="662">
        <f>+SUMIF(SYS_4_3_Digitos!$M$5:$M$1682,BALANCE!V794,SYS_4_3_Digitos!$N$5:$N$1682)</f>
        <v>0</v>
      </c>
      <c r="Z794" s="666"/>
      <c r="AA794" s="661">
        <v>5610</v>
      </c>
      <c r="AB794" s="672">
        <f ca="1">+SUMIF(SYS_4_3_Digitos!$M$5:$M$1682,BALANCE!AA794,SYS_4_3_Digitos!$N$5:$N$1682)</f>
        <v>0</v>
      </c>
    </row>
    <row r="795" spans="22:28" hidden="1">
      <c r="V795" s="661">
        <v>3091</v>
      </c>
      <c r="W795" s="662">
        <f>+SUMIF(SYS_4_3_Digitos!$M$5:$M$1682,BALANCE!V795,SYS_4_3_Digitos!$N$5:$N$1682)</f>
        <v>0</v>
      </c>
      <c r="Z795" s="666"/>
      <c r="AA795" s="661">
        <v>5611</v>
      </c>
      <c r="AB795" s="672">
        <f>+SUMIF(SYS_4_3_Digitos!$M$5:$M$1682,BALANCE!AA795,SYS_4_3_Digitos!$N$5:$N$1682)</f>
        <v>0</v>
      </c>
    </row>
    <row r="796" spans="22:28" hidden="1">
      <c r="V796" s="661">
        <v>3092</v>
      </c>
      <c r="W796" s="662">
        <f>+SUMIF(SYS_4_3_Digitos!$M$5:$M$1682,BALANCE!V796,SYS_4_3_Digitos!$N$5:$N$1682)</f>
        <v>0</v>
      </c>
      <c r="Z796" s="666"/>
      <c r="AA796" s="661">
        <v>5612</v>
      </c>
      <c r="AB796" s="672">
        <f>+SUMIF(SYS_4_3_Digitos!$M$5:$M$1682,BALANCE!AA796,SYS_4_3_Digitos!$N$5:$N$1682)</f>
        <v>0</v>
      </c>
    </row>
    <row r="797" spans="22:28" hidden="1">
      <c r="V797" s="661">
        <v>3093</v>
      </c>
      <c r="W797" s="662">
        <f>+SUMIF(SYS_4_3_Digitos!$M$5:$M$1682,BALANCE!V797,SYS_4_3_Digitos!$N$5:$N$1682)</f>
        <v>0</v>
      </c>
      <c r="Z797" s="666"/>
      <c r="AA797" s="661">
        <v>5613</v>
      </c>
      <c r="AB797" s="672">
        <f>+SUMIF(SYS_4_3_Digitos!$M$5:$M$1682,BALANCE!AA797,SYS_4_3_Digitos!$N$5:$N$1682)</f>
        <v>0</v>
      </c>
    </row>
    <row r="798" spans="22:28" hidden="1">
      <c r="V798" s="661">
        <v>3094</v>
      </c>
      <c r="W798" s="662">
        <f>+SUMIF(SYS_4_3_Digitos!$M$5:$M$1682,BALANCE!V798,SYS_4_3_Digitos!$N$5:$N$1682)</f>
        <v>0</v>
      </c>
      <c r="Z798" s="666"/>
      <c r="AA798" s="661">
        <v>5614</v>
      </c>
      <c r="AB798" s="672">
        <f>+SUMIF(SYS_4_3_Digitos!$M$5:$M$1682,BALANCE!AA798,SYS_4_3_Digitos!$N$5:$N$1682)</f>
        <v>0</v>
      </c>
    </row>
    <row r="799" spans="22:28" hidden="1">
      <c r="V799" s="661">
        <v>3095</v>
      </c>
      <c r="W799" s="662">
        <f>+SUMIF(SYS_4_3_Digitos!$M$5:$M$1682,BALANCE!V799,SYS_4_3_Digitos!$N$5:$N$1682)</f>
        <v>0</v>
      </c>
      <c r="Z799" s="666"/>
      <c r="AA799" s="661">
        <v>5615</v>
      </c>
      <c r="AB799" s="672">
        <f>+SUMIF(SYS_4_3_Digitos!$M$5:$M$1682,BALANCE!AA799,SYS_4_3_Digitos!$N$5:$N$1682)</f>
        <v>0</v>
      </c>
    </row>
    <row r="800" spans="22:28" hidden="1">
      <c r="V800" s="661">
        <v>3096</v>
      </c>
      <c r="W800" s="662">
        <f>+SUMIF(SYS_4_3_Digitos!$M$5:$M$1682,BALANCE!V800,SYS_4_3_Digitos!$N$5:$N$1682)</f>
        <v>0</v>
      </c>
      <c r="Z800" s="666"/>
      <c r="AA800" s="661">
        <v>5616</v>
      </c>
      <c r="AB800" s="672">
        <f>+SUMIF(SYS_4_3_Digitos!$M$5:$M$1682,BALANCE!AA800,SYS_4_3_Digitos!$N$5:$N$1682)</f>
        <v>0</v>
      </c>
    </row>
    <row r="801" spans="21:28" hidden="1">
      <c r="V801" s="661">
        <v>3097</v>
      </c>
      <c r="W801" s="662">
        <f>+SUMIF(SYS_4_3_Digitos!$M$5:$M$1682,BALANCE!V801,SYS_4_3_Digitos!$N$5:$N$1682)</f>
        <v>0</v>
      </c>
      <c r="Z801" s="666"/>
      <c r="AA801" s="661">
        <v>5617</v>
      </c>
      <c r="AB801" s="672">
        <f>+SUMIF(SYS_4_3_Digitos!$M$5:$M$1682,BALANCE!AA801,SYS_4_3_Digitos!$N$5:$N$1682)</f>
        <v>0</v>
      </c>
    </row>
    <row r="802" spans="21:28" hidden="1">
      <c r="V802" s="661">
        <v>3098</v>
      </c>
      <c r="W802" s="662">
        <f>+SUMIF(SYS_4_3_Digitos!$M$5:$M$1682,BALANCE!V802,SYS_4_3_Digitos!$N$5:$N$1682)</f>
        <v>0</v>
      </c>
      <c r="Z802" s="666"/>
      <c r="AA802" s="661">
        <v>5618</v>
      </c>
      <c r="AB802" s="672">
        <f>+SUMIF(SYS_4_3_Digitos!$M$5:$M$1682,BALANCE!AA802,SYS_4_3_Digitos!$N$5:$N$1682)</f>
        <v>0</v>
      </c>
    </row>
    <row r="803" spans="21:28" hidden="1">
      <c r="V803" s="661">
        <v>3099</v>
      </c>
      <c r="W803" s="662">
        <f>+SUMIF(SYS_4_3_Digitos!$M$5:$M$1682,BALANCE!V803,SYS_4_3_Digitos!$N$5:$N$1682)</f>
        <v>0</v>
      </c>
      <c r="Z803" s="666"/>
      <c r="AA803" s="661">
        <v>5619</v>
      </c>
      <c r="AB803" s="672">
        <f>+SUMIF(SYS_4_3_Digitos!$M$5:$M$1682,BALANCE!AA803,SYS_4_3_Digitos!$N$5:$N$1682)</f>
        <v>0</v>
      </c>
    </row>
    <row r="804" spans="21:28" hidden="1">
      <c r="V804" s="661">
        <v>3900</v>
      </c>
      <c r="W804" s="662">
        <f ca="1">+SUMIF(SYS_4_3_Digitos!$M$5:$M$1682,BALANCE!V804,SYS_4_3_Digitos!$N$5:$N$1682)</f>
        <v>0</v>
      </c>
      <c r="Z804" s="666"/>
      <c r="AA804" s="661">
        <v>5690</v>
      </c>
      <c r="AB804" s="672">
        <f ca="1">+SUMIF(SYS_4_3_Digitos!$M$5:$M$1682,BALANCE!AA804,SYS_4_3_Digitos!$N$5:$N$1682)</f>
        <v>0</v>
      </c>
    </row>
    <row r="805" spans="21:28" ht="21" hidden="1">
      <c r="V805" s="661">
        <v>3901</v>
      </c>
      <c r="W805" s="662">
        <f>+SUMIF(SYS_4_3_Digitos!$M$5:$M$1682,BALANCE!V805,SYS_4_3_Digitos!$N$5:$N$1682)</f>
        <v>0</v>
      </c>
      <c r="Z805" s="666" t="s">
        <v>1552</v>
      </c>
      <c r="AA805" s="664" t="s">
        <v>97</v>
      </c>
      <c r="AB805" s="642">
        <f ca="1">SUM(AB806:AB855)</f>
        <v>0</v>
      </c>
    </row>
    <row r="806" spans="21:28" hidden="1">
      <c r="V806" s="661">
        <v>3902</v>
      </c>
      <c r="W806" s="662">
        <f>+SUMIF(SYS_4_3_Digitos!$M$5:$M$1682,BALANCE!V806,SYS_4_3_Digitos!$N$5:$N$1682)</f>
        <v>0</v>
      </c>
      <c r="Z806" s="666"/>
      <c r="AA806" s="661">
        <v>5100</v>
      </c>
      <c r="AB806" s="672">
        <f>+SUMIF(SYS_4_3_Digitos!$M$5:$M$1682,BALANCE!AA806,SYS_4_3_Digitos!$N$5:$N$1682)</f>
        <v>0</v>
      </c>
    </row>
    <row r="807" spans="21:28" hidden="1">
      <c r="V807" s="661">
        <v>3903</v>
      </c>
      <c r="W807" s="662">
        <f>+SUMIF(SYS_4_3_Digitos!$M$5:$M$1682,BALANCE!V807,SYS_4_3_Digitos!$N$5:$N$1682)</f>
        <v>0</v>
      </c>
      <c r="Z807" s="666"/>
      <c r="AA807" s="661">
        <v>5101</v>
      </c>
      <c r="AB807" s="672">
        <f>+SUMIF(SYS_4_3_Digitos!$M$5:$M$1682,BALANCE!AA807,SYS_4_3_Digitos!$N$5:$N$1682)</f>
        <v>0</v>
      </c>
    </row>
    <row r="808" spans="21:28" hidden="1">
      <c r="V808" s="661">
        <v>3904</v>
      </c>
      <c r="W808" s="662">
        <f>+SUMIF(SYS_4_3_Digitos!$M$5:$M$1682,BALANCE!V808,SYS_4_3_Digitos!$N$5:$N$1682)</f>
        <v>0</v>
      </c>
      <c r="Z808" s="666"/>
      <c r="AA808" s="661">
        <v>5102</v>
      </c>
      <c r="AB808" s="672">
        <f>+SUMIF(SYS_4_3_Digitos!$M$5:$M$1682,BALANCE!AA808,SYS_4_3_Digitos!$N$5:$N$1682)</f>
        <v>0</v>
      </c>
    </row>
    <row r="809" spans="21:28" hidden="1">
      <c r="V809" s="661">
        <v>3905</v>
      </c>
      <c r="W809" s="662">
        <f>+SUMIF(SYS_4_3_Digitos!$M$5:$M$1682,BALANCE!V809,SYS_4_3_Digitos!$N$5:$N$1682)</f>
        <v>0</v>
      </c>
      <c r="Z809" s="666"/>
      <c r="AA809" s="661">
        <v>5103</v>
      </c>
      <c r="AB809" s="672">
        <f>+SUMIF(SYS_4_3_Digitos!$M$5:$M$1682,BALANCE!AA809,SYS_4_3_Digitos!$N$5:$N$1682)</f>
        <v>0</v>
      </c>
    </row>
    <row r="810" spans="21:28" hidden="1">
      <c r="V810" s="661">
        <v>3906</v>
      </c>
      <c r="W810" s="662">
        <f>+SUMIF(SYS_4_3_Digitos!$M$5:$M$1682,BALANCE!V810,SYS_4_3_Digitos!$N$5:$N$1682)</f>
        <v>0</v>
      </c>
      <c r="Z810" s="666"/>
      <c r="AA810" s="661">
        <v>5104</v>
      </c>
      <c r="AB810" s="672">
        <f>+SUMIF(SYS_4_3_Digitos!$M$5:$M$1682,BALANCE!AA810,SYS_4_3_Digitos!$N$5:$N$1682)</f>
        <v>0</v>
      </c>
    </row>
    <row r="811" spans="21:28" hidden="1">
      <c r="V811" s="661">
        <v>3907</v>
      </c>
      <c r="W811" s="662">
        <f>+SUMIF(SYS_4_3_Digitos!$M$5:$M$1682,BALANCE!V811,SYS_4_3_Digitos!$N$5:$N$1682)</f>
        <v>0</v>
      </c>
      <c r="Z811" s="666"/>
      <c r="AA811" s="661">
        <v>5113</v>
      </c>
      <c r="AB811" s="672">
        <f>+SUMIF(SYS_4_3_Digitos!$M$5:$M$1682,BALANCE!AA811,SYS_4_3_Digitos!$N$5:$N$1682)</f>
        <v>0</v>
      </c>
    </row>
    <row r="812" spans="21:28" hidden="1">
      <c r="V812" s="661">
        <v>3908</v>
      </c>
      <c r="W812" s="662">
        <f>+SUMIF(SYS_4_3_Digitos!$M$5:$M$1682,BALANCE!V812,SYS_4_3_Digitos!$N$5:$N$1682)</f>
        <v>0</v>
      </c>
      <c r="Z812" s="666"/>
      <c r="AA812" s="661">
        <v>5114</v>
      </c>
      <c r="AB812" s="672">
        <f>+SUMIF(SYS_4_3_Digitos!$M$5:$M$1682,BALANCE!AA812,SYS_4_3_Digitos!$N$5:$N$1682)</f>
        <v>0</v>
      </c>
    </row>
    <row r="813" spans="21:28" hidden="1">
      <c r="U813" s="715" t="s">
        <v>127</v>
      </c>
      <c r="V813" s="661">
        <v>3909</v>
      </c>
      <c r="W813" s="662">
        <f>+SUMIF(SYS_4_3_Digitos!$M$5:$M$1682,BALANCE!V813,SYS_4_3_Digitos!$N$5:$N$1682)</f>
        <v>0</v>
      </c>
      <c r="Z813" s="666"/>
      <c r="AA813" s="661">
        <v>5123</v>
      </c>
      <c r="AB813" s="672">
        <f>+SUMIF(SYS_4_3_Digitos!$M$5:$M$1682,BALANCE!AA813,SYS_4_3_Digitos!$N$5:$N$1682)</f>
        <v>0</v>
      </c>
    </row>
    <row r="814" spans="21:28" hidden="1">
      <c r="V814" s="653" t="s">
        <v>32</v>
      </c>
      <c r="W814" s="654">
        <f ca="1">SUM(W815:W1034)</f>
        <v>33683237.159999996</v>
      </c>
      <c r="Z814" s="666"/>
      <c r="AA814" s="661">
        <v>5124</v>
      </c>
      <c r="AB814" s="672">
        <f>+SUMIF(SYS_4_3_Digitos!$M$5:$M$1682,BALANCE!AA814,SYS_4_3_Digitos!$N$5:$N$1682)</f>
        <v>0</v>
      </c>
    </row>
    <row r="815" spans="21:28" hidden="1">
      <c r="V815" s="661">
        <v>3100</v>
      </c>
      <c r="W815" s="662">
        <f ca="1">+SUMIF(SYS_4_3_Digitos!$M$5:$M$1682,BALANCE!V815,SYS_4_3_Digitos!$N$5:$N$1682)</f>
        <v>33428757.619999997</v>
      </c>
      <c r="Z815" s="666"/>
      <c r="AA815" s="661">
        <v>5133</v>
      </c>
      <c r="AB815" s="672">
        <f ca="1">+SUMIF(SYS_4_3_Digitos!$M$5:$M$1682,BALANCE!AA815,SYS_4_3_Digitos!$N$5:$N$1682)</f>
        <v>0</v>
      </c>
    </row>
    <row r="816" spans="21:28" hidden="1">
      <c r="V816" s="661">
        <v>3101</v>
      </c>
      <c r="W816" s="662">
        <f>+SUMIF(SYS_4_3_Digitos!$M$5:$M$1682,BALANCE!V816,SYS_4_3_Digitos!$N$5:$N$1682)</f>
        <v>0</v>
      </c>
      <c r="Z816" s="666"/>
      <c r="AA816" s="661">
        <v>5134</v>
      </c>
      <c r="AB816" s="672">
        <f ca="1">+SUMIF(SYS_4_3_Digitos!$M$5:$M$1682,BALANCE!AA816,SYS_4_3_Digitos!$N$5:$N$1682)</f>
        <v>0</v>
      </c>
    </row>
    <row r="817" spans="22:28" hidden="1">
      <c r="V817" s="661">
        <v>3102</v>
      </c>
      <c r="W817" s="662">
        <f>+SUMIF(SYS_4_3_Digitos!$M$5:$M$1682,BALANCE!V817,SYS_4_3_Digitos!$N$5:$N$1682)</f>
        <v>0</v>
      </c>
      <c r="Z817" s="666"/>
      <c r="AA817" s="661">
        <v>5143</v>
      </c>
      <c r="AB817" s="672">
        <f>+SUMIF(SYS_4_3_Digitos!$M$5:$M$1682,BALANCE!AA817,SYS_4_3_Digitos!$N$5:$N$1682)</f>
        <v>0</v>
      </c>
    </row>
    <row r="818" spans="22:28" hidden="1">
      <c r="V818" s="661">
        <v>3103</v>
      </c>
      <c r="W818" s="662">
        <f>+SUMIF(SYS_4_3_Digitos!$M$5:$M$1682,BALANCE!V818,SYS_4_3_Digitos!$N$5:$N$1682)</f>
        <v>0</v>
      </c>
      <c r="Z818" s="666"/>
      <c r="AA818" s="661">
        <v>5144</v>
      </c>
      <c r="AB818" s="672">
        <f>+SUMIF(SYS_4_3_Digitos!$M$5:$M$1682,BALANCE!AA818,SYS_4_3_Digitos!$N$5:$N$1682)</f>
        <v>0</v>
      </c>
    </row>
    <row r="819" spans="22:28" hidden="1">
      <c r="V819" s="661">
        <v>3104</v>
      </c>
      <c r="W819" s="662">
        <f>+SUMIF(SYS_4_3_Digitos!$M$5:$M$1682,BALANCE!V819,SYS_4_3_Digitos!$N$5:$N$1682)</f>
        <v>0</v>
      </c>
      <c r="Z819" s="666"/>
      <c r="AA819" s="661">
        <v>5150</v>
      </c>
      <c r="AB819" s="672">
        <f>+SUMIF(SYS_4_3_Digitos!$M$5:$M$1682,BALANCE!AA819,SYS_4_3_Digitos!$N$5:$N$1682)</f>
        <v>0</v>
      </c>
    </row>
    <row r="820" spans="22:28" hidden="1">
      <c r="V820" s="661">
        <v>3105</v>
      </c>
      <c r="W820" s="662">
        <f>+SUMIF(SYS_4_3_Digitos!$M$5:$M$1682,BALANCE!V820,SYS_4_3_Digitos!$N$5:$N$1682)</f>
        <v>0</v>
      </c>
      <c r="Z820" s="666"/>
      <c r="AA820" s="661">
        <v>5151</v>
      </c>
      <c r="AB820" s="672">
        <f>+SUMIF(SYS_4_3_Digitos!$M$5:$M$1682,BALANCE!AA820,SYS_4_3_Digitos!$N$5:$N$1682)</f>
        <v>0</v>
      </c>
    </row>
    <row r="821" spans="22:28" hidden="1">
      <c r="V821" s="661">
        <v>3106</v>
      </c>
      <c r="W821" s="662">
        <f>+SUMIF(SYS_4_3_Digitos!$M$5:$M$1682,BALANCE!V821,SYS_4_3_Digitos!$N$5:$N$1682)</f>
        <v>0</v>
      </c>
      <c r="Z821" s="666"/>
      <c r="AA821" s="661">
        <v>5152</v>
      </c>
      <c r="AB821" s="672">
        <f>+SUMIF(SYS_4_3_Digitos!$M$5:$M$1682,BALANCE!AA821,SYS_4_3_Digitos!$N$5:$N$1682)</f>
        <v>0</v>
      </c>
    </row>
    <row r="822" spans="22:28" hidden="1">
      <c r="V822" s="661">
        <v>3107</v>
      </c>
      <c r="W822" s="662">
        <f>+SUMIF(SYS_4_3_Digitos!$M$5:$M$1682,BALANCE!V822,SYS_4_3_Digitos!$N$5:$N$1682)</f>
        <v>0</v>
      </c>
      <c r="Z822" s="666"/>
      <c r="AA822" s="661">
        <v>5153</v>
      </c>
      <c r="AB822" s="672">
        <f>+SUMIF(SYS_4_3_Digitos!$M$5:$M$1682,BALANCE!AA822,SYS_4_3_Digitos!$N$5:$N$1682)</f>
        <v>0</v>
      </c>
    </row>
    <row r="823" spans="22:28" hidden="1">
      <c r="V823" s="661">
        <v>3108</v>
      </c>
      <c r="W823" s="662">
        <f>+SUMIF(SYS_4_3_Digitos!$M$5:$M$1682,BALANCE!V823,SYS_4_3_Digitos!$N$5:$N$1682)</f>
        <v>0</v>
      </c>
      <c r="Z823" s="666"/>
      <c r="AA823" s="661">
        <v>5154</v>
      </c>
      <c r="AB823" s="672">
        <f>+SUMIF(SYS_4_3_Digitos!$M$5:$M$1682,BALANCE!AA823,SYS_4_3_Digitos!$N$5:$N$1682)</f>
        <v>0</v>
      </c>
    </row>
    <row r="824" spans="22:28" hidden="1">
      <c r="V824" s="661">
        <v>3109</v>
      </c>
      <c r="W824" s="662">
        <f>+SUMIF(SYS_4_3_Digitos!$M$5:$M$1682,BALANCE!V824,SYS_4_3_Digitos!$N$5:$N$1682)</f>
        <v>0</v>
      </c>
      <c r="Z824" s="666"/>
      <c r="AA824" s="661">
        <v>5155</v>
      </c>
      <c r="AB824" s="672">
        <f>+SUMIF(SYS_4_3_Digitos!$M$5:$M$1682,BALANCE!AA824,SYS_4_3_Digitos!$N$5:$N$1682)</f>
        <v>0</v>
      </c>
    </row>
    <row r="825" spans="22:28" hidden="1">
      <c r="V825" s="661">
        <v>3110</v>
      </c>
      <c r="W825" s="662">
        <f>+SUMIF(SYS_4_3_Digitos!$M$5:$M$1682,BALANCE!V825,SYS_4_3_Digitos!$N$5:$N$1682)</f>
        <v>0</v>
      </c>
      <c r="Z825" s="666"/>
      <c r="AA825" s="661">
        <v>5156</v>
      </c>
      <c r="AB825" s="672">
        <f>+SUMIF(SYS_4_3_Digitos!$M$5:$M$1682,BALANCE!AA825,SYS_4_3_Digitos!$N$5:$N$1682)</f>
        <v>0</v>
      </c>
    </row>
    <row r="826" spans="22:28" hidden="1">
      <c r="V826" s="661">
        <v>3111</v>
      </c>
      <c r="W826" s="662">
        <f>+SUMIF(SYS_4_3_Digitos!$M$5:$M$1682,BALANCE!V826,SYS_4_3_Digitos!$N$5:$N$1682)</f>
        <v>0</v>
      </c>
      <c r="Z826" s="666"/>
      <c r="AA826" s="661">
        <v>5157</v>
      </c>
      <c r="AB826" s="672">
        <f>+SUMIF(SYS_4_3_Digitos!$M$5:$M$1682,BALANCE!AA826,SYS_4_3_Digitos!$N$5:$N$1682)</f>
        <v>0</v>
      </c>
    </row>
    <row r="827" spans="22:28" hidden="1">
      <c r="V827" s="661">
        <v>3112</v>
      </c>
      <c r="W827" s="662">
        <f>+SUMIF(SYS_4_3_Digitos!$M$5:$M$1682,BALANCE!V827,SYS_4_3_Digitos!$N$5:$N$1682)</f>
        <v>0</v>
      </c>
      <c r="Z827" s="666"/>
      <c r="AA827" s="661">
        <v>5158</v>
      </c>
      <c r="AB827" s="672">
        <f>+SUMIF(SYS_4_3_Digitos!$M$5:$M$1682,BALANCE!AA827,SYS_4_3_Digitos!$N$5:$N$1682)</f>
        <v>0</v>
      </c>
    </row>
    <row r="828" spans="22:28" hidden="1">
      <c r="V828" s="661">
        <v>3113</v>
      </c>
      <c r="W828" s="662">
        <f>+SUMIF(SYS_4_3_Digitos!$M$5:$M$1682,BALANCE!V828,SYS_4_3_Digitos!$N$5:$N$1682)</f>
        <v>0</v>
      </c>
      <c r="Z828" s="666"/>
      <c r="AA828" s="661">
        <v>5159</v>
      </c>
      <c r="AB828" s="672">
        <f>+SUMIF(SYS_4_3_Digitos!$M$5:$M$1682,BALANCE!AA828,SYS_4_3_Digitos!$N$5:$N$1682)</f>
        <v>0</v>
      </c>
    </row>
    <row r="829" spans="22:28" hidden="1">
      <c r="V829" s="661">
        <v>3114</v>
      </c>
      <c r="W829" s="662">
        <f>+SUMIF(SYS_4_3_Digitos!$M$5:$M$1682,BALANCE!V829,SYS_4_3_Digitos!$N$5:$N$1682)</f>
        <v>0</v>
      </c>
      <c r="Z829" s="666"/>
      <c r="AA829" s="661">
        <v>5160</v>
      </c>
      <c r="AB829" s="672">
        <f>+SUMIF(SYS_4_3_Digitos!$M$5:$M$1682,BALANCE!AA829,SYS_4_3_Digitos!$N$5:$N$1682)</f>
        <v>0</v>
      </c>
    </row>
    <row r="830" spans="22:28" hidden="1">
      <c r="V830" s="661">
        <v>3115</v>
      </c>
      <c r="W830" s="662">
        <f>+SUMIF(SYS_4_3_Digitos!$M$5:$M$1682,BALANCE!V830,SYS_4_3_Digitos!$N$5:$N$1682)</f>
        <v>0</v>
      </c>
      <c r="Z830" s="666"/>
      <c r="AA830" s="661">
        <v>5161</v>
      </c>
      <c r="AB830" s="672">
        <f>+SUMIF(SYS_4_3_Digitos!$M$5:$M$1682,BALANCE!AA830,SYS_4_3_Digitos!$N$5:$N$1682)</f>
        <v>0</v>
      </c>
    </row>
    <row r="831" spans="22:28" hidden="1">
      <c r="V831" s="661">
        <v>3116</v>
      </c>
      <c r="W831" s="662">
        <f>+SUMIF(SYS_4_3_Digitos!$M$5:$M$1682,BALANCE!V831,SYS_4_3_Digitos!$N$5:$N$1682)</f>
        <v>0</v>
      </c>
      <c r="Z831" s="666"/>
      <c r="AA831" s="661">
        <v>5162</v>
      </c>
      <c r="AB831" s="672">
        <f>+SUMIF(SYS_4_3_Digitos!$M$5:$M$1682,BALANCE!AA831,SYS_4_3_Digitos!$N$5:$N$1682)</f>
        <v>0</v>
      </c>
    </row>
    <row r="832" spans="22:28" hidden="1">
      <c r="V832" s="661">
        <v>3117</v>
      </c>
      <c r="W832" s="662">
        <f>+SUMIF(SYS_4_3_Digitos!$M$5:$M$1682,BALANCE!V832,SYS_4_3_Digitos!$N$5:$N$1682)</f>
        <v>0</v>
      </c>
      <c r="Z832" s="666"/>
      <c r="AA832" s="661">
        <v>5163</v>
      </c>
      <c r="AB832" s="672">
        <f>+SUMIF(SYS_4_3_Digitos!$M$5:$M$1682,BALANCE!AA832,SYS_4_3_Digitos!$N$5:$N$1682)</f>
        <v>0</v>
      </c>
    </row>
    <row r="833" spans="22:28" hidden="1">
      <c r="V833" s="661">
        <v>3118</v>
      </c>
      <c r="W833" s="662">
        <f>+SUMIF(SYS_4_3_Digitos!$M$5:$M$1682,BALANCE!V833,SYS_4_3_Digitos!$N$5:$N$1682)</f>
        <v>0</v>
      </c>
      <c r="Z833" s="666"/>
      <c r="AA833" s="661">
        <v>5164</v>
      </c>
      <c r="AB833" s="672">
        <f>+SUMIF(SYS_4_3_Digitos!$M$5:$M$1682,BALANCE!AA833,SYS_4_3_Digitos!$N$5:$N$1682)</f>
        <v>0</v>
      </c>
    </row>
    <row r="834" spans="22:28" hidden="1">
      <c r="V834" s="661">
        <v>3119</v>
      </c>
      <c r="W834" s="662">
        <f>+SUMIF(SYS_4_3_Digitos!$M$5:$M$1682,BALANCE!V834,SYS_4_3_Digitos!$N$5:$N$1682)</f>
        <v>0</v>
      </c>
      <c r="Z834" s="666"/>
      <c r="AA834" s="661">
        <v>5165</v>
      </c>
      <c r="AB834" s="672">
        <f>+SUMIF(SYS_4_3_Digitos!$M$5:$M$1682,BALANCE!AA834,SYS_4_3_Digitos!$N$5:$N$1682)</f>
        <v>0</v>
      </c>
    </row>
    <row r="835" spans="22:28" hidden="1">
      <c r="V835" s="661">
        <v>3120</v>
      </c>
      <c r="W835" s="662">
        <f>+SUMIF(SYS_4_3_Digitos!$M$5:$M$1682,BALANCE!V835,SYS_4_3_Digitos!$N$5:$N$1682)</f>
        <v>0</v>
      </c>
      <c r="Z835" s="666"/>
      <c r="AA835" s="661">
        <v>5166</v>
      </c>
      <c r="AB835" s="672">
        <f>+SUMIF(SYS_4_3_Digitos!$M$5:$M$1682,BALANCE!AA835,SYS_4_3_Digitos!$N$5:$N$1682)</f>
        <v>0</v>
      </c>
    </row>
    <row r="836" spans="22:28" hidden="1">
      <c r="V836" s="661">
        <v>3121</v>
      </c>
      <c r="W836" s="662">
        <f>+SUMIF(SYS_4_3_Digitos!$M$5:$M$1682,BALANCE!V836,SYS_4_3_Digitos!$N$5:$N$1682)</f>
        <v>0</v>
      </c>
      <c r="Z836" s="666"/>
      <c r="AA836" s="661">
        <v>5167</v>
      </c>
      <c r="AB836" s="672">
        <f>+SUMIF(SYS_4_3_Digitos!$M$5:$M$1682,BALANCE!AA836,SYS_4_3_Digitos!$N$5:$N$1682)</f>
        <v>0</v>
      </c>
    </row>
    <row r="837" spans="22:28" hidden="1">
      <c r="V837" s="661">
        <v>3122</v>
      </c>
      <c r="W837" s="662">
        <f>+SUMIF(SYS_4_3_Digitos!$M$5:$M$1682,BALANCE!V837,SYS_4_3_Digitos!$N$5:$N$1682)</f>
        <v>0</v>
      </c>
      <c r="Z837" s="666"/>
      <c r="AA837" s="661">
        <v>5168</v>
      </c>
      <c r="AB837" s="672">
        <f>+SUMIF(SYS_4_3_Digitos!$M$5:$M$1682,BALANCE!AA837,SYS_4_3_Digitos!$N$5:$N$1682)</f>
        <v>0</v>
      </c>
    </row>
    <row r="838" spans="22:28" hidden="1">
      <c r="V838" s="661">
        <v>3123</v>
      </c>
      <c r="W838" s="662">
        <f>+SUMIF(SYS_4_3_Digitos!$M$5:$M$1682,BALANCE!V838,SYS_4_3_Digitos!$N$5:$N$1682)</f>
        <v>0</v>
      </c>
      <c r="Z838" s="666"/>
      <c r="AA838" s="661">
        <v>5169</v>
      </c>
      <c r="AB838" s="672">
        <f>+SUMIF(SYS_4_3_Digitos!$M$5:$M$1682,BALANCE!AA838,SYS_4_3_Digitos!$N$5:$N$1682)</f>
        <v>0</v>
      </c>
    </row>
    <row r="839" spans="22:28" hidden="1">
      <c r="V839" s="661">
        <v>3124</v>
      </c>
      <c r="W839" s="662">
        <f>+SUMIF(SYS_4_3_Digitos!$M$5:$M$1682,BALANCE!V839,SYS_4_3_Digitos!$N$5:$N$1682)</f>
        <v>0</v>
      </c>
      <c r="Z839" s="666"/>
      <c r="AA839" s="723">
        <v>5520</v>
      </c>
      <c r="AB839" s="672">
        <f>IF(+SUMIF(SYS_4_3_Digitos!$M$5:$M$1682,BALANCE!AA839,SYS_4_3_Digitos!$N$5:$N$1682)&gt;0,0,+SUMIF(SYS_4_3_Digitos!$M$5:$M$1682,BALANCE!AA839,SYS_4_3_Digitos!$N$5:$N$1682))</f>
        <v>0</v>
      </c>
    </row>
    <row r="840" spans="22:28" hidden="1">
      <c r="V840" s="661">
        <v>3125</v>
      </c>
      <c r="W840" s="662">
        <f>+SUMIF(SYS_4_3_Digitos!$M$5:$M$1682,BALANCE!V840,SYS_4_3_Digitos!$N$5:$N$1682)</f>
        <v>0</v>
      </c>
      <c r="Z840" s="666"/>
      <c r="AA840" s="723">
        <v>5521</v>
      </c>
      <c r="AB840" s="672">
        <f>IF(+SUMIF(SYS_4_3_Digitos!$M$5:$M$1682,BALANCE!AA840,SYS_4_3_Digitos!$N$5:$N$1682)&gt;0,0,+SUMIF(SYS_4_3_Digitos!$M$5:$M$1682,BALANCE!AA840,SYS_4_3_Digitos!$N$5:$N$1682))</f>
        <v>0</v>
      </c>
    </row>
    <row r="841" spans="22:28" hidden="1">
      <c r="V841" s="661">
        <v>3126</v>
      </c>
      <c r="W841" s="662">
        <f>+SUMIF(SYS_4_3_Digitos!$M$5:$M$1682,BALANCE!V841,SYS_4_3_Digitos!$N$5:$N$1682)</f>
        <v>0</v>
      </c>
      <c r="Z841" s="666"/>
      <c r="AA841" s="723">
        <v>5522</v>
      </c>
      <c r="AB841" s="672">
        <f>IF(+SUMIF(SYS_4_3_Digitos!$M$5:$M$1682,BALANCE!AA841,SYS_4_3_Digitos!$N$5:$N$1682)&gt;0,0,+SUMIF(SYS_4_3_Digitos!$M$5:$M$1682,BALANCE!AA841,SYS_4_3_Digitos!$N$5:$N$1682))</f>
        <v>0</v>
      </c>
    </row>
    <row r="842" spans="22:28" hidden="1">
      <c r="V842" s="661">
        <v>3127</v>
      </c>
      <c r="W842" s="662">
        <f>+SUMIF(SYS_4_3_Digitos!$M$5:$M$1682,BALANCE!V842,SYS_4_3_Digitos!$N$5:$N$1682)</f>
        <v>0</v>
      </c>
      <c r="Z842" s="666"/>
      <c r="AA842" s="723">
        <v>5523</v>
      </c>
      <c r="AB842" s="672">
        <f ca="1">IF(+SUMIF(SYS_4_3_Digitos!$M$5:$M$1682,BALANCE!AA842,SYS_4_3_Digitos!$N$5:$N$1682)&gt;0,0,+SUMIF(SYS_4_3_Digitos!$M$5:$M$1682,BALANCE!AA842,SYS_4_3_Digitos!$N$5:$N$1682))</f>
        <v>0</v>
      </c>
    </row>
    <row r="843" spans="22:28" hidden="1">
      <c r="V843" s="661">
        <v>3128</v>
      </c>
      <c r="W843" s="662">
        <f>+SUMIF(SYS_4_3_Digitos!$M$5:$M$1682,BALANCE!V843,SYS_4_3_Digitos!$N$5:$N$1682)</f>
        <v>0</v>
      </c>
      <c r="Z843" s="666"/>
      <c r="AA843" s="723">
        <v>5524</v>
      </c>
      <c r="AB843" s="672">
        <f ca="1">IF(+SUMIF(SYS_4_3_Digitos!$M$5:$M$1682,BALANCE!AA843,SYS_4_3_Digitos!$N$5:$N$1682)&gt;0,0,+SUMIF(SYS_4_3_Digitos!$M$5:$M$1682,BALANCE!AA843,SYS_4_3_Digitos!$N$5:$N$1682))</f>
        <v>0</v>
      </c>
    </row>
    <row r="844" spans="22:28" hidden="1">
      <c r="V844" s="661">
        <v>3129</v>
      </c>
      <c r="W844" s="662">
        <f>+SUMIF(SYS_4_3_Digitos!$M$5:$M$1682,BALANCE!V844,SYS_4_3_Digitos!$N$5:$N$1682)</f>
        <v>0</v>
      </c>
      <c r="Z844" s="666"/>
      <c r="AA844" s="723">
        <v>5540</v>
      </c>
      <c r="AB844" s="672">
        <f ca="1">IF(+SUMIF(SYS_4_3_Digitos!$M$5:$M$1682,BALANCE!AA844,SYS_4_3_Digitos!$N$5:$N$1682)&gt;0,0,+SUMIF(SYS_4_3_Digitos!$M$5:$M$1682,BALANCE!AA844,SYS_4_3_Digitos!$N$5:$N$1682))</f>
        <v>0</v>
      </c>
    </row>
    <row r="845" spans="22:28" hidden="1">
      <c r="V845" s="661">
        <v>3130</v>
      </c>
      <c r="W845" s="662">
        <f>+SUMIF(SYS_4_3_Digitos!$M$5:$M$1682,BALANCE!V845,SYS_4_3_Digitos!$N$5:$N$1682)</f>
        <v>0</v>
      </c>
      <c r="Z845" s="666"/>
      <c r="AA845" s="723">
        <v>5541</v>
      </c>
      <c r="AB845" s="672">
        <f>IF(+SUMIF(SYS_4_3_Digitos!$M$5:$M$1682,BALANCE!AA845,SYS_4_3_Digitos!$N$5:$N$1682)&gt;0,0,+SUMIF(SYS_4_3_Digitos!$M$5:$M$1682,BALANCE!AA845,SYS_4_3_Digitos!$N$5:$N$1682))</f>
        <v>0</v>
      </c>
    </row>
    <row r="846" spans="22:28" hidden="1">
      <c r="V846" s="661">
        <v>3131</v>
      </c>
      <c r="W846" s="662">
        <f>+SUMIF(SYS_4_3_Digitos!$M$5:$M$1682,BALANCE!V846,SYS_4_3_Digitos!$N$5:$N$1682)</f>
        <v>0</v>
      </c>
      <c r="Z846" s="666"/>
      <c r="AA846" s="723">
        <v>5542</v>
      </c>
      <c r="AB846" s="672">
        <f>IF(+SUMIF(SYS_4_3_Digitos!$M$5:$M$1682,BALANCE!AA846,SYS_4_3_Digitos!$N$5:$N$1682)&gt;0,0,+SUMIF(SYS_4_3_Digitos!$M$5:$M$1682,BALANCE!AA846,SYS_4_3_Digitos!$N$5:$N$1682))</f>
        <v>0</v>
      </c>
    </row>
    <row r="847" spans="22:28" hidden="1">
      <c r="V847" s="661">
        <v>3132</v>
      </c>
      <c r="W847" s="662">
        <f>+SUMIF(SYS_4_3_Digitos!$M$5:$M$1682,BALANCE!V847,SYS_4_3_Digitos!$N$5:$N$1682)</f>
        <v>0</v>
      </c>
      <c r="Z847" s="666"/>
      <c r="AA847" s="723">
        <v>5543</v>
      </c>
      <c r="AB847" s="672">
        <f>IF(+SUMIF(SYS_4_3_Digitos!$M$5:$M$1682,BALANCE!AA847,SYS_4_3_Digitos!$N$5:$N$1682)&gt;0,0,+SUMIF(SYS_4_3_Digitos!$M$5:$M$1682,BALANCE!AA847,SYS_4_3_Digitos!$N$5:$N$1682))</f>
        <v>0</v>
      </c>
    </row>
    <row r="848" spans="22:28" hidden="1">
      <c r="V848" s="661">
        <v>3133</v>
      </c>
      <c r="W848" s="662">
        <f>+SUMIF(SYS_4_3_Digitos!$M$5:$M$1682,BALANCE!V848,SYS_4_3_Digitos!$N$5:$N$1682)</f>
        <v>0</v>
      </c>
      <c r="Z848" s="666"/>
      <c r="AA848" s="723">
        <v>5544</v>
      </c>
      <c r="AB848" s="672">
        <f>IF(+SUMIF(SYS_4_3_Digitos!$M$5:$M$1682,BALANCE!AA848,SYS_4_3_Digitos!$N$5:$N$1682)&gt;0,0,+SUMIF(SYS_4_3_Digitos!$M$5:$M$1682,BALANCE!AA848,SYS_4_3_Digitos!$N$5:$N$1682))</f>
        <v>0</v>
      </c>
    </row>
    <row r="849" spans="22:28" hidden="1">
      <c r="V849" s="661">
        <v>3134</v>
      </c>
      <c r="W849" s="662">
        <f>+SUMIF(SYS_4_3_Digitos!$M$5:$M$1682,BALANCE!V849,SYS_4_3_Digitos!$N$5:$N$1682)</f>
        <v>0</v>
      </c>
      <c r="Z849" s="666"/>
      <c r="AA849" s="723">
        <v>5545</v>
      </c>
      <c r="AB849" s="672">
        <f>IF(+SUMIF(SYS_4_3_Digitos!$M$5:$M$1682,BALANCE!AA849,SYS_4_3_Digitos!$N$5:$N$1682)&gt;0,0,+SUMIF(SYS_4_3_Digitos!$M$5:$M$1682,BALANCE!AA849,SYS_4_3_Digitos!$N$5:$N$1682))</f>
        <v>0</v>
      </c>
    </row>
    <row r="850" spans="22:28" hidden="1">
      <c r="V850" s="661">
        <v>3135</v>
      </c>
      <c r="W850" s="662">
        <f>+SUMIF(SYS_4_3_Digitos!$M$5:$M$1682,BALANCE!V850,SYS_4_3_Digitos!$N$5:$N$1682)</f>
        <v>0</v>
      </c>
      <c r="Z850" s="666"/>
      <c r="AA850" s="723">
        <v>5546</v>
      </c>
      <c r="AB850" s="672">
        <f>IF(+SUMIF(SYS_4_3_Digitos!$M$5:$M$1682,BALANCE!AA850,SYS_4_3_Digitos!$N$5:$N$1682)&gt;0,0,+SUMIF(SYS_4_3_Digitos!$M$5:$M$1682,BALANCE!AA850,SYS_4_3_Digitos!$N$5:$N$1682))</f>
        <v>0</v>
      </c>
    </row>
    <row r="851" spans="22:28" hidden="1">
      <c r="V851" s="661">
        <v>3136</v>
      </c>
      <c r="W851" s="662">
        <f>+SUMIF(SYS_4_3_Digitos!$M$5:$M$1682,BALANCE!V851,SYS_4_3_Digitos!$N$5:$N$1682)</f>
        <v>0</v>
      </c>
      <c r="Z851" s="666"/>
      <c r="AA851" s="723">
        <v>5547</v>
      </c>
      <c r="AB851" s="672">
        <f>IF(+SUMIF(SYS_4_3_Digitos!$M$5:$M$1682,BALANCE!AA851,SYS_4_3_Digitos!$N$5:$N$1682)&gt;0,0,+SUMIF(SYS_4_3_Digitos!$M$5:$M$1682,BALANCE!AA851,SYS_4_3_Digitos!$N$5:$N$1682))</f>
        <v>0</v>
      </c>
    </row>
    <row r="852" spans="22:28" hidden="1">
      <c r="V852" s="661">
        <v>3137</v>
      </c>
      <c r="W852" s="662">
        <f>+SUMIF(SYS_4_3_Digitos!$M$5:$M$1682,BALANCE!V852,SYS_4_3_Digitos!$N$5:$N$1682)</f>
        <v>0</v>
      </c>
      <c r="Z852" s="666"/>
      <c r="AA852" s="723">
        <v>5548</v>
      </c>
      <c r="AB852" s="672">
        <f>IF(+SUMIF(SYS_4_3_Digitos!$M$5:$M$1682,BALANCE!AA852,SYS_4_3_Digitos!$N$5:$N$1682)&gt;0,0,+SUMIF(SYS_4_3_Digitos!$M$5:$M$1682,BALANCE!AA852,SYS_4_3_Digitos!$N$5:$N$1682))</f>
        <v>0</v>
      </c>
    </row>
    <row r="853" spans="22:28" hidden="1">
      <c r="V853" s="661">
        <v>3138</v>
      </c>
      <c r="W853" s="662">
        <f>+SUMIF(SYS_4_3_Digitos!$M$5:$M$1682,BALANCE!V853,SYS_4_3_Digitos!$N$5:$N$1682)</f>
        <v>0</v>
      </c>
      <c r="Z853" s="666"/>
      <c r="AA853" s="723">
        <v>5549</v>
      </c>
      <c r="AB853" s="672">
        <f>IF(+SUMIF(SYS_4_3_Digitos!$M$5:$M$1682,BALANCE!AA853,SYS_4_3_Digitos!$N$5:$N$1682)&gt;0,0,+SUMIF(SYS_4_3_Digitos!$M$5:$M$1682,BALANCE!AA853,SYS_4_3_Digitos!$N$5:$N$1682))</f>
        <v>0</v>
      </c>
    </row>
    <row r="854" spans="22:28" hidden="1">
      <c r="V854" s="661">
        <v>3139</v>
      </c>
      <c r="W854" s="662">
        <f>+SUMIF(SYS_4_3_Digitos!$M$5:$M$1682,BALANCE!V854,SYS_4_3_Digitos!$N$5:$N$1682)</f>
        <v>0</v>
      </c>
      <c r="Z854" s="666"/>
      <c r="AA854" s="723">
        <v>5108</v>
      </c>
      <c r="AB854" s="672">
        <f>IF(+SUMIF(SYS_4_3_Digitos!$M$5:$M$1682,BALANCE!AA854,SYS_4_3_Digitos!$N$5:$N$1682)&gt;0,0,+SUMIF(SYS_4_3_Digitos!$M$5:$M$1682,BALANCE!AA854,SYS_4_3_Digitos!$N$5:$N$1682))</f>
        <v>0</v>
      </c>
    </row>
    <row r="855" spans="22:28" hidden="1">
      <c r="V855" s="661">
        <v>3140</v>
      </c>
      <c r="W855" s="662">
        <f>+SUMIF(SYS_4_3_Digitos!$M$5:$M$1682,BALANCE!V855,SYS_4_3_Digitos!$N$5:$N$1682)</f>
        <v>0</v>
      </c>
      <c r="Z855" s="666"/>
      <c r="AA855" s="723">
        <v>5109</v>
      </c>
      <c r="AB855" s="672">
        <f>IF(+SUMIF(SYS_4_3_Digitos!$M$5:$M$1682,BALANCE!AA855,SYS_4_3_Digitos!$N$5:$N$1682)&gt;0,0,+SUMIF(SYS_4_3_Digitos!$M$5:$M$1682,BALANCE!AA855,SYS_4_3_Digitos!$N$5:$N$1682))</f>
        <v>0</v>
      </c>
    </row>
    <row r="856" spans="22:28" hidden="1">
      <c r="V856" s="661">
        <v>3141</v>
      </c>
      <c r="W856" s="662">
        <f>+SUMIF(SYS_4_3_Digitos!$M$5:$M$1682,BALANCE!V856,SYS_4_3_Digitos!$N$5:$N$1682)</f>
        <v>0</v>
      </c>
      <c r="Z856" s="666"/>
      <c r="AA856" s="664" t="s">
        <v>98</v>
      </c>
      <c r="AB856" s="642"/>
    </row>
    <row r="857" spans="22:28" hidden="1">
      <c r="V857" s="661">
        <v>3142</v>
      </c>
      <c r="W857" s="662">
        <f>+SUMIF(SYS_4_3_Digitos!$M$5:$M$1682,BALANCE!V857,SYS_4_3_Digitos!$N$5:$N$1682)</f>
        <v>0</v>
      </c>
      <c r="Z857" s="666" t="s">
        <v>270</v>
      </c>
      <c r="AA857" s="653" t="s">
        <v>99</v>
      </c>
      <c r="AB857" s="667">
        <f ca="1">SUM(AB858:AB907)</f>
        <v>-159031.70999999996</v>
      </c>
    </row>
    <row r="858" spans="22:28" hidden="1">
      <c r="V858" s="661">
        <v>3143</v>
      </c>
      <c r="W858" s="662">
        <f>+SUMIF(SYS_4_3_Digitos!$M$5:$M$1682,BALANCE!V858,SYS_4_3_Digitos!$N$5:$N$1682)</f>
        <v>0</v>
      </c>
      <c r="Z858" s="666"/>
      <c r="AA858" s="661">
        <v>4000</v>
      </c>
      <c r="AB858" s="672">
        <f ca="1">+SUMIF(SYS_4_3_Digitos!$M$5:$M$1682,BALANCE!AA858,SYS_4_3_Digitos!$N$5:$N$1682)</f>
        <v>1168480.1300000001</v>
      </c>
    </row>
    <row r="859" spans="22:28" hidden="1">
      <c r="V859" s="661">
        <v>3144</v>
      </c>
      <c r="W859" s="662">
        <f>+SUMIF(SYS_4_3_Digitos!$M$5:$M$1682,BALANCE!V859,SYS_4_3_Digitos!$N$5:$N$1682)</f>
        <v>0</v>
      </c>
      <c r="Z859" s="666"/>
      <c r="AA859" s="661">
        <v>4001</v>
      </c>
      <c r="AB859" s="672">
        <f>+SUMIF(SYS_4_3_Digitos!$M$5:$M$1682,BALANCE!AA859,SYS_4_3_Digitos!$N$5:$N$1682)</f>
        <v>0</v>
      </c>
    </row>
    <row r="860" spans="22:28" hidden="1">
      <c r="V860" s="661">
        <v>3145</v>
      </c>
      <c r="W860" s="662">
        <f>+SUMIF(SYS_4_3_Digitos!$M$5:$M$1682,BALANCE!V860,SYS_4_3_Digitos!$N$5:$N$1682)</f>
        <v>0</v>
      </c>
      <c r="Z860" s="666"/>
      <c r="AA860" s="661">
        <v>4002</v>
      </c>
      <c r="AB860" s="672">
        <f>+SUMIF(SYS_4_3_Digitos!$M$5:$M$1682,BALANCE!AA860,SYS_4_3_Digitos!$N$5:$N$1682)</f>
        <v>0</v>
      </c>
    </row>
    <row r="861" spans="22:28" hidden="1">
      <c r="V861" s="661">
        <v>3146</v>
      </c>
      <c r="W861" s="662">
        <f>+SUMIF(SYS_4_3_Digitos!$M$5:$M$1682,BALANCE!V861,SYS_4_3_Digitos!$N$5:$N$1682)</f>
        <v>0</v>
      </c>
      <c r="Z861" s="666"/>
      <c r="AA861" s="661">
        <v>4003</v>
      </c>
      <c r="AB861" s="672">
        <f>+SUMIF(SYS_4_3_Digitos!$M$5:$M$1682,BALANCE!AA861,SYS_4_3_Digitos!$N$5:$N$1682)</f>
        <v>0</v>
      </c>
    </row>
    <row r="862" spans="22:28" hidden="1">
      <c r="V862" s="661">
        <v>3147</v>
      </c>
      <c r="W862" s="662">
        <f>+SUMIF(SYS_4_3_Digitos!$M$5:$M$1682,BALANCE!V862,SYS_4_3_Digitos!$N$5:$N$1682)</f>
        <v>0</v>
      </c>
      <c r="Z862" s="666"/>
      <c r="AA862" s="661">
        <v>4004</v>
      </c>
      <c r="AB862" s="672">
        <f>+SUMIF(SYS_4_3_Digitos!$M$5:$M$1682,BALANCE!AA862,SYS_4_3_Digitos!$N$5:$N$1682)</f>
        <v>0</v>
      </c>
    </row>
    <row r="863" spans="22:28" hidden="1">
      <c r="V863" s="661">
        <v>3148</v>
      </c>
      <c r="W863" s="662">
        <f>+SUMIF(SYS_4_3_Digitos!$M$5:$M$1682,BALANCE!V863,SYS_4_3_Digitos!$N$5:$N$1682)</f>
        <v>0</v>
      </c>
      <c r="Z863" s="666"/>
      <c r="AA863" s="661">
        <v>4005</v>
      </c>
      <c r="AB863" s="672">
        <f>+SUMIF(SYS_4_3_Digitos!$M$5:$M$1682,BALANCE!AA863,SYS_4_3_Digitos!$N$5:$N$1682)</f>
        <v>0</v>
      </c>
    </row>
    <row r="864" spans="22:28" hidden="1">
      <c r="V864" s="661">
        <v>3149</v>
      </c>
      <c r="W864" s="662">
        <f>+SUMIF(SYS_4_3_Digitos!$M$5:$M$1682,BALANCE!V864,SYS_4_3_Digitos!$N$5:$N$1682)</f>
        <v>0</v>
      </c>
      <c r="Z864" s="666"/>
      <c r="AA864" s="661">
        <v>4006</v>
      </c>
      <c r="AB864" s="672">
        <f>+SUMIF(SYS_4_3_Digitos!$M$5:$M$1682,BALANCE!AA864,SYS_4_3_Digitos!$N$5:$N$1682)</f>
        <v>0</v>
      </c>
    </row>
    <row r="865" spans="22:28" hidden="1">
      <c r="V865" s="661">
        <v>3150</v>
      </c>
      <c r="W865" s="662">
        <f>+SUMIF(SYS_4_3_Digitos!$M$5:$M$1682,BALANCE!V865,SYS_4_3_Digitos!$N$5:$N$1682)</f>
        <v>0</v>
      </c>
      <c r="Z865" s="666"/>
      <c r="AA865" s="661">
        <v>4007</v>
      </c>
      <c r="AB865" s="672">
        <f>+SUMIF(SYS_4_3_Digitos!$M$5:$M$1682,BALANCE!AA865,SYS_4_3_Digitos!$N$5:$N$1682)</f>
        <v>0</v>
      </c>
    </row>
    <row r="866" spans="22:28" hidden="1">
      <c r="V866" s="661">
        <v>3151</v>
      </c>
      <c r="W866" s="662">
        <f>+SUMIF(SYS_4_3_Digitos!$M$5:$M$1682,BALANCE!V866,SYS_4_3_Digitos!$N$5:$N$1682)</f>
        <v>0</v>
      </c>
      <c r="Z866" s="666"/>
      <c r="AA866" s="661">
        <v>4008</v>
      </c>
      <c r="AB866" s="672">
        <f>+SUMIF(SYS_4_3_Digitos!$M$5:$M$1682,BALANCE!AA866,SYS_4_3_Digitos!$N$5:$N$1682)</f>
        <v>0</v>
      </c>
    </row>
    <row r="867" spans="22:28" hidden="1">
      <c r="V867" s="661">
        <v>3152</v>
      </c>
      <c r="W867" s="662">
        <f>+SUMIF(SYS_4_3_Digitos!$M$5:$M$1682,BALANCE!V867,SYS_4_3_Digitos!$N$5:$N$1682)</f>
        <v>0</v>
      </c>
      <c r="Z867" s="666"/>
      <c r="AA867" s="661">
        <v>4009</v>
      </c>
      <c r="AB867" s="672">
        <f>+SUMIF(SYS_4_3_Digitos!$M$5:$M$1682,BALANCE!AA867,SYS_4_3_Digitos!$N$5:$N$1682)</f>
        <v>0</v>
      </c>
    </row>
    <row r="868" spans="22:28" hidden="1">
      <c r="V868" s="661">
        <v>3153</v>
      </c>
      <c r="W868" s="662">
        <f>+SUMIF(SYS_4_3_Digitos!$M$5:$M$1682,BALANCE!V868,SYS_4_3_Digitos!$N$5:$N$1682)</f>
        <v>0</v>
      </c>
      <c r="Z868" s="666"/>
      <c r="AA868" s="661">
        <v>4010</v>
      </c>
      <c r="AB868" s="672">
        <f ca="1">+SUMIF(SYS_4_3_Digitos!$M$5:$M$1682,BALANCE!AA868,SYS_4_3_Digitos!$N$5:$N$1682)</f>
        <v>-1327511.8400000001</v>
      </c>
    </row>
    <row r="869" spans="22:28" hidden="1">
      <c r="V869" s="661">
        <v>3154</v>
      </c>
      <c r="W869" s="662">
        <f>+SUMIF(SYS_4_3_Digitos!$M$5:$M$1682,BALANCE!V869,SYS_4_3_Digitos!$N$5:$N$1682)</f>
        <v>0</v>
      </c>
      <c r="Z869" s="666"/>
      <c r="AA869" s="661">
        <v>4011</v>
      </c>
      <c r="AB869" s="672">
        <f>+SUMIF(SYS_4_3_Digitos!$M$5:$M$1682,BALANCE!AA869,SYS_4_3_Digitos!$N$5:$N$1682)</f>
        <v>0</v>
      </c>
    </row>
    <row r="870" spans="22:28" hidden="1">
      <c r="V870" s="661">
        <v>3155</v>
      </c>
      <c r="W870" s="662">
        <f>+SUMIF(SYS_4_3_Digitos!$M$5:$M$1682,BALANCE!V870,SYS_4_3_Digitos!$N$5:$N$1682)</f>
        <v>0</v>
      </c>
      <c r="Z870" s="666"/>
      <c r="AA870" s="661">
        <v>4012</v>
      </c>
      <c r="AB870" s="672">
        <f>+SUMIF(SYS_4_3_Digitos!$M$5:$M$1682,BALANCE!AA870,SYS_4_3_Digitos!$N$5:$N$1682)</f>
        <v>0</v>
      </c>
    </row>
    <row r="871" spans="22:28" hidden="1">
      <c r="V871" s="661">
        <v>3156</v>
      </c>
      <c r="W871" s="662">
        <f>+SUMIF(SYS_4_3_Digitos!$M$5:$M$1682,BALANCE!V871,SYS_4_3_Digitos!$N$5:$N$1682)</f>
        <v>0</v>
      </c>
      <c r="Z871" s="666"/>
      <c r="AA871" s="661">
        <v>4013</v>
      </c>
      <c r="AB871" s="672">
        <f>+SUMIF(SYS_4_3_Digitos!$M$5:$M$1682,BALANCE!AA871,SYS_4_3_Digitos!$N$5:$N$1682)</f>
        <v>0</v>
      </c>
    </row>
    <row r="872" spans="22:28" hidden="1">
      <c r="V872" s="661">
        <v>3157</v>
      </c>
      <c r="W872" s="662">
        <f>+SUMIF(SYS_4_3_Digitos!$M$5:$M$1682,BALANCE!V872,SYS_4_3_Digitos!$N$5:$N$1682)</f>
        <v>0</v>
      </c>
      <c r="Z872" s="666"/>
      <c r="AA872" s="661">
        <v>4014</v>
      </c>
      <c r="AB872" s="672">
        <f>+SUMIF(SYS_4_3_Digitos!$M$5:$M$1682,BALANCE!AA872,SYS_4_3_Digitos!$N$5:$N$1682)</f>
        <v>0</v>
      </c>
    </row>
    <row r="873" spans="22:28" hidden="1">
      <c r="V873" s="661">
        <v>3158</v>
      </c>
      <c r="W873" s="662">
        <f>+SUMIF(SYS_4_3_Digitos!$M$5:$M$1682,BALANCE!V873,SYS_4_3_Digitos!$N$5:$N$1682)</f>
        <v>0</v>
      </c>
      <c r="Z873" s="666"/>
      <c r="AA873" s="661">
        <v>4015</v>
      </c>
      <c r="AB873" s="672">
        <f>+SUMIF(SYS_4_3_Digitos!$M$5:$M$1682,BALANCE!AA873,SYS_4_3_Digitos!$N$5:$N$1682)</f>
        <v>0</v>
      </c>
    </row>
    <row r="874" spans="22:28" hidden="1">
      <c r="V874" s="661">
        <v>3159</v>
      </c>
      <c r="W874" s="662">
        <f>+SUMIF(SYS_4_3_Digitos!$M$5:$M$1682,BALANCE!V874,SYS_4_3_Digitos!$N$5:$N$1682)</f>
        <v>0</v>
      </c>
      <c r="Z874" s="666"/>
      <c r="AA874" s="661">
        <v>4016</v>
      </c>
      <c r="AB874" s="672">
        <f>+SUMIF(SYS_4_3_Digitos!$M$5:$M$1682,BALANCE!AA874,SYS_4_3_Digitos!$N$5:$N$1682)</f>
        <v>0</v>
      </c>
    </row>
    <row r="875" spans="22:28" hidden="1">
      <c r="V875" s="661">
        <v>3160</v>
      </c>
      <c r="W875" s="662">
        <f>+SUMIF(SYS_4_3_Digitos!$M$5:$M$1682,BALANCE!V875,SYS_4_3_Digitos!$N$5:$N$1682)</f>
        <v>0</v>
      </c>
      <c r="Z875" s="666"/>
      <c r="AA875" s="661">
        <v>4017</v>
      </c>
      <c r="AB875" s="672">
        <f>+SUMIF(SYS_4_3_Digitos!$M$5:$M$1682,BALANCE!AA875,SYS_4_3_Digitos!$N$5:$N$1682)</f>
        <v>0</v>
      </c>
    </row>
    <row r="876" spans="22:28" hidden="1">
      <c r="V876" s="661">
        <v>3161</v>
      </c>
      <c r="W876" s="662">
        <f>+SUMIF(SYS_4_3_Digitos!$M$5:$M$1682,BALANCE!V876,SYS_4_3_Digitos!$N$5:$N$1682)</f>
        <v>0</v>
      </c>
      <c r="Z876" s="666"/>
      <c r="AA876" s="661">
        <v>4018</v>
      </c>
      <c r="AB876" s="672">
        <f>+SUMIF(SYS_4_3_Digitos!$M$5:$M$1682,BALANCE!AA876,SYS_4_3_Digitos!$N$5:$N$1682)</f>
        <v>0</v>
      </c>
    </row>
    <row r="877" spans="22:28" hidden="1">
      <c r="V877" s="661">
        <v>3162</v>
      </c>
      <c r="W877" s="662">
        <f>+SUMIF(SYS_4_3_Digitos!$M$5:$M$1682,BALANCE!V877,SYS_4_3_Digitos!$N$5:$N$1682)</f>
        <v>0</v>
      </c>
      <c r="Z877" s="666"/>
      <c r="AA877" s="661">
        <v>4019</v>
      </c>
      <c r="AB877" s="672">
        <f>+SUMIF(SYS_4_3_Digitos!$M$5:$M$1682,BALANCE!AA877,SYS_4_3_Digitos!$N$5:$N$1682)</f>
        <v>0</v>
      </c>
    </row>
    <row r="878" spans="22:28" hidden="1">
      <c r="V878" s="661">
        <v>3163</v>
      </c>
      <c r="W878" s="662">
        <f>+SUMIF(SYS_4_3_Digitos!$M$5:$M$1682,BALANCE!V878,SYS_4_3_Digitos!$N$5:$N$1682)</f>
        <v>0</v>
      </c>
      <c r="Z878" s="666"/>
      <c r="AA878" s="661">
        <v>4050</v>
      </c>
      <c r="AB878" s="672">
        <f ca="1">+SUMIF(SYS_4_3_Digitos!$M$5:$M$1682,BALANCE!AA878,SYS_4_3_Digitos!$N$5:$N$1682)</f>
        <v>0</v>
      </c>
    </row>
    <row r="879" spans="22:28" hidden="1">
      <c r="V879" s="661">
        <v>3164</v>
      </c>
      <c r="W879" s="662">
        <f>+SUMIF(SYS_4_3_Digitos!$M$5:$M$1682,BALANCE!V879,SYS_4_3_Digitos!$N$5:$N$1682)</f>
        <v>0</v>
      </c>
      <c r="Z879" s="666"/>
      <c r="AA879" s="661">
        <v>4051</v>
      </c>
      <c r="AB879" s="672">
        <f>+SUMIF(SYS_4_3_Digitos!$M$5:$M$1682,BALANCE!AA879,SYS_4_3_Digitos!$N$5:$N$1682)</f>
        <v>0</v>
      </c>
    </row>
    <row r="880" spans="22:28" hidden="1">
      <c r="V880" s="661">
        <v>3165</v>
      </c>
      <c r="W880" s="662">
        <f>+SUMIF(SYS_4_3_Digitos!$M$5:$M$1682,BALANCE!V880,SYS_4_3_Digitos!$N$5:$N$1682)</f>
        <v>0</v>
      </c>
      <c r="Z880" s="666"/>
      <c r="AA880" s="661">
        <v>4052</v>
      </c>
      <c r="AB880" s="672">
        <f>+SUMIF(SYS_4_3_Digitos!$M$5:$M$1682,BALANCE!AA880,SYS_4_3_Digitos!$N$5:$N$1682)</f>
        <v>0</v>
      </c>
    </row>
    <row r="881" spans="22:28" hidden="1">
      <c r="V881" s="661">
        <v>3166</v>
      </c>
      <c r="W881" s="662">
        <f>+SUMIF(SYS_4_3_Digitos!$M$5:$M$1682,BALANCE!V881,SYS_4_3_Digitos!$N$5:$N$1682)</f>
        <v>0</v>
      </c>
      <c r="Z881" s="666"/>
      <c r="AA881" s="661">
        <v>4053</v>
      </c>
      <c r="AB881" s="672">
        <f>+SUMIF(SYS_4_3_Digitos!$M$5:$M$1682,BALANCE!AA881,SYS_4_3_Digitos!$N$5:$N$1682)</f>
        <v>0</v>
      </c>
    </row>
    <row r="882" spans="22:28" hidden="1">
      <c r="V882" s="661">
        <v>3167</v>
      </c>
      <c r="W882" s="662">
        <f>+SUMIF(SYS_4_3_Digitos!$M$5:$M$1682,BALANCE!V882,SYS_4_3_Digitos!$N$5:$N$1682)</f>
        <v>0</v>
      </c>
      <c r="Z882" s="666"/>
      <c r="AA882" s="661">
        <v>4054</v>
      </c>
      <c r="AB882" s="672">
        <f>+SUMIF(SYS_4_3_Digitos!$M$5:$M$1682,BALANCE!AA882,SYS_4_3_Digitos!$N$5:$N$1682)</f>
        <v>0</v>
      </c>
    </row>
    <row r="883" spans="22:28" hidden="1">
      <c r="V883" s="661">
        <v>3168</v>
      </c>
      <c r="W883" s="662">
        <f>+SUMIF(SYS_4_3_Digitos!$M$5:$M$1682,BALANCE!V883,SYS_4_3_Digitos!$N$5:$N$1682)</f>
        <v>0</v>
      </c>
      <c r="Z883" s="666"/>
      <c r="AA883" s="661">
        <v>4055</v>
      </c>
      <c r="AB883" s="672">
        <f>+SUMIF(SYS_4_3_Digitos!$M$5:$M$1682,BALANCE!AA883,SYS_4_3_Digitos!$N$5:$N$1682)</f>
        <v>0</v>
      </c>
    </row>
    <row r="884" spans="22:28" hidden="1">
      <c r="V884" s="661">
        <v>3169</v>
      </c>
      <c r="W884" s="662">
        <f>+SUMIF(SYS_4_3_Digitos!$M$5:$M$1682,BALANCE!V884,SYS_4_3_Digitos!$N$5:$N$1682)</f>
        <v>0</v>
      </c>
      <c r="Z884" s="666"/>
      <c r="AA884" s="661">
        <v>4056</v>
      </c>
      <c r="AB884" s="672">
        <f>+SUMIF(SYS_4_3_Digitos!$M$5:$M$1682,BALANCE!AA884,SYS_4_3_Digitos!$N$5:$N$1682)</f>
        <v>0</v>
      </c>
    </row>
    <row r="885" spans="22:28" hidden="1">
      <c r="V885" s="661">
        <v>3170</v>
      </c>
      <c r="W885" s="662">
        <f>+SUMIF(SYS_4_3_Digitos!$M$5:$M$1682,BALANCE!V885,SYS_4_3_Digitos!$N$5:$N$1682)</f>
        <v>0</v>
      </c>
      <c r="Z885" s="666"/>
      <c r="AA885" s="661">
        <v>4057</v>
      </c>
      <c r="AB885" s="672">
        <f>+SUMIF(SYS_4_3_Digitos!$M$5:$M$1682,BALANCE!AA885,SYS_4_3_Digitos!$N$5:$N$1682)</f>
        <v>0</v>
      </c>
    </row>
    <row r="886" spans="22:28" hidden="1">
      <c r="V886" s="661">
        <v>3171</v>
      </c>
      <c r="W886" s="662">
        <f>+SUMIF(SYS_4_3_Digitos!$M$5:$M$1682,BALANCE!V886,SYS_4_3_Digitos!$N$5:$N$1682)</f>
        <v>0</v>
      </c>
      <c r="Z886" s="666"/>
      <c r="AA886" s="661">
        <v>4058</v>
      </c>
      <c r="AB886" s="672">
        <f>+SUMIF(SYS_4_3_Digitos!$M$5:$M$1682,BALANCE!AA886,SYS_4_3_Digitos!$N$5:$N$1682)</f>
        <v>0</v>
      </c>
    </row>
    <row r="887" spans="22:28" hidden="1">
      <c r="V887" s="661">
        <v>3172</v>
      </c>
      <c r="W887" s="662">
        <f>+SUMIF(SYS_4_3_Digitos!$M$5:$M$1682,BALANCE!V887,SYS_4_3_Digitos!$N$5:$N$1682)</f>
        <v>0</v>
      </c>
      <c r="Z887" s="666"/>
      <c r="AA887" s="661">
        <v>4059</v>
      </c>
      <c r="AB887" s="672">
        <f>+SUMIF(SYS_4_3_Digitos!$M$5:$M$1682,BALANCE!AA887,SYS_4_3_Digitos!$N$5:$N$1682)</f>
        <v>0</v>
      </c>
    </row>
    <row r="888" spans="22:28" hidden="1">
      <c r="V888" s="661">
        <v>3173</v>
      </c>
      <c r="W888" s="662">
        <f>+SUMIF(SYS_4_3_Digitos!$M$5:$M$1682,BALANCE!V888,SYS_4_3_Digitos!$N$5:$N$1682)</f>
        <v>0</v>
      </c>
      <c r="Z888" s="666"/>
      <c r="AA888" s="661">
        <v>4060</v>
      </c>
      <c r="AB888" s="672">
        <f ca="1">+SUMIF(SYS_4_3_Digitos!$M$5:$M$1682,BALANCE!AA888,SYS_4_3_Digitos!$N$5:$N$1682)</f>
        <v>0</v>
      </c>
    </row>
    <row r="889" spans="22:28" hidden="1">
      <c r="V889" s="661">
        <v>3174</v>
      </c>
      <c r="W889" s="662">
        <f>+SUMIF(SYS_4_3_Digitos!$M$5:$M$1682,BALANCE!V889,SYS_4_3_Digitos!$N$5:$N$1682)</f>
        <v>0</v>
      </c>
      <c r="Z889" s="666"/>
      <c r="AA889" s="661">
        <v>4061</v>
      </c>
      <c r="AB889" s="672">
        <f>+SUMIF(SYS_4_3_Digitos!$M$5:$M$1682,BALANCE!AA889,SYS_4_3_Digitos!$N$5:$N$1682)</f>
        <v>0</v>
      </c>
    </row>
    <row r="890" spans="22:28" hidden="1">
      <c r="V890" s="661">
        <v>3175</v>
      </c>
      <c r="W890" s="662">
        <f>+SUMIF(SYS_4_3_Digitos!$M$5:$M$1682,BALANCE!V890,SYS_4_3_Digitos!$N$5:$N$1682)</f>
        <v>0</v>
      </c>
      <c r="Z890" s="666"/>
      <c r="AA890" s="661">
        <v>4062</v>
      </c>
      <c r="AB890" s="672">
        <f>+SUMIF(SYS_4_3_Digitos!$M$5:$M$1682,BALANCE!AA890,SYS_4_3_Digitos!$N$5:$N$1682)</f>
        <v>0</v>
      </c>
    </row>
    <row r="891" spans="22:28" hidden="1">
      <c r="V891" s="661">
        <v>3176</v>
      </c>
      <c r="W891" s="662">
        <f>+SUMIF(SYS_4_3_Digitos!$M$5:$M$1682,BALANCE!V891,SYS_4_3_Digitos!$N$5:$N$1682)</f>
        <v>0</v>
      </c>
      <c r="Z891" s="666"/>
      <c r="AA891" s="661">
        <v>4063</v>
      </c>
      <c r="AB891" s="672">
        <f>+SUMIF(SYS_4_3_Digitos!$M$5:$M$1682,BALANCE!AA891,SYS_4_3_Digitos!$N$5:$N$1682)</f>
        <v>0</v>
      </c>
    </row>
    <row r="892" spans="22:28" hidden="1">
      <c r="V892" s="661">
        <v>3177</v>
      </c>
      <c r="W892" s="662">
        <f>+SUMIF(SYS_4_3_Digitos!$M$5:$M$1682,BALANCE!V892,SYS_4_3_Digitos!$N$5:$N$1682)</f>
        <v>0</v>
      </c>
      <c r="Z892" s="666"/>
      <c r="AA892" s="661">
        <v>4064</v>
      </c>
      <c r="AB892" s="672">
        <f>+SUMIF(SYS_4_3_Digitos!$M$5:$M$1682,BALANCE!AA892,SYS_4_3_Digitos!$N$5:$N$1682)</f>
        <v>0</v>
      </c>
    </row>
    <row r="893" spans="22:28" hidden="1">
      <c r="V893" s="661">
        <v>3178</v>
      </c>
      <c r="W893" s="662">
        <f>+SUMIF(SYS_4_3_Digitos!$M$5:$M$1682,BALANCE!V893,SYS_4_3_Digitos!$N$5:$N$1682)</f>
        <v>0</v>
      </c>
      <c r="Z893" s="666"/>
      <c r="AA893" s="661">
        <v>4065</v>
      </c>
      <c r="AB893" s="672">
        <f>+SUMIF(SYS_4_3_Digitos!$M$5:$M$1682,BALANCE!AA893,SYS_4_3_Digitos!$N$5:$N$1682)</f>
        <v>0</v>
      </c>
    </row>
    <row r="894" spans="22:28" hidden="1">
      <c r="V894" s="661">
        <v>3179</v>
      </c>
      <c r="W894" s="662">
        <f>+SUMIF(SYS_4_3_Digitos!$M$5:$M$1682,BALANCE!V894,SYS_4_3_Digitos!$N$5:$N$1682)</f>
        <v>0</v>
      </c>
      <c r="Z894" s="666"/>
      <c r="AA894" s="661">
        <v>4066</v>
      </c>
      <c r="AB894" s="672">
        <f>+SUMIF(SYS_4_3_Digitos!$M$5:$M$1682,BALANCE!AA894,SYS_4_3_Digitos!$N$5:$N$1682)</f>
        <v>0</v>
      </c>
    </row>
    <row r="895" spans="22:28" hidden="1">
      <c r="V895" s="661">
        <v>3180</v>
      </c>
      <c r="W895" s="662">
        <f>+SUMIF(SYS_4_3_Digitos!$M$5:$M$1682,BALANCE!V895,SYS_4_3_Digitos!$N$5:$N$1682)</f>
        <v>0</v>
      </c>
      <c r="Z895" s="666"/>
      <c r="AA895" s="661">
        <v>4067</v>
      </c>
      <c r="AB895" s="672">
        <f>+SUMIF(SYS_4_3_Digitos!$M$5:$M$1682,BALANCE!AA895,SYS_4_3_Digitos!$N$5:$N$1682)</f>
        <v>0</v>
      </c>
    </row>
    <row r="896" spans="22:28" hidden="1">
      <c r="V896" s="661">
        <v>3181</v>
      </c>
      <c r="W896" s="662">
        <f>+SUMIF(SYS_4_3_Digitos!$M$5:$M$1682,BALANCE!V896,SYS_4_3_Digitos!$N$5:$N$1682)</f>
        <v>0</v>
      </c>
      <c r="Z896" s="666"/>
      <c r="AA896" s="661">
        <v>4068</v>
      </c>
      <c r="AB896" s="672">
        <f>+SUMIF(SYS_4_3_Digitos!$M$5:$M$1682,BALANCE!AA896,SYS_4_3_Digitos!$N$5:$N$1682)</f>
        <v>0</v>
      </c>
    </row>
    <row r="897" spans="22:28" hidden="1">
      <c r="V897" s="661">
        <v>3182</v>
      </c>
      <c r="W897" s="662">
        <f>+SUMIF(SYS_4_3_Digitos!$M$5:$M$1682,BALANCE!V897,SYS_4_3_Digitos!$N$5:$N$1682)</f>
        <v>0</v>
      </c>
      <c r="Z897" s="666"/>
      <c r="AA897" s="661">
        <v>4069</v>
      </c>
      <c r="AB897" s="672">
        <f>+SUMIF(SYS_4_3_Digitos!$M$5:$M$1682,BALANCE!AA897,SYS_4_3_Digitos!$N$5:$N$1682)</f>
        <v>0</v>
      </c>
    </row>
    <row r="898" spans="22:28" hidden="1">
      <c r="V898" s="661">
        <v>3183</v>
      </c>
      <c r="W898" s="662">
        <f>+SUMIF(SYS_4_3_Digitos!$M$5:$M$1682,BALANCE!V898,SYS_4_3_Digitos!$N$5:$N$1682)</f>
        <v>0</v>
      </c>
      <c r="Z898" s="666"/>
      <c r="AA898" s="723">
        <v>4090</v>
      </c>
      <c r="AB898" s="672">
        <f>+SUMIF(SYS_4_3_Digitos!$M$5:$M$1682,BALANCE!AA898,SYS_4_3_Digitos!$N$5:$N$1682)</f>
        <v>0</v>
      </c>
    </row>
    <row r="899" spans="22:28" hidden="1">
      <c r="V899" s="661">
        <v>3184</v>
      </c>
      <c r="W899" s="662">
        <f>+SUMIF(SYS_4_3_Digitos!$M$5:$M$1682,BALANCE!V899,SYS_4_3_Digitos!$N$5:$N$1682)</f>
        <v>0</v>
      </c>
      <c r="Z899" s="666"/>
      <c r="AA899" s="723">
        <v>4091</v>
      </c>
      <c r="AB899" s="672">
        <f>+SUMIF(SYS_4_3_Digitos!$M$5:$M$1682,BALANCE!AA899,SYS_4_3_Digitos!$N$5:$N$1682)</f>
        <v>0</v>
      </c>
    </row>
    <row r="900" spans="22:28" hidden="1">
      <c r="V900" s="661">
        <v>3185</v>
      </c>
      <c r="W900" s="662">
        <f>+SUMIF(SYS_4_3_Digitos!$M$5:$M$1682,BALANCE!V900,SYS_4_3_Digitos!$N$5:$N$1682)</f>
        <v>0</v>
      </c>
      <c r="Z900" s="666"/>
      <c r="AA900" s="723">
        <v>4092</v>
      </c>
      <c r="AB900" s="672">
        <f>+SUMIF(SYS_4_3_Digitos!$M$5:$M$1682,BALANCE!AA900,SYS_4_3_Digitos!$N$5:$N$1682)</f>
        <v>0</v>
      </c>
    </row>
    <row r="901" spans="22:28" hidden="1">
      <c r="V901" s="661">
        <v>3186</v>
      </c>
      <c r="W901" s="662">
        <f>+SUMIF(SYS_4_3_Digitos!$M$5:$M$1682,BALANCE!V901,SYS_4_3_Digitos!$N$5:$N$1682)</f>
        <v>0</v>
      </c>
      <c r="Z901" s="666"/>
      <c r="AA901" s="723">
        <v>4093</v>
      </c>
      <c r="AB901" s="672">
        <f>+SUMIF(SYS_4_3_Digitos!$M$5:$M$1682,BALANCE!AA901,SYS_4_3_Digitos!$N$5:$N$1682)</f>
        <v>0</v>
      </c>
    </row>
    <row r="902" spans="22:28" hidden="1">
      <c r="V902" s="661">
        <v>3187</v>
      </c>
      <c r="W902" s="662">
        <f>+SUMIF(SYS_4_3_Digitos!$M$5:$M$1682,BALANCE!V902,SYS_4_3_Digitos!$N$5:$N$1682)</f>
        <v>0</v>
      </c>
      <c r="Z902" s="666"/>
      <c r="AA902" s="723">
        <v>4094</v>
      </c>
      <c r="AB902" s="672">
        <f>+SUMIF(SYS_4_3_Digitos!$M$5:$M$1682,BALANCE!AA902,SYS_4_3_Digitos!$N$5:$N$1682)</f>
        <v>0</v>
      </c>
    </row>
    <row r="903" spans="22:28" hidden="1">
      <c r="V903" s="661">
        <v>3188</v>
      </c>
      <c r="W903" s="662">
        <f>+SUMIF(SYS_4_3_Digitos!$M$5:$M$1682,BALANCE!V903,SYS_4_3_Digitos!$N$5:$N$1682)</f>
        <v>0</v>
      </c>
      <c r="Z903" s="666"/>
      <c r="AA903" s="723">
        <v>4095</v>
      </c>
      <c r="AB903" s="672">
        <f>+SUMIF(SYS_4_3_Digitos!$M$5:$M$1682,BALANCE!AA903,SYS_4_3_Digitos!$N$5:$N$1682)</f>
        <v>0</v>
      </c>
    </row>
    <row r="904" spans="22:28" hidden="1">
      <c r="V904" s="661">
        <v>3189</v>
      </c>
      <c r="W904" s="662">
        <f>+SUMIF(SYS_4_3_Digitos!$M$5:$M$1682,BALANCE!V904,SYS_4_3_Digitos!$N$5:$N$1682)</f>
        <v>0</v>
      </c>
      <c r="Z904" s="666"/>
      <c r="AA904" s="723">
        <v>4096</v>
      </c>
      <c r="AB904" s="672">
        <f>+SUMIF(SYS_4_3_Digitos!$M$5:$M$1682,BALANCE!AA904,SYS_4_3_Digitos!$N$5:$N$1682)</f>
        <v>0</v>
      </c>
    </row>
    <row r="905" spans="22:28" hidden="1">
      <c r="V905" s="661">
        <v>3190</v>
      </c>
      <c r="W905" s="662">
        <f>+SUMIF(SYS_4_3_Digitos!$M$5:$M$1682,BALANCE!V905,SYS_4_3_Digitos!$N$5:$N$1682)</f>
        <v>0</v>
      </c>
      <c r="Z905" s="666"/>
      <c r="AA905" s="723">
        <v>4097</v>
      </c>
      <c r="AB905" s="672">
        <f>+SUMIF(SYS_4_3_Digitos!$M$5:$M$1682,BALANCE!AA905,SYS_4_3_Digitos!$N$5:$N$1682)</f>
        <v>0</v>
      </c>
    </row>
    <row r="906" spans="22:28" hidden="1">
      <c r="V906" s="661">
        <v>3191</v>
      </c>
      <c r="W906" s="662">
        <f>+SUMIF(SYS_4_3_Digitos!$M$5:$M$1682,BALANCE!V906,SYS_4_3_Digitos!$N$5:$N$1682)</f>
        <v>0</v>
      </c>
      <c r="Z906" s="666"/>
      <c r="AA906" s="723">
        <v>4098</v>
      </c>
      <c r="AB906" s="672">
        <f>+SUMIF(SYS_4_3_Digitos!$M$5:$M$1682,BALANCE!AA906,SYS_4_3_Digitos!$N$5:$N$1682)</f>
        <v>0</v>
      </c>
    </row>
    <row r="907" spans="22:28" hidden="1">
      <c r="V907" s="661">
        <v>3192</v>
      </c>
      <c r="W907" s="662">
        <f>+SUMIF(SYS_4_3_Digitos!$M$5:$M$1682,BALANCE!V907,SYS_4_3_Digitos!$N$5:$N$1682)</f>
        <v>0</v>
      </c>
      <c r="Z907" s="666"/>
      <c r="AA907" s="723">
        <v>4099</v>
      </c>
      <c r="AB907" s="672">
        <f>+SUMIF(SYS_4_3_Digitos!$M$5:$M$1682,BALANCE!AA907,SYS_4_3_Digitos!$N$5:$N$1682)</f>
        <v>0</v>
      </c>
    </row>
    <row r="908" spans="22:28" hidden="1">
      <c r="V908" s="661">
        <v>3193</v>
      </c>
      <c r="W908" s="662">
        <f>+SUMIF(SYS_4_3_Digitos!$M$5:$M$1682,BALANCE!V908,SYS_4_3_Digitos!$N$5:$N$1682)</f>
        <v>0</v>
      </c>
      <c r="Z908" s="666" t="s">
        <v>163</v>
      </c>
      <c r="AA908" s="653" t="s">
        <v>100</v>
      </c>
      <c r="AB908" s="667">
        <f ca="1">SUM(AB909:AB928)</f>
        <v>0</v>
      </c>
    </row>
    <row r="909" spans="22:28" hidden="1">
      <c r="V909" s="661">
        <v>3194</v>
      </c>
      <c r="W909" s="662">
        <f>+SUMIF(SYS_4_3_Digitos!$M$5:$M$1682,BALANCE!V909,SYS_4_3_Digitos!$N$5:$N$1682)</f>
        <v>0</v>
      </c>
      <c r="Z909" s="666"/>
      <c r="AA909" s="661">
        <v>4030</v>
      </c>
      <c r="AB909" s="672">
        <f ca="1">+SUMIF(SYS_4_3_Digitos!$M$5:$M$1682,BALANCE!AA909,SYS_4_3_Digitos!$N$5:$N$1682)</f>
        <v>0</v>
      </c>
    </row>
    <row r="910" spans="22:28" hidden="1">
      <c r="V910" s="661">
        <v>3195</v>
      </c>
      <c r="W910" s="662">
        <f>+SUMIF(SYS_4_3_Digitos!$M$5:$M$1682,BALANCE!V910,SYS_4_3_Digitos!$N$5:$N$1682)</f>
        <v>0</v>
      </c>
      <c r="Z910" s="666"/>
      <c r="AA910" s="661">
        <v>4031</v>
      </c>
      <c r="AB910" s="672">
        <f>+SUMIF(SYS_4_3_Digitos!$M$5:$M$1682,BALANCE!AA910,SYS_4_3_Digitos!$N$5:$N$1682)</f>
        <v>0</v>
      </c>
    </row>
    <row r="911" spans="22:28" hidden="1">
      <c r="V911" s="661">
        <v>3196</v>
      </c>
      <c r="W911" s="662">
        <f>+SUMIF(SYS_4_3_Digitos!$M$5:$M$1682,BALANCE!V911,SYS_4_3_Digitos!$N$5:$N$1682)</f>
        <v>0</v>
      </c>
      <c r="Z911" s="666"/>
      <c r="AA911" s="661">
        <v>4032</v>
      </c>
      <c r="AB911" s="672">
        <f>+SUMIF(SYS_4_3_Digitos!$M$5:$M$1682,BALANCE!AA911,SYS_4_3_Digitos!$N$5:$N$1682)</f>
        <v>0</v>
      </c>
    </row>
    <row r="912" spans="22:28" hidden="1">
      <c r="V912" s="661">
        <v>3197</v>
      </c>
      <c r="W912" s="662">
        <f>+SUMIF(SYS_4_3_Digitos!$M$5:$M$1682,BALANCE!V912,SYS_4_3_Digitos!$N$5:$N$1682)</f>
        <v>0</v>
      </c>
      <c r="Z912" s="666"/>
      <c r="AA912" s="661">
        <v>4033</v>
      </c>
      <c r="AB912" s="672">
        <f>+SUMIF(SYS_4_3_Digitos!$M$5:$M$1682,BALANCE!AA912,SYS_4_3_Digitos!$N$5:$N$1682)</f>
        <v>0</v>
      </c>
    </row>
    <row r="913" spans="22:28" hidden="1">
      <c r="V913" s="661">
        <v>3198</v>
      </c>
      <c r="W913" s="662">
        <f>+SUMIF(SYS_4_3_Digitos!$M$5:$M$1682,BALANCE!V913,SYS_4_3_Digitos!$N$5:$N$1682)</f>
        <v>0</v>
      </c>
      <c r="Z913" s="666"/>
      <c r="AA913" s="661">
        <v>4034</v>
      </c>
      <c r="AB913" s="672">
        <f>+SUMIF(SYS_4_3_Digitos!$M$5:$M$1682,BALANCE!AA913,SYS_4_3_Digitos!$N$5:$N$1682)</f>
        <v>0</v>
      </c>
    </row>
    <row r="914" spans="22:28" hidden="1">
      <c r="V914" s="661">
        <v>3199</v>
      </c>
      <c r="W914" s="662">
        <f>+SUMIF(SYS_4_3_Digitos!$M$5:$M$1682,BALANCE!V914,SYS_4_3_Digitos!$N$5:$N$1682)</f>
        <v>0</v>
      </c>
      <c r="Z914" s="666"/>
      <c r="AA914" s="661">
        <v>4035</v>
      </c>
      <c r="AB914" s="672">
        <f>+SUMIF(SYS_4_3_Digitos!$M$5:$M$1682,BALANCE!AA914,SYS_4_3_Digitos!$N$5:$N$1682)</f>
        <v>0</v>
      </c>
    </row>
    <row r="915" spans="22:28" hidden="1">
      <c r="V915" s="661">
        <v>3200</v>
      </c>
      <c r="W915" s="662">
        <f ca="1">+SUMIF(SYS_4_3_Digitos!$M$5:$M$1682,BALANCE!V915,SYS_4_3_Digitos!$N$5:$N$1682)</f>
        <v>254479.54</v>
      </c>
      <c r="Z915" s="666"/>
      <c r="AA915" s="661">
        <v>4036</v>
      </c>
      <c r="AB915" s="672">
        <f>+SUMIF(SYS_4_3_Digitos!$M$5:$M$1682,BALANCE!AA915,SYS_4_3_Digitos!$N$5:$N$1682)</f>
        <v>0</v>
      </c>
    </row>
    <row r="916" spans="22:28" hidden="1">
      <c r="V916" s="661">
        <v>3201</v>
      </c>
      <c r="W916" s="662">
        <f>+SUMIF(SYS_4_3_Digitos!$M$5:$M$1682,BALANCE!V916,SYS_4_3_Digitos!$N$5:$N$1682)</f>
        <v>0</v>
      </c>
      <c r="Z916" s="666"/>
      <c r="AA916" s="661">
        <v>4037</v>
      </c>
      <c r="AB916" s="672">
        <f>+SUMIF(SYS_4_3_Digitos!$M$5:$M$1682,BALANCE!AA916,SYS_4_3_Digitos!$N$5:$N$1682)</f>
        <v>0</v>
      </c>
    </row>
    <row r="917" spans="22:28" hidden="1">
      <c r="V917" s="661">
        <v>3202</v>
      </c>
      <c r="W917" s="662">
        <f>+SUMIF(SYS_4_3_Digitos!$M$5:$M$1682,BALANCE!V917,SYS_4_3_Digitos!$N$5:$N$1682)</f>
        <v>0</v>
      </c>
      <c r="Z917" s="666"/>
      <c r="AA917" s="661">
        <v>4038</v>
      </c>
      <c r="AB917" s="672">
        <f>+SUMIF(SYS_4_3_Digitos!$M$5:$M$1682,BALANCE!AA917,SYS_4_3_Digitos!$N$5:$N$1682)</f>
        <v>0</v>
      </c>
    </row>
    <row r="918" spans="22:28" hidden="1">
      <c r="V918" s="661">
        <v>3203</v>
      </c>
      <c r="W918" s="662">
        <f>+SUMIF(SYS_4_3_Digitos!$M$5:$M$1682,BALANCE!V918,SYS_4_3_Digitos!$N$5:$N$1682)</f>
        <v>0</v>
      </c>
      <c r="Z918" s="666"/>
      <c r="AA918" s="661">
        <v>4039</v>
      </c>
      <c r="AB918" s="672">
        <f>+SUMIF(SYS_4_3_Digitos!$M$5:$M$1682,BALANCE!AA918,SYS_4_3_Digitos!$N$5:$N$1682)</f>
        <v>0</v>
      </c>
    </row>
    <row r="919" spans="22:28" hidden="1">
      <c r="V919" s="661">
        <v>3204</v>
      </c>
      <c r="W919" s="662">
        <f>+SUMIF(SYS_4_3_Digitos!$M$5:$M$1682,BALANCE!V919,SYS_4_3_Digitos!$N$5:$N$1682)</f>
        <v>0</v>
      </c>
      <c r="Z919" s="666"/>
      <c r="AA919" s="661">
        <v>4040</v>
      </c>
      <c r="AB919" s="672">
        <f ca="1">+SUMIF(SYS_4_3_Digitos!$M$5:$M$1682,BALANCE!AA919,SYS_4_3_Digitos!$N$5:$N$1682)</f>
        <v>0</v>
      </c>
    </row>
    <row r="920" spans="22:28" hidden="1">
      <c r="V920" s="661">
        <v>3205</v>
      </c>
      <c r="W920" s="662">
        <f>+SUMIF(SYS_4_3_Digitos!$M$5:$M$1682,BALANCE!V920,SYS_4_3_Digitos!$N$5:$N$1682)</f>
        <v>0</v>
      </c>
      <c r="Z920" s="666"/>
      <c r="AA920" s="661">
        <v>4041</v>
      </c>
      <c r="AB920" s="672">
        <f>+SUMIF(SYS_4_3_Digitos!$M$5:$M$1682,BALANCE!AA920,SYS_4_3_Digitos!$N$5:$N$1682)</f>
        <v>0</v>
      </c>
    </row>
    <row r="921" spans="22:28" hidden="1">
      <c r="V921" s="661">
        <v>3206</v>
      </c>
      <c r="W921" s="662">
        <f>+SUMIF(SYS_4_3_Digitos!$M$5:$M$1682,BALANCE!V921,SYS_4_3_Digitos!$N$5:$N$1682)</f>
        <v>0</v>
      </c>
      <c r="Z921" s="666"/>
      <c r="AA921" s="661">
        <v>4042</v>
      </c>
      <c r="AB921" s="672">
        <f>+SUMIF(SYS_4_3_Digitos!$M$5:$M$1682,BALANCE!AA921,SYS_4_3_Digitos!$N$5:$N$1682)</f>
        <v>0</v>
      </c>
    </row>
    <row r="922" spans="22:28" hidden="1">
      <c r="V922" s="661">
        <v>3207</v>
      </c>
      <c r="W922" s="662">
        <f>+SUMIF(SYS_4_3_Digitos!$M$5:$M$1682,BALANCE!V922,SYS_4_3_Digitos!$N$5:$N$1682)</f>
        <v>0</v>
      </c>
      <c r="Z922" s="666"/>
      <c r="AA922" s="661">
        <v>4043</v>
      </c>
      <c r="AB922" s="672">
        <f>+SUMIF(SYS_4_3_Digitos!$M$5:$M$1682,BALANCE!AA922,SYS_4_3_Digitos!$N$5:$N$1682)</f>
        <v>0</v>
      </c>
    </row>
    <row r="923" spans="22:28" hidden="1">
      <c r="V923" s="661">
        <v>3208</v>
      </c>
      <c r="W923" s="662">
        <f>+SUMIF(SYS_4_3_Digitos!$M$5:$M$1682,BALANCE!V923,SYS_4_3_Digitos!$N$5:$N$1682)</f>
        <v>0</v>
      </c>
      <c r="Z923" s="666"/>
      <c r="AA923" s="661">
        <v>4044</v>
      </c>
      <c r="AB923" s="672">
        <f>+SUMIF(SYS_4_3_Digitos!$M$5:$M$1682,BALANCE!AA923,SYS_4_3_Digitos!$N$5:$N$1682)</f>
        <v>0</v>
      </c>
    </row>
    <row r="924" spans="22:28" hidden="1">
      <c r="V924" s="661">
        <v>3209</v>
      </c>
      <c r="W924" s="662">
        <f>+SUMIF(SYS_4_3_Digitos!$M$5:$M$1682,BALANCE!V924,SYS_4_3_Digitos!$N$5:$N$1682)</f>
        <v>0</v>
      </c>
      <c r="Z924" s="666"/>
      <c r="AA924" s="661">
        <v>4045</v>
      </c>
      <c r="AB924" s="672">
        <f>+SUMIF(SYS_4_3_Digitos!$M$5:$M$1682,BALANCE!AA924,SYS_4_3_Digitos!$N$5:$N$1682)</f>
        <v>0</v>
      </c>
    </row>
    <row r="925" spans="22:28" hidden="1">
      <c r="V925" s="661">
        <v>3210</v>
      </c>
      <c r="W925" s="662">
        <f>+SUMIF(SYS_4_3_Digitos!$M$5:$M$1682,BALANCE!V925,SYS_4_3_Digitos!$N$5:$N$1682)</f>
        <v>0</v>
      </c>
      <c r="Z925" s="666"/>
      <c r="AA925" s="661">
        <v>4046</v>
      </c>
      <c r="AB925" s="672">
        <f>+SUMIF(SYS_4_3_Digitos!$M$5:$M$1682,BALANCE!AA925,SYS_4_3_Digitos!$N$5:$N$1682)</f>
        <v>0</v>
      </c>
    </row>
    <row r="926" spans="22:28" hidden="1">
      <c r="V926" s="661">
        <v>3211</v>
      </c>
      <c r="W926" s="662">
        <f>+SUMIF(SYS_4_3_Digitos!$M$5:$M$1682,BALANCE!V926,SYS_4_3_Digitos!$N$5:$N$1682)</f>
        <v>0</v>
      </c>
      <c r="Z926" s="666"/>
      <c r="AA926" s="661">
        <v>4047</v>
      </c>
      <c r="AB926" s="672">
        <f>+SUMIF(SYS_4_3_Digitos!$M$5:$M$1682,BALANCE!AA926,SYS_4_3_Digitos!$N$5:$N$1682)</f>
        <v>0</v>
      </c>
    </row>
    <row r="927" spans="22:28" hidden="1">
      <c r="V927" s="661">
        <v>3212</v>
      </c>
      <c r="W927" s="662">
        <f>+SUMIF(SYS_4_3_Digitos!$M$5:$M$1682,BALANCE!V927,SYS_4_3_Digitos!$N$5:$N$1682)</f>
        <v>0</v>
      </c>
      <c r="Z927" s="666"/>
      <c r="AA927" s="661">
        <v>4048</v>
      </c>
      <c r="AB927" s="672">
        <f>+SUMIF(SYS_4_3_Digitos!$M$5:$M$1682,BALANCE!AA927,SYS_4_3_Digitos!$N$5:$N$1682)</f>
        <v>0</v>
      </c>
    </row>
    <row r="928" spans="22:28" hidden="1">
      <c r="V928" s="661">
        <v>3213</v>
      </c>
      <c r="W928" s="662">
        <f>+SUMIF(SYS_4_3_Digitos!$M$5:$M$1682,BALANCE!V928,SYS_4_3_Digitos!$N$5:$N$1682)</f>
        <v>0</v>
      </c>
      <c r="Z928" s="666"/>
      <c r="AA928" s="661">
        <v>4049</v>
      </c>
      <c r="AB928" s="672">
        <f>+SUMIF(SYS_4_3_Digitos!$M$5:$M$1682,BALANCE!AA928,SYS_4_3_Digitos!$N$5:$N$1682)</f>
        <v>0</v>
      </c>
    </row>
    <row r="929" spans="22:28" hidden="1">
      <c r="V929" s="661">
        <v>3214</v>
      </c>
      <c r="W929" s="662">
        <f>+SUMIF(SYS_4_3_Digitos!$M$5:$M$1682,BALANCE!V929,SYS_4_3_Digitos!$N$5:$N$1682)</f>
        <v>0</v>
      </c>
      <c r="Z929" s="666">
        <v>41</v>
      </c>
      <c r="AA929" s="653" t="s">
        <v>101</v>
      </c>
      <c r="AB929" s="667">
        <f ca="1">SUM(AB930:AB1029)</f>
        <v>-277515.75</v>
      </c>
    </row>
    <row r="930" spans="22:28" hidden="1">
      <c r="V930" s="661">
        <v>3215</v>
      </c>
      <c r="W930" s="662">
        <f>+SUMIF(SYS_4_3_Digitos!$M$5:$M$1682,BALANCE!V930,SYS_4_3_Digitos!$N$5:$N$1682)</f>
        <v>0</v>
      </c>
      <c r="Z930" s="666"/>
      <c r="AA930" s="661">
        <v>4100</v>
      </c>
      <c r="AB930" s="672">
        <f ca="1">+SUMIF(SYS_4_3_Digitos!$M$5:$M$1682,BALANCE!AA930,SYS_4_3_Digitos!$N$5:$N$1682)</f>
        <v>-47222.14</v>
      </c>
    </row>
    <row r="931" spans="22:28" hidden="1">
      <c r="V931" s="661">
        <v>3216</v>
      </c>
      <c r="W931" s="662">
        <f>+SUMIF(SYS_4_3_Digitos!$M$5:$M$1682,BALANCE!V931,SYS_4_3_Digitos!$N$5:$N$1682)</f>
        <v>0</v>
      </c>
      <c r="Z931" s="666"/>
      <c r="AA931" s="661">
        <v>4101</v>
      </c>
      <c r="AB931" s="672">
        <f>+SUMIF(SYS_4_3_Digitos!$M$5:$M$1682,BALANCE!AA931,SYS_4_3_Digitos!$N$5:$N$1682)</f>
        <v>0</v>
      </c>
    </row>
    <row r="932" spans="22:28" hidden="1">
      <c r="V932" s="661">
        <v>3217</v>
      </c>
      <c r="W932" s="662">
        <f>+SUMIF(SYS_4_3_Digitos!$M$5:$M$1682,BALANCE!V932,SYS_4_3_Digitos!$N$5:$N$1682)</f>
        <v>0</v>
      </c>
      <c r="Z932" s="666"/>
      <c r="AA932" s="661">
        <v>4102</v>
      </c>
      <c r="AB932" s="672">
        <f>+SUMIF(SYS_4_3_Digitos!$M$5:$M$1682,BALANCE!AA932,SYS_4_3_Digitos!$N$5:$N$1682)</f>
        <v>0</v>
      </c>
    </row>
    <row r="933" spans="22:28" hidden="1">
      <c r="V933" s="661">
        <v>3218</v>
      </c>
      <c r="W933" s="662">
        <f>+SUMIF(SYS_4_3_Digitos!$M$5:$M$1682,BALANCE!V933,SYS_4_3_Digitos!$N$5:$N$1682)</f>
        <v>0</v>
      </c>
      <c r="Z933" s="666"/>
      <c r="AA933" s="661">
        <v>4103</v>
      </c>
      <c r="AB933" s="672">
        <f>+SUMIF(SYS_4_3_Digitos!$M$5:$M$1682,BALANCE!AA933,SYS_4_3_Digitos!$N$5:$N$1682)</f>
        <v>0</v>
      </c>
    </row>
    <row r="934" spans="22:28" hidden="1">
      <c r="V934" s="661">
        <v>3219</v>
      </c>
      <c r="W934" s="662">
        <f>+SUMIF(SYS_4_3_Digitos!$M$5:$M$1682,BALANCE!V934,SYS_4_3_Digitos!$N$5:$N$1682)</f>
        <v>0</v>
      </c>
      <c r="Z934" s="666"/>
      <c r="AA934" s="661">
        <v>4104</v>
      </c>
      <c r="AB934" s="672">
        <f>+SUMIF(SYS_4_3_Digitos!$M$5:$M$1682,BALANCE!AA934,SYS_4_3_Digitos!$N$5:$N$1682)</f>
        <v>0</v>
      </c>
    </row>
    <row r="935" spans="22:28" hidden="1">
      <c r="V935" s="661">
        <v>3220</v>
      </c>
      <c r="W935" s="662">
        <f>+SUMIF(SYS_4_3_Digitos!$M$5:$M$1682,BALANCE!V935,SYS_4_3_Digitos!$N$5:$N$1682)</f>
        <v>0</v>
      </c>
      <c r="Z935" s="666"/>
      <c r="AA935" s="661">
        <v>4105</v>
      </c>
      <c r="AB935" s="672">
        <f>+SUMIF(SYS_4_3_Digitos!$M$5:$M$1682,BALANCE!AA935,SYS_4_3_Digitos!$N$5:$N$1682)</f>
        <v>0</v>
      </c>
    </row>
    <row r="936" spans="22:28" hidden="1">
      <c r="V936" s="661">
        <v>3221</v>
      </c>
      <c r="W936" s="662">
        <f>+SUMIF(SYS_4_3_Digitos!$M$5:$M$1682,BALANCE!V936,SYS_4_3_Digitos!$N$5:$N$1682)</f>
        <v>0</v>
      </c>
      <c r="Z936" s="666"/>
      <c r="AA936" s="661">
        <v>4106</v>
      </c>
      <c r="AB936" s="672">
        <f>+SUMIF(SYS_4_3_Digitos!$M$5:$M$1682,BALANCE!AA936,SYS_4_3_Digitos!$N$5:$N$1682)</f>
        <v>0</v>
      </c>
    </row>
    <row r="937" spans="22:28" hidden="1">
      <c r="V937" s="661">
        <v>3222</v>
      </c>
      <c r="W937" s="662">
        <f>+SUMIF(SYS_4_3_Digitos!$M$5:$M$1682,BALANCE!V937,SYS_4_3_Digitos!$N$5:$N$1682)</f>
        <v>0</v>
      </c>
      <c r="Z937" s="666"/>
      <c r="AA937" s="661">
        <v>4107</v>
      </c>
      <c r="AB937" s="672">
        <f>+SUMIF(SYS_4_3_Digitos!$M$5:$M$1682,BALANCE!AA937,SYS_4_3_Digitos!$N$5:$N$1682)</f>
        <v>0</v>
      </c>
    </row>
    <row r="938" spans="22:28" hidden="1">
      <c r="V938" s="661">
        <v>3223</v>
      </c>
      <c r="W938" s="662">
        <f>+SUMIF(SYS_4_3_Digitos!$M$5:$M$1682,BALANCE!V938,SYS_4_3_Digitos!$N$5:$N$1682)</f>
        <v>0</v>
      </c>
      <c r="Z938" s="666"/>
      <c r="AA938" s="661">
        <v>4108</v>
      </c>
      <c r="AB938" s="672">
        <f>+SUMIF(SYS_4_3_Digitos!$M$5:$M$1682,BALANCE!AA938,SYS_4_3_Digitos!$N$5:$N$1682)</f>
        <v>0</v>
      </c>
    </row>
    <row r="939" spans="22:28" hidden="1">
      <c r="V939" s="661">
        <v>3224</v>
      </c>
      <c r="W939" s="662">
        <f>+SUMIF(SYS_4_3_Digitos!$M$5:$M$1682,BALANCE!V939,SYS_4_3_Digitos!$N$5:$N$1682)</f>
        <v>0</v>
      </c>
      <c r="Z939" s="666"/>
      <c r="AA939" s="661">
        <v>4109</v>
      </c>
      <c r="AB939" s="672">
        <f>+SUMIF(SYS_4_3_Digitos!$M$5:$M$1682,BALANCE!AA939,SYS_4_3_Digitos!$N$5:$N$1682)</f>
        <v>0</v>
      </c>
    </row>
    <row r="940" spans="22:28" hidden="1">
      <c r="V940" s="661">
        <v>3225</v>
      </c>
      <c r="W940" s="662">
        <f>+SUMIF(SYS_4_3_Digitos!$M$5:$M$1682,BALANCE!V940,SYS_4_3_Digitos!$N$5:$N$1682)</f>
        <v>0</v>
      </c>
      <c r="Z940" s="666"/>
      <c r="AA940" s="661">
        <v>4110</v>
      </c>
      <c r="AB940" s="672">
        <f ca="1">+SUMIF(SYS_4_3_Digitos!$M$5:$M$1682,BALANCE!AA940,SYS_4_3_Digitos!$N$5:$N$1682)</f>
        <v>-230293.61000000002</v>
      </c>
    </row>
    <row r="941" spans="22:28" hidden="1">
      <c r="V941" s="661">
        <v>3226</v>
      </c>
      <c r="W941" s="662">
        <f>+SUMIF(SYS_4_3_Digitos!$M$5:$M$1682,BALANCE!V941,SYS_4_3_Digitos!$N$5:$N$1682)</f>
        <v>0</v>
      </c>
      <c r="Z941" s="666"/>
      <c r="AA941" s="661">
        <v>4111</v>
      </c>
      <c r="AB941" s="672">
        <f>+SUMIF(SYS_4_3_Digitos!$M$5:$M$1682,BALANCE!AA941,SYS_4_3_Digitos!$N$5:$N$1682)</f>
        <v>0</v>
      </c>
    </row>
    <row r="942" spans="22:28" hidden="1">
      <c r="V942" s="661">
        <v>3227</v>
      </c>
      <c r="W942" s="662">
        <f>+SUMIF(SYS_4_3_Digitos!$M$5:$M$1682,BALANCE!V942,SYS_4_3_Digitos!$N$5:$N$1682)</f>
        <v>0</v>
      </c>
      <c r="Z942" s="666"/>
      <c r="AA942" s="661">
        <v>4112</v>
      </c>
      <c r="AB942" s="672">
        <f>+SUMIF(SYS_4_3_Digitos!$M$5:$M$1682,BALANCE!AA942,SYS_4_3_Digitos!$N$5:$N$1682)</f>
        <v>0</v>
      </c>
    </row>
    <row r="943" spans="22:28" hidden="1">
      <c r="V943" s="661">
        <v>3228</v>
      </c>
      <c r="W943" s="662">
        <f>+SUMIF(SYS_4_3_Digitos!$M$5:$M$1682,BALANCE!V943,SYS_4_3_Digitos!$N$5:$N$1682)</f>
        <v>0</v>
      </c>
      <c r="Z943" s="666"/>
      <c r="AA943" s="661">
        <v>4113</v>
      </c>
      <c r="AB943" s="672">
        <f>+SUMIF(SYS_4_3_Digitos!$M$5:$M$1682,BALANCE!AA943,SYS_4_3_Digitos!$N$5:$N$1682)</f>
        <v>0</v>
      </c>
    </row>
    <row r="944" spans="22:28" hidden="1">
      <c r="V944" s="661">
        <v>3229</v>
      </c>
      <c r="W944" s="662">
        <f>+SUMIF(SYS_4_3_Digitos!$M$5:$M$1682,BALANCE!V944,SYS_4_3_Digitos!$N$5:$N$1682)</f>
        <v>0</v>
      </c>
      <c r="Z944" s="666"/>
      <c r="AA944" s="661">
        <v>4114</v>
      </c>
      <c r="AB944" s="672">
        <f>+SUMIF(SYS_4_3_Digitos!$M$5:$M$1682,BALANCE!AA944,SYS_4_3_Digitos!$N$5:$N$1682)</f>
        <v>0</v>
      </c>
    </row>
    <row r="945" spans="22:28" hidden="1">
      <c r="V945" s="661">
        <v>3230</v>
      </c>
      <c r="W945" s="662">
        <f>+SUMIF(SYS_4_3_Digitos!$M$5:$M$1682,BALANCE!V945,SYS_4_3_Digitos!$N$5:$N$1682)</f>
        <v>0</v>
      </c>
      <c r="Z945" s="666"/>
      <c r="AA945" s="661">
        <v>4115</v>
      </c>
      <c r="AB945" s="672">
        <f>+SUMIF(SYS_4_3_Digitos!$M$5:$M$1682,BALANCE!AA945,SYS_4_3_Digitos!$N$5:$N$1682)</f>
        <v>0</v>
      </c>
    </row>
    <row r="946" spans="22:28" hidden="1">
      <c r="V946" s="661">
        <v>3231</v>
      </c>
      <c r="W946" s="662">
        <f>+SUMIF(SYS_4_3_Digitos!$M$5:$M$1682,BALANCE!V946,SYS_4_3_Digitos!$N$5:$N$1682)</f>
        <v>0</v>
      </c>
      <c r="Z946" s="666"/>
      <c r="AA946" s="661">
        <v>4116</v>
      </c>
      <c r="AB946" s="672">
        <f>+SUMIF(SYS_4_3_Digitos!$M$5:$M$1682,BALANCE!AA946,SYS_4_3_Digitos!$N$5:$N$1682)</f>
        <v>0</v>
      </c>
    </row>
    <row r="947" spans="22:28" hidden="1">
      <c r="V947" s="661">
        <v>3232</v>
      </c>
      <c r="W947" s="662">
        <f>+SUMIF(SYS_4_3_Digitos!$M$5:$M$1682,BALANCE!V947,SYS_4_3_Digitos!$N$5:$N$1682)</f>
        <v>0</v>
      </c>
      <c r="Z947" s="666"/>
      <c r="AA947" s="661">
        <v>4117</v>
      </c>
      <c r="AB947" s="672">
        <f>+SUMIF(SYS_4_3_Digitos!$M$5:$M$1682,BALANCE!AA947,SYS_4_3_Digitos!$N$5:$N$1682)</f>
        <v>0</v>
      </c>
    </row>
    <row r="948" spans="22:28" hidden="1">
      <c r="V948" s="661">
        <v>3233</v>
      </c>
      <c r="W948" s="662">
        <f>+SUMIF(SYS_4_3_Digitos!$M$5:$M$1682,BALANCE!V948,SYS_4_3_Digitos!$N$5:$N$1682)</f>
        <v>0</v>
      </c>
      <c r="Z948" s="666"/>
      <c r="AA948" s="661">
        <v>4118</v>
      </c>
      <c r="AB948" s="672">
        <f>+SUMIF(SYS_4_3_Digitos!$M$5:$M$1682,BALANCE!AA948,SYS_4_3_Digitos!$N$5:$N$1682)</f>
        <v>0</v>
      </c>
    </row>
    <row r="949" spans="22:28" hidden="1">
      <c r="V949" s="661">
        <v>3234</v>
      </c>
      <c r="W949" s="662">
        <f>+SUMIF(SYS_4_3_Digitos!$M$5:$M$1682,BALANCE!V949,SYS_4_3_Digitos!$N$5:$N$1682)</f>
        <v>0</v>
      </c>
      <c r="Z949" s="666"/>
      <c r="AA949" s="661">
        <v>4119</v>
      </c>
      <c r="AB949" s="672">
        <f>+SUMIF(SYS_4_3_Digitos!$M$5:$M$1682,BALANCE!AA949,SYS_4_3_Digitos!$N$5:$N$1682)</f>
        <v>0</v>
      </c>
    </row>
    <row r="950" spans="22:28" hidden="1">
      <c r="V950" s="661">
        <v>3235</v>
      </c>
      <c r="W950" s="662">
        <f>+SUMIF(SYS_4_3_Digitos!$M$5:$M$1682,BALANCE!V950,SYS_4_3_Digitos!$N$5:$N$1682)</f>
        <v>0</v>
      </c>
      <c r="Z950" s="666"/>
      <c r="AA950" s="661">
        <v>4120</v>
      </c>
      <c r="AB950" s="672">
        <f>+SUMIF(SYS_4_3_Digitos!$M$5:$M$1682,BALANCE!AA950,SYS_4_3_Digitos!$N$5:$N$1682)</f>
        <v>0</v>
      </c>
    </row>
    <row r="951" spans="22:28" hidden="1">
      <c r="V951" s="661">
        <v>3236</v>
      </c>
      <c r="W951" s="662">
        <f>+SUMIF(SYS_4_3_Digitos!$M$5:$M$1682,BALANCE!V951,SYS_4_3_Digitos!$N$5:$N$1682)</f>
        <v>0</v>
      </c>
      <c r="Z951" s="666"/>
      <c r="AA951" s="661">
        <v>4121</v>
      </c>
      <c r="AB951" s="672">
        <f>+SUMIF(SYS_4_3_Digitos!$M$5:$M$1682,BALANCE!AA951,SYS_4_3_Digitos!$N$5:$N$1682)</f>
        <v>0</v>
      </c>
    </row>
    <row r="952" spans="22:28" hidden="1">
      <c r="V952" s="661">
        <v>3237</v>
      </c>
      <c r="W952" s="662">
        <f>+SUMIF(SYS_4_3_Digitos!$M$5:$M$1682,BALANCE!V952,SYS_4_3_Digitos!$N$5:$N$1682)</f>
        <v>0</v>
      </c>
      <c r="Z952" s="666"/>
      <c r="AA952" s="661">
        <v>4122</v>
      </c>
      <c r="AB952" s="672">
        <f>+SUMIF(SYS_4_3_Digitos!$M$5:$M$1682,BALANCE!AA952,SYS_4_3_Digitos!$N$5:$N$1682)</f>
        <v>0</v>
      </c>
    </row>
    <row r="953" spans="22:28" hidden="1">
      <c r="V953" s="661">
        <v>3238</v>
      </c>
      <c r="W953" s="662">
        <f>+SUMIF(SYS_4_3_Digitos!$M$5:$M$1682,BALANCE!V953,SYS_4_3_Digitos!$N$5:$N$1682)</f>
        <v>0</v>
      </c>
      <c r="Z953" s="666"/>
      <c r="AA953" s="661">
        <v>4123</v>
      </c>
      <c r="AB953" s="672">
        <f>+SUMIF(SYS_4_3_Digitos!$M$5:$M$1682,BALANCE!AA953,SYS_4_3_Digitos!$N$5:$N$1682)</f>
        <v>0</v>
      </c>
    </row>
    <row r="954" spans="22:28" hidden="1">
      <c r="V954" s="661">
        <v>3239</v>
      </c>
      <c r="W954" s="662">
        <f>+SUMIF(SYS_4_3_Digitos!$M$5:$M$1682,BALANCE!V954,SYS_4_3_Digitos!$N$5:$N$1682)</f>
        <v>0</v>
      </c>
      <c r="Z954" s="666"/>
      <c r="AA954" s="661">
        <v>4124</v>
      </c>
      <c r="AB954" s="672">
        <f>+SUMIF(SYS_4_3_Digitos!$M$5:$M$1682,BALANCE!AA954,SYS_4_3_Digitos!$N$5:$N$1682)</f>
        <v>0</v>
      </c>
    </row>
    <row r="955" spans="22:28" hidden="1">
      <c r="V955" s="661">
        <v>3240</v>
      </c>
      <c r="W955" s="662">
        <f>+SUMIF(SYS_4_3_Digitos!$M$5:$M$1682,BALANCE!V955,SYS_4_3_Digitos!$N$5:$N$1682)</f>
        <v>0</v>
      </c>
      <c r="Z955" s="666"/>
      <c r="AA955" s="661">
        <v>4125</v>
      </c>
      <c r="AB955" s="672">
        <f>+SUMIF(SYS_4_3_Digitos!$M$5:$M$1682,BALANCE!AA955,SYS_4_3_Digitos!$N$5:$N$1682)</f>
        <v>0</v>
      </c>
    </row>
    <row r="956" spans="22:28" hidden="1">
      <c r="V956" s="661">
        <v>3241</v>
      </c>
      <c r="W956" s="662">
        <f>+SUMIF(SYS_4_3_Digitos!$M$5:$M$1682,BALANCE!V956,SYS_4_3_Digitos!$N$5:$N$1682)</f>
        <v>0</v>
      </c>
      <c r="Z956" s="666"/>
      <c r="AA956" s="661">
        <v>4126</v>
      </c>
      <c r="AB956" s="672">
        <f>+SUMIF(SYS_4_3_Digitos!$M$5:$M$1682,BALANCE!AA956,SYS_4_3_Digitos!$N$5:$N$1682)</f>
        <v>0</v>
      </c>
    </row>
    <row r="957" spans="22:28" hidden="1">
      <c r="V957" s="661">
        <v>3242</v>
      </c>
      <c r="W957" s="662">
        <f>+SUMIF(SYS_4_3_Digitos!$M$5:$M$1682,BALANCE!V957,SYS_4_3_Digitos!$N$5:$N$1682)</f>
        <v>0</v>
      </c>
      <c r="Z957" s="666"/>
      <c r="AA957" s="661">
        <v>4127</v>
      </c>
      <c r="AB957" s="672">
        <f>+SUMIF(SYS_4_3_Digitos!$M$5:$M$1682,BALANCE!AA957,SYS_4_3_Digitos!$N$5:$N$1682)</f>
        <v>0</v>
      </c>
    </row>
    <row r="958" spans="22:28" hidden="1">
      <c r="V958" s="661">
        <v>3243</v>
      </c>
      <c r="W958" s="662">
        <f>+SUMIF(SYS_4_3_Digitos!$M$5:$M$1682,BALANCE!V958,SYS_4_3_Digitos!$N$5:$N$1682)</f>
        <v>0</v>
      </c>
      <c r="Z958" s="666"/>
      <c r="AA958" s="661">
        <v>4128</v>
      </c>
      <c r="AB958" s="672">
        <f>+SUMIF(SYS_4_3_Digitos!$M$5:$M$1682,BALANCE!AA958,SYS_4_3_Digitos!$N$5:$N$1682)</f>
        <v>0</v>
      </c>
    </row>
    <row r="959" spans="22:28" hidden="1">
      <c r="V959" s="661">
        <v>3244</v>
      </c>
      <c r="W959" s="662">
        <f>+SUMIF(SYS_4_3_Digitos!$M$5:$M$1682,BALANCE!V959,SYS_4_3_Digitos!$N$5:$N$1682)</f>
        <v>0</v>
      </c>
      <c r="Z959" s="666"/>
      <c r="AA959" s="661">
        <v>4129</v>
      </c>
      <c r="AB959" s="672">
        <f>+SUMIF(SYS_4_3_Digitos!$M$5:$M$1682,BALANCE!AA959,SYS_4_3_Digitos!$N$5:$N$1682)</f>
        <v>0</v>
      </c>
    </row>
    <row r="960" spans="22:28" hidden="1">
      <c r="V960" s="661">
        <v>3245</v>
      </c>
      <c r="W960" s="662">
        <f>+SUMIF(SYS_4_3_Digitos!$M$5:$M$1682,BALANCE!V960,SYS_4_3_Digitos!$N$5:$N$1682)</f>
        <v>0</v>
      </c>
      <c r="Z960" s="666"/>
      <c r="AA960" s="661">
        <v>4130</v>
      </c>
      <c r="AB960" s="672">
        <f>+SUMIF(SYS_4_3_Digitos!$M$5:$M$1682,BALANCE!AA960,SYS_4_3_Digitos!$N$5:$N$1682)</f>
        <v>0</v>
      </c>
    </row>
    <row r="961" spans="22:28" hidden="1">
      <c r="V961" s="661">
        <v>3246</v>
      </c>
      <c r="W961" s="662">
        <f>+SUMIF(SYS_4_3_Digitos!$M$5:$M$1682,BALANCE!V961,SYS_4_3_Digitos!$N$5:$N$1682)</f>
        <v>0</v>
      </c>
      <c r="Z961" s="666"/>
      <c r="AA961" s="661">
        <v>4131</v>
      </c>
      <c r="AB961" s="672">
        <f>+SUMIF(SYS_4_3_Digitos!$M$5:$M$1682,BALANCE!AA961,SYS_4_3_Digitos!$N$5:$N$1682)</f>
        <v>0</v>
      </c>
    </row>
    <row r="962" spans="22:28" hidden="1">
      <c r="V962" s="661">
        <v>3247</v>
      </c>
      <c r="W962" s="662">
        <f>+SUMIF(SYS_4_3_Digitos!$M$5:$M$1682,BALANCE!V962,SYS_4_3_Digitos!$N$5:$N$1682)</f>
        <v>0</v>
      </c>
      <c r="Z962" s="666"/>
      <c r="AA962" s="661">
        <v>4132</v>
      </c>
      <c r="AB962" s="672">
        <f>+SUMIF(SYS_4_3_Digitos!$M$5:$M$1682,BALANCE!AA962,SYS_4_3_Digitos!$N$5:$N$1682)</f>
        <v>0</v>
      </c>
    </row>
    <row r="963" spans="22:28" hidden="1">
      <c r="V963" s="661">
        <v>3248</v>
      </c>
      <c r="W963" s="662">
        <f>+SUMIF(SYS_4_3_Digitos!$M$5:$M$1682,BALANCE!V963,SYS_4_3_Digitos!$N$5:$N$1682)</f>
        <v>0</v>
      </c>
      <c r="Z963" s="666"/>
      <c r="AA963" s="661">
        <v>4133</v>
      </c>
      <c r="AB963" s="672">
        <f>+SUMIF(SYS_4_3_Digitos!$M$5:$M$1682,BALANCE!AA963,SYS_4_3_Digitos!$N$5:$N$1682)</f>
        <v>0</v>
      </c>
    </row>
    <row r="964" spans="22:28" hidden="1">
      <c r="V964" s="661">
        <v>3249</v>
      </c>
      <c r="W964" s="662">
        <f>+SUMIF(SYS_4_3_Digitos!$M$5:$M$1682,BALANCE!V964,SYS_4_3_Digitos!$N$5:$N$1682)</f>
        <v>0</v>
      </c>
      <c r="Z964" s="666"/>
      <c r="AA964" s="661">
        <v>4134</v>
      </c>
      <c r="AB964" s="672">
        <f>+SUMIF(SYS_4_3_Digitos!$M$5:$M$1682,BALANCE!AA964,SYS_4_3_Digitos!$N$5:$N$1682)</f>
        <v>0</v>
      </c>
    </row>
    <row r="965" spans="22:28" hidden="1">
      <c r="V965" s="661">
        <v>3250</v>
      </c>
      <c r="W965" s="662">
        <f>+SUMIF(SYS_4_3_Digitos!$M$5:$M$1682,BALANCE!V965,SYS_4_3_Digitos!$N$5:$N$1682)</f>
        <v>0</v>
      </c>
      <c r="Z965" s="666"/>
      <c r="AA965" s="661">
        <v>4135</v>
      </c>
      <c r="AB965" s="672">
        <f>+SUMIF(SYS_4_3_Digitos!$M$5:$M$1682,BALANCE!AA965,SYS_4_3_Digitos!$N$5:$N$1682)</f>
        <v>0</v>
      </c>
    </row>
    <row r="966" spans="22:28" hidden="1">
      <c r="V966" s="661">
        <v>3251</v>
      </c>
      <c r="W966" s="662">
        <f>+SUMIF(SYS_4_3_Digitos!$M$5:$M$1682,BALANCE!V966,SYS_4_3_Digitos!$N$5:$N$1682)</f>
        <v>0</v>
      </c>
      <c r="Z966" s="666"/>
      <c r="AA966" s="661">
        <v>4136</v>
      </c>
      <c r="AB966" s="672">
        <f>+SUMIF(SYS_4_3_Digitos!$M$5:$M$1682,BALANCE!AA966,SYS_4_3_Digitos!$N$5:$N$1682)</f>
        <v>0</v>
      </c>
    </row>
    <row r="967" spans="22:28" hidden="1">
      <c r="V967" s="661">
        <v>3252</v>
      </c>
      <c r="W967" s="662">
        <f>+SUMIF(SYS_4_3_Digitos!$M$5:$M$1682,BALANCE!V967,SYS_4_3_Digitos!$N$5:$N$1682)</f>
        <v>0</v>
      </c>
      <c r="Z967" s="666"/>
      <c r="AA967" s="661">
        <v>4137</v>
      </c>
      <c r="AB967" s="672">
        <f>+SUMIF(SYS_4_3_Digitos!$M$5:$M$1682,BALANCE!AA967,SYS_4_3_Digitos!$N$5:$N$1682)</f>
        <v>0</v>
      </c>
    </row>
    <row r="968" spans="22:28" hidden="1">
      <c r="V968" s="661">
        <v>3253</v>
      </c>
      <c r="W968" s="662">
        <f>+SUMIF(SYS_4_3_Digitos!$M$5:$M$1682,BALANCE!V968,SYS_4_3_Digitos!$N$5:$N$1682)</f>
        <v>0</v>
      </c>
      <c r="Z968" s="666"/>
      <c r="AA968" s="661">
        <v>4138</v>
      </c>
      <c r="AB968" s="672">
        <f>+SUMIF(SYS_4_3_Digitos!$M$5:$M$1682,BALANCE!AA968,SYS_4_3_Digitos!$N$5:$N$1682)</f>
        <v>0</v>
      </c>
    </row>
    <row r="969" spans="22:28" hidden="1">
      <c r="V969" s="661">
        <v>3254</v>
      </c>
      <c r="W969" s="662">
        <f>+SUMIF(SYS_4_3_Digitos!$M$5:$M$1682,BALANCE!V969,SYS_4_3_Digitos!$N$5:$N$1682)</f>
        <v>0</v>
      </c>
      <c r="Z969" s="666"/>
      <c r="AA969" s="661">
        <v>4139</v>
      </c>
      <c r="AB969" s="672">
        <f>+SUMIF(SYS_4_3_Digitos!$M$5:$M$1682,BALANCE!AA969,SYS_4_3_Digitos!$N$5:$N$1682)</f>
        <v>0</v>
      </c>
    </row>
    <row r="970" spans="22:28" hidden="1">
      <c r="V970" s="661">
        <v>3255</v>
      </c>
      <c r="W970" s="662">
        <f>+SUMIF(SYS_4_3_Digitos!$M$5:$M$1682,BALANCE!V970,SYS_4_3_Digitos!$N$5:$N$1682)</f>
        <v>0</v>
      </c>
      <c r="Z970" s="666"/>
      <c r="AA970" s="661">
        <v>4140</v>
      </c>
      <c r="AB970" s="672">
        <f>+SUMIF(SYS_4_3_Digitos!$M$5:$M$1682,BALANCE!AA970,SYS_4_3_Digitos!$N$5:$N$1682)</f>
        <v>0</v>
      </c>
    </row>
    <row r="971" spans="22:28" hidden="1">
      <c r="V971" s="661">
        <v>3256</v>
      </c>
      <c r="W971" s="662">
        <f>+SUMIF(SYS_4_3_Digitos!$M$5:$M$1682,BALANCE!V971,SYS_4_3_Digitos!$N$5:$N$1682)</f>
        <v>0</v>
      </c>
      <c r="Z971" s="666"/>
      <c r="AA971" s="661">
        <v>4141</v>
      </c>
      <c r="AB971" s="672">
        <f>+SUMIF(SYS_4_3_Digitos!$M$5:$M$1682,BALANCE!AA971,SYS_4_3_Digitos!$N$5:$N$1682)</f>
        <v>0</v>
      </c>
    </row>
    <row r="972" spans="22:28" hidden="1">
      <c r="V972" s="661">
        <v>3257</v>
      </c>
      <c r="W972" s="662">
        <f>+SUMIF(SYS_4_3_Digitos!$M$5:$M$1682,BALANCE!V972,SYS_4_3_Digitos!$N$5:$N$1682)</f>
        <v>0</v>
      </c>
      <c r="Z972" s="666"/>
      <c r="AA972" s="661">
        <v>4142</v>
      </c>
      <c r="AB972" s="672">
        <f>+SUMIF(SYS_4_3_Digitos!$M$5:$M$1682,BALANCE!AA972,SYS_4_3_Digitos!$N$5:$N$1682)</f>
        <v>0</v>
      </c>
    </row>
    <row r="973" spans="22:28" hidden="1">
      <c r="V973" s="661">
        <v>3258</v>
      </c>
      <c r="W973" s="662">
        <f>+SUMIF(SYS_4_3_Digitos!$M$5:$M$1682,BALANCE!V973,SYS_4_3_Digitos!$N$5:$N$1682)</f>
        <v>0</v>
      </c>
      <c r="Z973" s="666"/>
      <c r="AA973" s="661">
        <v>4143</v>
      </c>
      <c r="AB973" s="672">
        <f>+SUMIF(SYS_4_3_Digitos!$M$5:$M$1682,BALANCE!AA973,SYS_4_3_Digitos!$N$5:$N$1682)</f>
        <v>0</v>
      </c>
    </row>
    <row r="974" spans="22:28" hidden="1">
      <c r="V974" s="661">
        <v>3259</v>
      </c>
      <c r="W974" s="662">
        <f>+SUMIF(SYS_4_3_Digitos!$M$5:$M$1682,BALANCE!V974,SYS_4_3_Digitos!$N$5:$N$1682)</f>
        <v>0</v>
      </c>
      <c r="Z974" s="666"/>
      <c r="AA974" s="661">
        <v>4144</v>
      </c>
      <c r="AB974" s="672">
        <f>+SUMIF(SYS_4_3_Digitos!$M$5:$M$1682,BALANCE!AA974,SYS_4_3_Digitos!$N$5:$N$1682)</f>
        <v>0</v>
      </c>
    </row>
    <row r="975" spans="22:28" hidden="1">
      <c r="V975" s="661">
        <v>3260</v>
      </c>
      <c r="W975" s="662">
        <f>+SUMIF(SYS_4_3_Digitos!$M$5:$M$1682,BALANCE!V975,SYS_4_3_Digitos!$N$5:$N$1682)</f>
        <v>0</v>
      </c>
      <c r="Z975" s="666"/>
      <c r="AA975" s="661">
        <v>4145</v>
      </c>
      <c r="AB975" s="672">
        <f>+SUMIF(SYS_4_3_Digitos!$M$5:$M$1682,BALANCE!AA975,SYS_4_3_Digitos!$N$5:$N$1682)</f>
        <v>0</v>
      </c>
    </row>
    <row r="976" spans="22:28" hidden="1">
      <c r="V976" s="661">
        <v>3261</v>
      </c>
      <c r="W976" s="662">
        <f>+SUMIF(SYS_4_3_Digitos!$M$5:$M$1682,BALANCE!V976,SYS_4_3_Digitos!$N$5:$N$1682)</f>
        <v>0</v>
      </c>
      <c r="Z976" s="666"/>
      <c r="AA976" s="661">
        <v>4146</v>
      </c>
      <c r="AB976" s="672">
        <f>+SUMIF(SYS_4_3_Digitos!$M$5:$M$1682,BALANCE!AA976,SYS_4_3_Digitos!$N$5:$N$1682)</f>
        <v>0</v>
      </c>
    </row>
    <row r="977" spans="22:28" hidden="1">
      <c r="V977" s="661">
        <v>3262</v>
      </c>
      <c r="W977" s="662">
        <f>+SUMIF(SYS_4_3_Digitos!$M$5:$M$1682,BALANCE!V977,SYS_4_3_Digitos!$N$5:$N$1682)</f>
        <v>0</v>
      </c>
      <c r="Z977" s="666"/>
      <c r="AA977" s="661">
        <v>4147</v>
      </c>
      <c r="AB977" s="672">
        <f>+SUMIF(SYS_4_3_Digitos!$M$5:$M$1682,BALANCE!AA977,SYS_4_3_Digitos!$N$5:$N$1682)</f>
        <v>0</v>
      </c>
    </row>
    <row r="978" spans="22:28" hidden="1">
      <c r="V978" s="661">
        <v>3263</v>
      </c>
      <c r="W978" s="662">
        <f>+SUMIF(SYS_4_3_Digitos!$M$5:$M$1682,BALANCE!V978,SYS_4_3_Digitos!$N$5:$N$1682)</f>
        <v>0</v>
      </c>
      <c r="Z978" s="666"/>
      <c r="AA978" s="661">
        <v>4148</v>
      </c>
      <c r="AB978" s="672">
        <f>+SUMIF(SYS_4_3_Digitos!$M$5:$M$1682,BALANCE!AA978,SYS_4_3_Digitos!$N$5:$N$1682)</f>
        <v>0</v>
      </c>
    </row>
    <row r="979" spans="22:28" hidden="1">
      <c r="V979" s="661">
        <v>3264</v>
      </c>
      <c r="W979" s="662">
        <f>+SUMIF(SYS_4_3_Digitos!$M$5:$M$1682,BALANCE!V979,SYS_4_3_Digitos!$N$5:$N$1682)</f>
        <v>0</v>
      </c>
      <c r="Z979" s="666"/>
      <c r="AA979" s="661">
        <v>4149</v>
      </c>
      <c r="AB979" s="672">
        <f>+SUMIF(SYS_4_3_Digitos!$M$5:$M$1682,BALANCE!AA979,SYS_4_3_Digitos!$N$5:$N$1682)</f>
        <v>0</v>
      </c>
    </row>
    <row r="980" spans="22:28" hidden="1">
      <c r="V980" s="661">
        <v>3265</v>
      </c>
      <c r="W980" s="662">
        <f>+SUMIF(SYS_4_3_Digitos!$M$5:$M$1682,BALANCE!V980,SYS_4_3_Digitos!$N$5:$N$1682)</f>
        <v>0</v>
      </c>
      <c r="Z980" s="666"/>
      <c r="AA980" s="661">
        <v>4150</v>
      </c>
      <c r="AB980" s="672">
        <f>+SUMIF(SYS_4_3_Digitos!$M$5:$M$1682,BALANCE!AA980,SYS_4_3_Digitos!$N$5:$N$1682)</f>
        <v>0</v>
      </c>
    </row>
    <row r="981" spans="22:28" hidden="1">
      <c r="V981" s="661">
        <v>3266</v>
      </c>
      <c r="W981" s="662">
        <f>+SUMIF(SYS_4_3_Digitos!$M$5:$M$1682,BALANCE!V981,SYS_4_3_Digitos!$N$5:$N$1682)</f>
        <v>0</v>
      </c>
      <c r="Z981" s="666"/>
      <c r="AA981" s="661">
        <v>4151</v>
      </c>
      <c r="AB981" s="672">
        <f>+SUMIF(SYS_4_3_Digitos!$M$5:$M$1682,BALANCE!AA981,SYS_4_3_Digitos!$N$5:$N$1682)</f>
        <v>0</v>
      </c>
    </row>
    <row r="982" spans="22:28" hidden="1">
      <c r="V982" s="661">
        <v>3267</v>
      </c>
      <c r="W982" s="662">
        <f>+SUMIF(SYS_4_3_Digitos!$M$5:$M$1682,BALANCE!V982,SYS_4_3_Digitos!$N$5:$N$1682)</f>
        <v>0</v>
      </c>
      <c r="Z982" s="666"/>
      <c r="AA982" s="661">
        <v>4152</v>
      </c>
      <c r="AB982" s="672">
        <f>+SUMIF(SYS_4_3_Digitos!$M$5:$M$1682,BALANCE!AA982,SYS_4_3_Digitos!$N$5:$N$1682)</f>
        <v>0</v>
      </c>
    </row>
    <row r="983" spans="22:28" hidden="1">
      <c r="V983" s="661">
        <v>3268</v>
      </c>
      <c r="W983" s="662">
        <f>+SUMIF(SYS_4_3_Digitos!$M$5:$M$1682,BALANCE!V983,SYS_4_3_Digitos!$N$5:$N$1682)</f>
        <v>0</v>
      </c>
      <c r="Z983" s="666"/>
      <c r="AA983" s="661">
        <v>4153</v>
      </c>
      <c r="AB983" s="672">
        <f>+SUMIF(SYS_4_3_Digitos!$M$5:$M$1682,BALANCE!AA983,SYS_4_3_Digitos!$N$5:$N$1682)</f>
        <v>0</v>
      </c>
    </row>
    <row r="984" spans="22:28" hidden="1">
      <c r="V984" s="661">
        <v>3269</v>
      </c>
      <c r="W984" s="662">
        <f>+SUMIF(SYS_4_3_Digitos!$M$5:$M$1682,BALANCE!V984,SYS_4_3_Digitos!$N$5:$N$1682)</f>
        <v>0</v>
      </c>
      <c r="Z984" s="666"/>
      <c r="AA984" s="661">
        <v>4154</v>
      </c>
      <c r="AB984" s="672">
        <f>+SUMIF(SYS_4_3_Digitos!$M$5:$M$1682,BALANCE!AA984,SYS_4_3_Digitos!$N$5:$N$1682)</f>
        <v>0</v>
      </c>
    </row>
    <row r="985" spans="22:28" hidden="1">
      <c r="V985" s="661">
        <v>3270</v>
      </c>
      <c r="W985" s="662">
        <f>+SUMIF(SYS_4_3_Digitos!$M$5:$M$1682,BALANCE!V985,SYS_4_3_Digitos!$N$5:$N$1682)</f>
        <v>0</v>
      </c>
      <c r="Z985" s="666"/>
      <c r="AA985" s="661">
        <v>4155</v>
      </c>
      <c r="AB985" s="672">
        <f>+SUMIF(SYS_4_3_Digitos!$M$5:$M$1682,BALANCE!AA985,SYS_4_3_Digitos!$N$5:$N$1682)</f>
        <v>0</v>
      </c>
    </row>
    <row r="986" spans="22:28" hidden="1">
      <c r="V986" s="661">
        <v>3271</v>
      </c>
      <c r="W986" s="662">
        <f>+SUMIF(SYS_4_3_Digitos!$M$5:$M$1682,BALANCE!V986,SYS_4_3_Digitos!$N$5:$N$1682)</f>
        <v>0</v>
      </c>
      <c r="Z986" s="666"/>
      <c r="AA986" s="661">
        <v>4156</v>
      </c>
      <c r="AB986" s="672">
        <f>+SUMIF(SYS_4_3_Digitos!$M$5:$M$1682,BALANCE!AA986,SYS_4_3_Digitos!$N$5:$N$1682)</f>
        <v>0</v>
      </c>
    </row>
    <row r="987" spans="22:28" hidden="1">
      <c r="V987" s="661">
        <v>3272</v>
      </c>
      <c r="W987" s="662">
        <f>+SUMIF(SYS_4_3_Digitos!$M$5:$M$1682,BALANCE!V987,SYS_4_3_Digitos!$N$5:$N$1682)</f>
        <v>0</v>
      </c>
      <c r="Z987" s="666"/>
      <c r="AA987" s="661">
        <v>4157</v>
      </c>
      <c r="AB987" s="672">
        <f>+SUMIF(SYS_4_3_Digitos!$M$5:$M$1682,BALANCE!AA987,SYS_4_3_Digitos!$N$5:$N$1682)</f>
        <v>0</v>
      </c>
    </row>
    <row r="988" spans="22:28" hidden="1">
      <c r="V988" s="661">
        <v>3273</v>
      </c>
      <c r="W988" s="662">
        <f>+SUMIF(SYS_4_3_Digitos!$M$5:$M$1682,BALANCE!V988,SYS_4_3_Digitos!$N$5:$N$1682)</f>
        <v>0</v>
      </c>
      <c r="Z988" s="666"/>
      <c r="AA988" s="661">
        <v>4158</v>
      </c>
      <c r="AB988" s="672">
        <f>+SUMIF(SYS_4_3_Digitos!$M$5:$M$1682,BALANCE!AA988,SYS_4_3_Digitos!$N$5:$N$1682)</f>
        <v>0</v>
      </c>
    </row>
    <row r="989" spans="22:28" hidden="1">
      <c r="V989" s="661">
        <v>3274</v>
      </c>
      <c r="W989" s="662">
        <f>+SUMIF(SYS_4_3_Digitos!$M$5:$M$1682,BALANCE!V989,SYS_4_3_Digitos!$N$5:$N$1682)</f>
        <v>0</v>
      </c>
      <c r="Z989" s="666"/>
      <c r="AA989" s="661">
        <v>4159</v>
      </c>
      <c r="AB989" s="672">
        <f>+SUMIF(SYS_4_3_Digitos!$M$5:$M$1682,BALANCE!AA989,SYS_4_3_Digitos!$N$5:$N$1682)</f>
        <v>0</v>
      </c>
    </row>
    <row r="990" spans="22:28" hidden="1">
      <c r="V990" s="661">
        <v>3275</v>
      </c>
      <c r="W990" s="662">
        <f>+SUMIF(SYS_4_3_Digitos!$M$5:$M$1682,BALANCE!V990,SYS_4_3_Digitos!$N$5:$N$1682)</f>
        <v>0</v>
      </c>
      <c r="Z990" s="666"/>
      <c r="AA990" s="661">
        <v>4160</v>
      </c>
      <c r="AB990" s="672">
        <f>+SUMIF(SYS_4_3_Digitos!$M$5:$M$1682,BALANCE!AA990,SYS_4_3_Digitos!$N$5:$N$1682)</f>
        <v>0</v>
      </c>
    </row>
    <row r="991" spans="22:28" hidden="1">
      <c r="V991" s="661">
        <v>3276</v>
      </c>
      <c r="W991" s="662">
        <f>+SUMIF(SYS_4_3_Digitos!$M$5:$M$1682,BALANCE!V991,SYS_4_3_Digitos!$N$5:$N$1682)</f>
        <v>0</v>
      </c>
      <c r="Z991" s="666"/>
      <c r="AA991" s="661">
        <v>4161</v>
      </c>
      <c r="AB991" s="672">
        <f>+SUMIF(SYS_4_3_Digitos!$M$5:$M$1682,BALANCE!AA991,SYS_4_3_Digitos!$N$5:$N$1682)</f>
        <v>0</v>
      </c>
    </row>
    <row r="992" spans="22:28" hidden="1">
      <c r="V992" s="661">
        <v>3277</v>
      </c>
      <c r="W992" s="662">
        <f>+SUMIF(SYS_4_3_Digitos!$M$5:$M$1682,BALANCE!V992,SYS_4_3_Digitos!$N$5:$N$1682)</f>
        <v>0</v>
      </c>
      <c r="Z992" s="666"/>
      <c r="AA992" s="661">
        <v>4162</v>
      </c>
      <c r="AB992" s="672">
        <f>+SUMIF(SYS_4_3_Digitos!$M$5:$M$1682,BALANCE!AA992,SYS_4_3_Digitos!$N$5:$N$1682)</f>
        <v>0</v>
      </c>
    </row>
    <row r="993" spans="22:28" hidden="1">
      <c r="V993" s="661">
        <v>3278</v>
      </c>
      <c r="W993" s="662">
        <f>+SUMIF(SYS_4_3_Digitos!$M$5:$M$1682,BALANCE!V993,SYS_4_3_Digitos!$N$5:$N$1682)</f>
        <v>0</v>
      </c>
      <c r="Z993" s="666"/>
      <c r="AA993" s="661">
        <v>4163</v>
      </c>
      <c r="AB993" s="672">
        <f>+SUMIF(SYS_4_3_Digitos!$M$5:$M$1682,BALANCE!AA993,SYS_4_3_Digitos!$N$5:$N$1682)</f>
        <v>0</v>
      </c>
    </row>
    <row r="994" spans="22:28" hidden="1">
      <c r="V994" s="661">
        <v>3279</v>
      </c>
      <c r="W994" s="662">
        <f>+SUMIF(SYS_4_3_Digitos!$M$5:$M$1682,BALANCE!V994,SYS_4_3_Digitos!$N$5:$N$1682)</f>
        <v>0</v>
      </c>
      <c r="Z994" s="666"/>
      <c r="AA994" s="661">
        <v>4164</v>
      </c>
      <c r="AB994" s="672">
        <f>+SUMIF(SYS_4_3_Digitos!$M$5:$M$1682,BALANCE!AA994,SYS_4_3_Digitos!$N$5:$N$1682)</f>
        <v>0</v>
      </c>
    </row>
    <row r="995" spans="22:28" hidden="1">
      <c r="V995" s="661">
        <v>3280</v>
      </c>
      <c r="W995" s="662">
        <f>+SUMIF(SYS_4_3_Digitos!$M$5:$M$1682,BALANCE!V995,SYS_4_3_Digitos!$N$5:$N$1682)</f>
        <v>0</v>
      </c>
      <c r="Z995" s="666"/>
      <c r="AA995" s="661">
        <v>4165</v>
      </c>
      <c r="AB995" s="672">
        <f>+SUMIF(SYS_4_3_Digitos!$M$5:$M$1682,BALANCE!AA995,SYS_4_3_Digitos!$N$5:$N$1682)</f>
        <v>0</v>
      </c>
    </row>
    <row r="996" spans="22:28" hidden="1">
      <c r="V996" s="661">
        <v>3281</v>
      </c>
      <c r="W996" s="662">
        <f>+SUMIF(SYS_4_3_Digitos!$M$5:$M$1682,BALANCE!V996,SYS_4_3_Digitos!$N$5:$N$1682)</f>
        <v>0</v>
      </c>
      <c r="Z996" s="666"/>
      <c r="AA996" s="661">
        <v>4166</v>
      </c>
      <c r="AB996" s="672">
        <f>+SUMIF(SYS_4_3_Digitos!$M$5:$M$1682,BALANCE!AA996,SYS_4_3_Digitos!$N$5:$N$1682)</f>
        <v>0</v>
      </c>
    </row>
    <row r="997" spans="22:28" hidden="1">
      <c r="V997" s="661">
        <v>3282</v>
      </c>
      <c r="W997" s="662">
        <f>+SUMIF(SYS_4_3_Digitos!$M$5:$M$1682,BALANCE!V997,SYS_4_3_Digitos!$N$5:$N$1682)</f>
        <v>0</v>
      </c>
      <c r="Z997" s="666"/>
      <c r="AA997" s="661">
        <v>4167</v>
      </c>
      <c r="AB997" s="672">
        <f>+SUMIF(SYS_4_3_Digitos!$M$5:$M$1682,BALANCE!AA997,SYS_4_3_Digitos!$N$5:$N$1682)</f>
        <v>0</v>
      </c>
    </row>
    <row r="998" spans="22:28" hidden="1">
      <c r="V998" s="661">
        <v>3283</v>
      </c>
      <c r="W998" s="662">
        <f>+SUMIF(SYS_4_3_Digitos!$M$5:$M$1682,BALANCE!V998,SYS_4_3_Digitos!$N$5:$N$1682)</f>
        <v>0</v>
      </c>
      <c r="Z998" s="666"/>
      <c r="AA998" s="661">
        <v>4168</v>
      </c>
      <c r="AB998" s="672">
        <f>+SUMIF(SYS_4_3_Digitos!$M$5:$M$1682,BALANCE!AA998,SYS_4_3_Digitos!$N$5:$N$1682)</f>
        <v>0</v>
      </c>
    </row>
    <row r="999" spans="22:28" hidden="1">
      <c r="V999" s="661">
        <v>3284</v>
      </c>
      <c r="W999" s="662">
        <f>+SUMIF(SYS_4_3_Digitos!$M$5:$M$1682,BALANCE!V999,SYS_4_3_Digitos!$N$5:$N$1682)</f>
        <v>0</v>
      </c>
      <c r="Z999" s="666"/>
      <c r="AA999" s="661">
        <v>4169</v>
      </c>
      <c r="AB999" s="672">
        <f>+SUMIF(SYS_4_3_Digitos!$M$5:$M$1682,BALANCE!AA999,SYS_4_3_Digitos!$N$5:$N$1682)</f>
        <v>0</v>
      </c>
    </row>
    <row r="1000" spans="22:28" hidden="1">
      <c r="V1000" s="661">
        <v>3285</v>
      </c>
      <c r="W1000" s="662">
        <f>+SUMIF(SYS_4_3_Digitos!$M$5:$M$1682,BALANCE!V1000,SYS_4_3_Digitos!$N$5:$N$1682)</f>
        <v>0</v>
      </c>
      <c r="Z1000" s="666"/>
      <c r="AA1000" s="661">
        <v>4170</v>
      </c>
      <c r="AB1000" s="672">
        <f>+SUMIF(SYS_4_3_Digitos!$M$5:$M$1682,BALANCE!AA1000,SYS_4_3_Digitos!$N$5:$N$1682)</f>
        <v>0</v>
      </c>
    </row>
    <row r="1001" spans="22:28" hidden="1">
      <c r="V1001" s="661">
        <v>3286</v>
      </c>
      <c r="W1001" s="662">
        <f>+SUMIF(SYS_4_3_Digitos!$M$5:$M$1682,BALANCE!V1001,SYS_4_3_Digitos!$N$5:$N$1682)</f>
        <v>0</v>
      </c>
      <c r="Z1001" s="666"/>
      <c r="AA1001" s="661">
        <v>4171</v>
      </c>
      <c r="AB1001" s="672">
        <f>+SUMIF(SYS_4_3_Digitos!$M$5:$M$1682,BALANCE!AA1001,SYS_4_3_Digitos!$N$5:$N$1682)</f>
        <v>0</v>
      </c>
    </row>
    <row r="1002" spans="22:28" hidden="1">
      <c r="V1002" s="661">
        <v>3287</v>
      </c>
      <c r="W1002" s="662">
        <f>+SUMIF(SYS_4_3_Digitos!$M$5:$M$1682,BALANCE!V1002,SYS_4_3_Digitos!$N$5:$N$1682)</f>
        <v>0</v>
      </c>
      <c r="Z1002" s="666"/>
      <c r="AA1002" s="661">
        <v>4172</v>
      </c>
      <c r="AB1002" s="672">
        <f>+SUMIF(SYS_4_3_Digitos!$M$5:$M$1682,BALANCE!AA1002,SYS_4_3_Digitos!$N$5:$N$1682)</f>
        <v>0</v>
      </c>
    </row>
    <row r="1003" spans="22:28" hidden="1">
      <c r="V1003" s="661">
        <v>3288</v>
      </c>
      <c r="W1003" s="662">
        <f>+SUMIF(SYS_4_3_Digitos!$M$5:$M$1682,BALANCE!V1003,SYS_4_3_Digitos!$N$5:$N$1682)</f>
        <v>0</v>
      </c>
      <c r="Z1003" s="666"/>
      <c r="AA1003" s="661">
        <v>4173</v>
      </c>
      <c r="AB1003" s="672">
        <f>+SUMIF(SYS_4_3_Digitos!$M$5:$M$1682,BALANCE!AA1003,SYS_4_3_Digitos!$N$5:$N$1682)</f>
        <v>0</v>
      </c>
    </row>
    <row r="1004" spans="22:28" hidden="1">
      <c r="V1004" s="661">
        <v>3289</v>
      </c>
      <c r="W1004" s="662">
        <f>+SUMIF(SYS_4_3_Digitos!$M$5:$M$1682,BALANCE!V1004,SYS_4_3_Digitos!$N$5:$N$1682)</f>
        <v>0</v>
      </c>
      <c r="Z1004" s="666"/>
      <c r="AA1004" s="661">
        <v>4174</v>
      </c>
      <c r="AB1004" s="672">
        <f>+SUMIF(SYS_4_3_Digitos!$M$5:$M$1682,BALANCE!AA1004,SYS_4_3_Digitos!$N$5:$N$1682)</f>
        <v>0</v>
      </c>
    </row>
    <row r="1005" spans="22:28" hidden="1">
      <c r="V1005" s="661">
        <v>3290</v>
      </c>
      <c r="W1005" s="662">
        <f>+SUMIF(SYS_4_3_Digitos!$M$5:$M$1682,BALANCE!V1005,SYS_4_3_Digitos!$N$5:$N$1682)</f>
        <v>0</v>
      </c>
      <c r="Z1005" s="666"/>
      <c r="AA1005" s="661">
        <v>4175</v>
      </c>
      <c r="AB1005" s="672">
        <f>+SUMIF(SYS_4_3_Digitos!$M$5:$M$1682,BALANCE!AA1005,SYS_4_3_Digitos!$N$5:$N$1682)</f>
        <v>0</v>
      </c>
    </row>
    <row r="1006" spans="22:28" hidden="1">
      <c r="V1006" s="661">
        <v>3291</v>
      </c>
      <c r="W1006" s="662">
        <f>+SUMIF(SYS_4_3_Digitos!$M$5:$M$1682,BALANCE!V1006,SYS_4_3_Digitos!$N$5:$N$1682)</f>
        <v>0</v>
      </c>
      <c r="Z1006" s="666"/>
      <c r="AA1006" s="661">
        <v>4176</v>
      </c>
      <c r="AB1006" s="672">
        <f>+SUMIF(SYS_4_3_Digitos!$M$5:$M$1682,BALANCE!AA1006,SYS_4_3_Digitos!$N$5:$N$1682)</f>
        <v>0</v>
      </c>
    </row>
    <row r="1007" spans="22:28" hidden="1">
      <c r="V1007" s="661">
        <v>3292</v>
      </c>
      <c r="W1007" s="662">
        <f>+SUMIF(SYS_4_3_Digitos!$M$5:$M$1682,BALANCE!V1007,SYS_4_3_Digitos!$N$5:$N$1682)</f>
        <v>0</v>
      </c>
      <c r="Z1007" s="666"/>
      <c r="AA1007" s="661">
        <v>4177</v>
      </c>
      <c r="AB1007" s="672">
        <f>+SUMIF(SYS_4_3_Digitos!$M$5:$M$1682,BALANCE!AA1007,SYS_4_3_Digitos!$N$5:$N$1682)</f>
        <v>0</v>
      </c>
    </row>
    <row r="1008" spans="22:28" hidden="1">
      <c r="V1008" s="661">
        <v>3293</v>
      </c>
      <c r="W1008" s="662">
        <f>+SUMIF(SYS_4_3_Digitos!$M$5:$M$1682,BALANCE!V1008,SYS_4_3_Digitos!$N$5:$N$1682)</f>
        <v>0</v>
      </c>
      <c r="Z1008" s="666"/>
      <c r="AA1008" s="661">
        <v>4178</v>
      </c>
      <c r="AB1008" s="672">
        <f>+SUMIF(SYS_4_3_Digitos!$M$5:$M$1682,BALANCE!AA1008,SYS_4_3_Digitos!$N$5:$N$1682)</f>
        <v>0</v>
      </c>
    </row>
    <row r="1009" spans="22:28" hidden="1">
      <c r="V1009" s="661">
        <v>3294</v>
      </c>
      <c r="W1009" s="662">
        <f>+SUMIF(SYS_4_3_Digitos!$M$5:$M$1682,BALANCE!V1009,SYS_4_3_Digitos!$N$5:$N$1682)</f>
        <v>0</v>
      </c>
      <c r="Z1009" s="666"/>
      <c r="AA1009" s="661">
        <v>4179</v>
      </c>
      <c r="AB1009" s="672">
        <f>+SUMIF(SYS_4_3_Digitos!$M$5:$M$1682,BALANCE!AA1009,SYS_4_3_Digitos!$N$5:$N$1682)</f>
        <v>0</v>
      </c>
    </row>
    <row r="1010" spans="22:28" hidden="1">
      <c r="V1010" s="661">
        <v>3295</v>
      </c>
      <c r="W1010" s="662">
        <f>+SUMIF(SYS_4_3_Digitos!$M$5:$M$1682,BALANCE!V1010,SYS_4_3_Digitos!$N$5:$N$1682)</f>
        <v>0</v>
      </c>
      <c r="Z1010" s="666"/>
      <c r="AA1010" s="661">
        <v>4180</v>
      </c>
      <c r="AB1010" s="672">
        <f>+SUMIF(SYS_4_3_Digitos!$M$5:$M$1682,BALANCE!AA1010,SYS_4_3_Digitos!$N$5:$N$1682)</f>
        <v>0</v>
      </c>
    </row>
    <row r="1011" spans="22:28" hidden="1">
      <c r="V1011" s="661">
        <v>3296</v>
      </c>
      <c r="W1011" s="662">
        <f>+SUMIF(SYS_4_3_Digitos!$M$5:$M$1682,BALANCE!V1011,SYS_4_3_Digitos!$N$5:$N$1682)</f>
        <v>0</v>
      </c>
      <c r="Z1011" s="666"/>
      <c r="AA1011" s="661">
        <v>4181</v>
      </c>
      <c r="AB1011" s="672">
        <f>+SUMIF(SYS_4_3_Digitos!$M$5:$M$1682,BALANCE!AA1011,SYS_4_3_Digitos!$N$5:$N$1682)</f>
        <v>0</v>
      </c>
    </row>
    <row r="1012" spans="22:28" hidden="1">
      <c r="V1012" s="661">
        <v>3297</v>
      </c>
      <c r="W1012" s="662">
        <f>+SUMIF(SYS_4_3_Digitos!$M$5:$M$1682,BALANCE!V1012,SYS_4_3_Digitos!$N$5:$N$1682)</f>
        <v>0</v>
      </c>
      <c r="Z1012" s="666"/>
      <c r="AA1012" s="661">
        <v>4182</v>
      </c>
      <c r="AB1012" s="672">
        <f>+SUMIF(SYS_4_3_Digitos!$M$5:$M$1682,BALANCE!AA1012,SYS_4_3_Digitos!$N$5:$N$1682)</f>
        <v>0</v>
      </c>
    </row>
    <row r="1013" spans="22:28" hidden="1">
      <c r="V1013" s="661">
        <v>3298</v>
      </c>
      <c r="W1013" s="662">
        <f>+SUMIF(SYS_4_3_Digitos!$M$5:$M$1682,BALANCE!V1013,SYS_4_3_Digitos!$N$5:$N$1682)</f>
        <v>0</v>
      </c>
      <c r="Z1013" s="666"/>
      <c r="AA1013" s="661">
        <v>4183</v>
      </c>
      <c r="AB1013" s="672">
        <f>+SUMIF(SYS_4_3_Digitos!$M$5:$M$1682,BALANCE!AA1013,SYS_4_3_Digitos!$N$5:$N$1682)</f>
        <v>0</v>
      </c>
    </row>
    <row r="1014" spans="22:28" hidden="1">
      <c r="V1014" s="661">
        <v>3299</v>
      </c>
      <c r="W1014" s="662">
        <f>+SUMIF(SYS_4_3_Digitos!$M$5:$M$1682,BALANCE!V1014,SYS_4_3_Digitos!$N$5:$N$1682)</f>
        <v>0</v>
      </c>
      <c r="Z1014" s="666"/>
      <c r="AA1014" s="661">
        <v>4184</v>
      </c>
      <c r="AB1014" s="672">
        <f>+SUMIF(SYS_4_3_Digitos!$M$5:$M$1682,BALANCE!AA1014,SYS_4_3_Digitos!$N$5:$N$1682)</f>
        <v>0</v>
      </c>
    </row>
    <row r="1015" spans="22:28" hidden="1">
      <c r="V1015" s="661">
        <v>3910</v>
      </c>
      <c r="W1015" s="662">
        <f>+SUMIF(SYS_4_3_Digitos!$M$5:$M$1682,BALANCE!V1015,SYS_4_3_Digitos!$N$5:$N$1682)</f>
        <v>0</v>
      </c>
      <c r="Z1015" s="666"/>
      <c r="AA1015" s="661">
        <v>4185</v>
      </c>
      <c r="AB1015" s="672">
        <f>+SUMIF(SYS_4_3_Digitos!$M$5:$M$1682,BALANCE!AA1015,SYS_4_3_Digitos!$N$5:$N$1682)</f>
        <v>0</v>
      </c>
    </row>
    <row r="1016" spans="22:28" hidden="1">
      <c r="V1016" s="661">
        <v>3911</v>
      </c>
      <c r="W1016" s="662">
        <f>+SUMIF(SYS_4_3_Digitos!$M$5:$M$1682,BALANCE!V1016,SYS_4_3_Digitos!$N$5:$N$1682)</f>
        <v>0</v>
      </c>
      <c r="Z1016" s="666"/>
      <c r="AA1016" s="661">
        <v>4186</v>
      </c>
      <c r="AB1016" s="672">
        <f>+SUMIF(SYS_4_3_Digitos!$M$5:$M$1682,BALANCE!AA1016,SYS_4_3_Digitos!$N$5:$N$1682)</f>
        <v>0</v>
      </c>
    </row>
    <row r="1017" spans="22:28" hidden="1">
      <c r="V1017" s="661">
        <v>3912</v>
      </c>
      <c r="W1017" s="662">
        <f>+SUMIF(SYS_4_3_Digitos!$M$5:$M$1682,BALANCE!V1017,SYS_4_3_Digitos!$N$5:$N$1682)</f>
        <v>0</v>
      </c>
      <c r="Z1017" s="666"/>
      <c r="AA1017" s="661">
        <v>4187</v>
      </c>
      <c r="AB1017" s="672">
        <f>+SUMIF(SYS_4_3_Digitos!$M$5:$M$1682,BALANCE!AA1017,SYS_4_3_Digitos!$N$5:$N$1682)</f>
        <v>0</v>
      </c>
    </row>
    <row r="1018" spans="22:28" hidden="1">
      <c r="V1018" s="661">
        <v>3913</v>
      </c>
      <c r="W1018" s="662">
        <f>+SUMIF(SYS_4_3_Digitos!$M$5:$M$1682,BALANCE!V1018,SYS_4_3_Digitos!$N$5:$N$1682)</f>
        <v>0</v>
      </c>
      <c r="Z1018" s="666"/>
      <c r="AA1018" s="661">
        <v>4188</v>
      </c>
      <c r="AB1018" s="672">
        <f>+SUMIF(SYS_4_3_Digitos!$M$5:$M$1682,BALANCE!AA1018,SYS_4_3_Digitos!$N$5:$N$1682)</f>
        <v>0</v>
      </c>
    </row>
    <row r="1019" spans="22:28" hidden="1">
      <c r="V1019" s="661">
        <v>3914</v>
      </c>
      <c r="W1019" s="662">
        <f>+SUMIF(SYS_4_3_Digitos!$M$5:$M$1682,BALANCE!V1019,SYS_4_3_Digitos!$N$5:$N$1682)</f>
        <v>0</v>
      </c>
      <c r="Z1019" s="666"/>
      <c r="AA1019" s="661">
        <v>4189</v>
      </c>
      <c r="AB1019" s="672">
        <f>+SUMIF(SYS_4_3_Digitos!$M$5:$M$1682,BALANCE!AA1019,SYS_4_3_Digitos!$N$5:$N$1682)</f>
        <v>0</v>
      </c>
    </row>
    <row r="1020" spans="22:28" hidden="1">
      <c r="V1020" s="661">
        <v>3915</v>
      </c>
      <c r="W1020" s="662">
        <f>+SUMIF(SYS_4_3_Digitos!$M$5:$M$1682,BALANCE!V1020,SYS_4_3_Digitos!$N$5:$N$1682)</f>
        <v>0</v>
      </c>
      <c r="Z1020" s="666"/>
      <c r="AA1020" s="661">
        <v>4190</v>
      </c>
      <c r="AB1020" s="672">
        <f ca="1">+SUMIF(SYS_4_3_Digitos!$M$5:$M$1682,BALANCE!AA1020,SYS_4_3_Digitos!$N$5:$N$1682)</f>
        <v>0</v>
      </c>
    </row>
    <row r="1021" spans="22:28" hidden="1">
      <c r="V1021" s="661">
        <v>3916</v>
      </c>
      <c r="W1021" s="662">
        <f>+SUMIF(SYS_4_3_Digitos!$M$5:$M$1682,BALANCE!V1021,SYS_4_3_Digitos!$N$5:$N$1682)</f>
        <v>0</v>
      </c>
      <c r="Z1021" s="666"/>
      <c r="AA1021" s="661">
        <v>4191</v>
      </c>
      <c r="AB1021" s="672">
        <f>+SUMIF(SYS_4_3_Digitos!$M$5:$M$1682,BALANCE!AA1021,SYS_4_3_Digitos!$N$5:$N$1682)</f>
        <v>0</v>
      </c>
    </row>
    <row r="1022" spans="22:28" hidden="1">
      <c r="V1022" s="661">
        <v>3917</v>
      </c>
      <c r="W1022" s="662">
        <f>+SUMIF(SYS_4_3_Digitos!$M$5:$M$1682,BALANCE!V1022,SYS_4_3_Digitos!$N$5:$N$1682)</f>
        <v>0</v>
      </c>
      <c r="Z1022" s="666"/>
      <c r="AA1022" s="661">
        <v>4192</v>
      </c>
      <c r="AB1022" s="672">
        <f>+SUMIF(SYS_4_3_Digitos!$M$5:$M$1682,BALANCE!AA1022,SYS_4_3_Digitos!$N$5:$N$1682)</f>
        <v>0</v>
      </c>
    </row>
    <row r="1023" spans="22:28" hidden="1">
      <c r="V1023" s="661">
        <v>3918</v>
      </c>
      <c r="W1023" s="662">
        <f>+SUMIF(SYS_4_3_Digitos!$M$5:$M$1682,BALANCE!V1023,SYS_4_3_Digitos!$N$5:$N$1682)</f>
        <v>0</v>
      </c>
      <c r="Z1023" s="666"/>
      <c r="AA1023" s="661">
        <v>4193</v>
      </c>
      <c r="AB1023" s="672">
        <f>+SUMIF(SYS_4_3_Digitos!$M$5:$M$1682,BALANCE!AA1023,SYS_4_3_Digitos!$N$5:$N$1682)</f>
        <v>0</v>
      </c>
    </row>
    <row r="1024" spans="22:28" hidden="1">
      <c r="V1024" s="661">
        <v>3919</v>
      </c>
      <c r="W1024" s="662">
        <f>+SUMIF(SYS_4_3_Digitos!$M$5:$M$1682,BALANCE!V1024,SYS_4_3_Digitos!$N$5:$N$1682)</f>
        <v>0</v>
      </c>
      <c r="Z1024" s="666"/>
      <c r="AA1024" s="661">
        <v>4194</v>
      </c>
      <c r="AB1024" s="672">
        <f>+SUMIF(SYS_4_3_Digitos!$M$5:$M$1682,BALANCE!AA1024,SYS_4_3_Digitos!$N$5:$N$1682)</f>
        <v>0</v>
      </c>
    </row>
    <row r="1025" spans="21:28" hidden="1">
      <c r="V1025" s="661">
        <v>3920</v>
      </c>
      <c r="W1025" s="662">
        <f>+SUMIF(SYS_4_3_Digitos!$M$5:$M$1682,BALANCE!V1025,SYS_4_3_Digitos!$N$5:$N$1682)</f>
        <v>0</v>
      </c>
      <c r="Z1025" s="666"/>
      <c r="AA1025" s="661">
        <v>4195</v>
      </c>
      <c r="AB1025" s="672">
        <f>+SUMIF(SYS_4_3_Digitos!$M$5:$M$1682,BALANCE!AA1025,SYS_4_3_Digitos!$N$5:$N$1682)</f>
        <v>0</v>
      </c>
    </row>
    <row r="1026" spans="21:28" hidden="1">
      <c r="V1026" s="661">
        <v>3921</v>
      </c>
      <c r="W1026" s="662">
        <f>+SUMIF(SYS_4_3_Digitos!$M$5:$M$1682,BALANCE!V1026,SYS_4_3_Digitos!$N$5:$N$1682)</f>
        <v>0</v>
      </c>
      <c r="Z1026" s="666"/>
      <c r="AA1026" s="661">
        <v>4196</v>
      </c>
      <c r="AB1026" s="672">
        <f>+SUMIF(SYS_4_3_Digitos!$M$5:$M$1682,BALANCE!AA1026,SYS_4_3_Digitos!$N$5:$N$1682)</f>
        <v>0</v>
      </c>
    </row>
    <row r="1027" spans="21:28" hidden="1">
      <c r="V1027" s="661">
        <v>3922</v>
      </c>
      <c r="W1027" s="662">
        <f>+SUMIF(SYS_4_3_Digitos!$M$5:$M$1682,BALANCE!V1027,SYS_4_3_Digitos!$N$5:$N$1682)</f>
        <v>0</v>
      </c>
      <c r="Z1027" s="666"/>
      <c r="AA1027" s="661">
        <v>4197</v>
      </c>
      <c r="AB1027" s="672">
        <f>+SUMIF(SYS_4_3_Digitos!$M$5:$M$1682,BALANCE!AA1027,SYS_4_3_Digitos!$N$5:$N$1682)</f>
        <v>0</v>
      </c>
    </row>
    <row r="1028" spans="21:28" hidden="1">
      <c r="V1028" s="661">
        <v>3923</v>
      </c>
      <c r="W1028" s="662">
        <f>+SUMIF(SYS_4_3_Digitos!$M$5:$M$1682,BALANCE!V1028,SYS_4_3_Digitos!$N$5:$N$1682)</f>
        <v>0</v>
      </c>
      <c r="Z1028" s="666"/>
      <c r="AA1028" s="661">
        <v>4198</v>
      </c>
      <c r="AB1028" s="672">
        <f>+SUMIF(SYS_4_3_Digitos!$M$5:$M$1682,BALANCE!AA1028,SYS_4_3_Digitos!$N$5:$N$1682)</f>
        <v>0</v>
      </c>
    </row>
    <row r="1029" spans="21:28" hidden="1">
      <c r="V1029" s="661">
        <v>3924</v>
      </c>
      <c r="W1029" s="662">
        <f>+SUMIF(SYS_4_3_Digitos!$M$5:$M$1682,BALANCE!V1029,SYS_4_3_Digitos!$N$5:$N$1682)</f>
        <v>0</v>
      </c>
      <c r="Z1029" s="666" t="s">
        <v>164</v>
      </c>
      <c r="AA1029" s="661">
        <v>4199</v>
      </c>
      <c r="AB1029" s="672">
        <f>+SUMIF(SYS_4_3_Digitos!$M$5:$M$1682,BALANCE!AA1029,SYS_4_3_Digitos!$N$5:$N$1682)</f>
        <v>0</v>
      </c>
    </row>
    <row r="1030" spans="21:28" hidden="1">
      <c r="V1030" s="661">
        <v>3925</v>
      </c>
      <c r="W1030" s="662">
        <f>+SUMIF(SYS_4_3_Digitos!$M$5:$M$1682,BALANCE!V1030,SYS_4_3_Digitos!$N$5:$N$1682)</f>
        <v>0</v>
      </c>
      <c r="Z1030" s="666"/>
      <c r="AA1030" s="653" t="s">
        <v>102</v>
      </c>
      <c r="AB1030" s="667">
        <f ca="1">SUM(AB1031:AB1050)</f>
        <v>155.01</v>
      </c>
    </row>
    <row r="1031" spans="21:28" hidden="1">
      <c r="V1031" s="661">
        <v>3926</v>
      </c>
      <c r="W1031" s="662">
        <f>+SUMIF(SYS_4_3_Digitos!$M$5:$M$1682,BALANCE!V1031,SYS_4_3_Digitos!$N$5:$N$1682)</f>
        <v>0</v>
      </c>
      <c r="Z1031" s="666"/>
      <c r="AA1031" s="661">
        <v>4650</v>
      </c>
      <c r="AB1031" s="672">
        <f ca="1">+SUMIF(SYS_4_3_Digitos!$M$5:$M$1682,BALANCE!AA1031,SYS_4_3_Digitos!$N$5:$N$1682)</f>
        <v>155.01</v>
      </c>
    </row>
    <row r="1032" spans="21:28" hidden="1">
      <c r="V1032" s="661">
        <v>3927</v>
      </c>
      <c r="W1032" s="662">
        <f>+SUMIF(SYS_4_3_Digitos!$M$5:$M$1682,BALANCE!V1032,SYS_4_3_Digitos!$N$5:$N$1682)</f>
        <v>0</v>
      </c>
      <c r="Z1032" s="666"/>
      <c r="AA1032" s="661">
        <v>4651</v>
      </c>
      <c r="AB1032" s="672">
        <f>+SUMIF(SYS_4_3_Digitos!$M$5:$M$1682,BALANCE!AA1032,SYS_4_3_Digitos!$N$5:$N$1682)</f>
        <v>0</v>
      </c>
    </row>
    <row r="1033" spans="21:28" hidden="1">
      <c r="V1033" s="661">
        <v>3928</v>
      </c>
      <c r="W1033" s="662">
        <f>+SUMIF(SYS_4_3_Digitos!$M$5:$M$1682,BALANCE!V1033,SYS_4_3_Digitos!$N$5:$N$1682)</f>
        <v>0</v>
      </c>
      <c r="Z1033" s="666"/>
      <c r="AA1033" s="661">
        <v>4652</v>
      </c>
      <c r="AB1033" s="672">
        <f>+SUMIF(SYS_4_3_Digitos!$M$5:$M$1682,BALANCE!AA1033,SYS_4_3_Digitos!$N$5:$N$1682)</f>
        <v>0</v>
      </c>
    </row>
    <row r="1034" spans="21:28" hidden="1">
      <c r="U1034" s="715" t="s">
        <v>128</v>
      </c>
      <c r="V1034" s="661">
        <v>3929</v>
      </c>
      <c r="W1034" s="662">
        <f>+SUMIF(SYS_4_3_Digitos!$M$5:$M$1682,BALANCE!V1034,SYS_4_3_Digitos!$N$5:$N$1682)</f>
        <v>0</v>
      </c>
      <c r="Z1034" s="666"/>
      <c r="AA1034" s="661">
        <v>4653</v>
      </c>
      <c r="AB1034" s="672">
        <f>+SUMIF(SYS_4_3_Digitos!$M$5:$M$1682,BALANCE!AA1034,SYS_4_3_Digitos!$N$5:$N$1682)</f>
        <v>0</v>
      </c>
    </row>
    <row r="1035" spans="21:28" hidden="1">
      <c r="V1035" s="653" t="s">
        <v>33</v>
      </c>
      <c r="W1035" s="654">
        <f ca="1">SUM(W1036:W1145)</f>
        <v>4499319.3600000003</v>
      </c>
      <c r="Z1035" s="666"/>
      <c r="AA1035" s="661">
        <v>4654</v>
      </c>
      <c r="AB1035" s="672">
        <f>+SUMIF(SYS_4_3_Digitos!$M$5:$M$1682,BALANCE!AA1035,SYS_4_3_Digitos!$N$5:$N$1682)</f>
        <v>0</v>
      </c>
    </row>
    <row r="1036" spans="21:28" hidden="1">
      <c r="V1036" s="661">
        <v>3500</v>
      </c>
      <c r="W1036" s="662">
        <f ca="1">+SUMIF(SYS_4_3_Digitos!$M$5:$M$1682,BALANCE!V1036,SYS_4_3_Digitos!$N$5:$N$1682)</f>
        <v>4499319.3600000003</v>
      </c>
      <c r="Z1036" s="666"/>
      <c r="AA1036" s="661">
        <v>4655</v>
      </c>
      <c r="AB1036" s="672">
        <f>+SUMIF(SYS_4_3_Digitos!$M$5:$M$1682,BALANCE!AA1036,SYS_4_3_Digitos!$N$5:$N$1682)</f>
        <v>0</v>
      </c>
    </row>
    <row r="1037" spans="21:28" hidden="1">
      <c r="V1037" s="661">
        <v>3501</v>
      </c>
      <c r="W1037" s="662">
        <f>+SUMIF(SYS_4_3_Digitos!$M$5:$M$1682,BALANCE!V1037,SYS_4_3_Digitos!$N$5:$N$1682)</f>
        <v>0</v>
      </c>
      <c r="Z1037" s="666"/>
      <c r="AA1037" s="661">
        <v>4656</v>
      </c>
      <c r="AB1037" s="672">
        <f>+SUMIF(SYS_4_3_Digitos!$M$5:$M$1682,BALANCE!AA1037,SYS_4_3_Digitos!$N$5:$N$1682)</f>
        <v>0</v>
      </c>
    </row>
    <row r="1038" spans="21:28" hidden="1">
      <c r="V1038" s="661">
        <v>3502</v>
      </c>
      <c r="W1038" s="662">
        <f>+SUMIF(SYS_4_3_Digitos!$M$5:$M$1682,BALANCE!V1038,SYS_4_3_Digitos!$N$5:$N$1682)</f>
        <v>0</v>
      </c>
      <c r="Z1038" s="666"/>
      <c r="AA1038" s="661">
        <v>4657</v>
      </c>
      <c r="AB1038" s="672">
        <f>+SUMIF(SYS_4_3_Digitos!$M$5:$M$1682,BALANCE!AA1038,SYS_4_3_Digitos!$N$5:$N$1682)</f>
        <v>0</v>
      </c>
    </row>
    <row r="1039" spans="21:28" hidden="1">
      <c r="V1039" s="661">
        <v>3503</v>
      </c>
      <c r="W1039" s="662">
        <f>+SUMIF(SYS_4_3_Digitos!$M$5:$M$1682,BALANCE!V1039,SYS_4_3_Digitos!$N$5:$N$1682)</f>
        <v>0</v>
      </c>
      <c r="Z1039" s="666"/>
      <c r="AA1039" s="661">
        <v>4658</v>
      </c>
      <c r="AB1039" s="672">
        <f>+SUMIF(SYS_4_3_Digitos!$M$5:$M$1682,BALANCE!AA1039,SYS_4_3_Digitos!$N$5:$N$1682)</f>
        <v>0</v>
      </c>
    </row>
    <row r="1040" spans="21:28" hidden="1">
      <c r="V1040" s="661">
        <v>3504</v>
      </c>
      <c r="W1040" s="662">
        <f>+SUMIF(SYS_4_3_Digitos!$M$5:$M$1682,BALANCE!V1040,SYS_4_3_Digitos!$N$5:$N$1682)</f>
        <v>0</v>
      </c>
      <c r="Z1040" s="666"/>
      <c r="AA1040" s="661">
        <v>4659</v>
      </c>
      <c r="AB1040" s="672">
        <f>+SUMIF(SYS_4_3_Digitos!$M$5:$M$1682,BALANCE!AA1040,SYS_4_3_Digitos!$N$5:$N$1682)</f>
        <v>0</v>
      </c>
    </row>
    <row r="1041" spans="22:28" hidden="1">
      <c r="V1041" s="661">
        <v>3505</v>
      </c>
      <c r="W1041" s="662">
        <f>+SUMIF(SYS_4_3_Digitos!$M$5:$M$1682,BALANCE!V1041,SYS_4_3_Digitos!$N$5:$N$1682)</f>
        <v>0</v>
      </c>
      <c r="Z1041" s="666"/>
      <c r="AA1041" s="661">
        <v>4660</v>
      </c>
      <c r="AB1041" s="672">
        <f ca="1">+SUMIF(SYS_4_3_Digitos!$M$5:$M$1682,BALANCE!AA1041,SYS_4_3_Digitos!$N$5:$N$1682)</f>
        <v>0</v>
      </c>
    </row>
    <row r="1042" spans="22:28" hidden="1">
      <c r="V1042" s="661">
        <v>3506</v>
      </c>
      <c r="W1042" s="662">
        <f>+SUMIF(SYS_4_3_Digitos!$M$5:$M$1682,BALANCE!V1042,SYS_4_3_Digitos!$N$5:$N$1682)</f>
        <v>0</v>
      </c>
      <c r="Z1042" s="666"/>
      <c r="AA1042" s="661">
        <v>4661</v>
      </c>
      <c r="AB1042" s="672">
        <f>+SUMIF(SYS_4_3_Digitos!$M$5:$M$1682,BALANCE!AA1042,SYS_4_3_Digitos!$N$5:$N$1682)</f>
        <v>0</v>
      </c>
    </row>
    <row r="1043" spans="22:28" hidden="1">
      <c r="V1043" s="661">
        <v>3507</v>
      </c>
      <c r="W1043" s="662">
        <f>+SUMIF(SYS_4_3_Digitos!$M$5:$M$1682,BALANCE!V1043,SYS_4_3_Digitos!$N$5:$N$1682)</f>
        <v>0</v>
      </c>
      <c r="Z1043" s="666"/>
      <c r="AA1043" s="661">
        <v>4662</v>
      </c>
      <c r="AB1043" s="672">
        <f>+SUMIF(SYS_4_3_Digitos!$M$5:$M$1682,BALANCE!AA1043,SYS_4_3_Digitos!$N$5:$N$1682)</f>
        <v>0</v>
      </c>
    </row>
    <row r="1044" spans="22:28" hidden="1">
      <c r="V1044" s="661">
        <v>3508</v>
      </c>
      <c r="W1044" s="662">
        <f>+SUMIF(SYS_4_3_Digitos!$M$5:$M$1682,BALANCE!V1044,SYS_4_3_Digitos!$N$5:$N$1682)</f>
        <v>0</v>
      </c>
      <c r="Z1044" s="666"/>
      <c r="AA1044" s="661">
        <v>4663</v>
      </c>
      <c r="AB1044" s="672">
        <f>+SUMIF(SYS_4_3_Digitos!$M$5:$M$1682,BALANCE!AA1044,SYS_4_3_Digitos!$N$5:$N$1682)</f>
        <v>0</v>
      </c>
    </row>
    <row r="1045" spans="22:28" hidden="1">
      <c r="V1045" s="661">
        <v>3509</v>
      </c>
      <c r="W1045" s="662">
        <f>+SUMIF(SYS_4_3_Digitos!$M$5:$M$1682,BALANCE!V1045,SYS_4_3_Digitos!$N$5:$N$1682)</f>
        <v>0</v>
      </c>
      <c r="Z1045" s="666"/>
      <c r="AA1045" s="661">
        <v>4664</v>
      </c>
      <c r="AB1045" s="672">
        <f>+SUMIF(SYS_4_3_Digitos!$M$5:$M$1682,BALANCE!AA1045,SYS_4_3_Digitos!$N$5:$N$1682)</f>
        <v>0</v>
      </c>
    </row>
    <row r="1046" spans="22:28" hidden="1">
      <c r="V1046" s="661">
        <v>3510</v>
      </c>
      <c r="W1046" s="662">
        <f>+SUMIF(SYS_4_3_Digitos!$M$5:$M$1682,BALANCE!V1046,SYS_4_3_Digitos!$N$5:$N$1682)</f>
        <v>0</v>
      </c>
      <c r="Z1046" s="666"/>
      <c r="AA1046" s="661">
        <v>4665</v>
      </c>
      <c r="AB1046" s="672">
        <f>+SUMIF(SYS_4_3_Digitos!$M$5:$M$1682,BALANCE!AA1046,SYS_4_3_Digitos!$N$5:$N$1682)</f>
        <v>0</v>
      </c>
    </row>
    <row r="1047" spans="22:28" hidden="1">
      <c r="V1047" s="661">
        <v>3511</v>
      </c>
      <c r="W1047" s="662">
        <f>+SUMIF(SYS_4_3_Digitos!$M$5:$M$1682,BALANCE!V1047,SYS_4_3_Digitos!$N$5:$N$1682)</f>
        <v>0</v>
      </c>
      <c r="Z1047" s="666"/>
      <c r="AA1047" s="661">
        <v>4666</v>
      </c>
      <c r="AB1047" s="672">
        <f>+SUMIF(SYS_4_3_Digitos!$M$5:$M$1682,BALANCE!AA1047,SYS_4_3_Digitos!$N$5:$N$1682)</f>
        <v>0</v>
      </c>
    </row>
    <row r="1048" spans="22:28" hidden="1">
      <c r="V1048" s="661">
        <v>3512</v>
      </c>
      <c r="W1048" s="662">
        <f>+SUMIF(SYS_4_3_Digitos!$M$5:$M$1682,BALANCE!V1048,SYS_4_3_Digitos!$N$5:$N$1682)</f>
        <v>0</v>
      </c>
      <c r="Z1048" s="666"/>
      <c r="AA1048" s="661">
        <v>4667</v>
      </c>
      <c r="AB1048" s="672">
        <f>+SUMIF(SYS_4_3_Digitos!$M$5:$M$1682,BALANCE!AA1048,SYS_4_3_Digitos!$N$5:$N$1682)</f>
        <v>0</v>
      </c>
    </row>
    <row r="1049" spans="22:28" hidden="1">
      <c r="V1049" s="661">
        <v>3513</v>
      </c>
      <c r="W1049" s="662">
        <f>+SUMIF(SYS_4_3_Digitos!$M$5:$M$1682,BALANCE!V1049,SYS_4_3_Digitos!$N$5:$N$1682)</f>
        <v>0</v>
      </c>
      <c r="Z1049" s="666"/>
      <c r="AA1049" s="661">
        <v>4668</v>
      </c>
      <c r="AB1049" s="672">
        <f>+SUMIF(SYS_4_3_Digitos!$M$5:$M$1682,BALANCE!AA1049,SYS_4_3_Digitos!$N$5:$N$1682)</f>
        <v>0</v>
      </c>
    </row>
    <row r="1050" spans="22:28" hidden="1">
      <c r="V1050" s="661">
        <v>3514</v>
      </c>
      <c r="W1050" s="662">
        <f>+SUMIF(SYS_4_3_Digitos!$M$5:$M$1682,BALANCE!V1050,SYS_4_3_Digitos!$N$5:$N$1682)</f>
        <v>0</v>
      </c>
      <c r="Z1050" s="666">
        <v>4752</v>
      </c>
      <c r="AA1050" s="661">
        <v>4669</v>
      </c>
      <c r="AB1050" s="672">
        <f>+SUMIF(SYS_4_3_Digitos!$M$5:$M$1682,BALANCE!AA1050,SYS_4_3_Digitos!$N$5:$N$1682)</f>
        <v>0</v>
      </c>
    </row>
    <row r="1051" spans="22:28" hidden="1">
      <c r="V1051" s="661">
        <v>3515</v>
      </c>
      <c r="W1051" s="662">
        <f>+SUMIF(SYS_4_3_Digitos!$M$5:$M$1682,BALANCE!V1051,SYS_4_3_Digitos!$N$5:$N$1682)</f>
        <v>0</v>
      </c>
      <c r="Z1051" s="666"/>
      <c r="AA1051" s="653" t="s">
        <v>103</v>
      </c>
      <c r="AB1051" s="667">
        <f ca="1">+AB1052</f>
        <v>0</v>
      </c>
    </row>
    <row r="1052" spans="22:28" hidden="1">
      <c r="V1052" s="661">
        <v>3516</v>
      </c>
      <c r="W1052" s="662">
        <f>+SUMIF(SYS_4_3_Digitos!$M$5:$M$1682,BALANCE!V1052,SYS_4_3_Digitos!$N$5:$N$1682)</f>
        <v>0</v>
      </c>
      <c r="Z1052" s="666" t="s">
        <v>165</v>
      </c>
      <c r="AA1052" s="661">
        <v>4752</v>
      </c>
      <c r="AB1052" s="672">
        <f ca="1">+SUMIF(SYS_4_3_Digitos!$M$5:$M$1682,BALANCE!AA1052,SYS_4_3_Digitos!$N$5:$N$1682)</f>
        <v>0</v>
      </c>
    </row>
    <row r="1053" spans="22:28" hidden="1">
      <c r="V1053" s="661">
        <v>3517</v>
      </c>
      <c r="W1053" s="662">
        <f>+SUMIF(SYS_4_3_Digitos!$M$5:$M$1682,BALANCE!V1053,SYS_4_3_Digitos!$N$5:$N$1682)</f>
        <v>0</v>
      </c>
      <c r="Z1053" s="666"/>
      <c r="AA1053" s="653" t="s">
        <v>104</v>
      </c>
      <c r="AB1053" s="667">
        <f ca="1">SUM(AB1054:AB1067)</f>
        <v>-896717.19</v>
      </c>
    </row>
    <row r="1054" spans="22:28" hidden="1">
      <c r="V1054" s="661">
        <v>3518</v>
      </c>
      <c r="W1054" s="662">
        <f>+SUMIF(SYS_4_3_Digitos!$M$5:$M$1682,BALANCE!V1054,SYS_4_3_Digitos!$N$5:$N$1682)</f>
        <v>0</v>
      </c>
      <c r="Z1054" s="666"/>
      <c r="AA1054" s="661">
        <v>4750</v>
      </c>
      <c r="AB1054" s="672">
        <f ca="1">+SUMIF(SYS_4_3_Digitos!$M$5:$M$1682,BALANCE!AA1054,SYS_4_3_Digitos!$N$5:$N$1682)</f>
        <v>-674546.61</v>
      </c>
    </row>
    <row r="1055" spans="22:28" hidden="1">
      <c r="V1055" s="661">
        <v>3519</v>
      </c>
      <c r="W1055" s="662">
        <f>+SUMIF(SYS_4_3_Digitos!$M$5:$M$1682,BALANCE!V1055,SYS_4_3_Digitos!$N$5:$N$1682)</f>
        <v>0</v>
      </c>
      <c r="Z1055" s="666"/>
      <c r="AA1055" s="661">
        <v>4751</v>
      </c>
      <c r="AB1055" s="672">
        <f ca="1">+SUMIF(SYS_4_3_Digitos!$M$5:$M$1682,BALANCE!AA1055,SYS_4_3_Digitos!$N$5:$N$1682)</f>
        <v>-170101.03999999998</v>
      </c>
    </row>
    <row r="1056" spans="22:28" hidden="1">
      <c r="V1056" s="661">
        <v>3520</v>
      </c>
      <c r="W1056" s="662">
        <f>+SUMIF(SYS_4_3_Digitos!$M$5:$M$1682,BALANCE!V1056,SYS_4_3_Digitos!$N$5:$N$1682)</f>
        <v>0</v>
      </c>
      <c r="Z1056" s="666"/>
      <c r="AA1056" s="661">
        <v>4758</v>
      </c>
      <c r="AB1056" s="672">
        <f ca="1">+SUMIF(SYS_4_3_Digitos!$M$5:$M$1682,BALANCE!AA1056,SYS_4_3_Digitos!$N$5:$N$1682)</f>
        <v>0</v>
      </c>
    </row>
    <row r="1057" spans="22:28" hidden="1">
      <c r="V1057" s="661">
        <v>3521</v>
      </c>
      <c r="W1057" s="662">
        <f>+SUMIF(SYS_4_3_Digitos!$M$5:$M$1682,BALANCE!V1057,SYS_4_3_Digitos!$N$5:$N$1682)</f>
        <v>0</v>
      </c>
      <c r="Z1057" s="666"/>
      <c r="AA1057" s="661">
        <v>4760</v>
      </c>
      <c r="AB1057" s="672">
        <f ca="1">+SUMIF(SYS_4_3_Digitos!$M$5:$M$1682,BALANCE!AA1057,SYS_4_3_Digitos!$N$5:$N$1682)</f>
        <v>-52069.54</v>
      </c>
    </row>
    <row r="1058" spans="22:28" hidden="1">
      <c r="V1058" s="661">
        <v>3522</v>
      </c>
      <c r="W1058" s="662">
        <f>+SUMIF(SYS_4_3_Digitos!$M$5:$M$1682,BALANCE!V1058,SYS_4_3_Digitos!$N$5:$N$1682)</f>
        <v>0</v>
      </c>
      <c r="Z1058" s="666"/>
      <c r="AA1058" s="661">
        <v>4770</v>
      </c>
      <c r="AB1058" s="672">
        <f ca="1">+SUMIF(SYS_4_3_Digitos!$M$5:$M$1682,BALANCE!AA1058,SYS_4_3_Digitos!$N$5:$N$1682)</f>
        <v>0</v>
      </c>
    </row>
    <row r="1059" spans="22:28" hidden="1">
      <c r="V1059" s="661">
        <v>3523</v>
      </c>
      <c r="W1059" s="662">
        <f>+SUMIF(SYS_4_3_Digitos!$M$5:$M$1682,BALANCE!V1059,SYS_4_3_Digitos!$N$5:$N$1682)</f>
        <v>0</v>
      </c>
      <c r="Z1059" s="666"/>
      <c r="AA1059" s="661">
        <v>4771</v>
      </c>
      <c r="AB1059" s="672">
        <f>+SUMIF(SYS_4_3_Digitos!$M$5:$M$1682,BALANCE!AA1059,SYS_4_3_Digitos!$N$5:$N$1682)</f>
        <v>0</v>
      </c>
    </row>
    <row r="1060" spans="22:28" hidden="1">
      <c r="V1060" s="661">
        <v>3524</v>
      </c>
      <c r="W1060" s="662">
        <f>+SUMIF(SYS_4_3_Digitos!$M$5:$M$1682,BALANCE!V1060,SYS_4_3_Digitos!$N$5:$N$1682)</f>
        <v>0</v>
      </c>
      <c r="Z1060" s="666"/>
      <c r="AA1060" s="661">
        <v>4772</v>
      </c>
      <c r="AB1060" s="672">
        <f>+SUMIF(SYS_4_3_Digitos!$M$5:$M$1682,BALANCE!AA1060,SYS_4_3_Digitos!$N$5:$N$1682)</f>
        <v>0</v>
      </c>
    </row>
    <row r="1061" spans="22:28" hidden="1">
      <c r="V1061" s="661">
        <v>3525</v>
      </c>
      <c r="W1061" s="662">
        <f>+SUMIF(SYS_4_3_Digitos!$M$5:$M$1682,BALANCE!V1061,SYS_4_3_Digitos!$N$5:$N$1682)</f>
        <v>0</v>
      </c>
      <c r="Z1061" s="666"/>
      <c r="AA1061" s="661">
        <v>4773</v>
      </c>
      <c r="AB1061" s="672">
        <f>+SUMIF(SYS_4_3_Digitos!$M$5:$M$1682,BALANCE!AA1061,SYS_4_3_Digitos!$N$5:$N$1682)</f>
        <v>0</v>
      </c>
    </row>
    <row r="1062" spans="22:28" hidden="1">
      <c r="V1062" s="661">
        <v>3526</v>
      </c>
      <c r="W1062" s="662">
        <f>+SUMIF(SYS_4_3_Digitos!$M$5:$M$1682,BALANCE!V1062,SYS_4_3_Digitos!$N$5:$N$1682)</f>
        <v>0</v>
      </c>
      <c r="Z1062" s="666"/>
      <c r="AA1062" s="661">
        <v>4774</v>
      </c>
      <c r="AB1062" s="672">
        <f>+SUMIF(SYS_4_3_Digitos!$M$5:$M$1682,BALANCE!AA1062,SYS_4_3_Digitos!$N$5:$N$1682)</f>
        <v>0</v>
      </c>
    </row>
    <row r="1063" spans="22:28" hidden="1">
      <c r="V1063" s="661">
        <v>3527</v>
      </c>
      <c r="W1063" s="662">
        <f>+SUMIF(SYS_4_3_Digitos!$M$5:$M$1682,BALANCE!V1063,SYS_4_3_Digitos!$N$5:$N$1682)</f>
        <v>0</v>
      </c>
      <c r="Z1063" s="666"/>
      <c r="AA1063" s="661">
        <v>4775</v>
      </c>
      <c r="AB1063" s="672">
        <f>+SUMIF(SYS_4_3_Digitos!$M$5:$M$1682,BALANCE!AA1063,SYS_4_3_Digitos!$N$5:$N$1682)</f>
        <v>0</v>
      </c>
    </row>
    <row r="1064" spans="22:28" hidden="1">
      <c r="V1064" s="661">
        <v>3528</v>
      </c>
      <c r="W1064" s="662">
        <f>+SUMIF(SYS_4_3_Digitos!$M$5:$M$1682,BALANCE!V1064,SYS_4_3_Digitos!$N$5:$N$1682)</f>
        <v>0</v>
      </c>
      <c r="Z1064" s="666"/>
      <c r="AA1064" s="661">
        <v>4776</v>
      </c>
      <c r="AB1064" s="672">
        <f>+SUMIF(SYS_4_3_Digitos!$M$5:$M$1682,BALANCE!AA1064,SYS_4_3_Digitos!$N$5:$N$1682)</f>
        <v>0</v>
      </c>
    </row>
    <row r="1065" spans="22:28" hidden="1">
      <c r="V1065" s="661">
        <v>3529</v>
      </c>
      <c r="W1065" s="662">
        <f>+SUMIF(SYS_4_3_Digitos!$M$5:$M$1682,BALANCE!V1065,SYS_4_3_Digitos!$N$5:$N$1682)</f>
        <v>0</v>
      </c>
      <c r="Z1065" s="666"/>
      <c r="AA1065" s="661">
        <v>4777</v>
      </c>
      <c r="AB1065" s="672">
        <f>+SUMIF(SYS_4_3_Digitos!$M$5:$M$1682,BALANCE!AA1065,SYS_4_3_Digitos!$N$5:$N$1682)</f>
        <v>0</v>
      </c>
    </row>
    <row r="1066" spans="22:28" hidden="1">
      <c r="V1066" s="661">
        <v>3530</v>
      </c>
      <c r="W1066" s="662">
        <f>+SUMIF(SYS_4_3_Digitos!$M$5:$M$1682,BALANCE!V1066,SYS_4_3_Digitos!$N$5:$N$1682)</f>
        <v>0</v>
      </c>
      <c r="Z1066" s="666"/>
      <c r="AA1066" s="661">
        <v>4778</v>
      </c>
      <c r="AB1066" s="672">
        <f>+SUMIF(SYS_4_3_Digitos!$M$5:$M$1682,BALANCE!AA1066,SYS_4_3_Digitos!$N$5:$N$1682)</f>
        <v>0</v>
      </c>
    </row>
    <row r="1067" spans="22:28" hidden="1">
      <c r="V1067" s="661">
        <v>3531</v>
      </c>
      <c r="W1067" s="662">
        <f>+SUMIF(SYS_4_3_Digitos!$M$5:$M$1682,BALANCE!V1067,SYS_4_3_Digitos!$N$5:$N$1682)</f>
        <v>0</v>
      </c>
      <c r="Z1067" s="666">
        <v>438</v>
      </c>
      <c r="AA1067" s="661">
        <v>4779</v>
      </c>
      <c r="AB1067" s="672">
        <f>+SUMIF(SYS_4_3_Digitos!$M$5:$M$1682,BALANCE!AA1067,SYS_4_3_Digitos!$N$5:$N$1682)</f>
        <v>0</v>
      </c>
    </row>
    <row r="1068" spans="22:28" hidden="1">
      <c r="V1068" s="661">
        <v>3532</v>
      </c>
      <c r="W1068" s="662">
        <f>+SUMIF(SYS_4_3_Digitos!$M$5:$M$1682,BALANCE!V1068,SYS_4_3_Digitos!$N$5:$N$1682)</f>
        <v>0</v>
      </c>
      <c r="Z1068" s="666"/>
      <c r="AA1068" s="653" t="s">
        <v>105</v>
      </c>
      <c r="AB1068" s="667">
        <f ca="1">SUM(AB1069:AB1078)</f>
        <v>0</v>
      </c>
    </row>
    <row r="1069" spans="22:28" hidden="1">
      <c r="V1069" s="661">
        <v>3533</v>
      </c>
      <c r="W1069" s="662">
        <f>+SUMIF(SYS_4_3_Digitos!$M$5:$M$1682,BALANCE!V1069,SYS_4_3_Digitos!$N$5:$N$1682)</f>
        <v>0</v>
      </c>
      <c r="Z1069" s="666"/>
      <c r="AA1069" s="661">
        <v>4380</v>
      </c>
      <c r="AB1069" s="672">
        <f ca="1">+SUMIF(SYS_4_3_Digitos!$M$5:$M$1682,BALANCE!AA1069,SYS_4_3_Digitos!$N$5:$N$1682)</f>
        <v>0</v>
      </c>
    </row>
    <row r="1070" spans="22:28" hidden="1">
      <c r="V1070" s="661">
        <v>3534</v>
      </c>
      <c r="W1070" s="662">
        <f>+SUMIF(SYS_4_3_Digitos!$M$5:$M$1682,BALANCE!V1070,SYS_4_3_Digitos!$N$5:$N$1682)</f>
        <v>0</v>
      </c>
      <c r="Z1070" s="666"/>
      <c r="AA1070" s="661">
        <v>4381</v>
      </c>
      <c r="AB1070" s="672">
        <f>+SUMIF(SYS_4_3_Digitos!$M$5:$M$1682,BALANCE!AA1070,SYS_4_3_Digitos!$N$5:$N$1682)</f>
        <v>0</v>
      </c>
    </row>
    <row r="1071" spans="22:28" hidden="1">
      <c r="V1071" s="661">
        <v>3535</v>
      </c>
      <c r="W1071" s="662">
        <f>+SUMIF(SYS_4_3_Digitos!$M$5:$M$1682,BALANCE!V1071,SYS_4_3_Digitos!$N$5:$N$1682)</f>
        <v>0</v>
      </c>
      <c r="Z1071" s="666"/>
      <c r="AA1071" s="661">
        <v>4382</v>
      </c>
      <c r="AB1071" s="672">
        <f>+SUMIF(SYS_4_3_Digitos!$M$5:$M$1682,BALANCE!AA1071,SYS_4_3_Digitos!$N$5:$N$1682)</f>
        <v>0</v>
      </c>
    </row>
    <row r="1072" spans="22:28" hidden="1">
      <c r="V1072" s="661">
        <v>3536</v>
      </c>
      <c r="W1072" s="662">
        <f>+SUMIF(SYS_4_3_Digitos!$M$5:$M$1682,BALANCE!V1072,SYS_4_3_Digitos!$N$5:$N$1682)</f>
        <v>0</v>
      </c>
      <c r="Z1072" s="666"/>
      <c r="AA1072" s="661">
        <v>4383</v>
      </c>
      <c r="AB1072" s="672">
        <f>+SUMIF(SYS_4_3_Digitos!$M$5:$M$1682,BALANCE!AA1072,SYS_4_3_Digitos!$N$5:$N$1682)</f>
        <v>0</v>
      </c>
    </row>
    <row r="1073" spans="22:28" hidden="1">
      <c r="V1073" s="661">
        <v>3537</v>
      </c>
      <c r="W1073" s="662">
        <f>+SUMIF(SYS_4_3_Digitos!$M$5:$M$1682,BALANCE!V1073,SYS_4_3_Digitos!$N$5:$N$1682)</f>
        <v>0</v>
      </c>
      <c r="Z1073" s="666"/>
      <c r="AA1073" s="661">
        <v>4384</v>
      </c>
      <c r="AB1073" s="672">
        <f>+SUMIF(SYS_4_3_Digitos!$M$5:$M$1682,BALANCE!AA1073,SYS_4_3_Digitos!$N$5:$N$1682)</f>
        <v>0</v>
      </c>
    </row>
    <row r="1074" spans="22:28" hidden="1">
      <c r="V1074" s="661">
        <v>3538</v>
      </c>
      <c r="W1074" s="662">
        <f>+SUMIF(SYS_4_3_Digitos!$M$5:$M$1682,BALANCE!V1074,SYS_4_3_Digitos!$N$5:$N$1682)</f>
        <v>0</v>
      </c>
      <c r="Z1074" s="666"/>
      <c r="AA1074" s="661">
        <v>4385</v>
      </c>
      <c r="AB1074" s="672">
        <f>+SUMIF(SYS_4_3_Digitos!$M$5:$M$1682,BALANCE!AA1074,SYS_4_3_Digitos!$N$5:$N$1682)</f>
        <v>0</v>
      </c>
    </row>
    <row r="1075" spans="22:28" hidden="1">
      <c r="V1075" s="661">
        <v>3539</v>
      </c>
      <c r="W1075" s="662">
        <f>+SUMIF(SYS_4_3_Digitos!$M$5:$M$1682,BALANCE!V1075,SYS_4_3_Digitos!$N$5:$N$1682)</f>
        <v>0</v>
      </c>
      <c r="Z1075" s="666"/>
      <c r="AA1075" s="661">
        <v>4386</v>
      </c>
      <c r="AB1075" s="672">
        <f>+SUMIF(SYS_4_3_Digitos!$M$5:$M$1682,BALANCE!AA1075,SYS_4_3_Digitos!$N$5:$N$1682)</f>
        <v>0</v>
      </c>
    </row>
    <row r="1076" spans="22:28" hidden="1">
      <c r="V1076" s="661">
        <v>3540</v>
      </c>
      <c r="W1076" s="662">
        <f>+SUMIF(SYS_4_3_Digitos!$M$5:$M$1682,BALANCE!V1076,SYS_4_3_Digitos!$N$5:$N$1682)</f>
        <v>0</v>
      </c>
      <c r="Z1076" s="666"/>
      <c r="AA1076" s="661">
        <v>4387</v>
      </c>
      <c r="AB1076" s="672">
        <f>+SUMIF(SYS_4_3_Digitos!$M$5:$M$1682,BALANCE!AA1076,SYS_4_3_Digitos!$N$5:$N$1682)</f>
        <v>0</v>
      </c>
    </row>
    <row r="1077" spans="22:28" hidden="1">
      <c r="V1077" s="661">
        <v>3541</v>
      </c>
      <c r="W1077" s="662">
        <f>+SUMIF(SYS_4_3_Digitos!$M$5:$M$1682,BALANCE!V1077,SYS_4_3_Digitos!$N$5:$N$1682)</f>
        <v>0</v>
      </c>
      <c r="Z1077" s="666"/>
      <c r="AA1077" s="661">
        <v>4388</v>
      </c>
      <c r="AB1077" s="672">
        <f>+SUMIF(SYS_4_3_Digitos!$M$5:$M$1682,BALANCE!AA1077,SYS_4_3_Digitos!$N$5:$N$1682)</f>
        <v>0</v>
      </c>
    </row>
    <row r="1078" spans="22:28" hidden="1">
      <c r="V1078" s="661">
        <v>3542</v>
      </c>
      <c r="W1078" s="662">
        <f>+SUMIF(SYS_4_3_Digitos!$M$5:$M$1682,BALANCE!V1078,SYS_4_3_Digitos!$N$5:$N$1682)</f>
        <v>0</v>
      </c>
      <c r="Z1078" s="666" t="s">
        <v>166</v>
      </c>
      <c r="AA1078" s="661">
        <v>4389</v>
      </c>
      <c r="AB1078" s="672">
        <f>+SUMIF(SYS_4_3_Digitos!$M$5:$M$1682,BALANCE!AA1078,SYS_4_3_Digitos!$N$5:$N$1682)</f>
        <v>0</v>
      </c>
    </row>
    <row r="1079" spans="22:28" hidden="1">
      <c r="V1079" s="661">
        <v>3543</v>
      </c>
      <c r="W1079" s="662">
        <f>+SUMIF(SYS_4_3_Digitos!$M$5:$M$1682,BALANCE!V1079,SYS_4_3_Digitos!$N$5:$N$1682)</f>
        <v>0</v>
      </c>
      <c r="Z1079" s="666"/>
      <c r="AA1079" s="664" t="s">
        <v>106</v>
      </c>
      <c r="AB1079" s="642">
        <f ca="1">+AB1080+AB1090</f>
        <v>0</v>
      </c>
    </row>
    <row r="1080" spans="22:28" hidden="1">
      <c r="V1080" s="661">
        <v>3544</v>
      </c>
      <c r="W1080" s="662">
        <f>+SUMIF(SYS_4_3_Digitos!$M$5:$M$1682,BALANCE!V1080,SYS_4_3_Digitos!$N$5:$N$1682)</f>
        <v>0</v>
      </c>
      <c r="Z1080" s="666"/>
      <c r="AA1080" s="661">
        <v>4850</v>
      </c>
      <c r="AB1080" s="672">
        <f ca="1">+SUMIF(SYS_4_3_Digitos!$M$5:$M$1682,BALANCE!AA1080,SYS_4_3_Digitos!$N$5:$N$1682)</f>
        <v>0</v>
      </c>
    </row>
    <row r="1081" spans="22:28" hidden="1">
      <c r="V1081" s="661">
        <v>3545</v>
      </c>
      <c r="W1081" s="662">
        <f>+SUMIF(SYS_4_3_Digitos!$M$5:$M$1682,BALANCE!V1081,SYS_4_3_Digitos!$N$5:$N$1682)</f>
        <v>0</v>
      </c>
      <c r="Z1081" s="666"/>
      <c r="AA1081" s="661">
        <v>4851</v>
      </c>
      <c r="AB1081" s="672">
        <f>+SUMIF(SYS_4_3_Digitos!$M$5:$M$1682,BALANCE!AA1081,SYS_4_3_Digitos!$N$5:$N$1682)</f>
        <v>0</v>
      </c>
    </row>
    <row r="1082" spans="22:28" hidden="1">
      <c r="V1082" s="661">
        <v>3546</v>
      </c>
      <c r="W1082" s="662">
        <f>+SUMIF(SYS_4_3_Digitos!$M$5:$M$1682,BALANCE!V1082,SYS_4_3_Digitos!$N$5:$N$1682)</f>
        <v>0</v>
      </c>
      <c r="Z1082" s="666"/>
      <c r="AA1082" s="661">
        <v>4852</v>
      </c>
      <c r="AB1082" s="672">
        <f>+SUMIF(SYS_4_3_Digitos!$M$5:$M$1682,BALANCE!AA1082,SYS_4_3_Digitos!$N$5:$N$1682)</f>
        <v>0</v>
      </c>
    </row>
    <row r="1083" spans="22:28" hidden="1">
      <c r="V1083" s="661">
        <v>3547</v>
      </c>
      <c r="W1083" s="662">
        <f>+SUMIF(SYS_4_3_Digitos!$M$5:$M$1682,BALANCE!V1083,SYS_4_3_Digitos!$N$5:$N$1682)</f>
        <v>0</v>
      </c>
      <c r="Z1083" s="666"/>
      <c r="AA1083" s="661">
        <v>4853</v>
      </c>
      <c r="AB1083" s="672">
        <f>+SUMIF(SYS_4_3_Digitos!$M$5:$M$1682,BALANCE!AA1083,SYS_4_3_Digitos!$N$5:$N$1682)</f>
        <v>0</v>
      </c>
    </row>
    <row r="1084" spans="22:28" hidden="1">
      <c r="V1084" s="661">
        <v>3548</v>
      </c>
      <c r="W1084" s="662">
        <f>+SUMIF(SYS_4_3_Digitos!$M$5:$M$1682,BALANCE!V1084,SYS_4_3_Digitos!$N$5:$N$1682)</f>
        <v>0</v>
      </c>
      <c r="Z1084" s="666"/>
      <c r="AA1084" s="661">
        <v>4854</v>
      </c>
      <c r="AB1084" s="672">
        <f>+SUMIF(SYS_4_3_Digitos!$M$5:$M$1682,BALANCE!AA1084,SYS_4_3_Digitos!$N$5:$N$1682)</f>
        <v>0</v>
      </c>
    </row>
    <row r="1085" spans="22:28" hidden="1">
      <c r="V1085" s="661">
        <v>3549</v>
      </c>
      <c r="W1085" s="662">
        <f>+SUMIF(SYS_4_3_Digitos!$M$5:$M$1682,BALANCE!V1085,SYS_4_3_Digitos!$N$5:$N$1682)</f>
        <v>0</v>
      </c>
      <c r="Z1085" s="666"/>
      <c r="AA1085" s="661">
        <v>4855</v>
      </c>
      <c r="AB1085" s="672">
        <f>+SUMIF(SYS_4_3_Digitos!$M$5:$M$1682,BALANCE!AA1085,SYS_4_3_Digitos!$N$5:$N$1682)</f>
        <v>0</v>
      </c>
    </row>
    <row r="1086" spans="22:28" hidden="1">
      <c r="V1086" s="661">
        <v>3550</v>
      </c>
      <c r="W1086" s="662">
        <f>+SUMIF(SYS_4_3_Digitos!$M$5:$M$1682,BALANCE!V1086,SYS_4_3_Digitos!$N$5:$N$1682)</f>
        <v>0</v>
      </c>
      <c r="Z1086" s="666"/>
      <c r="AA1086" s="661">
        <v>4856</v>
      </c>
      <c r="AB1086" s="672">
        <f>+SUMIF(SYS_4_3_Digitos!$M$5:$M$1682,BALANCE!AA1086,SYS_4_3_Digitos!$N$5:$N$1682)</f>
        <v>0</v>
      </c>
    </row>
    <row r="1087" spans="22:28" hidden="1">
      <c r="V1087" s="661">
        <v>3551</v>
      </c>
      <c r="W1087" s="662">
        <f>+SUMIF(SYS_4_3_Digitos!$M$5:$M$1682,BALANCE!V1087,SYS_4_3_Digitos!$N$5:$N$1682)</f>
        <v>0</v>
      </c>
      <c r="Z1087" s="666"/>
      <c r="AA1087" s="661">
        <v>4857</v>
      </c>
      <c r="AB1087" s="672">
        <f>+SUMIF(SYS_4_3_Digitos!$M$5:$M$1682,BALANCE!AA1087,SYS_4_3_Digitos!$N$5:$N$1682)</f>
        <v>0</v>
      </c>
    </row>
    <row r="1088" spans="22:28" hidden="1">
      <c r="V1088" s="661">
        <v>3552</v>
      </c>
      <c r="W1088" s="662">
        <f>+SUMIF(SYS_4_3_Digitos!$M$5:$M$1682,BALANCE!V1088,SYS_4_3_Digitos!$N$5:$N$1682)</f>
        <v>0</v>
      </c>
      <c r="Z1088" s="666"/>
      <c r="AA1088" s="661">
        <v>4858</v>
      </c>
      <c r="AB1088" s="672">
        <f>+SUMIF(SYS_4_3_Digitos!$M$5:$M$1682,BALANCE!AA1088,SYS_4_3_Digitos!$N$5:$N$1682)</f>
        <v>0</v>
      </c>
    </row>
    <row r="1089" spans="22:28" hidden="1">
      <c r="V1089" s="661">
        <v>3553</v>
      </c>
      <c r="W1089" s="662">
        <f>+SUMIF(SYS_4_3_Digitos!$M$5:$M$1682,BALANCE!V1089,SYS_4_3_Digitos!$N$5:$N$1682)</f>
        <v>0</v>
      </c>
      <c r="Z1089" s="666"/>
      <c r="AA1089" s="661">
        <v>4859</v>
      </c>
      <c r="AB1089" s="672">
        <f>+SUMIF(SYS_4_3_Digitos!$M$5:$M$1682,BALANCE!AA1089,SYS_4_3_Digitos!$N$5:$N$1682)</f>
        <v>0</v>
      </c>
    </row>
    <row r="1090" spans="22:28" hidden="1">
      <c r="V1090" s="661">
        <v>3554</v>
      </c>
      <c r="W1090" s="662">
        <f>+SUMIF(SYS_4_3_Digitos!$M$5:$M$1682,BALANCE!V1090,SYS_4_3_Digitos!$N$5:$N$1682)</f>
        <v>0</v>
      </c>
      <c r="Z1090" s="666"/>
      <c r="AA1090" s="661">
        <v>5680</v>
      </c>
      <c r="AB1090" s="672">
        <f ca="1">+SUMIF(SYS_4_3_Digitos!$M$5:$M$1682,BALANCE!AA1090,SYS_4_3_Digitos!$N$5:$N$1682)</f>
        <v>0</v>
      </c>
    </row>
    <row r="1091" spans="22:28" hidden="1">
      <c r="V1091" s="661">
        <v>3555</v>
      </c>
      <c r="W1091" s="662">
        <f>+SUMIF(SYS_4_3_Digitos!$M$5:$M$1682,BALANCE!V1091,SYS_4_3_Digitos!$N$5:$N$1682)</f>
        <v>0</v>
      </c>
      <c r="Z1091" s="666"/>
      <c r="AA1091" s="661">
        <v>5681</v>
      </c>
      <c r="AB1091" s="672">
        <f>+SUMIF(SYS_4_3_Digitos!$M$5:$M$1682,BALANCE!AA1091,SYS_4_3_Digitos!$N$5:$N$1682)</f>
        <v>0</v>
      </c>
    </row>
    <row r="1092" spans="22:28" hidden="1">
      <c r="V1092" s="661">
        <v>3556</v>
      </c>
      <c r="W1092" s="662">
        <f>+SUMIF(SYS_4_3_Digitos!$M$5:$M$1682,BALANCE!V1092,SYS_4_3_Digitos!$N$5:$N$1682)</f>
        <v>0</v>
      </c>
      <c r="Z1092" s="666"/>
      <c r="AA1092" s="661">
        <v>5682</v>
      </c>
      <c r="AB1092" s="672">
        <f>+SUMIF(SYS_4_3_Digitos!$M$5:$M$1682,BALANCE!AA1092,SYS_4_3_Digitos!$N$5:$N$1682)</f>
        <v>0</v>
      </c>
    </row>
    <row r="1093" spans="22:28" hidden="1">
      <c r="V1093" s="661">
        <v>3557</v>
      </c>
      <c r="W1093" s="662">
        <f>+SUMIF(SYS_4_3_Digitos!$M$5:$M$1682,BALANCE!V1093,SYS_4_3_Digitos!$N$5:$N$1682)</f>
        <v>0</v>
      </c>
      <c r="Z1093" s="666"/>
      <c r="AA1093" s="661">
        <v>5683</v>
      </c>
      <c r="AB1093" s="672">
        <f>+SUMIF(SYS_4_3_Digitos!$M$5:$M$1682,BALANCE!AA1093,SYS_4_3_Digitos!$N$5:$N$1682)</f>
        <v>0</v>
      </c>
    </row>
    <row r="1094" spans="22:28" hidden="1">
      <c r="V1094" s="661">
        <v>3558</v>
      </c>
      <c r="W1094" s="662">
        <f>+SUMIF(SYS_4_3_Digitos!$M$5:$M$1682,BALANCE!V1094,SYS_4_3_Digitos!$N$5:$N$1682)</f>
        <v>0</v>
      </c>
      <c r="Z1094" s="666"/>
      <c r="AA1094" s="661">
        <v>5684</v>
      </c>
      <c r="AB1094" s="672">
        <f>+SUMIF(SYS_4_3_Digitos!$M$5:$M$1682,BALANCE!AA1094,SYS_4_3_Digitos!$N$5:$N$1682)</f>
        <v>0</v>
      </c>
    </row>
    <row r="1095" spans="22:28" hidden="1">
      <c r="V1095" s="661">
        <v>3559</v>
      </c>
      <c r="W1095" s="662">
        <f>+SUMIF(SYS_4_3_Digitos!$M$5:$M$1682,BALANCE!V1095,SYS_4_3_Digitos!$N$5:$N$1682)</f>
        <v>0</v>
      </c>
      <c r="Z1095" s="666"/>
      <c r="AA1095" s="661">
        <v>5685</v>
      </c>
      <c r="AB1095" s="672">
        <f>+SUMIF(SYS_4_3_Digitos!$M$5:$M$1682,BALANCE!AA1095,SYS_4_3_Digitos!$N$5:$N$1682)</f>
        <v>0</v>
      </c>
    </row>
    <row r="1096" spans="22:28" hidden="1">
      <c r="V1096" s="661">
        <v>3560</v>
      </c>
      <c r="W1096" s="662">
        <f>+SUMIF(SYS_4_3_Digitos!$M$5:$M$1682,BALANCE!V1096,SYS_4_3_Digitos!$N$5:$N$1682)</f>
        <v>0</v>
      </c>
      <c r="Z1096" s="666"/>
      <c r="AA1096" s="661">
        <v>5686</v>
      </c>
      <c r="AB1096" s="672">
        <f>+SUMIF(SYS_4_3_Digitos!$M$5:$M$1682,BALANCE!AA1096,SYS_4_3_Digitos!$N$5:$N$1682)</f>
        <v>0</v>
      </c>
    </row>
    <row r="1097" spans="22:28" hidden="1">
      <c r="V1097" s="661">
        <v>3561</v>
      </c>
      <c r="W1097" s="662">
        <f>+SUMIF(SYS_4_3_Digitos!$M$5:$M$1682,BALANCE!V1097,SYS_4_3_Digitos!$N$5:$N$1682)</f>
        <v>0</v>
      </c>
      <c r="Z1097" s="666"/>
      <c r="AA1097" s="661">
        <v>5687</v>
      </c>
      <c r="AB1097" s="672">
        <f>+SUMIF(SYS_4_3_Digitos!$M$5:$M$1682,BALANCE!AA1097,SYS_4_3_Digitos!$N$5:$N$1682)</f>
        <v>0</v>
      </c>
    </row>
    <row r="1098" spans="22:28" hidden="1">
      <c r="V1098" s="661">
        <v>3562</v>
      </c>
      <c r="W1098" s="662">
        <f>+SUMIF(SYS_4_3_Digitos!$M$5:$M$1682,BALANCE!V1098,SYS_4_3_Digitos!$N$5:$N$1682)</f>
        <v>0</v>
      </c>
      <c r="Z1098" s="666"/>
      <c r="AA1098" s="661">
        <v>5688</v>
      </c>
      <c r="AB1098" s="672">
        <f>+SUMIF(SYS_4_3_Digitos!$M$5:$M$1682,BALANCE!AA1098,SYS_4_3_Digitos!$N$5:$N$1682)</f>
        <v>0</v>
      </c>
    </row>
    <row r="1099" spans="22:28" hidden="1">
      <c r="V1099" s="661">
        <v>3563</v>
      </c>
      <c r="W1099" s="662">
        <f>+SUMIF(SYS_4_3_Digitos!$M$5:$M$1682,BALANCE!V1099,SYS_4_3_Digitos!$N$5:$N$1682)</f>
        <v>0</v>
      </c>
      <c r="Z1099" s="666" t="s">
        <v>167</v>
      </c>
      <c r="AA1099" s="661">
        <v>5689</v>
      </c>
      <c r="AB1099" s="672">
        <f>+SUMIF(SYS_4_3_Digitos!$M$5:$M$1682,BALANCE!AA1099,SYS_4_3_Digitos!$N$5:$N$1682)</f>
        <v>0</v>
      </c>
    </row>
    <row r="1100" spans="22:28" hidden="1">
      <c r="V1100" s="661">
        <v>3564</v>
      </c>
      <c r="W1100" s="662">
        <f>+SUMIF(SYS_4_3_Digitos!$M$5:$M$1682,BALANCE!V1100,SYS_4_3_Digitos!$N$5:$N$1682)</f>
        <v>0</v>
      </c>
      <c r="Z1100" s="666"/>
      <c r="AA1100" s="664" t="s">
        <v>107</v>
      </c>
      <c r="AB1100" s="642">
        <f ca="1">SUM(AB1101:AB1130)</f>
        <v>0</v>
      </c>
    </row>
    <row r="1101" spans="22:28" hidden="1">
      <c r="V1101" s="661">
        <v>3565</v>
      </c>
      <c r="W1101" s="662">
        <f>+SUMIF(SYS_4_3_Digitos!$M$5:$M$1682,BALANCE!V1101,SYS_4_3_Digitos!$N$5:$N$1682)</f>
        <v>0</v>
      </c>
      <c r="Z1101" s="666"/>
      <c r="AA1101" s="661">
        <v>1950</v>
      </c>
      <c r="AB1101" s="672">
        <f ca="1">+SUMIF(SYS_4_3_Digitos!$M$5:$M$1682,BALANCE!AA1101,SYS_4_3_Digitos!$N$5:$N$1682)</f>
        <v>0</v>
      </c>
    </row>
    <row r="1102" spans="22:28" hidden="1">
      <c r="V1102" s="661">
        <v>3566</v>
      </c>
      <c r="W1102" s="662">
        <f>+SUMIF(SYS_4_3_Digitos!$M$5:$M$1682,BALANCE!V1102,SYS_4_3_Digitos!$N$5:$N$1682)</f>
        <v>0</v>
      </c>
      <c r="Z1102" s="666"/>
      <c r="AA1102" s="661">
        <v>1951</v>
      </c>
      <c r="AB1102" s="672">
        <f>+SUMIF(SYS_4_3_Digitos!$M$5:$M$1682,BALANCE!AA1102,SYS_4_3_Digitos!$N$5:$N$1682)</f>
        <v>0</v>
      </c>
    </row>
    <row r="1103" spans="22:28" hidden="1">
      <c r="V1103" s="661">
        <v>3567</v>
      </c>
      <c r="W1103" s="662">
        <f>+SUMIF(SYS_4_3_Digitos!$M$5:$M$1682,BALANCE!V1103,SYS_4_3_Digitos!$N$5:$N$1682)</f>
        <v>0</v>
      </c>
      <c r="Z1103" s="666"/>
      <c r="AA1103" s="661">
        <v>1952</v>
      </c>
      <c r="AB1103" s="672">
        <f>+SUMIF(SYS_4_3_Digitos!$M$5:$M$1682,BALANCE!AA1103,SYS_4_3_Digitos!$N$5:$N$1682)</f>
        <v>0</v>
      </c>
    </row>
    <row r="1104" spans="22:28" hidden="1">
      <c r="V1104" s="661">
        <v>3568</v>
      </c>
      <c r="W1104" s="662">
        <f>+SUMIF(SYS_4_3_Digitos!$M$5:$M$1682,BALANCE!V1104,SYS_4_3_Digitos!$N$5:$N$1682)</f>
        <v>0</v>
      </c>
      <c r="Z1104" s="666"/>
      <c r="AA1104" s="661">
        <v>1953</v>
      </c>
      <c r="AB1104" s="672">
        <f>+SUMIF(SYS_4_3_Digitos!$M$5:$M$1682,BALANCE!AA1104,SYS_4_3_Digitos!$N$5:$N$1682)</f>
        <v>0</v>
      </c>
    </row>
    <row r="1105" spans="22:28" hidden="1">
      <c r="V1105" s="661">
        <v>3569</v>
      </c>
      <c r="W1105" s="662">
        <f>+SUMIF(SYS_4_3_Digitos!$M$5:$M$1682,BALANCE!V1105,SYS_4_3_Digitos!$N$5:$N$1682)</f>
        <v>0</v>
      </c>
      <c r="Z1105" s="666"/>
      <c r="AA1105" s="661">
        <v>1954</v>
      </c>
      <c r="AB1105" s="672">
        <f>+SUMIF(SYS_4_3_Digitos!$M$5:$M$1682,BALANCE!AA1105,SYS_4_3_Digitos!$N$5:$N$1682)</f>
        <v>0</v>
      </c>
    </row>
    <row r="1106" spans="22:28" hidden="1">
      <c r="V1106" s="661">
        <v>3570</v>
      </c>
      <c r="W1106" s="662">
        <f>+SUMIF(SYS_4_3_Digitos!$M$5:$M$1682,BALANCE!V1106,SYS_4_3_Digitos!$N$5:$N$1682)</f>
        <v>0</v>
      </c>
      <c r="Z1106" s="666"/>
      <c r="AA1106" s="661">
        <v>1955</v>
      </c>
      <c r="AB1106" s="672">
        <f>+SUMIF(SYS_4_3_Digitos!$M$5:$M$1682,BALANCE!AA1106,SYS_4_3_Digitos!$N$5:$N$1682)</f>
        <v>0</v>
      </c>
    </row>
    <row r="1107" spans="22:28" hidden="1">
      <c r="V1107" s="661">
        <v>3571</v>
      </c>
      <c r="W1107" s="662">
        <f>+SUMIF(SYS_4_3_Digitos!$M$5:$M$1682,BALANCE!V1107,SYS_4_3_Digitos!$N$5:$N$1682)</f>
        <v>0</v>
      </c>
      <c r="Z1107" s="666"/>
      <c r="AA1107" s="661">
        <v>1956</v>
      </c>
      <c r="AB1107" s="672">
        <f>+SUMIF(SYS_4_3_Digitos!$M$5:$M$1682,BALANCE!AA1107,SYS_4_3_Digitos!$N$5:$N$1682)</f>
        <v>0</v>
      </c>
    </row>
    <row r="1108" spans="22:28" hidden="1">
      <c r="V1108" s="661">
        <v>3572</v>
      </c>
      <c r="W1108" s="662">
        <f>+SUMIF(SYS_4_3_Digitos!$M$5:$M$1682,BALANCE!V1108,SYS_4_3_Digitos!$N$5:$N$1682)</f>
        <v>0</v>
      </c>
      <c r="Z1108" s="666"/>
      <c r="AA1108" s="661">
        <v>1957</v>
      </c>
      <c r="AB1108" s="672">
        <f>+SUMIF(SYS_4_3_Digitos!$M$5:$M$1682,BALANCE!AA1108,SYS_4_3_Digitos!$N$5:$N$1682)</f>
        <v>0</v>
      </c>
    </row>
    <row r="1109" spans="22:28" hidden="1">
      <c r="V1109" s="661">
        <v>3573</v>
      </c>
      <c r="W1109" s="662">
        <f>+SUMIF(SYS_4_3_Digitos!$M$5:$M$1682,BALANCE!V1109,SYS_4_3_Digitos!$N$5:$N$1682)</f>
        <v>0</v>
      </c>
      <c r="Z1109" s="666"/>
      <c r="AA1109" s="661">
        <v>1958</v>
      </c>
      <c r="AB1109" s="672">
        <f>+SUMIF(SYS_4_3_Digitos!$M$5:$M$1682,BALANCE!AA1109,SYS_4_3_Digitos!$N$5:$N$1682)</f>
        <v>0</v>
      </c>
    </row>
    <row r="1110" spans="22:28" hidden="1">
      <c r="V1110" s="661">
        <v>3574</v>
      </c>
      <c r="W1110" s="662">
        <f>+SUMIF(SYS_4_3_Digitos!$M$5:$M$1682,BALANCE!V1110,SYS_4_3_Digitos!$N$5:$N$1682)</f>
        <v>0</v>
      </c>
      <c r="Z1110" s="666"/>
      <c r="AA1110" s="661">
        <v>1959</v>
      </c>
      <c r="AB1110" s="672">
        <f>+SUMIF(SYS_4_3_Digitos!$M$5:$M$1682,BALANCE!AA1110,SYS_4_3_Digitos!$N$5:$N$1682)</f>
        <v>0</v>
      </c>
    </row>
    <row r="1111" spans="22:28" hidden="1">
      <c r="V1111" s="661">
        <v>3575</v>
      </c>
      <c r="W1111" s="662">
        <f>+SUMIF(SYS_4_3_Digitos!$M$5:$M$1682,BALANCE!V1111,SYS_4_3_Digitos!$N$5:$N$1682)</f>
        <v>0</v>
      </c>
      <c r="Z1111" s="666"/>
      <c r="AA1111" s="661">
        <v>1970</v>
      </c>
      <c r="AB1111" s="672">
        <f ca="1">+SUMIF(SYS_4_3_Digitos!$M$5:$M$1682,BALANCE!AA1111,SYS_4_3_Digitos!$N$5:$N$1682)</f>
        <v>0</v>
      </c>
    </row>
    <row r="1112" spans="22:28" hidden="1">
      <c r="V1112" s="661">
        <v>3576</v>
      </c>
      <c r="W1112" s="662">
        <f>+SUMIF(SYS_4_3_Digitos!$M$5:$M$1682,BALANCE!V1112,SYS_4_3_Digitos!$N$5:$N$1682)</f>
        <v>0</v>
      </c>
      <c r="Z1112" s="666"/>
      <c r="AA1112" s="661">
        <v>1971</v>
      </c>
      <c r="AB1112" s="672">
        <f>+SUMIF(SYS_4_3_Digitos!$M$5:$M$1682,BALANCE!AA1112,SYS_4_3_Digitos!$N$5:$N$1682)</f>
        <v>0</v>
      </c>
    </row>
    <row r="1113" spans="22:28" hidden="1">
      <c r="V1113" s="661">
        <v>3577</v>
      </c>
      <c r="W1113" s="662">
        <f>+SUMIF(SYS_4_3_Digitos!$M$5:$M$1682,BALANCE!V1113,SYS_4_3_Digitos!$N$5:$N$1682)</f>
        <v>0</v>
      </c>
      <c r="Z1113" s="666"/>
      <c r="AA1113" s="661">
        <v>1972</v>
      </c>
      <c r="AB1113" s="672">
        <f>+SUMIF(SYS_4_3_Digitos!$M$5:$M$1682,BALANCE!AA1113,SYS_4_3_Digitos!$N$5:$N$1682)</f>
        <v>0</v>
      </c>
    </row>
    <row r="1114" spans="22:28" hidden="1">
      <c r="V1114" s="661">
        <v>3578</v>
      </c>
      <c r="W1114" s="662">
        <f>+SUMIF(SYS_4_3_Digitos!$M$5:$M$1682,BALANCE!V1114,SYS_4_3_Digitos!$N$5:$N$1682)</f>
        <v>0</v>
      </c>
      <c r="Z1114" s="666"/>
      <c r="AA1114" s="661">
        <v>1973</v>
      </c>
      <c r="AB1114" s="672">
        <f>+SUMIF(SYS_4_3_Digitos!$M$5:$M$1682,BALANCE!AA1114,SYS_4_3_Digitos!$N$5:$N$1682)</f>
        <v>0</v>
      </c>
    </row>
    <row r="1115" spans="22:28" hidden="1">
      <c r="V1115" s="661">
        <v>3579</v>
      </c>
      <c r="W1115" s="662">
        <f>+SUMIF(SYS_4_3_Digitos!$M$5:$M$1682,BALANCE!V1115,SYS_4_3_Digitos!$N$5:$N$1682)</f>
        <v>0</v>
      </c>
      <c r="Z1115" s="666"/>
      <c r="AA1115" s="661">
        <v>1974</v>
      </c>
      <c r="AB1115" s="672">
        <f>+SUMIF(SYS_4_3_Digitos!$M$5:$M$1682,BALANCE!AA1115,SYS_4_3_Digitos!$N$5:$N$1682)</f>
        <v>0</v>
      </c>
    </row>
    <row r="1116" spans="22:28" hidden="1">
      <c r="V1116" s="661">
        <v>3580</v>
      </c>
      <c r="W1116" s="662">
        <f>+SUMIF(SYS_4_3_Digitos!$M$5:$M$1682,BALANCE!V1116,SYS_4_3_Digitos!$N$5:$N$1682)</f>
        <v>0</v>
      </c>
      <c r="Z1116" s="666"/>
      <c r="AA1116" s="661">
        <v>1975</v>
      </c>
      <c r="AB1116" s="672">
        <f>+SUMIF(SYS_4_3_Digitos!$M$5:$M$1682,BALANCE!AA1116,SYS_4_3_Digitos!$N$5:$N$1682)</f>
        <v>0</v>
      </c>
    </row>
    <row r="1117" spans="22:28" hidden="1">
      <c r="V1117" s="661">
        <v>3581</v>
      </c>
      <c r="W1117" s="662">
        <f>+SUMIF(SYS_4_3_Digitos!$M$5:$M$1682,BALANCE!V1117,SYS_4_3_Digitos!$N$5:$N$1682)</f>
        <v>0</v>
      </c>
      <c r="Z1117" s="666"/>
      <c r="AA1117" s="661">
        <v>1976</v>
      </c>
      <c r="AB1117" s="672">
        <f>+SUMIF(SYS_4_3_Digitos!$M$5:$M$1682,BALANCE!AA1117,SYS_4_3_Digitos!$N$5:$N$1682)</f>
        <v>0</v>
      </c>
    </row>
    <row r="1118" spans="22:28" hidden="1">
      <c r="V1118" s="661">
        <v>3582</v>
      </c>
      <c r="W1118" s="662">
        <f>+SUMIF(SYS_4_3_Digitos!$M$5:$M$1682,BALANCE!V1118,SYS_4_3_Digitos!$N$5:$N$1682)</f>
        <v>0</v>
      </c>
      <c r="Z1118" s="666"/>
      <c r="AA1118" s="661">
        <v>1977</v>
      </c>
      <c r="AB1118" s="672">
        <f>+SUMIF(SYS_4_3_Digitos!$M$5:$M$1682,BALANCE!AA1118,SYS_4_3_Digitos!$N$5:$N$1682)</f>
        <v>0</v>
      </c>
    </row>
    <row r="1119" spans="22:28" hidden="1">
      <c r="V1119" s="661">
        <v>3583</v>
      </c>
      <c r="W1119" s="662">
        <f>+SUMIF(SYS_4_3_Digitos!$M$5:$M$1682,BALANCE!V1119,SYS_4_3_Digitos!$N$5:$N$1682)</f>
        <v>0</v>
      </c>
      <c r="Z1119" s="666"/>
      <c r="AA1119" s="661">
        <v>1978</v>
      </c>
      <c r="AB1119" s="672">
        <f>+SUMIF(SYS_4_3_Digitos!$M$5:$M$1682,BALANCE!AA1119,SYS_4_3_Digitos!$N$5:$N$1682)</f>
        <v>0</v>
      </c>
    </row>
    <row r="1120" spans="22:28" hidden="1">
      <c r="V1120" s="661">
        <v>3584</v>
      </c>
      <c r="W1120" s="662">
        <f>+SUMIF(SYS_4_3_Digitos!$M$5:$M$1682,BALANCE!V1120,SYS_4_3_Digitos!$N$5:$N$1682)</f>
        <v>0</v>
      </c>
      <c r="Z1120" s="666"/>
      <c r="AA1120" s="661">
        <v>1979</v>
      </c>
      <c r="AB1120" s="672">
        <f>+SUMIF(SYS_4_3_Digitos!$M$5:$M$1682,BALANCE!AA1120,SYS_4_3_Digitos!$N$5:$N$1682)</f>
        <v>0</v>
      </c>
    </row>
    <row r="1121" spans="22:28" hidden="1">
      <c r="V1121" s="661">
        <v>3585</v>
      </c>
      <c r="W1121" s="662">
        <f>+SUMIF(SYS_4_3_Digitos!$M$5:$M$1682,BALANCE!V1121,SYS_4_3_Digitos!$N$5:$N$1682)</f>
        <v>0</v>
      </c>
      <c r="Z1121" s="666"/>
      <c r="AA1121" s="661">
        <v>1990</v>
      </c>
      <c r="AB1121" s="672">
        <f ca="1">+SUMIF(SYS_4_3_Digitos!$M$5:$M$1682,BALANCE!AA1121,SYS_4_3_Digitos!$N$5:$N$1682)</f>
        <v>0</v>
      </c>
    </row>
    <row r="1122" spans="22:28" hidden="1">
      <c r="V1122" s="661">
        <v>3586</v>
      </c>
      <c r="W1122" s="662">
        <f>+SUMIF(SYS_4_3_Digitos!$M$5:$M$1682,BALANCE!V1122,SYS_4_3_Digitos!$N$5:$N$1682)</f>
        <v>0</v>
      </c>
      <c r="Z1122" s="666"/>
      <c r="AA1122" s="661">
        <v>1991</v>
      </c>
      <c r="AB1122" s="672">
        <f>+SUMIF(SYS_4_3_Digitos!$M$5:$M$1682,BALANCE!AA1122,SYS_4_3_Digitos!$N$5:$N$1682)</f>
        <v>0</v>
      </c>
    </row>
    <row r="1123" spans="22:28" hidden="1">
      <c r="V1123" s="661">
        <v>3587</v>
      </c>
      <c r="W1123" s="662">
        <f>+SUMIF(SYS_4_3_Digitos!$M$5:$M$1682,BALANCE!V1123,SYS_4_3_Digitos!$N$5:$N$1682)</f>
        <v>0</v>
      </c>
      <c r="Z1123" s="666"/>
      <c r="AA1123" s="661">
        <v>1992</v>
      </c>
      <c r="AB1123" s="672">
        <f>+SUMIF(SYS_4_3_Digitos!$M$5:$M$1682,BALANCE!AA1123,SYS_4_3_Digitos!$N$5:$N$1682)</f>
        <v>0</v>
      </c>
    </row>
    <row r="1124" spans="22:28" hidden="1">
      <c r="V1124" s="661">
        <v>3588</v>
      </c>
      <c r="W1124" s="662">
        <f>+SUMIF(SYS_4_3_Digitos!$M$5:$M$1682,BALANCE!V1124,SYS_4_3_Digitos!$N$5:$N$1682)</f>
        <v>0</v>
      </c>
      <c r="Z1124" s="666"/>
      <c r="AA1124" s="661">
        <v>1993</v>
      </c>
      <c r="AB1124" s="672">
        <f>+SUMIF(SYS_4_3_Digitos!$M$5:$M$1682,BALANCE!AA1124,SYS_4_3_Digitos!$N$5:$N$1682)</f>
        <v>0</v>
      </c>
    </row>
    <row r="1125" spans="22:28" hidden="1">
      <c r="V1125" s="661">
        <v>3589</v>
      </c>
      <c r="W1125" s="662">
        <f>+SUMIF(SYS_4_3_Digitos!$M$5:$M$1682,BALANCE!V1125,SYS_4_3_Digitos!$N$5:$N$1682)</f>
        <v>0</v>
      </c>
      <c r="Z1125" s="666"/>
      <c r="AA1125" s="661">
        <v>1994</v>
      </c>
      <c r="AB1125" s="672">
        <f>+SUMIF(SYS_4_3_Digitos!$M$5:$M$1682,BALANCE!AA1125,SYS_4_3_Digitos!$N$5:$N$1682)</f>
        <v>0</v>
      </c>
    </row>
    <row r="1126" spans="22:28" hidden="1">
      <c r="V1126" s="661">
        <v>3590</v>
      </c>
      <c r="W1126" s="662">
        <f>+SUMIF(SYS_4_3_Digitos!$M$5:$M$1682,BALANCE!V1126,SYS_4_3_Digitos!$N$5:$N$1682)</f>
        <v>0</v>
      </c>
      <c r="Z1126" s="666"/>
      <c r="AA1126" s="661">
        <v>1995</v>
      </c>
      <c r="AB1126" s="672">
        <f>+SUMIF(SYS_4_3_Digitos!$M$5:$M$1682,BALANCE!AA1126,SYS_4_3_Digitos!$N$5:$N$1682)</f>
        <v>0</v>
      </c>
    </row>
    <row r="1127" spans="22:28" hidden="1">
      <c r="V1127" s="661">
        <v>3591</v>
      </c>
      <c r="W1127" s="662">
        <f>+SUMIF(SYS_4_3_Digitos!$M$5:$M$1682,BALANCE!V1127,SYS_4_3_Digitos!$N$5:$N$1682)</f>
        <v>0</v>
      </c>
      <c r="Z1127" s="666"/>
      <c r="AA1127" s="661">
        <v>1996</v>
      </c>
      <c r="AB1127" s="672">
        <f>+SUMIF(SYS_4_3_Digitos!$M$5:$M$1682,BALANCE!AA1127,SYS_4_3_Digitos!$N$5:$N$1682)</f>
        <v>0</v>
      </c>
    </row>
    <row r="1128" spans="22:28" hidden="1">
      <c r="V1128" s="661">
        <v>3592</v>
      </c>
      <c r="W1128" s="662">
        <f>+SUMIF(SYS_4_3_Digitos!$M$5:$M$1682,BALANCE!V1128,SYS_4_3_Digitos!$N$5:$N$1682)</f>
        <v>0</v>
      </c>
      <c r="Z1128" s="666"/>
      <c r="AA1128" s="661">
        <v>1997</v>
      </c>
      <c r="AB1128" s="672">
        <f>+SUMIF(SYS_4_3_Digitos!$M$5:$M$1682,BALANCE!AA1128,SYS_4_3_Digitos!$N$5:$N$1682)</f>
        <v>0</v>
      </c>
    </row>
    <row r="1129" spans="22:28" hidden="1">
      <c r="V1129" s="661">
        <v>3593</v>
      </c>
      <c r="W1129" s="662">
        <f>+SUMIF(SYS_4_3_Digitos!$M$5:$M$1682,BALANCE!V1129,SYS_4_3_Digitos!$N$5:$N$1682)</f>
        <v>0</v>
      </c>
      <c r="AA1129" s="661">
        <v>1998</v>
      </c>
      <c r="AB1129" s="672">
        <f>+SUMIF(SYS_4_3_Digitos!$M$5:$M$1682,BALANCE!AA1129,SYS_4_3_Digitos!$N$5:$N$1682)</f>
        <v>0</v>
      </c>
    </row>
    <row r="1130" spans="22:28" hidden="1">
      <c r="V1130" s="661">
        <v>3594</v>
      </c>
      <c r="W1130" s="662">
        <f>+SUMIF(SYS_4_3_Digitos!$M$5:$M$1682,BALANCE!V1130,SYS_4_3_Digitos!$N$5:$N$1682)</f>
        <v>0</v>
      </c>
      <c r="AA1130" s="661">
        <v>1999</v>
      </c>
      <c r="AB1130" s="672">
        <f>+SUMIF(SYS_4_3_Digitos!$M$5:$M$1682,BALANCE!AA1130,SYS_4_3_Digitos!$N$5:$N$1682)</f>
        <v>0</v>
      </c>
    </row>
    <row r="1131" spans="22:28" ht="17.399999999999999" hidden="1">
      <c r="V1131" s="661">
        <v>3595</v>
      </c>
      <c r="W1131" s="662">
        <f>+SUMIF(SYS_4_3_Digitos!$M$5:$M$1682,BALANCE!V1131,SYS_4_3_Digitos!$N$5:$N$1682)</f>
        <v>0</v>
      </c>
      <c r="AA1131" s="620" t="s">
        <v>108</v>
      </c>
      <c r="AB1131" s="623"/>
    </row>
    <row r="1132" spans="22:28" hidden="1">
      <c r="V1132" s="661">
        <v>3596</v>
      </c>
      <c r="W1132" s="662">
        <f>+SUMIF(SYS_4_3_Digitos!$M$5:$M$1682,BALANCE!V1132,SYS_4_3_Digitos!$N$5:$N$1682)</f>
        <v>0</v>
      </c>
    </row>
    <row r="1133" spans="22:28" hidden="1">
      <c r="V1133" s="661">
        <v>3597</v>
      </c>
      <c r="W1133" s="662">
        <f>+SUMIF(SYS_4_3_Digitos!$M$5:$M$1682,BALANCE!V1133,SYS_4_3_Digitos!$N$5:$N$1682)</f>
        <v>0</v>
      </c>
    </row>
    <row r="1134" spans="22:28" hidden="1">
      <c r="V1134" s="661">
        <v>3598</v>
      </c>
      <c r="W1134" s="662">
        <f>+SUMIF(SYS_4_3_Digitos!$M$5:$M$1682,BALANCE!V1134,SYS_4_3_Digitos!$N$5:$N$1682)</f>
        <v>0</v>
      </c>
    </row>
    <row r="1135" spans="22:28" hidden="1">
      <c r="V1135" s="661">
        <v>3599</v>
      </c>
      <c r="W1135" s="662">
        <f>+SUMIF(SYS_4_3_Digitos!$M$5:$M$1682,BALANCE!V1135,SYS_4_3_Digitos!$N$5:$N$1682)</f>
        <v>0</v>
      </c>
    </row>
    <row r="1136" spans="22:28" hidden="1">
      <c r="V1136" s="661">
        <v>3950</v>
      </c>
      <c r="W1136" s="662">
        <f>+SUMIF(SYS_4_3_Digitos!$M$5:$M$1682,BALANCE!V1136,SYS_4_3_Digitos!$N$5:$N$1682)</f>
        <v>0</v>
      </c>
    </row>
    <row r="1137" spans="21:23" hidden="1">
      <c r="V1137" s="661">
        <v>3951</v>
      </c>
      <c r="W1137" s="662">
        <f>+SUMIF(SYS_4_3_Digitos!$M$5:$M$1682,BALANCE!V1137,SYS_4_3_Digitos!$N$5:$N$1682)</f>
        <v>0</v>
      </c>
    </row>
    <row r="1138" spans="21:23" hidden="1">
      <c r="V1138" s="661">
        <v>3952</v>
      </c>
      <c r="W1138" s="662">
        <f>+SUMIF(SYS_4_3_Digitos!$M$5:$M$1682,BALANCE!V1138,SYS_4_3_Digitos!$N$5:$N$1682)</f>
        <v>0</v>
      </c>
    </row>
    <row r="1139" spans="21:23" hidden="1">
      <c r="V1139" s="661">
        <v>3953</v>
      </c>
      <c r="W1139" s="662">
        <f>+SUMIF(SYS_4_3_Digitos!$M$5:$M$1682,BALANCE!V1139,SYS_4_3_Digitos!$N$5:$N$1682)</f>
        <v>0</v>
      </c>
    </row>
    <row r="1140" spans="21:23" hidden="1">
      <c r="V1140" s="661">
        <v>3954</v>
      </c>
      <c r="W1140" s="662">
        <f>+SUMIF(SYS_4_3_Digitos!$M$5:$M$1682,BALANCE!V1140,SYS_4_3_Digitos!$N$5:$N$1682)</f>
        <v>0</v>
      </c>
    </row>
    <row r="1141" spans="21:23" hidden="1">
      <c r="V1141" s="661">
        <v>3955</v>
      </c>
      <c r="W1141" s="662">
        <f>+SUMIF(SYS_4_3_Digitos!$M$5:$M$1682,BALANCE!V1141,SYS_4_3_Digitos!$N$5:$N$1682)</f>
        <v>0</v>
      </c>
    </row>
    <row r="1142" spans="21:23" hidden="1">
      <c r="V1142" s="661">
        <v>3956</v>
      </c>
      <c r="W1142" s="662">
        <f>+SUMIF(SYS_4_3_Digitos!$M$5:$M$1682,BALANCE!V1142,SYS_4_3_Digitos!$N$5:$N$1682)</f>
        <v>0</v>
      </c>
    </row>
    <row r="1143" spans="21:23" hidden="1">
      <c r="V1143" s="661">
        <v>3957</v>
      </c>
      <c r="W1143" s="662">
        <f>+SUMIF(SYS_4_3_Digitos!$M$5:$M$1682,BALANCE!V1143,SYS_4_3_Digitos!$N$5:$N$1682)</f>
        <v>0</v>
      </c>
    </row>
    <row r="1144" spans="21:23" hidden="1">
      <c r="V1144" s="661">
        <v>3958</v>
      </c>
      <c r="W1144" s="662">
        <f>+SUMIF(SYS_4_3_Digitos!$M$5:$M$1682,BALANCE!V1144,SYS_4_3_Digitos!$N$5:$N$1682)</f>
        <v>0</v>
      </c>
    </row>
    <row r="1145" spans="21:23" hidden="1">
      <c r="U1145" s="715" t="s">
        <v>129</v>
      </c>
      <c r="V1145" s="661">
        <v>3959</v>
      </c>
      <c r="W1145" s="662">
        <f>+SUMIF(SYS_4_3_Digitos!$M$5:$M$1682,BALANCE!V1145,SYS_4_3_Digitos!$N$5:$N$1682)</f>
        <v>0</v>
      </c>
    </row>
    <row r="1146" spans="21:23" hidden="1">
      <c r="V1146" s="653" t="s">
        <v>34</v>
      </c>
      <c r="W1146" s="654">
        <f ca="1">SUM(W1147:W1476)</f>
        <v>0</v>
      </c>
    </row>
    <row r="1147" spans="21:23" hidden="1">
      <c r="V1147" s="661">
        <v>3300</v>
      </c>
      <c r="W1147" s="662">
        <f ca="1">+SUMIF(SYS_4_3_Digitos!$M$5:$M$1682,BALANCE!V1147,SYS_4_3_Digitos!$N$5:$N$1682)</f>
        <v>0</v>
      </c>
    </row>
    <row r="1148" spans="21:23" hidden="1">
      <c r="V1148" s="661">
        <v>3301</v>
      </c>
      <c r="W1148" s="662">
        <f>+SUMIF(SYS_4_3_Digitos!$M$5:$M$1682,BALANCE!V1148,SYS_4_3_Digitos!$N$5:$N$1682)</f>
        <v>0</v>
      </c>
    </row>
    <row r="1149" spans="21:23" hidden="1">
      <c r="V1149" s="661">
        <v>3302</v>
      </c>
      <c r="W1149" s="662">
        <f>+SUMIF(SYS_4_3_Digitos!$M$5:$M$1682,BALANCE!V1149,SYS_4_3_Digitos!$N$5:$N$1682)</f>
        <v>0</v>
      </c>
    </row>
    <row r="1150" spans="21:23" hidden="1">
      <c r="V1150" s="661">
        <v>3303</v>
      </c>
      <c r="W1150" s="662">
        <f>+SUMIF(SYS_4_3_Digitos!$M$5:$M$1682,BALANCE!V1150,SYS_4_3_Digitos!$N$5:$N$1682)</f>
        <v>0</v>
      </c>
    </row>
    <row r="1151" spans="21:23" hidden="1">
      <c r="V1151" s="661">
        <v>3304</v>
      </c>
      <c r="W1151" s="662">
        <f>+SUMIF(SYS_4_3_Digitos!$M$5:$M$1682,BALANCE!V1151,SYS_4_3_Digitos!$N$5:$N$1682)</f>
        <v>0</v>
      </c>
    </row>
    <row r="1152" spans="21:23" hidden="1">
      <c r="V1152" s="661">
        <v>3305</v>
      </c>
      <c r="W1152" s="662">
        <f>+SUMIF(SYS_4_3_Digitos!$M$5:$M$1682,BALANCE!V1152,SYS_4_3_Digitos!$N$5:$N$1682)</f>
        <v>0</v>
      </c>
    </row>
    <row r="1153" spans="22:23" hidden="1">
      <c r="V1153" s="661">
        <v>3306</v>
      </c>
      <c r="W1153" s="662">
        <f>+SUMIF(SYS_4_3_Digitos!$M$5:$M$1682,BALANCE!V1153,SYS_4_3_Digitos!$N$5:$N$1682)</f>
        <v>0</v>
      </c>
    </row>
    <row r="1154" spans="22:23" hidden="1">
      <c r="V1154" s="661">
        <v>3307</v>
      </c>
      <c r="W1154" s="662">
        <f>+SUMIF(SYS_4_3_Digitos!$M$5:$M$1682,BALANCE!V1154,SYS_4_3_Digitos!$N$5:$N$1682)</f>
        <v>0</v>
      </c>
    </row>
    <row r="1155" spans="22:23" hidden="1">
      <c r="V1155" s="661">
        <v>3308</v>
      </c>
      <c r="W1155" s="662">
        <f>+SUMIF(SYS_4_3_Digitos!$M$5:$M$1682,BALANCE!V1155,SYS_4_3_Digitos!$N$5:$N$1682)</f>
        <v>0</v>
      </c>
    </row>
    <row r="1156" spans="22:23" hidden="1">
      <c r="V1156" s="661">
        <v>3309</v>
      </c>
      <c r="W1156" s="662">
        <f>+SUMIF(SYS_4_3_Digitos!$M$5:$M$1682,BALANCE!V1156,SYS_4_3_Digitos!$N$5:$N$1682)</f>
        <v>0</v>
      </c>
    </row>
    <row r="1157" spans="22:23" hidden="1">
      <c r="V1157" s="661">
        <v>3310</v>
      </c>
      <c r="W1157" s="662">
        <f>+SUMIF(SYS_4_3_Digitos!$M$5:$M$1682,BALANCE!V1157,SYS_4_3_Digitos!$N$5:$N$1682)</f>
        <v>0</v>
      </c>
    </row>
    <row r="1158" spans="22:23" hidden="1">
      <c r="V1158" s="661">
        <v>3311</v>
      </c>
      <c r="W1158" s="662">
        <f>+SUMIF(SYS_4_3_Digitos!$M$5:$M$1682,BALANCE!V1158,SYS_4_3_Digitos!$N$5:$N$1682)</f>
        <v>0</v>
      </c>
    </row>
    <row r="1159" spans="22:23" hidden="1">
      <c r="V1159" s="661">
        <v>3312</v>
      </c>
      <c r="W1159" s="662">
        <f>+SUMIF(SYS_4_3_Digitos!$M$5:$M$1682,BALANCE!V1159,SYS_4_3_Digitos!$N$5:$N$1682)</f>
        <v>0</v>
      </c>
    </row>
    <row r="1160" spans="22:23" hidden="1">
      <c r="V1160" s="661">
        <v>3313</v>
      </c>
      <c r="W1160" s="662">
        <f>+SUMIF(SYS_4_3_Digitos!$M$5:$M$1682,BALANCE!V1160,SYS_4_3_Digitos!$N$5:$N$1682)</f>
        <v>0</v>
      </c>
    </row>
    <row r="1161" spans="22:23" hidden="1">
      <c r="V1161" s="661">
        <v>3314</v>
      </c>
      <c r="W1161" s="662">
        <f>+SUMIF(SYS_4_3_Digitos!$M$5:$M$1682,BALANCE!V1161,SYS_4_3_Digitos!$N$5:$N$1682)</f>
        <v>0</v>
      </c>
    </row>
    <row r="1162" spans="22:23" hidden="1">
      <c r="V1162" s="661">
        <v>3315</v>
      </c>
      <c r="W1162" s="662">
        <f>+SUMIF(SYS_4_3_Digitos!$M$5:$M$1682,BALANCE!V1162,SYS_4_3_Digitos!$N$5:$N$1682)</f>
        <v>0</v>
      </c>
    </row>
    <row r="1163" spans="22:23" hidden="1">
      <c r="V1163" s="661">
        <v>3316</v>
      </c>
      <c r="W1163" s="662">
        <f>+SUMIF(SYS_4_3_Digitos!$M$5:$M$1682,BALANCE!V1163,SYS_4_3_Digitos!$N$5:$N$1682)</f>
        <v>0</v>
      </c>
    </row>
    <row r="1164" spans="22:23" hidden="1">
      <c r="V1164" s="661">
        <v>3317</v>
      </c>
      <c r="W1164" s="662">
        <f>+SUMIF(SYS_4_3_Digitos!$M$5:$M$1682,BALANCE!V1164,SYS_4_3_Digitos!$N$5:$N$1682)</f>
        <v>0</v>
      </c>
    </row>
    <row r="1165" spans="22:23" hidden="1">
      <c r="V1165" s="661">
        <v>3318</v>
      </c>
      <c r="W1165" s="662">
        <f>+SUMIF(SYS_4_3_Digitos!$M$5:$M$1682,BALANCE!V1165,SYS_4_3_Digitos!$N$5:$N$1682)</f>
        <v>0</v>
      </c>
    </row>
    <row r="1166" spans="22:23" hidden="1">
      <c r="V1166" s="661">
        <v>3319</v>
      </c>
      <c r="W1166" s="662">
        <f>+SUMIF(SYS_4_3_Digitos!$M$5:$M$1682,BALANCE!V1166,SYS_4_3_Digitos!$N$5:$N$1682)</f>
        <v>0</v>
      </c>
    </row>
    <row r="1167" spans="22:23" hidden="1">
      <c r="V1167" s="661">
        <v>3320</v>
      </c>
      <c r="W1167" s="662">
        <f>+SUMIF(SYS_4_3_Digitos!$M$5:$M$1682,BALANCE!V1167,SYS_4_3_Digitos!$N$5:$N$1682)</f>
        <v>0</v>
      </c>
    </row>
    <row r="1168" spans="22:23" hidden="1">
      <c r="V1168" s="661">
        <v>3321</v>
      </c>
      <c r="W1168" s="662">
        <f>+SUMIF(SYS_4_3_Digitos!$M$5:$M$1682,BALANCE!V1168,SYS_4_3_Digitos!$N$5:$N$1682)</f>
        <v>0</v>
      </c>
    </row>
    <row r="1169" spans="22:23" hidden="1">
      <c r="V1169" s="661">
        <v>3322</v>
      </c>
      <c r="W1169" s="662">
        <f>+SUMIF(SYS_4_3_Digitos!$M$5:$M$1682,BALANCE!V1169,SYS_4_3_Digitos!$N$5:$N$1682)</f>
        <v>0</v>
      </c>
    </row>
    <row r="1170" spans="22:23" hidden="1">
      <c r="V1170" s="661">
        <v>3323</v>
      </c>
      <c r="W1170" s="662">
        <f>+SUMIF(SYS_4_3_Digitos!$M$5:$M$1682,BALANCE!V1170,SYS_4_3_Digitos!$N$5:$N$1682)</f>
        <v>0</v>
      </c>
    </row>
    <row r="1171" spans="22:23" hidden="1">
      <c r="V1171" s="661">
        <v>3324</v>
      </c>
      <c r="W1171" s="662">
        <f>+SUMIF(SYS_4_3_Digitos!$M$5:$M$1682,BALANCE!V1171,SYS_4_3_Digitos!$N$5:$N$1682)</f>
        <v>0</v>
      </c>
    </row>
    <row r="1172" spans="22:23" hidden="1">
      <c r="V1172" s="661">
        <v>3325</v>
      </c>
      <c r="W1172" s="662">
        <f>+SUMIF(SYS_4_3_Digitos!$M$5:$M$1682,BALANCE!V1172,SYS_4_3_Digitos!$N$5:$N$1682)</f>
        <v>0</v>
      </c>
    </row>
    <row r="1173" spans="22:23" hidden="1">
      <c r="V1173" s="661">
        <v>3326</v>
      </c>
      <c r="W1173" s="662">
        <f>+SUMIF(SYS_4_3_Digitos!$M$5:$M$1682,BALANCE!V1173,SYS_4_3_Digitos!$N$5:$N$1682)</f>
        <v>0</v>
      </c>
    </row>
    <row r="1174" spans="22:23" hidden="1">
      <c r="V1174" s="661">
        <v>3327</v>
      </c>
      <c r="W1174" s="662">
        <f>+SUMIF(SYS_4_3_Digitos!$M$5:$M$1682,BALANCE!V1174,SYS_4_3_Digitos!$N$5:$N$1682)</f>
        <v>0</v>
      </c>
    </row>
    <row r="1175" spans="22:23" hidden="1">
      <c r="V1175" s="661">
        <v>3328</v>
      </c>
      <c r="W1175" s="662">
        <f>+SUMIF(SYS_4_3_Digitos!$M$5:$M$1682,BALANCE!V1175,SYS_4_3_Digitos!$N$5:$N$1682)</f>
        <v>0</v>
      </c>
    </row>
    <row r="1176" spans="22:23" hidden="1">
      <c r="V1176" s="661">
        <v>3329</v>
      </c>
      <c r="W1176" s="662">
        <f>+SUMIF(SYS_4_3_Digitos!$M$5:$M$1682,BALANCE!V1176,SYS_4_3_Digitos!$N$5:$N$1682)</f>
        <v>0</v>
      </c>
    </row>
    <row r="1177" spans="22:23" hidden="1">
      <c r="V1177" s="661">
        <v>3330</v>
      </c>
      <c r="W1177" s="662">
        <f>+SUMIF(SYS_4_3_Digitos!$M$5:$M$1682,BALANCE!V1177,SYS_4_3_Digitos!$N$5:$N$1682)</f>
        <v>0</v>
      </c>
    </row>
    <row r="1178" spans="22:23" hidden="1">
      <c r="V1178" s="661">
        <v>3331</v>
      </c>
      <c r="W1178" s="662">
        <f>+SUMIF(SYS_4_3_Digitos!$M$5:$M$1682,BALANCE!V1178,SYS_4_3_Digitos!$N$5:$N$1682)</f>
        <v>0</v>
      </c>
    </row>
    <row r="1179" spans="22:23" hidden="1">
      <c r="V1179" s="661">
        <v>3332</v>
      </c>
      <c r="W1179" s="662">
        <f>+SUMIF(SYS_4_3_Digitos!$M$5:$M$1682,BALANCE!V1179,SYS_4_3_Digitos!$N$5:$N$1682)</f>
        <v>0</v>
      </c>
    </row>
    <row r="1180" spans="22:23" hidden="1">
      <c r="V1180" s="661">
        <v>3333</v>
      </c>
      <c r="W1180" s="662">
        <f>+SUMIF(SYS_4_3_Digitos!$M$5:$M$1682,BALANCE!V1180,SYS_4_3_Digitos!$N$5:$N$1682)</f>
        <v>0</v>
      </c>
    </row>
    <row r="1181" spans="22:23" hidden="1">
      <c r="V1181" s="661">
        <v>3334</v>
      </c>
      <c r="W1181" s="662">
        <f>+SUMIF(SYS_4_3_Digitos!$M$5:$M$1682,BALANCE!V1181,SYS_4_3_Digitos!$N$5:$N$1682)</f>
        <v>0</v>
      </c>
    </row>
    <row r="1182" spans="22:23" hidden="1">
      <c r="V1182" s="661">
        <v>3335</v>
      </c>
      <c r="W1182" s="662">
        <f>+SUMIF(SYS_4_3_Digitos!$M$5:$M$1682,BALANCE!V1182,SYS_4_3_Digitos!$N$5:$N$1682)</f>
        <v>0</v>
      </c>
    </row>
    <row r="1183" spans="22:23" hidden="1">
      <c r="V1183" s="661">
        <v>3336</v>
      </c>
      <c r="W1183" s="662">
        <f>+SUMIF(SYS_4_3_Digitos!$M$5:$M$1682,BALANCE!V1183,SYS_4_3_Digitos!$N$5:$N$1682)</f>
        <v>0</v>
      </c>
    </row>
    <row r="1184" spans="22:23" hidden="1">
      <c r="V1184" s="661">
        <v>3337</v>
      </c>
      <c r="W1184" s="662">
        <f>+SUMIF(SYS_4_3_Digitos!$M$5:$M$1682,BALANCE!V1184,SYS_4_3_Digitos!$N$5:$N$1682)</f>
        <v>0</v>
      </c>
    </row>
    <row r="1185" spans="22:23" hidden="1">
      <c r="V1185" s="661">
        <v>3338</v>
      </c>
      <c r="W1185" s="662">
        <f>+SUMIF(SYS_4_3_Digitos!$M$5:$M$1682,BALANCE!V1185,SYS_4_3_Digitos!$N$5:$N$1682)</f>
        <v>0</v>
      </c>
    </row>
    <row r="1186" spans="22:23" hidden="1">
      <c r="V1186" s="661">
        <v>3339</v>
      </c>
      <c r="W1186" s="662">
        <f>+SUMIF(SYS_4_3_Digitos!$M$5:$M$1682,BALANCE!V1186,SYS_4_3_Digitos!$N$5:$N$1682)</f>
        <v>0</v>
      </c>
    </row>
    <row r="1187" spans="22:23" hidden="1">
      <c r="V1187" s="661">
        <v>3340</v>
      </c>
      <c r="W1187" s="662">
        <f>+SUMIF(SYS_4_3_Digitos!$M$5:$M$1682,BALANCE!V1187,SYS_4_3_Digitos!$N$5:$N$1682)</f>
        <v>0</v>
      </c>
    </row>
    <row r="1188" spans="22:23" hidden="1">
      <c r="V1188" s="661">
        <v>3341</v>
      </c>
      <c r="W1188" s="662">
        <f>+SUMIF(SYS_4_3_Digitos!$M$5:$M$1682,BALANCE!V1188,SYS_4_3_Digitos!$N$5:$N$1682)</f>
        <v>0</v>
      </c>
    </row>
    <row r="1189" spans="22:23" hidden="1">
      <c r="V1189" s="661">
        <v>3342</v>
      </c>
      <c r="W1189" s="662">
        <f>+SUMIF(SYS_4_3_Digitos!$M$5:$M$1682,BALANCE!V1189,SYS_4_3_Digitos!$N$5:$N$1682)</f>
        <v>0</v>
      </c>
    </row>
    <row r="1190" spans="22:23" hidden="1">
      <c r="V1190" s="661">
        <v>3343</v>
      </c>
      <c r="W1190" s="662">
        <f>+SUMIF(SYS_4_3_Digitos!$M$5:$M$1682,BALANCE!V1190,SYS_4_3_Digitos!$N$5:$N$1682)</f>
        <v>0</v>
      </c>
    </row>
    <row r="1191" spans="22:23" hidden="1">
      <c r="V1191" s="661">
        <v>3344</v>
      </c>
      <c r="W1191" s="662">
        <f>+SUMIF(SYS_4_3_Digitos!$M$5:$M$1682,BALANCE!V1191,SYS_4_3_Digitos!$N$5:$N$1682)</f>
        <v>0</v>
      </c>
    </row>
    <row r="1192" spans="22:23" hidden="1">
      <c r="V1192" s="661">
        <v>3345</v>
      </c>
      <c r="W1192" s="662">
        <f>+SUMIF(SYS_4_3_Digitos!$M$5:$M$1682,BALANCE!V1192,SYS_4_3_Digitos!$N$5:$N$1682)</f>
        <v>0</v>
      </c>
    </row>
    <row r="1193" spans="22:23" hidden="1">
      <c r="V1193" s="661">
        <v>3346</v>
      </c>
      <c r="W1193" s="662">
        <f>+SUMIF(SYS_4_3_Digitos!$M$5:$M$1682,BALANCE!V1193,SYS_4_3_Digitos!$N$5:$N$1682)</f>
        <v>0</v>
      </c>
    </row>
    <row r="1194" spans="22:23" hidden="1">
      <c r="V1194" s="661">
        <v>3347</v>
      </c>
      <c r="W1194" s="662">
        <f>+SUMIF(SYS_4_3_Digitos!$M$5:$M$1682,BALANCE!V1194,SYS_4_3_Digitos!$N$5:$N$1682)</f>
        <v>0</v>
      </c>
    </row>
    <row r="1195" spans="22:23" hidden="1">
      <c r="V1195" s="661">
        <v>3348</v>
      </c>
      <c r="W1195" s="662">
        <f>+SUMIF(SYS_4_3_Digitos!$M$5:$M$1682,BALANCE!V1195,SYS_4_3_Digitos!$N$5:$N$1682)</f>
        <v>0</v>
      </c>
    </row>
    <row r="1196" spans="22:23" hidden="1">
      <c r="V1196" s="661">
        <v>3349</v>
      </c>
      <c r="W1196" s="662">
        <f>+SUMIF(SYS_4_3_Digitos!$M$5:$M$1682,BALANCE!V1196,SYS_4_3_Digitos!$N$5:$N$1682)</f>
        <v>0</v>
      </c>
    </row>
    <row r="1197" spans="22:23" hidden="1">
      <c r="V1197" s="661">
        <v>3350</v>
      </c>
      <c r="W1197" s="662">
        <f>+SUMIF(SYS_4_3_Digitos!$M$5:$M$1682,BALANCE!V1197,SYS_4_3_Digitos!$N$5:$N$1682)</f>
        <v>0</v>
      </c>
    </row>
    <row r="1198" spans="22:23" hidden="1">
      <c r="V1198" s="661">
        <v>3351</v>
      </c>
      <c r="W1198" s="662">
        <f>+SUMIF(SYS_4_3_Digitos!$M$5:$M$1682,BALANCE!V1198,SYS_4_3_Digitos!$N$5:$N$1682)</f>
        <v>0</v>
      </c>
    </row>
    <row r="1199" spans="22:23" hidden="1">
      <c r="V1199" s="661">
        <v>3352</v>
      </c>
      <c r="W1199" s="662">
        <f>+SUMIF(SYS_4_3_Digitos!$M$5:$M$1682,BALANCE!V1199,SYS_4_3_Digitos!$N$5:$N$1682)</f>
        <v>0</v>
      </c>
    </row>
    <row r="1200" spans="22:23" hidden="1">
      <c r="V1200" s="661">
        <v>3353</v>
      </c>
      <c r="W1200" s="662">
        <f>+SUMIF(SYS_4_3_Digitos!$M$5:$M$1682,BALANCE!V1200,SYS_4_3_Digitos!$N$5:$N$1682)</f>
        <v>0</v>
      </c>
    </row>
    <row r="1201" spans="22:23" hidden="1">
      <c r="V1201" s="661">
        <v>3354</v>
      </c>
      <c r="W1201" s="662">
        <f>+SUMIF(SYS_4_3_Digitos!$M$5:$M$1682,BALANCE!V1201,SYS_4_3_Digitos!$N$5:$N$1682)</f>
        <v>0</v>
      </c>
    </row>
    <row r="1202" spans="22:23" hidden="1">
      <c r="V1202" s="661">
        <v>3355</v>
      </c>
      <c r="W1202" s="662">
        <f>+SUMIF(SYS_4_3_Digitos!$M$5:$M$1682,BALANCE!V1202,SYS_4_3_Digitos!$N$5:$N$1682)</f>
        <v>0</v>
      </c>
    </row>
    <row r="1203" spans="22:23" hidden="1">
      <c r="V1203" s="661">
        <v>3356</v>
      </c>
      <c r="W1203" s="662">
        <f>+SUMIF(SYS_4_3_Digitos!$M$5:$M$1682,BALANCE!V1203,SYS_4_3_Digitos!$N$5:$N$1682)</f>
        <v>0</v>
      </c>
    </row>
    <row r="1204" spans="22:23" hidden="1">
      <c r="V1204" s="661">
        <v>3357</v>
      </c>
      <c r="W1204" s="662">
        <f>+SUMIF(SYS_4_3_Digitos!$M$5:$M$1682,BALANCE!V1204,SYS_4_3_Digitos!$N$5:$N$1682)</f>
        <v>0</v>
      </c>
    </row>
    <row r="1205" spans="22:23" hidden="1">
      <c r="V1205" s="661">
        <v>3358</v>
      </c>
      <c r="W1205" s="662">
        <f>+SUMIF(SYS_4_3_Digitos!$M$5:$M$1682,BALANCE!V1205,SYS_4_3_Digitos!$N$5:$N$1682)</f>
        <v>0</v>
      </c>
    </row>
    <row r="1206" spans="22:23" hidden="1">
      <c r="V1206" s="661">
        <v>3359</v>
      </c>
      <c r="W1206" s="662">
        <f>+SUMIF(SYS_4_3_Digitos!$M$5:$M$1682,BALANCE!V1206,SYS_4_3_Digitos!$N$5:$N$1682)</f>
        <v>0</v>
      </c>
    </row>
    <row r="1207" spans="22:23" hidden="1">
      <c r="V1207" s="661">
        <v>3360</v>
      </c>
      <c r="W1207" s="662">
        <f>+SUMIF(SYS_4_3_Digitos!$M$5:$M$1682,BALANCE!V1207,SYS_4_3_Digitos!$N$5:$N$1682)</f>
        <v>0</v>
      </c>
    </row>
    <row r="1208" spans="22:23" hidden="1">
      <c r="V1208" s="661">
        <v>3361</v>
      </c>
      <c r="W1208" s="662">
        <f>+SUMIF(SYS_4_3_Digitos!$M$5:$M$1682,BALANCE!V1208,SYS_4_3_Digitos!$N$5:$N$1682)</f>
        <v>0</v>
      </c>
    </row>
    <row r="1209" spans="22:23" hidden="1">
      <c r="V1209" s="661">
        <v>3362</v>
      </c>
      <c r="W1209" s="662">
        <f>+SUMIF(SYS_4_3_Digitos!$M$5:$M$1682,BALANCE!V1209,SYS_4_3_Digitos!$N$5:$N$1682)</f>
        <v>0</v>
      </c>
    </row>
    <row r="1210" spans="22:23" hidden="1">
      <c r="V1210" s="661">
        <v>3363</v>
      </c>
      <c r="W1210" s="662">
        <f>+SUMIF(SYS_4_3_Digitos!$M$5:$M$1682,BALANCE!V1210,SYS_4_3_Digitos!$N$5:$N$1682)</f>
        <v>0</v>
      </c>
    </row>
    <row r="1211" spans="22:23" hidden="1">
      <c r="V1211" s="661">
        <v>3364</v>
      </c>
      <c r="W1211" s="662">
        <f>+SUMIF(SYS_4_3_Digitos!$M$5:$M$1682,BALANCE!V1211,SYS_4_3_Digitos!$N$5:$N$1682)</f>
        <v>0</v>
      </c>
    </row>
    <row r="1212" spans="22:23" hidden="1">
      <c r="V1212" s="661">
        <v>3365</v>
      </c>
      <c r="W1212" s="662">
        <f>+SUMIF(SYS_4_3_Digitos!$M$5:$M$1682,BALANCE!V1212,SYS_4_3_Digitos!$N$5:$N$1682)</f>
        <v>0</v>
      </c>
    </row>
    <row r="1213" spans="22:23" hidden="1">
      <c r="V1213" s="661">
        <v>3366</v>
      </c>
      <c r="W1213" s="662">
        <f>+SUMIF(SYS_4_3_Digitos!$M$5:$M$1682,BALANCE!V1213,SYS_4_3_Digitos!$N$5:$N$1682)</f>
        <v>0</v>
      </c>
    </row>
    <row r="1214" spans="22:23" hidden="1">
      <c r="V1214" s="661">
        <v>3367</v>
      </c>
      <c r="W1214" s="662">
        <f>+SUMIF(SYS_4_3_Digitos!$M$5:$M$1682,BALANCE!V1214,SYS_4_3_Digitos!$N$5:$N$1682)</f>
        <v>0</v>
      </c>
    </row>
    <row r="1215" spans="22:23" hidden="1">
      <c r="V1215" s="661">
        <v>3368</v>
      </c>
      <c r="W1215" s="662">
        <f>+SUMIF(SYS_4_3_Digitos!$M$5:$M$1682,BALANCE!V1215,SYS_4_3_Digitos!$N$5:$N$1682)</f>
        <v>0</v>
      </c>
    </row>
    <row r="1216" spans="22:23" hidden="1">
      <c r="V1216" s="661">
        <v>3369</v>
      </c>
      <c r="W1216" s="662">
        <f>+SUMIF(SYS_4_3_Digitos!$M$5:$M$1682,BALANCE!V1216,SYS_4_3_Digitos!$N$5:$N$1682)</f>
        <v>0</v>
      </c>
    </row>
    <row r="1217" spans="22:23" hidden="1">
      <c r="V1217" s="661">
        <v>3370</v>
      </c>
      <c r="W1217" s="662">
        <f>+SUMIF(SYS_4_3_Digitos!$M$5:$M$1682,BALANCE!V1217,SYS_4_3_Digitos!$N$5:$N$1682)</f>
        <v>0</v>
      </c>
    </row>
    <row r="1218" spans="22:23" hidden="1">
      <c r="V1218" s="661">
        <v>3371</v>
      </c>
      <c r="W1218" s="662">
        <f>+SUMIF(SYS_4_3_Digitos!$M$5:$M$1682,BALANCE!V1218,SYS_4_3_Digitos!$N$5:$N$1682)</f>
        <v>0</v>
      </c>
    </row>
    <row r="1219" spans="22:23" hidden="1">
      <c r="V1219" s="661">
        <v>3372</v>
      </c>
      <c r="W1219" s="662">
        <f>+SUMIF(SYS_4_3_Digitos!$M$5:$M$1682,BALANCE!V1219,SYS_4_3_Digitos!$N$5:$N$1682)</f>
        <v>0</v>
      </c>
    </row>
    <row r="1220" spans="22:23" hidden="1">
      <c r="V1220" s="661">
        <v>3373</v>
      </c>
      <c r="W1220" s="662">
        <f>+SUMIF(SYS_4_3_Digitos!$M$5:$M$1682,BALANCE!V1220,SYS_4_3_Digitos!$N$5:$N$1682)</f>
        <v>0</v>
      </c>
    </row>
    <row r="1221" spans="22:23" hidden="1">
      <c r="V1221" s="661">
        <v>3374</v>
      </c>
      <c r="W1221" s="662">
        <f>+SUMIF(SYS_4_3_Digitos!$M$5:$M$1682,BALANCE!V1221,SYS_4_3_Digitos!$N$5:$N$1682)</f>
        <v>0</v>
      </c>
    </row>
    <row r="1222" spans="22:23" hidden="1">
      <c r="V1222" s="661">
        <v>3375</v>
      </c>
      <c r="W1222" s="662">
        <f>+SUMIF(SYS_4_3_Digitos!$M$5:$M$1682,BALANCE!V1222,SYS_4_3_Digitos!$N$5:$N$1682)</f>
        <v>0</v>
      </c>
    </row>
    <row r="1223" spans="22:23" hidden="1">
      <c r="V1223" s="661">
        <v>3376</v>
      </c>
      <c r="W1223" s="662">
        <f>+SUMIF(SYS_4_3_Digitos!$M$5:$M$1682,BALANCE!V1223,SYS_4_3_Digitos!$N$5:$N$1682)</f>
        <v>0</v>
      </c>
    </row>
    <row r="1224" spans="22:23" hidden="1">
      <c r="V1224" s="661">
        <v>3377</v>
      </c>
      <c r="W1224" s="662">
        <f>+SUMIF(SYS_4_3_Digitos!$M$5:$M$1682,BALANCE!V1224,SYS_4_3_Digitos!$N$5:$N$1682)</f>
        <v>0</v>
      </c>
    </row>
    <row r="1225" spans="22:23" hidden="1">
      <c r="V1225" s="661">
        <v>3378</v>
      </c>
      <c r="W1225" s="662">
        <f>+SUMIF(SYS_4_3_Digitos!$M$5:$M$1682,BALANCE!V1225,SYS_4_3_Digitos!$N$5:$N$1682)</f>
        <v>0</v>
      </c>
    </row>
    <row r="1226" spans="22:23" hidden="1">
      <c r="V1226" s="661">
        <v>3379</v>
      </c>
      <c r="W1226" s="662">
        <f>+SUMIF(SYS_4_3_Digitos!$M$5:$M$1682,BALANCE!V1226,SYS_4_3_Digitos!$N$5:$N$1682)</f>
        <v>0</v>
      </c>
    </row>
    <row r="1227" spans="22:23" hidden="1">
      <c r="V1227" s="661">
        <v>3380</v>
      </c>
      <c r="W1227" s="662">
        <f>+SUMIF(SYS_4_3_Digitos!$M$5:$M$1682,BALANCE!V1227,SYS_4_3_Digitos!$N$5:$N$1682)</f>
        <v>0</v>
      </c>
    </row>
    <row r="1228" spans="22:23" hidden="1">
      <c r="V1228" s="661">
        <v>3381</v>
      </c>
      <c r="W1228" s="662">
        <f>+SUMIF(SYS_4_3_Digitos!$M$5:$M$1682,BALANCE!V1228,SYS_4_3_Digitos!$N$5:$N$1682)</f>
        <v>0</v>
      </c>
    </row>
    <row r="1229" spans="22:23" hidden="1">
      <c r="V1229" s="661">
        <v>3382</v>
      </c>
      <c r="W1229" s="662">
        <f>+SUMIF(SYS_4_3_Digitos!$M$5:$M$1682,BALANCE!V1229,SYS_4_3_Digitos!$N$5:$N$1682)</f>
        <v>0</v>
      </c>
    </row>
    <row r="1230" spans="22:23" hidden="1">
      <c r="V1230" s="661">
        <v>3383</v>
      </c>
      <c r="W1230" s="662">
        <f>+SUMIF(SYS_4_3_Digitos!$M$5:$M$1682,BALANCE!V1230,SYS_4_3_Digitos!$N$5:$N$1682)</f>
        <v>0</v>
      </c>
    </row>
    <row r="1231" spans="22:23" hidden="1">
      <c r="V1231" s="661">
        <v>3384</v>
      </c>
      <c r="W1231" s="662">
        <f>+SUMIF(SYS_4_3_Digitos!$M$5:$M$1682,BALANCE!V1231,SYS_4_3_Digitos!$N$5:$N$1682)</f>
        <v>0</v>
      </c>
    </row>
    <row r="1232" spans="22:23" hidden="1">
      <c r="V1232" s="661">
        <v>3385</v>
      </c>
      <c r="W1232" s="662">
        <f>+SUMIF(SYS_4_3_Digitos!$M$5:$M$1682,BALANCE!V1232,SYS_4_3_Digitos!$N$5:$N$1682)</f>
        <v>0</v>
      </c>
    </row>
    <row r="1233" spans="22:23" hidden="1">
      <c r="V1233" s="661">
        <v>3386</v>
      </c>
      <c r="W1233" s="662">
        <f>+SUMIF(SYS_4_3_Digitos!$M$5:$M$1682,BALANCE!V1233,SYS_4_3_Digitos!$N$5:$N$1682)</f>
        <v>0</v>
      </c>
    </row>
    <row r="1234" spans="22:23" hidden="1">
      <c r="V1234" s="661">
        <v>3387</v>
      </c>
      <c r="W1234" s="662">
        <f>+SUMIF(SYS_4_3_Digitos!$M$5:$M$1682,BALANCE!V1234,SYS_4_3_Digitos!$N$5:$N$1682)</f>
        <v>0</v>
      </c>
    </row>
    <row r="1235" spans="22:23" hidden="1">
      <c r="V1235" s="661">
        <v>3388</v>
      </c>
      <c r="W1235" s="662">
        <f>+SUMIF(SYS_4_3_Digitos!$M$5:$M$1682,BALANCE!V1235,SYS_4_3_Digitos!$N$5:$N$1682)</f>
        <v>0</v>
      </c>
    </row>
    <row r="1236" spans="22:23" hidden="1">
      <c r="V1236" s="661">
        <v>3389</v>
      </c>
      <c r="W1236" s="662">
        <f>+SUMIF(SYS_4_3_Digitos!$M$5:$M$1682,BALANCE!V1236,SYS_4_3_Digitos!$N$5:$N$1682)</f>
        <v>0</v>
      </c>
    </row>
    <row r="1237" spans="22:23" hidden="1">
      <c r="V1237" s="661">
        <v>3390</v>
      </c>
      <c r="W1237" s="662">
        <f>+SUMIF(SYS_4_3_Digitos!$M$5:$M$1682,BALANCE!V1237,SYS_4_3_Digitos!$N$5:$N$1682)</f>
        <v>0</v>
      </c>
    </row>
    <row r="1238" spans="22:23" hidden="1">
      <c r="V1238" s="661">
        <v>3391</v>
      </c>
      <c r="W1238" s="662">
        <f>+SUMIF(SYS_4_3_Digitos!$M$5:$M$1682,BALANCE!V1238,SYS_4_3_Digitos!$N$5:$N$1682)</f>
        <v>0</v>
      </c>
    </row>
    <row r="1239" spans="22:23" hidden="1">
      <c r="V1239" s="661">
        <v>3392</v>
      </c>
      <c r="W1239" s="662">
        <f>+SUMIF(SYS_4_3_Digitos!$M$5:$M$1682,BALANCE!V1239,SYS_4_3_Digitos!$N$5:$N$1682)</f>
        <v>0</v>
      </c>
    </row>
    <row r="1240" spans="22:23" hidden="1">
      <c r="V1240" s="661">
        <v>3393</v>
      </c>
      <c r="W1240" s="662">
        <f>+SUMIF(SYS_4_3_Digitos!$M$5:$M$1682,BALANCE!V1240,SYS_4_3_Digitos!$N$5:$N$1682)</f>
        <v>0</v>
      </c>
    </row>
    <row r="1241" spans="22:23" hidden="1">
      <c r="V1241" s="661">
        <v>3394</v>
      </c>
      <c r="W1241" s="662">
        <f>+SUMIF(SYS_4_3_Digitos!$M$5:$M$1682,BALANCE!V1241,SYS_4_3_Digitos!$N$5:$N$1682)</f>
        <v>0</v>
      </c>
    </row>
    <row r="1242" spans="22:23" hidden="1">
      <c r="V1242" s="661">
        <v>3395</v>
      </c>
      <c r="W1242" s="662">
        <f>+SUMIF(SYS_4_3_Digitos!$M$5:$M$1682,BALANCE!V1242,SYS_4_3_Digitos!$N$5:$N$1682)</f>
        <v>0</v>
      </c>
    </row>
    <row r="1243" spans="22:23" hidden="1">
      <c r="V1243" s="661">
        <v>3396</v>
      </c>
      <c r="W1243" s="662">
        <f>+SUMIF(SYS_4_3_Digitos!$M$5:$M$1682,BALANCE!V1243,SYS_4_3_Digitos!$N$5:$N$1682)</f>
        <v>0</v>
      </c>
    </row>
    <row r="1244" spans="22:23" hidden="1">
      <c r="V1244" s="661">
        <v>3397</v>
      </c>
      <c r="W1244" s="662">
        <f>+SUMIF(SYS_4_3_Digitos!$M$5:$M$1682,BALANCE!V1244,SYS_4_3_Digitos!$N$5:$N$1682)</f>
        <v>0</v>
      </c>
    </row>
    <row r="1245" spans="22:23" hidden="1">
      <c r="V1245" s="661">
        <v>3398</v>
      </c>
      <c r="W1245" s="662">
        <f>+SUMIF(SYS_4_3_Digitos!$M$5:$M$1682,BALANCE!V1245,SYS_4_3_Digitos!$N$5:$N$1682)</f>
        <v>0</v>
      </c>
    </row>
    <row r="1246" spans="22:23" hidden="1">
      <c r="V1246" s="661">
        <v>3399</v>
      </c>
      <c r="W1246" s="662">
        <f>+SUMIF(SYS_4_3_Digitos!$M$5:$M$1682,BALANCE!V1246,SYS_4_3_Digitos!$N$5:$N$1682)</f>
        <v>0</v>
      </c>
    </row>
    <row r="1247" spans="22:23" hidden="1">
      <c r="V1247" s="661">
        <v>3400</v>
      </c>
      <c r="W1247" s="662">
        <f ca="1">+SUMIF(SYS_4_3_Digitos!$M$5:$M$1682,BALANCE!V1247,SYS_4_3_Digitos!$N$5:$N$1682)</f>
        <v>0</v>
      </c>
    </row>
    <row r="1248" spans="22:23" hidden="1">
      <c r="V1248" s="661">
        <v>3401</v>
      </c>
      <c r="W1248" s="662">
        <f>+SUMIF(SYS_4_3_Digitos!$M$5:$M$1682,BALANCE!V1248,SYS_4_3_Digitos!$N$5:$N$1682)</f>
        <v>0</v>
      </c>
    </row>
    <row r="1249" spans="22:23" hidden="1">
      <c r="V1249" s="661">
        <v>3402</v>
      </c>
      <c r="W1249" s="662">
        <f>+SUMIF(SYS_4_3_Digitos!$M$5:$M$1682,BALANCE!V1249,SYS_4_3_Digitos!$N$5:$N$1682)</f>
        <v>0</v>
      </c>
    </row>
    <row r="1250" spans="22:23" hidden="1">
      <c r="V1250" s="661">
        <v>3403</v>
      </c>
      <c r="W1250" s="662">
        <f>+SUMIF(SYS_4_3_Digitos!$M$5:$M$1682,BALANCE!V1250,SYS_4_3_Digitos!$N$5:$N$1682)</f>
        <v>0</v>
      </c>
    </row>
    <row r="1251" spans="22:23" hidden="1">
      <c r="V1251" s="661">
        <v>3404</v>
      </c>
      <c r="W1251" s="662">
        <f>+SUMIF(SYS_4_3_Digitos!$M$5:$M$1682,BALANCE!V1251,SYS_4_3_Digitos!$N$5:$N$1682)</f>
        <v>0</v>
      </c>
    </row>
    <row r="1252" spans="22:23" hidden="1">
      <c r="V1252" s="661">
        <v>3405</v>
      </c>
      <c r="W1252" s="662">
        <f>+SUMIF(SYS_4_3_Digitos!$M$5:$M$1682,BALANCE!V1252,SYS_4_3_Digitos!$N$5:$N$1682)</f>
        <v>0</v>
      </c>
    </row>
    <row r="1253" spans="22:23" hidden="1">
      <c r="V1253" s="661">
        <v>3406</v>
      </c>
      <c r="W1253" s="662">
        <f>+SUMIF(SYS_4_3_Digitos!$M$5:$M$1682,BALANCE!V1253,SYS_4_3_Digitos!$N$5:$N$1682)</f>
        <v>0</v>
      </c>
    </row>
    <row r="1254" spans="22:23" hidden="1">
      <c r="V1254" s="661">
        <v>3407</v>
      </c>
      <c r="W1254" s="662">
        <f>+SUMIF(SYS_4_3_Digitos!$M$5:$M$1682,BALANCE!V1254,SYS_4_3_Digitos!$N$5:$N$1682)</f>
        <v>0</v>
      </c>
    </row>
    <row r="1255" spans="22:23" hidden="1">
      <c r="V1255" s="661">
        <v>3408</v>
      </c>
      <c r="W1255" s="662">
        <f>+SUMIF(SYS_4_3_Digitos!$M$5:$M$1682,BALANCE!V1255,SYS_4_3_Digitos!$N$5:$N$1682)</f>
        <v>0</v>
      </c>
    </row>
    <row r="1256" spans="22:23" hidden="1">
      <c r="V1256" s="661">
        <v>3409</v>
      </c>
      <c r="W1256" s="662">
        <f>+SUMIF(SYS_4_3_Digitos!$M$5:$M$1682,BALANCE!V1256,SYS_4_3_Digitos!$N$5:$N$1682)</f>
        <v>0</v>
      </c>
    </row>
    <row r="1257" spans="22:23" hidden="1">
      <c r="V1257" s="661">
        <v>3410</v>
      </c>
      <c r="W1257" s="662">
        <f>+SUMIF(SYS_4_3_Digitos!$M$5:$M$1682,BALANCE!V1257,SYS_4_3_Digitos!$N$5:$N$1682)</f>
        <v>0</v>
      </c>
    </row>
    <row r="1258" spans="22:23" hidden="1">
      <c r="V1258" s="661">
        <v>3411</v>
      </c>
      <c r="W1258" s="662">
        <f>+SUMIF(SYS_4_3_Digitos!$M$5:$M$1682,BALANCE!V1258,SYS_4_3_Digitos!$N$5:$N$1682)</f>
        <v>0</v>
      </c>
    </row>
    <row r="1259" spans="22:23" hidden="1">
      <c r="V1259" s="661">
        <v>3412</v>
      </c>
      <c r="W1259" s="662">
        <f>+SUMIF(SYS_4_3_Digitos!$M$5:$M$1682,BALANCE!V1259,SYS_4_3_Digitos!$N$5:$N$1682)</f>
        <v>0</v>
      </c>
    </row>
    <row r="1260" spans="22:23" hidden="1">
      <c r="V1260" s="661">
        <v>3413</v>
      </c>
      <c r="W1260" s="662">
        <f>+SUMIF(SYS_4_3_Digitos!$M$5:$M$1682,BALANCE!V1260,SYS_4_3_Digitos!$N$5:$N$1682)</f>
        <v>0</v>
      </c>
    </row>
    <row r="1261" spans="22:23" hidden="1">
      <c r="V1261" s="661">
        <v>3414</v>
      </c>
      <c r="W1261" s="662">
        <f>+SUMIF(SYS_4_3_Digitos!$M$5:$M$1682,BALANCE!V1261,SYS_4_3_Digitos!$N$5:$N$1682)</f>
        <v>0</v>
      </c>
    </row>
    <row r="1262" spans="22:23" hidden="1">
      <c r="V1262" s="661">
        <v>3415</v>
      </c>
      <c r="W1262" s="662">
        <f>+SUMIF(SYS_4_3_Digitos!$M$5:$M$1682,BALANCE!V1262,SYS_4_3_Digitos!$N$5:$N$1682)</f>
        <v>0</v>
      </c>
    </row>
    <row r="1263" spans="22:23" hidden="1">
      <c r="V1263" s="661">
        <v>3416</v>
      </c>
      <c r="W1263" s="662">
        <f>+SUMIF(SYS_4_3_Digitos!$M$5:$M$1682,BALANCE!V1263,SYS_4_3_Digitos!$N$5:$N$1682)</f>
        <v>0</v>
      </c>
    </row>
    <row r="1264" spans="22:23" hidden="1">
      <c r="V1264" s="661">
        <v>3417</v>
      </c>
      <c r="W1264" s="662">
        <f>+SUMIF(SYS_4_3_Digitos!$M$5:$M$1682,BALANCE!V1264,SYS_4_3_Digitos!$N$5:$N$1682)</f>
        <v>0</v>
      </c>
    </row>
    <row r="1265" spans="22:23" hidden="1">
      <c r="V1265" s="661">
        <v>3418</v>
      </c>
      <c r="W1265" s="662">
        <f>+SUMIF(SYS_4_3_Digitos!$M$5:$M$1682,BALANCE!V1265,SYS_4_3_Digitos!$N$5:$N$1682)</f>
        <v>0</v>
      </c>
    </row>
    <row r="1266" spans="22:23" hidden="1">
      <c r="V1266" s="661">
        <v>3419</v>
      </c>
      <c r="W1266" s="662">
        <f>+SUMIF(SYS_4_3_Digitos!$M$5:$M$1682,BALANCE!V1266,SYS_4_3_Digitos!$N$5:$N$1682)</f>
        <v>0</v>
      </c>
    </row>
    <row r="1267" spans="22:23" hidden="1">
      <c r="V1267" s="661">
        <v>3420</v>
      </c>
      <c r="W1267" s="662">
        <f>+SUMIF(SYS_4_3_Digitos!$M$5:$M$1682,BALANCE!V1267,SYS_4_3_Digitos!$N$5:$N$1682)</f>
        <v>0</v>
      </c>
    </row>
    <row r="1268" spans="22:23" hidden="1">
      <c r="V1268" s="661">
        <v>3421</v>
      </c>
      <c r="W1268" s="662">
        <f>+SUMIF(SYS_4_3_Digitos!$M$5:$M$1682,BALANCE!V1268,SYS_4_3_Digitos!$N$5:$N$1682)</f>
        <v>0</v>
      </c>
    </row>
    <row r="1269" spans="22:23" hidden="1">
      <c r="V1269" s="661">
        <v>3422</v>
      </c>
      <c r="W1269" s="662">
        <f>+SUMIF(SYS_4_3_Digitos!$M$5:$M$1682,BALANCE!V1269,SYS_4_3_Digitos!$N$5:$N$1682)</f>
        <v>0</v>
      </c>
    </row>
    <row r="1270" spans="22:23" hidden="1">
      <c r="V1270" s="661">
        <v>3423</v>
      </c>
      <c r="W1270" s="662">
        <f>+SUMIF(SYS_4_3_Digitos!$M$5:$M$1682,BALANCE!V1270,SYS_4_3_Digitos!$N$5:$N$1682)</f>
        <v>0</v>
      </c>
    </row>
    <row r="1271" spans="22:23" hidden="1">
      <c r="V1271" s="661">
        <v>3424</v>
      </c>
      <c r="W1271" s="662">
        <f>+SUMIF(SYS_4_3_Digitos!$M$5:$M$1682,BALANCE!V1271,SYS_4_3_Digitos!$N$5:$N$1682)</f>
        <v>0</v>
      </c>
    </row>
    <row r="1272" spans="22:23" hidden="1">
      <c r="V1272" s="661">
        <v>3425</v>
      </c>
      <c r="W1272" s="662">
        <f>+SUMIF(SYS_4_3_Digitos!$M$5:$M$1682,BALANCE!V1272,SYS_4_3_Digitos!$N$5:$N$1682)</f>
        <v>0</v>
      </c>
    </row>
    <row r="1273" spans="22:23" hidden="1">
      <c r="V1273" s="661">
        <v>3426</v>
      </c>
      <c r="W1273" s="662">
        <f>+SUMIF(SYS_4_3_Digitos!$M$5:$M$1682,BALANCE!V1273,SYS_4_3_Digitos!$N$5:$N$1682)</f>
        <v>0</v>
      </c>
    </row>
    <row r="1274" spans="22:23" hidden="1">
      <c r="V1274" s="661">
        <v>3427</v>
      </c>
      <c r="W1274" s="662">
        <f>+SUMIF(SYS_4_3_Digitos!$M$5:$M$1682,BALANCE!V1274,SYS_4_3_Digitos!$N$5:$N$1682)</f>
        <v>0</v>
      </c>
    </row>
    <row r="1275" spans="22:23" hidden="1">
      <c r="V1275" s="661">
        <v>3428</v>
      </c>
      <c r="W1275" s="662">
        <f>+SUMIF(SYS_4_3_Digitos!$M$5:$M$1682,BALANCE!V1275,SYS_4_3_Digitos!$N$5:$N$1682)</f>
        <v>0</v>
      </c>
    </row>
    <row r="1276" spans="22:23" hidden="1">
      <c r="V1276" s="661">
        <v>3429</v>
      </c>
      <c r="W1276" s="662">
        <f>+SUMIF(SYS_4_3_Digitos!$M$5:$M$1682,BALANCE!V1276,SYS_4_3_Digitos!$N$5:$N$1682)</f>
        <v>0</v>
      </c>
    </row>
    <row r="1277" spans="22:23" hidden="1">
      <c r="V1277" s="661">
        <v>3430</v>
      </c>
      <c r="W1277" s="662">
        <f>+SUMIF(SYS_4_3_Digitos!$M$5:$M$1682,BALANCE!V1277,SYS_4_3_Digitos!$N$5:$N$1682)</f>
        <v>0</v>
      </c>
    </row>
    <row r="1278" spans="22:23" hidden="1">
      <c r="V1278" s="661">
        <v>3431</v>
      </c>
      <c r="W1278" s="662">
        <f>+SUMIF(SYS_4_3_Digitos!$M$5:$M$1682,BALANCE!V1278,SYS_4_3_Digitos!$N$5:$N$1682)</f>
        <v>0</v>
      </c>
    </row>
    <row r="1279" spans="22:23" hidden="1">
      <c r="V1279" s="661">
        <v>3432</v>
      </c>
      <c r="W1279" s="662">
        <f>+SUMIF(SYS_4_3_Digitos!$M$5:$M$1682,BALANCE!V1279,SYS_4_3_Digitos!$N$5:$N$1682)</f>
        <v>0</v>
      </c>
    </row>
    <row r="1280" spans="22:23" hidden="1">
      <c r="V1280" s="661">
        <v>3433</v>
      </c>
      <c r="W1280" s="662">
        <f>+SUMIF(SYS_4_3_Digitos!$M$5:$M$1682,BALANCE!V1280,SYS_4_3_Digitos!$N$5:$N$1682)</f>
        <v>0</v>
      </c>
    </row>
    <row r="1281" spans="22:23" hidden="1">
      <c r="V1281" s="661">
        <v>3434</v>
      </c>
      <c r="W1281" s="662">
        <f>+SUMIF(SYS_4_3_Digitos!$M$5:$M$1682,BALANCE!V1281,SYS_4_3_Digitos!$N$5:$N$1682)</f>
        <v>0</v>
      </c>
    </row>
    <row r="1282" spans="22:23" hidden="1">
      <c r="V1282" s="661">
        <v>3435</v>
      </c>
      <c r="W1282" s="662">
        <f>+SUMIF(SYS_4_3_Digitos!$M$5:$M$1682,BALANCE!V1282,SYS_4_3_Digitos!$N$5:$N$1682)</f>
        <v>0</v>
      </c>
    </row>
    <row r="1283" spans="22:23" hidden="1">
      <c r="V1283" s="661">
        <v>3436</v>
      </c>
      <c r="W1283" s="662">
        <f>+SUMIF(SYS_4_3_Digitos!$M$5:$M$1682,BALANCE!V1283,SYS_4_3_Digitos!$N$5:$N$1682)</f>
        <v>0</v>
      </c>
    </row>
    <row r="1284" spans="22:23" hidden="1">
      <c r="V1284" s="661">
        <v>3437</v>
      </c>
      <c r="W1284" s="662">
        <f>+SUMIF(SYS_4_3_Digitos!$M$5:$M$1682,BALANCE!V1284,SYS_4_3_Digitos!$N$5:$N$1682)</f>
        <v>0</v>
      </c>
    </row>
    <row r="1285" spans="22:23" hidden="1">
      <c r="V1285" s="661">
        <v>3438</v>
      </c>
      <c r="W1285" s="662">
        <f>+SUMIF(SYS_4_3_Digitos!$M$5:$M$1682,BALANCE!V1285,SYS_4_3_Digitos!$N$5:$N$1682)</f>
        <v>0</v>
      </c>
    </row>
    <row r="1286" spans="22:23" hidden="1">
      <c r="V1286" s="661">
        <v>3439</v>
      </c>
      <c r="W1286" s="662">
        <f>+SUMIF(SYS_4_3_Digitos!$M$5:$M$1682,BALANCE!V1286,SYS_4_3_Digitos!$N$5:$N$1682)</f>
        <v>0</v>
      </c>
    </row>
    <row r="1287" spans="22:23" hidden="1">
      <c r="V1287" s="661">
        <v>3440</v>
      </c>
      <c r="W1287" s="662">
        <f>+SUMIF(SYS_4_3_Digitos!$M$5:$M$1682,BALANCE!V1287,SYS_4_3_Digitos!$N$5:$N$1682)</f>
        <v>0</v>
      </c>
    </row>
    <row r="1288" spans="22:23" hidden="1">
      <c r="V1288" s="661">
        <v>3441</v>
      </c>
      <c r="W1288" s="662">
        <f>+SUMIF(SYS_4_3_Digitos!$M$5:$M$1682,BALANCE!V1288,SYS_4_3_Digitos!$N$5:$N$1682)</f>
        <v>0</v>
      </c>
    </row>
    <row r="1289" spans="22:23" hidden="1">
      <c r="V1289" s="661">
        <v>3442</v>
      </c>
      <c r="W1289" s="662">
        <f>+SUMIF(SYS_4_3_Digitos!$M$5:$M$1682,BALANCE!V1289,SYS_4_3_Digitos!$N$5:$N$1682)</f>
        <v>0</v>
      </c>
    </row>
    <row r="1290" spans="22:23" hidden="1">
      <c r="V1290" s="661">
        <v>3443</v>
      </c>
      <c r="W1290" s="662">
        <f>+SUMIF(SYS_4_3_Digitos!$M$5:$M$1682,BALANCE!V1290,SYS_4_3_Digitos!$N$5:$N$1682)</f>
        <v>0</v>
      </c>
    </row>
    <row r="1291" spans="22:23" hidden="1">
      <c r="V1291" s="661">
        <v>3444</v>
      </c>
      <c r="W1291" s="662">
        <f>+SUMIF(SYS_4_3_Digitos!$M$5:$M$1682,BALANCE!V1291,SYS_4_3_Digitos!$N$5:$N$1682)</f>
        <v>0</v>
      </c>
    </row>
    <row r="1292" spans="22:23" hidden="1">
      <c r="V1292" s="661">
        <v>3445</v>
      </c>
      <c r="W1292" s="662">
        <f>+SUMIF(SYS_4_3_Digitos!$M$5:$M$1682,BALANCE!V1292,SYS_4_3_Digitos!$N$5:$N$1682)</f>
        <v>0</v>
      </c>
    </row>
    <row r="1293" spans="22:23" hidden="1">
      <c r="V1293" s="661">
        <v>3446</v>
      </c>
      <c r="W1293" s="662">
        <f>+SUMIF(SYS_4_3_Digitos!$M$5:$M$1682,BALANCE!V1293,SYS_4_3_Digitos!$N$5:$N$1682)</f>
        <v>0</v>
      </c>
    </row>
    <row r="1294" spans="22:23" hidden="1">
      <c r="V1294" s="661">
        <v>3447</v>
      </c>
      <c r="W1294" s="662">
        <f>+SUMIF(SYS_4_3_Digitos!$M$5:$M$1682,BALANCE!V1294,SYS_4_3_Digitos!$N$5:$N$1682)</f>
        <v>0</v>
      </c>
    </row>
    <row r="1295" spans="22:23" hidden="1">
      <c r="V1295" s="661">
        <v>3448</v>
      </c>
      <c r="W1295" s="662">
        <f>+SUMIF(SYS_4_3_Digitos!$M$5:$M$1682,BALANCE!V1295,SYS_4_3_Digitos!$N$5:$N$1682)</f>
        <v>0</v>
      </c>
    </row>
    <row r="1296" spans="22:23" hidden="1">
      <c r="V1296" s="661">
        <v>3449</v>
      </c>
      <c r="W1296" s="662">
        <f>+SUMIF(SYS_4_3_Digitos!$M$5:$M$1682,BALANCE!V1296,SYS_4_3_Digitos!$N$5:$N$1682)</f>
        <v>0</v>
      </c>
    </row>
    <row r="1297" spans="22:23" hidden="1">
      <c r="V1297" s="661">
        <v>3450</v>
      </c>
      <c r="W1297" s="662">
        <f>+SUMIF(SYS_4_3_Digitos!$M$5:$M$1682,BALANCE!V1297,SYS_4_3_Digitos!$N$5:$N$1682)</f>
        <v>0</v>
      </c>
    </row>
    <row r="1298" spans="22:23" hidden="1">
      <c r="V1298" s="661">
        <v>3451</v>
      </c>
      <c r="W1298" s="662">
        <f>+SUMIF(SYS_4_3_Digitos!$M$5:$M$1682,BALANCE!V1298,SYS_4_3_Digitos!$N$5:$N$1682)</f>
        <v>0</v>
      </c>
    </row>
    <row r="1299" spans="22:23" hidden="1">
      <c r="V1299" s="661">
        <v>3452</v>
      </c>
      <c r="W1299" s="662">
        <f>+SUMIF(SYS_4_3_Digitos!$M$5:$M$1682,BALANCE!V1299,SYS_4_3_Digitos!$N$5:$N$1682)</f>
        <v>0</v>
      </c>
    </row>
    <row r="1300" spans="22:23" hidden="1">
      <c r="V1300" s="661">
        <v>3453</v>
      </c>
      <c r="W1300" s="662">
        <f>+SUMIF(SYS_4_3_Digitos!$M$5:$M$1682,BALANCE!V1300,SYS_4_3_Digitos!$N$5:$N$1682)</f>
        <v>0</v>
      </c>
    </row>
    <row r="1301" spans="22:23" hidden="1">
      <c r="V1301" s="661">
        <v>3454</v>
      </c>
      <c r="W1301" s="662">
        <f>+SUMIF(SYS_4_3_Digitos!$M$5:$M$1682,BALANCE!V1301,SYS_4_3_Digitos!$N$5:$N$1682)</f>
        <v>0</v>
      </c>
    </row>
    <row r="1302" spans="22:23" hidden="1">
      <c r="V1302" s="661">
        <v>3455</v>
      </c>
      <c r="W1302" s="662">
        <f>+SUMIF(SYS_4_3_Digitos!$M$5:$M$1682,BALANCE!V1302,SYS_4_3_Digitos!$N$5:$N$1682)</f>
        <v>0</v>
      </c>
    </row>
    <row r="1303" spans="22:23" hidden="1">
      <c r="V1303" s="661">
        <v>3456</v>
      </c>
      <c r="W1303" s="662">
        <f>+SUMIF(SYS_4_3_Digitos!$M$5:$M$1682,BALANCE!V1303,SYS_4_3_Digitos!$N$5:$N$1682)</f>
        <v>0</v>
      </c>
    </row>
    <row r="1304" spans="22:23" hidden="1">
      <c r="V1304" s="661">
        <v>3457</v>
      </c>
      <c r="W1304" s="662">
        <f>+SUMIF(SYS_4_3_Digitos!$M$5:$M$1682,BALANCE!V1304,SYS_4_3_Digitos!$N$5:$N$1682)</f>
        <v>0</v>
      </c>
    </row>
    <row r="1305" spans="22:23" hidden="1">
      <c r="V1305" s="661">
        <v>3458</v>
      </c>
      <c r="W1305" s="662">
        <f>+SUMIF(SYS_4_3_Digitos!$M$5:$M$1682,BALANCE!V1305,SYS_4_3_Digitos!$N$5:$N$1682)</f>
        <v>0</v>
      </c>
    </row>
    <row r="1306" spans="22:23" hidden="1">
      <c r="V1306" s="661">
        <v>3459</v>
      </c>
      <c r="W1306" s="662">
        <f>+SUMIF(SYS_4_3_Digitos!$M$5:$M$1682,BALANCE!V1306,SYS_4_3_Digitos!$N$5:$N$1682)</f>
        <v>0</v>
      </c>
    </row>
    <row r="1307" spans="22:23" hidden="1">
      <c r="V1307" s="661">
        <v>3460</v>
      </c>
      <c r="W1307" s="662">
        <f>+SUMIF(SYS_4_3_Digitos!$M$5:$M$1682,BALANCE!V1307,SYS_4_3_Digitos!$N$5:$N$1682)</f>
        <v>0</v>
      </c>
    </row>
    <row r="1308" spans="22:23" hidden="1">
      <c r="V1308" s="661">
        <v>3461</v>
      </c>
      <c r="W1308" s="662">
        <f>+SUMIF(SYS_4_3_Digitos!$M$5:$M$1682,BALANCE!V1308,SYS_4_3_Digitos!$N$5:$N$1682)</f>
        <v>0</v>
      </c>
    </row>
    <row r="1309" spans="22:23" hidden="1">
      <c r="V1309" s="661">
        <v>3462</v>
      </c>
      <c r="W1309" s="662">
        <f>+SUMIF(SYS_4_3_Digitos!$M$5:$M$1682,BALANCE!V1309,SYS_4_3_Digitos!$N$5:$N$1682)</f>
        <v>0</v>
      </c>
    </row>
    <row r="1310" spans="22:23" hidden="1">
      <c r="V1310" s="661">
        <v>3463</v>
      </c>
      <c r="W1310" s="662">
        <f>+SUMIF(SYS_4_3_Digitos!$M$5:$M$1682,BALANCE!V1310,SYS_4_3_Digitos!$N$5:$N$1682)</f>
        <v>0</v>
      </c>
    </row>
    <row r="1311" spans="22:23" hidden="1">
      <c r="V1311" s="661">
        <v>3464</v>
      </c>
      <c r="W1311" s="662">
        <f>+SUMIF(SYS_4_3_Digitos!$M$5:$M$1682,BALANCE!V1311,SYS_4_3_Digitos!$N$5:$N$1682)</f>
        <v>0</v>
      </c>
    </row>
    <row r="1312" spans="22:23" hidden="1">
      <c r="V1312" s="661">
        <v>3465</v>
      </c>
      <c r="W1312" s="662">
        <f>+SUMIF(SYS_4_3_Digitos!$M$5:$M$1682,BALANCE!V1312,SYS_4_3_Digitos!$N$5:$N$1682)</f>
        <v>0</v>
      </c>
    </row>
    <row r="1313" spans="22:23" hidden="1">
      <c r="V1313" s="661">
        <v>3466</v>
      </c>
      <c r="W1313" s="662">
        <f>+SUMIF(SYS_4_3_Digitos!$M$5:$M$1682,BALANCE!V1313,SYS_4_3_Digitos!$N$5:$N$1682)</f>
        <v>0</v>
      </c>
    </row>
    <row r="1314" spans="22:23" hidden="1">
      <c r="V1314" s="661">
        <v>3467</v>
      </c>
      <c r="W1314" s="662">
        <f>+SUMIF(SYS_4_3_Digitos!$M$5:$M$1682,BALANCE!V1314,SYS_4_3_Digitos!$N$5:$N$1682)</f>
        <v>0</v>
      </c>
    </row>
    <row r="1315" spans="22:23" hidden="1">
      <c r="V1315" s="661">
        <v>3468</v>
      </c>
      <c r="W1315" s="662">
        <f>+SUMIF(SYS_4_3_Digitos!$M$5:$M$1682,BALANCE!V1315,SYS_4_3_Digitos!$N$5:$N$1682)</f>
        <v>0</v>
      </c>
    </row>
    <row r="1316" spans="22:23" hidden="1">
      <c r="V1316" s="661">
        <v>3469</v>
      </c>
      <c r="W1316" s="662">
        <f>+SUMIF(SYS_4_3_Digitos!$M$5:$M$1682,BALANCE!V1316,SYS_4_3_Digitos!$N$5:$N$1682)</f>
        <v>0</v>
      </c>
    </row>
    <row r="1317" spans="22:23" hidden="1">
      <c r="V1317" s="661">
        <v>3470</v>
      </c>
      <c r="W1317" s="662">
        <f>+SUMIF(SYS_4_3_Digitos!$M$5:$M$1682,BALANCE!V1317,SYS_4_3_Digitos!$N$5:$N$1682)</f>
        <v>0</v>
      </c>
    </row>
    <row r="1318" spans="22:23" hidden="1">
      <c r="V1318" s="661">
        <v>3471</v>
      </c>
      <c r="W1318" s="662">
        <f>+SUMIF(SYS_4_3_Digitos!$M$5:$M$1682,BALANCE!V1318,SYS_4_3_Digitos!$N$5:$N$1682)</f>
        <v>0</v>
      </c>
    </row>
    <row r="1319" spans="22:23" hidden="1">
      <c r="V1319" s="661">
        <v>3472</v>
      </c>
      <c r="W1319" s="662">
        <f>+SUMIF(SYS_4_3_Digitos!$M$5:$M$1682,BALANCE!V1319,SYS_4_3_Digitos!$N$5:$N$1682)</f>
        <v>0</v>
      </c>
    </row>
    <row r="1320" spans="22:23" hidden="1">
      <c r="V1320" s="661">
        <v>3473</v>
      </c>
      <c r="W1320" s="662">
        <f>+SUMIF(SYS_4_3_Digitos!$M$5:$M$1682,BALANCE!V1320,SYS_4_3_Digitos!$N$5:$N$1682)</f>
        <v>0</v>
      </c>
    </row>
    <row r="1321" spans="22:23" hidden="1">
      <c r="V1321" s="661">
        <v>3474</v>
      </c>
      <c r="W1321" s="662">
        <f>+SUMIF(SYS_4_3_Digitos!$M$5:$M$1682,BALANCE!V1321,SYS_4_3_Digitos!$N$5:$N$1682)</f>
        <v>0</v>
      </c>
    </row>
    <row r="1322" spans="22:23" hidden="1">
      <c r="V1322" s="661">
        <v>3475</v>
      </c>
      <c r="W1322" s="662">
        <f>+SUMIF(SYS_4_3_Digitos!$M$5:$M$1682,BALANCE!V1322,SYS_4_3_Digitos!$N$5:$N$1682)</f>
        <v>0</v>
      </c>
    </row>
    <row r="1323" spans="22:23" hidden="1">
      <c r="V1323" s="661">
        <v>3476</v>
      </c>
      <c r="W1323" s="662">
        <f>+SUMIF(SYS_4_3_Digitos!$M$5:$M$1682,BALANCE!V1323,SYS_4_3_Digitos!$N$5:$N$1682)</f>
        <v>0</v>
      </c>
    </row>
    <row r="1324" spans="22:23" hidden="1">
      <c r="V1324" s="661">
        <v>3477</v>
      </c>
      <c r="W1324" s="662">
        <f>+SUMIF(SYS_4_3_Digitos!$M$5:$M$1682,BALANCE!V1324,SYS_4_3_Digitos!$N$5:$N$1682)</f>
        <v>0</v>
      </c>
    </row>
    <row r="1325" spans="22:23" hidden="1">
      <c r="V1325" s="661">
        <v>3478</v>
      </c>
      <c r="W1325" s="662">
        <f>+SUMIF(SYS_4_3_Digitos!$M$5:$M$1682,BALANCE!V1325,SYS_4_3_Digitos!$N$5:$N$1682)</f>
        <v>0</v>
      </c>
    </row>
    <row r="1326" spans="22:23" hidden="1">
      <c r="V1326" s="661">
        <v>3479</v>
      </c>
      <c r="W1326" s="662">
        <f>+SUMIF(SYS_4_3_Digitos!$M$5:$M$1682,BALANCE!V1326,SYS_4_3_Digitos!$N$5:$N$1682)</f>
        <v>0</v>
      </c>
    </row>
    <row r="1327" spans="22:23" hidden="1">
      <c r="V1327" s="661">
        <v>3480</v>
      </c>
      <c r="W1327" s="662">
        <f>+SUMIF(SYS_4_3_Digitos!$M$5:$M$1682,BALANCE!V1327,SYS_4_3_Digitos!$N$5:$N$1682)</f>
        <v>0</v>
      </c>
    </row>
    <row r="1328" spans="22:23" hidden="1">
      <c r="V1328" s="661">
        <v>3481</v>
      </c>
      <c r="W1328" s="662">
        <f>+SUMIF(SYS_4_3_Digitos!$M$5:$M$1682,BALANCE!V1328,SYS_4_3_Digitos!$N$5:$N$1682)</f>
        <v>0</v>
      </c>
    </row>
    <row r="1329" spans="22:23" hidden="1">
      <c r="V1329" s="661">
        <v>3482</v>
      </c>
      <c r="W1329" s="662">
        <f>+SUMIF(SYS_4_3_Digitos!$M$5:$M$1682,BALANCE!V1329,SYS_4_3_Digitos!$N$5:$N$1682)</f>
        <v>0</v>
      </c>
    </row>
    <row r="1330" spans="22:23" hidden="1">
      <c r="V1330" s="661">
        <v>3483</v>
      </c>
      <c r="W1330" s="662">
        <f>+SUMIF(SYS_4_3_Digitos!$M$5:$M$1682,BALANCE!V1330,SYS_4_3_Digitos!$N$5:$N$1682)</f>
        <v>0</v>
      </c>
    </row>
    <row r="1331" spans="22:23" hidden="1">
      <c r="V1331" s="661">
        <v>3484</v>
      </c>
      <c r="W1331" s="662">
        <f>+SUMIF(SYS_4_3_Digitos!$M$5:$M$1682,BALANCE!V1331,SYS_4_3_Digitos!$N$5:$N$1682)</f>
        <v>0</v>
      </c>
    </row>
    <row r="1332" spans="22:23" hidden="1">
      <c r="V1332" s="661">
        <v>3485</v>
      </c>
      <c r="W1332" s="662">
        <f>+SUMIF(SYS_4_3_Digitos!$M$5:$M$1682,BALANCE!V1332,SYS_4_3_Digitos!$N$5:$N$1682)</f>
        <v>0</v>
      </c>
    </row>
    <row r="1333" spans="22:23" hidden="1">
      <c r="V1333" s="661">
        <v>3486</v>
      </c>
      <c r="W1333" s="662">
        <f>+SUMIF(SYS_4_3_Digitos!$M$5:$M$1682,BALANCE!V1333,SYS_4_3_Digitos!$N$5:$N$1682)</f>
        <v>0</v>
      </c>
    </row>
    <row r="1334" spans="22:23" hidden="1">
      <c r="V1334" s="661">
        <v>3487</v>
      </c>
      <c r="W1334" s="662">
        <f>+SUMIF(SYS_4_3_Digitos!$M$5:$M$1682,BALANCE!V1334,SYS_4_3_Digitos!$N$5:$N$1682)</f>
        <v>0</v>
      </c>
    </row>
    <row r="1335" spans="22:23" hidden="1">
      <c r="V1335" s="661">
        <v>3488</v>
      </c>
      <c r="W1335" s="662">
        <f>+SUMIF(SYS_4_3_Digitos!$M$5:$M$1682,BALANCE!V1335,SYS_4_3_Digitos!$N$5:$N$1682)</f>
        <v>0</v>
      </c>
    </row>
    <row r="1336" spans="22:23" hidden="1">
      <c r="V1336" s="661">
        <v>3489</v>
      </c>
      <c r="W1336" s="662">
        <f>+SUMIF(SYS_4_3_Digitos!$M$5:$M$1682,BALANCE!V1336,SYS_4_3_Digitos!$N$5:$N$1682)</f>
        <v>0</v>
      </c>
    </row>
    <row r="1337" spans="22:23" hidden="1">
      <c r="V1337" s="661">
        <v>3490</v>
      </c>
      <c r="W1337" s="662">
        <f>+SUMIF(SYS_4_3_Digitos!$M$5:$M$1682,BALANCE!V1337,SYS_4_3_Digitos!$N$5:$N$1682)</f>
        <v>0</v>
      </c>
    </row>
    <row r="1338" spans="22:23" hidden="1">
      <c r="V1338" s="661">
        <v>3491</v>
      </c>
      <c r="W1338" s="662">
        <f>+SUMIF(SYS_4_3_Digitos!$M$5:$M$1682,BALANCE!V1338,SYS_4_3_Digitos!$N$5:$N$1682)</f>
        <v>0</v>
      </c>
    </row>
    <row r="1339" spans="22:23" hidden="1">
      <c r="V1339" s="661">
        <v>3492</v>
      </c>
      <c r="W1339" s="662">
        <f>+SUMIF(SYS_4_3_Digitos!$M$5:$M$1682,BALANCE!V1339,SYS_4_3_Digitos!$N$5:$N$1682)</f>
        <v>0</v>
      </c>
    </row>
    <row r="1340" spans="22:23" hidden="1">
      <c r="V1340" s="661">
        <v>3493</v>
      </c>
      <c r="W1340" s="662">
        <f>+SUMIF(SYS_4_3_Digitos!$M$5:$M$1682,BALANCE!V1340,SYS_4_3_Digitos!$N$5:$N$1682)</f>
        <v>0</v>
      </c>
    </row>
    <row r="1341" spans="22:23" hidden="1">
      <c r="V1341" s="661">
        <v>3494</v>
      </c>
      <c r="W1341" s="662">
        <f>+SUMIF(SYS_4_3_Digitos!$M$5:$M$1682,BALANCE!V1341,SYS_4_3_Digitos!$N$5:$N$1682)</f>
        <v>0</v>
      </c>
    </row>
    <row r="1342" spans="22:23" hidden="1">
      <c r="V1342" s="661">
        <v>3495</v>
      </c>
      <c r="W1342" s="662">
        <f>+SUMIF(SYS_4_3_Digitos!$M$5:$M$1682,BALANCE!V1342,SYS_4_3_Digitos!$N$5:$N$1682)</f>
        <v>0</v>
      </c>
    </row>
    <row r="1343" spans="22:23" hidden="1">
      <c r="V1343" s="661">
        <v>3496</v>
      </c>
      <c r="W1343" s="662">
        <f>+SUMIF(SYS_4_3_Digitos!$M$5:$M$1682,BALANCE!V1343,SYS_4_3_Digitos!$N$5:$N$1682)</f>
        <v>0</v>
      </c>
    </row>
    <row r="1344" spans="22:23" hidden="1">
      <c r="V1344" s="661">
        <v>3497</v>
      </c>
      <c r="W1344" s="662">
        <f>+SUMIF(SYS_4_3_Digitos!$M$5:$M$1682,BALANCE!V1344,SYS_4_3_Digitos!$N$5:$N$1682)</f>
        <v>0</v>
      </c>
    </row>
    <row r="1345" spans="22:23" hidden="1">
      <c r="V1345" s="661">
        <v>3498</v>
      </c>
      <c r="W1345" s="662">
        <f>+SUMIF(SYS_4_3_Digitos!$M$5:$M$1682,BALANCE!V1345,SYS_4_3_Digitos!$N$5:$N$1682)</f>
        <v>0</v>
      </c>
    </row>
    <row r="1346" spans="22:23" hidden="1">
      <c r="V1346" s="661">
        <v>3499</v>
      </c>
      <c r="W1346" s="662">
        <f>+SUMIF(SYS_4_3_Digitos!$M$5:$M$1682,BALANCE!V1346,SYS_4_3_Digitos!$N$5:$N$1682)</f>
        <v>0</v>
      </c>
    </row>
    <row r="1347" spans="22:23" hidden="1">
      <c r="V1347" s="661">
        <v>3600</v>
      </c>
      <c r="W1347" s="662">
        <f ca="1">+SUMIF(SYS_4_3_Digitos!$M$5:$M$1682,BALANCE!V1347,SYS_4_3_Digitos!$N$5:$N$1682)</f>
        <v>0</v>
      </c>
    </row>
    <row r="1348" spans="22:23" hidden="1">
      <c r="V1348" s="661">
        <v>3601</v>
      </c>
      <c r="W1348" s="662">
        <f>+SUMIF(SYS_4_3_Digitos!$M$5:$M$1682,BALANCE!V1348,SYS_4_3_Digitos!$N$5:$N$1682)</f>
        <v>0</v>
      </c>
    </row>
    <row r="1349" spans="22:23" hidden="1">
      <c r="V1349" s="661">
        <v>3602</v>
      </c>
      <c r="W1349" s="662">
        <f>+SUMIF(SYS_4_3_Digitos!$M$5:$M$1682,BALANCE!V1349,SYS_4_3_Digitos!$N$5:$N$1682)</f>
        <v>0</v>
      </c>
    </row>
    <row r="1350" spans="22:23" hidden="1">
      <c r="V1350" s="661">
        <v>3603</v>
      </c>
      <c r="W1350" s="662">
        <f>+SUMIF(SYS_4_3_Digitos!$M$5:$M$1682,BALANCE!V1350,SYS_4_3_Digitos!$N$5:$N$1682)</f>
        <v>0</v>
      </c>
    </row>
    <row r="1351" spans="22:23" hidden="1">
      <c r="V1351" s="661">
        <v>3604</v>
      </c>
      <c r="W1351" s="662">
        <f>+SUMIF(SYS_4_3_Digitos!$M$5:$M$1682,BALANCE!V1351,SYS_4_3_Digitos!$N$5:$N$1682)</f>
        <v>0</v>
      </c>
    </row>
    <row r="1352" spans="22:23" hidden="1">
      <c r="V1352" s="661">
        <v>3605</v>
      </c>
      <c r="W1352" s="662">
        <f>+SUMIF(SYS_4_3_Digitos!$M$5:$M$1682,BALANCE!V1352,SYS_4_3_Digitos!$N$5:$N$1682)</f>
        <v>0</v>
      </c>
    </row>
    <row r="1353" spans="22:23" hidden="1">
      <c r="V1353" s="661">
        <v>3606</v>
      </c>
      <c r="W1353" s="662">
        <f>+SUMIF(SYS_4_3_Digitos!$M$5:$M$1682,BALANCE!V1353,SYS_4_3_Digitos!$N$5:$N$1682)</f>
        <v>0</v>
      </c>
    </row>
    <row r="1354" spans="22:23" hidden="1">
      <c r="V1354" s="661">
        <v>3607</v>
      </c>
      <c r="W1354" s="662">
        <f>+SUMIF(SYS_4_3_Digitos!$M$5:$M$1682,BALANCE!V1354,SYS_4_3_Digitos!$N$5:$N$1682)</f>
        <v>0</v>
      </c>
    </row>
    <row r="1355" spans="22:23" hidden="1">
      <c r="V1355" s="661">
        <v>3608</v>
      </c>
      <c r="W1355" s="662">
        <f>+SUMIF(SYS_4_3_Digitos!$M$5:$M$1682,BALANCE!V1355,SYS_4_3_Digitos!$N$5:$N$1682)</f>
        <v>0</v>
      </c>
    </row>
    <row r="1356" spans="22:23" hidden="1">
      <c r="V1356" s="661">
        <v>3609</v>
      </c>
      <c r="W1356" s="662">
        <f>+SUMIF(SYS_4_3_Digitos!$M$5:$M$1682,BALANCE!V1356,SYS_4_3_Digitos!$N$5:$N$1682)</f>
        <v>0</v>
      </c>
    </row>
    <row r="1357" spans="22:23" hidden="1">
      <c r="V1357" s="661">
        <v>3610</v>
      </c>
      <c r="W1357" s="662">
        <f>+SUMIF(SYS_4_3_Digitos!$M$5:$M$1682,BALANCE!V1357,SYS_4_3_Digitos!$N$5:$N$1682)</f>
        <v>0</v>
      </c>
    </row>
    <row r="1358" spans="22:23" hidden="1">
      <c r="V1358" s="661">
        <v>3611</v>
      </c>
      <c r="W1358" s="662">
        <f>+SUMIF(SYS_4_3_Digitos!$M$5:$M$1682,BALANCE!V1358,SYS_4_3_Digitos!$N$5:$N$1682)</f>
        <v>0</v>
      </c>
    </row>
    <row r="1359" spans="22:23" hidden="1">
      <c r="V1359" s="661">
        <v>3612</v>
      </c>
      <c r="W1359" s="662">
        <f>+SUMIF(SYS_4_3_Digitos!$M$5:$M$1682,BALANCE!V1359,SYS_4_3_Digitos!$N$5:$N$1682)</f>
        <v>0</v>
      </c>
    </row>
    <row r="1360" spans="22:23" hidden="1">
      <c r="V1360" s="661">
        <v>3613</v>
      </c>
      <c r="W1360" s="662">
        <f>+SUMIF(SYS_4_3_Digitos!$M$5:$M$1682,BALANCE!V1360,SYS_4_3_Digitos!$N$5:$N$1682)</f>
        <v>0</v>
      </c>
    </row>
    <row r="1361" spans="22:23" hidden="1">
      <c r="V1361" s="661">
        <v>3614</v>
      </c>
      <c r="W1361" s="662">
        <f>+SUMIF(SYS_4_3_Digitos!$M$5:$M$1682,BALANCE!V1361,SYS_4_3_Digitos!$N$5:$N$1682)</f>
        <v>0</v>
      </c>
    </row>
    <row r="1362" spans="22:23" hidden="1">
      <c r="V1362" s="661">
        <v>3615</v>
      </c>
      <c r="W1362" s="662">
        <f>+SUMIF(SYS_4_3_Digitos!$M$5:$M$1682,BALANCE!V1362,SYS_4_3_Digitos!$N$5:$N$1682)</f>
        <v>0</v>
      </c>
    </row>
    <row r="1363" spans="22:23" hidden="1">
      <c r="V1363" s="661">
        <v>3616</v>
      </c>
      <c r="W1363" s="662">
        <f>+SUMIF(SYS_4_3_Digitos!$M$5:$M$1682,BALANCE!V1363,SYS_4_3_Digitos!$N$5:$N$1682)</f>
        <v>0</v>
      </c>
    </row>
    <row r="1364" spans="22:23" hidden="1">
      <c r="V1364" s="661">
        <v>3617</v>
      </c>
      <c r="W1364" s="662">
        <f>+SUMIF(SYS_4_3_Digitos!$M$5:$M$1682,BALANCE!V1364,SYS_4_3_Digitos!$N$5:$N$1682)</f>
        <v>0</v>
      </c>
    </row>
    <row r="1365" spans="22:23" hidden="1">
      <c r="V1365" s="661">
        <v>3618</v>
      </c>
      <c r="W1365" s="662">
        <f>+SUMIF(SYS_4_3_Digitos!$M$5:$M$1682,BALANCE!V1365,SYS_4_3_Digitos!$N$5:$N$1682)</f>
        <v>0</v>
      </c>
    </row>
    <row r="1366" spans="22:23" hidden="1">
      <c r="V1366" s="661">
        <v>3619</v>
      </c>
      <c r="W1366" s="662">
        <f>+SUMIF(SYS_4_3_Digitos!$M$5:$M$1682,BALANCE!V1366,SYS_4_3_Digitos!$N$5:$N$1682)</f>
        <v>0</v>
      </c>
    </row>
    <row r="1367" spans="22:23" hidden="1">
      <c r="V1367" s="661">
        <v>3620</v>
      </c>
      <c r="W1367" s="662">
        <f>+SUMIF(SYS_4_3_Digitos!$M$5:$M$1682,BALANCE!V1367,SYS_4_3_Digitos!$N$5:$N$1682)</f>
        <v>0</v>
      </c>
    </row>
    <row r="1368" spans="22:23" hidden="1">
      <c r="V1368" s="661">
        <v>3621</v>
      </c>
      <c r="W1368" s="662">
        <f>+SUMIF(SYS_4_3_Digitos!$M$5:$M$1682,BALANCE!V1368,SYS_4_3_Digitos!$N$5:$N$1682)</f>
        <v>0</v>
      </c>
    </row>
    <row r="1369" spans="22:23" hidden="1">
      <c r="V1369" s="661">
        <v>3622</v>
      </c>
      <c r="W1369" s="662">
        <f>+SUMIF(SYS_4_3_Digitos!$M$5:$M$1682,BALANCE!V1369,SYS_4_3_Digitos!$N$5:$N$1682)</f>
        <v>0</v>
      </c>
    </row>
    <row r="1370" spans="22:23" hidden="1">
      <c r="V1370" s="661">
        <v>3623</v>
      </c>
      <c r="W1370" s="662">
        <f>+SUMIF(SYS_4_3_Digitos!$M$5:$M$1682,BALANCE!V1370,SYS_4_3_Digitos!$N$5:$N$1682)</f>
        <v>0</v>
      </c>
    </row>
    <row r="1371" spans="22:23" hidden="1">
      <c r="V1371" s="661">
        <v>3624</v>
      </c>
      <c r="W1371" s="662">
        <f>+SUMIF(SYS_4_3_Digitos!$M$5:$M$1682,BALANCE!V1371,SYS_4_3_Digitos!$N$5:$N$1682)</f>
        <v>0</v>
      </c>
    </row>
    <row r="1372" spans="22:23" hidden="1">
      <c r="V1372" s="661">
        <v>3625</v>
      </c>
      <c r="W1372" s="662">
        <f>+SUMIF(SYS_4_3_Digitos!$M$5:$M$1682,BALANCE!V1372,SYS_4_3_Digitos!$N$5:$N$1682)</f>
        <v>0</v>
      </c>
    </row>
    <row r="1373" spans="22:23" hidden="1">
      <c r="V1373" s="661">
        <v>3626</v>
      </c>
      <c r="W1373" s="662">
        <f>+SUMIF(SYS_4_3_Digitos!$M$5:$M$1682,BALANCE!V1373,SYS_4_3_Digitos!$N$5:$N$1682)</f>
        <v>0</v>
      </c>
    </row>
    <row r="1374" spans="22:23" hidden="1">
      <c r="V1374" s="661">
        <v>3627</v>
      </c>
      <c r="W1374" s="662">
        <f>+SUMIF(SYS_4_3_Digitos!$M$5:$M$1682,BALANCE!V1374,SYS_4_3_Digitos!$N$5:$N$1682)</f>
        <v>0</v>
      </c>
    </row>
    <row r="1375" spans="22:23" hidden="1">
      <c r="V1375" s="661">
        <v>3628</v>
      </c>
      <c r="W1375" s="662">
        <f>+SUMIF(SYS_4_3_Digitos!$M$5:$M$1682,BALANCE!V1375,SYS_4_3_Digitos!$N$5:$N$1682)</f>
        <v>0</v>
      </c>
    </row>
    <row r="1376" spans="22:23" hidden="1">
      <c r="V1376" s="661">
        <v>3629</v>
      </c>
      <c r="W1376" s="662">
        <f>+SUMIF(SYS_4_3_Digitos!$M$5:$M$1682,BALANCE!V1376,SYS_4_3_Digitos!$N$5:$N$1682)</f>
        <v>0</v>
      </c>
    </row>
    <row r="1377" spans="22:23" hidden="1">
      <c r="V1377" s="661">
        <v>3630</v>
      </c>
      <c r="W1377" s="662">
        <f>+SUMIF(SYS_4_3_Digitos!$M$5:$M$1682,BALANCE!V1377,SYS_4_3_Digitos!$N$5:$N$1682)</f>
        <v>0</v>
      </c>
    </row>
    <row r="1378" spans="22:23" hidden="1">
      <c r="V1378" s="661">
        <v>3631</v>
      </c>
      <c r="W1378" s="662">
        <f>+SUMIF(SYS_4_3_Digitos!$M$5:$M$1682,BALANCE!V1378,SYS_4_3_Digitos!$N$5:$N$1682)</f>
        <v>0</v>
      </c>
    </row>
    <row r="1379" spans="22:23" hidden="1">
      <c r="V1379" s="661">
        <v>3632</v>
      </c>
      <c r="W1379" s="662">
        <f>+SUMIF(SYS_4_3_Digitos!$M$5:$M$1682,BALANCE!V1379,SYS_4_3_Digitos!$N$5:$N$1682)</f>
        <v>0</v>
      </c>
    </row>
    <row r="1380" spans="22:23" hidden="1">
      <c r="V1380" s="661">
        <v>3633</v>
      </c>
      <c r="W1380" s="662">
        <f>+SUMIF(SYS_4_3_Digitos!$M$5:$M$1682,BALANCE!V1380,SYS_4_3_Digitos!$N$5:$N$1682)</f>
        <v>0</v>
      </c>
    </row>
    <row r="1381" spans="22:23" hidden="1">
      <c r="V1381" s="661">
        <v>3634</v>
      </c>
      <c r="W1381" s="662">
        <f>+SUMIF(SYS_4_3_Digitos!$M$5:$M$1682,BALANCE!V1381,SYS_4_3_Digitos!$N$5:$N$1682)</f>
        <v>0</v>
      </c>
    </row>
    <row r="1382" spans="22:23" hidden="1">
      <c r="V1382" s="661">
        <v>3635</v>
      </c>
      <c r="W1382" s="662">
        <f>+SUMIF(SYS_4_3_Digitos!$M$5:$M$1682,BALANCE!V1382,SYS_4_3_Digitos!$N$5:$N$1682)</f>
        <v>0</v>
      </c>
    </row>
    <row r="1383" spans="22:23" hidden="1">
      <c r="V1383" s="661">
        <v>3636</v>
      </c>
      <c r="W1383" s="662">
        <f>+SUMIF(SYS_4_3_Digitos!$M$5:$M$1682,BALANCE!V1383,SYS_4_3_Digitos!$N$5:$N$1682)</f>
        <v>0</v>
      </c>
    </row>
    <row r="1384" spans="22:23" hidden="1">
      <c r="V1384" s="661">
        <v>3637</v>
      </c>
      <c r="W1384" s="662">
        <f>+SUMIF(SYS_4_3_Digitos!$M$5:$M$1682,BALANCE!V1384,SYS_4_3_Digitos!$N$5:$N$1682)</f>
        <v>0</v>
      </c>
    </row>
    <row r="1385" spans="22:23" hidden="1">
      <c r="V1385" s="661">
        <v>3638</v>
      </c>
      <c r="W1385" s="662">
        <f>+SUMIF(SYS_4_3_Digitos!$M$5:$M$1682,BALANCE!V1385,SYS_4_3_Digitos!$N$5:$N$1682)</f>
        <v>0</v>
      </c>
    </row>
    <row r="1386" spans="22:23" hidden="1">
      <c r="V1386" s="661">
        <v>3639</v>
      </c>
      <c r="W1386" s="662">
        <f>+SUMIF(SYS_4_3_Digitos!$M$5:$M$1682,BALANCE!V1386,SYS_4_3_Digitos!$N$5:$N$1682)</f>
        <v>0</v>
      </c>
    </row>
    <row r="1387" spans="22:23" hidden="1">
      <c r="V1387" s="661">
        <v>3640</v>
      </c>
      <c r="W1387" s="662">
        <f>+SUMIF(SYS_4_3_Digitos!$M$5:$M$1682,BALANCE!V1387,SYS_4_3_Digitos!$N$5:$N$1682)</f>
        <v>0</v>
      </c>
    </row>
    <row r="1388" spans="22:23" hidden="1">
      <c r="V1388" s="661">
        <v>3641</v>
      </c>
      <c r="W1388" s="662">
        <f>+SUMIF(SYS_4_3_Digitos!$M$5:$M$1682,BALANCE!V1388,SYS_4_3_Digitos!$N$5:$N$1682)</f>
        <v>0</v>
      </c>
    </row>
    <row r="1389" spans="22:23" hidden="1">
      <c r="V1389" s="661">
        <v>3642</v>
      </c>
      <c r="W1389" s="662">
        <f>+SUMIF(SYS_4_3_Digitos!$M$5:$M$1682,BALANCE!V1389,SYS_4_3_Digitos!$N$5:$N$1682)</f>
        <v>0</v>
      </c>
    </row>
    <row r="1390" spans="22:23" hidden="1">
      <c r="V1390" s="661">
        <v>3643</v>
      </c>
      <c r="W1390" s="662">
        <f>+SUMIF(SYS_4_3_Digitos!$M$5:$M$1682,BALANCE!V1390,SYS_4_3_Digitos!$N$5:$N$1682)</f>
        <v>0</v>
      </c>
    </row>
    <row r="1391" spans="22:23" hidden="1">
      <c r="V1391" s="661">
        <v>3644</v>
      </c>
      <c r="W1391" s="662">
        <f>+SUMIF(SYS_4_3_Digitos!$M$5:$M$1682,BALANCE!V1391,SYS_4_3_Digitos!$N$5:$N$1682)</f>
        <v>0</v>
      </c>
    </row>
    <row r="1392" spans="22:23" hidden="1">
      <c r="V1392" s="661">
        <v>3645</v>
      </c>
      <c r="W1392" s="662">
        <f>+SUMIF(SYS_4_3_Digitos!$M$5:$M$1682,BALANCE!V1392,SYS_4_3_Digitos!$N$5:$N$1682)</f>
        <v>0</v>
      </c>
    </row>
    <row r="1393" spans="22:23" hidden="1">
      <c r="V1393" s="661">
        <v>3646</v>
      </c>
      <c r="W1393" s="662">
        <f>+SUMIF(SYS_4_3_Digitos!$M$5:$M$1682,BALANCE!V1393,SYS_4_3_Digitos!$N$5:$N$1682)</f>
        <v>0</v>
      </c>
    </row>
    <row r="1394" spans="22:23" hidden="1">
      <c r="V1394" s="661">
        <v>3647</v>
      </c>
      <c r="W1394" s="662">
        <f>+SUMIF(SYS_4_3_Digitos!$M$5:$M$1682,BALANCE!V1394,SYS_4_3_Digitos!$N$5:$N$1682)</f>
        <v>0</v>
      </c>
    </row>
    <row r="1395" spans="22:23" hidden="1">
      <c r="V1395" s="661">
        <v>3648</v>
      </c>
      <c r="W1395" s="662">
        <f>+SUMIF(SYS_4_3_Digitos!$M$5:$M$1682,BALANCE!V1395,SYS_4_3_Digitos!$N$5:$N$1682)</f>
        <v>0</v>
      </c>
    </row>
    <row r="1396" spans="22:23" hidden="1">
      <c r="V1396" s="661">
        <v>3649</v>
      </c>
      <c r="W1396" s="662">
        <f>+SUMIF(SYS_4_3_Digitos!$M$5:$M$1682,BALANCE!V1396,SYS_4_3_Digitos!$N$5:$N$1682)</f>
        <v>0</v>
      </c>
    </row>
    <row r="1397" spans="22:23" hidden="1">
      <c r="V1397" s="661">
        <v>3650</v>
      </c>
      <c r="W1397" s="662">
        <f>+SUMIF(SYS_4_3_Digitos!$M$5:$M$1682,BALANCE!V1397,SYS_4_3_Digitos!$N$5:$N$1682)</f>
        <v>0</v>
      </c>
    </row>
    <row r="1398" spans="22:23" hidden="1">
      <c r="V1398" s="661">
        <v>3651</v>
      </c>
      <c r="W1398" s="662">
        <f>+SUMIF(SYS_4_3_Digitos!$M$5:$M$1682,BALANCE!V1398,SYS_4_3_Digitos!$N$5:$N$1682)</f>
        <v>0</v>
      </c>
    </row>
    <row r="1399" spans="22:23" hidden="1">
      <c r="V1399" s="661">
        <v>3652</v>
      </c>
      <c r="W1399" s="662">
        <f>+SUMIF(SYS_4_3_Digitos!$M$5:$M$1682,BALANCE!V1399,SYS_4_3_Digitos!$N$5:$N$1682)</f>
        <v>0</v>
      </c>
    </row>
    <row r="1400" spans="22:23" hidden="1">
      <c r="V1400" s="661">
        <v>3653</v>
      </c>
      <c r="W1400" s="662">
        <f>+SUMIF(SYS_4_3_Digitos!$M$5:$M$1682,BALANCE!V1400,SYS_4_3_Digitos!$N$5:$N$1682)</f>
        <v>0</v>
      </c>
    </row>
    <row r="1401" spans="22:23" hidden="1">
      <c r="V1401" s="661">
        <v>3654</v>
      </c>
      <c r="W1401" s="662">
        <f>+SUMIF(SYS_4_3_Digitos!$M$5:$M$1682,BALANCE!V1401,SYS_4_3_Digitos!$N$5:$N$1682)</f>
        <v>0</v>
      </c>
    </row>
    <row r="1402" spans="22:23" hidden="1">
      <c r="V1402" s="661">
        <v>3655</v>
      </c>
      <c r="W1402" s="662">
        <f>+SUMIF(SYS_4_3_Digitos!$M$5:$M$1682,BALANCE!V1402,SYS_4_3_Digitos!$N$5:$N$1682)</f>
        <v>0</v>
      </c>
    </row>
    <row r="1403" spans="22:23" hidden="1">
      <c r="V1403" s="661">
        <v>3656</v>
      </c>
      <c r="W1403" s="662">
        <f>+SUMIF(SYS_4_3_Digitos!$M$5:$M$1682,BALANCE!V1403,SYS_4_3_Digitos!$N$5:$N$1682)</f>
        <v>0</v>
      </c>
    </row>
    <row r="1404" spans="22:23" hidden="1">
      <c r="V1404" s="661">
        <v>3657</v>
      </c>
      <c r="W1404" s="662">
        <f>+SUMIF(SYS_4_3_Digitos!$M$5:$M$1682,BALANCE!V1404,SYS_4_3_Digitos!$N$5:$N$1682)</f>
        <v>0</v>
      </c>
    </row>
    <row r="1405" spans="22:23" hidden="1">
      <c r="V1405" s="661">
        <v>3658</v>
      </c>
      <c r="W1405" s="662">
        <f>+SUMIF(SYS_4_3_Digitos!$M$5:$M$1682,BALANCE!V1405,SYS_4_3_Digitos!$N$5:$N$1682)</f>
        <v>0</v>
      </c>
    </row>
    <row r="1406" spans="22:23" hidden="1">
      <c r="V1406" s="661">
        <v>3659</v>
      </c>
      <c r="W1406" s="662">
        <f>+SUMIF(SYS_4_3_Digitos!$M$5:$M$1682,BALANCE!V1406,SYS_4_3_Digitos!$N$5:$N$1682)</f>
        <v>0</v>
      </c>
    </row>
    <row r="1407" spans="22:23" hidden="1">
      <c r="V1407" s="661">
        <v>3660</v>
      </c>
      <c r="W1407" s="662">
        <f>+SUMIF(SYS_4_3_Digitos!$M$5:$M$1682,BALANCE!V1407,SYS_4_3_Digitos!$N$5:$N$1682)</f>
        <v>0</v>
      </c>
    </row>
    <row r="1408" spans="22:23" hidden="1">
      <c r="V1408" s="661">
        <v>3661</v>
      </c>
      <c r="W1408" s="662">
        <f>+SUMIF(SYS_4_3_Digitos!$M$5:$M$1682,BALANCE!V1408,SYS_4_3_Digitos!$N$5:$N$1682)</f>
        <v>0</v>
      </c>
    </row>
    <row r="1409" spans="22:23" hidden="1">
      <c r="V1409" s="661">
        <v>3662</v>
      </c>
      <c r="W1409" s="662">
        <f>+SUMIF(SYS_4_3_Digitos!$M$5:$M$1682,BALANCE!V1409,SYS_4_3_Digitos!$N$5:$N$1682)</f>
        <v>0</v>
      </c>
    </row>
    <row r="1410" spans="22:23" hidden="1">
      <c r="V1410" s="661">
        <v>3663</v>
      </c>
      <c r="W1410" s="662">
        <f>+SUMIF(SYS_4_3_Digitos!$M$5:$M$1682,BALANCE!V1410,SYS_4_3_Digitos!$N$5:$N$1682)</f>
        <v>0</v>
      </c>
    </row>
    <row r="1411" spans="22:23" hidden="1">
      <c r="V1411" s="661">
        <v>3664</v>
      </c>
      <c r="W1411" s="662">
        <f>+SUMIF(SYS_4_3_Digitos!$M$5:$M$1682,BALANCE!V1411,SYS_4_3_Digitos!$N$5:$N$1682)</f>
        <v>0</v>
      </c>
    </row>
    <row r="1412" spans="22:23" hidden="1">
      <c r="V1412" s="661">
        <v>3665</v>
      </c>
      <c r="W1412" s="662">
        <f>+SUMIF(SYS_4_3_Digitos!$M$5:$M$1682,BALANCE!V1412,SYS_4_3_Digitos!$N$5:$N$1682)</f>
        <v>0</v>
      </c>
    </row>
    <row r="1413" spans="22:23" hidden="1">
      <c r="V1413" s="661">
        <v>3666</v>
      </c>
      <c r="W1413" s="662">
        <f>+SUMIF(SYS_4_3_Digitos!$M$5:$M$1682,BALANCE!V1413,SYS_4_3_Digitos!$N$5:$N$1682)</f>
        <v>0</v>
      </c>
    </row>
    <row r="1414" spans="22:23" hidden="1">
      <c r="V1414" s="661">
        <v>3667</v>
      </c>
      <c r="W1414" s="662">
        <f>+SUMIF(SYS_4_3_Digitos!$M$5:$M$1682,BALANCE!V1414,SYS_4_3_Digitos!$N$5:$N$1682)</f>
        <v>0</v>
      </c>
    </row>
    <row r="1415" spans="22:23" hidden="1">
      <c r="V1415" s="661">
        <v>3668</v>
      </c>
      <c r="W1415" s="662">
        <f>+SUMIF(SYS_4_3_Digitos!$M$5:$M$1682,BALANCE!V1415,SYS_4_3_Digitos!$N$5:$N$1682)</f>
        <v>0</v>
      </c>
    </row>
    <row r="1416" spans="22:23" hidden="1">
      <c r="V1416" s="661">
        <v>3669</v>
      </c>
      <c r="W1416" s="662">
        <f>+SUMIF(SYS_4_3_Digitos!$M$5:$M$1682,BALANCE!V1416,SYS_4_3_Digitos!$N$5:$N$1682)</f>
        <v>0</v>
      </c>
    </row>
    <row r="1417" spans="22:23" hidden="1">
      <c r="V1417" s="661">
        <v>3670</v>
      </c>
      <c r="W1417" s="662">
        <f>+SUMIF(SYS_4_3_Digitos!$M$5:$M$1682,BALANCE!V1417,SYS_4_3_Digitos!$N$5:$N$1682)</f>
        <v>0</v>
      </c>
    </row>
    <row r="1418" spans="22:23" hidden="1">
      <c r="V1418" s="661">
        <v>3671</v>
      </c>
      <c r="W1418" s="662">
        <f>+SUMIF(SYS_4_3_Digitos!$M$5:$M$1682,BALANCE!V1418,SYS_4_3_Digitos!$N$5:$N$1682)</f>
        <v>0</v>
      </c>
    </row>
    <row r="1419" spans="22:23" hidden="1">
      <c r="V1419" s="661">
        <v>3672</v>
      </c>
      <c r="W1419" s="662">
        <f>+SUMIF(SYS_4_3_Digitos!$M$5:$M$1682,BALANCE!V1419,SYS_4_3_Digitos!$N$5:$N$1682)</f>
        <v>0</v>
      </c>
    </row>
    <row r="1420" spans="22:23" hidden="1">
      <c r="V1420" s="661">
        <v>3673</v>
      </c>
      <c r="W1420" s="662">
        <f>+SUMIF(SYS_4_3_Digitos!$M$5:$M$1682,BALANCE!V1420,SYS_4_3_Digitos!$N$5:$N$1682)</f>
        <v>0</v>
      </c>
    </row>
    <row r="1421" spans="22:23" hidden="1">
      <c r="V1421" s="661">
        <v>3674</v>
      </c>
      <c r="W1421" s="662">
        <f>+SUMIF(SYS_4_3_Digitos!$M$5:$M$1682,BALANCE!V1421,SYS_4_3_Digitos!$N$5:$N$1682)</f>
        <v>0</v>
      </c>
    </row>
    <row r="1422" spans="22:23" hidden="1">
      <c r="V1422" s="661">
        <v>3675</v>
      </c>
      <c r="W1422" s="662">
        <f>+SUMIF(SYS_4_3_Digitos!$M$5:$M$1682,BALANCE!V1422,SYS_4_3_Digitos!$N$5:$N$1682)</f>
        <v>0</v>
      </c>
    </row>
    <row r="1423" spans="22:23" hidden="1">
      <c r="V1423" s="661">
        <v>3676</v>
      </c>
      <c r="W1423" s="662">
        <f>+SUMIF(SYS_4_3_Digitos!$M$5:$M$1682,BALANCE!V1423,SYS_4_3_Digitos!$N$5:$N$1682)</f>
        <v>0</v>
      </c>
    </row>
    <row r="1424" spans="22:23" hidden="1">
      <c r="V1424" s="661">
        <v>3677</v>
      </c>
      <c r="W1424" s="662">
        <f>+SUMIF(SYS_4_3_Digitos!$M$5:$M$1682,BALANCE!V1424,SYS_4_3_Digitos!$N$5:$N$1682)</f>
        <v>0</v>
      </c>
    </row>
    <row r="1425" spans="22:23" hidden="1">
      <c r="V1425" s="661">
        <v>3678</v>
      </c>
      <c r="W1425" s="662">
        <f>+SUMIF(SYS_4_3_Digitos!$M$5:$M$1682,BALANCE!V1425,SYS_4_3_Digitos!$N$5:$N$1682)</f>
        <v>0</v>
      </c>
    </row>
    <row r="1426" spans="22:23" hidden="1">
      <c r="V1426" s="661">
        <v>3679</v>
      </c>
      <c r="W1426" s="662">
        <f>+SUMIF(SYS_4_3_Digitos!$M$5:$M$1682,BALANCE!V1426,SYS_4_3_Digitos!$N$5:$N$1682)</f>
        <v>0</v>
      </c>
    </row>
    <row r="1427" spans="22:23" hidden="1">
      <c r="V1427" s="661">
        <v>3680</v>
      </c>
      <c r="W1427" s="662">
        <f>+SUMIF(SYS_4_3_Digitos!$M$5:$M$1682,BALANCE!V1427,SYS_4_3_Digitos!$N$5:$N$1682)</f>
        <v>0</v>
      </c>
    </row>
    <row r="1428" spans="22:23" hidden="1">
      <c r="V1428" s="661">
        <v>3681</v>
      </c>
      <c r="W1428" s="662">
        <f>+SUMIF(SYS_4_3_Digitos!$M$5:$M$1682,BALANCE!V1428,SYS_4_3_Digitos!$N$5:$N$1682)</f>
        <v>0</v>
      </c>
    </row>
    <row r="1429" spans="22:23" hidden="1">
      <c r="V1429" s="661">
        <v>3682</v>
      </c>
      <c r="W1429" s="662">
        <f>+SUMIF(SYS_4_3_Digitos!$M$5:$M$1682,BALANCE!V1429,SYS_4_3_Digitos!$N$5:$N$1682)</f>
        <v>0</v>
      </c>
    </row>
    <row r="1430" spans="22:23" hidden="1">
      <c r="V1430" s="661">
        <v>3683</v>
      </c>
      <c r="W1430" s="662">
        <f>+SUMIF(SYS_4_3_Digitos!$M$5:$M$1682,BALANCE!V1430,SYS_4_3_Digitos!$N$5:$N$1682)</f>
        <v>0</v>
      </c>
    </row>
    <row r="1431" spans="22:23" hidden="1">
      <c r="V1431" s="661">
        <v>3684</v>
      </c>
      <c r="W1431" s="662">
        <f>+SUMIF(SYS_4_3_Digitos!$M$5:$M$1682,BALANCE!V1431,SYS_4_3_Digitos!$N$5:$N$1682)</f>
        <v>0</v>
      </c>
    </row>
    <row r="1432" spans="22:23" hidden="1">
      <c r="V1432" s="661">
        <v>3685</v>
      </c>
      <c r="W1432" s="662">
        <f>+SUMIF(SYS_4_3_Digitos!$M$5:$M$1682,BALANCE!V1432,SYS_4_3_Digitos!$N$5:$N$1682)</f>
        <v>0</v>
      </c>
    </row>
    <row r="1433" spans="22:23" hidden="1">
      <c r="V1433" s="661">
        <v>3686</v>
      </c>
      <c r="W1433" s="662">
        <f>+SUMIF(SYS_4_3_Digitos!$M$5:$M$1682,BALANCE!V1433,SYS_4_3_Digitos!$N$5:$N$1682)</f>
        <v>0</v>
      </c>
    </row>
    <row r="1434" spans="22:23" hidden="1">
      <c r="V1434" s="661">
        <v>3687</v>
      </c>
      <c r="W1434" s="662">
        <f>+SUMIF(SYS_4_3_Digitos!$M$5:$M$1682,BALANCE!V1434,SYS_4_3_Digitos!$N$5:$N$1682)</f>
        <v>0</v>
      </c>
    </row>
    <row r="1435" spans="22:23" hidden="1">
      <c r="V1435" s="661">
        <v>3688</v>
      </c>
      <c r="W1435" s="662">
        <f>+SUMIF(SYS_4_3_Digitos!$M$5:$M$1682,BALANCE!V1435,SYS_4_3_Digitos!$N$5:$N$1682)</f>
        <v>0</v>
      </c>
    </row>
    <row r="1436" spans="22:23" hidden="1">
      <c r="V1436" s="661">
        <v>3689</v>
      </c>
      <c r="W1436" s="662">
        <f>+SUMIF(SYS_4_3_Digitos!$M$5:$M$1682,BALANCE!V1436,SYS_4_3_Digitos!$N$5:$N$1682)</f>
        <v>0</v>
      </c>
    </row>
    <row r="1437" spans="22:23" hidden="1">
      <c r="V1437" s="661">
        <v>3690</v>
      </c>
      <c r="W1437" s="662">
        <f>+SUMIF(SYS_4_3_Digitos!$M$5:$M$1682,BALANCE!V1437,SYS_4_3_Digitos!$N$5:$N$1682)</f>
        <v>0</v>
      </c>
    </row>
    <row r="1438" spans="22:23" hidden="1">
      <c r="V1438" s="661">
        <v>3691</v>
      </c>
      <c r="W1438" s="662">
        <f>+SUMIF(SYS_4_3_Digitos!$M$5:$M$1682,BALANCE!V1438,SYS_4_3_Digitos!$N$5:$N$1682)</f>
        <v>0</v>
      </c>
    </row>
    <row r="1439" spans="22:23" hidden="1">
      <c r="V1439" s="661">
        <v>3692</v>
      </c>
      <c r="W1439" s="662">
        <f>+SUMIF(SYS_4_3_Digitos!$M$5:$M$1682,BALANCE!V1439,SYS_4_3_Digitos!$N$5:$N$1682)</f>
        <v>0</v>
      </c>
    </row>
    <row r="1440" spans="22:23" hidden="1">
      <c r="V1440" s="661">
        <v>3693</v>
      </c>
      <c r="W1440" s="662">
        <f>+SUMIF(SYS_4_3_Digitos!$M$5:$M$1682,BALANCE!V1440,SYS_4_3_Digitos!$N$5:$N$1682)</f>
        <v>0</v>
      </c>
    </row>
    <row r="1441" spans="22:23" hidden="1">
      <c r="V1441" s="661">
        <v>3694</v>
      </c>
      <c r="W1441" s="662">
        <f>+SUMIF(SYS_4_3_Digitos!$M$5:$M$1682,BALANCE!V1441,SYS_4_3_Digitos!$N$5:$N$1682)</f>
        <v>0</v>
      </c>
    </row>
    <row r="1442" spans="22:23" hidden="1">
      <c r="V1442" s="661">
        <v>3695</v>
      </c>
      <c r="W1442" s="662">
        <f>+SUMIF(SYS_4_3_Digitos!$M$5:$M$1682,BALANCE!V1442,SYS_4_3_Digitos!$N$5:$N$1682)</f>
        <v>0</v>
      </c>
    </row>
    <row r="1443" spans="22:23" hidden="1">
      <c r="V1443" s="661">
        <v>3696</v>
      </c>
      <c r="W1443" s="662">
        <f>+SUMIF(SYS_4_3_Digitos!$M$5:$M$1682,BALANCE!V1443,SYS_4_3_Digitos!$N$5:$N$1682)</f>
        <v>0</v>
      </c>
    </row>
    <row r="1444" spans="22:23" hidden="1">
      <c r="V1444" s="661">
        <v>3697</v>
      </c>
      <c r="W1444" s="662">
        <f>+SUMIF(SYS_4_3_Digitos!$M$5:$M$1682,BALANCE!V1444,SYS_4_3_Digitos!$N$5:$N$1682)</f>
        <v>0</v>
      </c>
    </row>
    <row r="1445" spans="22:23" hidden="1">
      <c r="V1445" s="661">
        <v>3698</v>
      </c>
      <c r="W1445" s="662">
        <f>+SUMIF(SYS_4_3_Digitos!$M$5:$M$1682,BALANCE!V1445,SYS_4_3_Digitos!$N$5:$N$1682)</f>
        <v>0</v>
      </c>
    </row>
    <row r="1446" spans="22:23" hidden="1">
      <c r="V1446" s="661">
        <v>3699</v>
      </c>
      <c r="W1446" s="662">
        <f>+SUMIF(SYS_4_3_Digitos!$M$5:$M$1682,BALANCE!V1446,SYS_4_3_Digitos!$N$5:$N$1682)</f>
        <v>0</v>
      </c>
    </row>
    <row r="1447" spans="22:23" hidden="1">
      <c r="V1447" s="661">
        <v>3930</v>
      </c>
      <c r="W1447" s="662">
        <f>+SUMIF(SYS_4_3_Digitos!$M$5:$M$1682,BALANCE!V1447,SYS_4_3_Digitos!$N$5:$N$1682)</f>
        <v>0</v>
      </c>
    </row>
    <row r="1448" spans="22:23" hidden="1">
      <c r="V1448" s="661">
        <v>3931</v>
      </c>
      <c r="W1448" s="662">
        <f>+SUMIF(SYS_4_3_Digitos!$M$5:$M$1682,BALANCE!V1448,SYS_4_3_Digitos!$N$5:$N$1682)</f>
        <v>0</v>
      </c>
    </row>
    <row r="1449" spans="22:23" hidden="1">
      <c r="V1449" s="661">
        <v>3932</v>
      </c>
      <c r="W1449" s="662">
        <f>+SUMIF(SYS_4_3_Digitos!$M$5:$M$1682,BALANCE!V1449,SYS_4_3_Digitos!$N$5:$N$1682)</f>
        <v>0</v>
      </c>
    </row>
    <row r="1450" spans="22:23" hidden="1">
      <c r="V1450" s="661">
        <v>3933</v>
      </c>
      <c r="W1450" s="662">
        <f>+SUMIF(SYS_4_3_Digitos!$M$5:$M$1682,BALANCE!V1450,SYS_4_3_Digitos!$N$5:$N$1682)</f>
        <v>0</v>
      </c>
    </row>
    <row r="1451" spans="22:23" hidden="1">
      <c r="V1451" s="661">
        <v>3934</v>
      </c>
      <c r="W1451" s="662">
        <f>+SUMIF(SYS_4_3_Digitos!$M$5:$M$1682,BALANCE!V1451,SYS_4_3_Digitos!$N$5:$N$1682)</f>
        <v>0</v>
      </c>
    </row>
    <row r="1452" spans="22:23" hidden="1">
      <c r="V1452" s="661">
        <v>3935</v>
      </c>
      <c r="W1452" s="662">
        <f>+SUMIF(SYS_4_3_Digitos!$M$5:$M$1682,BALANCE!V1452,SYS_4_3_Digitos!$N$5:$N$1682)</f>
        <v>0</v>
      </c>
    </row>
    <row r="1453" spans="22:23" hidden="1">
      <c r="V1453" s="661">
        <v>3936</v>
      </c>
      <c r="W1453" s="662">
        <f>+SUMIF(SYS_4_3_Digitos!$M$5:$M$1682,BALANCE!V1453,SYS_4_3_Digitos!$N$5:$N$1682)</f>
        <v>0</v>
      </c>
    </row>
    <row r="1454" spans="22:23" hidden="1">
      <c r="V1454" s="661">
        <v>3937</v>
      </c>
      <c r="W1454" s="662">
        <f>+SUMIF(SYS_4_3_Digitos!$M$5:$M$1682,BALANCE!V1454,SYS_4_3_Digitos!$N$5:$N$1682)</f>
        <v>0</v>
      </c>
    </row>
    <row r="1455" spans="22:23" hidden="1">
      <c r="V1455" s="661">
        <v>3938</v>
      </c>
      <c r="W1455" s="662">
        <f>+SUMIF(SYS_4_3_Digitos!$M$5:$M$1682,BALANCE!V1455,SYS_4_3_Digitos!$N$5:$N$1682)</f>
        <v>0</v>
      </c>
    </row>
    <row r="1456" spans="22:23" hidden="1">
      <c r="V1456" s="661">
        <v>3939</v>
      </c>
      <c r="W1456" s="662">
        <f>+SUMIF(SYS_4_3_Digitos!$M$5:$M$1682,BALANCE!V1456,SYS_4_3_Digitos!$N$5:$N$1682)</f>
        <v>0</v>
      </c>
    </row>
    <row r="1457" spans="22:23" hidden="1">
      <c r="V1457" s="661">
        <v>3940</v>
      </c>
      <c r="W1457" s="662">
        <f>+SUMIF(SYS_4_3_Digitos!$M$5:$M$1682,BALANCE!V1457,SYS_4_3_Digitos!$N$5:$N$1682)</f>
        <v>0</v>
      </c>
    </row>
    <row r="1458" spans="22:23" hidden="1">
      <c r="V1458" s="661">
        <v>3941</v>
      </c>
      <c r="W1458" s="662">
        <f>+SUMIF(SYS_4_3_Digitos!$M$5:$M$1682,BALANCE!V1458,SYS_4_3_Digitos!$N$5:$N$1682)</f>
        <v>0</v>
      </c>
    </row>
    <row r="1459" spans="22:23" hidden="1">
      <c r="V1459" s="661">
        <v>3942</v>
      </c>
      <c r="W1459" s="662">
        <f>+SUMIF(SYS_4_3_Digitos!$M$5:$M$1682,BALANCE!V1459,SYS_4_3_Digitos!$N$5:$N$1682)</f>
        <v>0</v>
      </c>
    </row>
    <row r="1460" spans="22:23" hidden="1">
      <c r="V1460" s="661">
        <v>3943</v>
      </c>
      <c r="W1460" s="662">
        <f>+SUMIF(SYS_4_3_Digitos!$M$5:$M$1682,BALANCE!V1460,SYS_4_3_Digitos!$N$5:$N$1682)</f>
        <v>0</v>
      </c>
    </row>
    <row r="1461" spans="22:23" hidden="1">
      <c r="V1461" s="661">
        <v>3944</v>
      </c>
      <c r="W1461" s="662">
        <f>+SUMIF(SYS_4_3_Digitos!$M$5:$M$1682,BALANCE!V1461,SYS_4_3_Digitos!$N$5:$N$1682)</f>
        <v>0</v>
      </c>
    </row>
    <row r="1462" spans="22:23" hidden="1">
      <c r="V1462" s="661">
        <v>3945</v>
      </c>
      <c r="W1462" s="662">
        <f>+SUMIF(SYS_4_3_Digitos!$M$5:$M$1682,BALANCE!V1462,SYS_4_3_Digitos!$N$5:$N$1682)</f>
        <v>0</v>
      </c>
    </row>
    <row r="1463" spans="22:23" hidden="1">
      <c r="V1463" s="661">
        <v>3946</v>
      </c>
      <c r="W1463" s="662">
        <f>+SUMIF(SYS_4_3_Digitos!$M$5:$M$1682,BALANCE!V1463,SYS_4_3_Digitos!$N$5:$N$1682)</f>
        <v>0</v>
      </c>
    </row>
    <row r="1464" spans="22:23" hidden="1">
      <c r="V1464" s="661">
        <v>3947</v>
      </c>
      <c r="W1464" s="662">
        <f>+SUMIF(SYS_4_3_Digitos!$M$5:$M$1682,BALANCE!V1464,SYS_4_3_Digitos!$N$5:$N$1682)</f>
        <v>0</v>
      </c>
    </row>
    <row r="1465" spans="22:23" hidden="1">
      <c r="V1465" s="661">
        <v>3948</v>
      </c>
      <c r="W1465" s="662">
        <f>+SUMIF(SYS_4_3_Digitos!$M$5:$M$1682,BALANCE!V1465,SYS_4_3_Digitos!$N$5:$N$1682)</f>
        <v>0</v>
      </c>
    </row>
    <row r="1466" spans="22:23" hidden="1">
      <c r="V1466" s="661">
        <v>3949</v>
      </c>
      <c r="W1466" s="662">
        <f>+SUMIF(SYS_4_3_Digitos!$M$5:$M$1682,BALANCE!V1466,SYS_4_3_Digitos!$N$5:$N$1682)</f>
        <v>0</v>
      </c>
    </row>
    <row r="1467" spans="22:23" hidden="1">
      <c r="V1467" s="661">
        <v>3960</v>
      </c>
      <c r="W1467" s="662">
        <f>+SUMIF(SYS_4_3_Digitos!$M$5:$M$1682,BALANCE!V1467,SYS_4_3_Digitos!$N$5:$N$1682)</f>
        <v>0</v>
      </c>
    </row>
    <row r="1468" spans="22:23" hidden="1">
      <c r="V1468" s="661">
        <v>3961</v>
      </c>
      <c r="W1468" s="662">
        <f>+SUMIF(SYS_4_3_Digitos!$M$5:$M$1682,BALANCE!V1468,SYS_4_3_Digitos!$N$5:$N$1682)</f>
        <v>0</v>
      </c>
    </row>
    <row r="1469" spans="22:23" hidden="1">
      <c r="V1469" s="661">
        <v>3962</v>
      </c>
      <c r="W1469" s="662">
        <f>+SUMIF(SYS_4_3_Digitos!$M$5:$M$1682,BALANCE!V1469,SYS_4_3_Digitos!$N$5:$N$1682)</f>
        <v>0</v>
      </c>
    </row>
    <row r="1470" spans="22:23" hidden="1">
      <c r="V1470" s="661">
        <v>3963</v>
      </c>
      <c r="W1470" s="662">
        <f>+SUMIF(SYS_4_3_Digitos!$M$5:$M$1682,BALANCE!V1470,SYS_4_3_Digitos!$N$5:$N$1682)</f>
        <v>0</v>
      </c>
    </row>
    <row r="1471" spans="22:23" hidden="1">
      <c r="V1471" s="661">
        <v>3964</v>
      </c>
      <c r="W1471" s="662">
        <f>+SUMIF(SYS_4_3_Digitos!$M$5:$M$1682,BALANCE!V1471,SYS_4_3_Digitos!$N$5:$N$1682)</f>
        <v>0</v>
      </c>
    </row>
    <row r="1472" spans="22:23" hidden="1">
      <c r="V1472" s="661">
        <v>3965</v>
      </c>
      <c r="W1472" s="662">
        <f>+SUMIF(SYS_4_3_Digitos!$M$5:$M$1682,BALANCE!V1472,SYS_4_3_Digitos!$N$5:$N$1682)</f>
        <v>0</v>
      </c>
    </row>
    <row r="1473" spans="21:23" hidden="1">
      <c r="V1473" s="661">
        <v>3966</v>
      </c>
      <c r="W1473" s="662">
        <f>+SUMIF(SYS_4_3_Digitos!$M$5:$M$1682,BALANCE!V1473,SYS_4_3_Digitos!$N$5:$N$1682)</f>
        <v>0</v>
      </c>
    </row>
    <row r="1474" spans="21:23" hidden="1">
      <c r="V1474" s="661">
        <v>3967</v>
      </c>
      <c r="W1474" s="662">
        <f>+SUMIF(SYS_4_3_Digitos!$M$5:$M$1682,BALANCE!V1474,SYS_4_3_Digitos!$N$5:$N$1682)</f>
        <v>0</v>
      </c>
    </row>
    <row r="1475" spans="21:23" hidden="1">
      <c r="V1475" s="661">
        <v>3968</v>
      </c>
      <c r="W1475" s="662">
        <f>+SUMIF(SYS_4_3_Digitos!$M$5:$M$1682,BALANCE!V1475,SYS_4_3_Digitos!$N$5:$N$1682)</f>
        <v>0</v>
      </c>
    </row>
    <row r="1476" spans="21:23" hidden="1">
      <c r="U1476" s="715">
        <v>39</v>
      </c>
      <c r="V1476" s="661">
        <v>3969</v>
      </c>
      <c r="W1476" s="662">
        <f>+SUMIF(SYS_4_3_Digitos!$M$5:$M$1682,BALANCE!V1476,SYS_4_3_Digitos!$N$5:$N$1682)</f>
        <v>0</v>
      </c>
    </row>
    <row r="1477" spans="21:23" hidden="1">
      <c r="V1477" s="653" t="s">
        <v>35</v>
      </c>
      <c r="W1477" s="654"/>
    </row>
    <row r="1478" spans="21:23" hidden="1">
      <c r="U1478" s="715">
        <v>407</v>
      </c>
      <c r="V1478" s="726" t="s">
        <v>174</v>
      </c>
      <c r="W1478" s="722"/>
    </row>
    <row r="1479" spans="21:23" hidden="1">
      <c r="V1479" s="653" t="s">
        <v>36</v>
      </c>
      <c r="W1479" s="654">
        <f ca="1">SUM(W1480:W1489)</f>
        <v>0</v>
      </c>
    </row>
    <row r="1480" spans="21:23" hidden="1">
      <c r="V1480" s="661">
        <v>4070</v>
      </c>
      <c r="W1480" s="662">
        <f ca="1">+SUMIF(SYS_4_3_Digitos!$M$5:$M$1682,BALANCE!V1480,SYS_4_3_Digitos!$N$5:$N$1682)</f>
        <v>0</v>
      </c>
    </row>
    <row r="1481" spans="21:23" hidden="1">
      <c r="V1481" s="661">
        <v>4071</v>
      </c>
      <c r="W1481" s="662">
        <f>+SUMIF(SYS_4_3_Digitos!$M$5:$M$1682,BALANCE!V1481,SYS_4_3_Digitos!$N$5:$N$1682)</f>
        <v>0</v>
      </c>
    </row>
    <row r="1482" spans="21:23" hidden="1">
      <c r="V1482" s="661">
        <v>4072</v>
      </c>
      <c r="W1482" s="662">
        <f>+SUMIF(SYS_4_3_Digitos!$M$5:$M$1682,BALANCE!V1482,SYS_4_3_Digitos!$N$5:$N$1682)</f>
        <v>0</v>
      </c>
    </row>
    <row r="1483" spans="21:23" hidden="1">
      <c r="V1483" s="661">
        <v>4073</v>
      </c>
      <c r="W1483" s="662">
        <f>+SUMIF(SYS_4_3_Digitos!$M$5:$M$1682,BALANCE!V1483,SYS_4_3_Digitos!$N$5:$N$1682)</f>
        <v>0</v>
      </c>
    </row>
    <row r="1484" spans="21:23" hidden="1">
      <c r="V1484" s="661">
        <v>4074</v>
      </c>
      <c r="W1484" s="662">
        <f>+SUMIF(SYS_4_3_Digitos!$M$5:$M$1682,BALANCE!V1484,SYS_4_3_Digitos!$N$5:$N$1682)</f>
        <v>0</v>
      </c>
    </row>
    <row r="1485" spans="21:23" hidden="1">
      <c r="V1485" s="661">
        <v>4075</v>
      </c>
      <c r="W1485" s="662">
        <f>+SUMIF(SYS_4_3_Digitos!$M$5:$M$1682,BALANCE!V1485,SYS_4_3_Digitos!$N$5:$N$1682)</f>
        <v>0</v>
      </c>
    </row>
    <row r="1486" spans="21:23" hidden="1">
      <c r="V1486" s="661">
        <v>4076</v>
      </c>
      <c r="W1486" s="662">
        <f>+SUMIF(SYS_4_3_Digitos!$M$5:$M$1682,BALANCE!V1486,SYS_4_3_Digitos!$N$5:$N$1682)</f>
        <v>0</v>
      </c>
    </row>
    <row r="1487" spans="21:23" hidden="1">
      <c r="V1487" s="661">
        <v>4077</v>
      </c>
      <c r="W1487" s="662">
        <f>+SUMIF(SYS_4_3_Digitos!$M$5:$M$1682,BALANCE!V1487,SYS_4_3_Digitos!$N$5:$N$1682)</f>
        <v>0</v>
      </c>
    </row>
    <row r="1488" spans="21:23" hidden="1">
      <c r="V1488" s="661">
        <v>4078</v>
      </c>
      <c r="W1488" s="662">
        <f>+SUMIF(SYS_4_3_Digitos!$M$5:$M$1682,BALANCE!V1488,SYS_4_3_Digitos!$N$5:$N$1682)</f>
        <v>0</v>
      </c>
    </row>
    <row r="1489" spans="21:23" hidden="1">
      <c r="V1489" s="661">
        <v>4079</v>
      </c>
      <c r="W1489" s="662">
        <f>+SUMIF(SYS_4_3_Digitos!$M$5:$M$1682,BALANCE!V1489,SYS_4_3_Digitos!$N$5:$N$1682)</f>
        <v>0</v>
      </c>
    </row>
    <row r="1490" spans="21:23" hidden="1">
      <c r="V1490" s="706"/>
      <c r="W1490" s="722"/>
    </row>
    <row r="1491" spans="21:23" hidden="1">
      <c r="U1491" s="722" t="s">
        <v>130</v>
      </c>
      <c r="V1491" s="664" t="s">
        <v>37</v>
      </c>
      <c r="W1491" s="722"/>
    </row>
    <row r="1492" spans="21:23" hidden="1">
      <c r="V1492" s="653" t="s">
        <v>38</v>
      </c>
      <c r="W1492" s="654">
        <f ca="1">SUM(W1493:W1563)</f>
        <v>24337588.380000003</v>
      </c>
    </row>
    <row r="1493" spans="21:23" hidden="1">
      <c r="V1493" s="661">
        <v>4300</v>
      </c>
      <c r="W1493" s="662">
        <f ca="1">+SUMIF(SYS_4_3_Digitos!$M$5:$M$1682,BALANCE!V1493,SYS_4_3_Digitos!$N$5:$N$1682)</f>
        <v>-1431356.3099999998</v>
      </c>
    </row>
    <row r="1494" spans="21:23" hidden="1">
      <c r="V1494" s="661">
        <v>4301</v>
      </c>
      <c r="W1494" s="662">
        <f>+SUMIF(SYS_4_3_Digitos!$M$5:$M$1682,BALANCE!V1494,SYS_4_3_Digitos!$N$5:$N$1682)</f>
        <v>0</v>
      </c>
    </row>
    <row r="1495" spans="21:23" hidden="1">
      <c r="V1495" s="661">
        <v>4302</v>
      </c>
      <c r="W1495" s="662">
        <f>+SUMIF(SYS_4_3_Digitos!$M$5:$M$1682,BALANCE!V1495,SYS_4_3_Digitos!$N$5:$N$1682)</f>
        <v>0</v>
      </c>
    </row>
    <row r="1496" spans="21:23" hidden="1">
      <c r="V1496" s="661">
        <v>4303</v>
      </c>
      <c r="W1496" s="662">
        <f>+SUMIF(SYS_4_3_Digitos!$M$5:$M$1682,BALANCE!V1496,SYS_4_3_Digitos!$N$5:$N$1682)</f>
        <v>0</v>
      </c>
    </row>
    <row r="1497" spans="21:23" hidden="1">
      <c r="V1497" s="661">
        <v>4304</v>
      </c>
      <c r="W1497" s="662">
        <f>+SUMIF(SYS_4_3_Digitos!$M$5:$M$1682,BALANCE!V1497,SYS_4_3_Digitos!$N$5:$N$1682)</f>
        <v>0</v>
      </c>
    </row>
    <row r="1498" spans="21:23" hidden="1">
      <c r="V1498" s="661">
        <v>4305</v>
      </c>
      <c r="W1498" s="662">
        <f>+SUMIF(SYS_4_3_Digitos!$M$5:$M$1682,BALANCE!V1498,SYS_4_3_Digitos!$N$5:$N$1682)</f>
        <v>0</v>
      </c>
    </row>
    <row r="1499" spans="21:23" hidden="1">
      <c r="V1499" s="661">
        <v>4306</v>
      </c>
      <c r="W1499" s="662">
        <f>+SUMIF(SYS_4_3_Digitos!$M$5:$M$1682,BALANCE!V1499,SYS_4_3_Digitos!$N$5:$N$1682)</f>
        <v>0</v>
      </c>
    </row>
    <row r="1500" spans="21:23" hidden="1">
      <c r="V1500" s="661">
        <v>4307</v>
      </c>
      <c r="W1500" s="662">
        <f>+SUMIF(SYS_4_3_Digitos!$M$5:$M$1682,BALANCE!V1500,SYS_4_3_Digitos!$N$5:$N$1682)</f>
        <v>0</v>
      </c>
    </row>
    <row r="1501" spans="21:23" hidden="1">
      <c r="V1501" s="661">
        <v>4308</v>
      </c>
      <c r="W1501" s="662">
        <f>+SUMIF(SYS_4_3_Digitos!$M$5:$M$1682,BALANCE!V1501,SYS_4_3_Digitos!$N$5:$N$1682)</f>
        <v>0</v>
      </c>
    </row>
    <row r="1502" spans="21:23" hidden="1">
      <c r="V1502" s="661">
        <v>4309</v>
      </c>
      <c r="W1502" s="662">
        <f>+SUMIF(SYS_4_3_Digitos!$M$5:$M$1682,BALANCE!V1502,SYS_4_3_Digitos!$N$5:$N$1682)</f>
        <v>0</v>
      </c>
    </row>
    <row r="1503" spans="21:23" hidden="1">
      <c r="V1503" s="661">
        <v>4310</v>
      </c>
      <c r="W1503" s="662">
        <f ca="1">+SUMIF(SYS_4_3_Digitos!$M$5:$M$1682,BALANCE!V1503,SYS_4_3_Digitos!$N$5:$N$1682)</f>
        <v>25768944.690000001</v>
      </c>
    </row>
    <row r="1504" spans="21:23" hidden="1">
      <c r="V1504" s="661">
        <v>4311</v>
      </c>
      <c r="W1504" s="662">
        <f>+SUMIF(SYS_4_3_Digitos!$M$5:$M$1682,BALANCE!V1504,SYS_4_3_Digitos!$N$5:$N$1682)</f>
        <v>0</v>
      </c>
    </row>
    <row r="1505" spans="22:23" hidden="1">
      <c r="V1505" s="661">
        <v>4312</v>
      </c>
      <c r="W1505" s="662">
        <f>+SUMIF(SYS_4_3_Digitos!$M$5:$M$1682,BALANCE!V1505,SYS_4_3_Digitos!$N$5:$N$1682)</f>
        <v>0</v>
      </c>
    </row>
    <row r="1506" spans="22:23" hidden="1">
      <c r="V1506" s="661">
        <v>4313</v>
      </c>
      <c r="W1506" s="662">
        <f>+SUMIF(SYS_4_3_Digitos!$M$5:$M$1682,BALANCE!V1506,SYS_4_3_Digitos!$N$5:$N$1682)</f>
        <v>0</v>
      </c>
    </row>
    <row r="1507" spans="22:23" hidden="1">
      <c r="V1507" s="661">
        <v>4314</v>
      </c>
      <c r="W1507" s="662">
        <f>+SUMIF(SYS_4_3_Digitos!$M$5:$M$1682,BALANCE!V1507,SYS_4_3_Digitos!$N$5:$N$1682)</f>
        <v>0</v>
      </c>
    </row>
    <row r="1508" spans="22:23" hidden="1">
      <c r="V1508" s="661">
        <v>4315</v>
      </c>
      <c r="W1508" s="662">
        <f>+SUMIF(SYS_4_3_Digitos!$M$5:$M$1682,BALANCE!V1508,SYS_4_3_Digitos!$N$5:$N$1682)</f>
        <v>0</v>
      </c>
    </row>
    <row r="1509" spans="22:23" hidden="1">
      <c r="V1509" s="661">
        <v>4316</v>
      </c>
      <c r="W1509" s="662">
        <f>+SUMIF(SYS_4_3_Digitos!$M$5:$M$1682,BALANCE!V1509,SYS_4_3_Digitos!$N$5:$N$1682)</f>
        <v>0</v>
      </c>
    </row>
    <row r="1510" spans="22:23" hidden="1">
      <c r="V1510" s="661">
        <v>4317</v>
      </c>
      <c r="W1510" s="662">
        <f>+SUMIF(SYS_4_3_Digitos!$M$5:$M$1682,BALANCE!V1510,SYS_4_3_Digitos!$N$5:$N$1682)</f>
        <v>0</v>
      </c>
    </row>
    <row r="1511" spans="22:23" hidden="1">
      <c r="V1511" s="661">
        <v>4318</v>
      </c>
      <c r="W1511" s="662">
        <f>+SUMIF(SYS_4_3_Digitos!$M$5:$M$1682,BALANCE!V1511,SYS_4_3_Digitos!$N$5:$N$1682)</f>
        <v>0</v>
      </c>
    </row>
    <row r="1512" spans="22:23" hidden="1">
      <c r="V1512" s="661">
        <v>4319</v>
      </c>
      <c r="W1512" s="662">
        <f>+SUMIF(SYS_4_3_Digitos!$M$5:$M$1682,BALANCE!V1512,SYS_4_3_Digitos!$N$5:$N$1682)</f>
        <v>0</v>
      </c>
    </row>
    <row r="1513" spans="22:23" hidden="1">
      <c r="V1513" s="661">
        <v>4320</v>
      </c>
      <c r="W1513" s="662">
        <f ca="1">+SUMIF(SYS_4_3_Digitos!$M$5:$M$1682,BALANCE!V1513,SYS_4_3_Digitos!$N$5:$N$1682)</f>
        <v>0</v>
      </c>
    </row>
    <row r="1514" spans="22:23" hidden="1">
      <c r="V1514" s="661">
        <v>4321</v>
      </c>
      <c r="W1514" s="662">
        <f>+SUMIF(SYS_4_3_Digitos!$M$5:$M$1682,BALANCE!V1514,SYS_4_3_Digitos!$N$5:$N$1682)</f>
        <v>0</v>
      </c>
    </row>
    <row r="1515" spans="22:23" hidden="1">
      <c r="V1515" s="661">
        <v>4322</v>
      </c>
      <c r="W1515" s="662">
        <f>+SUMIF(SYS_4_3_Digitos!$M$5:$M$1682,BALANCE!V1515,SYS_4_3_Digitos!$N$5:$N$1682)</f>
        <v>0</v>
      </c>
    </row>
    <row r="1516" spans="22:23" hidden="1">
      <c r="V1516" s="661">
        <v>4323</v>
      </c>
      <c r="W1516" s="662">
        <f>+SUMIF(SYS_4_3_Digitos!$M$5:$M$1682,BALANCE!V1516,SYS_4_3_Digitos!$N$5:$N$1682)</f>
        <v>0</v>
      </c>
    </row>
    <row r="1517" spans="22:23" hidden="1">
      <c r="V1517" s="661">
        <v>4324</v>
      </c>
      <c r="W1517" s="662">
        <f>+SUMIF(SYS_4_3_Digitos!$M$5:$M$1682,BALANCE!V1517,SYS_4_3_Digitos!$N$5:$N$1682)</f>
        <v>0</v>
      </c>
    </row>
    <row r="1518" spans="22:23" hidden="1">
      <c r="V1518" s="661">
        <v>4325</v>
      </c>
      <c r="W1518" s="662">
        <f>+SUMIF(SYS_4_3_Digitos!$M$5:$M$1682,BALANCE!V1518,SYS_4_3_Digitos!$N$5:$N$1682)</f>
        <v>0</v>
      </c>
    </row>
    <row r="1519" spans="22:23" hidden="1">
      <c r="V1519" s="661">
        <v>4326</v>
      </c>
      <c r="W1519" s="662">
        <f>+SUMIF(SYS_4_3_Digitos!$M$5:$M$1682,BALANCE!V1519,SYS_4_3_Digitos!$N$5:$N$1682)</f>
        <v>0</v>
      </c>
    </row>
    <row r="1520" spans="22:23" hidden="1">
      <c r="V1520" s="661">
        <v>4327</v>
      </c>
      <c r="W1520" s="662">
        <f>+SUMIF(SYS_4_3_Digitos!$M$5:$M$1682,BALANCE!V1520,SYS_4_3_Digitos!$N$5:$N$1682)</f>
        <v>0</v>
      </c>
    </row>
    <row r="1521" spans="22:23" hidden="1">
      <c r="V1521" s="661">
        <v>4328</v>
      </c>
      <c r="W1521" s="662">
        <f>+SUMIF(SYS_4_3_Digitos!$M$5:$M$1682,BALANCE!V1521,SYS_4_3_Digitos!$N$5:$N$1682)</f>
        <v>0</v>
      </c>
    </row>
    <row r="1522" spans="22:23" hidden="1">
      <c r="V1522" s="661">
        <v>4329</v>
      </c>
      <c r="W1522" s="662">
        <f>+SUMIF(SYS_4_3_Digitos!$M$5:$M$1682,BALANCE!V1522,SYS_4_3_Digitos!$N$5:$N$1682)</f>
        <v>0</v>
      </c>
    </row>
    <row r="1523" spans="22:23" hidden="1">
      <c r="V1523" s="661">
        <v>4350</v>
      </c>
      <c r="W1523" s="662">
        <f ca="1">+SUMIF(SYS_4_3_Digitos!$M$5:$M$1682,BALANCE!V1523,SYS_4_3_Digitos!$N$5:$N$1682)</f>
        <v>0</v>
      </c>
    </row>
    <row r="1524" spans="22:23" hidden="1">
      <c r="V1524" s="661">
        <v>4351</v>
      </c>
      <c r="W1524" s="662">
        <f>+SUMIF(SYS_4_3_Digitos!$M$5:$M$1682,BALANCE!V1524,SYS_4_3_Digitos!$N$5:$N$1682)</f>
        <v>0</v>
      </c>
    </row>
    <row r="1525" spans="22:23" hidden="1">
      <c r="V1525" s="661">
        <v>4352</v>
      </c>
      <c r="W1525" s="662">
        <f>+SUMIF(SYS_4_3_Digitos!$M$5:$M$1682,BALANCE!V1525,SYS_4_3_Digitos!$N$5:$N$1682)</f>
        <v>0</v>
      </c>
    </row>
    <row r="1526" spans="22:23" hidden="1">
      <c r="V1526" s="661">
        <v>4353</v>
      </c>
      <c r="W1526" s="662">
        <f>+SUMIF(SYS_4_3_Digitos!$M$5:$M$1682,BALANCE!V1526,SYS_4_3_Digitos!$N$5:$N$1682)</f>
        <v>0</v>
      </c>
    </row>
    <row r="1527" spans="22:23" hidden="1">
      <c r="V1527" s="661">
        <v>4354</v>
      </c>
      <c r="W1527" s="662">
        <f>+SUMIF(SYS_4_3_Digitos!$M$5:$M$1682,BALANCE!V1527,SYS_4_3_Digitos!$N$5:$N$1682)</f>
        <v>0</v>
      </c>
    </row>
    <row r="1528" spans="22:23" hidden="1">
      <c r="V1528" s="661">
        <v>4355</v>
      </c>
      <c r="W1528" s="662">
        <f>+SUMIF(SYS_4_3_Digitos!$M$5:$M$1682,BALANCE!V1528,SYS_4_3_Digitos!$N$5:$N$1682)</f>
        <v>0</v>
      </c>
    </row>
    <row r="1529" spans="22:23" hidden="1">
      <c r="V1529" s="661">
        <v>4356</v>
      </c>
      <c r="W1529" s="662">
        <f>+SUMIF(SYS_4_3_Digitos!$M$5:$M$1682,BALANCE!V1529,SYS_4_3_Digitos!$N$5:$N$1682)</f>
        <v>0</v>
      </c>
    </row>
    <row r="1530" spans="22:23" hidden="1">
      <c r="V1530" s="661">
        <v>4357</v>
      </c>
      <c r="W1530" s="662">
        <f>+SUMIF(SYS_4_3_Digitos!$M$5:$M$1682,BALANCE!V1530,SYS_4_3_Digitos!$N$5:$N$1682)</f>
        <v>0</v>
      </c>
    </row>
    <row r="1531" spans="22:23" hidden="1">
      <c r="V1531" s="661">
        <v>4358</v>
      </c>
      <c r="W1531" s="662">
        <f>+SUMIF(SYS_4_3_Digitos!$M$5:$M$1682,BALANCE!V1531,SYS_4_3_Digitos!$N$5:$N$1682)</f>
        <v>0</v>
      </c>
    </row>
    <row r="1532" spans="22:23" hidden="1">
      <c r="V1532" s="661">
        <v>4359</v>
      </c>
      <c r="W1532" s="662">
        <f>+SUMIF(SYS_4_3_Digitos!$M$5:$M$1682,BALANCE!V1532,SYS_4_3_Digitos!$N$5:$N$1682)</f>
        <v>0</v>
      </c>
    </row>
    <row r="1533" spans="22:23" hidden="1">
      <c r="V1533" s="661">
        <v>4360</v>
      </c>
      <c r="W1533" s="662">
        <f ca="1">+SUMIF(SYS_4_3_Digitos!$M$5:$M$1682,BALANCE!V1533,SYS_4_3_Digitos!$N$5:$N$1682)</f>
        <v>110160</v>
      </c>
    </row>
    <row r="1534" spans="22:23" hidden="1">
      <c r="V1534" s="661">
        <v>4361</v>
      </c>
      <c r="W1534" s="662">
        <f>+SUMIF(SYS_4_3_Digitos!$M$5:$M$1682,BALANCE!V1534,SYS_4_3_Digitos!$N$5:$N$1682)</f>
        <v>0</v>
      </c>
    </row>
    <row r="1535" spans="22:23" hidden="1">
      <c r="V1535" s="661">
        <v>4362</v>
      </c>
      <c r="W1535" s="662">
        <f>+SUMIF(SYS_4_3_Digitos!$M$5:$M$1682,BALANCE!V1535,SYS_4_3_Digitos!$N$5:$N$1682)</f>
        <v>0</v>
      </c>
    </row>
    <row r="1536" spans="22:23" hidden="1">
      <c r="V1536" s="661">
        <v>4363</v>
      </c>
      <c r="W1536" s="662">
        <f>+SUMIF(SYS_4_3_Digitos!$M$5:$M$1682,BALANCE!V1536,SYS_4_3_Digitos!$N$5:$N$1682)</f>
        <v>0</v>
      </c>
    </row>
    <row r="1537" spans="22:23" hidden="1">
      <c r="V1537" s="661">
        <v>4364</v>
      </c>
      <c r="W1537" s="662">
        <f>+SUMIF(SYS_4_3_Digitos!$M$5:$M$1682,BALANCE!V1537,SYS_4_3_Digitos!$N$5:$N$1682)</f>
        <v>0</v>
      </c>
    </row>
    <row r="1538" spans="22:23" hidden="1">
      <c r="V1538" s="661">
        <v>4365</v>
      </c>
      <c r="W1538" s="662">
        <f>+SUMIF(SYS_4_3_Digitos!$M$5:$M$1682,BALANCE!V1538,SYS_4_3_Digitos!$N$5:$N$1682)</f>
        <v>0</v>
      </c>
    </row>
    <row r="1539" spans="22:23" hidden="1">
      <c r="V1539" s="661">
        <v>4366</v>
      </c>
      <c r="W1539" s="662">
        <f>+SUMIF(SYS_4_3_Digitos!$M$5:$M$1682,BALANCE!V1539,SYS_4_3_Digitos!$N$5:$N$1682)</f>
        <v>0</v>
      </c>
    </row>
    <row r="1540" spans="22:23" hidden="1">
      <c r="V1540" s="661">
        <v>4367</v>
      </c>
      <c r="W1540" s="662">
        <f>+SUMIF(SYS_4_3_Digitos!$M$5:$M$1682,BALANCE!V1540,SYS_4_3_Digitos!$N$5:$N$1682)</f>
        <v>0</v>
      </c>
    </row>
    <row r="1541" spans="22:23" hidden="1">
      <c r="V1541" s="661">
        <v>4368</v>
      </c>
      <c r="W1541" s="662">
        <f>+SUMIF(SYS_4_3_Digitos!$M$5:$M$1682,BALANCE!V1541,SYS_4_3_Digitos!$N$5:$N$1682)</f>
        <v>0</v>
      </c>
    </row>
    <row r="1542" spans="22:23" hidden="1">
      <c r="V1542" s="661">
        <v>4369</v>
      </c>
      <c r="W1542" s="662">
        <f>+SUMIF(SYS_4_3_Digitos!$M$5:$M$1682,BALANCE!V1542,SYS_4_3_Digitos!$N$5:$N$1682)</f>
        <v>0</v>
      </c>
    </row>
    <row r="1543" spans="22:23" hidden="1">
      <c r="V1543" s="661">
        <v>4370</v>
      </c>
      <c r="W1543" s="662">
        <f ca="1">+SUMIF(SYS_4_3_Digitos!$M$5:$M$1682,BALANCE!V1543,SYS_4_3_Digitos!$N$5:$N$1682)</f>
        <v>0</v>
      </c>
    </row>
    <row r="1544" spans="22:23" hidden="1">
      <c r="V1544" s="661">
        <v>4371</v>
      </c>
      <c r="W1544" s="662">
        <f>+SUMIF(SYS_4_3_Digitos!$M$5:$M$1682,BALANCE!V1544,SYS_4_3_Digitos!$N$5:$N$1682)</f>
        <v>0</v>
      </c>
    </row>
    <row r="1545" spans="22:23" hidden="1">
      <c r="V1545" s="661">
        <v>4372</v>
      </c>
      <c r="W1545" s="662">
        <f>+SUMIF(SYS_4_3_Digitos!$M$5:$M$1682,BALANCE!V1545,SYS_4_3_Digitos!$N$5:$N$1682)</f>
        <v>0</v>
      </c>
    </row>
    <row r="1546" spans="22:23" hidden="1">
      <c r="V1546" s="661">
        <v>4373</v>
      </c>
      <c r="W1546" s="662">
        <f>+SUMIF(SYS_4_3_Digitos!$M$5:$M$1682,BALANCE!V1546,SYS_4_3_Digitos!$N$5:$N$1682)</f>
        <v>0</v>
      </c>
    </row>
    <row r="1547" spans="22:23" hidden="1">
      <c r="V1547" s="661">
        <v>4374</v>
      </c>
      <c r="W1547" s="662">
        <f>+SUMIF(SYS_4_3_Digitos!$M$5:$M$1682,BALANCE!V1547,SYS_4_3_Digitos!$N$5:$N$1682)</f>
        <v>0</v>
      </c>
    </row>
    <row r="1548" spans="22:23" hidden="1">
      <c r="V1548" s="661">
        <v>4375</v>
      </c>
      <c r="W1548" s="662">
        <f>+SUMIF(SYS_4_3_Digitos!$M$5:$M$1682,BALANCE!V1548,SYS_4_3_Digitos!$N$5:$N$1682)</f>
        <v>0</v>
      </c>
    </row>
    <row r="1549" spans="22:23" hidden="1">
      <c r="V1549" s="661">
        <v>4376</v>
      </c>
      <c r="W1549" s="662">
        <f>+SUMIF(SYS_4_3_Digitos!$M$5:$M$1682,BALANCE!V1549,SYS_4_3_Digitos!$N$5:$N$1682)</f>
        <v>0</v>
      </c>
    </row>
    <row r="1550" spans="22:23" hidden="1">
      <c r="V1550" s="661">
        <v>4377</v>
      </c>
      <c r="W1550" s="662">
        <f>+SUMIF(SYS_4_3_Digitos!$M$5:$M$1682,BALANCE!V1550,SYS_4_3_Digitos!$N$5:$N$1682)</f>
        <v>0</v>
      </c>
    </row>
    <row r="1551" spans="22:23" hidden="1">
      <c r="V1551" s="661">
        <v>4378</v>
      </c>
      <c r="W1551" s="662">
        <f>+SUMIF(SYS_4_3_Digitos!$M$5:$M$1682,BALANCE!V1551,SYS_4_3_Digitos!$N$5:$N$1682)</f>
        <v>0</v>
      </c>
    </row>
    <row r="1552" spans="22:23" hidden="1">
      <c r="V1552" s="661">
        <v>4379</v>
      </c>
      <c r="W1552" s="662">
        <f>+SUMIF(SYS_4_3_Digitos!$M$5:$M$1682,BALANCE!V1552,SYS_4_3_Digitos!$N$5:$N$1682)</f>
        <v>0</v>
      </c>
    </row>
    <row r="1553" spans="21:23" hidden="1">
      <c r="V1553" s="661">
        <v>4900</v>
      </c>
      <c r="W1553" s="662">
        <f ca="1">+SUMIF(SYS_4_3_Digitos!$M$5:$M$1682,BALANCE!V1553,SYS_4_3_Digitos!$N$5:$N$1682)</f>
        <v>-110160</v>
      </c>
    </row>
    <row r="1554" spans="21:23" hidden="1">
      <c r="V1554" s="661">
        <v>4901</v>
      </c>
      <c r="W1554" s="662">
        <f>+SUMIF(SYS_4_3_Digitos!$M$5:$M$1682,BALANCE!V1554,SYS_4_3_Digitos!$N$5:$N$1682)</f>
        <v>0</v>
      </c>
    </row>
    <row r="1555" spans="21:23" hidden="1">
      <c r="V1555" s="661">
        <v>4902</v>
      </c>
      <c r="W1555" s="662">
        <f>+SUMIF(SYS_4_3_Digitos!$M$5:$M$1682,BALANCE!V1555,SYS_4_3_Digitos!$N$5:$N$1682)</f>
        <v>0</v>
      </c>
    </row>
    <row r="1556" spans="21:23" hidden="1">
      <c r="V1556" s="661">
        <v>4903</v>
      </c>
      <c r="W1556" s="662">
        <f>+SUMIF(SYS_4_3_Digitos!$M$5:$M$1682,BALANCE!V1556,SYS_4_3_Digitos!$N$5:$N$1682)</f>
        <v>0</v>
      </c>
    </row>
    <row r="1557" spans="21:23" hidden="1">
      <c r="V1557" s="661">
        <v>4904</v>
      </c>
      <c r="W1557" s="662">
        <f>+SUMIF(SYS_4_3_Digitos!$M$5:$M$1682,BALANCE!V1557,SYS_4_3_Digitos!$N$5:$N$1682)</f>
        <v>0</v>
      </c>
    </row>
    <row r="1558" spans="21:23" hidden="1">
      <c r="V1558" s="661">
        <v>4905</v>
      </c>
      <c r="W1558" s="662">
        <f>+SUMIF(SYS_4_3_Digitos!$M$5:$M$1682,BALANCE!V1558,SYS_4_3_Digitos!$N$5:$N$1682)</f>
        <v>0</v>
      </c>
    </row>
    <row r="1559" spans="21:23" hidden="1">
      <c r="V1559" s="661">
        <v>4906</v>
      </c>
      <c r="W1559" s="662">
        <f>+SUMIF(SYS_4_3_Digitos!$M$5:$M$1682,BALANCE!V1559,SYS_4_3_Digitos!$N$5:$N$1682)</f>
        <v>0</v>
      </c>
    </row>
    <row r="1560" spans="21:23" hidden="1">
      <c r="V1560" s="661">
        <v>4907</v>
      </c>
      <c r="W1560" s="662">
        <f>+SUMIF(SYS_4_3_Digitos!$M$5:$M$1682,BALANCE!V1560,SYS_4_3_Digitos!$N$5:$N$1682)</f>
        <v>0</v>
      </c>
    </row>
    <row r="1561" spans="21:23" hidden="1">
      <c r="V1561" s="661">
        <v>4908</v>
      </c>
      <c r="W1561" s="662">
        <f>+SUMIF(SYS_4_3_Digitos!$M$5:$M$1682,BALANCE!V1561,SYS_4_3_Digitos!$N$5:$N$1682)</f>
        <v>0</v>
      </c>
    </row>
    <row r="1562" spans="21:23" hidden="1">
      <c r="V1562" s="661">
        <v>4909</v>
      </c>
      <c r="W1562" s="662">
        <f>+SUMIF(SYS_4_3_Digitos!$M$5:$M$1682,BALANCE!V1562,SYS_4_3_Digitos!$N$5:$N$1682)</f>
        <v>0</v>
      </c>
    </row>
    <row r="1563" spans="21:23" hidden="1">
      <c r="U1563" s="722" t="s">
        <v>131</v>
      </c>
      <c r="V1563" s="661">
        <v>4935</v>
      </c>
      <c r="W1563" s="662">
        <f>+SUMIF(SYS_4_3_Digitos!$M$5:$M$1682,BALANCE!V1563,SYS_4_3_Digitos!$N$5:$N$1682)</f>
        <v>0</v>
      </c>
    </row>
    <row r="1564" spans="21:23" hidden="1">
      <c r="V1564" s="653" t="s">
        <v>39</v>
      </c>
      <c r="W1564" s="654">
        <f ca="1">SUM(W1565:W1586)</f>
        <v>0</v>
      </c>
    </row>
    <row r="1565" spans="21:23" hidden="1">
      <c r="V1565" s="661">
        <v>4330</v>
      </c>
      <c r="W1565" s="662">
        <f ca="1">+SUMIF(SYS_4_3_Digitos!$M$5:$M$1682,BALANCE!V1565,SYS_4_3_Digitos!$N$5:$N$1682)</f>
        <v>0</v>
      </c>
    </row>
    <row r="1566" spans="21:23" hidden="1">
      <c r="V1566" s="661">
        <v>4331</v>
      </c>
      <c r="W1566" s="662">
        <f>+SUMIF(SYS_4_3_Digitos!$M$5:$M$1682,BALANCE!V1566,SYS_4_3_Digitos!$N$5:$N$1682)</f>
        <v>0</v>
      </c>
    </row>
    <row r="1567" spans="21:23" hidden="1">
      <c r="V1567" s="661">
        <v>4332</v>
      </c>
      <c r="W1567" s="662">
        <f>+SUMIF(SYS_4_3_Digitos!$M$5:$M$1682,BALANCE!V1567,SYS_4_3_Digitos!$N$5:$N$1682)</f>
        <v>0</v>
      </c>
    </row>
    <row r="1568" spans="21:23" hidden="1">
      <c r="V1568" s="661">
        <v>4333</v>
      </c>
      <c r="W1568" s="662">
        <f>+SUMIF(SYS_4_3_Digitos!$M$5:$M$1682,BALANCE!V1568,SYS_4_3_Digitos!$N$5:$N$1682)</f>
        <v>0</v>
      </c>
    </row>
    <row r="1569" spans="22:23" hidden="1">
      <c r="V1569" s="661">
        <v>4334</v>
      </c>
      <c r="W1569" s="662">
        <f>+SUMIF(SYS_4_3_Digitos!$M$5:$M$1682,BALANCE!V1569,SYS_4_3_Digitos!$N$5:$N$1682)</f>
        <v>0</v>
      </c>
    </row>
    <row r="1570" spans="22:23" hidden="1">
      <c r="V1570" s="661">
        <v>4335</v>
      </c>
      <c r="W1570" s="662">
        <f>+SUMIF(SYS_4_3_Digitos!$M$5:$M$1682,BALANCE!V1570,SYS_4_3_Digitos!$N$5:$N$1682)</f>
        <v>0</v>
      </c>
    </row>
    <row r="1571" spans="22:23" hidden="1">
      <c r="V1571" s="661">
        <v>4336</v>
      </c>
      <c r="W1571" s="662">
        <f>+SUMIF(SYS_4_3_Digitos!$M$5:$M$1682,BALANCE!V1571,SYS_4_3_Digitos!$N$5:$N$1682)</f>
        <v>0</v>
      </c>
    </row>
    <row r="1572" spans="22:23" hidden="1">
      <c r="V1572" s="661">
        <v>4337</v>
      </c>
      <c r="W1572" s="662">
        <f>+SUMIF(SYS_4_3_Digitos!$M$5:$M$1682,BALANCE!V1572,SYS_4_3_Digitos!$N$5:$N$1682)</f>
        <v>0</v>
      </c>
    </row>
    <row r="1573" spans="22:23" hidden="1">
      <c r="V1573" s="661">
        <v>4338</v>
      </c>
      <c r="W1573" s="662">
        <f>+SUMIF(SYS_4_3_Digitos!$M$5:$M$1682,BALANCE!V1573,SYS_4_3_Digitos!$N$5:$N$1682)</f>
        <v>0</v>
      </c>
    </row>
    <row r="1574" spans="22:23" hidden="1">
      <c r="V1574" s="661">
        <v>4339</v>
      </c>
      <c r="W1574" s="662">
        <f>+SUMIF(SYS_4_3_Digitos!$M$5:$M$1682,BALANCE!V1574,SYS_4_3_Digitos!$N$5:$N$1682)</f>
        <v>0</v>
      </c>
    </row>
    <row r="1575" spans="22:23" hidden="1">
      <c r="V1575" s="661">
        <v>4340</v>
      </c>
      <c r="W1575" s="662">
        <f ca="1">+SUMIF(SYS_4_3_Digitos!$M$5:$M$1682,BALANCE!V1575,SYS_4_3_Digitos!$N$5:$N$1682)</f>
        <v>0</v>
      </c>
    </row>
    <row r="1576" spans="22:23" hidden="1">
      <c r="V1576" s="661">
        <v>4341</v>
      </c>
      <c r="W1576" s="662">
        <f>+SUMIF(SYS_4_3_Digitos!$M$5:$M$1682,BALANCE!V1576,SYS_4_3_Digitos!$N$5:$N$1682)</f>
        <v>0</v>
      </c>
    </row>
    <row r="1577" spans="22:23" hidden="1">
      <c r="V1577" s="661">
        <v>4342</v>
      </c>
      <c r="W1577" s="662">
        <f>+SUMIF(SYS_4_3_Digitos!$M$5:$M$1682,BALANCE!V1577,SYS_4_3_Digitos!$N$5:$N$1682)</f>
        <v>0</v>
      </c>
    </row>
    <row r="1578" spans="22:23" hidden="1">
      <c r="V1578" s="661">
        <v>4343</v>
      </c>
      <c r="W1578" s="662">
        <f>+SUMIF(SYS_4_3_Digitos!$M$5:$M$1682,BALANCE!V1578,SYS_4_3_Digitos!$N$5:$N$1682)</f>
        <v>0</v>
      </c>
    </row>
    <row r="1579" spans="22:23" hidden="1">
      <c r="V1579" s="661">
        <v>4344</v>
      </c>
      <c r="W1579" s="662">
        <f>+SUMIF(SYS_4_3_Digitos!$M$5:$M$1682,BALANCE!V1579,SYS_4_3_Digitos!$N$5:$N$1682)</f>
        <v>0</v>
      </c>
    </row>
    <row r="1580" spans="22:23" hidden="1">
      <c r="V1580" s="661">
        <v>4345</v>
      </c>
      <c r="W1580" s="662">
        <f>+SUMIF(SYS_4_3_Digitos!$M$5:$M$1682,BALANCE!V1580,SYS_4_3_Digitos!$N$5:$N$1682)</f>
        <v>0</v>
      </c>
    </row>
    <row r="1581" spans="22:23" hidden="1">
      <c r="V1581" s="661">
        <v>4346</v>
      </c>
      <c r="W1581" s="662">
        <f>+SUMIF(SYS_4_3_Digitos!$M$5:$M$1682,BALANCE!V1581,SYS_4_3_Digitos!$N$5:$N$1682)</f>
        <v>0</v>
      </c>
    </row>
    <row r="1582" spans="22:23" hidden="1">
      <c r="V1582" s="661">
        <v>4347</v>
      </c>
      <c r="W1582" s="662">
        <f>+SUMIF(SYS_4_3_Digitos!$M$5:$M$1682,BALANCE!V1582,SYS_4_3_Digitos!$N$5:$N$1682)</f>
        <v>0</v>
      </c>
    </row>
    <row r="1583" spans="22:23" hidden="1">
      <c r="V1583" s="661">
        <v>4348</v>
      </c>
      <c r="W1583" s="662">
        <f>+SUMIF(SYS_4_3_Digitos!$M$5:$M$1682,BALANCE!V1583,SYS_4_3_Digitos!$N$5:$N$1682)</f>
        <v>0</v>
      </c>
    </row>
    <row r="1584" spans="22:23" hidden="1">
      <c r="V1584" s="661">
        <v>4349</v>
      </c>
      <c r="W1584" s="662">
        <f>+SUMIF(SYS_4_3_Digitos!$M$5:$M$1682,BALANCE!V1584,SYS_4_3_Digitos!$N$5:$N$1682)</f>
        <v>0</v>
      </c>
    </row>
    <row r="1585" spans="21:23" hidden="1">
      <c r="V1585" s="661">
        <v>4933</v>
      </c>
      <c r="W1585" s="662">
        <f>+SUMIF(SYS_4_3_Digitos!$M$5:$M$1682,BALANCE!V1585,SYS_4_3_Digitos!$N$5:$N$1682)</f>
        <v>0</v>
      </c>
    </row>
    <row r="1586" spans="21:23" hidden="1">
      <c r="U1586" s="722" t="s">
        <v>132</v>
      </c>
      <c r="V1586" s="661">
        <v>4934</v>
      </c>
      <c r="W1586" s="662">
        <f>+SUMIF(SYS_4_3_Digitos!$M$5:$M$1682,BALANCE!V1586,SYS_4_3_Digitos!$N$5:$N$1682)</f>
        <v>0</v>
      </c>
    </row>
    <row r="1587" spans="21:23" hidden="1">
      <c r="V1587" s="653" t="s">
        <v>40</v>
      </c>
      <c r="W1587" s="654">
        <f ca="1">SUM(W1588:W1699)</f>
        <v>808.16000000000008</v>
      </c>
    </row>
    <row r="1588" spans="21:23" hidden="1">
      <c r="V1588" s="661">
        <v>4400</v>
      </c>
      <c r="W1588" s="662">
        <f ca="1">+SUMIF(SYS_4_3_Digitos!$M$5:$M$1682,BALANCE!V1588,SYS_4_3_Digitos!$N$5:$N$1682)</f>
        <v>652.07000000000005</v>
      </c>
    </row>
    <row r="1589" spans="21:23" hidden="1">
      <c r="V1589" s="661">
        <v>4401</v>
      </c>
      <c r="W1589" s="662">
        <f>+SUMIF(SYS_4_3_Digitos!$M$5:$M$1682,BALANCE!V1589,SYS_4_3_Digitos!$N$5:$N$1682)</f>
        <v>0</v>
      </c>
    </row>
    <row r="1590" spans="21:23" hidden="1">
      <c r="V1590" s="661">
        <v>4402</v>
      </c>
      <c r="W1590" s="662">
        <f>+SUMIF(SYS_4_3_Digitos!$M$5:$M$1682,BALANCE!V1590,SYS_4_3_Digitos!$N$5:$N$1682)</f>
        <v>0</v>
      </c>
    </row>
    <row r="1591" spans="21:23" hidden="1">
      <c r="V1591" s="661">
        <v>4403</v>
      </c>
      <c r="W1591" s="662">
        <f>+SUMIF(SYS_4_3_Digitos!$M$5:$M$1682,BALANCE!V1591,SYS_4_3_Digitos!$N$5:$N$1682)</f>
        <v>0</v>
      </c>
    </row>
    <row r="1592" spans="21:23" hidden="1">
      <c r="V1592" s="661">
        <v>4404</v>
      </c>
      <c r="W1592" s="662">
        <f>+SUMIF(SYS_4_3_Digitos!$M$5:$M$1682,BALANCE!V1592,SYS_4_3_Digitos!$N$5:$N$1682)</f>
        <v>0</v>
      </c>
    </row>
    <row r="1593" spans="21:23" hidden="1">
      <c r="V1593" s="661">
        <v>4405</v>
      </c>
      <c r="W1593" s="662">
        <f>+SUMIF(SYS_4_3_Digitos!$M$5:$M$1682,BALANCE!V1593,SYS_4_3_Digitos!$N$5:$N$1682)</f>
        <v>0</v>
      </c>
    </row>
    <row r="1594" spans="21:23" hidden="1">
      <c r="V1594" s="661">
        <v>4406</v>
      </c>
      <c r="W1594" s="662">
        <f>+SUMIF(SYS_4_3_Digitos!$M$5:$M$1682,BALANCE!V1594,SYS_4_3_Digitos!$N$5:$N$1682)</f>
        <v>0</v>
      </c>
    </row>
    <row r="1595" spans="21:23" hidden="1">
      <c r="V1595" s="661">
        <v>4407</v>
      </c>
      <c r="W1595" s="662">
        <f>+SUMIF(SYS_4_3_Digitos!$M$5:$M$1682,BALANCE!V1595,SYS_4_3_Digitos!$N$5:$N$1682)</f>
        <v>0</v>
      </c>
    </row>
    <row r="1596" spans="21:23" hidden="1">
      <c r="V1596" s="661">
        <v>4408</v>
      </c>
      <c r="W1596" s="662">
        <f>+SUMIF(SYS_4_3_Digitos!$M$5:$M$1682,BALANCE!V1596,SYS_4_3_Digitos!$N$5:$N$1682)</f>
        <v>0</v>
      </c>
    </row>
    <row r="1597" spans="21:23" hidden="1">
      <c r="V1597" s="661">
        <v>4409</v>
      </c>
      <c r="W1597" s="662">
        <f>+SUMIF(SYS_4_3_Digitos!$M$5:$M$1682,BALANCE!V1597,SYS_4_3_Digitos!$N$5:$N$1682)</f>
        <v>0</v>
      </c>
    </row>
    <row r="1598" spans="21:23" hidden="1">
      <c r="V1598" s="661">
        <v>4410</v>
      </c>
      <c r="W1598" s="662">
        <f ca="1">+SUMIF(SYS_4_3_Digitos!$M$5:$M$1682,BALANCE!V1598,SYS_4_3_Digitos!$N$5:$N$1682)</f>
        <v>156.09</v>
      </c>
    </row>
    <row r="1599" spans="21:23" hidden="1">
      <c r="V1599" s="661">
        <v>4411</v>
      </c>
      <c r="W1599" s="662">
        <f>+SUMIF(SYS_4_3_Digitos!$M$5:$M$1682,BALANCE!V1599,SYS_4_3_Digitos!$N$5:$N$1682)</f>
        <v>0</v>
      </c>
    </row>
    <row r="1600" spans="21:23" hidden="1">
      <c r="V1600" s="661">
        <v>4412</v>
      </c>
      <c r="W1600" s="662">
        <f>+SUMIF(SYS_4_3_Digitos!$M$5:$M$1682,BALANCE!V1600,SYS_4_3_Digitos!$N$5:$N$1682)</f>
        <v>0</v>
      </c>
    </row>
    <row r="1601" spans="22:23" hidden="1">
      <c r="V1601" s="661">
        <v>4413</v>
      </c>
      <c r="W1601" s="662">
        <f>+SUMIF(SYS_4_3_Digitos!$M$5:$M$1682,BALANCE!V1601,SYS_4_3_Digitos!$N$5:$N$1682)</f>
        <v>0</v>
      </c>
    </row>
    <row r="1602" spans="22:23" hidden="1">
      <c r="V1602" s="661">
        <v>4414</v>
      </c>
      <c r="W1602" s="662">
        <f>+SUMIF(SYS_4_3_Digitos!$M$5:$M$1682,BALANCE!V1602,SYS_4_3_Digitos!$N$5:$N$1682)</f>
        <v>0</v>
      </c>
    </row>
    <row r="1603" spans="22:23" hidden="1">
      <c r="V1603" s="661">
        <v>4415</v>
      </c>
      <c r="W1603" s="662">
        <f>+SUMIF(SYS_4_3_Digitos!$M$5:$M$1682,BALANCE!V1603,SYS_4_3_Digitos!$N$5:$N$1682)</f>
        <v>0</v>
      </c>
    </row>
    <row r="1604" spans="22:23" hidden="1">
      <c r="V1604" s="661">
        <v>4416</v>
      </c>
      <c r="W1604" s="662">
        <f>+SUMIF(SYS_4_3_Digitos!$M$5:$M$1682,BALANCE!V1604,SYS_4_3_Digitos!$N$5:$N$1682)</f>
        <v>0</v>
      </c>
    </row>
    <row r="1605" spans="22:23" hidden="1">
      <c r="V1605" s="661">
        <v>4417</v>
      </c>
      <c r="W1605" s="662">
        <f>+SUMIF(SYS_4_3_Digitos!$M$5:$M$1682,BALANCE!V1605,SYS_4_3_Digitos!$N$5:$N$1682)</f>
        <v>0</v>
      </c>
    </row>
    <row r="1606" spans="22:23" hidden="1">
      <c r="V1606" s="661">
        <v>4418</v>
      </c>
      <c r="W1606" s="662">
        <f>+SUMIF(SYS_4_3_Digitos!$M$5:$M$1682,BALANCE!V1606,SYS_4_3_Digitos!$N$5:$N$1682)</f>
        <v>0</v>
      </c>
    </row>
    <row r="1607" spans="22:23" hidden="1">
      <c r="V1607" s="661">
        <v>4419</v>
      </c>
      <c r="W1607" s="662">
        <f>+SUMIF(SYS_4_3_Digitos!$M$5:$M$1682,BALANCE!V1607,SYS_4_3_Digitos!$N$5:$N$1682)</f>
        <v>0</v>
      </c>
    </row>
    <row r="1608" spans="22:23" hidden="1">
      <c r="V1608" s="661">
        <v>4420</v>
      </c>
      <c r="W1608" s="662">
        <f>+SUMIF(SYS_4_3_Digitos!$M$5:$M$1682,BALANCE!V1608,SYS_4_3_Digitos!$N$5:$N$1682)</f>
        <v>0</v>
      </c>
    </row>
    <row r="1609" spans="22:23" hidden="1">
      <c r="V1609" s="661">
        <v>4421</v>
      </c>
      <c r="W1609" s="662">
        <f>+SUMIF(SYS_4_3_Digitos!$M$5:$M$1682,BALANCE!V1609,SYS_4_3_Digitos!$N$5:$N$1682)</f>
        <v>0</v>
      </c>
    </row>
    <row r="1610" spans="22:23" hidden="1">
      <c r="V1610" s="661">
        <v>4422</v>
      </c>
      <c r="W1610" s="662">
        <f>+SUMIF(SYS_4_3_Digitos!$M$5:$M$1682,BALANCE!V1610,SYS_4_3_Digitos!$N$5:$N$1682)</f>
        <v>0</v>
      </c>
    </row>
    <row r="1611" spans="22:23" hidden="1">
      <c r="V1611" s="661">
        <v>4423</v>
      </c>
      <c r="W1611" s="662">
        <f>+SUMIF(SYS_4_3_Digitos!$M$5:$M$1682,BALANCE!V1611,SYS_4_3_Digitos!$N$5:$N$1682)</f>
        <v>0</v>
      </c>
    </row>
    <row r="1612" spans="22:23" hidden="1">
      <c r="V1612" s="661">
        <v>4424</v>
      </c>
      <c r="W1612" s="662">
        <f>+SUMIF(SYS_4_3_Digitos!$M$5:$M$1682,BALANCE!V1612,SYS_4_3_Digitos!$N$5:$N$1682)</f>
        <v>0</v>
      </c>
    </row>
    <row r="1613" spans="22:23" hidden="1">
      <c r="V1613" s="661">
        <v>4425</v>
      </c>
      <c r="W1613" s="662">
        <f>+SUMIF(SYS_4_3_Digitos!$M$5:$M$1682,BALANCE!V1613,SYS_4_3_Digitos!$N$5:$N$1682)</f>
        <v>0</v>
      </c>
    </row>
    <row r="1614" spans="22:23" hidden="1">
      <c r="V1614" s="661">
        <v>4426</v>
      </c>
      <c r="W1614" s="662">
        <f>+SUMIF(SYS_4_3_Digitos!$M$5:$M$1682,BALANCE!V1614,SYS_4_3_Digitos!$N$5:$N$1682)</f>
        <v>0</v>
      </c>
    </row>
    <row r="1615" spans="22:23" hidden="1">
      <c r="V1615" s="661">
        <v>4427</v>
      </c>
      <c r="W1615" s="662">
        <f>+SUMIF(SYS_4_3_Digitos!$M$5:$M$1682,BALANCE!V1615,SYS_4_3_Digitos!$N$5:$N$1682)</f>
        <v>0</v>
      </c>
    </row>
    <row r="1616" spans="22:23" hidden="1">
      <c r="V1616" s="661">
        <v>4428</v>
      </c>
      <c r="W1616" s="662">
        <f>+SUMIF(SYS_4_3_Digitos!$M$5:$M$1682,BALANCE!V1616,SYS_4_3_Digitos!$N$5:$N$1682)</f>
        <v>0</v>
      </c>
    </row>
    <row r="1617" spans="22:23" hidden="1">
      <c r="V1617" s="661">
        <v>4429</v>
      </c>
      <c r="W1617" s="662">
        <f>+SUMIF(SYS_4_3_Digitos!$M$5:$M$1682,BALANCE!V1617,SYS_4_3_Digitos!$N$5:$N$1682)</f>
        <v>0</v>
      </c>
    </row>
    <row r="1618" spans="22:23" hidden="1">
      <c r="V1618" s="724">
        <v>5550</v>
      </c>
      <c r="W1618" s="725">
        <f ca="1">IF(+SUMIF(SYS_4_3_Digitos!$M$5:$M$1682,BALANCE!V1618,SYS_4_3_Digitos!$N$5:$N$1682)&lt;0,0,+SUMIF(SYS_4_3_Digitos!$M$5:$M$1682,BALANCE!V1618,SYS_4_3_Digitos!$N$5:$N$1682))</f>
        <v>0</v>
      </c>
    </row>
    <row r="1619" spans="22:23" hidden="1">
      <c r="V1619" s="724">
        <v>5551</v>
      </c>
      <c r="W1619" s="725">
        <f>IF(+SUMIF(SYS_4_3_Digitos!$M$5:$M$1682,BALANCE!V1619,SYS_4_3_Digitos!$N$5:$N$1682)&lt;0,0,+SUMIF(SYS_4_3_Digitos!$M$5:$M$1682,BALANCE!V1619,SYS_4_3_Digitos!$N$5:$N$1682))</f>
        <v>0</v>
      </c>
    </row>
    <row r="1620" spans="22:23" hidden="1">
      <c r="V1620" s="724">
        <v>5552</v>
      </c>
      <c r="W1620" s="725">
        <f>IF(+SUMIF(SYS_4_3_Digitos!$M$5:$M$1682,BALANCE!V1620,SYS_4_3_Digitos!$N$5:$N$1682)&lt;0,0,+SUMIF(SYS_4_3_Digitos!$M$5:$M$1682,BALANCE!V1620,SYS_4_3_Digitos!$N$5:$N$1682))</f>
        <v>0</v>
      </c>
    </row>
    <row r="1621" spans="22:23" hidden="1">
      <c r="V1621" s="724">
        <v>5553</v>
      </c>
      <c r="W1621" s="725">
        <f>IF(+SUMIF(SYS_4_3_Digitos!$M$5:$M$1682,BALANCE!V1621,SYS_4_3_Digitos!$N$5:$N$1682)&lt;0,0,+SUMIF(SYS_4_3_Digitos!$M$5:$M$1682,BALANCE!V1621,SYS_4_3_Digitos!$N$5:$N$1682))</f>
        <v>0</v>
      </c>
    </row>
    <row r="1622" spans="22:23" hidden="1">
      <c r="V1622" s="724">
        <v>5554</v>
      </c>
      <c r="W1622" s="725">
        <f>IF(+SUMIF(SYS_4_3_Digitos!$M$5:$M$1682,BALANCE!V1622,SYS_4_3_Digitos!$N$5:$N$1682)&lt;0,0,+SUMIF(SYS_4_3_Digitos!$M$5:$M$1682,BALANCE!V1622,SYS_4_3_Digitos!$N$5:$N$1682))</f>
        <v>0</v>
      </c>
    </row>
    <row r="1623" spans="22:23" hidden="1">
      <c r="V1623" s="724">
        <v>5555</v>
      </c>
      <c r="W1623" s="725">
        <f>IF(+SUMIF(SYS_4_3_Digitos!$M$5:$M$1682,BALANCE!V1623,SYS_4_3_Digitos!$N$5:$N$1682)&lt;0,0,+SUMIF(SYS_4_3_Digitos!$M$5:$M$1682,BALANCE!V1623,SYS_4_3_Digitos!$N$5:$N$1682))</f>
        <v>0</v>
      </c>
    </row>
    <row r="1624" spans="22:23" hidden="1">
      <c r="V1624" s="724">
        <v>5556</v>
      </c>
      <c r="W1624" s="725">
        <f>IF(+SUMIF(SYS_4_3_Digitos!$M$5:$M$1682,BALANCE!V1624,SYS_4_3_Digitos!$N$5:$N$1682)&lt;0,0,+SUMIF(SYS_4_3_Digitos!$M$5:$M$1682,BALANCE!V1624,SYS_4_3_Digitos!$N$5:$N$1682))</f>
        <v>0</v>
      </c>
    </row>
    <row r="1625" spans="22:23" hidden="1">
      <c r="V1625" s="724">
        <v>5557</v>
      </c>
      <c r="W1625" s="725">
        <f>IF(+SUMIF(SYS_4_3_Digitos!$M$5:$M$1682,BALANCE!V1625,SYS_4_3_Digitos!$N$5:$N$1682)&lt;0,0,+SUMIF(SYS_4_3_Digitos!$M$5:$M$1682,BALANCE!V1625,SYS_4_3_Digitos!$N$5:$N$1682))</f>
        <v>0</v>
      </c>
    </row>
    <row r="1626" spans="22:23" hidden="1">
      <c r="V1626" s="724">
        <v>5558</v>
      </c>
      <c r="W1626" s="725">
        <f>IF(+SUMIF(SYS_4_3_Digitos!$M$5:$M$1682,BALANCE!V1626,SYS_4_3_Digitos!$N$5:$N$1682)&lt;0,0,+SUMIF(SYS_4_3_Digitos!$M$5:$M$1682,BALANCE!V1626,SYS_4_3_Digitos!$N$5:$N$1682))</f>
        <v>0</v>
      </c>
    </row>
    <row r="1627" spans="22:23" hidden="1">
      <c r="V1627" s="724">
        <v>5559</v>
      </c>
      <c r="W1627" s="725">
        <f>IF(+SUMIF(SYS_4_3_Digitos!$M$5:$M$1682,BALANCE!V1627,SYS_4_3_Digitos!$N$5:$N$1682)&lt;0,0,+SUMIF(SYS_4_3_Digitos!$M$5:$M$1682,BALANCE!V1627,SYS_4_3_Digitos!$N$5:$N$1682))</f>
        <v>0</v>
      </c>
    </row>
    <row r="1628" spans="22:23" hidden="1">
      <c r="V1628" s="661">
        <v>4430</v>
      </c>
      <c r="W1628" s="662">
        <f>+SUMIF(SYS_4_3_Digitos!$M$5:$M$1682,BALANCE!V1628,SYS_4_3_Digitos!$N$5:$N$1682)</f>
        <v>0</v>
      </c>
    </row>
    <row r="1629" spans="22:23" hidden="1">
      <c r="V1629" s="661">
        <v>4431</v>
      </c>
      <c r="W1629" s="662">
        <f>+SUMIF(SYS_4_3_Digitos!$M$5:$M$1682,BALANCE!V1629,SYS_4_3_Digitos!$N$5:$N$1682)</f>
        <v>0</v>
      </c>
    </row>
    <row r="1630" spans="22:23" hidden="1">
      <c r="V1630" s="661">
        <v>4432</v>
      </c>
      <c r="W1630" s="662">
        <f>+SUMIF(SYS_4_3_Digitos!$M$5:$M$1682,BALANCE!V1630,SYS_4_3_Digitos!$N$5:$N$1682)</f>
        <v>0</v>
      </c>
    </row>
    <row r="1631" spans="22:23" hidden="1">
      <c r="V1631" s="661">
        <v>4433</v>
      </c>
      <c r="W1631" s="662">
        <f>+SUMIF(SYS_4_3_Digitos!$M$5:$M$1682,BALANCE!V1631,SYS_4_3_Digitos!$N$5:$N$1682)</f>
        <v>0</v>
      </c>
    </row>
    <row r="1632" spans="22:23" hidden="1">
      <c r="V1632" s="661">
        <v>4434</v>
      </c>
      <c r="W1632" s="662">
        <f>+SUMIF(SYS_4_3_Digitos!$M$5:$M$1682,BALANCE!V1632,SYS_4_3_Digitos!$N$5:$N$1682)</f>
        <v>0</v>
      </c>
    </row>
    <row r="1633" spans="22:23" hidden="1">
      <c r="V1633" s="661">
        <v>4435</v>
      </c>
      <c r="W1633" s="662">
        <f>+SUMIF(SYS_4_3_Digitos!$M$5:$M$1682,BALANCE!V1633,SYS_4_3_Digitos!$N$5:$N$1682)</f>
        <v>0</v>
      </c>
    </row>
    <row r="1634" spans="22:23" hidden="1">
      <c r="V1634" s="661">
        <v>4436</v>
      </c>
      <c r="W1634" s="662">
        <f>+SUMIF(SYS_4_3_Digitos!$M$5:$M$1682,BALANCE!V1634,SYS_4_3_Digitos!$N$5:$N$1682)</f>
        <v>0</v>
      </c>
    </row>
    <row r="1635" spans="22:23" hidden="1">
      <c r="V1635" s="661">
        <v>4437</v>
      </c>
      <c r="W1635" s="662">
        <f>+SUMIF(SYS_4_3_Digitos!$M$5:$M$1682,BALANCE!V1635,SYS_4_3_Digitos!$N$5:$N$1682)</f>
        <v>0</v>
      </c>
    </row>
    <row r="1636" spans="22:23" hidden="1">
      <c r="V1636" s="661">
        <v>4438</v>
      </c>
      <c r="W1636" s="662">
        <f>+SUMIF(SYS_4_3_Digitos!$M$5:$M$1682,BALANCE!V1636,SYS_4_3_Digitos!$N$5:$N$1682)</f>
        <v>0</v>
      </c>
    </row>
    <row r="1637" spans="22:23" hidden="1">
      <c r="V1637" s="661">
        <v>4439</v>
      </c>
      <c r="W1637" s="662">
        <f>+SUMIF(SYS_4_3_Digitos!$M$5:$M$1682,BALANCE!V1637,SYS_4_3_Digitos!$N$5:$N$1682)</f>
        <v>0</v>
      </c>
    </row>
    <row r="1638" spans="22:23" hidden="1">
      <c r="V1638" s="661">
        <v>4440</v>
      </c>
      <c r="W1638" s="662">
        <f>+SUMIF(SYS_4_3_Digitos!$M$5:$M$1682,BALANCE!V1638,SYS_4_3_Digitos!$N$5:$N$1682)</f>
        <v>0</v>
      </c>
    </row>
    <row r="1639" spans="22:23" hidden="1">
      <c r="V1639" s="661">
        <v>4441</v>
      </c>
      <c r="W1639" s="662">
        <f>+SUMIF(SYS_4_3_Digitos!$M$5:$M$1682,BALANCE!V1639,SYS_4_3_Digitos!$N$5:$N$1682)</f>
        <v>0</v>
      </c>
    </row>
    <row r="1640" spans="22:23" hidden="1">
      <c r="V1640" s="661">
        <v>4442</v>
      </c>
      <c r="W1640" s="662">
        <f>+SUMIF(SYS_4_3_Digitos!$M$5:$M$1682,BALANCE!V1640,SYS_4_3_Digitos!$N$5:$N$1682)</f>
        <v>0</v>
      </c>
    </row>
    <row r="1641" spans="22:23" hidden="1">
      <c r="V1641" s="661">
        <v>4443</v>
      </c>
      <c r="W1641" s="662">
        <f>+SUMIF(SYS_4_3_Digitos!$M$5:$M$1682,BALANCE!V1641,SYS_4_3_Digitos!$N$5:$N$1682)</f>
        <v>0</v>
      </c>
    </row>
    <row r="1642" spans="22:23" hidden="1">
      <c r="V1642" s="661">
        <v>4444</v>
      </c>
      <c r="W1642" s="662">
        <f>+SUMIF(SYS_4_3_Digitos!$M$5:$M$1682,BALANCE!V1642,SYS_4_3_Digitos!$N$5:$N$1682)</f>
        <v>0</v>
      </c>
    </row>
    <row r="1643" spans="22:23" hidden="1">
      <c r="V1643" s="661">
        <v>4445</v>
      </c>
      <c r="W1643" s="662">
        <f>+SUMIF(SYS_4_3_Digitos!$M$5:$M$1682,BALANCE!V1643,SYS_4_3_Digitos!$N$5:$N$1682)</f>
        <v>0</v>
      </c>
    </row>
    <row r="1644" spans="22:23" hidden="1">
      <c r="V1644" s="661">
        <v>4446</v>
      </c>
      <c r="W1644" s="662">
        <f>+SUMIF(SYS_4_3_Digitos!$M$5:$M$1682,BALANCE!V1644,SYS_4_3_Digitos!$N$5:$N$1682)</f>
        <v>0</v>
      </c>
    </row>
    <row r="1645" spans="22:23" hidden="1">
      <c r="V1645" s="661">
        <v>4447</v>
      </c>
      <c r="W1645" s="662">
        <f>+SUMIF(SYS_4_3_Digitos!$M$5:$M$1682,BALANCE!V1645,SYS_4_3_Digitos!$N$5:$N$1682)</f>
        <v>0</v>
      </c>
    </row>
    <row r="1646" spans="22:23" hidden="1">
      <c r="V1646" s="661">
        <v>4448</v>
      </c>
      <c r="W1646" s="662">
        <f>+SUMIF(SYS_4_3_Digitos!$M$5:$M$1682,BALANCE!V1646,SYS_4_3_Digitos!$N$5:$N$1682)</f>
        <v>0</v>
      </c>
    </row>
    <row r="1647" spans="22:23" hidden="1">
      <c r="V1647" s="661">
        <v>4449</v>
      </c>
      <c r="W1647" s="662">
        <f>+SUMIF(SYS_4_3_Digitos!$M$5:$M$1682,BALANCE!V1647,SYS_4_3_Digitos!$N$5:$N$1682)</f>
        <v>0</v>
      </c>
    </row>
    <row r="1648" spans="22:23" hidden="1">
      <c r="V1648" s="661">
        <v>4450</v>
      </c>
      <c r="W1648" s="662">
        <f>+SUMIF(SYS_4_3_Digitos!$M$5:$M$1682,BALANCE!V1648,SYS_4_3_Digitos!$N$5:$N$1682)</f>
        <v>0</v>
      </c>
    </row>
    <row r="1649" spans="22:23" hidden="1">
      <c r="V1649" s="661">
        <v>4451</v>
      </c>
      <c r="W1649" s="662">
        <f>+SUMIF(SYS_4_3_Digitos!$M$5:$M$1682,BALANCE!V1649,SYS_4_3_Digitos!$N$5:$N$1682)</f>
        <v>0</v>
      </c>
    </row>
    <row r="1650" spans="22:23" hidden="1">
      <c r="V1650" s="661">
        <v>4452</v>
      </c>
      <c r="W1650" s="662">
        <f>+SUMIF(SYS_4_3_Digitos!$M$5:$M$1682,BALANCE!V1650,SYS_4_3_Digitos!$N$5:$N$1682)</f>
        <v>0</v>
      </c>
    </row>
    <row r="1651" spans="22:23" hidden="1">
      <c r="V1651" s="661">
        <v>4453</v>
      </c>
      <c r="W1651" s="662">
        <f>+SUMIF(SYS_4_3_Digitos!$M$5:$M$1682,BALANCE!V1651,SYS_4_3_Digitos!$N$5:$N$1682)</f>
        <v>0</v>
      </c>
    </row>
    <row r="1652" spans="22:23" hidden="1">
      <c r="V1652" s="661">
        <v>4454</v>
      </c>
      <c r="W1652" s="662">
        <f>+SUMIF(SYS_4_3_Digitos!$M$5:$M$1682,BALANCE!V1652,SYS_4_3_Digitos!$N$5:$N$1682)</f>
        <v>0</v>
      </c>
    </row>
    <row r="1653" spans="22:23" hidden="1">
      <c r="V1653" s="661">
        <v>4455</v>
      </c>
      <c r="W1653" s="662">
        <f>+SUMIF(SYS_4_3_Digitos!$M$5:$M$1682,BALANCE!V1653,SYS_4_3_Digitos!$N$5:$N$1682)</f>
        <v>0</v>
      </c>
    </row>
    <row r="1654" spans="22:23" hidden="1">
      <c r="V1654" s="661">
        <v>4456</v>
      </c>
      <c r="W1654" s="662">
        <f>+SUMIF(SYS_4_3_Digitos!$M$5:$M$1682,BALANCE!V1654,SYS_4_3_Digitos!$N$5:$N$1682)</f>
        <v>0</v>
      </c>
    </row>
    <row r="1655" spans="22:23" hidden="1">
      <c r="V1655" s="661">
        <v>4457</v>
      </c>
      <c r="W1655" s="662">
        <f>+SUMIF(SYS_4_3_Digitos!$M$5:$M$1682,BALANCE!V1655,SYS_4_3_Digitos!$N$5:$N$1682)</f>
        <v>0</v>
      </c>
    </row>
    <row r="1656" spans="22:23" hidden="1">
      <c r="V1656" s="661">
        <v>4458</v>
      </c>
      <c r="W1656" s="662">
        <f>+SUMIF(SYS_4_3_Digitos!$M$5:$M$1682,BALANCE!V1656,SYS_4_3_Digitos!$N$5:$N$1682)</f>
        <v>0</v>
      </c>
    </row>
    <row r="1657" spans="22:23" hidden="1">
      <c r="V1657" s="661">
        <v>4459</v>
      </c>
      <c r="W1657" s="662">
        <f>+SUMIF(SYS_4_3_Digitos!$M$5:$M$1682,BALANCE!V1657,SYS_4_3_Digitos!$N$5:$N$1682)</f>
        <v>0</v>
      </c>
    </row>
    <row r="1658" spans="22:23" hidden="1">
      <c r="V1658" s="661">
        <v>4460</v>
      </c>
      <c r="W1658" s="662">
        <f ca="1">+SUMIF(SYS_4_3_Digitos!$M$5:$M$1682,BALANCE!V1658,SYS_4_3_Digitos!$N$5:$N$1682)</f>
        <v>0</v>
      </c>
    </row>
    <row r="1659" spans="22:23" hidden="1">
      <c r="V1659" s="661">
        <v>4461</v>
      </c>
      <c r="W1659" s="662">
        <f>+SUMIF(SYS_4_3_Digitos!$M$5:$M$1682,BALANCE!V1659,SYS_4_3_Digitos!$N$5:$N$1682)</f>
        <v>0</v>
      </c>
    </row>
    <row r="1660" spans="22:23" hidden="1">
      <c r="V1660" s="661">
        <v>4462</v>
      </c>
      <c r="W1660" s="662">
        <f>+SUMIF(SYS_4_3_Digitos!$M$5:$M$1682,BALANCE!V1660,SYS_4_3_Digitos!$N$5:$N$1682)</f>
        <v>0</v>
      </c>
    </row>
    <row r="1661" spans="22:23" hidden="1">
      <c r="V1661" s="661">
        <v>4463</v>
      </c>
      <c r="W1661" s="662">
        <f>+SUMIF(SYS_4_3_Digitos!$M$5:$M$1682,BALANCE!V1661,SYS_4_3_Digitos!$N$5:$N$1682)</f>
        <v>0</v>
      </c>
    </row>
    <row r="1662" spans="22:23" hidden="1">
      <c r="V1662" s="661">
        <v>4464</v>
      </c>
      <c r="W1662" s="662">
        <f>+SUMIF(SYS_4_3_Digitos!$M$5:$M$1682,BALANCE!V1662,SYS_4_3_Digitos!$N$5:$N$1682)</f>
        <v>0</v>
      </c>
    </row>
    <row r="1663" spans="22:23" hidden="1">
      <c r="V1663" s="661">
        <v>4465</v>
      </c>
      <c r="W1663" s="662">
        <f>+SUMIF(SYS_4_3_Digitos!$M$5:$M$1682,BALANCE!V1663,SYS_4_3_Digitos!$N$5:$N$1682)</f>
        <v>0</v>
      </c>
    </row>
    <row r="1664" spans="22:23" hidden="1">
      <c r="V1664" s="661">
        <v>4466</v>
      </c>
      <c r="W1664" s="662">
        <f>+SUMIF(SYS_4_3_Digitos!$M$5:$M$1682,BALANCE!V1664,SYS_4_3_Digitos!$N$5:$N$1682)</f>
        <v>0</v>
      </c>
    </row>
    <row r="1665" spans="22:23" hidden="1">
      <c r="V1665" s="661">
        <v>4467</v>
      </c>
      <c r="W1665" s="662">
        <f>+SUMIF(SYS_4_3_Digitos!$M$5:$M$1682,BALANCE!V1665,SYS_4_3_Digitos!$N$5:$N$1682)</f>
        <v>0</v>
      </c>
    </row>
    <row r="1666" spans="22:23" hidden="1">
      <c r="V1666" s="661">
        <v>4468</v>
      </c>
      <c r="W1666" s="662">
        <f>+SUMIF(SYS_4_3_Digitos!$M$5:$M$1682,BALANCE!V1666,SYS_4_3_Digitos!$N$5:$N$1682)</f>
        <v>0</v>
      </c>
    </row>
    <row r="1667" spans="22:23" hidden="1">
      <c r="V1667" s="661">
        <v>4469</v>
      </c>
      <c r="W1667" s="662">
        <f>+SUMIF(SYS_4_3_Digitos!$M$5:$M$1682,BALANCE!V1667,SYS_4_3_Digitos!$N$5:$N$1682)</f>
        <v>0</v>
      </c>
    </row>
    <row r="1668" spans="22:23" hidden="1">
      <c r="V1668" s="661">
        <v>4470</v>
      </c>
      <c r="W1668" s="662">
        <f>+SUMIF(SYS_4_3_Digitos!$M$5:$M$1682,BALANCE!V1668,SYS_4_3_Digitos!$N$5:$N$1682)</f>
        <v>0</v>
      </c>
    </row>
    <row r="1669" spans="22:23" hidden="1">
      <c r="V1669" s="661">
        <v>4471</v>
      </c>
      <c r="W1669" s="662">
        <f>+SUMIF(SYS_4_3_Digitos!$M$5:$M$1682,BALANCE!V1669,SYS_4_3_Digitos!$N$5:$N$1682)</f>
        <v>0</v>
      </c>
    </row>
    <row r="1670" spans="22:23" hidden="1">
      <c r="V1670" s="661">
        <v>4472</v>
      </c>
      <c r="W1670" s="662">
        <f>+SUMIF(SYS_4_3_Digitos!$M$5:$M$1682,BALANCE!V1670,SYS_4_3_Digitos!$N$5:$N$1682)</f>
        <v>0</v>
      </c>
    </row>
    <row r="1671" spans="22:23" hidden="1">
      <c r="V1671" s="661">
        <v>4473</v>
      </c>
      <c r="W1671" s="662">
        <f>+SUMIF(SYS_4_3_Digitos!$M$5:$M$1682,BALANCE!V1671,SYS_4_3_Digitos!$N$5:$N$1682)</f>
        <v>0</v>
      </c>
    </row>
    <row r="1672" spans="22:23" hidden="1">
      <c r="V1672" s="661">
        <v>4474</v>
      </c>
      <c r="W1672" s="662">
        <f>+SUMIF(SYS_4_3_Digitos!$M$5:$M$1682,BALANCE!V1672,SYS_4_3_Digitos!$N$5:$N$1682)</f>
        <v>0</v>
      </c>
    </row>
    <row r="1673" spans="22:23" hidden="1">
      <c r="V1673" s="661">
        <v>4475</v>
      </c>
      <c r="W1673" s="662">
        <f>+SUMIF(SYS_4_3_Digitos!$M$5:$M$1682,BALANCE!V1673,SYS_4_3_Digitos!$N$5:$N$1682)</f>
        <v>0</v>
      </c>
    </row>
    <row r="1674" spans="22:23" hidden="1">
      <c r="V1674" s="661">
        <v>4476</v>
      </c>
      <c r="W1674" s="662">
        <f>+SUMIF(SYS_4_3_Digitos!$M$5:$M$1682,BALANCE!V1674,SYS_4_3_Digitos!$N$5:$N$1682)</f>
        <v>0</v>
      </c>
    </row>
    <row r="1675" spans="22:23" hidden="1">
      <c r="V1675" s="661">
        <v>4477</v>
      </c>
      <c r="W1675" s="662">
        <f>+SUMIF(SYS_4_3_Digitos!$M$5:$M$1682,BALANCE!V1675,SYS_4_3_Digitos!$N$5:$N$1682)</f>
        <v>0</v>
      </c>
    </row>
    <row r="1676" spans="22:23" hidden="1">
      <c r="V1676" s="661">
        <v>4478</v>
      </c>
      <c r="W1676" s="662">
        <f>+SUMIF(SYS_4_3_Digitos!$M$5:$M$1682,BALANCE!V1676,SYS_4_3_Digitos!$N$5:$N$1682)</f>
        <v>0</v>
      </c>
    </row>
    <row r="1677" spans="22:23" hidden="1">
      <c r="V1677" s="661">
        <v>4479</v>
      </c>
      <c r="W1677" s="662">
        <f>+SUMIF(SYS_4_3_Digitos!$M$5:$M$1682,BALANCE!V1677,SYS_4_3_Digitos!$N$5:$N$1682)</f>
        <v>0</v>
      </c>
    </row>
    <row r="1678" spans="22:23" hidden="1">
      <c r="V1678" s="661">
        <v>4480</v>
      </c>
      <c r="W1678" s="662">
        <f>+SUMIF(SYS_4_3_Digitos!$M$5:$M$1682,BALANCE!V1678,SYS_4_3_Digitos!$N$5:$N$1682)</f>
        <v>0</v>
      </c>
    </row>
    <row r="1679" spans="22:23" hidden="1">
      <c r="V1679" s="661">
        <v>4481</v>
      </c>
      <c r="W1679" s="662">
        <f>+SUMIF(SYS_4_3_Digitos!$M$5:$M$1682,BALANCE!V1679,SYS_4_3_Digitos!$N$5:$N$1682)</f>
        <v>0</v>
      </c>
    </row>
    <row r="1680" spans="22:23" hidden="1">
      <c r="V1680" s="661">
        <v>4482</v>
      </c>
      <c r="W1680" s="662">
        <f>+SUMIF(SYS_4_3_Digitos!$M$5:$M$1682,BALANCE!V1680,SYS_4_3_Digitos!$N$5:$N$1682)</f>
        <v>0</v>
      </c>
    </row>
    <row r="1681" spans="21:23" hidden="1">
      <c r="V1681" s="661">
        <v>4483</v>
      </c>
      <c r="W1681" s="662">
        <f>+SUMIF(SYS_4_3_Digitos!$M$5:$M$1682,BALANCE!V1681,SYS_4_3_Digitos!$N$5:$N$1682)</f>
        <v>0</v>
      </c>
    </row>
    <row r="1682" spans="21:23" hidden="1">
      <c r="V1682" s="661">
        <v>4484</v>
      </c>
      <c r="W1682" s="662">
        <f>+SUMIF(SYS_4_3_Digitos!$M$5:$M$1682,BALANCE!V1682,SYS_4_3_Digitos!$N$5:$N$1682)</f>
        <v>0</v>
      </c>
    </row>
    <row r="1683" spans="21:23" hidden="1">
      <c r="V1683" s="661">
        <v>4485</v>
      </c>
      <c r="W1683" s="662">
        <f>+SUMIF(SYS_4_3_Digitos!$M$5:$M$1682,BALANCE!V1683,SYS_4_3_Digitos!$N$5:$N$1682)</f>
        <v>0</v>
      </c>
    </row>
    <row r="1684" spans="21:23" hidden="1">
      <c r="V1684" s="661">
        <v>4486</v>
      </c>
      <c r="W1684" s="662">
        <f>+SUMIF(SYS_4_3_Digitos!$M$5:$M$1682,BALANCE!V1684,SYS_4_3_Digitos!$N$5:$N$1682)</f>
        <v>0</v>
      </c>
    </row>
    <row r="1685" spans="21:23" hidden="1">
      <c r="V1685" s="661">
        <v>4487</v>
      </c>
      <c r="W1685" s="662">
        <f>+SUMIF(SYS_4_3_Digitos!$M$5:$M$1682,BALANCE!V1685,SYS_4_3_Digitos!$N$5:$N$1682)</f>
        <v>0</v>
      </c>
    </row>
    <row r="1686" spans="21:23" hidden="1">
      <c r="V1686" s="661">
        <v>4488</v>
      </c>
      <c r="W1686" s="662">
        <f>+SUMIF(SYS_4_3_Digitos!$M$5:$M$1682,BALANCE!V1686,SYS_4_3_Digitos!$N$5:$N$1682)</f>
        <v>0</v>
      </c>
    </row>
    <row r="1687" spans="21:23" hidden="1">
      <c r="V1687" s="661">
        <v>4489</v>
      </c>
      <c r="W1687" s="662">
        <f>+SUMIF(SYS_4_3_Digitos!$M$5:$M$1682,BALANCE!V1687,SYS_4_3_Digitos!$N$5:$N$1682)</f>
        <v>0</v>
      </c>
    </row>
    <row r="1688" spans="21:23" hidden="1">
      <c r="V1688" s="661">
        <v>4490</v>
      </c>
      <c r="W1688" s="662">
        <f ca="1">+SUMIF(SYS_4_3_Digitos!$M$5:$M$1682,BALANCE!V1688,SYS_4_3_Digitos!$N$5:$N$1682)</f>
        <v>0</v>
      </c>
    </row>
    <row r="1689" spans="21:23" hidden="1">
      <c r="U1689" s="722" t="s">
        <v>133</v>
      </c>
      <c r="V1689" s="661">
        <v>4491</v>
      </c>
      <c r="W1689" s="662">
        <f>+SUMIF(SYS_4_3_Digitos!$M$5:$M$1682,BALANCE!V1689,SYS_4_3_Digitos!$N$5:$N$1682)</f>
        <v>0</v>
      </c>
    </row>
    <row r="1690" spans="21:23" hidden="1">
      <c r="V1690" s="661">
        <v>4492</v>
      </c>
      <c r="W1690" s="662">
        <f>+SUMIF(SYS_4_3_Digitos!$M$5:$M$1682,BALANCE!V1690,SYS_4_3_Digitos!$N$5:$N$1682)</f>
        <v>0</v>
      </c>
    </row>
    <row r="1691" spans="21:23" hidden="1">
      <c r="V1691" s="661">
        <v>4493</v>
      </c>
      <c r="W1691" s="662">
        <f>+SUMIF(SYS_4_3_Digitos!$M$5:$M$1682,BALANCE!V1691,SYS_4_3_Digitos!$N$5:$N$1682)</f>
        <v>0</v>
      </c>
    </row>
    <row r="1692" spans="21:23" hidden="1">
      <c r="V1692" s="661">
        <v>4494</v>
      </c>
      <c r="W1692" s="662">
        <f>+SUMIF(SYS_4_3_Digitos!$M$5:$M$1682,BALANCE!V1692,SYS_4_3_Digitos!$N$5:$N$1682)</f>
        <v>0</v>
      </c>
    </row>
    <row r="1693" spans="21:23" hidden="1">
      <c r="V1693" s="661">
        <v>4495</v>
      </c>
      <c r="W1693" s="662">
        <f>+SUMIF(SYS_4_3_Digitos!$M$5:$M$1682,BALANCE!V1693,SYS_4_3_Digitos!$N$5:$N$1682)</f>
        <v>0</v>
      </c>
    </row>
    <row r="1694" spans="21:23" hidden="1">
      <c r="V1694" s="661">
        <v>4496</v>
      </c>
      <c r="W1694" s="662">
        <f>+SUMIF(SYS_4_3_Digitos!$M$5:$M$1682,BALANCE!V1694,SYS_4_3_Digitos!$N$5:$N$1682)</f>
        <v>0</v>
      </c>
    </row>
    <row r="1695" spans="21:23" hidden="1">
      <c r="V1695" s="661">
        <v>4497</v>
      </c>
      <c r="W1695" s="662">
        <f>+SUMIF(SYS_4_3_Digitos!$M$5:$M$1682,BALANCE!V1695,SYS_4_3_Digitos!$N$5:$N$1682)</f>
        <v>0</v>
      </c>
    </row>
    <row r="1696" spans="21:23" hidden="1">
      <c r="V1696" s="661">
        <v>4498</v>
      </c>
      <c r="W1696" s="662">
        <f>+SUMIF(SYS_4_3_Digitos!$M$5:$M$1682,BALANCE!V1696,SYS_4_3_Digitos!$N$5:$N$1682)</f>
        <v>0</v>
      </c>
    </row>
    <row r="1697" spans="21:23" hidden="1">
      <c r="V1697" s="661">
        <v>4499</v>
      </c>
      <c r="W1697" s="662">
        <f>+SUMIF(SYS_4_3_Digitos!$M$5:$M$1682,BALANCE!V1697,SYS_4_3_Digitos!$N$5:$N$1682)</f>
        <v>0</v>
      </c>
    </row>
    <row r="1698" spans="21:23" hidden="1">
      <c r="V1698" s="661">
        <v>5531</v>
      </c>
      <c r="W1698" s="662">
        <f>+SUMIF(SYS_4_3_Digitos!$M$5:$M$1682,BALANCE!V1698,SYS_4_3_Digitos!$N$5:$N$1682)</f>
        <v>0</v>
      </c>
    </row>
    <row r="1699" spans="21:23" hidden="1">
      <c r="V1699" s="661">
        <v>5533</v>
      </c>
      <c r="W1699" s="662">
        <f>+SUMIF(SYS_4_3_Digitos!$M$5:$M$1682,BALANCE!V1699,SYS_4_3_Digitos!$N$5:$N$1682)</f>
        <v>0</v>
      </c>
    </row>
    <row r="1700" spans="21:23" hidden="1">
      <c r="V1700" s="653" t="s">
        <v>41</v>
      </c>
      <c r="W1700" s="654">
        <f ca="1">SUM(W1701:W1720)</f>
        <v>3429.58</v>
      </c>
    </row>
    <row r="1701" spans="21:23" hidden="1">
      <c r="V1701" s="661">
        <v>4600</v>
      </c>
      <c r="W1701" s="662">
        <f ca="1">+SUMIF(SYS_4_3_Digitos!$M$5:$M$1682,BALANCE!V1701,SYS_4_3_Digitos!$N$5:$N$1682)</f>
        <v>525</v>
      </c>
    </row>
    <row r="1702" spans="21:23" hidden="1">
      <c r="V1702" s="661">
        <v>4601</v>
      </c>
      <c r="W1702" s="662">
        <f>+SUMIF(SYS_4_3_Digitos!$M$5:$M$1682,BALANCE!V1702,SYS_4_3_Digitos!$N$5:$N$1682)</f>
        <v>0</v>
      </c>
    </row>
    <row r="1703" spans="21:23" hidden="1">
      <c r="V1703" s="661">
        <v>4602</v>
      </c>
      <c r="W1703" s="662">
        <f>+SUMIF(SYS_4_3_Digitos!$M$5:$M$1682,BALANCE!V1703,SYS_4_3_Digitos!$N$5:$N$1682)</f>
        <v>0</v>
      </c>
    </row>
    <row r="1704" spans="21:23" hidden="1">
      <c r="V1704" s="661">
        <v>4603</v>
      </c>
      <c r="W1704" s="662">
        <f>+SUMIF(SYS_4_3_Digitos!$M$5:$M$1682,BALANCE!V1704,SYS_4_3_Digitos!$N$5:$N$1682)</f>
        <v>0</v>
      </c>
    </row>
    <row r="1705" spans="21:23" hidden="1">
      <c r="V1705" s="661">
        <v>4604</v>
      </c>
      <c r="W1705" s="662">
        <f>+SUMIF(SYS_4_3_Digitos!$M$5:$M$1682,BALANCE!V1705,SYS_4_3_Digitos!$N$5:$N$1682)</f>
        <v>0</v>
      </c>
    </row>
    <row r="1706" spans="21:23" hidden="1">
      <c r="V1706" s="661">
        <v>4605</v>
      </c>
      <c r="W1706" s="662">
        <f>+SUMIF(SYS_4_3_Digitos!$M$5:$M$1682,BALANCE!V1706,SYS_4_3_Digitos!$N$5:$N$1682)</f>
        <v>0</v>
      </c>
    </row>
    <row r="1707" spans="21:23" hidden="1">
      <c r="V1707" s="661">
        <v>4606</v>
      </c>
      <c r="W1707" s="662">
        <f>+SUMIF(SYS_4_3_Digitos!$M$5:$M$1682,BALANCE!V1707,SYS_4_3_Digitos!$N$5:$N$1682)</f>
        <v>0</v>
      </c>
    </row>
    <row r="1708" spans="21:23" hidden="1">
      <c r="V1708" s="661">
        <v>4607</v>
      </c>
      <c r="W1708" s="662">
        <f>+SUMIF(SYS_4_3_Digitos!$M$5:$M$1682,BALANCE!V1708,SYS_4_3_Digitos!$N$5:$N$1682)</f>
        <v>0</v>
      </c>
    </row>
    <row r="1709" spans="21:23" hidden="1">
      <c r="V1709" s="661">
        <v>4608</v>
      </c>
      <c r="W1709" s="662">
        <f>+SUMIF(SYS_4_3_Digitos!$M$5:$M$1682,BALANCE!V1709,SYS_4_3_Digitos!$N$5:$N$1682)</f>
        <v>0</v>
      </c>
    </row>
    <row r="1710" spans="21:23" hidden="1">
      <c r="U1710" s="722">
        <v>4709</v>
      </c>
      <c r="V1710" s="661">
        <v>4609</v>
      </c>
      <c r="W1710" s="662">
        <f>+SUMIF(SYS_4_3_Digitos!$M$5:$M$1682,BALANCE!V1710,SYS_4_3_Digitos!$N$5:$N$1682)</f>
        <v>0</v>
      </c>
    </row>
    <row r="1711" spans="21:23" hidden="1">
      <c r="U1711" s="722"/>
      <c r="V1711" s="661">
        <v>5440</v>
      </c>
      <c r="W1711" s="662">
        <f ca="1">+SUMIF(SYS_4_3_Digitos!$M$5:$M$1682,BALANCE!V1711,SYS_4_3_Digitos!$N$5:$N$1682)</f>
        <v>2904.58</v>
      </c>
    </row>
    <row r="1712" spans="21:23" hidden="1">
      <c r="U1712" s="722" t="s">
        <v>1553</v>
      </c>
      <c r="V1712" s="661">
        <v>5441</v>
      </c>
      <c r="W1712" s="662">
        <f>+SUMIF(SYS_4_3_Digitos!$M$5:$M$1682,BALANCE!V1712,SYS_4_3_Digitos!$N$5:$N$1682)</f>
        <v>0</v>
      </c>
    </row>
    <row r="1713" spans="21:23" hidden="1">
      <c r="U1713" s="722"/>
      <c r="V1713" s="661">
        <v>5442</v>
      </c>
      <c r="W1713" s="662">
        <f>+SUMIF(SYS_4_3_Digitos!$M$5:$M$1682,BALANCE!V1713,SYS_4_3_Digitos!$N$5:$N$1682)</f>
        <v>0</v>
      </c>
    </row>
    <row r="1714" spans="21:23" hidden="1">
      <c r="U1714" s="722"/>
      <c r="V1714" s="661">
        <v>5443</v>
      </c>
      <c r="W1714" s="662">
        <f>+SUMIF(SYS_4_3_Digitos!$M$5:$M$1682,BALANCE!V1714,SYS_4_3_Digitos!$N$5:$N$1682)</f>
        <v>0</v>
      </c>
    </row>
    <row r="1715" spans="21:23" hidden="1">
      <c r="U1715" s="722"/>
      <c r="V1715" s="661">
        <v>5444</v>
      </c>
      <c r="W1715" s="662">
        <f>+SUMIF(SYS_4_3_Digitos!$M$5:$M$1682,BALANCE!V1715,SYS_4_3_Digitos!$N$5:$N$1682)</f>
        <v>0</v>
      </c>
    </row>
    <row r="1716" spans="21:23" hidden="1">
      <c r="U1716" s="722"/>
      <c r="V1716" s="661">
        <v>5445</v>
      </c>
      <c r="W1716" s="662">
        <f>+SUMIF(SYS_4_3_Digitos!$M$5:$M$1682,BALANCE!V1716,SYS_4_3_Digitos!$N$5:$N$1682)</f>
        <v>0</v>
      </c>
    </row>
    <row r="1717" spans="21:23" hidden="1">
      <c r="U1717" s="722"/>
      <c r="V1717" s="661">
        <v>5446</v>
      </c>
      <c r="W1717" s="662">
        <f>+SUMIF(SYS_4_3_Digitos!$M$5:$M$1682,BALANCE!V1717,SYS_4_3_Digitos!$N$5:$N$1682)</f>
        <v>0</v>
      </c>
    </row>
    <row r="1718" spans="21:23" hidden="1">
      <c r="U1718" s="722"/>
      <c r="V1718" s="661">
        <v>5447</v>
      </c>
      <c r="W1718" s="662">
        <f>+SUMIF(SYS_4_3_Digitos!$M$5:$M$1682,BALANCE!V1718,SYS_4_3_Digitos!$N$5:$N$1682)</f>
        <v>0</v>
      </c>
    </row>
    <row r="1719" spans="21:23" hidden="1">
      <c r="U1719" s="722"/>
      <c r="V1719" s="661">
        <v>5448</v>
      </c>
      <c r="W1719" s="662">
        <f>+SUMIF(SYS_4_3_Digitos!$M$5:$M$1682,BALANCE!V1719,SYS_4_3_Digitos!$N$5:$N$1682)</f>
        <v>0</v>
      </c>
    </row>
    <row r="1720" spans="21:23" hidden="1">
      <c r="U1720" s="722"/>
      <c r="V1720" s="661">
        <v>5449</v>
      </c>
      <c r="W1720" s="662">
        <f>+SUMIF(SYS_4_3_Digitos!$M$5:$M$1682,BALANCE!V1720,SYS_4_3_Digitos!$N$5:$N$1682)</f>
        <v>0</v>
      </c>
    </row>
    <row r="1721" spans="21:23" hidden="1">
      <c r="U1721" s="722"/>
      <c r="V1721" s="653" t="s">
        <v>42</v>
      </c>
      <c r="W1721" s="654">
        <f ca="1">SUM(W1722)</f>
        <v>3151475.96</v>
      </c>
    </row>
    <row r="1722" spans="21:23" hidden="1">
      <c r="U1722" s="722"/>
      <c r="V1722" s="661">
        <v>4709</v>
      </c>
      <c r="W1722" s="662">
        <f ca="1">+SUMIF(SYS_4_3_Digitos!$M$5:$M$1682,BALANCE!V1722,SYS_4_3_Digitos!$N$5:$N$1682)</f>
        <v>3151475.96</v>
      </c>
    </row>
    <row r="1723" spans="21:23" hidden="1">
      <c r="U1723" s="722"/>
      <c r="V1723" s="653" t="s">
        <v>43</v>
      </c>
      <c r="W1723" s="654">
        <f ca="1">SUM(W1724:W1755)</f>
        <v>0</v>
      </c>
    </row>
    <row r="1724" spans="21:23" hidden="1">
      <c r="U1724" s="722"/>
      <c r="V1724" s="661">
        <v>4700</v>
      </c>
      <c r="W1724" s="662">
        <f ca="1">+SUMIF(SYS_4_3_Digitos!$M$5:$M$1682,BALANCE!V1724,SYS_4_3_Digitos!$N$5:$N$1682)</f>
        <v>0</v>
      </c>
    </row>
    <row r="1725" spans="21:23" hidden="1">
      <c r="U1725" s="722"/>
      <c r="V1725" s="661">
        <v>4708</v>
      </c>
      <c r="W1725" s="662">
        <f ca="1">+SUMIF(SYS_4_3_Digitos!$M$5:$M$1682,BALANCE!V1725,SYS_4_3_Digitos!$N$5:$N$1682)</f>
        <v>0</v>
      </c>
    </row>
    <row r="1726" spans="21:23" hidden="1">
      <c r="U1726" s="722"/>
      <c r="V1726" s="661">
        <v>4710</v>
      </c>
      <c r="W1726" s="662">
        <f ca="1">+SUMIF(SYS_4_3_Digitos!$M$5:$M$1682,BALANCE!V1726,SYS_4_3_Digitos!$N$5:$N$1682)</f>
        <v>0</v>
      </c>
    </row>
    <row r="1727" spans="21:23" hidden="1">
      <c r="U1727" s="722"/>
      <c r="V1727" s="661">
        <v>4711</v>
      </c>
      <c r="W1727" s="662">
        <f>+SUMIF(SYS_4_3_Digitos!$M$5:$M$1682,BALANCE!V1727,SYS_4_3_Digitos!$N$5:$N$1682)</f>
        <v>0</v>
      </c>
    </row>
    <row r="1728" spans="21:23" hidden="1">
      <c r="U1728" s="722"/>
      <c r="V1728" s="661">
        <v>4712</v>
      </c>
      <c r="W1728" s="662">
        <f>+SUMIF(SYS_4_3_Digitos!$M$5:$M$1682,BALANCE!V1728,SYS_4_3_Digitos!$N$5:$N$1682)</f>
        <v>0</v>
      </c>
    </row>
    <row r="1729" spans="21:23" hidden="1">
      <c r="U1729" s="722"/>
      <c r="V1729" s="661">
        <v>4713</v>
      </c>
      <c r="W1729" s="662">
        <f>+SUMIF(SYS_4_3_Digitos!$M$5:$M$1682,BALANCE!V1729,SYS_4_3_Digitos!$N$5:$N$1682)</f>
        <v>0</v>
      </c>
    </row>
    <row r="1730" spans="21:23" hidden="1">
      <c r="U1730" s="722"/>
      <c r="V1730" s="661">
        <v>4714</v>
      </c>
      <c r="W1730" s="662">
        <f>+SUMIF(SYS_4_3_Digitos!$M$5:$M$1682,BALANCE!V1730,SYS_4_3_Digitos!$N$5:$N$1682)</f>
        <v>0</v>
      </c>
    </row>
    <row r="1731" spans="21:23" hidden="1">
      <c r="U1731" s="722"/>
      <c r="V1731" s="661">
        <v>4715</v>
      </c>
      <c r="W1731" s="662">
        <f>+SUMIF(SYS_4_3_Digitos!$M$5:$M$1682,BALANCE!V1731,SYS_4_3_Digitos!$N$5:$N$1682)</f>
        <v>0</v>
      </c>
    </row>
    <row r="1732" spans="21:23" hidden="1">
      <c r="U1732" s="722"/>
      <c r="V1732" s="661">
        <v>4716</v>
      </c>
      <c r="W1732" s="662">
        <f>+SUMIF(SYS_4_3_Digitos!$M$5:$M$1682,BALANCE!V1732,SYS_4_3_Digitos!$N$5:$N$1682)</f>
        <v>0</v>
      </c>
    </row>
    <row r="1733" spans="21:23" hidden="1">
      <c r="U1733" s="722"/>
      <c r="V1733" s="661">
        <v>4717</v>
      </c>
      <c r="W1733" s="662">
        <f>+SUMIF(SYS_4_3_Digitos!$M$5:$M$1682,BALANCE!V1733,SYS_4_3_Digitos!$N$5:$N$1682)</f>
        <v>0</v>
      </c>
    </row>
    <row r="1734" spans="21:23" hidden="1">
      <c r="U1734" s="722"/>
      <c r="V1734" s="661">
        <v>4718</v>
      </c>
      <c r="W1734" s="662">
        <f>+SUMIF(SYS_4_3_Digitos!$M$5:$M$1682,BALANCE!V1734,SYS_4_3_Digitos!$N$5:$N$1682)</f>
        <v>0</v>
      </c>
    </row>
    <row r="1735" spans="21:23" hidden="1">
      <c r="U1735" s="722"/>
      <c r="V1735" s="661">
        <v>4719</v>
      </c>
      <c r="W1735" s="662">
        <f>+SUMIF(SYS_4_3_Digitos!$M$5:$M$1682,BALANCE!V1735,SYS_4_3_Digitos!$N$5:$N$1682)</f>
        <v>0</v>
      </c>
    </row>
    <row r="1736" spans="21:23" hidden="1">
      <c r="U1736" s="722"/>
      <c r="V1736" s="661">
        <v>4720</v>
      </c>
      <c r="W1736" s="662">
        <f ca="1">+SUMIF(SYS_4_3_Digitos!$M$5:$M$1682,BALANCE!V1736,SYS_4_3_Digitos!$N$5:$N$1682)</f>
        <v>0</v>
      </c>
    </row>
    <row r="1737" spans="21:23" hidden="1">
      <c r="U1737" s="722"/>
      <c r="V1737" s="661">
        <v>4721</v>
      </c>
      <c r="W1737" s="662">
        <f>+SUMIF(SYS_4_3_Digitos!$M$5:$M$1682,BALANCE!V1737,SYS_4_3_Digitos!$N$5:$N$1682)</f>
        <v>0</v>
      </c>
    </row>
    <row r="1738" spans="21:23" hidden="1">
      <c r="U1738" s="722"/>
      <c r="V1738" s="661">
        <v>4722</v>
      </c>
      <c r="W1738" s="662">
        <f>+SUMIF(SYS_4_3_Digitos!$M$5:$M$1682,BALANCE!V1738,SYS_4_3_Digitos!$N$5:$N$1682)</f>
        <v>0</v>
      </c>
    </row>
    <row r="1739" spans="21:23" hidden="1">
      <c r="U1739" s="722"/>
      <c r="V1739" s="661">
        <v>4723</v>
      </c>
      <c r="W1739" s="662">
        <f>+SUMIF(SYS_4_3_Digitos!$M$5:$M$1682,BALANCE!V1739,SYS_4_3_Digitos!$N$5:$N$1682)</f>
        <v>0</v>
      </c>
    </row>
    <row r="1740" spans="21:23" hidden="1">
      <c r="U1740" s="722"/>
      <c r="V1740" s="661">
        <v>4724</v>
      </c>
      <c r="W1740" s="662">
        <f>+SUMIF(SYS_4_3_Digitos!$M$5:$M$1682,BALANCE!V1740,SYS_4_3_Digitos!$N$5:$N$1682)</f>
        <v>0</v>
      </c>
    </row>
    <row r="1741" spans="21:23" hidden="1">
      <c r="U1741" s="722"/>
      <c r="V1741" s="661">
        <v>4725</v>
      </c>
      <c r="W1741" s="662">
        <f>+SUMIF(SYS_4_3_Digitos!$M$5:$M$1682,BALANCE!V1741,SYS_4_3_Digitos!$N$5:$N$1682)</f>
        <v>0</v>
      </c>
    </row>
    <row r="1742" spans="21:23" hidden="1">
      <c r="U1742" s="722"/>
      <c r="V1742" s="661">
        <v>4726</v>
      </c>
      <c r="W1742" s="662">
        <f>+SUMIF(SYS_4_3_Digitos!$M$5:$M$1682,BALANCE!V1742,SYS_4_3_Digitos!$N$5:$N$1682)</f>
        <v>0</v>
      </c>
    </row>
    <row r="1743" spans="21:23" hidden="1">
      <c r="U1743" s="722"/>
      <c r="V1743" s="661">
        <v>4727</v>
      </c>
      <c r="W1743" s="662">
        <f>+SUMIF(SYS_4_3_Digitos!$M$5:$M$1682,BALANCE!V1743,SYS_4_3_Digitos!$N$5:$N$1682)</f>
        <v>0</v>
      </c>
    </row>
    <row r="1744" spans="21:23" hidden="1">
      <c r="U1744" s="722"/>
      <c r="V1744" s="661">
        <v>4728</v>
      </c>
      <c r="W1744" s="662">
        <f>+SUMIF(SYS_4_3_Digitos!$M$5:$M$1682,BALANCE!V1744,SYS_4_3_Digitos!$N$5:$N$1682)</f>
        <v>0</v>
      </c>
    </row>
    <row r="1745" spans="21:23" hidden="1">
      <c r="U1745" s="722">
        <v>5580</v>
      </c>
      <c r="V1745" s="661">
        <v>4729</v>
      </c>
      <c r="W1745" s="662">
        <f>+SUMIF(SYS_4_3_Digitos!$M$5:$M$1682,BALANCE!V1745,SYS_4_3_Digitos!$N$5:$N$1682)</f>
        <v>0</v>
      </c>
    </row>
    <row r="1746" spans="21:23" hidden="1">
      <c r="U1746" s="722"/>
      <c r="V1746" s="661">
        <v>4730</v>
      </c>
      <c r="W1746" s="662">
        <f ca="1">+SUMIF(SYS_4_3_Digitos!$M$5:$M$1682,BALANCE!V1746,SYS_4_3_Digitos!$N$5:$N$1682)</f>
        <v>0</v>
      </c>
    </row>
    <row r="1747" spans="21:23" hidden="1">
      <c r="U1747" s="699"/>
      <c r="V1747" s="661">
        <v>4731</v>
      </c>
      <c r="W1747" s="662">
        <f>+SUMIF(SYS_4_3_Digitos!$M$5:$M$1682,BALANCE!V1747,SYS_4_3_Digitos!$N$5:$N$1682)</f>
        <v>0</v>
      </c>
    </row>
    <row r="1748" spans="21:23" hidden="1">
      <c r="U1748" s="722" t="s">
        <v>134</v>
      </c>
      <c r="V1748" s="661">
        <v>4732</v>
      </c>
      <c r="W1748" s="662">
        <f>+SUMIF(SYS_4_3_Digitos!$M$5:$M$1682,BALANCE!V1748,SYS_4_3_Digitos!$N$5:$N$1682)</f>
        <v>0</v>
      </c>
    </row>
    <row r="1749" spans="21:23" hidden="1">
      <c r="U1749" s="722"/>
      <c r="V1749" s="661">
        <v>4733</v>
      </c>
      <c r="W1749" s="662">
        <f>+SUMIF(SYS_4_3_Digitos!$M$5:$M$1682,BALANCE!V1749,SYS_4_3_Digitos!$N$5:$N$1682)</f>
        <v>0</v>
      </c>
    </row>
    <row r="1750" spans="21:23" hidden="1">
      <c r="U1750" s="722"/>
      <c r="V1750" s="661">
        <v>4734</v>
      </c>
      <c r="W1750" s="662">
        <f>+SUMIF(SYS_4_3_Digitos!$M$5:$M$1682,BALANCE!V1750,SYS_4_3_Digitos!$N$5:$N$1682)</f>
        <v>0</v>
      </c>
    </row>
    <row r="1751" spans="21:23" hidden="1">
      <c r="U1751" s="722"/>
      <c r="V1751" s="661">
        <v>4735</v>
      </c>
      <c r="W1751" s="662">
        <f>+SUMIF(SYS_4_3_Digitos!$M$5:$M$1682,BALANCE!V1751,SYS_4_3_Digitos!$N$5:$N$1682)</f>
        <v>0</v>
      </c>
    </row>
    <row r="1752" spans="21:23" hidden="1">
      <c r="U1752" s="722"/>
      <c r="V1752" s="661">
        <v>4736</v>
      </c>
      <c r="W1752" s="662">
        <f>+SUMIF(SYS_4_3_Digitos!$M$5:$M$1682,BALANCE!V1752,SYS_4_3_Digitos!$N$5:$N$1682)</f>
        <v>0</v>
      </c>
    </row>
    <row r="1753" spans="21:23" hidden="1">
      <c r="U1753" s="722"/>
      <c r="V1753" s="661">
        <v>4737</v>
      </c>
      <c r="W1753" s="662">
        <f>+SUMIF(SYS_4_3_Digitos!$M$5:$M$1682,BALANCE!V1753,SYS_4_3_Digitos!$N$5:$N$1682)</f>
        <v>0</v>
      </c>
    </row>
    <row r="1754" spans="21:23" hidden="1">
      <c r="U1754" s="722"/>
      <c r="V1754" s="661">
        <v>4738</v>
      </c>
      <c r="W1754" s="662">
        <f>+SUMIF(SYS_4_3_Digitos!$M$5:$M$1682,BALANCE!V1754,SYS_4_3_Digitos!$N$5:$N$1682)</f>
        <v>0</v>
      </c>
    </row>
    <row r="1755" spans="21:23" hidden="1">
      <c r="U1755" s="722"/>
      <c r="V1755" s="661">
        <v>4739</v>
      </c>
      <c r="W1755" s="662">
        <f>+SUMIF(SYS_4_3_Digitos!$M$5:$M$1682,BALANCE!V1755,SYS_4_3_Digitos!$N$5:$N$1682)</f>
        <v>0</v>
      </c>
    </row>
    <row r="1756" spans="21:23" hidden="1">
      <c r="U1756" s="722"/>
      <c r="V1756" s="653" t="s">
        <v>44</v>
      </c>
      <c r="W1756" s="654">
        <f ca="1">SUM(W1757)</f>
        <v>0</v>
      </c>
    </row>
    <row r="1757" spans="21:23" hidden="1">
      <c r="U1757" s="722"/>
      <c r="V1757" s="661">
        <v>5580</v>
      </c>
      <c r="W1757" s="662">
        <f ca="1">+SUMIF(SYS_4_3_Digitos!$M$5:$M$1682,BALANCE!V1757,SYS_4_3_Digitos!$N$5:$N$1682)</f>
        <v>0</v>
      </c>
    </row>
    <row r="1758" spans="21:23" hidden="1">
      <c r="U1758" s="722"/>
      <c r="V1758" s="664" t="s">
        <v>45</v>
      </c>
    </row>
    <row r="1759" spans="21:23" hidden="1">
      <c r="U1759" s="722"/>
      <c r="V1759" s="653" t="s">
        <v>20</v>
      </c>
      <c r="W1759" s="654">
        <f ca="1">SUM(W1760:W1773)</f>
        <v>0</v>
      </c>
    </row>
    <row r="1760" spans="21:23" hidden="1">
      <c r="U1760" s="722"/>
      <c r="V1760" s="661">
        <v>5303</v>
      </c>
      <c r="W1760" s="662">
        <f ca="1">+SUMIF(SYS_4_3_Digitos!$M$5:$M$1682,BALANCE!V1760,SYS_4_3_Digitos!$N$5:$N$1682)</f>
        <v>0</v>
      </c>
    </row>
    <row r="1761" spans="21:23" hidden="1">
      <c r="U1761" s="722"/>
      <c r="V1761" s="661">
        <v>5304</v>
      </c>
      <c r="W1761" s="662">
        <f ca="1">+SUMIF(SYS_4_3_Digitos!$M$5:$M$1682,BALANCE!V1761,SYS_4_3_Digitos!$N$5:$N$1682)</f>
        <v>0</v>
      </c>
    </row>
    <row r="1762" spans="21:23" hidden="1">
      <c r="U1762" s="722"/>
      <c r="V1762" s="661">
        <v>5393</v>
      </c>
      <c r="W1762" s="662">
        <f>+SUMIF(SYS_4_3_Digitos!$M$5:$M$1682,BALANCE!V1762,SYS_4_3_Digitos!$N$5:$N$1682)</f>
        <v>0</v>
      </c>
    </row>
    <row r="1763" spans="21:23" hidden="1">
      <c r="U1763" s="722" t="s">
        <v>135</v>
      </c>
      <c r="V1763" s="661">
        <v>5394</v>
      </c>
      <c r="W1763" s="662">
        <f>+SUMIF(SYS_4_3_Digitos!$M$5:$M$1682,BALANCE!V1763,SYS_4_3_Digitos!$N$5:$N$1682)</f>
        <v>0</v>
      </c>
    </row>
    <row r="1764" spans="21:23" hidden="1">
      <c r="U1764" s="722"/>
      <c r="V1764" s="661">
        <v>5930</v>
      </c>
      <c r="W1764" s="662">
        <f>+SUMIF(SYS_4_3_Digitos!$M$5:$M$1682,BALANCE!V1764,SYS_4_3_Digitos!$N$5:$N$1682)</f>
        <v>0</v>
      </c>
    </row>
    <row r="1765" spans="21:23" hidden="1">
      <c r="U1765" s="722"/>
      <c r="V1765" s="661">
        <v>5931</v>
      </c>
      <c r="W1765" s="662">
        <f>+SUMIF(SYS_4_3_Digitos!$M$5:$M$1682,BALANCE!V1765,SYS_4_3_Digitos!$N$5:$N$1682)</f>
        <v>0</v>
      </c>
    </row>
    <row r="1766" spans="21:23" hidden="1">
      <c r="U1766" s="722"/>
      <c r="V1766" s="661">
        <v>5932</v>
      </c>
      <c r="W1766" s="662">
        <f>+SUMIF(SYS_4_3_Digitos!$M$5:$M$1682,BALANCE!V1766,SYS_4_3_Digitos!$N$5:$N$1682)</f>
        <v>0</v>
      </c>
    </row>
    <row r="1767" spans="21:23" hidden="1">
      <c r="U1767" s="722"/>
      <c r="V1767" s="661">
        <v>5933</v>
      </c>
      <c r="W1767" s="662">
        <f ca="1">+SUMIF(SYS_4_3_Digitos!$M$5:$M$1682,BALANCE!V1767,SYS_4_3_Digitos!$N$5:$N$1682)</f>
        <v>0</v>
      </c>
    </row>
    <row r="1768" spans="21:23" hidden="1">
      <c r="U1768" s="722"/>
      <c r="V1768" s="661">
        <v>5934</v>
      </c>
      <c r="W1768" s="662">
        <f ca="1">+SUMIF(SYS_4_3_Digitos!$M$5:$M$1682,BALANCE!V1768,SYS_4_3_Digitos!$N$5:$N$1682)</f>
        <v>0</v>
      </c>
    </row>
    <row r="1769" spans="21:23" hidden="1">
      <c r="U1769" s="722"/>
      <c r="V1769" s="661">
        <v>5935</v>
      </c>
      <c r="W1769" s="662">
        <f>+SUMIF(SYS_4_3_Digitos!$M$5:$M$1682,BALANCE!V1769,SYS_4_3_Digitos!$N$5:$N$1682)</f>
        <v>0</v>
      </c>
    </row>
    <row r="1770" spans="21:23" hidden="1">
      <c r="U1770" s="722" t="s">
        <v>136</v>
      </c>
      <c r="V1770" s="661">
        <v>5936</v>
      </c>
      <c r="W1770" s="662">
        <f>+SUMIF(SYS_4_3_Digitos!$M$5:$M$1682,BALANCE!V1770,SYS_4_3_Digitos!$N$5:$N$1682)</f>
        <v>0</v>
      </c>
    </row>
    <row r="1771" spans="21:23" hidden="1">
      <c r="U1771" s="722"/>
      <c r="V1771" s="661">
        <v>5937</v>
      </c>
      <c r="W1771" s="662">
        <f>+SUMIF(SYS_4_3_Digitos!$M$5:$M$1682,BALANCE!V1771,SYS_4_3_Digitos!$N$5:$N$1682)</f>
        <v>0</v>
      </c>
    </row>
    <row r="1772" spans="21:23" hidden="1">
      <c r="U1772" s="722"/>
      <c r="V1772" s="661">
        <v>5938</v>
      </c>
      <c r="W1772" s="662">
        <f>+SUMIF(SYS_4_3_Digitos!$M$5:$M$1682,BALANCE!V1772,SYS_4_3_Digitos!$N$5:$N$1682)</f>
        <v>0</v>
      </c>
    </row>
    <row r="1773" spans="21:23" hidden="1">
      <c r="U1773" s="722"/>
      <c r="V1773" s="661">
        <v>5939</v>
      </c>
      <c r="W1773" s="662">
        <f>+SUMIF(SYS_4_3_Digitos!$M$5:$M$1682,BALANCE!V1773,SYS_4_3_Digitos!$N$5:$N$1682)</f>
        <v>0</v>
      </c>
    </row>
    <row r="1774" spans="21:23" hidden="1">
      <c r="U1774" s="722"/>
      <c r="V1774" s="653" t="s">
        <v>21</v>
      </c>
      <c r="W1774" s="654">
        <f ca="1">SUM(W1775:W1780)</f>
        <v>0</v>
      </c>
    </row>
    <row r="1775" spans="21:23" hidden="1">
      <c r="U1775" s="722"/>
      <c r="V1775" s="661">
        <v>5323</v>
      </c>
      <c r="W1775" s="662">
        <f ca="1">+SUMIF(SYS_4_3_Digitos!$M$5:$M$1682,BALANCE!V1775,SYS_4_3_Digitos!$N$5:$N$1682)</f>
        <v>0</v>
      </c>
    </row>
    <row r="1776" spans="21:23" hidden="1">
      <c r="U1776" s="722"/>
      <c r="V1776" s="661">
        <v>5324</v>
      </c>
      <c r="W1776" s="662">
        <f ca="1">+SUMIF(SYS_4_3_Digitos!$M$5:$M$1682,BALANCE!V1776,SYS_4_3_Digitos!$N$5:$N$1682)</f>
        <v>0</v>
      </c>
    </row>
    <row r="1777" spans="21:23" hidden="1">
      <c r="U1777" s="722"/>
      <c r="V1777" s="661">
        <v>5343</v>
      </c>
      <c r="W1777" s="662">
        <f>+SUMIF(SYS_4_3_Digitos!$M$5:$M$1682,BALANCE!V1777,SYS_4_3_Digitos!$N$5:$N$1682)</f>
        <v>0</v>
      </c>
    </row>
    <row r="1778" spans="21:23" hidden="1">
      <c r="U1778" s="722"/>
      <c r="V1778" s="661">
        <v>5344</v>
      </c>
      <c r="W1778" s="662">
        <f>+SUMIF(SYS_4_3_Digitos!$M$5:$M$1682,BALANCE!V1778,SYS_4_3_Digitos!$N$5:$N$1682)</f>
        <v>0</v>
      </c>
    </row>
    <row r="1779" spans="21:23" hidden="1">
      <c r="U1779" s="722" t="s">
        <v>274</v>
      </c>
      <c r="V1779" s="661">
        <v>5953</v>
      </c>
      <c r="W1779" s="662">
        <f ca="1">+SUMIF(SYS_4_3_Digitos!$M$5:$M$1682,BALANCE!V1779,SYS_4_3_Digitos!$N$5:$N$1682)</f>
        <v>0</v>
      </c>
    </row>
    <row r="1780" spans="21:23" hidden="1">
      <c r="V1780" s="661">
        <v>5954</v>
      </c>
      <c r="W1780" s="662">
        <f ca="1">+SUMIF(SYS_4_3_Digitos!$M$5:$M$1682,BALANCE!V1780,SYS_4_3_Digitos!$N$5:$N$1682)</f>
        <v>0</v>
      </c>
    </row>
    <row r="1781" spans="21:23" hidden="1">
      <c r="V1781" s="653" t="s">
        <v>22</v>
      </c>
      <c r="W1781" s="654">
        <f>SUM(W1782:W1787)</f>
        <v>0</v>
      </c>
    </row>
    <row r="1782" spans="21:23" hidden="1">
      <c r="V1782" s="661">
        <v>5313</v>
      </c>
      <c r="W1782" s="662">
        <f>+SUMIF(SYS_4_3_Digitos!$M$5:$M$1682,BALANCE!V1782,SYS_4_3_Digitos!$N$5:$N$1682)</f>
        <v>0</v>
      </c>
    </row>
    <row r="1783" spans="21:23" hidden="1">
      <c r="V1783" s="661">
        <v>5314</v>
      </c>
      <c r="W1783" s="662">
        <f>+SUMIF(SYS_4_3_Digitos!$M$5:$M$1682,BALANCE!V1783,SYS_4_3_Digitos!$N$5:$N$1682)</f>
        <v>0</v>
      </c>
    </row>
    <row r="1784" spans="21:23" hidden="1">
      <c r="V1784" s="661">
        <v>5333</v>
      </c>
      <c r="W1784" s="662">
        <f>+SUMIF(SYS_4_3_Digitos!$M$5:$M$1682,BALANCE!V1784,SYS_4_3_Digitos!$N$5:$N$1682)</f>
        <v>0</v>
      </c>
    </row>
    <row r="1785" spans="21:23" hidden="1">
      <c r="V1785" s="661">
        <v>5334</v>
      </c>
      <c r="W1785" s="662">
        <f>+SUMIF(SYS_4_3_Digitos!$M$5:$M$1682,BALANCE!V1785,SYS_4_3_Digitos!$N$5:$N$1682)</f>
        <v>0</v>
      </c>
    </row>
    <row r="1786" spans="21:23" hidden="1">
      <c r="V1786" s="661">
        <v>5943</v>
      </c>
      <c r="W1786" s="662">
        <f>+SUMIF(SYS_4_3_Digitos!$M$5:$M$1682,BALANCE!V1786,SYS_4_3_Digitos!$N$5:$N$1682)</f>
        <v>0</v>
      </c>
    </row>
    <row r="1787" spans="21:23" hidden="1">
      <c r="V1787" s="661">
        <v>5944</v>
      </c>
      <c r="W1787" s="662">
        <f>+SUMIF(SYS_4_3_Digitos!$M$5:$M$1682,BALANCE!V1787,SYS_4_3_Digitos!$N$5:$N$1682)</f>
        <v>0</v>
      </c>
    </row>
    <row r="1788" spans="21:23" hidden="1">
      <c r="V1788" s="653" t="s">
        <v>23</v>
      </c>
      <c r="W1788" s="654"/>
    </row>
    <row r="1789" spans="21:23" hidden="1">
      <c r="V1789" s="706"/>
    </row>
    <row r="1790" spans="21:23" hidden="1">
      <c r="V1790" s="653" t="s">
        <v>24</v>
      </c>
      <c r="W1790" s="654">
        <f ca="1">SUM(W1791:W1809)</f>
        <v>0</v>
      </c>
    </row>
    <row r="1791" spans="21:23" hidden="1">
      <c r="V1791" s="661">
        <v>5353</v>
      </c>
      <c r="W1791" s="662">
        <f>+SUMIF(SYS_4_3_Digitos!$M$5:$M$1682,BALANCE!V1791,SYS_4_3_Digitos!$N$5:$N$1682)</f>
        <v>0</v>
      </c>
    </row>
    <row r="1792" spans="21:23" hidden="1">
      <c r="V1792" s="661">
        <v>5354</v>
      </c>
      <c r="W1792" s="662">
        <f>+SUMIF(SYS_4_3_Digitos!$M$5:$M$1682,BALANCE!V1792,SYS_4_3_Digitos!$N$5:$N$1682)</f>
        <v>0</v>
      </c>
    </row>
    <row r="1793" spans="21:23" hidden="1">
      <c r="V1793" s="723">
        <v>5520</v>
      </c>
      <c r="W1793" s="662">
        <f>IF(+SUMIF(SYS_4_3_Digitos!$M$5:$M$1682,BALANCE!V1793,SYS_4_3_Digitos!$N$5:$N$1682)&gt;0,+SUMIF(SYS_4_3_Digitos!$M$5:$M$1682,BALANCE!V1793,SYS_4_3_Digitos!$N$5:$N$1682),0)</f>
        <v>0</v>
      </c>
    </row>
    <row r="1794" spans="21:23" hidden="1">
      <c r="V1794" s="723">
        <v>5521</v>
      </c>
      <c r="W1794" s="662">
        <f>IF(+SUMIF(SYS_4_3_Digitos!$M$5:$M$1682,BALANCE!V1794,SYS_4_3_Digitos!$N$5:$N$1682)&gt;0,+SUMIF(SYS_4_3_Digitos!$M$5:$M$1682,BALANCE!V1794,SYS_4_3_Digitos!$N$5:$N$1682),0)</f>
        <v>0</v>
      </c>
    </row>
    <row r="1795" spans="21:23" hidden="1">
      <c r="V1795" s="723">
        <v>5522</v>
      </c>
      <c r="W1795" s="662">
        <f>IF(+SUMIF(SYS_4_3_Digitos!$M$5:$M$1682,BALANCE!V1795,SYS_4_3_Digitos!$N$5:$N$1682)&gt;0,+SUMIF(SYS_4_3_Digitos!$M$5:$M$1682,BALANCE!V1795,SYS_4_3_Digitos!$N$5:$N$1682),0)</f>
        <v>0</v>
      </c>
    </row>
    <row r="1796" spans="21:23" hidden="1">
      <c r="V1796" s="723">
        <v>5523</v>
      </c>
      <c r="W1796" s="662">
        <f ca="1">IF(+SUMIF(SYS_4_3_Digitos!$M$5:$M$1682,BALANCE!V1796,SYS_4_3_Digitos!$N$5:$N$1682)&gt;0,+SUMIF(SYS_4_3_Digitos!$M$5:$M$1682,BALANCE!V1796,SYS_4_3_Digitos!$N$5:$N$1682),0)</f>
        <v>0</v>
      </c>
    </row>
    <row r="1797" spans="21:23" hidden="1">
      <c r="V1797" s="723">
        <v>5524</v>
      </c>
      <c r="W1797" s="662">
        <f ca="1">IF(+SUMIF(SYS_4_3_Digitos!$M$5:$M$1682,BALANCE!V1797,SYS_4_3_Digitos!$N$5:$N$1682)&gt;0,+SUMIF(SYS_4_3_Digitos!$M$5:$M$1682,BALANCE!V1797,SYS_4_3_Digitos!$N$5:$N$1682),0)</f>
        <v>0</v>
      </c>
    </row>
    <row r="1798" spans="21:23" hidden="1">
      <c r="V1798" s="723">
        <v>5540</v>
      </c>
      <c r="W1798" s="662">
        <f ca="1">IF(+SUMIF(SYS_4_3_Digitos!$M$5:$M$1682,BALANCE!V1798,SYS_4_3_Digitos!$N$5:$N$1682)&gt;0,+SUMIF(SYS_4_3_Digitos!$M$5:$M$1682,BALANCE!V1798,SYS_4_3_Digitos!$N$5:$N$1682),0)</f>
        <v>0</v>
      </c>
    </row>
    <row r="1799" spans="21:23" hidden="1">
      <c r="V1799" s="723">
        <v>5541</v>
      </c>
      <c r="W1799" s="662">
        <f>IF(+SUMIF(SYS_4_3_Digitos!$M$5:$M$1682,BALANCE!V1799,SYS_4_3_Digitos!$N$5:$N$1682)&gt;0,+SUMIF(SYS_4_3_Digitos!$M$5:$M$1682,BALANCE!V1799,SYS_4_3_Digitos!$N$5:$N$1682),0)</f>
        <v>0</v>
      </c>
    </row>
    <row r="1800" spans="21:23" hidden="1">
      <c r="U1800" s="722" t="s">
        <v>137</v>
      </c>
      <c r="V1800" s="723">
        <v>5542</v>
      </c>
      <c r="W1800" s="662">
        <f>IF(+SUMIF(SYS_4_3_Digitos!$M$5:$M$1682,BALANCE!V1800,SYS_4_3_Digitos!$N$5:$N$1682)&gt;0,+SUMIF(SYS_4_3_Digitos!$M$5:$M$1682,BALANCE!V1800,SYS_4_3_Digitos!$N$5:$N$1682),0)</f>
        <v>0</v>
      </c>
    </row>
    <row r="1801" spans="21:23" hidden="1">
      <c r="U1801" s="722"/>
      <c r="V1801" s="723">
        <v>5543</v>
      </c>
      <c r="W1801" s="662">
        <f>IF(+SUMIF(SYS_4_3_Digitos!$M$5:$M$1682,BALANCE!V1801,SYS_4_3_Digitos!$N$5:$N$1682)&gt;0,+SUMIF(SYS_4_3_Digitos!$M$5:$M$1682,BALANCE!V1801,SYS_4_3_Digitos!$N$5:$N$1682),0)</f>
        <v>0</v>
      </c>
    </row>
    <row r="1802" spans="21:23" hidden="1">
      <c r="U1802" s="722"/>
      <c r="V1802" s="723">
        <v>5544</v>
      </c>
      <c r="W1802" s="662">
        <f>IF(+SUMIF(SYS_4_3_Digitos!$M$5:$M$1682,BALANCE!V1802,SYS_4_3_Digitos!$N$5:$N$1682)&gt;0,+SUMIF(SYS_4_3_Digitos!$M$5:$M$1682,BALANCE!V1802,SYS_4_3_Digitos!$N$5:$N$1682),0)</f>
        <v>0</v>
      </c>
    </row>
    <row r="1803" spans="21:23" hidden="1">
      <c r="U1803" s="722"/>
      <c r="V1803" s="723">
        <v>5545</v>
      </c>
      <c r="W1803" s="662">
        <f>IF(+SUMIF(SYS_4_3_Digitos!$M$5:$M$1682,BALANCE!V1803,SYS_4_3_Digitos!$N$5:$N$1682)&gt;0,+SUMIF(SYS_4_3_Digitos!$M$5:$M$1682,BALANCE!V1803,SYS_4_3_Digitos!$N$5:$N$1682),0)</f>
        <v>0</v>
      </c>
    </row>
    <row r="1804" spans="21:23" hidden="1">
      <c r="U1804" s="722"/>
      <c r="V1804" s="723">
        <v>5546</v>
      </c>
      <c r="W1804" s="662">
        <f>IF(+SUMIF(SYS_4_3_Digitos!$M$5:$M$1682,BALANCE!V1804,SYS_4_3_Digitos!$N$5:$N$1682)&gt;0,+SUMIF(SYS_4_3_Digitos!$M$5:$M$1682,BALANCE!V1804,SYS_4_3_Digitos!$N$5:$N$1682),0)</f>
        <v>0</v>
      </c>
    </row>
    <row r="1805" spans="21:23" hidden="1">
      <c r="U1805" s="722"/>
      <c r="V1805" s="723">
        <v>5547</v>
      </c>
      <c r="W1805" s="662">
        <f>IF(+SUMIF(SYS_4_3_Digitos!$M$5:$M$1682,BALANCE!V1805,SYS_4_3_Digitos!$N$5:$N$1682)&gt;0,+SUMIF(SYS_4_3_Digitos!$M$5:$M$1682,BALANCE!V1805,SYS_4_3_Digitos!$N$5:$N$1682),0)</f>
        <v>0</v>
      </c>
    </row>
    <row r="1806" spans="21:23" hidden="1">
      <c r="U1806" s="722"/>
      <c r="V1806" s="723">
        <v>5548</v>
      </c>
      <c r="W1806" s="662">
        <f>IF(+SUMIF(SYS_4_3_Digitos!$M$5:$M$1682,BALANCE!V1806,SYS_4_3_Digitos!$N$5:$N$1682)&gt;0,+SUMIF(SYS_4_3_Digitos!$M$5:$M$1682,BALANCE!V1806,SYS_4_3_Digitos!$N$5:$N$1682),0)</f>
        <v>0</v>
      </c>
    </row>
    <row r="1807" spans="21:23" hidden="1">
      <c r="U1807" s="722"/>
      <c r="V1807" s="723">
        <v>5549</v>
      </c>
      <c r="W1807" s="662">
        <f>IF(+SUMIF(SYS_4_3_Digitos!$M$5:$M$1682,BALANCE!V1807,SYS_4_3_Digitos!$N$5:$N$1682)&gt;0,+SUMIF(SYS_4_3_Digitos!$M$5:$M$1682,BALANCE!V1807,SYS_4_3_Digitos!$N$5:$N$1682),0)</f>
        <v>0</v>
      </c>
    </row>
    <row r="1808" spans="21:23" hidden="1">
      <c r="U1808" s="722"/>
      <c r="V1808" s="723">
        <v>5108</v>
      </c>
      <c r="W1808" s="662">
        <f>IF(+SUMIF(SYS_4_3_Digitos!$M$5:$M$1682,BALANCE!V1808,SYS_4_3_Digitos!$N$5:$N$1682)&gt;0,+SUMIF(SYS_4_3_Digitos!$M$5:$M$1682,BALANCE!V1808,SYS_4_3_Digitos!$N$5:$N$1682),0)</f>
        <v>0</v>
      </c>
    </row>
    <row r="1809" spans="21:23" hidden="1">
      <c r="U1809" s="722"/>
      <c r="V1809" s="723">
        <v>5109</v>
      </c>
      <c r="W1809" s="662">
        <f>IF(+SUMIF(SYS_4_3_Digitos!$M$5:$M$1682,BALANCE!V1809,SYS_4_3_Digitos!$N$5:$N$1682)&gt;0,+SUMIF(SYS_4_3_Digitos!$M$5:$M$1682,BALANCE!V1809,SYS_4_3_Digitos!$N$5:$N$1682),0)</f>
        <v>0</v>
      </c>
    </row>
    <row r="1810" spans="21:23" hidden="1">
      <c r="U1810" s="722"/>
      <c r="V1810" s="664" t="s">
        <v>46</v>
      </c>
      <c r="W1810" s="722"/>
    </row>
    <row r="1811" spans="21:23" hidden="1">
      <c r="U1811" s="722"/>
      <c r="V1811" s="653" t="s">
        <v>47</v>
      </c>
      <c r="W1811" s="654">
        <f ca="1">SUM(W1812:W1833)</f>
        <v>0</v>
      </c>
    </row>
    <row r="1812" spans="21:23" hidden="1">
      <c r="U1812" s="722"/>
      <c r="V1812" s="661">
        <v>5305</v>
      </c>
      <c r="W1812" s="662">
        <f ca="1">+SUMIF(SYS_4_3_Digitos!$M$5:$M$1682,BALANCE!V1812,SYS_4_3_Digitos!$N$5:$N$1682)</f>
        <v>0</v>
      </c>
    </row>
    <row r="1813" spans="21:23" hidden="1">
      <c r="U1813" s="722"/>
      <c r="V1813" s="661">
        <v>5400</v>
      </c>
      <c r="W1813" s="662">
        <f ca="1">+SUMIF(SYS_4_3_Digitos!$M$5:$M$1682,BALANCE!V1813,SYS_4_3_Digitos!$N$5:$N$1682)</f>
        <v>0</v>
      </c>
    </row>
    <row r="1814" spans="21:23" hidden="1">
      <c r="U1814" s="722"/>
      <c r="V1814" s="661">
        <v>5401</v>
      </c>
      <c r="W1814" s="662">
        <f>+SUMIF(SYS_4_3_Digitos!$M$5:$M$1682,BALANCE!V1814,SYS_4_3_Digitos!$N$5:$N$1682)</f>
        <v>0</v>
      </c>
    </row>
    <row r="1815" spans="21:23" hidden="1">
      <c r="U1815" s="722"/>
      <c r="V1815" s="661">
        <v>5402</v>
      </c>
      <c r="W1815" s="662">
        <f>+SUMIF(SYS_4_3_Digitos!$M$5:$M$1682,BALANCE!V1815,SYS_4_3_Digitos!$N$5:$N$1682)</f>
        <v>0</v>
      </c>
    </row>
    <row r="1816" spans="21:23" hidden="1">
      <c r="U1816" s="722"/>
      <c r="V1816" s="661">
        <v>5403</v>
      </c>
      <c r="W1816" s="662">
        <f>+SUMIF(SYS_4_3_Digitos!$M$5:$M$1682,BALANCE!V1816,SYS_4_3_Digitos!$N$5:$N$1682)</f>
        <v>0</v>
      </c>
    </row>
    <row r="1817" spans="21:23" hidden="1">
      <c r="U1817" s="722"/>
      <c r="V1817" s="661">
        <v>5404</v>
      </c>
      <c r="W1817" s="662">
        <f>+SUMIF(SYS_4_3_Digitos!$M$5:$M$1682,BALANCE!V1817,SYS_4_3_Digitos!$N$5:$N$1682)</f>
        <v>0</v>
      </c>
    </row>
    <row r="1818" spans="21:23" hidden="1">
      <c r="U1818" s="722"/>
      <c r="V1818" s="661">
        <v>5405</v>
      </c>
      <c r="W1818" s="662">
        <f>+SUMIF(SYS_4_3_Digitos!$M$5:$M$1682,BALANCE!V1818,SYS_4_3_Digitos!$N$5:$N$1682)</f>
        <v>0</v>
      </c>
    </row>
    <row r="1819" spans="21:23" hidden="1">
      <c r="U1819" s="722"/>
      <c r="V1819" s="661">
        <v>5406</v>
      </c>
      <c r="W1819" s="662">
        <f>+SUMIF(SYS_4_3_Digitos!$M$5:$M$1682,BALANCE!V1819,SYS_4_3_Digitos!$N$5:$N$1682)</f>
        <v>0</v>
      </c>
    </row>
    <row r="1820" spans="21:23" hidden="1">
      <c r="U1820" s="722"/>
      <c r="V1820" s="661">
        <v>5407</v>
      </c>
      <c r="W1820" s="662">
        <f>+SUMIF(SYS_4_3_Digitos!$M$5:$M$1682,BALANCE!V1820,SYS_4_3_Digitos!$N$5:$N$1682)</f>
        <v>0</v>
      </c>
    </row>
    <row r="1821" spans="21:23" hidden="1">
      <c r="U1821" s="722"/>
      <c r="V1821" s="661">
        <v>5408</v>
      </c>
      <c r="W1821" s="662">
        <f>+SUMIF(SYS_4_3_Digitos!$M$5:$M$1682,BALANCE!V1821,SYS_4_3_Digitos!$N$5:$N$1682)</f>
        <v>0</v>
      </c>
    </row>
    <row r="1822" spans="21:23" hidden="1">
      <c r="U1822" s="722"/>
      <c r="V1822" s="661">
        <v>5409</v>
      </c>
      <c r="W1822" s="662">
        <f>+SUMIF(SYS_4_3_Digitos!$M$5:$M$1682,BALANCE!V1822,SYS_4_3_Digitos!$N$5:$N$1682)</f>
        <v>0</v>
      </c>
    </row>
    <row r="1823" spans="21:23" hidden="1">
      <c r="U1823" s="722" t="s">
        <v>138</v>
      </c>
      <c r="V1823" s="661">
        <v>5395</v>
      </c>
      <c r="W1823" s="662">
        <f>+SUMIF(SYS_4_3_Digitos!$M$5:$M$1682,BALANCE!V1823,SYS_4_3_Digitos!$N$5:$N$1682)</f>
        <v>0</v>
      </c>
    </row>
    <row r="1824" spans="21:23" hidden="1">
      <c r="U1824" s="722"/>
      <c r="V1824" s="661">
        <v>5490</v>
      </c>
      <c r="W1824" s="662">
        <f ca="1">+SUMIF(SYS_4_3_Digitos!$M$5:$M$1682,BALANCE!V1824,SYS_4_3_Digitos!$N$5:$N$1682)</f>
        <v>0</v>
      </c>
    </row>
    <row r="1825" spans="21:23" hidden="1">
      <c r="U1825" s="722"/>
      <c r="V1825" s="661">
        <v>5491</v>
      </c>
      <c r="W1825" s="662">
        <f>+SUMIF(SYS_4_3_Digitos!$M$5:$M$1682,BALANCE!V1825,SYS_4_3_Digitos!$N$5:$N$1682)</f>
        <v>0</v>
      </c>
    </row>
    <row r="1826" spans="21:23" hidden="1">
      <c r="U1826" s="722"/>
      <c r="V1826" s="661">
        <v>5492</v>
      </c>
      <c r="W1826" s="662">
        <f>+SUMIF(SYS_4_3_Digitos!$M$5:$M$1682,BALANCE!V1826,SYS_4_3_Digitos!$N$5:$N$1682)</f>
        <v>0</v>
      </c>
    </row>
    <row r="1827" spans="21:23" hidden="1">
      <c r="U1827" s="722"/>
      <c r="V1827" s="661">
        <v>5493</v>
      </c>
      <c r="W1827" s="662">
        <f>+SUMIF(SYS_4_3_Digitos!$M$5:$M$1682,BALANCE!V1827,SYS_4_3_Digitos!$N$5:$N$1682)</f>
        <v>0</v>
      </c>
    </row>
    <row r="1828" spans="21:23" hidden="1">
      <c r="U1828" s="722"/>
      <c r="V1828" s="661">
        <v>5494</v>
      </c>
      <c r="W1828" s="662">
        <f>+SUMIF(SYS_4_3_Digitos!$M$5:$M$1682,BALANCE!V1828,SYS_4_3_Digitos!$N$5:$N$1682)</f>
        <v>0</v>
      </c>
    </row>
    <row r="1829" spans="21:23" hidden="1">
      <c r="U1829" s="722"/>
      <c r="V1829" s="661">
        <v>5495</v>
      </c>
      <c r="W1829" s="662">
        <f>+SUMIF(SYS_4_3_Digitos!$M$5:$M$1682,BALANCE!V1829,SYS_4_3_Digitos!$N$5:$N$1682)</f>
        <v>0</v>
      </c>
    </row>
    <row r="1830" spans="21:23" hidden="1">
      <c r="U1830" s="722"/>
      <c r="V1830" s="661">
        <v>5496</v>
      </c>
      <c r="W1830" s="662">
        <f>+SUMIF(SYS_4_3_Digitos!$M$5:$M$1682,BALANCE!V1830,SYS_4_3_Digitos!$N$5:$N$1682)</f>
        <v>0</v>
      </c>
    </row>
    <row r="1831" spans="21:23" hidden="1">
      <c r="U1831" s="722"/>
      <c r="V1831" s="661">
        <v>5497</v>
      </c>
      <c r="W1831" s="662">
        <f>+SUMIF(SYS_4_3_Digitos!$M$5:$M$1682,BALANCE!V1831,SYS_4_3_Digitos!$N$5:$N$1682)</f>
        <v>0</v>
      </c>
    </row>
    <row r="1832" spans="21:23" hidden="1">
      <c r="U1832" s="722"/>
      <c r="V1832" s="661">
        <v>5498</v>
      </c>
      <c r="W1832" s="662">
        <f>+SUMIF(SYS_4_3_Digitos!$M$5:$M$1682,BALANCE!V1832,SYS_4_3_Digitos!$N$5:$N$1682)</f>
        <v>0</v>
      </c>
    </row>
    <row r="1833" spans="21:23" hidden="1">
      <c r="U1833" s="722"/>
      <c r="V1833" s="661">
        <v>5499</v>
      </c>
      <c r="W1833" s="662">
        <f>+SUMIF(SYS_4_3_Digitos!$M$5:$M$1682,BALANCE!V1833,SYS_4_3_Digitos!$N$5:$N$1682)</f>
        <v>0</v>
      </c>
    </row>
    <row r="1834" spans="21:23" hidden="1">
      <c r="U1834" s="722"/>
      <c r="V1834" s="653" t="s">
        <v>21</v>
      </c>
      <c r="W1834" s="654">
        <f ca="1">SUM(W1835:W1877)</f>
        <v>0</v>
      </c>
    </row>
    <row r="1835" spans="21:23" hidden="1">
      <c r="U1835" s="722"/>
      <c r="V1835" s="661">
        <v>5325</v>
      </c>
      <c r="W1835" s="662">
        <f ca="1">+SUMIF(SYS_4_3_Digitos!$M$5:$M$1682,BALANCE!V1835,SYS_4_3_Digitos!$N$5:$N$1682)</f>
        <v>0</v>
      </c>
    </row>
    <row r="1836" spans="21:23" hidden="1">
      <c r="U1836" s="722"/>
      <c r="V1836" s="661">
        <v>5345</v>
      </c>
      <c r="W1836" s="662">
        <f ca="1">+SUMIF(SYS_4_3_Digitos!$M$5:$M$1682,BALANCE!V1836,SYS_4_3_Digitos!$N$5:$N$1682)</f>
        <v>0</v>
      </c>
    </row>
    <row r="1837" spans="21:23" hidden="1">
      <c r="U1837" s="722"/>
      <c r="V1837" s="661">
        <v>5420</v>
      </c>
      <c r="W1837" s="662">
        <f ca="1">+SUMIF(SYS_4_3_Digitos!$M$5:$M$1682,BALANCE!V1837,SYS_4_3_Digitos!$N$5:$N$1682)</f>
        <v>0</v>
      </c>
    </row>
    <row r="1838" spans="21:23" hidden="1">
      <c r="U1838" s="722"/>
      <c r="V1838" s="661">
        <v>5421</v>
      </c>
      <c r="W1838" s="662">
        <f>+SUMIF(SYS_4_3_Digitos!$M$5:$M$1682,BALANCE!V1838,SYS_4_3_Digitos!$N$5:$N$1682)</f>
        <v>0</v>
      </c>
    </row>
    <row r="1839" spans="21:23" hidden="1">
      <c r="U1839" s="722"/>
      <c r="V1839" s="661">
        <v>5422</v>
      </c>
      <c r="W1839" s="662">
        <f>+SUMIF(SYS_4_3_Digitos!$M$5:$M$1682,BALANCE!V1839,SYS_4_3_Digitos!$N$5:$N$1682)</f>
        <v>0</v>
      </c>
    </row>
    <row r="1840" spans="21:23" hidden="1">
      <c r="U1840" s="722"/>
      <c r="V1840" s="661">
        <v>5423</v>
      </c>
      <c r="W1840" s="662">
        <f>+SUMIF(SYS_4_3_Digitos!$M$5:$M$1682,BALANCE!V1840,SYS_4_3_Digitos!$N$5:$N$1682)</f>
        <v>0</v>
      </c>
    </row>
    <row r="1841" spans="21:23" hidden="1">
      <c r="U1841" s="722"/>
      <c r="V1841" s="661">
        <v>5424</v>
      </c>
      <c r="W1841" s="662">
        <f>+SUMIF(SYS_4_3_Digitos!$M$5:$M$1682,BALANCE!V1841,SYS_4_3_Digitos!$N$5:$N$1682)</f>
        <v>0</v>
      </c>
    </row>
    <row r="1842" spans="21:23" hidden="1">
      <c r="U1842" s="722"/>
      <c r="V1842" s="661">
        <v>5425</v>
      </c>
      <c r="W1842" s="662">
        <f>+SUMIF(SYS_4_3_Digitos!$M$5:$M$1682,BALANCE!V1842,SYS_4_3_Digitos!$N$5:$N$1682)</f>
        <v>0</v>
      </c>
    </row>
    <row r="1843" spans="21:23" hidden="1">
      <c r="U1843" s="722"/>
      <c r="V1843" s="661">
        <v>5426</v>
      </c>
      <c r="W1843" s="662">
        <f>+SUMIF(SYS_4_3_Digitos!$M$5:$M$1682,BALANCE!V1843,SYS_4_3_Digitos!$N$5:$N$1682)</f>
        <v>0</v>
      </c>
    </row>
    <row r="1844" spans="21:23" hidden="1">
      <c r="U1844" s="722"/>
      <c r="V1844" s="661">
        <v>5427</v>
      </c>
      <c r="W1844" s="662">
        <f>+SUMIF(SYS_4_3_Digitos!$M$5:$M$1682,BALANCE!V1844,SYS_4_3_Digitos!$N$5:$N$1682)</f>
        <v>0</v>
      </c>
    </row>
    <row r="1845" spans="21:23" hidden="1">
      <c r="U1845" s="722"/>
      <c r="V1845" s="661">
        <v>5428</v>
      </c>
      <c r="W1845" s="662">
        <f>+SUMIF(SYS_4_3_Digitos!$M$5:$M$1682,BALANCE!V1845,SYS_4_3_Digitos!$N$5:$N$1682)</f>
        <v>0</v>
      </c>
    </row>
    <row r="1846" spans="21:23" hidden="1">
      <c r="U1846" s="722"/>
      <c r="V1846" s="661">
        <v>5429</v>
      </c>
      <c r="W1846" s="662">
        <f>+SUMIF(SYS_4_3_Digitos!$M$5:$M$1682,BALANCE!V1846,SYS_4_3_Digitos!$N$5:$N$1682)</f>
        <v>0</v>
      </c>
    </row>
    <row r="1847" spans="21:23" hidden="1">
      <c r="U1847" s="722"/>
      <c r="V1847" s="661">
        <v>5430</v>
      </c>
      <c r="W1847" s="662">
        <f ca="1">+SUMIF(SYS_4_3_Digitos!$M$5:$M$1682,BALANCE!V1847,SYS_4_3_Digitos!$N$5:$N$1682)</f>
        <v>0</v>
      </c>
    </row>
    <row r="1848" spans="21:23" hidden="1">
      <c r="U1848" s="722"/>
      <c r="V1848" s="661">
        <v>5431</v>
      </c>
      <c r="W1848" s="662">
        <f>+SUMIF(SYS_4_3_Digitos!$M$5:$M$1682,BALANCE!V1848,SYS_4_3_Digitos!$N$5:$N$1682)</f>
        <v>0</v>
      </c>
    </row>
    <row r="1849" spans="21:23" hidden="1">
      <c r="U1849" s="722"/>
      <c r="V1849" s="661">
        <v>5432</v>
      </c>
      <c r="W1849" s="662">
        <f>+SUMIF(SYS_4_3_Digitos!$M$5:$M$1682,BALANCE!V1849,SYS_4_3_Digitos!$N$5:$N$1682)</f>
        <v>0</v>
      </c>
    </row>
    <row r="1850" spans="21:23" hidden="1">
      <c r="U1850" s="722"/>
      <c r="V1850" s="661">
        <v>5433</v>
      </c>
      <c r="W1850" s="662">
        <f>+SUMIF(SYS_4_3_Digitos!$M$5:$M$1682,BALANCE!V1850,SYS_4_3_Digitos!$N$5:$N$1682)</f>
        <v>0</v>
      </c>
    </row>
    <row r="1851" spans="21:23" hidden="1">
      <c r="U1851" s="722"/>
      <c r="V1851" s="661">
        <v>5434</v>
      </c>
      <c r="W1851" s="662">
        <f>+SUMIF(SYS_4_3_Digitos!$M$5:$M$1682,BALANCE!V1851,SYS_4_3_Digitos!$N$5:$N$1682)</f>
        <v>0</v>
      </c>
    </row>
    <row r="1852" spans="21:23" hidden="1">
      <c r="U1852" s="722"/>
      <c r="V1852" s="661">
        <v>5435</v>
      </c>
      <c r="W1852" s="662">
        <f>+SUMIF(SYS_4_3_Digitos!$M$5:$M$1682,BALANCE!V1852,SYS_4_3_Digitos!$N$5:$N$1682)</f>
        <v>0</v>
      </c>
    </row>
    <row r="1853" spans="21:23" hidden="1">
      <c r="U1853" s="722"/>
      <c r="V1853" s="661">
        <v>5436</v>
      </c>
      <c r="W1853" s="662">
        <f>+SUMIF(SYS_4_3_Digitos!$M$5:$M$1682,BALANCE!V1853,SYS_4_3_Digitos!$N$5:$N$1682)</f>
        <v>0</v>
      </c>
    </row>
    <row r="1854" spans="21:23" hidden="1">
      <c r="U1854" s="722"/>
      <c r="V1854" s="661">
        <v>5437</v>
      </c>
      <c r="W1854" s="662">
        <f>+SUMIF(SYS_4_3_Digitos!$M$5:$M$1682,BALANCE!V1854,SYS_4_3_Digitos!$N$5:$N$1682)</f>
        <v>0</v>
      </c>
    </row>
    <row r="1855" spans="21:23" hidden="1">
      <c r="U1855" s="722"/>
      <c r="V1855" s="661">
        <v>5438</v>
      </c>
      <c r="W1855" s="662">
        <f>+SUMIF(SYS_4_3_Digitos!$M$5:$M$1682,BALANCE!V1855,SYS_4_3_Digitos!$N$5:$N$1682)</f>
        <v>0</v>
      </c>
    </row>
    <row r="1856" spans="21:23" hidden="1">
      <c r="U1856" s="722"/>
      <c r="V1856" s="661">
        <v>5439</v>
      </c>
      <c r="W1856" s="662">
        <f>+SUMIF(SYS_4_3_Digitos!$M$5:$M$1682,BALANCE!V1856,SYS_4_3_Digitos!$N$5:$N$1682)</f>
        <v>0</v>
      </c>
    </row>
    <row r="1857" spans="21:23" hidden="1">
      <c r="U1857" s="722"/>
      <c r="V1857" s="661">
        <v>5470</v>
      </c>
      <c r="W1857" s="662">
        <f ca="1">+SUMIF(SYS_4_3_Digitos!$M$5:$M$1682,BALANCE!V1857,SYS_4_3_Digitos!$N$5:$N$1682)</f>
        <v>0</v>
      </c>
    </row>
    <row r="1858" spans="21:23" hidden="1">
      <c r="U1858" s="722"/>
      <c r="V1858" s="661">
        <v>5471</v>
      </c>
      <c r="W1858" s="662">
        <f>+SUMIF(SYS_4_3_Digitos!$M$5:$M$1682,BALANCE!V1858,SYS_4_3_Digitos!$N$5:$N$1682)</f>
        <v>0</v>
      </c>
    </row>
    <row r="1859" spans="21:23" hidden="1">
      <c r="U1859" s="722"/>
      <c r="V1859" s="661">
        <v>5472</v>
      </c>
      <c r="W1859" s="662">
        <f>+SUMIF(SYS_4_3_Digitos!$M$5:$M$1682,BALANCE!V1859,SYS_4_3_Digitos!$N$5:$N$1682)</f>
        <v>0</v>
      </c>
    </row>
    <row r="1860" spans="21:23" hidden="1">
      <c r="U1860" s="722"/>
      <c r="V1860" s="661">
        <v>5473</v>
      </c>
      <c r="W1860" s="662">
        <f>+SUMIF(SYS_4_3_Digitos!$M$5:$M$1682,BALANCE!V1860,SYS_4_3_Digitos!$N$5:$N$1682)</f>
        <v>0</v>
      </c>
    </row>
    <row r="1861" spans="21:23" hidden="1">
      <c r="U1861" s="722"/>
      <c r="V1861" s="661">
        <v>5474</v>
      </c>
      <c r="W1861" s="662">
        <f>+SUMIF(SYS_4_3_Digitos!$M$5:$M$1682,BALANCE!V1861,SYS_4_3_Digitos!$N$5:$N$1682)</f>
        <v>0</v>
      </c>
    </row>
    <row r="1862" spans="21:23" hidden="1">
      <c r="U1862" s="722"/>
      <c r="V1862" s="661">
        <v>5475</v>
      </c>
      <c r="W1862" s="662">
        <f>+SUMIF(SYS_4_3_Digitos!$M$5:$M$1682,BALANCE!V1862,SYS_4_3_Digitos!$N$5:$N$1682)</f>
        <v>0</v>
      </c>
    </row>
    <row r="1863" spans="21:23" hidden="1">
      <c r="U1863" s="722"/>
      <c r="V1863" s="661">
        <v>5476</v>
      </c>
      <c r="W1863" s="662">
        <f>+SUMIF(SYS_4_3_Digitos!$M$5:$M$1682,BALANCE!V1863,SYS_4_3_Digitos!$N$5:$N$1682)</f>
        <v>0</v>
      </c>
    </row>
    <row r="1864" spans="21:23" hidden="1">
      <c r="U1864" s="722"/>
      <c r="V1864" s="661">
        <v>5477</v>
      </c>
      <c r="W1864" s="662">
        <f>+SUMIF(SYS_4_3_Digitos!$M$5:$M$1682,BALANCE!V1864,SYS_4_3_Digitos!$N$5:$N$1682)</f>
        <v>0</v>
      </c>
    </row>
    <row r="1865" spans="21:23" hidden="1">
      <c r="U1865" s="722"/>
      <c r="V1865" s="661">
        <v>5478</v>
      </c>
      <c r="W1865" s="662">
        <f>+SUMIF(SYS_4_3_Digitos!$M$5:$M$1682,BALANCE!V1865,SYS_4_3_Digitos!$N$5:$N$1682)</f>
        <v>0</v>
      </c>
    </row>
    <row r="1866" spans="21:23" hidden="1">
      <c r="U1866" s="722"/>
      <c r="V1866" s="661">
        <v>5479</v>
      </c>
      <c r="W1866" s="662">
        <f>+SUMIF(SYS_4_3_Digitos!$M$5:$M$1682,BALANCE!V1866,SYS_4_3_Digitos!$N$5:$N$1682)</f>
        <v>0</v>
      </c>
    </row>
    <row r="1867" spans="21:23" hidden="1">
      <c r="U1867" s="722" t="s">
        <v>139</v>
      </c>
      <c r="V1867" s="661">
        <v>5955</v>
      </c>
      <c r="W1867" s="662">
        <f ca="1">+SUMIF(SYS_4_3_Digitos!$M$5:$M$1682,BALANCE!V1867,SYS_4_3_Digitos!$N$5:$N$1682)</f>
        <v>0</v>
      </c>
    </row>
    <row r="1868" spans="21:23" hidden="1">
      <c r="U1868" s="722"/>
      <c r="V1868" s="661">
        <v>5980</v>
      </c>
      <c r="W1868" s="662">
        <f>+SUMIF(SYS_4_3_Digitos!$M$5:$M$1682,BALANCE!V1868,SYS_4_3_Digitos!$N$5:$N$1682)</f>
        <v>0</v>
      </c>
    </row>
    <row r="1869" spans="21:23" hidden="1">
      <c r="U1869" s="722"/>
      <c r="V1869" s="661">
        <v>5981</v>
      </c>
      <c r="W1869" s="662">
        <f>+SUMIF(SYS_4_3_Digitos!$M$5:$M$1682,BALANCE!V1869,SYS_4_3_Digitos!$N$5:$N$1682)</f>
        <v>0</v>
      </c>
    </row>
    <row r="1870" spans="21:23" hidden="1">
      <c r="U1870" s="722"/>
      <c r="V1870" s="661">
        <v>5982</v>
      </c>
      <c r="W1870" s="662">
        <f>+SUMIF(SYS_4_3_Digitos!$M$5:$M$1682,BALANCE!V1870,SYS_4_3_Digitos!$N$5:$N$1682)</f>
        <v>0</v>
      </c>
    </row>
    <row r="1871" spans="21:23" hidden="1">
      <c r="U1871" s="722"/>
      <c r="V1871" s="661">
        <v>5983</v>
      </c>
      <c r="W1871" s="662">
        <f>+SUMIF(SYS_4_3_Digitos!$M$5:$M$1682,BALANCE!V1871,SYS_4_3_Digitos!$N$5:$N$1682)</f>
        <v>0</v>
      </c>
    </row>
    <row r="1872" spans="21:23" hidden="1">
      <c r="U1872" s="722"/>
      <c r="V1872" s="661">
        <v>5984</v>
      </c>
      <c r="W1872" s="662">
        <f>+SUMIF(SYS_4_3_Digitos!$M$5:$M$1682,BALANCE!V1872,SYS_4_3_Digitos!$N$5:$N$1682)</f>
        <v>0</v>
      </c>
    </row>
    <row r="1873" spans="21:23" hidden="1">
      <c r="U1873" s="722"/>
      <c r="V1873" s="661">
        <v>5985</v>
      </c>
      <c r="W1873" s="662">
        <f>+SUMIF(SYS_4_3_Digitos!$M$5:$M$1682,BALANCE!V1873,SYS_4_3_Digitos!$N$5:$N$1682)</f>
        <v>0</v>
      </c>
    </row>
    <row r="1874" spans="21:23" hidden="1">
      <c r="U1874" s="722"/>
      <c r="V1874" s="661">
        <v>5986</v>
      </c>
      <c r="W1874" s="662">
        <f>+SUMIF(SYS_4_3_Digitos!$M$5:$M$1682,BALANCE!V1874,SYS_4_3_Digitos!$N$5:$N$1682)</f>
        <v>0</v>
      </c>
    </row>
    <row r="1875" spans="21:23" hidden="1">
      <c r="U1875" s="722"/>
      <c r="V1875" s="661">
        <v>5987</v>
      </c>
      <c r="W1875" s="662">
        <f>+SUMIF(SYS_4_3_Digitos!$M$5:$M$1682,BALANCE!V1875,SYS_4_3_Digitos!$N$5:$N$1682)</f>
        <v>0</v>
      </c>
    </row>
    <row r="1876" spans="21:23" hidden="1">
      <c r="U1876" s="722"/>
      <c r="V1876" s="661">
        <v>5988</v>
      </c>
      <c r="W1876" s="662">
        <f>+SUMIF(SYS_4_3_Digitos!$M$5:$M$1682,BALANCE!V1876,SYS_4_3_Digitos!$N$5:$N$1682)</f>
        <v>0</v>
      </c>
    </row>
    <row r="1877" spans="21:23" hidden="1">
      <c r="U1877" s="722"/>
      <c r="V1877" s="661">
        <v>5989</v>
      </c>
      <c r="W1877" s="662">
        <f>+SUMIF(SYS_4_3_Digitos!$M$5:$M$1682,BALANCE!V1877,SYS_4_3_Digitos!$N$5:$N$1682)</f>
        <v>0</v>
      </c>
    </row>
    <row r="1878" spans="21:23" hidden="1">
      <c r="U1878" s="722"/>
      <c r="V1878" s="653" t="s">
        <v>22</v>
      </c>
      <c r="W1878" s="654">
        <f ca="1">SUM(W1879:W1911)</f>
        <v>0</v>
      </c>
    </row>
    <row r="1879" spans="21:23" hidden="1">
      <c r="U1879" s="722"/>
      <c r="V1879" s="661">
        <v>5315</v>
      </c>
      <c r="W1879" s="662">
        <f>+SUMIF(SYS_4_3_Digitos!$M$5:$M$1682,BALANCE!V1879,SYS_4_3_Digitos!$N$5:$N$1682)</f>
        <v>0</v>
      </c>
    </row>
    <row r="1880" spans="21:23" hidden="1">
      <c r="U1880" s="722"/>
      <c r="V1880" s="661">
        <v>5335</v>
      </c>
      <c r="W1880" s="662">
        <f>+SUMIF(SYS_4_3_Digitos!$M$5:$M$1682,BALANCE!V1880,SYS_4_3_Digitos!$N$5:$N$1682)</f>
        <v>0</v>
      </c>
    </row>
    <row r="1881" spans="21:23" hidden="1">
      <c r="U1881" s="722"/>
      <c r="V1881" s="661">
        <v>5410</v>
      </c>
      <c r="W1881" s="662">
        <f ca="1">+SUMIF(SYS_4_3_Digitos!$M$5:$M$1682,BALANCE!V1881,SYS_4_3_Digitos!$N$5:$N$1682)</f>
        <v>0</v>
      </c>
    </row>
    <row r="1882" spans="21:23" hidden="1">
      <c r="U1882" s="722"/>
      <c r="V1882" s="661">
        <v>5411</v>
      </c>
      <c r="W1882" s="662">
        <f>+SUMIF(SYS_4_3_Digitos!$M$5:$M$1682,BALANCE!V1882,SYS_4_3_Digitos!$N$5:$N$1682)</f>
        <v>0</v>
      </c>
    </row>
    <row r="1883" spans="21:23" hidden="1">
      <c r="U1883" s="722"/>
      <c r="V1883" s="661">
        <v>5412</v>
      </c>
      <c r="W1883" s="662">
        <f>+SUMIF(SYS_4_3_Digitos!$M$5:$M$1682,BALANCE!V1883,SYS_4_3_Digitos!$N$5:$N$1682)</f>
        <v>0</v>
      </c>
    </row>
    <row r="1884" spans="21:23" hidden="1">
      <c r="U1884" s="722"/>
      <c r="V1884" s="661">
        <v>5413</v>
      </c>
      <c r="W1884" s="662">
        <f>+SUMIF(SYS_4_3_Digitos!$M$5:$M$1682,BALANCE!V1884,SYS_4_3_Digitos!$N$5:$N$1682)</f>
        <v>0</v>
      </c>
    </row>
    <row r="1885" spans="21:23" hidden="1">
      <c r="U1885" s="722"/>
      <c r="V1885" s="661">
        <v>5414</v>
      </c>
      <c r="W1885" s="662">
        <f>+SUMIF(SYS_4_3_Digitos!$M$5:$M$1682,BALANCE!V1885,SYS_4_3_Digitos!$N$5:$N$1682)</f>
        <v>0</v>
      </c>
    </row>
    <row r="1886" spans="21:23" hidden="1">
      <c r="U1886" s="722"/>
      <c r="V1886" s="661">
        <v>5415</v>
      </c>
      <c r="W1886" s="662">
        <f>+SUMIF(SYS_4_3_Digitos!$M$5:$M$1682,BALANCE!V1886,SYS_4_3_Digitos!$N$5:$N$1682)</f>
        <v>0</v>
      </c>
    </row>
    <row r="1887" spans="21:23" hidden="1">
      <c r="U1887" s="722"/>
      <c r="V1887" s="661">
        <v>5416</v>
      </c>
      <c r="W1887" s="662">
        <f>+SUMIF(SYS_4_3_Digitos!$M$5:$M$1682,BALANCE!V1887,SYS_4_3_Digitos!$N$5:$N$1682)</f>
        <v>0</v>
      </c>
    </row>
    <row r="1888" spans="21:23" hidden="1">
      <c r="U1888" s="722"/>
      <c r="V1888" s="661">
        <v>5417</v>
      </c>
      <c r="W1888" s="662">
        <f>+SUMIF(SYS_4_3_Digitos!$M$5:$M$1682,BALANCE!V1888,SYS_4_3_Digitos!$N$5:$N$1682)</f>
        <v>0</v>
      </c>
    </row>
    <row r="1889" spans="21:23" hidden="1">
      <c r="U1889" s="722"/>
      <c r="V1889" s="661">
        <v>5418</v>
      </c>
      <c r="W1889" s="662">
        <f>+SUMIF(SYS_4_3_Digitos!$M$5:$M$1682,BALANCE!V1889,SYS_4_3_Digitos!$N$5:$N$1682)</f>
        <v>0</v>
      </c>
    </row>
    <row r="1890" spans="21:23" hidden="1">
      <c r="U1890" s="722"/>
      <c r="V1890" s="661">
        <v>5419</v>
      </c>
      <c r="W1890" s="662">
        <f>+SUMIF(SYS_4_3_Digitos!$M$5:$M$1682,BALANCE!V1890,SYS_4_3_Digitos!$N$5:$N$1682)</f>
        <v>0</v>
      </c>
    </row>
    <row r="1891" spans="21:23" hidden="1">
      <c r="U1891" s="722"/>
      <c r="V1891" s="661">
        <v>5460</v>
      </c>
      <c r="W1891" s="662">
        <f ca="1">+SUMIF(SYS_4_3_Digitos!$M$5:$M$1682,BALANCE!V1891,SYS_4_3_Digitos!$N$5:$N$1682)</f>
        <v>0</v>
      </c>
    </row>
    <row r="1892" spans="21:23" hidden="1">
      <c r="U1892" s="722"/>
      <c r="V1892" s="661">
        <v>5461</v>
      </c>
      <c r="W1892" s="662">
        <f>+SUMIF(SYS_4_3_Digitos!$M$5:$M$1682,BALANCE!V1892,SYS_4_3_Digitos!$N$5:$N$1682)</f>
        <v>0</v>
      </c>
    </row>
    <row r="1893" spans="21:23" hidden="1">
      <c r="U1893" s="722"/>
      <c r="V1893" s="661">
        <v>5462</v>
      </c>
      <c r="W1893" s="662">
        <f>+SUMIF(SYS_4_3_Digitos!$M$5:$M$1682,BALANCE!V1893,SYS_4_3_Digitos!$N$5:$N$1682)</f>
        <v>0</v>
      </c>
    </row>
    <row r="1894" spans="21:23" hidden="1">
      <c r="U1894" s="722"/>
      <c r="V1894" s="661">
        <v>5463</v>
      </c>
      <c r="W1894" s="662">
        <f>+SUMIF(SYS_4_3_Digitos!$M$5:$M$1682,BALANCE!V1894,SYS_4_3_Digitos!$N$5:$N$1682)</f>
        <v>0</v>
      </c>
    </row>
    <row r="1895" spans="21:23" hidden="1">
      <c r="U1895" s="722"/>
      <c r="V1895" s="661">
        <v>5464</v>
      </c>
      <c r="W1895" s="662">
        <f>+SUMIF(SYS_4_3_Digitos!$M$5:$M$1682,BALANCE!V1895,SYS_4_3_Digitos!$N$5:$N$1682)</f>
        <v>0</v>
      </c>
    </row>
    <row r="1896" spans="21:23" hidden="1">
      <c r="U1896" s="722"/>
      <c r="V1896" s="661">
        <v>5465</v>
      </c>
      <c r="W1896" s="662">
        <f>+SUMIF(SYS_4_3_Digitos!$M$5:$M$1682,BALANCE!V1896,SYS_4_3_Digitos!$N$5:$N$1682)</f>
        <v>0</v>
      </c>
    </row>
    <row r="1897" spans="21:23" hidden="1">
      <c r="U1897" s="722"/>
      <c r="V1897" s="661">
        <v>5466</v>
      </c>
      <c r="W1897" s="662">
        <f>+SUMIF(SYS_4_3_Digitos!$M$5:$M$1682,BALANCE!V1897,SYS_4_3_Digitos!$N$5:$N$1682)</f>
        <v>0</v>
      </c>
    </row>
    <row r="1898" spans="21:23" hidden="1">
      <c r="U1898" s="722"/>
      <c r="V1898" s="661">
        <v>5467</v>
      </c>
      <c r="W1898" s="662">
        <f>+SUMIF(SYS_4_3_Digitos!$M$5:$M$1682,BALANCE!V1898,SYS_4_3_Digitos!$N$5:$N$1682)</f>
        <v>0</v>
      </c>
    </row>
    <row r="1899" spans="21:23" hidden="1">
      <c r="U1899" s="722"/>
      <c r="V1899" s="661">
        <v>5468</v>
      </c>
      <c r="W1899" s="662">
        <f>+SUMIF(SYS_4_3_Digitos!$M$5:$M$1682,BALANCE!V1899,SYS_4_3_Digitos!$N$5:$N$1682)</f>
        <v>0</v>
      </c>
    </row>
    <row r="1900" spans="21:23" hidden="1">
      <c r="U1900" s="722"/>
      <c r="V1900" s="661">
        <v>5469</v>
      </c>
      <c r="W1900" s="662">
        <f>+SUMIF(SYS_4_3_Digitos!$M$5:$M$1682,BALANCE!V1900,SYS_4_3_Digitos!$N$5:$N$1682)</f>
        <v>0</v>
      </c>
    </row>
    <row r="1901" spans="21:23" hidden="1">
      <c r="U1901" s="722" t="s">
        <v>140</v>
      </c>
      <c r="V1901" s="661">
        <v>5945</v>
      </c>
      <c r="W1901" s="662">
        <f>+SUMIF(SYS_4_3_Digitos!$M$5:$M$1682,BALANCE!V1901,SYS_4_3_Digitos!$N$5:$N$1682)</f>
        <v>0</v>
      </c>
    </row>
    <row r="1902" spans="21:23" hidden="1">
      <c r="U1902" s="722"/>
      <c r="V1902" s="661">
        <v>5970</v>
      </c>
      <c r="W1902" s="662">
        <f>+SUMIF(SYS_4_3_Digitos!$M$5:$M$1682,BALANCE!V1902,SYS_4_3_Digitos!$N$5:$N$1682)</f>
        <v>0</v>
      </c>
    </row>
    <row r="1903" spans="21:23" hidden="1">
      <c r="U1903" s="722"/>
      <c r="V1903" s="661">
        <v>5971</v>
      </c>
      <c r="W1903" s="662">
        <f>+SUMIF(SYS_4_3_Digitos!$M$5:$M$1682,BALANCE!V1903,SYS_4_3_Digitos!$N$5:$N$1682)</f>
        <v>0</v>
      </c>
    </row>
    <row r="1904" spans="21:23" hidden="1">
      <c r="U1904" s="722" t="s">
        <v>141</v>
      </c>
      <c r="V1904" s="661">
        <v>5972</v>
      </c>
      <c r="W1904" s="662">
        <f>+SUMIF(SYS_4_3_Digitos!$M$5:$M$1682,BALANCE!V1904,SYS_4_3_Digitos!$N$5:$N$1682)</f>
        <v>0</v>
      </c>
    </row>
    <row r="1905" spans="22:23" hidden="1">
      <c r="V1905" s="661">
        <v>5973</v>
      </c>
      <c r="W1905" s="662">
        <f>+SUMIF(SYS_4_3_Digitos!$M$5:$M$1682,BALANCE!V1905,SYS_4_3_Digitos!$N$5:$N$1682)</f>
        <v>0</v>
      </c>
    </row>
    <row r="1906" spans="22:23" hidden="1">
      <c r="V1906" s="661">
        <v>5974</v>
      </c>
      <c r="W1906" s="662">
        <f>+SUMIF(SYS_4_3_Digitos!$M$5:$M$1682,BALANCE!V1906,SYS_4_3_Digitos!$N$5:$N$1682)</f>
        <v>0</v>
      </c>
    </row>
    <row r="1907" spans="22:23" hidden="1">
      <c r="V1907" s="661">
        <v>5975</v>
      </c>
      <c r="W1907" s="662">
        <f>+SUMIF(SYS_4_3_Digitos!$M$5:$M$1682,BALANCE!V1907,SYS_4_3_Digitos!$N$5:$N$1682)</f>
        <v>0</v>
      </c>
    </row>
    <row r="1908" spans="22:23" hidden="1">
      <c r="V1908" s="661">
        <v>5976</v>
      </c>
      <c r="W1908" s="662">
        <f>+SUMIF(SYS_4_3_Digitos!$M$5:$M$1682,BALANCE!V1908,SYS_4_3_Digitos!$N$5:$N$1682)</f>
        <v>0</v>
      </c>
    </row>
    <row r="1909" spans="22:23" hidden="1">
      <c r="V1909" s="661">
        <v>5977</v>
      </c>
      <c r="W1909" s="662">
        <f>+SUMIF(SYS_4_3_Digitos!$M$5:$M$1682,BALANCE!V1909,SYS_4_3_Digitos!$N$5:$N$1682)</f>
        <v>0</v>
      </c>
    </row>
    <row r="1910" spans="22:23" hidden="1">
      <c r="V1910" s="661">
        <v>5978</v>
      </c>
      <c r="W1910" s="662">
        <f>+SUMIF(SYS_4_3_Digitos!$M$5:$M$1682,BALANCE!V1910,SYS_4_3_Digitos!$N$5:$N$1682)</f>
        <v>0</v>
      </c>
    </row>
    <row r="1911" spans="22:23" hidden="1">
      <c r="V1911" s="661">
        <v>5979</v>
      </c>
      <c r="W1911" s="662">
        <f>+SUMIF(SYS_4_3_Digitos!$M$5:$M$1682,BALANCE!V1911,SYS_4_3_Digitos!$N$5:$N$1682)</f>
        <v>0</v>
      </c>
    </row>
    <row r="1912" spans="22:23" hidden="1">
      <c r="V1912" s="653" t="s">
        <v>23</v>
      </c>
      <c r="W1912" s="654">
        <f ca="1">SUM(W1913:W1914)</f>
        <v>0</v>
      </c>
    </row>
    <row r="1913" spans="22:23" hidden="1">
      <c r="V1913" s="661">
        <v>5590</v>
      </c>
      <c r="W1913" s="662">
        <f ca="1">+SUMIF(SYS_4_3_Digitos!$M$5:$M$1682,BALANCE!V1913,SYS_4_3_Digitos!$N$5:$N$1682)</f>
        <v>0</v>
      </c>
    </row>
    <row r="1914" spans="22:23" hidden="1">
      <c r="V1914" s="661">
        <v>5593</v>
      </c>
      <c r="W1914" s="662">
        <f>+SUMIF(SYS_4_3_Digitos!$M$5:$M$1682,BALANCE!V1914,SYS_4_3_Digitos!$N$5:$N$1682)</f>
        <v>0</v>
      </c>
    </row>
    <row r="1915" spans="22:23" hidden="1">
      <c r="V1915" s="653" t="s">
        <v>24</v>
      </c>
      <c r="W1915" s="654">
        <f ca="1">SUM(W1916:W1967)</f>
        <v>103027.25</v>
      </c>
    </row>
    <row r="1916" spans="22:23" hidden="1">
      <c r="V1916" s="661">
        <v>5355</v>
      </c>
      <c r="W1916" s="662">
        <f>+SUMIF(SYS_4_3_Digitos!$M$5:$M$1682,BALANCE!V1916,SYS_4_3_Digitos!$N$5:$N$1682)</f>
        <v>0</v>
      </c>
    </row>
    <row r="1917" spans="22:23" hidden="1">
      <c r="V1917" s="661">
        <v>5450</v>
      </c>
      <c r="W1917" s="662">
        <f ca="1">+SUMIF(SYS_4_3_Digitos!$M$5:$M$1682,BALANCE!V1917,SYS_4_3_Digitos!$N$5:$N$1682)</f>
        <v>0</v>
      </c>
    </row>
    <row r="1918" spans="22:23" hidden="1">
      <c r="V1918" s="661">
        <v>5451</v>
      </c>
      <c r="W1918" s="662">
        <f>+SUMIF(SYS_4_3_Digitos!$M$5:$M$1682,BALANCE!V1918,SYS_4_3_Digitos!$N$5:$N$1682)</f>
        <v>0</v>
      </c>
    </row>
    <row r="1919" spans="22:23" hidden="1">
      <c r="V1919" s="661">
        <v>5452</v>
      </c>
      <c r="W1919" s="662">
        <f>+SUMIF(SYS_4_3_Digitos!$M$5:$M$1682,BALANCE!V1919,SYS_4_3_Digitos!$N$5:$N$1682)</f>
        <v>0</v>
      </c>
    </row>
    <row r="1920" spans="22:23" hidden="1">
      <c r="V1920" s="661">
        <v>5453</v>
      </c>
      <c r="W1920" s="662">
        <f>+SUMIF(SYS_4_3_Digitos!$M$5:$M$1682,BALANCE!V1920,SYS_4_3_Digitos!$N$5:$N$1682)</f>
        <v>0</v>
      </c>
    </row>
    <row r="1921" spans="22:23" hidden="1">
      <c r="V1921" s="661">
        <v>5454</v>
      </c>
      <c r="W1921" s="662">
        <f>+SUMIF(SYS_4_3_Digitos!$M$5:$M$1682,BALANCE!V1921,SYS_4_3_Digitos!$N$5:$N$1682)</f>
        <v>0</v>
      </c>
    </row>
    <row r="1922" spans="22:23" hidden="1">
      <c r="V1922" s="661">
        <v>5455</v>
      </c>
      <c r="W1922" s="662">
        <f>+SUMIF(SYS_4_3_Digitos!$M$5:$M$1682,BALANCE!V1922,SYS_4_3_Digitos!$N$5:$N$1682)</f>
        <v>0</v>
      </c>
    </row>
    <row r="1923" spans="22:23" hidden="1">
      <c r="V1923" s="661">
        <v>5456</v>
      </c>
      <c r="W1923" s="662">
        <f>+SUMIF(SYS_4_3_Digitos!$M$5:$M$1682,BALANCE!V1923,SYS_4_3_Digitos!$N$5:$N$1682)</f>
        <v>0</v>
      </c>
    </row>
    <row r="1924" spans="22:23" hidden="1">
      <c r="V1924" s="661">
        <v>5457</v>
      </c>
      <c r="W1924" s="662">
        <f>+SUMIF(SYS_4_3_Digitos!$M$5:$M$1682,BALANCE!V1924,SYS_4_3_Digitos!$N$5:$N$1682)</f>
        <v>0</v>
      </c>
    </row>
    <row r="1925" spans="22:23" hidden="1">
      <c r="V1925" s="661">
        <v>5458</v>
      </c>
      <c r="W1925" s="662">
        <f>+SUMIF(SYS_4_3_Digitos!$M$5:$M$1682,BALANCE!V1925,SYS_4_3_Digitos!$N$5:$N$1682)</f>
        <v>0</v>
      </c>
    </row>
    <row r="1926" spans="22:23" hidden="1">
      <c r="V1926" s="661">
        <v>5459</v>
      </c>
      <c r="W1926" s="662">
        <f>+SUMIF(SYS_4_3_Digitos!$M$5:$M$1682,BALANCE!V1926,SYS_4_3_Digitos!$N$5:$N$1682)</f>
        <v>0</v>
      </c>
    </row>
    <row r="1927" spans="22:23" hidden="1">
      <c r="V1927" s="661">
        <v>5480</v>
      </c>
      <c r="W1927" s="662">
        <f ca="1">+SUMIF(SYS_4_3_Digitos!$M$5:$M$1682,BALANCE!V1927,SYS_4_3_Digitos!$N$5:$N$1682)</f>
        <v>0</v>
      </c>
    </row>
    <row r="1928" spans="22:23" hidden="1">
      <c r="V1928" s="661">
        <v>5481</v>
      </c>
      <c r="W1928" s="662">
        <f>+SUMIF(SYS_4_3_Digitos!$M$5:$M$1682,BALANCE!V1928,SYS_4_3_Digitos!$N$5:$N$1682)</f>
        <v>0</v>
      </c>
    </row>
    <row r="1929" spans="22:23" hidden="1">
      <c r="V1929" s="661">
        <v>5482</v>
      </c>
      <c r="W1929" s="662">
        <f>+SUMIF(SYS_4_3_Digitos!$M$5:$M$1682,BALANCE!V1929,SYS_4_3_Digitos!$N$5:$N$1682)</f>
        <v>0</v>
      </c>
    </row>
    <row r="1930" spans="22:23" hidden="1">
      <c r="V1930" s="661">
        <v>5483</v>
      </c>
      <c r="W1930" s="662">
        <f>+SUMIF(SYS_4_3_Digitos!$M$5:$M$1682,BALANCE!V1930,SYS_4_3_Digitos!$N$5:$N$1682)</f>
        <v>0</v>
      </c>
    </row>
    <row r="1931" spans="22:23" hidden="1">
      <c r="V1931" s="661">
        <v>5484</v>
      </c>
      <c r="W1931" s="662">
        <f>+SUMIF(SYS_4_3_Digitos!$M$5:$M$1682,BALANCE!V1931,SYS_4_3_Digitos!$N$5:$N$1682)</f>
        <v>0</v>
      </c>
    </row>
    <row r="1932" spans="22:23" hidden="1">
      <c r="V1932" s="661">
        <v>5485</v>
      </c>
      <c r="W1932" s="662">
        <f>+SUMIF(SYS_4_3_Digitos!$M$5:$M$1682,BALANCE!V1932,SYS_4_3_Digitos!$N$5:$N$1682)</f>
        <v>0</v>
      </c>
    </row>
    <row r="1933" spans="22:23" hidden="1">
      <c r="V1933" s="661">
        <v>5486</v>
      </c>
      <c r="W1933" s="662">
        <f>+SUMIF(SYS_4_3_Digitos!$M$5:$M$1682,BALANCE!V1933,SYS_4_3_Digitos!$N$5:$N$1682)</f>
        <v>0</v>
      </c>
    </row>
    <row r="1934" spans="22:23" hidden="1">
      <c r="V1934" s="661">
        <v>5487</v>
      </c>
      <c r="W1934" s="662">
        <f>+SUMIF(SYS_4_3_Digitos!$M$5:$M$1682,BALANCE!V1934,SYS_4_3_Digitos!$N$5:$N$1682)</f>
        <v>0</v>
      </c>
    </row>
    <row r="1935" spans="22:23" hidden="1">
      <c r="V1935" s="661">
        <v>5488</v>
      </c>
      <c r="W1935" s="662">
        <f>+SUMIF(SYS_4_3_Digitos!$M$5:$M$1682,BALANCE!V1935,SYS_4_3_Digitos!$N$5:$N$1682)</f>
        <v>0</v>
      </c>
    </row>
    <row r="1936" spans="22:23" hidden="1">
      <c r="V1936" s="661">
        <v>5489</v>
      </c>
      <c r="W1936" s="662">
        <f>+SUMIF(SYS_4_3_Digitos!$M$5:$M$1682,BALANCE!V1936,SYS_4_3_Digitos!$N$5:$N$1682)</f>
        <v>0</v>
      </c>
    </row>
    <row r="1937" spans="22:23" hidden="1">
      <c r="V1937" s="723">
        <v>5510</v>
      </c>
      <c r="W1937" s="662">
        <f ca="1">IF(+SUMIF(SYS_4_3_Digitos!$M$5:$M$1682,BALANCE!V1937,SYS_4_3_Digitos!$N$5:$N$1682)&gt;0,+SUMIF(SYS_4_3_Digitos!$M$5:$M$1682,BALANCE!V1937,SYS_4_3_Digitos!$N$5:$N$1682),0)</f>
        <v>0</v>
      </c>
    </row>
    <row r="1938" spans="22:23" hidden="1">
      <c r="V1938" s="723">
        <v>5511</v>
      </c>
      <c r="W1938" s="662">
        <f>IF(+SUMIF(SYS_4_3_Digitos!$M$5:$M$1682,BALANCE!V1938,SYS_4_3_Digitos!$N$5:$N$1682)&gt;0,+SUMIF(SYS_4_3_Digitos!$M$5:$M$1682,BALANCE!V1938,SYS_4_3_Digitos!$N$5:$N$1682),0)</f>
        <v>0</v>
      </c>
    </row>
    <row r="1939" spans="22:23" hidden="1">
      <c r="V1939" s="723">
        <v>5512</v>
      </c>
      <c r="W1939" s="662">
        <f>IF(+SUMIF(SYS_4_3_Digitos!$M$5:$M$1682,BALANCE!V1939,SYS_4_3_Digitos!$N$5:$N$1682)&gt;0,+SUMIF(SYS_4_3_Digitos!$M$5:$M$1682,BALANCE!V1939,SYS_4_3_Digitos!$N$5:$N$1682),0)</f>
        <v>0</v>
      </c>
    </row>
    <row r="1940" spans="22:23" hidden="1">
      <c r="V1940" s="723">
        <v>5513</v>
      </c>
      <c r="W1940" s="662">
        <f>IF(+SUMIF(SYS_4_3_Digitos!$M$5:$M$1682,BALANCE!V1940,SYS_4_3_Digitos!$N$5:$N$1682)&gt;0,+SUMIF(SYS_4_3_Digitos!$M$5:$M$1682,BALANCE!V1940,SYS_4_3_Digitos!$N$5:$N$1682),0)</f>
        <v>0</v>
      </c>
    </row>
    <row r="1941" spans="22:23" hidden="1">
      <c r="V1941" s="723">
        <v>5514</v>
      </c>
      <c r="W1941" s="662">
        <f>IF(+SUMIF(SYS_4_3_Digitos!$M$5:$M$1682,BALANCE!V1941,SYS_4_3_Digitos!$N$5:$N$1682)&gt;0,+SUMIF(SYS_4_3_Digitos!$M$5:$M$1682,BALANCE!V1941,SYS_4_3_Digitos!$N$5:$N$1682),0)</f>
        <v>0</v>
      </c>
    </row>
    <row r="1942" spans="22:23" hidden="1">
      <c r="V1942" s="723">
        <v>5515</v>
      </c>
      <c r="W1942" s="662">
        <f>IF(+SUMIF(SYS_4_3_Digitos!$M$5:$M$1682,BALANCE!V1942,SYS_4_3_Digitos!$N$5:$N$1682)&gt;0,+SUMIF(SYS_4_3_Digitos!$M$5:$M$1682,BALANCE!V1942,SYS_4_3_Digitos!$N$5:$N$1682),0)</f>
        <v>0</v>
      </c>
    </row>
    <row r="1943" spans="22:23" hidden="1">
      <c r="V1943" s="723">
        <v>5516</v>
      </c>
      <c r="W1943" s="662">
        <f>IF(+SUMIF(SYS_4_3_Digitos!$M$5:$M$1682,BALANCE!V1943,SYS_4_3_Digitos!$N$5:$N$1682)&gt;0,+SUMIF(SYS_4_3_Digitos!$M$5:$M$1682,BALANCE!V1943,SYS_4_3_Digitos!$N$5:$N$1682),0)</f>
        <v>0</v>
      </c>
    </row>
    <row r="1944" spans="22:23" hidden="1">
      <c r="V1944" s="723">
        <v>5517</v>
      </c>
      <c r="W1944" s="662">
        <f>IF(+SUMIF(SYS_4_3_Digitos!$M$5:$M$1682,BALANCE!V1944,SYS_4_3_Digitos!$N$5:$N$1682)&gt;0,+SUMIF(SYS_4_3_Digitos!$M$5:$M$1682,BALANCE!V1944,SYS_4_3_Digitos!$N$5:$N$1682),0)</f>
        <v>0</v>
      </c>
    </row>
    <row r="1945" spans="22:23" hidden="1">
      <c r="V1945" s="723">
        <v>5518</v>
      </c>
      <c r="W1945" s="662">
        <f>IF(+SUMIF(SYS_4_3_Digitos!$M$5:$M$1682,BALANCE!V1945,SYS_4_3_Digitos!$N$5:$N$1682)&gt;0,+SUMIF(SYS_4_3_Digitos!$M$5:$M$1682,BALANCE!V1945,SYS_4_3_Digitos!$N$5:$N$1682),0)</f>
        <v>0</v>
      </c>
    </row>
    <row r="1946" spans="22:23" hidden="1">
      <c r="V1946" s="723">
        <v>5519</v>
      </c>
      <c r="W1946" s="662">
        <f>IF(+SUMIF(SYS_4_3_Digitos!$M$5:$M$1682,BALANCE!V1946,SYS_4_3_Digitos!$N$5:$N$1682)&gt;0,+SUMIF(SYS_4_3_Digitos!$M$5:$M$1682,BALANCE!V1946,SYS_4_3_Digitos!$N$5:$N$1682),0)</f>
        <v>0</v>
      </c>
    </row>
    <row r="1947" spans="22:23" hidden="1">
      <c r="V1947" s="723">
        <v>5525</v>
      </c>
      <c r="W1947" s="662">
        <f ca="1">IF(+SUMIF(SYS_4_3_Digitos!$M$5:$M$1682,BALANCE!V1947,SYS_4_3_Digitos!$N$5:$N$1682)&gt;0,+SUMIF(SYS_4_3_Digitos!$M$5:$M$1682,BALANCE!V1947,SYS_4_3_Digitos!$N$5:$N$1682),0)</f>
        <v>0</v>
      </c>
    </row>
    <row r="1948" spans="22:23" hidden="1">
      <c r="V1948" s="661">
        <v>5650</v>
      </c>
      <c r="W1948" s="662">
        <f ca="1">+SUMIF(SYS_4_3_Digitos!$M$5:$M$1682,BALANCE!V1948,SYS_4_3_Digitos!$N$5:$N$1682)</f>
        <v>0</v>
      </c>
    </row>
    <row r="1949" spans="22:23" hidden="1">
      <c r="V1949" s="661">
        <v>5651</v>
      </c>
      <c r="W1949" s="662">
        <f>+SUMIF(SYS_4_3_Digitos!$M$5:$M$1682,BALANCE!V1949,SYS_4_3_Digitos!$N$5:$N$1682)</f>
        <v>0</v>
      </c>
    </row>
    <row r="1950" spans="22:23" hidden="1">
      <c r="V1950" s="661">
        <v>5652</v>
      </c>
      <c r="W1950" s="662">
        <f>+SUMIF(SYS_4_3_Digitos!$M$5:$M$1682,BALANCE!V1950,SYS_4_3_Digitos!$N$5:$N$1682)</f>
        <v>0</v>
      </c>
    </row>
    <row r="1951" spans="22:23" hidden="1">
      <c r="V1951" s="661">
        <v>5653</v>
      </c>
      <c r="W1951" s="662">
        <f>+SUMIF(SYS_4_3_Digitos!$M$5:$M$1682,BALANCE!V1951,SYS_4_3_Digitos!$N$5:$N$1682)</f>
        <v>0</v>
      </c>
    </row>
    <row r="1952" spans="22:23" hidden="1">
      <c r="V1952" s="661">
        <v>5654</v>
      </c>
      <c r="W1952" s="662">
        <f>+SUMIF(SYS_4_3_Digitos!$M$5:$M$1682,BALANCE!V1952,SYS_4_3_Digitos!$N$5:$N$1682)</f>
        <v>0</v>
      </c>
    </row>
    <row r="1953" spans="21:23" hidden="1">
      <c r="V1953" s="661">
        <v>5655</v>
      </c>
      <c r="W1953" s="662">
        <f>+SUMIF(SYS_4_3_Digitos!$M$5:$M$1682,BALANCE!V1953,SYS_4_3_Digitos!$N$5:$N$1682)</f>
        <v>0</v>
      </c>
    </row>
    <row r="1954" spans="21:23" hidden="1">
      <c r="V1954" s="661">
        <v>5656</v>
      </c>
      <c r="W1954" s="662">
        <f>+SUMIF(SYS_4_3_Digitos!$M$5:$M$1682,BALANCE!V1954,SYS_4_3_Digitos!$N$5:$N$1682)</f>
        <v>0</v>
      </c>
    </row>
    <row r="1955" spans="21:23" hidden="1">
      <c r="V1955" s="661">
        <v>5657</v>
      </c>
      <c r="W1955" s="662">
        <f>+SUMIF(SYS_4_3_Digitos!$M$5:$M$1682,BALANCE!V1955,SYS_4_3_Digitos!$N$5:$N$1682)</f>
        <v>0</v>
      </c>
    </row>
    <row r="1956" spans="21:23" hidden="1">
      <c r="V1956" s="661">
        <v>5658</v>
      </c>
      <c r="W1956" s="662">
        <f>+SUMIF(SYS_4_3_Digitos!$M$5:$M$1682,BALANCE!V1956,SYS_4_3_Digitos!$N$5:$N$1682)</f>
        <v>0</v>
      </c>
    </row>
    <row r="1957" spans="21:23" hidden="1">
      <c r="U1957" s="722" t="s">
        <v>142</v>
      </c>
      <c r="V1957" s="661">
        <v>5659</v>
      </c>
      <c r="W1957" s="662">
        <f>+SUMIF(SYS_4_3_Digitos!$M$5:$M$1682,BALANCE!V1957,SYS_4_3_Digitos!$N$5:$N$1682)</f>
        <v>0</v>
      </c>
    </row>
    <row r="1958" spans="21:23" hidden="1">
      <c r="V1958" s="661">
        <v>5660</v>
      </c>
      <c r="W1958" s="662">
        <f ca="1">+SUMIF(SYS_4_3_Digitos!$M$5:$M$1682,BALANCE!V1958,SYS_4_3_Digitos!$N$5:$N$1682)</f>
        <v>103027.25</v>
      </c>
    </row>
    <row r="1959" spans="21:23" hidden="1">
      <c r="V1959" s="661">
        <v>5661</v>
      </c>
      <c r="W1959" s="662">
        <f>+SUMIF(SYS_4_3_Digitos!$M$5:$M$1682,BALANCE!V1959,SYS_4_3_Digitos!$N$5:$N$1682)</f>
        <v>0</v>
      </c>
    </row>
    <row r="1960" spans="21:23" hidden="1">
      <c r="V1960" s="661">
        <v>5662</v>
      </c>
      <c r="W1960" s="662">
        <f>+SUMIF(SYS_4_3_Digitos!$M$5:$M$1682,BALANCE!V1960,SYS_4_3_Digitos!$N$5:$N$1682)</f>
        <v>0</v>
      </c>
    </row>
    <row r="1961" spans="21:23" hidden="1">
      <c r="V1961" s="661">
        <v>5663</v>
      </c>
      <c r="W1961" s="662">
        <f>+SUMIF(SYS_4_3_Digitos!$M$5:$M$1682,BALANCE!V1961,SYS_4_3_Digitos!$N$5:$N$1682)</f>
        <v>0</v>
      </c>
    </row>
    <row r="1962" spans="21:23" hidden="1">
      <c r="V1962" s="661">
        <v>5664</v>
      </c>
      <c r="W1962" s="662">
        <f>+SUMIF(SYS_4_3_Digitos!$M$5:$M$1682,BALANCE!V1962,SYS_4_3_Digitos!$N$5:$N$1682)</f>
        <v>0</v>
      </c>
    </row>
    <row r="1963" spans="21:23" hidden="1">
      <c r="V1963" s="661">
        <v>5665</v>
      </c>
      <c r="W1963" s="662">
        <f>+SUMIF(SYS_4_3_Digitos!$M$5:$M$1682,BALANCE!V1963,SYS_4_3_Digitos!$N$5:$N$1682)</f>
        <v>0</v>
      </c>
    </row>
    <row r="1964" spans="21:23" hidden="1">
      <c r="V1964" s="661">
        <v>5666</v>
      </c>
      <c r="W1964" s="662">
        <f>+SUMIF(SYS_4_3_Digitos!$M$5:$M$1682,BALANCE!V1964,SYS_4_3_Digitos!$N$5:$N$1682)</f>
        <v>0</v>
      </c>
    </row>
    <row r="1965" spans="21:23" hidden="1">
      <c r="V1965" s="661">
        <v>5667</v>
      </c>
      <c r="W1965" s="662">
        <f>+SUMIF(SYS_4_3_Digitos!$M$5:$M$1682,BALANCE!V1965,SYS_4_3_Digitos!$N$5:$N$1682)</f>
        <v>0</v>
      </c>
    </row>
    <row r="1966" spans="21:23" hidden="1">
      <c r="V1966" s="661">
        <v>5668</v>
      </c>
      <c r="W1966" s="662">
        <f>+SUMIF(SYS_4_3_Digitos!$M$5:$M$1682,BALANCE!V1966,SYS_4_3_Digitos!$N$5:$N$1682)</f>
        <v>0</v>
      </c>
    </row>
    <row r="1967" spans="21:23" hidden="1">
      <c r="V1967" s="661">
        <v>5669</v>
      </c>
      <c r="W1967" s="662">
        <f>+SUMIF(SYS_4_3_Digitos!$M$5:$M$1682,BALANCE!V1967,SYS_4_3_Digitos!$N$5:$N$1682)</f>
        <v>0</v>
      </c>
    </row>
    <row r="1968" spans="21:23" hidden="1">
      <c r="V1968" s="664" t="s">
        <v>48</v>
      </c>
      <c r="W1968" s="719">
        <f ca="1">SUM(W1969:W1988)</f>
        <v>18505.640000000003</v>
      </c>
    </row>
    <row r="1969" spans="21:23" hidden="1">
      <c r="V1969" s="661">
        <v>4800</v>
      </c>
      <c r="W1969" s="662">
        <f ca="1">+SUMIF(SYS_4_3_Digitos!$M$5:$M$1682,BALANCE!V1969,SYS_4_3_Digitos!$N$5:$N$1682)</f>
        <v>18505.640000000003</v>
      </c>
    </row>
    <row r="1970" spans="21:23" hidden="1">
      <c r="V1970" s="661">
        <v>4801</v>
      </c>
      <c r="W1970" s="662">
        <f>+SUMIF(SYS_4_3_Digitos!$M$5:$M$1682,BALANCE!V1970,SYS_4_3_Digitos!$N$5:$N$1682)</f>
        <v>0</v>
      </c>
    </row>
    <row r="1971" spans="21:23" hidden="1">
      <c r="V1971" s="661">
        <v>4802</v>
      </c>
      <c r="W1971" s="662">
        <f>+SUMIF(SYS_4_3_Digitos!$M$5:$M$1682,BALANCE!V1971,SYS_4_3_Digitos!$N$5:$N$1682)</f>
        <v>0</v>
      </c>
    </row>
    <row r="1972" spans="21:23" hidden="1">
      <c r="V1972" s="661">
        <v>4803</v>
      </c>
      <c r="W1972" s="662">
        <f>+SUMIF(SYS_4_3_Digitos!$M$5:$M$1682,BALANCE!V1972,SYS_4_3_Digitos!$N$5:$N$1682)</f>
        <v>0</v>
      </c>
    </row>
    <row r="1973" spans="21:23" hidden="1">
      <c r="V1973" s="661">
        <v>4804</v>
      </c>
      <c r="W1973" s="662">
        <f>+SUMIF(SYS_4_3_Digitos!$M$5:$M$1682,BALANCE!V1973,SYS_4_3_Digitos!$N$5:$N$1682)</f>
        <v>0</v>
      </c>
    </row>
    <row r="1974" spans="21:23" hidden="1">
      <c r="V1974" s="661">
        <v>4805</v>
      </c>
      <c r="W1974" s="662">
        <f>+SUMIF(SYS_4_3_Digitos!$M$5:$M$1682,BALANCE!V1974,SYS_4_3_Digitos!$N$5:$N$1682)</f>
        <v>0</v>
      </c>
    </row>
    <row r="1975" spans="21:23" hidden="1">
      <c r="V1975" s="661">
        <v>4806</v>
      </c>
      <c r="W1975" s="662">
        <f>+SUMIF(SYS_4_3_Digitos!$M$5:$M$1682,BALANCE!V1975,SYS_4_3_Digitos!$N$5:$N$1682)</f>
        <v>0</v>
      </c>
    </row>
    <row r="1976" spans="21:23" hidden="1">
      <c r="V1976" s="661">
        <v>4807</v>
      </c>
      <c r="W1976" s="662">
        <f>+SUMIF(SYS_4_3_Digitos!$M$5:$M$1682,BALANCE!V1976,SYS_4_3_Digitos!$N$5:$N$1682)</f>
        <v>0</v>
      </c>
    </row>
    <row r="1977" spans="21:23" hidden="1">
      <c r="V1977" s="661">
        <v>4808</v>
      </c>
      <c r="W1977" s="662">
        <f>+SUMIF(SYS_4_3_Digitos!$M$5:$M$1682,BALANCE!V1977,SYS_4_3_Digitos!$N$5:$N$1682)</f>
        <v>0</v>
      </c>
    </row>
    <row r="1978" spans="21:23" hidden="1">
      <c r="V1978" s="661">
        <v>4809</v>
      </c>
      <c r="W1978" s="662">
        <f>+SUMIF(SYS_4_3_Digitos!$M$5:$M$1682,BALANCE!V1978,SYS_4_3_Digitos!$N$5:$N$1682)</f>
        <v>0</v>
      </c>
    </row>
    <row r="1979" spans="21:23" hidden="1">
      <c r="U1979" s="722" t="s">
        <v>143</v>
      </c>
      <c r="V1979" s="661">
        <v>5670</v>
      </c>
      <c r="W1979" s="662">
        <f ca="1">+SUMIF(SYS_4_3_Digitos!$M$5:$M$1682,BALANCE!V1979,SYS_4_3_Digitos!$N$5:$N$1682)</f>
        <v>0</v>
      </c>
    </row>
    <row r="1980" spans="21:23" hidden="1">
      <c r="V1980" s="661">
        <v>5671</v>
      </c>
      <c r="W1980" s="662">
        <f>+SUMIF(SYS_4_3_Digitos!$M$5:$M$1682,BALANCE!V1980,SYS_4_3_Digitos!$N$5:$N$1682)</f>
        <v>0</v>
      </c>
    </row>
    <row r="1981" spans="21:23" hidden="1">
      <c r="V1981" s="661">
        <v>5672</v>
      </c>
      <c r="W1981" s="662">
        <f>+SUMIF(SYS_4_3_Digitos!$M$5:$M$1682,BALANCE!V1981,SYS_4_3_Digitos!$N$5:$N$1682)</f>
        <v>0</v>
      </c>
    </row>
    <row r="1982" spans="21:23" hidden="1">
      <c r="V1982" s="661">
        <v>5673</v>
      </c>
      <c r="W1982" s="662">
        <f>+SUMIF(SYS_4_3_Digitos!$M$5:$M$1682,BALANCE!V1982,SYS_4_3_Digitos!$N$5:$N$1682)</f>
        <v>0</v>
      </c>
    </row>
    <row r="1983" spans="21:23" hidden="1">
      <c r="V1983" s="661">
        <v>5674</v>
      </c>
      <c r="W1983" s="662">
        <f>+SUMIF(SYS_4_3_Digitos!$M$5:$M$1682,BALANCE!V1983,SYS_4_3_Digitos!$N$5:$N$1682)</f>
        <v>0</v>
      </c>
    </row>
    <row r="1984" spans="21:23" hidden="1">
      <c r="V1984" s="661">
        <v>5675</v>
      </c>
      <c r="W1984" s="662">
        <f>+SUMIF(SYS_4_3_Digitos!$M$5:$M$1682,BALANCE!V1984,SYS_4_3_Digitos!$N$5:$N$1682)</f>
        <v>0</v>
      </c>
    </row>
    <row r="1985" spans="22:23" hidden="1">
      <c r="V1985" s="661">
        <v>5676</v>
      </c>
      <c r="W1985" s="662">
        <f>+SUMIF(SYS_4_3_Digitos!$M$5:$M$1682,BALANCE!V1985,SYS_4_3_Digitos!$N$5:$N$1682)</f>
        <v>0</v>
      </c>
    </row>
    <row r="1986" spans="22:23" hidden="1">
      <c r="V1986" s="661">
        <v>5677</v>
      </c>
      <c r="W1986" s="662">
        <f>+SUMIF(SYS_4_3_Digitos!$M$5:$M$1682,BALANCE!V1986,SYS_4_3_Digitos!$N$5:$N$1682)</f>
        <v>0</v>
      </c>
    </row>
    <row r="1987" spans="22:23" hidden="1">
      <c r="V1987" s="661">
        <v>5678</v>
      </c>
      <c r="W1987" s="662">
        <f>+SUMIF(SYS_4_3_Digitos!$M$5:$M$1682,BALANCE!V1987,SYS_4_3_Digitos!$N$5:$N$1682)</f>
        <v>0</v>
      </c>
    </row>
    <row r="1988" spans="22:23" hidden="1">
      <c r="V1988" s="661">
        <v>5679</v>
      </c>
      <c r="W1988" s="662">
        <f>+SUMIF(SYS_4_3_Digitos!$M$5:$M$1682,BALANCE!V1988,SYS_4_3_Digitos!$N$5:$N$1682)</f>
        <v>0</v>
      </c>
    </row>
    <row r="1989" spans="22:23" hidden="1">
      <c r="V1989" s="664" t="s">
        <v>49</v>
      </c>
      <c r="W1989" s="722"/>
    </row>
    <row r="1990" spans="22:23" hidden="1">
      <c r="V1990" s="653" t="s">
        <v>50</v>
      </c>
      <c r="W1990" s="654">
        <f ca="1">SUM(W1991:W2050)</f>
        <v>85577158.699999988</v>
      </c>
    </row>
    <row r="1991" spans="22:23" hidden="1">
      <c r="V1991" s="661">
        <v>5700</v>
      </c>
      <c r="W1991" s="662">
        <f ca="1">+SUMIF(SYS_4_3_Digitos!$M$5:$M$1682,BALANCE!V1991,SYS_4_3_Digitos!$N$5:$N$1682)</f>
        <v>793.1</v>
      </c>
    </row>
    <row r="1992" spans="22:23" hidden="1">
      <c r="V1992" s="661">
        <v>5701</v>
      </c>
      <c r="W1992" s="662">
        <f>+SUMIF(SYS_4_3_Digitos!$M$5:$M$1682,BALANCE!V1992,SYS_4_3_Digitos!$N$5:$N$1682)</f>
        <v>0</v>
      </c>
    </row>
    <row r="1993" spans="22:23" hidden="1">
      <c r="V1993" s="661">
        <v>5702</v>
      </c>
      <c r="W1993" s="662">
        <f>+SUMIF(SYS_4_3_Digitos!$M$5:$M$1682,BALANCE!V1993,SYS_4_3_Digitos!$N$5:$N$1682)</f>
        <v>0</v>
      </c>
    </row>
    <row r="1994" spans="22:23" hidden="1">
      <c r="V1994" s="661">
        <v>5703</v>
      </c>
      <c r="W1994" s="662">
        <f>+SUMIF(SYS_4_3_Digitos!$M$5:$M$1682,BALANCE!V1994,SYS_4_3_Digitos!$N$5:$N$1682)</f>
        <v>0</v>
      </c>
    </row>
    <row r="1995" spans="22:23" hidden="1">
      <c r="V1995" s="661">
        <v>5704</v>
      </c>
      <c r="W1995" s="662">
        <f>+SUMIF(SYS_4_3_Digitos!$M$5:$M$1682,BALANCE!V1995,SYS_4_3_Digitos!$N$5:$N$1682)</f>
        <v>0</v>
      </c>
    </row>
    <row r="1996" spans="22:23" hidden="1">
      <c r="V1996" s="661">
        <v>5705</v>
      </c>
      <c r="W1996" s="662">
        <f>+SUMIF(SYS_4_3_Digitos!$M$5:$M$1682,BALANCE!V1996,SYS_4_3_Digitos!$N$5:$N$1682)</f>
        <v>0</v>
      </c>
    </row>
    <row r="1997" spans="22:23" hidden="1">
      <c r="V1997" s="661">
        <v>5706</v>
      </c>
      <c r="W1997" s="662">
        <f>+SUMIF(SYS_4_3_Digitos!$M$5:$M$1682,BALANCE!V1997,SYS_4_3_Digitos!$N$5:$N$1682)</f>
        <v>0</v>
      </c>
    </row>
    <row r="1998" spans="22:23" hidden="1">
      <c r="V1998" s="661">
        <v>5707</v>
      </c>
      <c r="W1998" s="662">
        <f>+SUMIF(SYS_4_3_Digitos!$M$5:$M$1682,BALANCE!V1998,SYS_4_3_Digitos!$N$5:$N$1682)</f>
        <v>0</v>
      </c>
    </row>
    <row r="1999" spans="22:23" hidden="1">
      <c r="V1999" s="661">
        <v>5708</v>
      </c>
      <c r="W1999" s="662">
        <f>+SUMIF(SYS_4_3_Digitos!$M$5:$M$1682,BALANCE!V1999,SYS_4_3_Digitos!$N$5:$N$1682)</f>
        <v>0</v>
      </c>
    </row>
    <row r="2000" spans="22:23" hidden="1">
      <c r="V2000" s="661">
        <v>5709</v>
      </c>
      <c r="W2000" s="662">
        <f>+SUMIF(SYS_4_3_Digitos!$M$5:$M$1682,BALANCE!V2000,SYS_4_3_Digitos!$N$5:$N$1682)</f>
        <v>0</v>
      </c>
    </row>
    <row r="2001" spans="22:23" hidden="1">
      <c r="V2001" s="661">
        <v>5710</v>
      </c>
      <c r="W2001" s="662">
        <f>+SUMIF(SYS_4_3_Digitos!$M$5:$M$1682,BALANCE!V2001,SYS_4_3_Digitos!$N$5:$N$1682)</f>
        <v>0</v>
      </c>
    </row>
    <row r="2002" spans="22:23" hidden="1">
      <c r="V2002" s="661">
        <v>5711</v>
      </c>
      <c r="W2002" s="662">
        <f>+SUMIF(SYS_4_3_Digitos!$M$5:$M$1682,BALANCE!V2002,SYS_4_3_Digitos!$N$5:$N$1682)</f>
        <v>0</v>
      </c>
    </row>
    <row r="2003" spans="22:23" hidden="1">
      <c r="V2003" s="661">
        <v>5712</v>
      </c>
      <c r="W2003" s="662">
        <f>+SUMIF(SYS_4_3_Digitos!$M$5:$M$1682,BALANCE!V2003,SYS_4_3_Digitos!$N$5:$N$1682)</f>
        <v>0</v>
      </c>
    </row>
    <row r="2004" spans="22:23" hidden="1">
      <c r="V2004" s="661">
        <v>5713</v>
      </c>
      <c r="W2004" s="662">
        <f>+SUMIF(SYS_4_3_Digitos!$M$5:$M$1682,BALANCE!V2004,SYS_4_3_Digitos!$N$5:$N$1682)</f>
        <v>0</v>
      </c>
    </row>
    <row r="2005" spans="22:23" hidden="1">
      <c r="V2005" s="661">
        <v>5714</v>
      </c>
      <c r="W2005" s="662">
        <f>+SUMIF(SYS_4_3_Digitos!$M$5:$M$1682,BALANCE!V2005,SYS_4_3_Digitos!$N$5:$N$1682)</f>
        <v>0</v>
      </c>
    </row>
    <row r="2006" spans="22:23" hidden="1">
      <c r="V2006" s="661">
        <v>5715</v>
      </c>
      <c r="W2006" s="662">
        <f>+SUMIF(SYS_4_3_Digitos!$M$5:$M$1682,BALANCE!V2006,SYS_4_3_Digitos!$N$5:$N$1682)</f>
        <v>0</v>
      </c>
    </row>
    <row r="2007" spans="22:23" hidden="1">
      <c r="V2007" s="661">
        <v>5716</v>
      </c>
      <c r="W2007" s="662">
        <f>+SUMIF(SYS_4_3_Digitos!$M$5:$M$1682,BALANCE!V2007,SYS_4_3_Digitos!$N$5:$N$1682)</f>
        <v>0</v>
      </c>
    </row>
    <row r="2008" spans="22:23" hidden="1">
      <c r="V2008" s="661">
        <v>5717</v>
      </c>
      <c r="W2008" s="662">
        <f>+SUMIF(SYS_4_3_Digitos!$M$5:$M$1682,BALANCE!V2008,SYS_4_3_Digitos!$N$5:$N$1682)</f>
        <v>0</v>
      </c>
    </row>
    <row r="2009" spans="22:23" hidden="1">
      <c r="V2009" s="661">
        <v>5718</v>
      </c>
      <c r="W2009" s="662">
        <f>+SUMIF(SYS_4_3_Digitos!$M$5:$M$1682,BALANCE!V2009,SYS_4_3_Digitos!$N$5:$N$1682)</f>
        <v>0</v>
      </c>
    </row>
    <row r="2010" spans="22:23" hidden="1">
      <c r="V2010" s="661">
        <v>5719</v>
      </c>
      <c r="W2010" s="662">
        <f>+SUMIF(SYS_4_3_Digitos!$M$5:$M$1682,BALANCE!V2010,SYS_4_3_Digitos!$N$5:$N$1682)</f>
        <v>0</v>
      </c>
    </row>
    <row r="2011" spans="22:23" hidden="1">
      <c r="V2011" s="661">
        <v>5720</v>
      </c>
      <c r="W2011" s="662">
        <f ca="1">+SUMIF(SYS_4_3_Digitos!$M$5:$M$1682,BALANCE!V2011,SYS_4_3_Digitos!$N$5:$N$1682)</f>
        <v>85566358.589999989</v>
      </c>
    </row>
    <row r="2012" spans="22:23" hidden="1">
      <c r="V2012" s="661">
        <v>5721</v>
      </c>
      <c r="W2012" s="662">
        <f>+SUMIF(SYS_4_3_Digitos!$M$5:$M$1682,BALANCE!V2012,SYS_4_3_Digitos!$N$5:$N$1682)</f>
        <v>0</v>
      </c>
    </row>
    <row r="2013" spans="22:23" hidden="1">
      <c r="V2013" s="661">
        <v>5722</v>
      </c>
      <c r="W2013" s="662">
        <f>+SUMIF(SYS_4_3_Digitos!$M$5:$M$1682,BALANCE!V2013,SYS_4_3_Digitos!$N$5:$N$1682)</f>
        <v>0</v>
      </c>
    </row>
    <row r="2014" spans="22:23" hidden="1">
      <c r="V2014" s="661">
        <v>5723</v>
      </c>
      <c r="W2014" s="662">
        <f>+SUMIF(SYS_4_3_Digitos!$M$5:$M$1682,BALANCE!V2014,SYS_4_3_Digitos!$N$5:$N$1682)</f>
        <v>0</v>
      </c>
    </row>
    <row r="2015" spans="22:23" hidden="1">
      <c r="V2015" s="661">
        <v>5724</v>
      </c>
      <c r="W2015" s="662">
        <f>+SUMIF(SYS_4_3_Digitos!$M$5:$M$1682,BALANCE!V2015,SYS_4_3_Digitos!$N$5:$N$1682)</f>
        <v>0</v>
      </c>
    </row>
    <row r="2016" spans="22:23" hidden="1">
      <c r="V2016" s="661">
        <v>5725</v>
      </c>
      <c r="W2016" s="662">
        <f>+SUMIF(SYS_4_3_Digitos!$M$5:$M$1682,BALANCE!V2016,SYS_4_3_Digitos!$N$5:$N$1682)</f>
        <v>0</v>
      </c>
    </row>
    <row r="2017" spans="22:23" hidden="1">
      <c r="V2017" s="661">
        <v>5726</v>
      </c>
      <c r="W2017" s="662">
        <f>+SUMIF(SYS_4_3_Digitos!$M$5:$M$1682,BALANCE!V2017,SYS_4_3_Digitos!$N$5:$N$1682)</f>
        <v>0</v>
      </c>
    </row>
    <row r="2018" spans="22:23" hidden="1">
      <c r="V2018" s="661">
        <v>5727</v>
      </c>
      <c r="W2018" s="662">
        <f>+SUMIF(SYS_4_3_Digitos!$M$5:$M$1682,BALANCE!V2018,SYS_4_3_Digitos!$N$5:$N$1682)</f>
        <v>0</v>
      </c>
    </row>
    <row r="2019" spans="22:23" hidden="1">
      <c r="V2019" s="661">
        <v>5728</v>
      </c>
      <c r="W2019" s="662">
        <f>+SUMIF(SYS_4_3_Digitos!$M$5:$M$1682,BALANCE!V2019,SYS_4_3_Digitos!$N$5:$N$1682)</f>
        <v>0</v>
      </c>
    </row>
    <row r="2020" spans="22:23" hidden="1">
      <c r="V2020" s="661">
        <v>5729</v>
      </c>
      <c r="W2020" s="662">
        <f>+SUMIF(SYS_4_3_Digitos!$M$5:$M$1682,BALANCE!V2020,SYS_4_3_Digitos!$N$5:$N$1682)</f>
        <v>0</v>
      </c>
    </row>
    <row r="2021" spans="22:23" hidden="1">
      <c r="V2021" s="661">
        <v>5730</v>
      </c>
      <c r="W2021" s="662">
        <f ca="1">+SUMIF(SYS_4_3_Digitos!$M$5:$M$1682,BALANCE!V2021,SYS_4_3_Digitos!$N$5:$N$1682)</f>
        <v>10007.01</v>
      </c>
    </row>
    <row r="2022" spans="22:23" hidden="1">
      <c r="V2022" s="661">
        <v>5731</v>
      </c>
      <c r="W2022" s="662">
        <f>+SUMIF(SYS_4_3_Digitos!$M$5:$M$1682,BALANCE!V2022,SYS_4_3_Digitos!$N$5:$N$1682)</f>
        <v>0</v>
      </c>
    </row>
    <row r="2023" spans="22:23" hidden="1">
      <c r="V2023" s="661">
        <v>5732</v>
      </c>
      <c r="W2023" s="662">
        <f>+SUMIF(SYS_4_3_Digitos!$M$5:$M$1682,BALANCE!V2023,SYS_4_3_Digitos!$N$5:$N$1682)</f>
        <v>0</v>
      </c>
    </row>
    <row r="2024" spans="22:23" hidden="1">
      <c r="V2024" s="661">
        <v>5733</v>
      </c>
      <c r="W2024" s="662">
        <f>+SUMIF(SYS_4_3_Digitos!$M$5:$M$1682,BALANCE!V2024,SYS_4_3_Digitos!$N$5:$N$1682)</f>
        <v>0</v>
      </c>
    </row>
    <row r="2025" spans="22:23" hidden="1">
      <c r="V2025" s="661">
        <v>5734</v>
      </c>
      <c r="W2025" s="662">
        <f>+SUMIF(SYS_4_3_Digitos!$M$5:$M$1682,BALANCE!V2025,SYS_4_3_Digitos!$N$5:$N$1682)</f>
        <v>0</v>
      </c>
    </row>
    <row r="2026" spans="22:23" hidden="1">
      <c r="V2026" s="661">
        <v>5735</v>
      </c>
      <c r="W2026" s="662">
        <f>+SUMIF(SYS_4_3_Digitos!$M$5:$M$1682,BALANCE!V2026,SYS_4_3_Digitos!$N$5:$N$1682)</f>
        <v>0</v>
      </c>
    </row>
    <row r="2027" spans="22:23" hidden="1">
      <c r="V2027" s="661">
        <v>5736</v>
      </c>
      <c r="W2027" s="662">
        <f>+SUMIF(SYS_4_3_Digitos!$M$5:$M$1682,BALANCE!V2027,SYS_4_3_Digitos!$N$5:$N$1682)</f>
        <v>0</v>
      </c>
    </row>
    <row r="2028" spans="22:23" hidden="1">
      <c r="V2028" s="661">
        <v>5737</v>
      </c>
      <c r="W2028" s="662">
        <f>+SUMIF(SYS_4_3_Digitos!$M$5:$M$1682,BALANCE!V2028,SYS_4_3_Digitos!$N$5:$N$1682)</f>
        <v>0</v>
      </c>
    </row>
    <row r="2029" spans="22:23" hidden="1">
      <c r="V2029" s="661">
        <v>5738</v>
      </c>
      <c r="W2029" s="662">
        <f>+SUMIF(SYS_4_3_Digitos!$M$5:$M$1682,BALANCE!V2029,SYS_4_3_Digitos!$N$5:$N$1682)</f>
        <v>0</v>
      </c>
    </row>
    <row r="2030" spans="22:23" hidden="1">
      <c r="V2030" s="661">
        <v>5739</v>
      </c>
      <c r="W2030" s="662">
        <f>+SUMIF(SYS_4_3_Digitos!$M$5:$M$1682,BALANCE!V2030,SYS_4_3_Digitos!$N$5:$N$1682)</f>
        <v>0</v>
      </c>
    </row>
    <row r="2031" spans="22:23" hidden="1">
      <c r="V2031" s="661">
        <v>5740</v>
      </c>
      <c r="W2031" s="662">
        <f ca="1">+SUMIF(SYS_4_3_Digitos!$M$5:$M$1682,BALANCE!V2031,SYS_4_3_Digitos!$N$5:$N$1682)</f>
        <v>0</v>
      </c>
    </row>
    <row r="2032" spans="22:23" hidden="1">
      <c r="V2032" s="661">
        <v>5741</v>
      </c>
      <c r="W2032" s="662">
        <f>+SUMIF(SYS_4_3_Digitos!$M$5:$M$1682,BALANCE!V2032,SYS_4_3_Digitos!$N$5:$N$1682)</f>
        <v>0</v>
      </c>
    </row>
    <row r="2033" spans="21:23" hidden="1">
      <c r="V2033" s="661">
        <v>5742</v>
      </c>
      <c r="W2033" s="662">
        <f>+SUMIF(SYS_4_3_Digitos!$M$5:$M$1682,BALANCE!V2033,SYS_4_3_Digitos!$N$5:$N$1682)</f>
        <v>0</v>
      </c>
    </row>
    <row r="2034" spans="21:23" hidden="1">
      <c r="V2034" s="661">
        <v>5743</v>
      </c>
      <c r="W2034" s="662">
        <f>+SUMIF(SYS_4_3_Digitos!$M$5:$M$1682,BALANCE!V2034,SYS_4_3_Digitos!$N$5:$N$1682)</f>
        <v>0</v>
      </c>
    </row>
    <row r="2035" spans="21:23" hidden="1">
      <c r="V2035" s="661">
        <v>5744</v>
      </c>
      <c r="W2035" s="662">
        <f>+SUMIF(SYS_4_3_Digitos!$M$5:$M$1682,BALANCE!V2035,SYS_4_3_Digitos!$N$5:$N$1682)</f>
        <v>0</v>
      </c>
    </row>
    <row r="2036" spans="21:23" hidden="1">
      <c r="V2036" s="661">
        <v>5745</v>
      </c>
      <c r="W2036" s="662">
        <f>+SUMIF(SYS_4_3_Digitos!$M$5:$M$1682,BALANCE!V2036,SYS_4_3_Digitos!$N$5:$N$1682)</f>
        <v>0</v>
      </c>
    </row>
    <row r="2037" spans="21:23" hidden="1">
      <c r="V2037" s="661">
        <v>5746</v>
      </c>
      <c r="W2037" s="662">
        <f>+SUMIF(SYS_4_3_Digitos!$M$5:$M$1682,BALANCE!V2037,SYS_4_3_Digitos!$N$5:$N$1682)</f>
        <v>0</v>
      </c>
    </row>
    <row r="2038" spans="21:23" hidden="1">
      <c r="V2038" s="661">
        <v>5747</v>
      </c>
      <c r="W2038" s="662">
        <f>+SUMIF(SYS_4_3_Digitos!$M$5:$M$1682,BALANCE!V2038,SYS_4_3_Digitos!$N$5:$N$1682)</f>
        <v>0</v>
      </c>
    </row>
    <row r="2039" spans="21:23" hidden="1">
      <c r="V2039" s="661">
        <v>5748</v>
      </c>
      <c r="W2039" s="662">
        <f>+SUMIF(SYS_4_3_Digitos!$M$5:$M$1682,BALANCE!V2039,SYS_4_3_Digitos!$N$5:$N$1682)</f>
        <v>0</v>
      </c>
    </row>
    <row r="2040" spans="21:23" hidden="1">
      <c r="U2040" s="722">
        <v>576</v>
      </c>
      <c r="V2040" s="661">
        <v>5749</v>
      </c>
      <c r="W2040" s="662">
        <f>+SUMIF(SYS_4_3_Digitos!$M$5:$M$1682,BALANCE!V2040,SYS_4_3_Digitos!$N$5:$N$1682)</f>
        <v>0</v>
      </c>
    </row>
    <row r="2041" spans="21:23" hidden="1">
      <c r="U2041" s="722"/>
      <c r="V2041" s="661">
        <v>5750</v>
      </c>
      <c r="W2041" s="662">
        <f>+SUMIF(SYS_4_3_Digitos!$M$5:$M$1682,BALANCE!V2041,SYS_4_3_Digitos!$N$5:$N$1682)</f>
        <v>0</v>
      </c>
    </row>
    <row r="2042" spans="21:23" hidden="1">
      <c r="U2042" s="722"/>
      <c r="V2042" s="661">
        <v>5751</v>
      </c>
      <c r="W2042" s="662">
        <f>+SUMIF(SYS_4_3_Digitos!$M$5:$M$1682,BALANCE!V2042,SYS_4_3_Digitos!$N$5:$N$1682)</f>
        <v>0</v>
      </c>
    </row>
    <row r="2043" spans="21:23" hidden="1">
      <c r="U2043" s="722"/>
      <c r="V2043" s="661">
        <v>5752</v>
      </c>
      <c r="W2043" s="662">
        <f>+SUMIF(SYS_4_3_Digitos!$M$5:$M$1682,BALANCE!V2043,SYS_4_3_Digitos!$N$5:$N$1682)</f>
        <v>0</v>
      </c>
    </row>
    <row r="2044" spans="21:23" hidden="1">
      <c r="U2044" s="722"/>
      <c r="V2044" s="661">
        <v>5753</v>
      </c>
      <c r="W2044" s="662">
        <f>+SUMIF(SYS_4_3_Digitos!$M$5:$M$1682,BALANCE!V2044,SYS_4_3_Digitos!$N$5:$N$1682)</f>
        <v>0</v>
      </c>
    </row>
    <row r="2045" spans="21:23" hidden="1">
      <c r="U2045" s="722"/>
      <c r="V2045" s="661">
        <v>5754</v>
      </c>
      <c r="W2045" s="662">
        <f>+SUMIF(SYS_4_3_Digitos!$M$5:$M$1682,BALANCE!V2045,SYS_4_3_Digitos!$N$5:$N$1682)</f>
        <v>0</v>
      </c>
    </row>
    <row r="2046" spans="21:23" hidden="1">
      <c r="U2046" s="722"/>
      <c r="V2046" s="661">
        <v>5755</v>
      </c>
      <c r="W2046" s="662">
        <f>+SUMIF(SYS_4_3_Digitos!$M$5:$M$1682,BALANCE!V2046,SYS_4_3_Digitos!$N$5:$N$1682)</f>
        <v>0</v>
      </c>
    </row>
    <row r="2047" spans="21:23" hidden="1">
      <c r="U2047" s="722"/>
      <c r="V2047" s="661">
        <v>5756</v>
      </c>
      <c r="W2047" s="662">
        <f>+SUMIF(SYS_4_3_Digitos!$M$5:$M$1682,BALANCE!V2047,SYS_4_3_Digitos!$N$5:$N$1682)</f>
        <v>0</v>
      </c>
    </row>
    <row r="2048" spans="21:23" hidden="1">
      <c r="U2048" s="722"/>
      <c r="V2048" s="661">
        <v>5757</v>
      </c>
      <c r="W2048" s="662">
        <f>+SUMIF(SYS_4_3_Digitos!$M$5:$M$1682,BALANCE!V2048,SYS_4_3_Digitos!$N$5:$N$1682)</f>
        <v>0</v>
      </c>
    </row>
    <row r="2049" spans="21:23" hidden="1">
      <c r="U2049" s="722"/>
      <c r="V2049" s="661">
        <v>5758</v>
      </c>
      <c r="W2049" s="662">
        <f>+SUMIF(SYS_4_3_Digitos!$M$5:$M$1682,BALANCE!V2049,SYS_4_3_Digitos!$N$5:$N$1682)</f>
        <v>0</v>
      </c>
    </row>
    <row r="2050" spans="21:23" hidden="1">
      <c r="V2050" s="661">
        <v>5759</v>
      </c>
      <c r="W2050" s="662">
        <f>+SUMIF(SYS_4_3_Digitos!$M$5:$M$1682,BALANCE!V2050,SYS_4_3_Digitos!$N$5:$N$1682)</f>
        <v>0</v>
      </c>
    </row>
    <row r="2051" spans="21:23" hidden="1">
      <c r="V2051" s="653" t="s">
        <v>51</v>
      </c>
      <c r="W2051" s="654">
        <f>SUM(W2052:W2061)</f>
        <v>0</v>
      </c>
    </row>
    <row r="2052" spans="21:23" hidden="1">
      <c r="V2052" s="661">
        <v>5760</v>
      </c>
      <c r="W2052" s="662">
        <f>+SUMIF(SYS_4_3_Digitos!$M$5:$M$1682,BALANCE!V2052,SYS_4_3_Digitos!$N$5:$N$1682)</f>
        <v>0</v>
      </c>
    </row>
    <row r="2053" spans="21:23" hidden="1">
      <c r="V2053" s="661">
        <v>5761</v>
      </c>
      <c r="W2053" s="662">
        <f>+SUMIF(SYS_4_3_Digitos!$M$5:$M$1682,BALANCE!V2053,SYS_4_3_Digitos!$N$5:$N$1682)</f>
        <v>0</v>
      </c>
    </row>
    <row r="2054" spans="21:23" hidden="1">
      <c r="V2054" s="661">
        <v>5762</v>
      </c>
      <c r="W2054" s="662">
        <f>+SUMIF(SYS_4_3_Digitos!$M$5:$M$1682,BALANCE!V2054,SYS_4_3_Digitos!$N$5:$N$1682)</f>
        <v>0</v>
      </c>
    </row>
    <row r="2055" spans="21:23" hidden="1">
      <c r="V2055" s="661">
        <v>5763</v>
      </c>
      <c r="W2055" s="662">
        <f>+SUMIF(SYS_4_3_Digitos!$M$5:$M$1682,BALANCE!V2055,SYS_4_3_Digitos!$N$5:$N$1682)</f>
        <v>0</v>
      </c>
    </row>
    <row r="2056" spans="21:23" hidden="1">
      <c r="V2056" s="661">
        <v>5764</v>
      </c>
      <c r="W2056" s="662">
        <f>+SUMIF(SYS_4_3_Digitos!$M$5:$M$1682,BALANCE!V2056,SYS_4_3_Digitos!$N$5:$N$1682)</f>
        <v>0</v>
      </c>
    </row>
    <row r="2057" spans="21:23" hidden="1">
      <c r="V2057" s="661">
        <v>5765</v>
      </c>
      <c r="W2057" s="662">
        <f>+SUMIF(SYS_4_3_Digitos!$M$5:$M$1682,BALANCE!V2057,SYS_4_3_Digitos!$N$5:$N$1682)</f>
        <v>0</v>
      </c>
    </row>
    <row r="2058" spans="21:23" hidden="1">
      <c r="V2058" s="661">
        <v>5766</v>
      </c>
      <c r="W2058" s="662">
        <f>+SUMIF(SYS_4_3_Digitos!$M$5:$M$1682,BALANCE!V2058,SYS_4_3_Digitos!$N$5:$N$1682)</f>
        <v>0</v>
      </c>
    </row>
    <row r="2059" spans="21:23" hidden="1">
      <c r="V2059" s="661">
        <v>5767</v>
      </c>
      <c r="W2059" s="662">
        <f>+SUMIF(SYS_4_3_Digitos!$M$5:$M$1682,BALANCE!V2059,SYS_4_3_Digitos!$N$5:$N$1682)</f>
        <v>0</v>
      </c>
    </row>
    <row r="2060" spans="21:23" hidden="1">
      <c r="V2060" s="661">
        <v>5768</v>
      </c>
      <c r="W2060" s="662">
        <f>+SUMIF(SYS_4_3_Digitos!$M$5:$M$1682,BALANCE!V2060,SYS_4_3_Digitos!$N$5:$N$1682)</f>
        <v>0</v>
      </c>
    </row>
    <row r="2061" spans="21:23" hidden="1">
      <c r="V2061" s="661">
        <v>5769</v>
      </c>
      <c r="W2061" s="662">
        <f>+SUMIF(SYS_4_3_Digitos!$M$5:$M$1682,BALANCE!V2061,SYS_4_3_Digitos!$N$5:$N$1682)</f>
        <v>0</v>
      </c>
    </row>
    <row r="2062" spans="21:23" hidden="1">
      <c r="W2062" s="668"/>
    </row>
    <row r="2063" spans="21:23" ht="17.399999999999999" hidden="1">
      <c r="V2063" s="620" t="s">
        <v>52</v>
      </c>
      <c r="W2063" s="727"/>
    </row>
  </sheetData>
  <sheetProtection sheet="1" objects="1" scenarios="1"/>
  <mergeCells count="2">
    <mergeCell ref="M7:N7"/>
    <mergeCell ref="E7:F7"/>
  </mergeCells>
  <conditionalFormatting sqref="E11">
    <cfRule type="expression" dxfId="569" priority="29">
      <formula>INT($E$84)&lt;&gt;0</formula>
    </cfRule>
  </conditionalFormatting>
  <conditionalFormatting sqref="M11">
    <cfRule type="expression" dxfId="568" priority="28">
      <formula>INT($E$84)&lt;&gt;0</formula>
    </cfRule>
  </conditionalFormatting>
  <conditionalFormatting sqref="E13:E22 P43:P82 M43:M82 M13:M25 P13:P25 M32:M41 P32:P41 E24:E26 E28:E29 E31:E35 E37:E79 H37:H79 E81:E82 H81:H82">
    <cfRule type="cellIs" dxfId="567" priority="17" operator="lessThan">
      <formula>0</formula>
    </cfRule>
  </conditionalFormatting>
  <conditionalFormatting sqref="H13:H22 H24:H26 H28:H29 H31:H35">
    <cfRule type="cellIs" dxfId="566" priority="16" operator="lessThan">
      <formula>0</formula>
    </cfRule>
  </conditionalFormatting>
  <conditionalFormatting sqref="H11">
    <cfRule type="expression" dxfId="565" priority="14">
      <formula>INT($H$84)&lt;&gt;0</formula>
    </cfRule>
  </conditionalFormatting>
  <conditionalFormatting sqref="P11">
    <cfRule type="expression" dxfId="564" priority="13">
      <formula>INT($H$84)&lt;&gt;0</formula>
    </cfRule>
  </conditionalFormatting>
  <conditionalFormatting sqref="M42 P42">
    <cfRule type="cellIs" dxfId="563" priority="10" operator="lessThan">
      <formula>0</formula>
    </cfRule>
  </conditionalFormatting>
  <conditionalFormatting sqref="E23">
    <cfRule type="cellIs" dxfId="562" priority="9" operator="lessThan">
      <formula>0</formula>
    </cfRule>
  </conditionalFormatting>
  <conditionalFormatting sqref="H23">
    <cfRule type="cellIs" dxfId="561" priority="8" operator="lessThan">
      <formula>0</formula>
    </cfRule>
  </conditionalFormatting>
  <conditionalFormatting sqref="E27">
    <cfRule type="cellIs" dxfId="560" priority="7" operator="lessThan">
      <formula>0</formula>
    </cfRule>
  </conditionalFormatting>
  <conditionalFormatting sqref="H27">
    <cfRule type="cellIs" dxfId="559" priority="6" operator="lessThan">
      <formula>0</formula>
    </cfRule>
  </conditionalFormatting>
  <conditionalFormatting sqref="E30">
    <cfRule type="cellIs" dxfId="558" priority="5" operator="lessThan">
      <formula>0</formula>
    </cfRule>
  </conditionalFormatting>
  <conditionalFormatting sqref="H30">
    <cfRule type="cellIs" dxfId="557" priority="4" operator="lessThan">
      <formula>0</formula>
    </cfRule>
  </conditionalFormatting>
  <conditionalFormatting sqref="E36">
    <cfRule type="cellIs" dxfId="556" priority="3" operator="lessThan">
      <formula>0</formula>
    </cfRule>
  </conditionalFormatting>
  <conditionalFormatting sqref="H36">
    <cfRule type="cellIs" dxfId="555" priority="2" operator="lessThan">
      <formula>0</formula>
    </cfRule>
  </conditionalFormatting>
  <conditionalFormatting sqref="E80 H80">
    <cfRule type="cellIs" dxfId="554" priority="1" operator="lessThan">
      <formula>0</formula>
    </cfRule>
  </conditionalFormatting>
  <pageMargins left="0.62992125984251968" right="0.23622047244094491" top="0.74803149606299213" bottom="0.74803149606299213" header="0.31496062992125984" footer="0.31496062992125984"/>
  <pageSetup paperSize="9" scale="54" fitToWidth="2" fitToHeight="2" orientation="portrait" r:id="rId1"/>
  <headerFooter>
    <oddFooter>&amp;C&amp;"Arial,Normal"&amp;12&amp;K03-024Balance de Situación Normal</oddFooter>
  </headerFooter>
  <colBreaks count="1" manualBreakCount="1">
    <brk id="10" max="81" man="1"/>
  </colBreaks>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4">
    <tabColor rgb="FFFFC000"/>
  </sheetPr>
  <dimension ref="A1:XFC404"/>
  <sheetViews>
    <sheetView showGridLines="0" showRowColHeaders="0" showZeros="0" view="pageBreakPreview" zoomScaleNormal="100" zoomScaleSheetLayoutView="100" workbookViewId="0">
      <pane xSplit="2" ySplit="9" topLeftCell="C106" activePane="bottomRight" state="frozen"/>
      <selection activeCell="H58" sqref="H58"/>
      <selection pane="topRight" activeCell="H58" sqref="H58"/>
      <selection pane="bottomLeft" activeCell="H58" sqref="H58"/>
      <selection pane="bottomRight" activeCell="H58" sqref="H58"/>
    </sheetView>
  </sheetViews>
  <sheetFormatPr baseColWidth="10" defaultColWidth="0" defaultRowHeight="13.8" zeroHeight="1" outlineLevelRow="1"/>
  <cols>
    <col min="1" max="1" width="2.44140625" style="553" customWidth="1"/>
    <col min="2" max="2" width="24" style="553" customWidth="1"/>
    <col min="3" max="3" width="12" style="553" customWidth="1"/>
    <col min="4" max="4" width="26.44140625" style="553" customWidth="1"/>
    <col min="5" max="5" width="19" style="553" customWidth="1"/>
    <col min="6" max="6" width="1.5546875" style="553" customWidth="1"/>
    <col min="7" max="7" width="16" style="553" customWidth="1"/>
    <col min="8" max="8" width="31" style="553" customWidth="1"/>
    <col min="9" max="9" width="12" style="553" customWidth="1"/>
    <col min="10" max="10" width="19.5546875" style="553" customWidth="1"/>
    <col min="11" max="11" width="3.44140625" style="553" customWidth="1"/>
    <col min="12" max="12" width="16" style="553" hidden="1"/>
    <col min="13" max="13" width="32.44140625" style="1852" hidden="1"/>
    <col min="14" max="14" width="51.5546875" style="1852" hidden="1"/>
    <col min="15" max="18" width="32.44140625" style="1852" hidden="1"/>
    <col min="19" max="16383" width="32.44140625" style="553" hidden="1"/>
    <col min="16384" max="16384" width="41.5546875" style="553" hidden="1"/>
  </cols>
  <sheetData>
    <row r="1" spans="1:18" s="565" customFormat="1" ht="21">
      <c r="A1" s="564"/>
      <c r="C1" s="553"/>
      <c r="D1" s="553"/>
      <c r="E1" s="553"/>
      <c r="F1" s="553"/>
      <c r="G1" s="553"/>
      <c r="H1" s="553"/>
      <c r="I1" s="553"/>
      <c r="J1" s="553"/>
      <c r="K1" s="553"/>
      <c r="L1" s="553"/>
      <c r="M1" s="1852"/>
      <c r="N1" s="1852"/>
      <c r="O1" s="1853"/>
      <c r="P1" s="1853"/>
      <c r="Q1" s="1853"/>
      <c r="R1" s="1853"/>
    </row>
    <row r="2" spans="1:18" s="566" customFormat="1" ht="29.25" customHeight="1">
      <c r="A2" s="564"/>
      <c r="B2" s="563" t="str">
        <f>+MENU!C5</f>
        <v>Sociedad:</v>
      </c>
      <c r="C2" s="1089" t="str">
        <f>+MENU!E5</f>
        <v>MARIO PILATO BLAT, S.A.</v>
      </c>
      <c r="D2" s="1089"/>
      <c r="E2" s="553"/>
      <c r="F2" s="553"/>
      <c r="G2" s="553"/>
      <c r="H2" s="553"/>
      <c r="I2" s="553"/>
      <c r="K2" s="567"/>
      <c r="M2" s="1854"/>
      <c r="N2" s="1855"/>
      <c r="O2" s="1855"/>
      <c r="P2" s="1855"/>
      <c r="Q2" s="1855"/>
      <c r="R2" s="1854"/>
    </row>
    <row r="3" spans="1:18" ht="15" customHeight="1"/>
    <row r="4" spans="1:18" ht="21">
      <c r="B4" s="1090" t="str">
        <f>+instrucciones!$C$7</f>
        <v>Fecha de cierre</v>
      </c>
      <c r="C4" s="2250">
        <f>+MENU!D7</f>
        <v>45657</v>
      </c>
      <c r="D4" s="2250"/>
      <c r="G4" s="568"/>
    </row>
    <row r="5" spans="1:18"/>
    <row r="6" spans="1:18">
      <c r="B6" s="569"/>
      <c r="J6" s="569"/>
    </row>
    <row r="7" spans="1:18" ht="24" customHeight="1">
      <c r="B7" s="599" t="s">
        <v>1549</v>
      </c>
      <c r="C7" s="570">
        <f>INT((+SUM(B11:B1176)-SUM(J11:J1176))/2)</f>
        <v>-1</v>
      </c>
      <c r="D7" s="571"/>
      <c r="E7" s="571"/>
      <c r="G7" s="572"/>
      <c r="H7" s="572"/>
      <c r="I7" s="571"/>
      <c r="J7" s="569"/>
    </row>
    <row r="8" spans="1:18">
      <c r="B8" s="569"/>
      <c r="C8" s="571"/>
      <c r="D8" s="571"/>
      <c r="E8" s="571"/>
      <c r="G8" s="572"/>
      <c r="H8" s="572"/>
      <c r="I8" s="571"/>
      <c r="J8" s="569"/>
    </row>
    <row r="9" spans="1:18" s="573" customFormat="1" ht="28.5" customHeight="1">
      <c r="B9" s="600" t="s">
        <v>912</v>
      </c>
      <c r="C9" s="601" t="s">
        <v>911</v>
      </c>
      <c r="D9" s="601" t="s">
        <v>910</v>
      </c>
      <c r="E9" s="601" t="s">
        <v>909</v>
      </c>
      <c r="F9" s="574"/>
      <c r="G9" s="600" t="s">
        <v>909</v>
      </c>
      <c r="H9" s="601" t="s">
        <v>910</v>
      </c>
      <c r="I9" s="601" t="s">
        <v>911</v>
      </c>
      <c r="J9" s="601" t="s">
        <v>913</v>
      </c>
      <c r="K9" s="553"/>
      <c r="L9" s="553"/>
      <c r="M9" s="1856"/>
      <c r="N9" s="1856"/>
      <c r="O9" s="1856"/>
      <c r="P9" s="1856"/>
      <c r="Q9" s="1856"/>
      <c r="R9" s="1856"/>
    </row>
    <row r="10" spans="1:18" ht="13.5" customHeight="1">
      <c r="B10" s="569"/>
      <c r="C10" s="571"/>
      <c r="D10" s="571"/>
      <c r="E10" s="571"/>
      <c r="F10" s="575"/>
      <c r="G10" s="572"/>
      <c r="H10" s="572"/>
      <c r="I10" s="571"/>
      <c r="J10" s="569"/>
    </row>
    <row r="11" spans="1:18" ht="15.6">
      <c r="B11" s="576" t="s">
        <v>2952</v>
      </c>
      <c r="C11" s="554"/>
      <c r="D11" s="571"/>
      <c r="E11" s="571"/>
      <c r="F11" s="575"/>
      <c r="G11" s="572"/>
      <c r="H11" s="572"/>
      <c r="I11" s="571"/>
      <c r="J11" s="569"/>
      <c r="M11" s="1857" t="s">
        <v>941</v>
      </c>
      <c r="N11" s="1857" t="s">
        <v>942</v>
      </c>
    </row>
    <row r="12" spans="1:18">
      <c r="B12" s="569"/>
      <c r="C12" s="571"/>
      <c r="D12" s="571"/>
      <c r="E12" s="571"/>
      <c r="F12" s="575"/>
      <c r="G12" s="572"/>
      <c r="H12" s="572"/>
      <c r="I12" s="571"/>
      <c r="J12" s="569"/>
      <c r="M12" s="1858"/>
      <c r="N12" s="1858"/>
      <c r="O12" s="1859">
        <f>+SYS_4_3_Digitos!I391-SYS_4_3_Digitos!J391</f>
        <v>0</v>
      </c>
    </row>
    <row r="13" spans="1:18" ht="25.5" customHeight="1">
      <c r="B13" s="577">
        <v>364680.34</v>
      </c>
      <c r="C13" s="578">
        <v>4742</v>
      </c>
      <c r="D13" s="593" t="str">
        <f t="shared" ref="D13:D26" si="0">IF(C13="","",+LOOKUP(C13,$M$12:$M$36733,$N$12:$N$36733))</f>
        <v>DERECHOS POR DEDUCCIONES Y BONIF. PTES DE APLICAR</v>
      </c>
      <c r="E13" s="579">
        <v>4742024</v>
      </c>
      <c r="F13" s="572"/>
      <c r="G13" s="579"/>
      <c r="H13" s="593" t="str">
        <f t="shared" ref="H13:H26" si="1">IF(I13="","",+LOOKUP(I13,$M$12:$M$36733,$N$12:$N$36733))</f>
        <v>IMPUESTO DIFERIDO</v>
      </c>
      <c r="I13" s="578">
        <v>6301</v>
      </c>
      <c r="J13" s="580">
        <v>364680.34</v>
      </c>
      <c r="M13" s="1858"/>
      <c r="N13" s="1858"/>
      <c r="O13" s="1859">
        <f>+SYS_4_3_Digitos!I392-SYS_4_3_Digitos!J392</f>
        <v>0</v>
      </c>
    </row>
    <row r="14" spans="1:18" ht="25.5" customHeight="1">
      <c r="B14" s="581"/>
      <c r="C14" s="582"/>
      <c r="D14" s="594" t="str">
        <f t="shared" si="0"/>
        <v/>
      </c>
      <c r="E14" s="583"/>
      <c r="F14" s="572"/>
      <c r="G14" s="583"/>
      <c r="H14" s="594" t="str">
        <f t="shared" si="1"/>
        <v/>
      </c>
      <c r="I14" s="582"/>
      <c r="J14" s="584"/>
      <c r="M14" s="1858"/>
      <c r="N14" s="1858"/>
      <c r="O14" s="1859">
        <f>+SYS_4_3_Digitos!I393-SYS_4_3_Digitos!J393</f>
        <v>0</v>
      </c>
    </row>
    <row r="15" spans="1:18" ht="25.5" customHeight="1">
      <c r="B15" s="581"/>
      <c r="C15" s="582"/>
      <c r="D15" s="594" t="str">
        <f t="shared" si="0"/>
        <v/>
      </c>
      <c r="E15" s="583"/>
      <c r="F15" s="572"/>
      <c r="G15" s="583"/>
      <c r="H15" s="594" t="str">
        <f t="shared" si="1"/>
        <v/>
      </c>
      <c r="I15" s="582"/>
      <c r="J15" s="584"/>
      <c r="M15" s="1858"/>
      <c r="N15" s="1858"/>
      <c r="O15" s="1859">
        <f>+SYS_4_3_Digitos!I394-SYS_4_3_Digitos!J394</f>
        <v>0</v>
      </c>
    </row>
    <row r="16" spans="1:18" ht="25.5" customHeight="1">
      <c r="B16" s="581"/>
      <c r="C16" s="582"/>
      <c r="D16" s="594" t="str">
        <f t="shared" si="0"/>
        <v/>
      </c>
      <c r="E16" s="583"/>
      <c r="F16" s="572"/>
      <c r="G16" s="583"/>
      <c r="H16" s="594" t="str">
        <f t="shared" si="1"/>
        <v/>
      </c>
      <c r="I16" s="582"/>
      <c r="J16" s="584"/>
      <c r="M16" s="1858">
        <f>+SYS_4_3_Digitos!A141</f>
        <v>30</v>
      </c>
      <c r="N16" s="1858" t="str">
        <f>+SYS_4_3_Digitos!B141</f>
        <v>COMERCIALES</v>
      </c>
      <c r="O16" s="1859">
        <f ca="1">+SYS_4_3_Digitos!I141-SYS_4_3_Digitos!J141</f>
        <v>7571396.0500000007</v>
      </c>
    </row>
    <row r="17" spans="2:15" ht="25.5" customHeight="1">
      <c r="B17" s="585"/>
      <c r="C17" s="582"/>
      <c r="D17" s="594" t="str">
        <f t="shared" si="0"/>
        <v/>
      </c>
      <c r="E17" s="583"/>
      <c r="F17" s="572"/>
      <c r="G17" s="583"/>
      <c r="H17" s="594" t="str">
        <f t="shared" si="1"/>
        <v/>
      </c>
      <c r="I17" s="582"/>
      <c r="J17" s="586"/>
      <c r="M17" s="1858">
        <f>+SYS_4_3_Digitos!A142</f>
        <v>31</v>
      </c>
      <c r="N17" s="1858" t="str">
        <f>+SYS_4_3_Digitos!B142</f>
        <v>MATERIAS PRIMAS</v>
      </c>
      <c r="O17" s="1859">
        <f ca="1">+SYS_4_3_Digitos!I142-SYS_4_3_Digitos!J142</f>
        <v>33428757.619999997</v>
      </c>
    </row>
    <row r="18" spans="2:15" ht="25.5" hidden="1" customHeight="1" outlineLevel="1">
      <c r="B18" s="581"/>
      <c r="C18" s="582"/>
      <c r="D18" s="594" t="str">
        <f t="shared" si="0"/>
        <v/>
      </c>
      <c r="E18" s="583"/>
      <c r="G18" s="583"/>
      <c r="H18" s="594" t="str">
        <f t="shared" si="1"/>
        <v/>
      </c>
      <c r="I18" s="582"/>
      <c r="J18" s="584"/>
      <c r="M18" s="1858">
        <f>+SYS_4_3_Digitos!A143</f>
        <v>32</v>
      </c>
      <c r="N18" s="1858" t="str">
        <f>+SYS_4_3_Digitos!B143</f>
        <v>OTROS APROVISIONAMIENTOS</v>
      </c>
      <c r="O18" s="1859">
        <f ca="1">+SYS_4_3_Digitos!I143-SYS_4_3_Digitos!J143</f>
        <v>254479.54</v>
      </c>
    </row>
    <row r="19" spans="2:15" ht="25.5" hidden="1" customHeight="1" outlineLevel="1">
      <c r="B19" s="581"/>
      <c r="C19" s="582"/>
      <c r="D19" s="594" t="str">
        <f t="shared" si="0"/>
        <v/>
      </c>
      <c r="E19" s="583"/>
      <c r="G19" s="583"/>
      <c r="H19" s="594" t="str">
        <f t="shared" si="1"/>
        <v/>
      </c>
      <c r="I19" s="582"/>
      <c r="J19" s="584"/>
      <c r="M19" s="1858">
        <f>+SYS_4_3_Digitos!A144</f>
        <v>33</v>
      </c>
      <c r="N19" s="1858" t="str">
        <f>+SYS_4_3_Digitos!B144</f>
        <v>PRODUCTOS EN CURSO</v>
      </c>
      <c r="O19" s="1859">
        <f ca="1">+SYS_4_3_Digitos!I144-SYS_4_3_Digitos!J144</f>
        <v>0</v>
      </c>
    </row>
    <row r="20" spans="2:15" ht="25.5" hidden="1" customHeight="1" outlineLevel="1">
      <c r="B20" s="581"/>
      <c r="C20" s="582"/>
      <c r="D20" s="594" t="str">
        <f t="shared" si="0"/>
        <v/>
      </c>
      <c r="E20" s="583"/>
      <c r="G20" s="583"/>
      <c r="H20" s="594" t="str">
        <f t="shared" si="1"/>
        <v/>
      </c>
      <c r="I20" s="582"/>
      <c r="J20" s="584"/>
      <c r="M20" s="1858">
        <f>+SYS_4_3_Digitos!A145</f>
        <v>34</v>
      </c>
      <c r="N20" s="1858" t="str">
        <f>+SYS_4_3_Digitos!B145</f>
        <v>PRODUCTOS SEMITERMINADOS</v>
      </c>
      <c r="O20" s="1859">
        <f ca="1">+SYS_4_3_Digitos!I145-SYS_4_3_Digitos!J145</f>
        <v>0</v>
      </c>
    </row>
    <row r="21" spans="2:15" ht="25.5" hidden="1" customHeight="1" outlineLevel="1">
      <c r="B21" s="581"/>
      <c r="C21" s="582"/>
      <c r="D21" s="594" t="str">
        <f t="shared" si="0"/>
        <v/>
      </c>
      <c r="E21" s="583"/>
      <c r="G21" s="583"/>
      <c r="H21" s="594" t="str">
        <f t="shared" si="1"/>
        <v/>
      </c>
      <c r="I21" s="582"/>
      <c r="J21" s="584"/>
      <c r="M21" s="1858">
        <f>+SYS_4_3_Digitos!A146</f>
        <v>35</v>
      </c>
      <c r="N21" s="1858" t="str">
        <f>+SYS_4_3_Digitos!B146</f>
        <v>PRODUCTOS TERMINADOS</v>
      </c>
      <c r="O21" s="1859">
        <f ca="1">+SYS_4_3_Digitos!I146-SYS_4_3_Digitos!J146</f>
        <v>4499319.3600000003</v>
      </c>
    </row>
    <row r="22" spans="2:15" ht="25.5" hidden="1" customHeight="1" outlineLevel="1">
      <c r="B22" s="581"/>
      <c r="C22" s="582"/>
      <c r="D22" s="594" t="str">
        <f t="shared" si="0"/>
        <v/>
      </c>
      <c r="E22" s="583"/>
      <c r="G22" s="583"/>
      <c r="H22" s="594" t="str">
        <f t="shared" si="1"/>
        <v/>
      </c>
      <c r="I22" s="582"/>
      <c r="J22" s="584"/>
      <c r="M22" s="1858">
        <f>+SYS_4_3_Digitos!A147</f>
        <v>36</v>
      </c>
      <c r="N22" s="1858" t="str">
        <f>+SYS_4_3_Digitos!B147</f>
        <v>SUBPRODUCTOS, RESIDUOS Y MATERIALES RECUPERADOS</v>
      </c>
      <c r="O22" s="1859">
        <f ca="1">+SYS_4_3_Digitos!I147-SYS_4_3_Digitos!J147</f>
        <v>0</v>
      </c>
    </row>
    <row r="23" spans="2:15" ht="25.5" hidden="1" customHeight="1" outlineLevel="1">
      <c r="B23" s="581"/>
      <c r="C23" s="582"/>
      <c r="D23" s="594" t="str">
        <f t="shared" si="0"/>
        <v/>
      </c>
      <c r="E23" s="583"/>
      <c r="G23" s="583"/>
      <c r="H23" s="594" t="str">
        <f t="shared" si="1"/>
        <v/>
      </c>
      <c r="I23" s="582"/>
      <c r="J23" s="584"/>
      <c r="M23" s="1858">
        <f>+SYS_4_3_Digitos!A148</f>
        <v>39</v>
      </c>
      <c r="N23" s="1858" t="str">
        <f>+SYS_4_3_Digitos!B148</f>
        <v>DETERIORO DE VALOR DE EXISTENCIAS</v>
      </c>
      <c r="O23" s="1859">
        <f ca="1">+SYS_4_3_Digitos!I148-SYS_4_3_Digitos!J148</f>
        <v>0</v>
      </c>
    </row>
    <row r="24" spans="2:15" ht="25.5" hidden="1" customHeight="1" outlineLevel="1">
      <c r="B24" s="581"/>
      <c r="C24" s="582"/>
      <c r="D24" s="594" t="str">
        <f t="shared" si="0"/>
        <v/>
      </c>
      <c r="E24" s="583"/>
      <c r="G24" s="583"/>
      <c r="H24" s="594" t="str">
        <f t="shared" si="1"/>
        <v/>
      </c>
      <c r="I24" s="582"/>
      <c r="J24" s="584"/>
      <c r="M24" s="1858">
        <f>+SYS_4_3_Digitos!A194</f>
        <v>50</v>
      </c>
      <c r="N24" s="1858" t="str">
        <f>+SYS_4_3_Digitos!B194</f>
        <v>EMPRÉSTITOS DEUDAS CON CARAT. ESP. Y OTRAS A CP</v>
      </c>
      <c r="O24" s="1859">
        <f ca="1">+SYS_4_3_Digitos!I194-SYS_4_3_Digitos!J194</f>
        <v>0</v>
      </c>
    </row>
    <row r="25" spans="2:15" ht="25.5" hidden="1" customHeight="1" outlineLevel="1">
      <c r="B25" s="581"/>
      <c r="C25" s="582"/>
      <c r="D25" s="594" t="str">
        <f t="shared" si="0"/>
        <v/>
      </c>
      <c r="E25" s="583"/>
      <c r="G25" s="583"/>
      <c r="H25" s="594" t="str">
        <f t="shared" si="1"/>
        <v/>
      </c>
      <c r="I25" s="582"/>
      <c r="J25" s="584"/>
      <c r="M25" s="1858">
        <f>+SYS_4_3_Digitos!A356</f>
        <v>73</v>
      </c>
      <c r="N25" s="1858" t="str">
        <f>+SYS_4_3_Digitos!B356</f>
        <v>TRABAJOS REALIZADOS PARA LA EMPRESA</v>
      </c>
      <c r="O25" s="1859">
        <f ca="1">+SYS_4_3_Digitos!I356-SYS_4_3_Digitos!J356</f>
        <v>0</v>
      </c>
    </row>
    <row r="26" spans="2:15" ht="25.5" hidden="1" customHeight="1" outlineLevel="1">
      <c r="B26" s="587"/>
      <c r="C26" s="588"/>
      <c r="D26" s="595" t="str">
        <f t="shared" si="0"/>
        <v/>
      </c>
      <c r="E26" s="589"/>
      <c r="G26" s="589"/>
      <c r="H26" s="596" t="str">
        <f t="shared" si="1"/>
        <v/>
      </c>
      <c r="I26" s="588"/>
      <c r="J26" s="590"/>
      <c r="M26" s="1858">
        <f>+SYS_4_3_Digitos!A5</f>
        <v>100</v>
      </c>
      <c r="N26" s="1858" t="str">
        <f>+SYS_4_3_Digitos!B5</f>
        <v>CAPITAL SOCIAL</v>
      </c>
      <c r="O26" s="1859">
        <f ca="1">+SYS_4_3_Digitos!I5-SYS_4_3_Digitos!J5</f>
        <v>-140000005.09999999</v>
      </c>
    </row>
    <row r="27" spans="2:15" collapsed="1">
      <c r="B27" s="598">
        <f>SUM(B13:B26)</f>
        <v>364680.34</v>
      </c>
      <c r="C27" s="571"/>
      <c r="E27" s="571"/>
      <c r="F27" s="591">
        <f>+B27-J27</f>
        <v>0</v>
      </c>
      <c r="G27" s="575"/>
      <c r="H27" s="575"/>
      <c r="I27" s="571"/>
      <c r="J27" s="598">
        <f>SUM(J13:J26)</f>
        <v>364680.34</v>
      </c>
      <c r="M27" s="1858">
        <f>+SYS_4_3_Digitos!A6</f>
        <v>103</v>
      </c>
      <c r="N27" s="1858" t="str">
        <f>+SYS_4_3_Digitos!B6</f>
        <v>SOCIOS POR DESEMBOLSOS NO EXIGIDOS</v>
      </c>
      <c r="O27" s="1859">
        <f ca="1">+SYS_4_3_Digitos!I6-SYS_4_3_Digitos!J6</f>
        <v>0</v>
      </c>
    </row>
    <row r="28" spans="2:15">
      <c r="M28" s="1858">
        <f>+SYS_4_3_Digitos!A7</f>
        <v>104</v>
      </c>
      <c r="N28" s="1858" t="str">
        <f>+SYS_4_3_Digitos!B7</f>
        <v>SOCIOS POR APORTACIONES NO DINERARIAS PENDIENTES</v>
      </c>
      <c r="O28" s="1859">
        <f ca="1">+SYS_4_3_Digitos!I7-SYS_4_3_Digitos!J7</f>
        <v>0</v>
      </c>
    </row>
    <row r="29" spans="2:15" ht="15.6">
      <c r="B29" s="576" t="s">
        <v>2953</v>
      </c>
      <c r="C29" s="554"/>
      <c r="D29" s="571"/>
      <c r="E29" s="571"/>
      <c r="F29" s="575"/>
      <c r="G29" s="572"/>
      <c r="H29" s="572"/>
      <c r="I29" s="571"/>
      <c r="J29" s="569"/>
      <c r="M29" s="1858">
        <f>+SYS_4_3_Digitos!A8</f>
        <v>108</v>
      </c>
      <c r="N29" s="1858" t="str">
        <f>+SYS_4_3_Digitos!B8</f>
        <v>ACC. O PARTICIPACIONES PROPIAS EN SIT. ESPECIALES</v>
      </c>
      <c r="O29" s="1859">
        <f ca="1">+SYS_4_3_Digitos!I8-SYS_4_3_Digitos!J8</f>
        <v>0</v>
      </c>
    </row>
    <row r="30" spans="2:15">
      <c r="B30" s="569"/>
      <c r="C30" s="571"/>
      <c r="D30" s="571"/>
      <c r="E30" s="571"/>
      <c r="F30" s="575"/>
      <c r="G30" s="572"/>
      <c r="H30" s="572"/>
      <c r="I30" s="571"/>
      <c r="J30" s="569"/>
      <c r="M30" s="1858">
        <f>+SYS_4_3_Digitos!A9</f>
        <v>109</v>
      </c>
      <c r="N30" s="1858" t="str">
        <f>+SYS_4_3_Digitos!B9</f>
        <v>ACC. O PARTIC. PROPIAS PARA REDUCC. DE CAPITAL</v>
      </c>
      <c r="O30" s="1859">
        <f ca="1">+SYS_4_3_Digitos!I9-SYS_4_3_Digitos!J9</f>
        <v>0</v>
      </c>
    </row>
    <row r="31" spans="2:15" ht="25.5" customHeight="1">
      <c r="B31" s="577">
        <v>37791.71</v>
      </c>
      <c r="C31" s="578">
        <v>6301</v>
      </c>
      <c r="D31" s="593" t="str">
        <f t="shared" ref="D31:D44" si="2">IF(C31="","",+LOOKUP(C31,$M$12:$M$36733,$N$12:$N$36733))</f>
        <v>IMPUESTO DIFERIDO</v>
      </c>
      <c r="E31" s="579"/>
      <c r="F31" s="572"/>
      <c r="G31" s="579">
        <v>4742022</v>
      </c>
      <c r="H31" s="593" t="str">
        <f t="shared" ref="H31:H44" si="3">IF(I31="","",+LOOKUP(I31,$M$12:$M$36733,$N$12:$N$36733))</f>
        <v>DERECHOS POR DEDUCCIONES Y BONIF. PTES DE APLICAR</v>
      </c>
      <c r="I31" s="578">
        <v>4742</v>
      </c>
      <c r="J31" s="580">
        <v>37791.71</v>
      </c>
      <c r="M31" s="1858">
        <f>+SYS_4_3_Digitos!A10</f>
        <v>110</v>
      </c>
      <c r="N31" s="1858" t="str">
        <f>+SYS_4_3_Digitos!B10</f>
        <v>PRIMA DE EMISIÓN O ASUNCIÓN</v>
      </c>
      <c r="O31" s="1859">
        <f ca="1">+SYS_4_3_Digitos!I10-SYS_4_3_Digitos!J10</f>
        <v>0</v>
      </c>
    </row>
    <row r="32" spans="2:15" ht="25.5" customHeight="1">
      <c r="B32" s="581">
        <v>238272.06</v>
      </c>
      <c r="C32" s="582">
        <v>6301</v>
      </c>
      <c r="D32" s="594" t="str">
        <f t="shared" si="2"/>
        <v>IMPUESTO DIFERIDO</v>
      </c>
      <c r="E32" s="583"/>
      <c r="F32" s="572"/>
      <c r="G32" s="579">
        <v>4742023</v>
      </c>
      <c r="H32" s="594" t="str">
        <f t="shared" si="3"/>
        <v>DERECHOS POR DEDUCCIONES Y BONIF. PTES DE APLICAR</v>
      </c>
      <c r="I32" s="582">
        <v>4742</v>
      </c>
      <c r="J32" s="580">
        <v>238272.06</v>
      </c>
      <c r="M32" s="1858">
        <f>+SYS_4_3_Digitos!A11</f>
        <v>111</v>
      </c>
      <c r="N32" s="1858" t="str">
        <f>+SYS_4_3_Digitos!B11</f>
        <v>OTROS INSTRUMENTOS DE PATRIMONIO NETO</v>
      </c>
      <c r="O32" s="1859">
        <f ca="1">+SYS_4_3_Digitos!I11-SYS_4_3_Digitos!J11</f>
        <v>0</v>
      </c>
    </row>
    <row r="33" spans="2:15" ht="25.5" customHeight="1">
      <c r="B33" s="581">
        <v>153351.82</v>
      </c>
      <c r="C33" s="582">
        <v>6301</v>
      </c>
      <c r="D33" s="594" t="str">
        <f t="shared" si="2"/>
        <v>IMPUESTO DIFERIDO</v>
      </c>
      <c r="E33" s="583"/>
      <c r="F33" s="572"/>
      <c r="G33" s="583">
        <v>4742024</v>
      </c>
      <c r="H33" s="594" t="str">
        <f t="shared" si="3"/>
        <v>DERECHOS POR DEDUCCIONES Y BONIF. PTES DE APLICAR</v>
      </c>
      <c r="I33" s="582">
        <v>4742</v>
      </c>
      <c r="J33" s="584">
        <v>153351.82</v>
      </c>
      <c r="M33" s="1858">
        <f>+SYS_4_3_Digitos!A12</f>
        <v>112</v>
      </c>
      <c r="N33" s="1858" t="str">
        <f>+SYS_4_3_Digitos!B12</f>
        <v>RESERVA LEGAL</v>
      </c>
      <c r="O33" s="1859">
        <f ca="1">+SYS_4_3_Digitos!I12-SYS_4_3_Digitos!J12</f>
        <v>-16700583.99</v>
      </c>
    </row>
    <row r="34" spans="2:15" ht="25.5" customHeight="1">
      <c r="B34" s="581"/>
      <c r="C34" s="582"/>
      <c r="D34" s="594" t="str">
        <f t="shared" si="2"/>
        <v/>
      </c>
      <c r="E34" s="583"/>
      <c r="F34" s="572"/>
      <c r="G34" s="583"/>
      <c r="H34" s="594" t="str">
        <f t="shared" si="3"/>
        <v/>
      </c>
      <c r="I34" s="582"/>
      <c r="J34" s="584"/>
      <c r="M34" s="1858">
        <f>+SYS_4_3_Digitos!A13</f>
        <v>113</v>
      </c>
      <c r="N34" s="1858" t="str">
        <f>+SYS_4_3_Digitos!B13</f>
        <v>RESERVAS VOLUNTARIAS</v>
      </c>
      <c r="O34" s="1859">
        <f ca="1">+SYS_4_3_Digitos!I13-SYS_4_3_Digitos!J13</f>
        <v>-138943662.72</v>
      </c>
    </row>
    <row r="35" spans="2:15" ht="25.5" customHeight="1">
      <c r="B35" s="585"/>
      <c r="C35" s="582"/>
      <c r="D35" s="594" t="str">
        <f t="shared" si="2"/>
        <v/>
      </c>
      <c r="E35" s="583"/>
      <c r="F35" s="572"/>
      <c r="G35" s="583"/>
      <c r="H35" s="594" t="str">
        <f t="shared" si="3"/>
        <v/>
      </c>
      <c r="I35" s="582"/>
      <c r="J35" s="586"/>
      <c r="M35" s="1858">
        <f>+SYS_4_3_Digitos!A17</f>
        <v>115</v>
      </c>
      <c r="N35" s="1858" t="str">
        <f>+SYS_4_3_Digitos!B17</f>
        <v>RESERVAS POR P Y G ACTUARIALES Y OTROS AJUSTES</v>
      </c>
      <c r="O35" s="1859">
        <f ca="1">+SYS_4_3_Digitos!I17-SYS_4_3_Digitos!J17</f>
        <v>0</v>
      </c>
    </row>
    <row r="36" spans="2:15" ht="25.5" hidden="1" customHeight="1" outlineLevel="1">
      <c r="B36" s="581"/>
      <c r="C36" s="582"/>
      <c r="D36" s="594" t="str">
        <f t="shared" si="2"/>
        <v/>
      </c>
      <c r="E36" s="583"/>
      <c r="G36" s="583"/>
      <c r="H36" s="594" t="str">
        <f t="shared" si="3"/>
        <v/>
      </c>
      <c r="I36" s="582"/>
      <c r="J36" s="584"/>
      <c r="M36" s="1858">
        <f>+SYS_4_3_Digitos!A18</f>
        <v>118</v>
      </c>
      <c r="N36" s="1858" t="str">
        <f>+SYS_4_3_Digitos!B18</f>
        <v>APORTACIONES DE SOCIOS O PROPIETARIOS</v>
      </c>
      <c r="O36" s="1859">
        <f ca="1">+SYS_4_3_Digitos!I18-SYS_4_3_Digitos!J18</f>
        <v>0</v>
      </c>
    </row>
    <row r="37" spans="2:15" ht="25.5" hidden="1" customHeight="1" outlineLevel="1">
      <c r="B37" s="581"/>
      <c r="C37" s="582"/>
      <c r="D37" s="594" t="str">
        <f t="shared" si="2"/>
        <v/>
      </c>
      <c r="E37" s="583"/>
      <c r="G37" s="583"/>
      <c r="H37" s="594" t="str">
        <f t="shared" si="3"/>
        <v/>
      </c>
      <c r="I37" s="582"/>
      <c r="J37" s="584"/>
      <c r="M37" s="1858">
        <f>+SYS_4_3_Digitos!A19</f>
        <v>119</v>
      </c>
      <c r="N37" s="1858" t="str">
        <f>+SYS_4_3_Digitos!B19</f>
        <v>DIFERENCIA POR AJUSTE DEL CAPITAL A EUROS</v>
      </c>
      <c r="O37" s="1859">
        <f ca="1">+SYS_4_3_Digitos!I19-SYS_4_3_Digitos!J19</f>
        <v>-13.56</v>
      </c>
    </row>
    <row r="38" spans="2:15" ht="25.5" hidden="1" customHeight="1" outlineLevel="1">
      <c r="B38" s="581"/>
      <c r="C38" s="582"/>
      <c r="D38" s="594" t="str">
        <f t="shared" si="2"/>
        <v/>
      </c>
      <c r="E38" s="583"/>
      <c r="G38" s="583"/>
      <c r="H38" s="594" t="str">
        <f t="shared" si="3"/>
        <v/>
      </c>
      <c r="I38" s="582"/>
      <c r="J38" s="584"/>
      <c r="M38" s="1858">
        <f>+SYS_4_3_Digitos!A20</f>
        <v>120</v>
      </c>
      <c r="N38" s="1858" t="str">
        <f>+SYS_4_3_Digitos!B20</f>
        <v>REMANENTE</v>
      </c>
      <c r="O38" s="1859">
        <f ca="1">+SYS_4_3_Digitos!I20-SYS_4_3_Digitos!J20</f>
        <v>0</v>
      </c>
    </row>
    <row r="39" spans="2:15" ht="25.5" hidden="1" customHeight="1" outlineLevel="1">
      <c r="B39" s="581"/>
      <c r="C39" s="582"/>
      <c r="D39" s="594" t="str">
        <f t="shared" si="2"/>
        <v/>
      </c>
      <c r="E39" s="583"/>
      <c r="G39" s="583"/>
      <c r="H39" s="594" t="str">
        <f t="shared" si="3"/>
        <v/>
      </c>
      <c r="I39" s="582"/>
      <c r="J39" s="584"/>
      <c r="M39" s="1858">
        <f>+SYS_4_3_Digitos!A21</f>
        <v>121</v>
      </c>
      <c r="N39" s="1858" t="str">
        <f>+SYS_4_3_Digitos!B21</f>
        <v>RESULTADOS NEGATIVOS DE EJERCICIOS ANTERIORES</v>
      </c>
      <c r="O39" s="1859">
        <f ca="1">+SYS_4_3_Digitos!I21-SYS_4_3_Digitos!J21</f>
        <v>0</v>
      </c>
    </row>
    <row r="40" spans="2:15" ht="25.5" hidden="1" customHeight="1" outlineLevel="1">
      <c r="B40" s="581"/>
      <c r="C40" s="582"/>
      <c r="D40" s="594" t="str">
        <f t="shared" si="2"/>
        <v/>
      </c>
      <c r="E40" s="583"/>
      <c r="G40" s="583"/>
      <c r="H40" s="594" t="str">
        <f t="shared" si="3"/>
        <v/>
      </c>
      <c r="I40" s="582"/>
      <c r="J40" s="584"/>
      <c r="M40" s="1858">
        <f>+SYS_4_3_Digitos!A22</f>
        <v>129</v>
      </c>
      <c r="N40" s="1858" t="str">
        <f>+SYS_4_3_Digitos!B22</f>
        <v>RESULTADO DEL EJERCICIO</v>
      </c>
      <c r="O40" s="1859">
        <f ca="1">+SYS_4_3_Digitos!I22-SYS_4_3_Digitos!J22</f>
        <v>0</v>
      </c>
    </row>
    <row r="41" spans="2:15" ht="25.5" hidden="1" customHeight="1" outlineLevel="1">
      <c r="B41" s="581"/>
      <c r="C41" s="582"/>
      <c r="D41" s="594" t="str">
        <f t="shared" si="2"/>
        <v/>
      </c>
      <c r="E41" s="583"/>
      <c r="G41" s="583"/>
      <c r="H41" s="594" t="str">
        <f t="shared" si="3"/>
        <v/>
      </c>
      <c r="I41" s="582"/>
      <c r="J41" s="584"/>
      <c r="M41" s="1858">
        <f>+SYS_4_3_Digitos!A23</f>
        <v>130</v>
      </c>
      <c r="N41" s="1858" t="str">
        <f>+SYS_4_3_Digitos!B23</f>
        <v>SUBVENCIONES OFICIALES DE CAPITAL</v>
      </c>
      <c r="O41" s="1859">
        <f ca="1">+SYS_4_3_Digitos!I23-SYS_4_3_Digitos!J23</f>
        <v>-34973.649999999994</v>
      </c>
    </row>
    <row r="42" spans="2:15" ht="25.5" hidden="1" customHeight="1" outlineLevel="1">
      <c r="B42" s="581"/>
      <c r="C42" s="582"/>
      <c r="D42" s="594" t="str">
        <f t="shared" si="2"/>
        <v/>
      </c>
      <c r="E42" s="583"/>
      <c r="G42" s="583"/>
      <c r="H42" s="594" t="str">
        <f t="shared" si="3"/>
        <v/>
      </c>
      <c r="I42" s="582"/>
      <c r="J42" s="584"/>
      <c r="M42" s="1858">
        <f>+SYS_4_3_Digitos!A24</f>
        <v>131</v>
      </c>
      <c r="N42" s="1858" t="str">
        <f>+SYS_4_3_Digitos!B24</f>
        <v>DONACIONES Y LEGADOS DE CAPITAL</v>
      </c>
      <c r="O42" s="1859">
        <f ca="1">+SYS_4_3_Digitos!I24-SYS_4_3_Digitos!J24</f>
        <v>0</v>
      </c>
    </row>
    <row r="43" spans="2:15" ht="25.5" hidden="1" customHeight="1" outlineLevel="1">
      <c r="B43" s="581"/>
      <c r="C43" s="582"/>
      <c r="D43" s="594" t="str">
        <f t="shared" si="2"/>
        <v/>
      </c>
      <c r="E43" s="583"/>
      <c r="G43" s="583"/>
      <c r="H43" s="594" t="str">
        <f t="shared" si="3"/>
        <v/>
      </c>
      <c r="I43" s="582"/>
      <c r="J43" s="584"/>
      <c r="M43" s="1858">
        <f>+SYS_4_3_Digitos!A25</f>
        <v>132</v>
      </c>
      <c r="N43" s="1858" t="str">
        <f>+SYS_4_3_Digitos!B25</f>
        <v>OTRAS SUBVENCIONES, DONACIONES Y LEGADOS</v>
      </c>
      <c r="O43" s="1859">
        <f ca="1">+SYS_4_3_Digitos!I25-SYS_4_3_Digitos!J25</f>
        <v>0</v>
      </c>
    </row>
    <row r="44" spans="2:15" ht="25.5" hidden="1" customHeight="1" outlineLevel="1">
      <c r="B44" s="587"/>
      <c r="C44" s="588"/>
      <c r="D44" s="595" t="str">
        <f t="shared" si="2"/>
        <v/>
      </c>
      <c r="E44" s="589"/>
      <c r="G44" s="589"/>
      <c r="H44" s="596" t="str">
        <f t="shared" si="3"/>
        <v/>
      </c>
      <c r="I44" s="588"/>
      <c r="J44" s="590"/>
      <c r="M44" s="1858">
        <f>+SYS_4_3_Digitos!A26</f>
        <v>133</v>
      </c>
      <c r="N44" s="1858" t="str">
        <f>+SYS_4_3_Digitos!B26</f>
        <v>AJ. POR VALORACIÓN EN ACTIV. FROS DISP. PARA LA VTA</v>
      </c>
      <c r="O44" s="1859">
        <f ca="1">+SYS_4_3_Digitos!I26-SYS_4_3_Digitos!J26</f>
        <v>-23713691.499999996</v>
      </c>
    </row>
    <row r="45" spans="2:15" collapsed="1">
      <c r="B45" s="598">
        <f>SUM(B31:B44)</f>
        <v>429415.59</v>
      </c>
      <c r="C45" s="571"/>
      <c r="E45" s="571"/>
      <c r="F45" s="591">
        <f>+B45-J45</f>
        <v>0</v>
      </c>
      <c r="G45" s="575"/>
      <c r="H45" s="575"/>
      <c r="I45" s="571"/>
      <c r="J45" s="598">
        <f>SUM(J31:J44)</f>
        <v>429415.59</v>
      </c>
      <c r="M45" s="1858">
        <f>+SYS_4_3_Digitos!A27</f>
        <v>134</v>
      </c>
      <c r="N45" s="1858" t="str">
        <f>+SYS_4_3_Digitos!B27</f>
        <v>OPERACIONES DE COBERTURA</v>
      </c>
      <c r="O45" s="1859">
        <f ca="1">+SYS_4_3_Digitos!I27-SYS_4_3_Digitos!J27</f>
        <v>0</v>
      </c>
    </row>
    <row r="46" spans="2:15">
      <c r="B46" s="569"/>
      <c r="C46" s="571"/>
      <c r="E46" s="571"/>
      <c r="F46" s="575"/>
      <c r="G46" s="575"/>
      <c r="H46" s="575"/>
      <c r="I46" s="571"/>
      <c r="J46" s="569"/>
      <c r="M46" s="1858">
        <f>+SYS_4_3_Digitos!A28</f>
        <v>135</v>
      </c>
      <c r="N46" s="1858" t="str">
        <f>+SYS_4_3_Digitos!B28</f>
        <v>DIFERENCIAS DE CONVERSIÓN</v>
      </c>
      <c r="O46" s="1859">
        <f ca="1">+SYS_4_3_Digitos!I28-SYS_4_3_Digitos!J28</f>
        <v>0</v>
      </c>
    </row>
    <row r="47" spans="2:15" ht="15.6">
      <c r="B47" s="576" t="s">
        <v>2966</v>
      </c>
      <c r="C47" s="554"/>
      <c r="D47" s="571"/>
      <c r="E47" s="571"/>
      <c r="F47" s="575"/>
      <c r="G47" s="572"/>
      <c r="H47" s="572"/>
      <c r="I47" s="571"/>
      <c r="J47" s="569"/>
      <c r="M47" s="1858">
        <f>+SYS_4_3_Digitos!A29</f>
        <v>136</v>
      </c>
      <c r="N47" s="1858" t="str">
        <f>+SYS_4_3_Digitos!B29</f>
        <v>AJ. POR VALORAC. EN ACTIV. NO CORR. Y GRUP. ENA…</v>
      </c>
      <c r="O47" s="1859">
        <f ca="1">+SYS_4_3_Digitos!I29-SYS_4_3_Digitos!J29</f>
        <v>0</v>
      </c>
    </row>
    <row r="48" spans="2:15">
      <c r="B48" s="569"/>
      <c r="C48" s="571"/>
      <c r="D48" s="571"/>
      <c r="E48" s="571"/>
      <c r="F48" s="575"/>
      <c r="G48" s="572"/>
      <c r="H48" s="572"/>
      <c r="I48" s="571"/>
      <c r="J48" s="569"/>
      <c r="M48" s="1858">
        <f>+SYS_4_3_Digitos!A30</f>
        <v>137</v>
      </c>
      <c r="N48" s="1858" t="str">
        <f>+SYS_4_3_Digitos!B30</f>
        <v>INGRESOS FISCALES A DISTRIBUIR EN VARIOS EJERCICIOS</v>
      </c>
      <c r="O48" s="1859">
        <f ca="1">+SYS_4_3_Digitos!I30-SYS_4_3_Digitos!J30</f>
        <v>0</v>
      </c>
    </row>
    <row r="49" spans="2:15" ht="25.5" customHeight="1">
      <c r="B49" s="581">
        <v>1170.8</v>
      </c>
      <c r="C49" s="578">
        <v>6301</v>
      </c>
      <c r="D49" s="593" t="str">
        <f t="shared" ref="D49:D62" si="4">IF(C49="","",+LOOKUP(C49,$M$12:$M$36733,$N$12:$N$36733))</f>
        <v>IMPUESTO DIFERIDO</v>
      </c>
      <c r="E49" s="579"/>
      <c r="F49" s="572"/>
      <c r="G49" s="579"/>
      <c r="H49" s="593" t="str">
        <f t="shared" ref="H49:H62" si="5">IF(I49="","",+LOOKUP(I49,$M$12:$M$36733,$N$12:$N$36733))</f>
        <v>ACTIVOS POR DIFERENCIAS TEMPORALES DEDUCIBLES</v>
      </c>
      <c r="I49" s="578">
        <v>4740</v>
      </c>
      <c r="J49" s="580">
        <v>1170.8</v>
      </c>
      <c r="M49" s="1858">
        <f>+SYS_4_3_Digitos!A31</f>
        <v>140</v>
      </c>
      <c r="N49" s="1858" t="str">
        <f>+SYS_4_3_Digitos!B31</f>
        <v>PROV. POR RETRIBUCIONES A LP AL PERSONAL</v>
      </c>
      <c r="O49" s="1859">
        <f ca="1">+SYS_4_3_Digitos!I31-SYS_4_3_Digitos!J31</f>
        <v>0</v>
      </c>
    </row>
    <row r="50" spans="2:15" ht="25.5" customHeight="1">
      <c r="C50" s="582"/>
      <c r="D50" s="594" t="str">
        <f t="shared" si="4"/>
        <v/>
      </c>
      <c r="E50" s="583"/>
      <c r="F50" s="572"/>
      <c r="G50" s="583"/>
      <c r="H50" s="594" t="str">
        <f t="shared" si="5"/>
        <v/>
      </c>
      <c r="I50" s="582"/>
      <c r="J50" s="584"/>
      <c r="M50" s="1858">
        <f>+SYS_4_3_Digitos!A32</f>
        <v>141</v>
      </c>
      <c r="N50" s="1858" t="str">
        <f>+SYS_4_3_Digitos!B32</f>
        <v>PROV. PARA IMPUESTOS</v>
      </c>
      <c r="O50" s="1859">
        <f ca="1">+SYS_4_3_Digitos!I32-SYS_4_3_Digitos!J32</f>
        <v>0</v>
      </c>
    </row>
    <row r="51" spans="2:15" ht="25.5" customHeight="1">
      <c r="B51" s="581"/>
      <c r="C51" s="582"/>
      <c r="D51" s="594" t="str">
        <f t="shared" si="4"/>
        <v/>
      </c>
      <c r="E51" s="583"/>
      <c r="F51" s="572"/>
      <c r="G51" s="583"/>
      <c r="H51" s="594" t="str">
        <f t="shared" si="5"/>
        <v/>
      </c>
      <c r="I51" s="582"/>
      <c r="J51" s="584"/>
      <c r="M51" s="1858">
        <f>+SYS_4_3_Digitos!A33</f>
        <v>142</v>
      </c>
      <c r="N51" s="1858" t="str">
        <f>+SYS_4_3_Digitos!B33</f>
        <v>PROV. PARA OTRAS RESPONSABILIDADES</v>
      </c>
      <c r="O51" s="1859">
        <f ca="1">+SYS_4_3_Digitos!I33-SYS_4_3_Digitos!J33</f>
        <v>0</v>
      </c>
    </row>
    <row r="52" spans="2:15" ht="25.5" customHeight="1">
      <c r="B52" s="581"/>
      <c r="C52" s="582"/>
      <c r="D52" s="594" t="str">
        <f t="shared" si="4"/>
        <v/>
      </c>
      <c r="E52" s="583"/>
      <c r="F52" s="572"/>
      <c r="G52" s="583"/>
      <c r="H52" s="594" t="str">
        <f t="shared" si="5"/>
        <v/>
      </c>
      <c r="I52" s="582"/>
      <c r="J52" s="584"/>
      <c r="M52" s="1858">
        <f>+SYS_4_3_Digitos!A34</f>
        <v>143</v>
      </c>
      <c r="N52" s="1858" t="str">
        <f>+SYS_4_3_Digitos!B34</f>
        <v>PROV. POR DESMANTEL. RETIRO O REHAB. DEL INMOBILIZ.</v>
      </c>
      <c r="O52" s="1859">
        <f ca="1">+SYS_4_3_Digitos!I34-SYS_4_3_Digitos!J34</f>
        <v>0</v>
      </c>
    </row>
    <row r="53" spans="2:15" ht="25.5" hidden="1" customHeight="1" outlineLevel="1">
      <c r="B53" s="585"/>
      <c r="C53" s="582"/>
      <c r="D53" s="594" t="str">
        <f t="shared" si="4"/>
        <v/>
      </c>
      <c r="E53" s="583"/>
      <c r="F53" s="572"/>
      <c r="G53" s="583"/>
      <c r="H53" s="594" t="str">
        <f t="shared" si="5"/>
        <v/>
      </c>
      <c r="I53" s="582"/>
      <c r="J53" s="586"/>
      <c r="M53" s="1858">
        <f>+SYS_4_3_Digitos!A35</f>
        <v>145</v>
      </c>
      <c r="N53" s="1858" t="str">
        <f>+SYS_4_3_Digitos!B35</f>
        <v>PROV. PARA ACTUACIONES MEDIOAMBIENTALES</v>
      </c>
      <c r="O53" s="1859">
        <f ca="1">+SYS_4_3_Digitos!I35-SYS_4_3_Digitos!J35</f>
        <v>0</v>
      </c>
    </row>
    <row r="54" spans="2:15" ht="25.5" hidden="1" customHeight="1" outlineLevel="1">
      <c r="B54" s="581"/>
      <c r="C54" s="582"/>
      <c r="D54" s="594" t="str">
        <f t="shared" si="4"/>
        <v/>
      </c>
      <c r="E54" s="583"/>
      <c r="G54" s="583"/>
      <c r="H54" s="594" t="str">
        <f t="shared" si="5"/>
        <v/>
      </c>
      <c r="I54" s="582"/>
      <c r="J54" s="584"/>
      <c r="M54" s="1858">
        <f>+SYS_4_3_Digitos!A36</f>
        <v>146</v>
      </c>
      <c r="N54" s="1858" t="str">
        <f>+SYS_4_3_Digitos!B36</f>
        <v>PROV. PARA RESTRUCTURACIONES</v>
      </c>
      <c r="O54" s="1859">
        <f ca="1">+SYS_4_3_Digitos!I36-SYS_4_3_Digitos!J36</f>
        <v>0</v>
      </c>
    </row>
    <row r="55" spans="2:15" ht="25.5" hidden="1" customHeight="1" outlineLevel="1">
      <c r="B55" s="581"/>
      <c r="C55" s="582"/>
      <c r="D55" s="594" t="str">
        <f t="shared" si="4"/>
        <v/>
      </c>
      <c r="E55" s="583"/>
      <c r="G55" s="583"/>
      <c r="H55" s="594" t="str">
        <f t="shared" si="5"/>
        <v/>
      </c>
      <c r="I55" s="582"/>
      <c r="J55" s="584"/>
      <c r="M55" s="1858">
        <f>+SYS_4_3_Digitos!A37</f>
        <v>147</v>
      </c>
      <c r="N55" s="1858" t="str">
        <f>+SYS_4_3_Digitos!B37</f>
        <v>PROV. POR TRANSACC. CON PAGOS BASADOS EN INST. PAT.</v>
      </c>
      <c r="O55" s="1859">
        <f ca="1">+SYS_4_3_Digitos!I37-SYS_4_3_Digitos!J37</f>
        <v>0</v>
      </c>
    </row>
    <row r="56" spans="2:15" ht="25.5" hidden="1" customHeight="1" outlineLevel="1">
      <c r="B56" s="581"/>
      <c r="C56" s="582"/>
      <c r="D56" s="594" t="str">
        <f t="shared" si="4"/>
        <v/>
      </c>
      <c r="E56" s="583"/>
      <c r="G56" s="583"/>
      <c r="H56" s="594" t="str">
        <f t="shared" si="5"/>
        <v/>
      </c>
      <c r="I56" s="582"/>
      <c r="J56" s="584"/>
      <c r="M56" s="1858">
        <f>+SYS_4_3_Digitos!A38</f>
        <v>150</v>
      </c>
      <c r="N56" s="1858" t="str">
        <f>+SYS_4_3_Digitos!B38</f>
        <v>ACC. O PARTIC. A LP CONSIDERADAS COMO PASIVOS FINANC.</v>
      </c>
      <c r="O56" s="1859">
        <f ca="1">+SYS_4_3_Digitos!I38-SYS_4_3_Digitos!J38</f>
        <v>0</v>
      </c>
    </row>
    <row r="57" spans="2:15" ht="25.5" hidden="1" customHeight="1" outlineLevel="1">
      <c r="B57" s="581"/>
      <c r="C57" s="582"/>
      <c r="D57" s="594" t="str">
        <f t="shared" si="4"/>
        <v/>
      </c>
      <c r="E57" s="583"/>
      <c r="G57" s="583"/>
      <c r="H57" s="594" t="str">
        <f t="shared" si="5"/>
        <v/>
      </c>
      <c r="I57" s="582"/>
      <c r="J57" s="584"/>
      <c r="M57" s="1858">
        <f>+SYS_4_3_Digitos!A39</f>
        <v>153</v>
      </c>
      <c r="N57" s="1858" t="str">
        <f>+SYS_4_3_Digitos!B39</f>
        <v>DESEMB. NO EXIG. POR ACC. O PARTIC. CONSID. PAS. FROS</v>
      </c>
      <c r="O57" s="1859">
        <f ca="1">+SYS_4_3_Digitos!I39-SYS_4_3_Digitos!J39</f>
        <v>0</v>
      </c>
    </row>
    <row r="58" spans="2:15" ht="25.5" hidden="1" customHeight="1" outlineLevel="1">
      <c r="B58" s="581"/>
      <c r="C58" s="582"/>
      <c r="D58" s="594" t="str">
        <f t="shared" si="4"/>
        <v/>
      </c>
      <c r="E58" s="583"/>
      <c r="G58" s="583"/>
      <c r="H58" s="594" t="str">
        <f t="shared" si="5"/>
        <v/>
      </c>
      <c r="I58" s="582"/>
      <c r="J58" s="584"/>
      <c r="M58" s="1858">
        <f>+SYS_4_3_Digitos!A40</f>
        <v>154</v>
      </c>
      <c r="N58" s="1858" t="str">
        <f>+SYS_4_3_Digitos!B40</f>
        <v>APORT. NO DINE. PTES POR ACC. O PART. CONSID. PAS FROS</v>
      </c>
      <c r="O58" s="1859">
        <f ca="1">+SYS_4_3_Digitos!I40-SYS_4_3_Digitos!J40</f>
        <v>0</v>
      </c>
    </row>
    <row r="59" spans="2:15" ht="25.5" hidden="1" customHeight="1" outlineLevel="1">
      <c r="B59" s="581"/>
      <c r="C59" s="582"/>
      <c r="D59" s="594" t="str">
        <f t="shared" si="4"/>
        <v/>
      </c>
      <c r="E59" s="583"/>
      <c r="G59" s="583"/>
      <c r="H59" s="594" t="str">
        <f t="shared" si="5"/>
        <v/>
      </c>
      <c r="I59" s="582"/>
      <c r="J59" s="584"/>
      <c r="M59" s="1858">
        <f>+SYS_4_3_Digitos!A41</f>
        <v>160</v>
      </c>
      <c r="N59" s="1858" t="str">
        <f>+SYS_4_3_Digitos!B41</f>
        <v>DEUDAS A LP CON ENT. CRÉDITO VINCULADAS</v>
      </c>
      <c r="O59" s="1859">
        <f ca="1">+SYS_4_3_Digitos!I41-SYS_4_3_Digitos!J41</f>
        <v>0</v>
      </c>
    </row>
    <row r="60" spans="2:15" ht="25.5" hidden="1" customHeight="1" outlineLevel="1">
      <c r="B60" s="581"/>
      <c r="C60" s="582"/>
      <c r="D60" s="594" t="str">
        <f t="shared" si="4"/>
        <v/>
      </c>
      <c r="E60" s="583"/>
      <c r="G60" s="583"/>
      <c r="H60" s="594" t="str">
        <f t="shared" si="5"/>
        <v/>
      </c>
      <c r="I60" s="582"/>
      <c r="J60" s="584"/>
      <c r="M60" s="1858">
        <f>+SYS_4_3_Digitos!A42</f>
        <v>161</v>
      </c>
      <c r="N60" s="1858" t="str">
        <f>+SYS_4_3_Digitos!B42</f>
        <v>PROVEEDORES DE INMOVILIZADO A LP, PARTES VINCULADAS</v>
      </c>
      <c r="O60" s="1859">
        <f ca="1">+SYS_4_3_Digitos!I42-SYS_4_3_Digitos!J42</f>
        <v>0</v>
      </c>
    </row>
    <row r="61" spans="2:15" ht="25.5" hidden="1" customHeight="1" outlineLevel="1">
      <c r="B61" s="581"/>
      <c r="C61" s="582"/>
      <c r="D61" s="594" t="str">
        <f t="shared" si="4"/>
        <v/>
      </c>
      <c r="E61" s="583"/>
      <c r="G61" s="583"/>
      <c r="H61" s="594" t="str">
        <f t="shared" si="5"/>
        <v/>
      </c>
      <c r="I61" s="582"/>
      <c r="J61" s="584"/>
      <c r="M61" s="1858">
        <f>+SYS_4_3_Digitos!A43</f>
        <v>162</v>
      </c>
      <c r="N61" s="1858" t="str">
        <f>+SYS_4_3_Digitos!B43</f>
        <v>ACREEDORES POR ARREND. FRO. A LP, PARTES VINCULADAS</v>
      </c>
      <c r="O61" s="1859">
        <f ca="1">+SYS_4_3_Digitos!I43-SYS_4_3_Digitos!J43</f>
        <v>0</v>
      </c>
    </row>
    <row r="62" spans="2:15" ht="25.5" hidden="1" customHeight="1" outlineLevel="1">
      <c r="B62" s="587"/>
      <c r="C62" s="588"/>
      <c r="D62" s="595" t="str">
        <f t="shared" si="4"/>
        <v/>
      </c>
      <c r="E62" s="589"/>
      <c r="G62" s="589"/>
      <c r="H62" s="596" t="str">
        <f t="shared" si="5"/>
        <v/>
      </c>
      <c r="I62" s="588"/>
      <c r="J62" s="590"/>
      <c r="M62" s="1858">
        <f>+SYS_4_3_Digitos!A47</f>
        <v>170</v>
      </c>
      <c r="N62" s="1858" t="str">
        <f>+SYS_4_3_Digitos!B47</f>
        <v>DEUDAS A LP CON ENTIDADES DE CRÉDITO</v>
      </c>
      <c r="O62" s="1859">
        <f ca="1">+SYS_4_3_Digitos!I47-SYS_4_3_Digitos!J47</f>
        <v>0</v>
      </c>
    </row>
    <row r="63" spans="2:15" collapsed="1">
      <c r="B63" s="598">
        <f>SUM(B49:B62)</f>
        <v>1170.8</v>
      </c>
      <c r="C63" s="571"/>
      <c r="E63" s="571"/>
      <c r="F63" s="591">
        <f>+B63-J63</f>
        <v>0</v>
      </c>
      <c r="G63" s="575"/>
      <c r="H63" s="575"/>
      <c r="I63" s="571"/>
      <c r="J63" s="598">
        <f>SUM(J49:J62)</f>
        <v>1170.8</v>
      </c>
      <c r="M63" s="1858">
        <f>+SYS_4_3_Digitos!A48</f>
        <v>171</v>
      </c>
      <c r="N63" s="1858" t="str">
        <f>+SYS_4_3_Digitos!B48</f>
        <v>DEUDAS A LP</v>
      </c>
      <c r="O63" s="1859">
        <f ca="1">+SYS_4_3_Digitos!I48-SYS_4_3_Digitos!J48</f>
        <v>0</v>
      </c>
    </row>
    <row r="64" spans="2:15">
      <c r="M64" s="1858">
        <f>+SYS_4_3_Digitos!A49</f>
        <v>172</v>
      </c>
      <c r="N64" s="1858" t="str">
        <f>+SYS_4_3_Digitos!B49</f>
        <v>DEUDAS A LP TRANSFORMABLES EN SUBV. DONAC Y LEGAD.</v>
      </c>
      <c r="O64" s="1859">
        <f ca="1">+SYS_4_3_Digitos!I49-SYS_4_3_Digitos!J49</f>
        <v>0</v>
      </c>
    </row>
    <row r="65" spans="2:15" ht="15.6">
      <c r="B65" s="576" t="s">
        <v>2972</v>
      </c>
      <c r="C65" s="554"/>
      <c r="D65" s="571"/>
      <c r="E65" s="571"/>
      <c r="F65" s="575"/>
      <c r="G65" s="572"/>
      <c r="H65" s="572"/>
      <c r="I65" s="571"/>
      <c r="J65" s="569"/>
      <c r="M65" s="1858">
        <f>+SYS_4_3_Digitos!A50</f>
        <v>173</v>
      </c>
      <c r="N65" s="1858" t="str">
        <f>+SYS_4_3_Digitos!B50</f>
        <v>PROVEEDORES DE INMOVILIZADO A LP</v>
      </c>
      <c r="O65" s="1859">
        <f ca="1">+SYS_4_3_Digitos!I50-SYS_4_3_Digitos!J50</f>
        <v>0</v>
      </c>
    </row>
    <row r="66" spans="2:15">
      <c r="B66" s="569"/>
      <c r="C66" s="571"/>
      <c r="D66" s="571"/>
      <c r="E66" s="571"/>
      <c r="F66" s="575"/>
      <c r="G66" s="572"/>
      <c r="H66" s="572"/>
      <c r="I66" s="571"/>
      <c r="J66" s="569"/>
      <c r="M66" s="1858">
        <f>+SYS_4_3_Digitos!A51</f>
        <v>174</v>
      </c>
      <c r="N66" s="1858" t="str">
        <f>+SYS_4_3_Digitos!B51</f>
        <v>ACREEDORES POR ARRENDAMIENTO FINANCIERO A LP</v>
      </c>
      <c r="O66" s="1859">
        <f ca="1">+SYS_4_3_Digitos!I51-SYS_4_3_Digitos!J51</f>
        <v>0</v>
      </c>
    </row>
    <row r="67" spans="2:15" ht="25.5" customHeight="1">
      <c r="B67" s="577">
        <v>914.68</v>
      </c>
      <c r="C67" s="578">
        <v>130</v>
      </c>
      <c r="D67" s="593" t="str">
        <f t="shared" ref="D67:D70" si="6">IF(C67="","",+LOOKUP(C67,$M$12:$M$36733,$N$12:$N$36733))</f>
        <v>SUBVENCIONES OFICIALES DE CAPITAL</v>
      </c>
      <c r="E67" s="579" t="s">
        <v>2967</v>
      </c>
      <c r="F67" s="572"/>
      <c r="G67" s="579"/>
      <c r="H67" s="593" t="str">
        <f t="shared" ref="H67:H70" si="7">IF(I67="","",+LOOKUP(I67,$M$12:$M$36733,$N$12:$N$36733))</f>
        <v/>
      </c>
      <c r="I67" s="578"/>
      <c r="J67" s="580"/>
      <c r="M67" s="1858">
        <f>+SYS_4_3_Digitos!A52</f>
        <v>175</v>
      </c>
      <c r="N67" s="1858" t="str">
        <f>+SYS_4_3_Digitos!B52</f>
        <v>EFECTOS A PAGAR A LP</v>
      </c>
      <c r="O67" s="1859">
        <f ca="1">+SYS_4_3_Digitos!I52-SYS_4_3_Digitos!J52</f>
        <v>0</v>
      </c>
    </row>
    <row r="68" spans="2:15" ht="25.5" customHeight="1">
      <c r="B68" s="581">
        <v>4236.97</v>
      </c>
      <c r="C68" s="582">
        <v>130</v>
      </c>
      <c r="D68" s="594" t="str">
        <f t="shared" si="6"/>
        <v>SUBVENCIONES OFICIALES DE CAPITAL</v>
      </c>
      <c r="E68" s="583" t="s">
        <v>2968</v>
      </c>
      <c r="F68" s="572"/>
      <c r="G68" s="583" t="s">
        <v>2969</v>
      </c>
      <c r="H68" s="594" t="str">
        <f t="shared" si="7"/>
        <v>OTRAS SUBV. DONAC Y LEGADOS TRANSF A RDO EJER</v>
      </c>
      <c r="I68" s="582">
        <v>747</v>
      </c>
      <c r="J68" s="584">
        <v>5151.6499999999996</v>
      </c>
      <c r="M68" s="1858">
        <f>+SYS_4_3_Digitos!A53</f>
        <v>176</v>
      </c>
      <c r="N68" s="1858" t="str">
        <f>+SYS_4_3_Digitos!B53</f>
        <v>PASIVOS POR DERIVADOS FINANCIEROS A LP</v>
      </c>
      <c r="O68" s="1859">
        <f ca="1">+SYS_4_3_Digitos!I53-SYS_4_3_Digitos!J53</f>
        <v>0</v>
      </c>
    </row>
    <row r="69" spans="2:15" ht="25.5" customHeight="1">
      <c r="B69" s="581">
        <v>228.67</v>
      </c>
      <c r="C69" s="582">
        <v>479</v>
      </c>
      <c r="D69" s="594" t="str">
        <f t="shared" si="6"/>
        <v>PASIVOS POR DIFERENCIAS TEMPORARIAS IMPONIBLES</v>
      </c>
      <c r="E69" s="583" t="s">
        <v>2970</v>
      </c>
      <c r="F69" s="572"/>
      <c r="G69" s="583" t="s">
        <v>2967</v>
      </c>
      <c r="H69" s="594" t="str">
        <f t="shared" si="7"/>
        <v>SUBVENCIONES OFICIALES DE CAPITAL</v>
      </c>
      <c r="I69" s="582">
        <v>130</v>
      </c>
      <c r="J69" s="584">
        <v>228.67</v>
      </c>
      <c r="M69" s="1858">
        <f>+SYS_4_3_Digitos!A54</f>
        <v>177</v>
      </c>
      <c r="N69" s="1858" t="str">
        <f>+SYS_4_3_Digitos!B54</f>
        <v>OBLIGACIONES Y BONOS</v>
      </c>
      <c r="O69" s="1859">
        <f ca="1">+SYS_4_3_Digitos!I54-SYS_4_3_Digitos!J54</f>
        <v>0</v>
      </c>
    </row>
    <row r="70" spans="2:15" ht="25.5" customHeight="1">
      <c r="B70" s="581">
        <v>1059.24</v>
      </c>
      <c r="C70" s="582">
        <v>479</v>
      </c>
      <c r="D70" s="594" t="str">
        <f t="shared" si="6"/>
        <v>PASIVOS POR DIFERENCIAS TEMPORARIAS IMPONIBLES</v>
      </c>
      <c r="E70" s="583" t="s">
        <v>2971</v>
      </c>
      <c r="F70" s="572"/>
      <c r="G70" s="583" t="s">
        <v>2968</v>
      </c>
      <c r="H70" s="594" t="str">
        <f t="shared" si="7"/>
        <v>SUBVENCIONES OFICIALES DE CAPITAL</v>
      </c>
      <c r="I70" s="582">
        <v>130</v>
      </c>
      <c r="J70" s="584">
        <v>1059.24</v>
      </c>
      <c r="M70" s="1858">
        <f>+SYS_4_3_Digitos!A55</f>
        <v>178</v>
      </c>
      <c r="N70" s="1858" t="str">
        <f>+SYS_4_3_Digitos!B55</f>
        <v>OBLIGACIONES Y BONOS CONVERTIBLES</v>
      </c>
      <c r="O70" s="1859">
        <f ca="1">+SYS_4_3_Digitos!I55-SYS_4_3_Digitos!J55</f>
        <v>0</v>
      </c>
    </row>
    <row r="71" spans="2:15" ht="25.5" hidden="1" customHeight="1" outlineLevel="1">
      <c r="B71" s="585"/>
      <c r="C71" s="582"/>
      <c r="D71" s="594" t="str">
        <f t="shared" ref="D71:D80" si="8">IF(C71="","",+LOOKUP(C71,$M$12:$M$36733,$N$12:$N$36733))</f>
        <v/>
      </c>
      <c r="E71" s="583"/>
      <c r="F71" s="572"/>
      <c r="G71" s="583"/>
      <c r="H71" s="594" t="str">
        <f t="shared" ref="H71:H80" si="9">IF(I71="","",+LOOKUP(I71,$M$12:$M$36733,$N$12:$N$36733))</f>
        <v/>
      </c>
      <c r="I71" s="582"/>
      <c r="J71" s="586"/>
      <c r="M71" s="1858">
        <f>+SYS_4_3_Digitos!A56</f>
        <v>179</v>
      </c>
      <c r="N71" s="1858" t="str">
        <f>+SYS_4_3_Digitos!B56</f>
        <v>DEUDAS REPRESENTADAS EN OTROS VALORES NEGOCIAB.</v>
      </c>
      <c r="O71" s="1859">
        <f ca="1">+SYS_4_3_Digitos!I56-SYS_4_3_Digitos!J56</f>
        <v>0</v>
      </c>
    </row>
    <row r="72" spans="2:15" ht="25.5" hidden="1" customHeight="1" outlineLevel="1">
      <c r="B72" s="581"/>
      <c r="C72" s="582"/>
      <c r="D72" s="594" t="str">
        <f t="shared" si="8"/>
        <v/>
      </c>
      <c r="E72" s="583"/>
      <c r="G72" s="583"/>
      <c r="H72" s="594" t="str">
        <f t="shared" si="9"/>
        <v/>
      </c>
      <c r="I72" s="582"/>
      <c r="J72" s="584"/>
      <c r="M72" s="1858">
        <f>+SYS_4_3_Digitos!A57</f>
        <v>180</v>
      </c>
      <c r="N72" s="1858" t="str">
        <f>+SYS_4_3_Digitos!B57</f>
        <v>FIANZAS RECIBIDAS A LP</v>
      </c>
      <c r="O72" s="1859">
        <f ca="1">+SYS_4_3_Digitos!I57-SYS_4_3_Digitos!J57</f>
        <v>-205434</v>
      </c>
    </row>
    <row r="73" spans="2:15" ht="25.5" hidden="1" customHeight="1" outlineLevel="1">
      <c r="B73" s="581"/>
      <c r="C73" s="582"/>
      <c r="D73" s="594" t="str">
        <f t="shared" si="8"/>
        <v/>
      </c>
      <c r="E73" s="583"/>
      <c r="G73" s="583"/>
      <c r="H73" s="594" t="str">
        <f t="shared" si="9"/>
        <v/>
      </c>
      <c r="I73" s="582"/>
      <c r="J73" s="584"/>
      <c r="M73" s="1858">
        <f>+SYS_4_3_Digitos!A58</f>
        <v>181</v>
      </c>
      <c r="N73" s="1858" t="str">
        <f>+SYS_4_3_Digitos!B58</f>
        <v>ANTICIPOS RECIBIDOS APOR VTAS O PREST. SERV. A LP</v>
      </c>
      <c r="O73" s="1859">
        <f ca="1">+SYS_4_3_Digitos!I58-SYS_4_3_Digitos!J58</f>
        <v>0</v>
      </c>
    </row>
    <row r="74" spans="2:15" ht="25.5" hidden="1" customHeight="1" outlineLevel="1">
      <c r="B74" s="581"/>
      <c r="C74" s="582"/>
      <c r="D74" s="594" t="str">
        <f t="shared" si="8"/>
        <v/>
      </c>
      <c r="E74" s="583"/>
      <c r="G74" s="583"/>
      <c r="H74" s="594" t="str">
        <f t="shared" si="9"/>
        <v/>
      </c>
      <c r="I74" s="582"/>
      <c r="J74" s="584"/>
      <c r="M74" s="1858">
        <f>+SYS_4_3_Digitos!A59</f>
        <v>185</v>
      </c>
      <c r="N74" s="1858" t="str">
        <f>+SYS_4_3_Digitos!B59</f>
        <v>DEPÓSITOS RECIBIDOS A LP</v>
      </c>
      <c r="O74" s="1859">
        <f ca="1">+SYS_4_3_Digitos!I59-SYS_4_3_Digitos!J59</f>
        <v>0</v>
      </c>
    </row>
    <row r="75" spans="2:15" ht="25.5" hidden="1" customHeight="1" outlineLevel="1">
      <c r="B75" s="581"/>
      <c r="C75" s="582"/>
      <c r="D75" s="594" t="str">
        <f t="shared" si="8"/>
        <v/>
      </c>
      <c r="E75" s="583"/>
      <c r="G75" s="583"/>
      <c r="H75" s="594" t="str">
        <f t="shared" si="9"/>
        <v/>
      </c>
      <c r="I75" s="582"/>
      <c r="J75" s="584"/>
      <c r="M75" s="1858">
        <f>+SYS_4_3_Digitos!A60</f>
        <v>189</v>
      </c>
      <c r="N75" s="1858" t="str">
        <f>+SYS_4_3_Digitos!B60</f>
        <v>GARANTÍAS FINANCIERAS A LP</v>
      </c>
      <c r="O75" s="1859">
        <f ca="1">+SYS_4_3_Digitos!I60-SYS_4_3_Digitos!J60</f>
        <v>0</v>
      </c>
    </row>
    <row r="76" spans="2:15" ht="25.5" hidden="1" customHeight="1" outlineLevel="1">
      <c r="B76" s="581"/>
      <c r="C76" s="582"/>
      <c r="D76" s="594" t="str">
        <f t="shared" si="8"/>
        <v/>
      </c>
      <c r="E76" s="583"/>
      <c r="G76" s="583"/>
      <c r="H76" s="594" t="str">
        <f t="shared" si="9"/>
        <v/>
      </c>
      <c r="I76" s="582"/>
      <c r="J76" s="584"/>
      <c r="M76" s="1858">
        <f>+SYS_4_3_Digitos!A61</f>
        <v>190</v>
      </c>
      <c r="N76" s="1858" t="str">
        <f>+SYS_4_3_Digitos!B61</f>
        <v>ACCIONES O PARTICIPACIONES EMITIDAS</v>
      </c>
      <c r="O76" s="1859">
        <f ca="1">+SYS_4_3_Digitos!I61-SYS_4_3_Digitos!J61</f>
        <v>0</v>
      </c>
    </row>
    <row r="77" spans="2:15" ht="25.5" hidden="1" customHeight="1" outlineLevel="1">
      <c r="B77" s="581"/>
      <c r="C77" s="582"/>
      <c r="D77" s="594" t="str">
        <f t="shared" si="8"/>
        <v/>
      </c>
      <c r="E77" s="583"/>
      <c r="G77" s="583"/>
      <c r="H77" s="594" t="str">
        <f t="shared" si="9"/>
        <v/>
      </c>
      <c r="I77" s="582"/>
      <c r="J77" s="584"/>
      <c r="M77" s="1858">
        <f>+SYS_4_3_Digitos!A62</f>
        <v>192</v>
      </c>
      <c r="N77" s="1858" t="str">
        <f>+SYS_4_3_Digitos!B62</f>
        <v>SUSCRIPTORES DE ACCIONES</v>
      </c>
      <c r="O77" s="1859">
        <f ca="1">+SYS_4_3_Digitos!I62-SYS_4_3_Digitos!J62</f>
        <v>0</v>
      </c>
    </row>
    <row r="78" spans="2:15" ht="25.5" hidden="1" customHeight="1" outlineLevel="1">
      <c r="B78" s="581"/>
      <c r="C78" s="582"/>
      <c r="D78" s="594" t="str">
        <f t="shared" si="8"/>
        <v/>
      </c>
      <c r="E78" s="583"/>
      <c r="G78" s="583"/>
      <c r="H78" s="594" t="str">
        <f t="shared" si="9"/>
        <v/>
      </c>
      <c r="I78" s="582"/>
      <c r="J78" s="584"/>
      <c r="M78" s="1858">
        <f>+SYS_4_3_Digitos!A63</f>
        <v>194</v>
      </c>
      <c r="N78" s="1858" t="str">
        <f>+SYS_4_3_Digitos!B63</f>
        <v>CAPITAL EMITIDO PENDIENTE DE INSCRIPCIÓN</v>
      </c>
      <c r="O78" s="1859">
        <f ca="1">+SYS_4_3_Digitos!I63-SYS_4_3_Digitos!J63</f>
        <v>0</v>
      </c>
    </row>
    <row r="79" spans="2:15" ht="25.5" hidden="1" customHeight="1" outlineLevel="1">
      <c r="B79" s="581"/>
      <c r="C79" s="582"/>
      <c r="D79" s="594" t="str">
        <f t="shared" si="8"/>
        <v/>
      </c>
      <c r="E79" s="583"/>
      <c r="G79" s="583"/>
      <c r="H79" s="594" t="str">
        <f t="shared" si="9"/>
        <v/>
      </c>
      <c r="I79" s="582"/>
      <c r="J79" s="584"/>
      <c r="M79" s="1858">
        <f>+SYS_4_3_Digitos!A64</f>
        <v>195</v>
      </c>
      <c r="N79" s="1858" t="str">
        <f>+SYS_4_3_Digitos!B64</f>
        <v>ACC. O PART. EMITIDAS CONSIDERADAS COMO PASIVOS FROS</v>
      </c>
      <c r="O79" s="1859">
        <f ca="1">+SYS_4_3_Digitos!I64-SYS_4_3_Digitos!J64</f>
        <v>0</v>
      </c>
    </row>
    <row r="80" spans="2:15" ht="25.5" hidden="1" customHeight="1" outlineLevel="1">
      <c r="B80" s="587"/>
      <c r="C80" s="588"/>
      <c r="D80" s="595" t="str">
        <f t="shared" si="8"/>
        <v/>
      </c>
      <c r="E80" s="589"/>
      <c r="G80" s="589"/>
      <c r="H80" s="596" t="str">
        <f t="shared" si="9"/>
        <v/>
      </c>
      <c r="I80" s="588"/>
      <c r="J80" s="590"/>
      <c r="M80" s="1858">
        <f>+SYS_4_3_Digitos!A65</f>
        <v>197</v>
      </c>
      <c r="N80" s="1858" t="str">
        <f>+SYS_4_3_Digitos!B65</f>
        <v>SUSCRIP. DE ACC. CONSIDERADAS COMO PASIVOS FROS</v>
      </c>
      <c r="O80" s="1859">
        <f ca="1">+SYS_4_3_Digitos!I65-SYS_4_3_Digitos!J65</f>
        <v>0</v>
      </c>
    </row>
    <row r="81" spans="2:15" collapsed="1">
      <c r="B81" s="598">
        <f>SUM(B67:B80)</f>
        <v>6439.56</v>
      </c>
      <c r="C81" s="571"/>
      <c r="E81" s="571"/>
      <c r="F81" s="591">
        <f>+B81-J81</f>
        <v>0</v>
      </c>
      <c r="G81" s="575"/>
      <c r="H81" s="575"/>
      <c r="I81" s="571"/>
      <c r="J81" s="598">
        <f>SUM(J67:J80)</f>
        <v>6439.5599999999995</v>
      </c>
      <c r="M81" s="1858">
        <f>+SYS_4_3_Digitos!A66</f>
        <v>199</v>
      </c>
      <c r="N81" s="1858" t="str">
        <f>+SYS_4_3_Digitos!B66</f>
        <v>ACC O PART.EMITIDAS CONSID.PAS.FROS.PTES.INSCRIPCIÓN</v>
      </c>
      <c r="O81" s="1859">
        <f ca="1">+SYS_4_3_Digitos!I66-SYS_4_3_Digitos!J66</f>
        <v>0</v>
      </c>
    </row>
    <row r="82" spans="2:15">
      <c r="M82" s="1858">
        <f>+SYS_4_3_Digitos!A67</f>
        <v>200</v>
      </c>
      <c r="N82" s="1858" t="str">
        <f>+SYS_4_3_Digitos!B67</f>
        <v xml:space="preserve">INVESTIGACIÓN </v>
      </c>
      <c r="O82" s="1859">
        <f ca="1">+SYS_4_3_Digitos!I67-SYS_4_3_Digitos!J67</f>
        <v>0</v>
      </c>
    </row>
    <row r="83" spans="2:15" ht="15.6">
      <c r="B83" s="576" t="s">
        <v>2972</v>
      </c>
      <c r="C83" s="554"/>
      <c r="D83" s="571"/>
      <c r="E83" s="571"/>
      <c r="F83" s="575"/>
      <c r="G83" s="572"/>
      <c r="H83" s="572"/>
      <c r="I83" s="571"/>
      <c r="J83" s="569"/>
      <c r="M83" s="1858">
        <f>+SYS_4_3_Digitos!A68</f>
        <v>201</v>
      </c>
      <c r="N83" s="1858" t="str">
        <f>+SYS_4_3_Digitos!B68</f>
        <v>DESARROLLO</v>
      </c>
      <c r="O83" s="1859">
        <f ca="1">+SYS_4_3_Digitos!I68-SYS_4_3_Digitos!J68</f>
        <v>0</v>
      </c>
    </row>
    <row r="84" spans="2:15">
      <c r="B84" s="569"/>
      <c r="C84" s="571"/>
      <c r="D84" s="571"/>
      <c r="E84" s="571"/>
      <c r="F84" s="575"/>
      <c r="G84" s="572"/>
      <c r="H84" s="572"/>
      <c r="I84" s="571"/>
      <c r="J84" s="569"/>
      <c r="M84" s="1858">
        <f>+SYS_4_3_Digitos!A69</f>
        <v>202</v>
      </c>
      <c r="N84" s="1858" t="str">
        <f>+SYS_4_3_Digitos!B69</f>
        <v>CONCESIONES ADMINISTRATIVAS</v>
      </c>
      <c r="O84" s="1859">
        <f ca="1">+SYS_4_3_Digitos!I69-SYS_4_3_Digitos!J69</f>
        <v>20800</v>
      </c>
    </row>
    <row r="85" spans="2:15" ht="25.5" customHeight="1">
      <c r="B85" s="577">
        <v>8245.4599999999991</v>
      </c>
      <c r="C85" s="578">
        <v>130</v>
      </c>
      <c r="D85" s="593" t="str">
        <f t="shared" ref="D85:D98" si="10">IF(C85="","",+LOOKUP(C85,$M$12:$M$36733,$N$12:$N$36733))</f>
        <v>SUBVENCIONES OFICIALES DE CAPITAL</v>
      </c>
      <c r="E85" s="579" t="s">
        <v>2974</v>
      </c>
      <c r="F85" s="572"/>
      <c r="G85" s="579" t="s">
        <v>2973</v>
      </c>
      <c r="H85" s="593" t="str">
        <f t="shared" ref="H85:H98" si="11">IF(I85="","",+LOOKUP(I85,$M$12:$M$36733,$N$12:$N$36733))</f>
        <v>PASIVOS POR DIFERENCIAS TEMPORARIAS IMPONIBLES</v>
      </c>
      <c r="I85" s="578">
        <v>479</v>
      </c>
      <c r="J85" s="580">
        <v>8245.4599999999991</v>
      </c>
      <c r="M85" s="1858">
        <f>+SYS_4_3_Digitos!A70</f>
        <v>203</v>
      </c>
      <c r="N85" s="1858" t="str">
        <f>+SYS_4_3_Digitos!B70</f>
        <v>PROPIEDAD INDUSTRIAL</v>
      </c>
      <c r="O85" s="1859">
        <f ca="1">+SYS_4_3_Digitos!I70-SYS_4_3_Digitos!J70</f>
        <v>0</v>
      </c>
    </row>
    <row r="86" spans="2:15" ht="25.5" customHeight="1">
      <c r="B86" s="581"/>
      <c r="C86" s="582"/>
      <c r="D86" s="594" t="str">
        <f t="shared" si="10"/>
        <v/>
      </c>
      <c r="E86" s="583"/>
      <c r="F86" s="572"/>
      <c r="G86" s="583"/>
      <c r="H86" s="594" t="str">
        <f t="shared" si="11"/>
        <v/>
      </c>
      <c r="I86" s="582"/>
      <c r="J86" s="584"/>
      <c r="M86" s="1858">
        <f>+SYS_4_3_Digitos!A71</f>
        <v>204</v>
      </c>
      <c r="N86" s="1858" t="str">
        <f>+SYS_4_3_Digitos!B71</f>
        <v>FONDO DE COMERCIO</v>
      </c>
      <c r="O86" s="1859">
        <f ca="1">+SYS_4_3_Digitos!I71-SYS_4_3_Digitos!J71</f>
        <v>0</v>
      </c>
    </row>
    <row r="87" spans="2:15" ht="25.5" customHeight="1">
      <c r="B87" s="581">
        <v>3298.19</v>
      </c>
      <c r="C87" s="582">
        <v>130</v>
      </c>
      <c r="D87" s="594" t="str">
        <f t="shared" si="10"/>
        <v>SUBVENCIONES OFICIALES DE CAPITAL</v>
      </c>
      <c r="E87" s="583" t="s">
        <v>2974</v>
      </c>
      <c r="F87" s="572"/>
      <c r="G87" s="583" t="s">
        <v>2969</v>
      </c>
      <c r="H87" s="594" t="str">
        <f t="shared" si="11"/>
        <v>OTRAS SUBV. DONAC Y LEGADOS TRANSF A RDO EJER</v>
      </c>
      <c r="I87" s="582">
        <v>747</v>
      </c>
      <c r="J87" s="584">
        <v>3298.19</v>
      </c>
      <c r="M87" s="1858">
        <f>+SYS_4_3_Digitos!A72</f>
        <v>205</v>
      </c>
      <c r="N87" s="1858" t="str">
        <f>+SYS_4_3_Digitos!B72</f>
        <v>DERECHOS DE TRASPASO</v>
      </c>
      <c r="O87" s="1859">
        <f ca="1">+SYS_4_3_Digitos!I72-SYS_4_3_Digitos!J72</f>
        <v>0</v>
      </c>
    </row>
    <row r="88" spans="2:15" ht="25.5" customHeight="1">
      <c r="B88" s="581">
        <v>824.55</v>
      </c>
      <c r="C88" s="582">
        <v>479</v>
      </c>
      <c r="D88" s="594" t="str">
        <f t="shared" si="10"/>
        <v>PASIVOS POR DIFERENCIAS TEMPORARIAS IMPONIBLES</v>
      </c>
      <c r="E88" s="583" t="s">
        <v>2973</v>
      </c>
      <c r="F88" s="572"/>
      <c r="G88" s="583" t="s">
        <v>2974</v>
      </c>
      <c r="H88" s="594" t="str">
        <f t="shared" si="11"/>
        <v>SUBVENCIONES OFICIALES DE CAPITAL</v>
      </c>
      <c r="I88" s="582">
        <v>130</v>
      </c>
      <c r="J88" s="584">
        <v>824.55</v>
      </c>
      <c r="M88" s="1858">
        <f>+SYS_4_3_Digitos!A73</f>
        <v>206</v>
      </c>
      <c r="N88" s="1858" t="str">
        <f>+SYS_4_3_Digitos!B73</f>
        <v>APLICACIONES INFORMÁTICAS</v>
      </c>
      <c r="O88" s="1859">
        <f ca="1">+SYS_4_3_Digitos!I73-SYS_4_3_Digitos!J73</f>
        <v>120967.7</v>
      </c>
    </row>
    <row r="89" spans="2:15" ht="25.5" hidden="1" customHeight="1" outlineLevel="1">
      <c r="B89" s="585"/>
      <c r="C89" s="582"/>
      <c r="D89" s="594" t="str">
        <f t="shared" si="10"/>
        <v/>
      </c>
      <c r="E89" s="583"/>
      <c r="F89" s="572"/>
      <c r="G89" s="583"/>
      <c r="H89" s="594" t="str">
        <f t="shared" si="11"/>
        <v/>
      </c>
      <c r="I89" s="582"/>
      <c r="J89" s="586"/>
      <c r="M89" s="1858">
        <f>+SYS_4_3_Digitos!A74</f>
        <v>209</v>
      </c>
      <c r="N89" s="1858" t="str">
        <f>+SYS_4_3_Digitos!B74</f>
        <v>ANTICIPOS PARA INMOVILIZACIONES INTANGIBLES</v>
      </c>
      <c r="O89" s="1859">
        <f ca="1">+SYS_4_3_Digitos!I74-SYS_4_3_Digitos!J74</f>
        <v>0</v>
      </c>
    </row>
    <row r="90" spans="2:15" ht="25.5" hidden="1" customHeight="1" outlineLevel="1">
      <c r="B90" s="581"/>
      <c r="C90" s="582"/>
      <c r="D90" s="594" t="str">
        <f t="shared" si="10"/>
        <v/>
      </c>
      <c r="E90" s="583"/>
      <c r="G90" s="583"/>
      <c r="H90" s="594" t="str">
        <f t="shared" si="11"/>
        <v/>
      </c>
      <c r="I90" s="582"/>
      <c r="J90" s="584"/>
      <c r="M90" s="1858">
        <f>+SYS_4_3_Digitos!A75</f>
        <v>210</v>
      </c>
      <c r="N90" s="1858" t="str">
        <f>+SYS_4_3_Digitos!B75</f>
        <v>TERRENOS Y BIENES NATURALES</v>
      </c>
      <c r="O90" s="1859">
        <f ca="1">+SYS_4_3_Digitos!I75-SYS_4_3_Digitos!J75</f>
        <v>1217233.03</v>
      </c>
    </row>
    <row r="91" spans="2:15" ht="25.5" hidden="1" customHeight="1" outlineLevel="1">
      <c r="B91" s="581"/>
      <c r="C91" s="582"/>
      <c r="D91" s="594" t="str">
        <f t="shared" si="10"/>
        <v/>
      </c>
      <c r="E91" s="583"/>
      <c r="G91" s="583"/>
      <c r="H91" s="594" t="str">
        <f t="shared" si="11"/>
        <v/>
      </c>
      <c r="I91" s="582"/>
      <c r="J91" s="584"/>
      <c r="M91" s="1858">
        <f>+SYS_4_3_Digitos!A76</f>
        <v>211</v>
      </c>
      <c r="N91" s="1858" t="str">
        <f>+SYS_4_3_Digitos!B76</f>
        <v>CONSTRUCCIONES</v>
      </c>
      <c r="O91" s="1859">
        <f ca="1">+SYS_4_3_Digitos!I76-SYS_4_3_Digitos!J76</f>
        <v>4905408.5199999996</v>
      </c>
    </row>
    <row r="92" spans="2:15" ht="25.5" hidden="1" customHeight="1" outlineLevel="1">
      <c r="B92" s="581"/>
      <c r="C92" s="582"/>
      <c r="D92" s="594" t="str">
        <f t="shared" si="10"/>
        <v/>
      </c>
      <c r="E92" s="583"/>
      <c r="G92" s="583"/>
      <c r="H92" s="594" t="str">
        <f t="shared" si="11"/>
        <v/>
      </c>
      <c r="I92" s="582"/>
      <c r="J92" s="584"/>
      <c r="M92" s="1858">
        <f>+SYS_4_3_Digitos!A77</f>
        <v>212</v>
      </c>
      <c r="N92" s="1858" t="str">
        <f>+SYS_4_3_Digitos!B77</f>
        <v>INSTALACIONES TÉCNICAS</v>
      </c>
      <c r="O92" s="1859">
        <f ca="1">+SYS_4_3_Digitos!I77-SYS_4_3_Digitos!J77</f>
        <v>19677094.84</v>
      </c>
    </row>
    <row r="93" spans="2:15" ht="25.5" hidden="1" customHeight="1" outlineLevel="1">
      <c r="B93" s="581"/>
      <c r="C93" s="582"/>
      <c r="D93" s="594" t="str">
        <f t="shared" si="10"/>
        <v/>
      </c>
      <c r="E93" s="583"/>
      <c r="G93" s="583"/>
      <c r="H93" s="594" t="str">
        <f t="shared" si="11"/>
        <v/>
      </c>
      <c r="I93" s="582"/>
      <c r="J93" s="584"/>
      <c r="M93" s="1858">
        <f>+SYS_4_3_Digitos!A78</f>
        <v>213</v>
      </c>
      <c r="N93" s="1858" t="str">
        <f>+SYS_4_3_Digitos!B78</f>
        <v>MAQUINARIA</v>
      </c>
      <c r="O93" s="1859">
        <f ca="1">+SYS_4_3_Digitos!I78-SYS_4_3_Digitos!J78</f>
        <v>1060116.9099999999</v>
      </c>
    </row>
    <row r="94" spans="2:15" ht="25.5" hidden="1" customHeight="1" outlineLevel="1">
      <c r="B94" s="581"/>
      <c r="C94" s="582"/>
      <c r="D94" s="594" t="str">
        <f t="shared" si="10"/>
        <v/>
      </c>
      <c r="E94" s="583"/>
      <c r="G94" s="583"/>
      <c r="H94" s="594" t="str">
        <f t="shared" si="11"/>
        <v/>
      </c>
      <c r="I94" s="582"/>
      <c r="J94" s="584"/>
      <c r="M94" s="1858">
        <f>+SYS_4_3_Digitos!A79</f>
        <v>214</v>
      </c>
      <c r="N94" s="1858" t="str">
        <f>+SYS_4_3_Digitos!B79</f>
        <v>UTILLAJE</v>
      </c>
      <c r="O94" s="1859">
        <f ca="1">+SYS_4_3_Digitos!I79-SYS_4_3_Digitos!J79</f>
        <v>10306.1</v>
      </c>
    </row>
    <row r="95" spans="2:15" ht="25.5" hidden="1" customHeight="1" outlineLevel="1">
      <c r="B95" s="581"/>
      <c r="C95" s="582"/>
      <c r="D95" s="594" t="str">
        <f t="shared" si="10"/>
        <v/>
      </c>
      <c r="E95" s="583"/>
      <c r="G95" s="583"/>
      <c r="H95" s="594" t="str">
        <f t="shared" si="11"/>
        <v/>
      </c>
      <c r="I95" s="582"/>
      <c r="J95" s="584"/>
      <c r="M95" s="1858">
        <f>+SYS_4_3_Digitos!A80</f>
        <v>215</v>
      </c>
      <c r="N95" s="1858" t="str">
        <f>+SYS_4_3_Digitos!B80</f>
        <v>OTRAS INSTALACIONES</v>
      </c>
      <c r="O95" s="1859">
        <f ca="1">+SYS_4_3_Digitos!I80-SYS_4_3_Digitos!J80</f>
        <v>1162570.3500000001</v>
      </c>
    </row>
    <row r="96" spans="2:15" ht="25.5" hidden="1" customHeight="1" outlineLevel="1">
      <c r="B96" s="581"/>
      <c r="C96" s="582"/>
      <c r="D96" s="594" t="str">
        <f t="shared" si="10"/>
        <v/>
      </c>
      <c r="E96" s="583"/>
      <c r="G96" s="583"/>
      <c r="H96" s="594" t="str">
        <f t="shared" si="11"/>
        <v/>
      </c>
      <c r="I96" s="582"/>
      <c r="J96" s="584"/>
      <c r="M96" s="1858">
        <f>+SYS_4_3_Digitos!A81</f>
        <v>216</v>
      </c>
      <c r="N96" s="1858" t="str">
        <f>+SYS_4_3_Digitos!B81</f>
        <v>MOBILIARIO</v>
      </c>
      <c r="O96" s="1859">
        <f ca="1">+SYS_4_3_Digitos!I81-SYS_4_3_Digitos!J81</f>
        <v>454455.79</v>
      </c>
    </row>
    <row r="97" spans="2:15" ht="25.5" hidden="1" customHeight="1" outlineLevel="1">
      <c r="B97" s="581"/>
      <c r="C97" s="582"/>
      <c r="D97" s="594" t="str">
        <f t="shared" si="10"/>
        <v/>
      </c>
      <c r="E97" s="583"/>
      <c r="G97" s="583"/>
      <c r="H97" s="594" t="str">
        <f t="shared" si="11"/>
        <v/>
      </c>
      <c r="I97" s="582"/>
      <c r="J97" s="584"/>
      <c r="M97" s="1858">
        <f>+SYS_4_3_Digitos!A82</f>
        <v>217</v>
      </c>
      <c r="N97" s="1858" t="str">
        <f>+SYS_4_3_Digitos!B82</f>
        <v>EQUIPOS PARA PROCESOS DE INFORMACIÓN</v>
      </c>
      <c r="O97" s="1859">
        <f ca="1">+SYS_4_3_Digitos!I82-SYS_4_3_Digitos!J82</f>
        <v>53303.6</v>
      </c>
    </row>
    <row r="98" spans="2:15" ht="25.5" hidden="1" customHeight="1" outlineLevel="1">
      <c r="B98" s="587"/>
      <c r="C98" s="588"/>
      <c r="D98" s="595" t="str">
        <f t="shared" si="10"/>
        <v/>
      </c>
      <c r="E98" s="589"/>
      <c r="G98" s="589"/>
      <c r="H98" s="596" t="str">
        <f t="shared" si="11"/>
        <v/>
      </c>
      <c r="I98" s="588"/>
      <c r="J98" s="590"/>
      <c r="M98" s="1858">
        <f>+SYS_4_3_Digitos!A83</f>
        <v>218</v>
      </c>
      <c r="N98" s="1858" t="str">
        <f>+SYS_4_3_Digitos!B83</f>
        <v>ELEMENTOS DE TRANSPORTE</v>
      </c>
      <c r="O98" s="1859">
        <f ca="1">+SYS_4_3_Digitos!I83-SYS_4_3_Digitos!J83</f>
        <v>85249.7</v>
      </c>
    </row>
    <row r="99" spans="2:15" collapsed="1">
      <c r="B99" s="598">
        <f>SUM(B85:B98)</f>
        <v>12368.199999999999</v>
      </c>
      <c r="C99" s="571"/>
      <c r="E99" s="571"/>
      <c r="F99" s="591">
        <f>+B99-J99</f>
        <v>0</v>
      </c>
      <c r="G99" s="575"/>
      <c r="H99" s="575"/>
      <c r="I99" s="571"/>
      <c r="J99" s="598">
        <f>SUM(J85:J98)</f>
        <v>12368.199999999999</v>
      </c>
      <c r="M99" s="1858">
        <f>+SYS_4_3_Digitos!A84</f>
        <v>219</v>
      </c>
      <c r="N99" s="1858" t="str">
        <f>+SYS_4_3_Digitos!B84</f>
        <v>OTRO INMOvILIZADO MATERIAL</v>
      </c>
      <c r="O99" s="1859">
        <f ca="1">+SYS_4_3_Digitos!I84-SYS_4_3_Digitos!J84</f>
        <v>651219.30999999994</v>
      </c>
    </row>
    <row r="100" spans="2:15">
      <c r="M100" s="1858">
        <f>+SYS_4_3_Digitos!A85</f>
        <v>220</v>
      </c>
      <c r="N100" s="1858" t="str">
        <f>+SYS_4_3_Digitos!B85</f>
        <v>INVERSIONES EN TERRENOS Y BIENES NATURALES</v>
      </c>
      <c r="O100" s="1859">
        <f ca="1">+SYS_4_3_Digitos!I85-SYS_4_3_Digitos!J85</f>
        <v>4595214.4400000004</v>
      </c>
    </row>
    <row r="101" spans="2:15" ht="15.6">
      <c r="B101" s="576" t="s">
        <v>2979</v>
      </c>
      <c r="C101" s="554"/>
      <c r="D101" s="571"/>
      <c r="E101" s="571"/>
      <c r="F101" s="575"/>
      <c r="G101" s="572"/>
      <c r="H101" s="572"/>
      <c r="I101" s="571"/>
      <c r="J101" s="569"/>
      <c r="M101" s="1858">
        <f>+SYS_4_3_Digitos!A86</f>
        <v>221</v>
      </c>
      <c r="N101" s="1858" t="str">
        <f>+SYS_4_3_Digitos!B86</f>
        <v>INVERSIONES EN CONSTRUCCIONES</v>
      </c>
      <c r="O101" s="1859">
        <f ca="1">+SYS_4_3_Digitos!I86-SYS_4_3_Digitos!J86</f>
        <v>18589908.699999999</v>
      </c>
    </row>
    <row r="102" spans="2:15">
      <c r="B102" s="569"/>
      <c r="C102" s="571"/>
      <c r="D102" s="571"/>
      <c r="E102" s="571"/>
      <c r="F102" s="575"/>
      <c r="G102" s="572"/>
      <c r="H102" s="572"/>
      <c r="I102" s="571"/>
      <c r="J102" s="569"/>
      <c r="M102" s="1858">
        <f>+SYS_4_3_Digitos!A87</f>
        <v>230</v>
      </c>
      <c r="N102" s="1858" t="str">
        <f>+SYS_4_3_Digitos!B87</f>
        <v>ADAPTACIÓN DE TERRENOS Y BIENES NATURALES</v>
      </c>
      <c r="O102" s="1859">
        <f ca="1">+SYS_4_3_Digitos!I87-SYS_4_3_Digitos!J87</f>
        <v>0</v>
      </c>
    </row>
    <row r="103" spans="2:15" ht="25.5" customHeight="1">
      <c r="B103" s="577">
        <v>2477666.92</v>
      </c>
      <c r="C103" s="578">
        <v>6300</v>
      </c>
      <c r="D103" s="593" t="str">
        <f t="shared" ref="D103:D116" si="12">IF(C103="","",+LOOKUP(C103,$M$12:$M$36733,$N$12:$N$36733))</f>
        <v>IMPUESTO CORRIENTE</v>
      </c>
      <c r="E103" s="579"/>
      <c r="F103" s="572"/>
      <c r="G103" s="579" t="s">
        <v>2980</v>
      </c>
      <c r="H103" s="593" t="str">
        <f t="shared" ref="H103:H116" si="13">IF(I103="","",+LOOKUP(I103,$M$12:$M$36733,$N$12:$N$36733))</f>
        <v>HP RETENCIONES Y PAGOS A CUENTA</v>
      </c>
      <c r="I103" s="578">
        <v>473</v>
      </c>
      <c r="J103" s="580">
        <v>28053.48</v>
      </c>
      <c r="M103" s="1858">
        <f>+SYS_4_3_Digitos!A88</f>
        <v>231</v>
      </c>
      <c r="N103" s="1858" t="str">
        <f>+SYS_4_3_Digitos!B88</f>
        <v>CONSTRUCCIONES EN CURSO</v>
      </c>
      <c r="O103" s="1859">
        <f ca="1">+SYS_4_3_Digitos!I88-SYS_4_3_Digitos!J88</f>
        <v>0</v>
      </c>
    </row>
    <row r="104" spans="2:15" ht="25.5" customHeight="1">
      <c r="B104" s="581">
        <v>2032224.38</v>
      </c>
      <c r="C104" s="582">
        <v>4709</v>
      </c>
      <c r="D104" s="594" t="str">
        <f t="shared" si="12"/>
        <v>HP DEUDORA POR DEVOLUCIÓN DE IMPUESTOS</v>
      </c>
      <c r="E104" s="583"/>
      <c r="F104" s="572"/>
      <c r="G104" s="583" t="s">
        <v>2981</v>
      </c>
      <c r="H104" s="594" t="str">
        <f t="shared" si="13"/>
        <v>HP RETENCIONES Y PAGOS A CUENTA</v>
      </c>
      <c r="I104" s="582">
        <v>473</v>
      </c>
      <c r="J104" s="584">
        <v>66730.64</v>
      </c>
      <c r="M104" s="1858">
        <f>+SYS_4_3_Digitos!A89</f>
        <v>232</v>
      </c>
      <c r="N104" s="1858" t="str">
        <f>+SYS_4_3_Digitos!B89</f>
        <v>INSTALACIONES TÉCNICAS EN MONTAJE</v>
      </c>
      <c r="O104" s="1859">
        <f ca="1">+SYS_4_3_Digitos!I89-SYS_4_3_Digitos!J89</f>
        <v>0</v>
      </c>
    </row>
    <row r="105" spans="2:15" ht="25.5" customHeight="1">
      <c r="B105" s="581"/>
      <c r="C105" s="582"/>
      <c r="D105" s="594" t="str">
        <f t="shared" si="12"/>
        <v/>
      </c>
      <c r="E105" s="583"/>
      <c r="F105" s="572"/>
      <c r="G105" s="583" t="s">
        <v>2982</v>
      </c>
      <c r="H105" s="594" t="str">
        <f t="shared" si="13"/>
        <v>HP RETENCIONES Y PAGOS A CUENTA</v>
      </c>
      <c r="I105" s="582">
        <v>473</v>
      </c>
      <c r="J105" s="584">
        <v>74190.17</v>
      </c>
      <c r="M105" s="1858">
        <f>+SYS_4_3_Digitos!A90</f>
        <v>233</v>
      </c>
      <c r="N105" s="1858" t="str">
        <f>+SYS_4_3_Digitos!B90</f>
        <v>MAQUINARIAS EN MONTAJE</v>
      </c>
      <c r="O105" s="1859">
        <f ca="1">+SYS_4_3_Digitos!I90-SYS_4_3_Digitos!J90</f>
        <v>0</v>
      </c>
    </row>
    <row r="106" spans="2:15" ht="25.5" customHeight="1">
      <c r="B106" s="581"/>
      <c r="C106" s="582"/>
      <c r="D106" s="594" t="str">
        <f t="shared" si="12"/>
        <v/>
      </c>
      <c r="E106" s="583"/>
      <c r="F106" s="572"/>
      <c r="G106" s="583" t="s">
        <v>2983</v>
      </c>
      <c r="H106" s="594" t="str">
        <f t="shared" si="13"/>
        <v>HP RETENCIONES Y PAGOS A CUENTA</v>
      </c>
      <c r="I106" s="582">
        <v>473</v>
      </c>
      <c r="J106" s="584">
        <v>265769.58</v>
      </c>
      <c r="M106" s="1858">
        <f>+SYS_4_3_Digitos!A91</f>
        <v>237</v>
      </c>
      <c r="N106" s="1858" t="str">
        <f>+SYS_4_3_Digitos!B91</f>
        <v>EQUIPOS PARA PROCESOS DE INFORMACIÓN EN MONTAJE</v>
      </c>
      <c r="O106" s="1859">
        <f ca="1">+SYS_4_3_Digitos!I91-SYS_4_3_Digitos!J91</f>
        <v>0</v>
      </c>
    </row>
    <row r="107" spans="2:15" ht="25.5" customHeight="1" outlineLevel="1">
      <c r="B107" s="585"/>
      <c r="C107" s="582"/>
      <c r="D107" s="594" t="str">
        <f t="shared" si="12"/>
        <v/>
      </c>
      <c r="E107" s="583"/>
      <c r="F107" s="572"/>
      <c r="G107" s="583" t="s">
        <v>2984</v>
      </c>
      <c r="H107" s="594" t="str">
        <f t="shared" si="13"/>
        <v>HP RETENCIONES Y PAGOS A CUENTA</v>
      </c>
      <c r="I107" s="582">
        <v>473</v>
      </c>
      <c r="J107" s="586">
        <v>1191.82</v>
      </c>
      <c r="M107" s="1858">
        <f>+SYS_4_3_Digitos!A92</f>
        <v>239</v>
      </c>
      <c r="N107" s="1858" t="str">
        <f>+SYS_4_3_Digitos!B92</f>
        <v>ANTICIPOS PARA INMOVILIZACIONES MATERIALES</v>
      </c>
      <c r="O107" s="1859">
        <f ca="1">+SYS_4_3_Digitos!I92-SYS_4_3_Digitos!J92</f>
        <v>0</v>
      </c>
    </row>
    <row r="108" spans="2:15" ht="25.5" customHeight="1" outlineLevel="1">
      <c r="B108" s="581"/>
      <c r="C108" s="582"/>
      <c r="D108" s="594" t="str">
        <f t="shared" si="12"/>
        <v/>
      </c>
      <c r="E108" s="583"/>
      <c r="G108" s="583" t="s">
        <v>2985</v>
      </c>
      <c r="H108" s="594" t="str">
        <f t="shared" si="13"/>
        <v>HP RETENCIONES Y PAGOS A CUENTA</v>
      </c>
      <c r="I108" s="582">
        <v>473</v>
      </c>
      <c r="J108" s="584">
        <v>2897.12</v>
      </c>
      <c r="M108" s="1858">
        <f>+SYS_4_3_Digitos!A96</f>
        <v>241</v>
      </c>
      <c r="N108" s="1858" t="str">
        <f>+SYS_4_3_Digitos!B96</f>
        <v>VALORES REPRESENTATIVOS DE DEUDA A LP PARTES VINCU.</v>
      </c>
      <c r="O108" s="1859">
        <f ca="1">+SYS_4_3_Digitos!I96-SYS_4_3_Digitos!J96</f>
        <v>0</v>
      </c>
    </row>
    <row r="109" spans="2:15" ht="25.5" customHeight="1" outlineLevel="1">
      <c r="B109" s="581"/>
      <c r="C109" s="582"/>
      <c r="D109" s="594" t="str">
        <f t="shared" si="12"/>
        <v/>
      </c>
      <c r="E109" s="583"/>
      <c r="G109" s="583" t="s">
        <v>2986</v>
      </c>
      <c r="H109" s="594" t="str">
        <f t="shared" si="13"/>
        <v>HP RETENCIONES Y PAGOS A CUENTA</v>
      </c>
      <c r="I109" s="582">
        <v>473</v>
      </c>
      <c r="J109" s="584">
        <v>537109.62</v>
      </c>
      <c r="M109" s="1858">
        <f>+SYS_4_3_Digitos!A101</f>
        <v>250</v>
      </c>
      <c r="N109" s="1858" t="str">
        <f>+SYS_4_3_Digitos!B101</f>
        <v>INVERSIONES FRAS A LP EN INSTRUMENTOS DE PATRIMONIO</v>
      </c>
      <c r="O109" s="1859">
        <f ca="1">+SYS_4_3_Digitos!I101-SYS_4_3_Digitos!J101</f>
        <v>163066826.97999999</v>
      </c>
    </row>
    <row r="110" spans="2:15" ht="25.5" customHeight="1" outlineLevel="1">
      <c r="B110" s="581"/>
      <c r="C110" s="582"/>
      <c r="D110" s="594" t="str">
        <f t="shared" si="12"/>
        <v/>
      </c>
      <c r="E110" s="583"/>
      <c r="G110" s="583" t="s">
        <v>2987</v>
      </c>
      <c r="H110" s="594" t="str">
        <f t="shared" si="13"/>
        <v>HP RETENCIONES Y PAGOS A CUENTA</v>
      </c>
      <c r="I110" s="582">
        <v>473</v>
      </c>
      <c r="J110" s="584">
        <v>1174.3399999999999</v>
      </c>
      <c r="M110" s="1858">
        <f>+SYS_4_3_Digitos!A102</f>
        <v>251</v>
      </c>
      <c r="N110" s="1858" t="str">
        <f>+SYS_4_3_Digitos!B102</f>
        <v>VALORES REPRESENTATIVOS DE DEUDA A LP</v>
      </c>
      <c r="O110" s="1859">
        <f ca="1">+SYS_4_3_Digitos!I102-SYS_4_3_Digitos!J102</f>
        <v>0</v>
      </c>
    </row>
    <row r="111" spans="2:15" ht="25.5" customHeight="1" outlineLevel="1">
      <c r="B111" s="581"/>
      <c r="C111" s="582"/>
      <c r="D111" s="594" t="str">
        <f t="shared" si="12"/>
        <v/>
      </c>
      <c r="E111" s="583"/>
      <c r="G111" s="583" t="s">
        <v>2988</v>
      </c>
      <c r="H111" s="594" t="str">
        <f t="shared" si="13"/>
        <v>HP RETENCIONES Y PAGOS A CUENTA</v>
      </c>
      <c r="I111" s="582">
        <v>473</v>
      </c>
      <c r="J111" s="584">
        <v>285092.95</v>
      </c>
      <c r="M111" s="1858">
        <f>+SYS_4_3_Digitos!A103</f>
        <v>252</v>
      </c>
      <c r="N111" s="1858" t="str">
        <f>+SYS_4_3_Digitos!B103</f>
        <v xml:space="preserve">CRÉDITOS A LP  </v>
      </c>
      <c r="O111" s="1859">
        <f ca="1">+SYS_4_3_Digitos!I103-SYS_4_3_Digitos!J103</f>
        <v>0</v>
      </c>
    </row>
    <row r="112" spans="2:15" ht="25.5" customHeight="1" outlineLevel="1">
      <c r="B112" s="581"/>
      <c r="C112" s="582"/>
      <c r="D112" s="594" t="str">
        <f t="shared" si="12"/>
        <v/>
      </c>
      <c r="E112" s="583"/>
      <c r="G112" s="583" t="s">
        <v>2989</v>
      </c>
      <c r="H112" s="594" t="str">
        <f t="shared" si="13"/>
        <v>HP RETENCIONES Y PAGOS A CUENTA</v>
      </c>
      <c r="I112" s="582">
        <v>473</v>
      </c>
      <c r="J112" s="584">
        <v>2963.22</v>
      </c>
      <c r="M112" s="1858">
        <f>+SYS_4_3_Digitos!A104</f>
        <v>253</v>
      </c>
      <c r="N112" s="1858" t="str">
        <f>+SYS_4_3_Digitos!B104</f>
        <v>CRÉDITOS A LP POR ENAJENACIÓN DE INMOVILIZADO</v>
      </c>
      <c r="O112" s="1859">
        <f ca="1">+SYS_4_3_Digitos!I104-SYS_4_3_Digitos!J104</f>
        <v>0</v>
      </c>
    </row>
    <row r="113" spans="2:15" ht="25.5" customHeight="1" outlineLevel="1">
      <c r="B113" s="581"/>
      <c r="C113" s="582"/>
      <c r="D113" s="594" t="str">
        <f t="shared" si="12"/>
        <v/>
      </c>
      <c r="E113" s="583"/>
      <c r="G113" s="583" t="s">
        <v>2990</v>
      </c>
      <c r="H113" s="594" t="str">
        <f t="shared" si="13"/>
        <v>HP RETENCIONES Y PAGOS A CUENTA</v>
      </c>
      <c r="I113" s="582">
        <v>473</v>
      </c>
      <c r="J113" s="584">
        <v>156.36000000000001</v>
      </c>
      <c r="M113" s="1858">
        <f>+SYS_4_3_Digitos!A105</f>
        <v>254</v>
      </c>
      <c r="N113" s="1858" t="str">
        <f>+SYS_4_3_Digitos!B105</f>
        <v>CRÉDITOS A LP AL PERSONAL</v>
      </c>
      <c r="O113" s="1859">
        <f ca="1">+SYS_4_3_Digitos!I105-SYS_4_3_Digitos!J105</f>
        <v>6095.42</v>
      </c>
    </row>
    <row r="114" spans="2:15" ht="25.5" customHeight="1" outlineLevel="1">
      <c r="B114" s="581"/>
      <c r="C114" s="582"/>
      <c r="D114" s="594" t="str">
        <f t="shared" si="12"/>
        <v/>
      </c>
      <c r="E114" s="583"/>
      <c r="G114" s="583" t="s">
        <v>2991</v>
      </c>
      <c r="H114" s="594" t="str">
        <f t="shared" si="13"/>
        <v>HP RETENCIONES Y PAGOS A CUENTA</v>
      </c>
      <c r="I114" s="582">
        <v>473</v>
      </c>
      <c r="J114" s="584">
        <v>3244562</v>
      </c>
      <c r="M114" s="1858">
        <f>+SYS_4_3_Digitos!A106</f>
        <v>255</v>
      </c>
      <c r="N114" s="1858" t="str">
        <f>+SYS_4_3_Digitos!B106</f>
        <v>ACTIVOS POR DERIVADOS FINANCIEROS A LP</v>
      </c>
      <c r="O114" s="1859">
        <f ca="1">+SYS_4_3_Digitos!I106-SYS_4_3_Digitos!J106</f>
        <v>0</v>
      </c>
    </row>
    <row r="115" spans="2:15" ht="25.5" customHeight="1" outlineLevel="1">
      <c r="B115" s="581"/>
      <c r="C115" s="582"/>
      <c r="D115" s="594" t="str">
        <f t="shared" si="12"/>
        <v/>
      </c>
      <c r="E115" s="583"/>
      <c r="G115" s="583"/>
      <c r="H115" s="594" t="str">
        <f t="shared" si="13"/>
        <v/>
      </c>
      <c r="I115" s="582"/>
      <c r="J115" s="584"/>
      <c r="M115" s="1858">
        <f>+SYS_4_3_Digitos!A107</f>
        <v>257</v>
      </c>
      <c r="N115" s="1858" t="str">
        <f>+SYS_4_3_Digitos!B107</f>
        <v>DCHOS DE REEMB. DERIV. DE CONTR.DE SEGUROS RETR.LP</v>
      </c>
      <c r="O115" s="1859">
        <f ca="1">+SYS_4_3_Digitos!I107-SYS_4_3_Digitos!J107</f>
        <v>0</v>
      </c>
    </row>
    <row r="116" spans="2:15" ht="25.5" customHeight="1" outlineLevel="1">
      <c r="B116" s="587"/>
      <c r="C116" s="588"/>
      <c r="D116" s="595" t="str">
        <f t="shared" si="12"/>
        <v/>
      </c>
      <c r="E116" s="589"/>
      <c r="G116" s="589"/>
      <c r="H116" s="596" t="str">
        <f t="shared" si="13"/>
        <v/>
      </c>
      <c r="I116" s="588"/>
      <c r="J116" s="590"/>
      <c r="M116" s="1858">
        <f>+SYS_4_3_Digitos!A108</f>
        <v>258</v>
      </c>
      <c r="N116" s="1858" t="str">
        <f>+SYS_4_3_Digitos!B108</f>
        <v>IMPOSICIONES A LP</v>
      </c>
      <c r="O116" s="1859">
        <f ca="1">+SYS_4_3_Digitos!I108-SYS_4_3_Digitos!J108</f>
        <v>0</v>
      </c>
    </row>
    <row r="117" spans="2:15">
      <c r="B117" s="598">
        <f>SUM(B103:B116)</f>
        <v>4509891.3</v>
      </c>
      <c r="C117" s="571"/>
      <c r="E117" s="571"/>
      <c r="F117" s="591">
        <f>+B117-J117</f>
        <v>0</v>
      </c>
      <c r="G117" s="575"/>
      <c r="H117" s="575"/>
      <c r="I117" s="571"/>
      <c r="J117" s="598">
        <f>SUM(J103:J116)</f>
        <v>4509891.3</v>
      </c>
      <c r="M117" s="1858">
        <f>+SYS_4_3_Digitos!A109</f>
        <v>259</v>
      </c>
      <c r="N117" s="1858" t="str">
        <f>+SYS_4_3_Digitos!B109</f>
        <v>DESEMBOLSOS PTES SOBRE PART. EN EL PATRIM. NETO A LP</v>
      </c>
      <c r="O117" s="1859">
        <f ca="1">+SYS_4_3_Digitos!I109-SYS_4_3_Digitos!J109</f>
        <v>0</v>
      </c>
    </row>
    <row r="118" spans="2:15">
      <c r="M118" s="1858">
        <f>+SYS_4_3_Digitos!A110</f>
        <v>260</v>
      </c>
      <c r="N118" s="1858" t="str">
        <f>+SYS_4_3_Digitos!B110</f>
        <v>FIANZAS CONSTITUIDAS A LP</v>
      </c>
      <c r="O118" s="1859">
        <f ca="1">+SYS_4_3_Digitos!I110-SYS_4_3_Digitos!J110</f>
        <v>202851.78</v>
      </c>
    </row>
    <row r="119" spans="2:15" ht="15.6">
      <c r="B119" s="576"/>
      <c r="C119" s="554"/>
      <c r="D119" s="571"/>
      <c r="E119" s="571"/>
      <c r="F119" s="575"/>
      <c r="G119" s="572"/>
      <c r="H119" s="572"/>
      <c r="I119" s="571"/>
      <c r="J119" s="569"/>
      <c r="M119" s="1858">
        <f>+SYS_4_3_Digitos!A111</f>
        <v>265</v>
      </c>
      <c r="N119" s="1858" t="str">
        <f>+SYS_4_3_Digitos!B111</f>
        <v>DEPÓSITOS CONSTITUIDOS A LP</v>
      </c>
      <c r="O119" s="1859">
        <f ca="1">+SYS_4_3_Digitos!I111-SYS_4_3_Digitos!J111</f>
        <v>-18235.760000000002</v>
      </c>
    </row>
    <row r="120" spans="2:15">
      <c r="B120" s="569"/>
      <c r="C120" s="571"/>
      <c r="D120" s="571"/>
      <c r="E120" s="571"/>
      <c r="F120" s="575"/>
      <c r="G120" s="572"/>
      <c r="H120" s="572"/>
      <c r="I120" s="571"/>
      <c r="J120" s="569"/>
      <c r="M120" s="1858">
        <f>+SYS_4_3_Digitos!A128</f>
        <v>282</v>
      </c>
      <c r="N120" s="1858" t="str">
        <f>+SYS_4_3_Digitos!B128</f>
        <v>AMORT, ACUM DE LAS INVERSIONES INMOBILIARIAS</v>
      </c>
      <c r="O120" s="1859">
        <f ca="1">+SYS_4_3_Digitos!I128-SYS_4_3_Digitos!J128</f>
        <v>-899558.49</v>
      </c>
    </row>
    <row r="121" spans="2:15" ht="25.5" customHeight="1">
      <c r="B121" s="577"/>
      <c r="C121" s="578"/>
      <c r="D121" s="593" t="str">
        <f t="shared" ref="D121:D134" si="14">IF(C121="","",+LOOKUP(C121,$M$12:$M$36733,$N$12:$N$36733))</f>
        <v/>
      </c>
      <c r="E121" s="579"/>
      <c r="F121" s="572"/>
      <c r="G121" s="579"/>
      <c r="H121" s="593" t="str">
        <f t="shared" ref="H121:H134" si="15">IF(I121="","",+LOOKUP(I121,$M$12:$M$36733,$N$12:$N$36733))</f>
        <v/>
      </c>
      <c r="I121" s="578"/>
      <c r="J121" s="580"/>
      <c r="M121" s="1858">
        <f>+SYS_4_3_Digitos!A129</f>
        <v>290</v>
      </c>
      <c r="N121" s="1858" t="str">
        <f>+SYS_4_3_Digitos!B129</f>
        <v>DETERIORO DE VALOR DEL INMOVILIZADO INTANGIBLE</v>
      </c>
      <c r="O121" s="1859">
        <f ca="1">+SYS_4_3_Digitos!I129-SYS_4_3_Digitos!J129</f>
        <v>0</v>
      </c>
    </row>
    <row r="122" spans="2:15" ht="25.5" customHeight="1">
      <c r="B122" s="581"/>
      <c r="C122" s="582"/>
      <c r="D122" s="594" t="str">
        <f t="shared" si="14"/>
        <v/>
      </c>
      <c r="E122" s="583"/>
      <c r="F122" s="572"/>
      <c r="G122" s="583"/>
      <c r="H122" s="594" t="str">
        <f t="shared" si="15"/>
        <v/>
      </c>
      <c r="I122" s="582"/>
      <c r="J122" s="584"/>
      <c r="M122" s="1858">
        <f>+SYS_4_3_Digitos!A130</f>
        <v>291</v>
      </c>
      <c r="N122" s="1858" t="str">
        <f>+SYS_4_3_Digitos!B130</f>
        <v>DETERIORO DE VALOR DEL INMOVILIZADO MATERIAL</v>
      </c>
      <c r="O122" s="1859">
        <f ca="1">+SYS_4_3_Digitos!I130-SYS_4_3_Digitos!J130</f>
        <v>0</v>
      </c>
    </row>
    <row r="123" spans="2:15" ht="25.5" customHeight="1">
      <c r="B123" s="581"/>
      <c r="C123" s="582"/>
      <c r="D123" s="594" t="str">
        <f t="shared" si="14"/>
        <v/>
      </c>
      <c r="E123" s="583"/>
      <c r="F123" s="572"/>
      <c r="G123" s="583"/>
      <c r="H123" s="594" t="str">
        <f t="shared" si="15"/>
        <v/>
      </c>
      <c r="I123" s="582"/>
      <c r="J123" s="584"/>
      <c r="M123" s="1858">
        <f>+SYS_4_3_Digitos!A131</f>
        <v>292</v>
      </c>
      <c r="N123" s="1858" t="str">
        <f>+SYS_4_3_Digitos!B131</f>
        <v>DETERIORO DE VALOR DE LAS INVERSIONES INMOBILIARIAS</v>
      </c>
      <c r="O123" s="1859">
        <f ca="1">+SYS_4_3_Digitos!I131-SYS_4_3_Digitos!J131</f>
        <v>0</v>
      </c>
    </row>
    <row r="124" spans="2:15" ht="25.5" customHeight="1">
      <c r="B124" s="581"/>
      <c r="C124" s="582"/>
      <c r="D124" s="594" t="str">
        <f t="shared" si="14"/>
        <v/>
      </c>
      <c r="E124" s="583"/>
      <c r="F124" s="572"/>
      <c r="G124" s="583"/>
      <c r="H124" s="594" t="str">
        <f t="shared" si="15"/>
        <v/>
      </c>
      <c r="I124" s="582"/>
      <c r="J124" s="584"/>
      <c r="M124" s="1858">
        <f>+SYS_4_3_Digitos!A134</f>
        <v>294</v>
      </c>
      <c r="N124" s="1858" t="str">
        <f>+SYS_4_3_Digitos!B134</f>
        <v>DET. DE VALOR VALORES REPR. DE DEUDA A LP PARTES VINC</v>
      </c>
      <c r="O124" s="1859">
        <f ca="1">+SYS_4_3_Digitos!I134-SYS_4_3_Digitos!J134</f>
        <v>0</v>
      </c>
    </row>
    <row r="125" spans="2:15" ht="25.5" hidden="1" customHeight="1" outlineLevel="1">
      <c r="B125" s="585"/>
      <c r="C125" s="582"/>
      <c r="D125" s="594" t="str">
        <f t="shared" si="14"/>
        <v/>
      </c>
      <c r="E125" s="583"/>
      <c r="F125" s="572"/>
      <c r="G125" s="583"/>
      <c r="H125" s="594" t="str">
        <f t="shared" si="15"/>
        <v/>
      </c>
      <c r="I125" s="582"/>
      <c r="J125" s="586"/>
      <c r="M125" s="1858">
        <f>+SYS_4_3_Digitos!A139</f>
        <v>297</v>
      </c>
      <c r="N125" s="1858" t="str">
        <f>+SYS_4_3_Digitos!B139</f>
        <v>DET. DE VALOR VALORES REPRESENTATIVOS DE DEUDA A LP</v>
      </c>
      <c r="O125" s="1859">
        <f ca="1">+SYS_4_3_Digitos!I139-SYS_4_3_Digitos!J139</f>
        <v>0</v>
      </c>
    </row>
    <row r="126" spans="2:15" ht="25.5" hidden="1" customHeight="1" outlineLevel="1">
      <c r="B126" s="581"/>
      <c r="C126" s="582"/>
      <c r="D126" s="594" t="str">
        <f t="shared" si="14"/>
        <v/>
      </c>
      <c r="E126" s="583"/>
      <c r="G126" s="583"/>
      <c r="H126" s="594" t="str">
        <f t="shared" si="15"/>
        <v/>
      </c>
      <c r="I126" s="582"/>
      <c r="J126" s="584"/>
      <c r="M126" s="1858">
        <f>+SYS_4_3_Digitos!A140</f>
        <v>298</v>
      </c>
      <c r="N126" s="1858" t="str">
        <f>+SYS_4_3_Digitos!B140</f>
        <v>DETERIORO DE VALOR DE CRÉDITOS A LP</v>
      </c>
      <c r="O126" s="1859">
        <f ca="1">+SYS_4_3_Digitos!I140-SYS_4_3_Digitos!J140</f>
        <v>0</v>
      </c>
    </row>
    <row r="127" spans="2:15" ht="25.5" hidden="1" customHeight="1" outlineLevel="1">
      <c r="B127" s="581"/>
      <c r="C127" s="582"/>
      <c r="D127" s="594" t="str">
        <f t="shared" si="14"/>
        <v/>
      </c>
      <c r="E127" s="583"/>
      <c r="G127" s="583"/>
      <c r="H127" s="594" t="str">
        <f t="shared" si="15"/>
        <v/>
      </c>
      <c r="I127" s="582"/>
      <c r="J127" s="584"/>
      <c r="M127" s="1858">
        <f>+SYS_4_3_Digitos!A149</f>
        <v>400</v>
      </c>
      <c r="N127" s="1858" t="str">
        <f>+SYS_4_3_Digitos!B149</f>
        <v>PROVEEDORES</v>
      </c>
      <c r="O127" s="1859">
        <f ca="1">+SYS_4_3_Digitos!I149-SYS_4_3_Digitos!J149</f>
        <v>1168480.1300000001</v>
      </c>
    </row>
    <row r="128" spans="2:15" ht="25.5" hidden="1" customHeight="1" outlineLevel="1">
      <c r="B128" s="581"/>
      <c r="C128" s="582"/>
      <c r="D128" s="594" t="str">
        <f t="shared" si="14"/>
        <v/>
      </c>
      <c r="E128" s="583"/>
      <c r="G128" s="583"/>
      <c r="H128" s="594" t="str">
        <f t="shared" si="15"/>
        <v/>
      </c>
      <c r="I128" s="582"/>
      <c r="J128" s="584"/>
      <c r="M128" s="1858">
        <f>+SYS_4_3_Digitos!A150</f>
        <v>401</v>
      </c>
      <c r="N128" s="1858" t="str">
        <f>+SYS_4_3_Digitos!B150</f>
        <v>PROVEEDORES EFECTOS COMERCIALES A PAGAR</v>
      </c>
      <c r="O128" s="1859">
        <f ca="1">+SYS_4_3_Digitos!I150-SYS_4_3_Digitos!J150</f>
        <v>-1327511.8400000001</v>
      </c>
    </row>
    <row r="129" spans="2:15" ht="25.5" hidden="1" customHeight="1" outlineLevel="1">
      <c r="B129" s="581"/>
      <c r="C129" s="582"/>
      <c r="D129" s="594" t="str">
        <f t="shared" si="14"/>
        <v/>
      </c>
      <c r="E129" s="583"/>
      <c r="G129" s="583"/>
      <c r="H129" s="594" t="str">
        <f t="shared" si="15"/>
        <v/>
      </c>
      <c r="I129" s="582"/>
      <c r="J129" s="584"/>
      <c r="M129" s="1858">
        <f>+SYS_4_3_Digitos!A151</f>
        <v>403</v>
      </c>
      <c r="N129" s="1858" t="str">
        <f>+SYS_4_3_Digitos!B151</f>
        <v>PROVEEDORES EMPRESAS DEL GRUPO</v>
      </c>
      <c r="O129" s="1859">
        <f ca="1">+SYS_4_3_Digitos!I151-SYS_4_3_Digitos!J151</f>
        <v>0</v>
      </c>
    </row>
    <row r="130" spans="2:15" ht="25.5" hidden="1" customHeight="1" outlineLevel="1">
      <c r="B130" s="581"/>
      <c r="C130" s="582"/>
      <c r="D130" s="594" t="str">
        <f t="shared" si="14"/>
        <v/>
      </c>
      <c r="E130" s="583"/>
      <c r="G130" s="583"/>
      <c r="H130" s="594" t="str">
        <f t="shared" si="15"/>
        <v/>
      </c>
      <c r="I130" s="582"/>
      <c r="J130" s="584"/>
      <c r="M130" s="1858">
        <f>+SYS_4_3_Digitos!A152</f>
        <v>404</v>
      </c>
      <c r="N130" s="1858" t="str">
        <f>+SYS_4_3_Digitos!B152</f>
        <v>PROVEEDORES EMPRESAS ASOCIADAS</v>
      </c>
      <c r="O130" s="1859">
        <f ca="1">+SYS_4_3_Digitos!I152-SYS_4_3_Digitos!J152</f>
        <v>0</v>
      </c>
    </row>
    <row r="131" spans="2:15" ht="25.5" hidden="1" customHeight="1" outlineLevel="1">
      <c r="B131" s="581"/>
      <c r="C131" s="582"/>
      <c r="D131" s="594" t="str">
        <f t="shared" si="14"/>
        <v/>
      </c>
      <c r="E131" s="583"/>
      <c r="G131" s="583"/>
      <c r="H131" s="594" t="str">
        <f t="shared" si="15"/>
        <v/>
      </c>
      <c r="I131" s="582"/>
      <c r="J131" s="584"/>
      <c r="M131" s="1858">
        <f>+SYS_4_3_Digitos!A153</f>
        <v>405</v>
      </c>
      <c r="N131" s="1858" t="str">
        <f>+SYS_4_3_Digitos!B153</f>
        <v>PROVEEDORES OTRAS PARTES VINCULADAS</v>
      </c>
      <c r="O131" s="1859">
        <f ca="1">+SYS_4_3_Digitos!I153-SYS_4_3_Digitos!J153</f>
        <v>0</v>
      </c>
    </row>
    <row r="132" spans="2:15" ht="25.5" hidden="1" customHeight="1" outlineLevel="1">
      <c r="B132" s="581"/>
      <c r="C132" s="582"/>
      <c r="D132" s="594" t="str">
        <f t="shared" si="14"/>
        <v/>
      </c>
      <c r="E132" s="583"/>
      <c r="G132" s="583"/>
      <c r="H132" s="594" t="str">
        <f t="shared" si="15"/>
        <v/>
      </c>
      <c r="I132" s="582"/>
      <c r="J132" s="584"/>
      <c r="M132" s="1858">
        <f>+SYS_4_3_Digitos!A154</f>
        <v>406</v>
      </c>
      <c r="N132" s="1858" t="str">
        <f>+SYS_4_3_Digitos!B154</f>
        <v>ENVASES Y EMBALAJES A DEVOLVER A PROVEEDORES</v>
      </c>
      <c r="O132" s="1859">
        <f ca="1">+SYS_4_3_Digitos!I154-SYS_4_3_Digitos!J154</f>
        <v>0</v>
      </c>
    </row>
    <row r="133" spans="2:15" ht="25.5" hidden="1" customHeight="1" outlineLevel="1">
      <c r="B133" s="581"/>
      <c r="C133" s="582"/>
      <c r="D133" s="594" t="str">
        <f t="shared" si="14"/>
        <v/>
      </c>
      <c r="E133" s="583"/>
      <c r="G133" s="583"/>
      <c r="H133" s="594" t="str">
        <f t="shared" si="15"/>
        <v/>
      </c>
      <c r="I133" s="582"/>
      <c r="J133" s="584"/>
      <c r="M133" s="1858">
        <f>+SYS_4_3_Digitos!A155</f>
        <v>407</v>
      </c>
      <c r="N133" s="1858" t="str">
        <f>+SYS_4_3_Digitos!B155</f>
        <v>ANTICIPOS A PROVEEDORES</v>
      </c>
      <c r="O133" s="1859">
        <f ca="1">+SYS_4_3_Digitos!I155-SYS_4_3_Digitos!J155</f>
        <v>0</v>
      </c>
    </row>
    <row r="134" spans="2:15" ht="25.5" hidden="1" customHeight="1" outlineLevel="1">
      <c r="B134" s="587"/>
      <c r="C134" s="588"/>
      <c r="D134" s="595" t="str">
        <f t="shared" si="14"/>
        <v/>
      </c>
      <c r="E134" s="589"/>
      <c r="G134" s="589"/>
      <c r="H134" s="596" t="str">
        <f t="shared" si="15"/>
        <v/>
      </c>
      <c r="I134" s="588"/>
      <c r="J134" s="590"/>
      <c r="M134" s="1858">
        <f>+SYS_4_3_Digitos!A156</f>
        <v>410</v>
      </c>
      <c r="N134" s="1858" t="str">
        <f>+SYS_4_3_Digitos!B156</f>
        <v>ACREEDORES POR PRESTACIÓN DE SERVICIOS</v>
      </c>
      <c r="O134" s="1859">
        <f ca="1">+SYS_4_3_Digitos!I156-SYS_4_3_Digitos!J156</f>
        <v>-47222.14</v>
      </c>
    </row>
    <row r="135" spans="2:15" collapsed="1">
      <c r="B135" s="598">
        <f>SUM(B121:B134)</f>
        <v>0</v>
      </c>
      <c r="C135" s="571"/>
      <c r="E135" s="571"/>
      <c r="F135" s="591">
        <f>+B135-J135</f>
        <v>0</v>
      </c>
      <c r="G135" s="575"/>
      <c r="H135" s="575"/>
      <c r="I135" s="571"/>
      <c r="J135" s="598">
        <f>SUM(J121:J134)</f>
        <v>0</v>
      </c>
      <c r="M135" s="1858">
        <f>+SYS_4_3_Digitos!A157</f>
        <v>411</v>
      </c>
      <c r="N135" s="1858" t="str">
        <f>+SYS_4_3_Digitos!B157</f>
        <v>ACREEDORES EFECTOS COMERCIALES A PAGAR</v>
      </c>
      <c r="O135" s="1859">
        <f ca="1">+SYS_4_3_Digitos!I157-SYS_4_3_Digitos!J157</f>
        <v>-230293.61000000002</v>
      </c>
    </row>
    <row r="136" spans="2:15">
      <c r="M136" s="1858">
        <f>+SYS_4_3_Digitos!A158</f>
        <v>419</v>
      </c>
      <c r="N136" s="1858" t="str">
        <f>+SYS_4_3_Digitos!B158</f>
        <v>ACREEDORES POR OPERACIONES EN COMÚN</v>
      </c>
      <c r="O136" s="1859">
        <f ca="1">+SYS_4_3_Digitos!I158-SYS_4_3_Digitos!J158</f>
        <v>0</v>
      </c>
    </row>
    <row r="137" spans="2:15" ht="15.6">
      <c r="B137" s="576"/>
      <c r="C137" s="554"/>
      <c r="D137" s="571"/>
      <c r="E137" s="571"/>
      <c r="F137" s="575"/>
      <c r="G137" s="572"/>
      <c r="H137" s="572"/>
      <c r="I137" s="571"/>
      <c r="J137" s="569"/>
      <c r="M137" s="1858">
        <f>+SYS_4_3_Digitos!A159</f>
        <v>430</v>
      </c>
      <c r="N137" s="1858" t="str">
        <f>+SYS_4_3_Digitos!B159</f>
        <v>CLIENTES</v>
      </c>
      <c r="O137" s="1859">
        <f ca="1">+SYS_4_3_Digitos!I159-SYS_4_3_Digitos!J159</f>
        <v>-1431356.3099999998</v>
      </c>
    </row>
    <row r="138" spans="2:15">
      <c r="B138" s="569"/>
      <c r="C138" s="571"/>
      <c r="D138" s="571"/>
      <c r="E138" s="571"/>
      <c r="F138" s="575"/>
      <c r="G138" s="572"/>
      <c r="H138" s="572"/>
      <c r="I138" s="571"/>
      <c r="J138" s="569"/>
      <c r="M138" s="1858">
        <f>+SYS_4_3_Digitos!A160</f>
        <v>431</v>
      </c>
      <c r="N138" s="1858" t="str">
        <f>+SYS_4_3_Digitos!B160</f>
        <v>CLIENTES EFECTOS COMERCIALES A COBRAR</v>
      </c>
      <c r="O138" s="1859">
        <f ca="1">+SYS_4_3_Digitos!I160-SYS_4_3_Digitos!J160</f>
        <v>25768944.690000001</v>
      </c>
    </row>
    <row r="139" spans="2:15" ht="25.5" customHeight="1">
      <c r="B139" s="577"/>
      <c r="C139" s="578"/>
      <c r="D139" s="593" t="str">
        <f t="shared" ref="D139:D152" si="16">IF(C139="","",+LOOKUP(C139,$M$12:$M$36733,$N$12:$N$36733))</f>
        <v/>
      </c>
      <c r="E139" s="579"/>
      <c r="F139" s="572"/>
      <c r="G139" s="579"/>
      <c r="H139" s="593" t="str">
        <f t="shared" ref="H139:H152" si="17">IF(I139="","",+LOOKUP(I139,$M$12:$M$36733,$N$12:$N$36733))</f>
        <v/>
      </c>
      <c r="I139" s="578"/>
      <c r="J139" s="580"/>
      <c r="M139" s="1858">
        <f>+SYS_4_3_Digitos!A161</f>
        <v>432</v>
      </c>
      <c r="N139" s="1858" t="str">
        <f>+SYS_4_3_Digitos!B161</f>
        <v>CLIENTES OPERACIONES DE FACTORING</v>
      </c>
      <c r="O139" s="1859">
        <f ca="1">+SYS_4_3_Digitos!I161-SYS_4_3_Digitos!J161</f>
        <v>0</v>
      </c>
    </row>
    <row r="140" spans="2:15" ht="25.5" customHeight="1">
      <c r="B140" s="581"/>
      <c r="C140" s="582"/>
      <c r="D140" s="594" t="str">
        <f t="shared" si="16"/>
        <v/>
      </c>
      <c r="E140" s="583"/>
      <c r="F140" s="572"/>
      <c r="G140" s="583"/>
      <c r="H140" s="594" t="str">
        <f t="shared" si="17"/>
        <v/>
      </c>
      <c r="I140" s="582"/>
      <c r="J140" s="584"/>
      <c r="M140" s="1858">
        <f>+SYS_4_3_Digitos!A162</f>
        <v>433</v>
      </c>
      <c r="N140" s="1858" t="str">
        <f>+SYS_4_3_Digitos!B162</f>
        <v>CLIENTES EMPRESAS DEL GRUPO</v>
      </c>
      <c r="O140" s="1859">
        <f ca="1">+SYS_4_3_Digitos!I162-SYS_4_3_Digitos!J162</f>
        <v>0</v>
      </c>
    </row>
    <row r="141" spans="2:15" ht="25.5" customHeight="1">
      <c r="B141" s="581"/>
      <c r="C141" s="582"/>
      <c r="D141" s="594" t="str">
        <f t="shared" si="16"/>
        <v/>
      </c>
      <c r="E141" s="583"/>
      <c r="F141" s="572"/>
      <c r="G141" s="583"/>
      <c r="H141" s="594" t="str">
        <f t="shared" si="17"/>
        <v/>
      </c>
      <c r="I141" s="582"/>
      <c r="J141" s="584"/>
      <c r="M141" s="1858">
        <f>+SYS_4_3_Digitos!A163</f>
        <v>434</v>
      </c>
      <c r="N141" s="1858" t="str">
        <f>+SYS_4_3_Digitos!B163</f>
        <v>CLIENTES EMPRESAS ASOCIDAS</v>
      </c>
      <c r="O141" s="1859">
        <f ca="1">+SYS_4_3_Digitos!I163-SYS_4_3_Digitos!J163</f>
        <v>0</v>
      </c>
    </row>
    <row r="142" spans="2:15" ht="25.5" customHeight="1">
      <c r="B142" s="581"/>
      <c r="C142" s="582"/>
      <c r="D142" s="594" t="str">
        <f t="shared" si="16"/>
        <v/>
      </c>
      <c r="E142" s="583"/>
      <c r="F142" s="572"/>
      <c r="G142" s="583"/>
      <c r="H142" s="594" t="str">
        <f t="shared" si="17"/>
        <v/>
      </c>
      <c r="I142" s="582"/>
      <c r="J142" s="584"/>
      <c r="M142" s="1858">
        <f>+SYS_4_3_Digitos!A164</f>
        <v>435</v>
      </c>
      <c r="N142" s="1858" t="str">
        <f>+SYS_4_3_Digitos!B164</f>
        <v>CLIENTES OTRAS PARTES VINCULADAS</v>
      </c>
      <c r="O142" s="1859">
        <f ca="1">+SYS_4_3_Digitos!I164-SYS_4_3_Digitos!J164</f>
        <v>0</v>
      </c>
    </row>
    <row r="143" spans="2:15" ht="25.5" hidden="1" customHeight="1" outlineLevel="1">
      <c r="B143" s="585"/>
      <c r="C143" s="582"/>
      <c r="D143" s="594" t="str">
        <f t="shared" si="16"/>
        <v/>
      </c>
      <c r="E143" s="583"/>
      <c r="F143" s="572"/>
      <c r="G143" s="583"/>
      <c r="H143" s="594" t="str">
        <f t="shared" si="17"/>
        <v/>
      </c>
      <c r="I143" s="582"/>
      <c r="J143" s="586"/>
      <c r="M143" s="1858">
        <f>+SYS_4_3_Digitos!A165</f>
        <v>436</v>
      </c>
      <c r="N143" s="1858" t="str">
        <f>+SYS_4_3_Digitos!B165</f>
        <v>CLIENTES DE DUDOSO COBRO</v>
      </c>
      <c r="O143" s="1859">
        <f ca="1">+SYS_4_3_Digitos!I165-SYS_4_3_Digitos!J165</f>
        <v>110160</v>
      </c>
    </row>
    <row r="144" spans="2:15" ht="25.5" hidden="1" customHeight="1" outlineLevel="1">
      <c r="B144" s="581"/>
      <c r="C144" s="582"/>
      <c r="D144" s="594" t="str">
        <f t="shared" si="16"/>
        <v/>
      </c>
      <c r="E144" s="583"/>
      <c r="G144" s="583"/>
      <c r="H144" s="594" t="str">
        <f t="shared" si="17"/>
        <v/>
      </c>
      <c r="I144" s="582"/>
      <c r="J144" s="584"/>
      <c r="M144" s="1858">
        <f>+SYS_4_3_Digitos!A166</f>
        <v>437</v>
      </c>
      <c r="N144" s="1858" t="str">
        <f>+SYS_4_3_Digitos!B166</f>
        <v>ENVASES Y EMBALAJES A DEVOLVER POR CLIENTES</v>
      </c>
      <c r="O144" s="1859">
        <f ca="1">+SYS_4_3_Digitos!I166-SYS_4_3_Digitos!J166</f>
        <v>0</v>
      </c>
    </row>
    <row r="145" spans="2:15" ht="25.5" hidden="1" customHeight="1" outlineLevel="1">
      <c r="B145" s="581"/>
      <c r="C145" s="582"/>
      <c r="D145" s="594" t="str">
        <f t="shared" si="16"/>
        <v/>
      </c>
      <c r="E145" s="583"/>
      <c r="G145" s="583"/>
      <c r="H145" s="594" t="str">
        <f t="shared" si="17"/>
        <v/>
      </c>
      <c r="I145" s="582"/>
      <c r="J145" s="584"/>
      <c r="M145" s="1858">
        <f>+SYS_4_3_Digitos!A167</f>
        <v>438</v>
      </c>
      <c r="N145" s="1858" t="str">
        <f>+SYS_4_3_Digitos!B167</f>
        <v>ANTICIPOS DE CLIENTES</v>
      </c>
      <c r="O145" s="1859">
        <f ca="1">+SYS_4_3_Digitos!I167-SYS_4_3_Digitos!J167</f>
        <v>0</v>
      </c>
    </row>
    <row r="146" spans="2:15" ht="25.5" hidden="1" customHeight="1" outlineLevel="1">
      <c r="B146" s="581"/>
      <c r="C146" s="582"/>
      <c r="D146" s="594" t="str">
        <f t="shared" si="16"/>
        <v/>
      </c>
      <c r="E146" s="583"/>
      <c r="G146" s="583"/>
      <c r="H146" s="594" t="str">
        <f t="shared" si="17"/>
        <v/>
      </c>
      <c r="I146" s="582"/>
      <c r="J146" s="584"/>
      <c r="M146" s="1858">
        <f>+SYS_4_3_Digitos!A168</f>
        <v>440</v>
      </c>
      <c r="N146" s="1858" t="str">
        <f>+SYS_4_3_Digitos!B168</f>
        <v>DEUDORES</v>
      </c>
      <c r="O146" s="1859">
        <f ca="1">+SYS_4_3_Digitos!I168-SYS_4_3_Digitos!J168</f>
        <v>652.07000000000005</v>
      </c>
    </row>
    <row r="147" spans="2:15" ht="25.5" hidden="1" customHeight="1" outlineLevel="1">
      <c r="B147" s="581"/>
      <c r="C147" s="582"/>
      <c r="D147" s="594" t="str">
        <f t="shared" si="16"/>
        <v/>
      </c>
      <c r="E147" s="583"/>
      <c r="G147" s="583"/>
      <c r="H147" s="594" t="str">
        <f t="shared" si="17"/>
        <v/>
      </c>
      <c r="I147" s="582"/>
      <c r="J147" s="584"/>
      <c r="M147" s="1858">
        <f>+SYS_4_3_Digitos!A169</f>
        <v>441</v>
      </c>
      <c r="N147" s="1858" t="str">
        <f>+SYS_4_3_Digitos!B169</f>
        <v>DEUDORES EFECTOS COMERCIALES A COBRAR</v>
      </c>
      <c r="O147" s="1859">
        <f ca="1">+SYS_4_3_Digitos!I169-SYS_4_3_Digitos!J169</f>
        <v>156.09</v>
      </c>
    </row>
    <row r="148" spans="2:15" ht="25.5" hidden="1" customHeight="1" outlineLevel="1">
      <c r="B148" s="581"/>
      <c r="C148" s="582"/>
      <c r="D148" s="594" t="str">
        <f t="shared" si="16"/>
        <v/>
      </c>
      <c r="E148" s="583"/>
      <c r="G148" s="583"/>
      <c r="H148" s="594" t="str">
        <f t="shared" si="17"/>
        <v/>
      </c>
      <c r="I148" s="582"/>
      <c r="J148" s="584"/>
      <c r="M148" s="1858">
        <f>+SYS_4_3_Digitos!A170</f>
        <v>446</v>
      </c>
      <c r="N148" s="1858" t="str">
        <f>+SYS_4_3_Digitos!B170</f>
        <v>DEUDORES DE DUDOSO COBRO</v>
      </c>
      <c r="O148" s="1859">
        <f ca="1">+SYS_4_3_Digitos!I170-SYS_4_3_Digitos!J170</f>
        <v>0</v>
      </c>
    </row>
    <row r="149" spans="2:15" ht="25.5" hidden="1" customHeight="1" outlineLevel="1">
      <c r="B149" s="581"/>
      <c r="C149" s="582"/>
      <c r="D149" s="594" t="str">
        <f t="shared" si="16"/>
        <v/>
      </c>
      <c r="E149" s="583"/>
      <c r="G149" s="583"/>
      <c r="H149" s="594" t="str">
        <f t="shared" si="17"/>
        <v/>
      </c>
      <c r="I149" s="582"/>
      <c r="J149" s="584"/>
      <c r="M149" s="1858">
        <f>+SYS_4_3_Digitos!A171</f>
        <v>449</v>
      </c>
      <c r="N149" s="1858" t="str">
        <f>+SYS_4_3_Digitos!B171</f>
        <v>DEUDORES POR OPERACIONES EN COMÚN</v>
      </c>
      <c r="O149" s="1859">
        <f ca="1">+SYS_4_3_Digitos!I171-SYS_4_3_Digitos!J171</f>
        <v>0</v>
      </c>
    </row>
    <row r="150" spans="2:15" ht="25.5" hidden="1" customHeight="1" outlineLevel="1">
      <c r="B150" s="581"/>
      <c r="C150" s="582"/>
      <c r="D150" s="594" t="str">
        <f t="shared" si="16"/>
        <v/>
      </c>
      <c r="E150" s="583"/>
      <c r="G150" s="583"/>
      <c r="H150" s="594" t="str">
        <f t="shared" si="17"/>
        <v/>
      </c>
      <c r="I150" s="582"/>
      <c r="J150" s="584"/>
      <c r="M150" s="1858">
        <f>+SYS_4_3_Digitos!A172</f>
        <v>460</v>
      </c>
      <c r="N150" s="1858" t="str">
        <f>+SYS_4_3_Digitos!B172</f>
        <v>ANTICIPOS DE REMUNERACIONES</v>
      </c>
      <c r="O150" s="1859">
        <f ca="1">+SYS_4_3_Digitos!I172-SYS_4_3_Digitos!J172</f>
        <v>525</v>
      </c>
    </row>
    <row r="151" spans="2:15" ht="25.5" hidden="1" customHeight="1" outlineLevel="1">
      <c r="B151" s="581"/>
      <c r="C151" s="582"/>
      <c r="D151" s="594" t="str">
        <f t="shared" si="16"/>
        <v/>
      </c>
      <c r="E151" s="583"/>
      <c r="G151" s="583"/>
      <c r="H151" s="594" t="str">
        <f t="shared" si="17"/>
        <v/>
      </c>
      <c r="I151" s="582"/>
      <c r="J151" s="584"/>
      <c r="M151" s="1858">
        <f>+SYS_4_3_Digitos!A173</f>
        <v>465</v>
      </c>
      <c r="N151" s="1858" t="str">
        <f>+SYS_4_3_Digitos!B173</f>
        <v>REMUNERACIONES PENDIENTES DE PAGO</v>
      </c>
      <c r="O151" s="1859">
        <f ca="1">+SYS_4_3_Digitos!I173-SYS_4_3_Digitos!J173</f>
        <v>155.01</v>
      </c>
    </row>
    <row r="152" spans="2:15" ht="25.5" hidden="1" customHeight="1" outlineLevel="1">
      <c r="B152" s="587"/>
      <c r="C152" s="588"/>
      <c r="D152" s="595" t="str">
        <f t="shared" si="16"/>
        <v/>
      </c>
      <c r="E152" s="589"/>
      <c r="G152" s="589"/>
      <c r="H152" s="596" t="str">
        <f t="shared" si="17"/>
        <v/>
      </c>
      <c r="I152" s="588"/>
      <c r="J152" s="590"/>
      <c r="M152" s="1858">
        <f>+SYS_4_3_Digitos!A174</f>
        <v>466</v>
      </c>
      <c r="N152" s="1858" t="str">
        <f>+SYS_4_3_Digitos!B174</f>
        <v>REMUN MEDIANTE SIST DE APORTACIÓN DEF PTES DE PAGO</v>
      </c>
      <c r="O152" s="1859">
        <f ca="1">+SYS_4_3_Digitos!I174-SYS_4_3_Digitos!J174</f>
        <v>0</v>
      </c>
    </row>
    <row r="153" spans="2:15" collapsed="1">
      <c r="B153" s="598">
        <f>SUM(B139:B152)</f>
        <v>0</v>
      </c>
      <c r="C153" s="571"/>
      <c r="E153" s="571"/>
      <c r="F153" s="591">
        <f>+B153-J153</f>
        <v>0</v>
      </c>
      <c r="G153" s="575"/>
      <c r="H153" s="575"/>
      <c r="I153" s="571"/>
      <c r="J153" s="598">
        <f>SUM(J139:J152)</f>
        <v>0</v>
      </c>
      <c r="M153" s="1858">
        <f>+SYS_4_3_Digitos!A178</f>
        <v>471</v>
      </c>
      <c r="N153" s="1858" t="str">
        <f>+SYS_4_3_Digitos!B178</f>
        <v>ORGANISMOS DE LA SEG. SOC. DEUDORES</v>
      </c>
      <c r="O153" s="1859">
        <f ca="1">+SYS_4_3_Digitos!I178-SYS_4_3_Digitos!J178</f>
        <v>0</v>
      </c>
    </row>
    <row r="154" spans="2:15">
      <c r="M154" s="1858">
        <f>+SYS_4_3_Digitos!A179</f>
        <v>472</v>
      </c>
      <c r="N154" s="1858" t="str">
        <f>+SYS_4_3_Digitos!B179</f>
        <v>HP IVA SOPORTADO</v>
      </c>
      <c r="O154" s="1859">
        <f ca="1">+SYS_4_3_Digitos!I179-SYS_4_3_Digitos!J179</f>
        <v>0</v>
      </c>
    </row>
    <row r="155" spans="2:15" ht="15.6">
      <c r="B155" s="576"/>
      <c r="C155" s="554"/>
      <c r="D155" s="571"/>
      <c r="E155" s="571"/>
      <c r="F155" s="575"/>
      <c r="G155" s="572"/>
      <c r="H155" s="572"/>
      <c r="I155" s="571"/>
      <c r="J155" s="569"/>
      <c r="M155" s="1858">
        <f>+SYS_4_3_Digitos!A180</f>
        <v>473</v>
      </c>
      <c r="N155" s="1858" t="str">
        <f>+SYS_4_3_Digitos!B180</f>
        <v>HP RETENCIONES Y PAGOS A CUENTA</v>
      </c>
      <c r="O155" s="1859">
        <f ca="1">+SYS_4_3_Digitos!I180-SYS_4_3_Digitos!J180</f>
        <v>0</v>
      </c>
    </row>
    <row r="156" spans="2:15">
      <c r="B156" s="569"/>
      <c r="C156" s="571"/>
      <c r="D156" s="571"/>
      <c r="E156" s="571"/>
      <c r="F156" s="575"/>
      <c r="G156" s="572"/>
      <c r="H156" s="572"/>
      <c r="I156" s="571"/>
      <c r="J156" s="569"/>
      <c r="M156" s="1858">
        <f>+SYS_4_3_Digitos!A188</f>
        <v>476</v>
      </c>
      <c r="N156" s="1858" t="str">
        <f>+SYS_4_3_Digitos!B188</f>
        <v>ORGANISMOS DE LA SEG. SOC. ACREEDORES</v>
      </c>
      <c r="O156" s="1859">
        <f ca="1">+SYS_4_3_Digitos!I188-SYS_4_3_Digitos!J188</f>
        <v>-52069.54</v>
      </c>
    </row>
    <row r="157" spans="2:15" ht="25.5" customHeight="1">
      <c r="B157" s="577"/>
      <c r="C157" s="578"/>
      <c r="D157" s="593" t="str">
        <f t="shared" ref="D157:D170" si="18">IF(C157="","",+LOOKUP(C157,$M$12:$M$36733,$N$12:$N$36733))</f>
        <v/>
      </c>
      <c r="E157" s="579"/>
      <c r="F157" s="572"/>
      <c r="G157" s="579"/>
      <c r="H157" s="593" t="str">
        <f t="shared" ref="H157:H170" si="19">IF(I157="","",+LOOKUP(I157,$M$12:$M$36733,$N$12:$N$36733))</f>
        <v/>
      </c>
      <c r="I157" s="578"/>
      <c r="J157" s="580"/>
      <c r="M157" s="1858">
        <f>+SYS_4_3_Digitos!A189</f>
        <v>477</v>
      </c>
      <c r="N157" s="1858" t="str">
        <f>+SYS_4_3_Digitos!B189</f>
        <v>HP IVA REPERCUTIDO</v>
      </c>
      <c r="O157" s="1859">
        <f ca="1">+SYS_4_3_Digitos!I189-SYS_4_3_Digitos!J189</f>
        <v>0</v>
      </c>
    </row>
    <row r="158" spans="2:15" ht="25.5" customHeight="1">
      <c r="B158" s="581"/>
      <c r="C158" s="582"/>
      <c r="D158" s="594" t="str">
        <f t="shared" si="18"/>
        <v/>
      </c>
      <c r="E158" s="583"/>
      <c r="F158" s="572"/>
      <c r="G158" s="583"/>
      <c r="H158" s="594" t="str">
        <f t="shared" si="19"/>
        <v/>
      </c>
      <c r="I158" s="582"/>
      <c r="J158" s="584"/>
      <c r="M158" s="1858">
        <f>+SYS_4_3_Digitos!A190</f>
        <v>479</v>
      </c>
      <c r="N158" s="1858" t="str">
        <f>+SYS_4_3_Digitos!B190</f>
        <v>PASIVOS POR DIFERENCIAS TEMPORARIAS IMPONIBLES</v>
      </c>
      <c r="O158" s="1859">
        <f ca="1">+SYS_4_3_Digitos!I190-SYS_4_3_Digitos!J190</f>
        <v>-9998511.5600000005</v>
      </c>
    </row>
    <row r="159" spans="2:15" ht="25.5" customHeight="1">
      <c r="B159" s="581"/>
      <c r="C159" s="582"/>
      <c r="D159" s="594" t="str">
        <f t="shared" si="18"/>
        <v/>
      </c>
      <c r="E159" s="583"/>
      <c r="F159" s="572"/>
      <c r="G159" s="583"/>
      <c r="H159" s="594" t="str">
        <f t="shared" si="19"/>
        <v/>
      </c>
      <c r="I159" s="582"/>
      <c r="J159" s="584"/>
      <c r="M159" s="1858">
        <f>+SYS_4_3_Digitos!A191</f>
        <v>480</v>
      </c>
      <c r="N159" s="1858" t="str">
        <f>+SYS_4_3_Digitos!B191</f>
        <v>GASTOS ANTICIPADOS</v>
      </c>
      <c r="O159" s="1859">
        <f ca="1">+SYS_4_3_Digitos!I191-SYS_4_3_Digitos!J191</f>
        <v>18505.640000000003</v>
      </c>
    </row>
    <row r="160" spans="2:15" ht="25.5" customHeight="1">
      <c r="B160" s="581"/>
      <c r="C160" s="582"/>
      <c r="D160" s="594" t="str">
        <f t="shared" si="18"/>
        <v/>
      </c>
      <c r="E160" s="583"/>
      <c r="F160" s="572"/>
      <c r="G160" s="583"/>
      <c r="H160" s="594" t="str">
        <f t="shared" si="19"/>
        <v/>
      </c>
      <c r="I160" s="582"/>
      <c r="J160" s="584"/>
      <c r="M160" s="1858">
        <f>+SYS_4_3_Digitos!A192</f>
        <v>485</v>
      </c>
      <c r="N160" s="1858" t="str">
        <f>+SYS_4_3_Digitos!B192</f>
        <v>INGRESOS ANTICIPADOS</v>
      </c>
      <c r="O160" s="1859">
        <f ca="1">+SYS_4_3_Digitos!I192-SYS_4_3_Digitos!J192</f>
        <v>0</v>
      </c>
    </row>
    <row r="161" spans="2:15" ht="25.5" hidden="1" customHeight="1" outlineLevel="1">
      <c r="B161" s="585"/>
      <c r="C161" s="582"/>
      <c r="D161" s="594" t="str">
        <f t="shared" si="18"/>
        <v/>
      </c>
      <c r="E161" s="583"/>
      <c r="F161" s="572"/>
      <c r="G161" s="583"/>
      <c r="H161" s="594" t="str">
        <f t="shared" si="19"/>
        <v/>
      </c>
      <c r="I161" s="582"/>
      <c r="J161" s="586"/>
      <c r="M161" s="1858">
        <f>+SYS_4_3_Digitos!A193</f>
        <v>490</v>
      </c>
      <c r="N161" s="1858" t="str">
        <f>+SYS_4_3_Digitos!B193</f>
        <v>DETERIORO DE VALOR DE CRÉDITOS POR OP COMERCIALES</v>
      </c>
      <c r="O161" s="1859">
        <f ca="1">+SYS_4_3_Digitos!I193-SYS_4_3_Digitos!J193</f>
        <v>-110160</v>
      </c>
    </row>
    <row r="162" spans="2:15" ht="25.5" hidden="1" customHeight="1" outlineLevel="1">
      <c r="B162" s="581"/>
      <c r="C162" s="582"/>
      <c r="D162" s="594" t="str">
        <f t="shared" si="18"/>
        <v/>
      </c>
      <c r="E162" s="583"/>
      <c r="G162" s="583"/>
      <c r="H162" s="594" t="str">
        <f t="shared" si="19"/>
        <v/>
      </c>
      <c r="I162" s="582"/>
      <c r="J162" s="584"/>
      <c r="M162" s="1858">
        <f>+SYS_4_3_Digitos!A199</f>
        <v>520</v>
      </c>
      <c r="N162" s="1858" t="str">
        <f>+SYS_4_3_Digitos!B199</f>
        <v>DEUDAS A CP CON ENTIDADES DE CRÉDITO</v>
      </c>
      <c r="O162" s="1859">
        <f ca="1">+SYS_4_3_Digitos!I199-SYS_4_3_Digitos!J199</f>
        <v>0</v>
      </c>
    </row>
    <row r="163" spans="2:15" ht="25.5" hidden="1" customHeight="1" outlineLevel="1">
      <c r="B163" s="581"/>
      <c r="C163" s="582"/>
      <c r="D163" s="594" t="str">
        <f t="shared" si="18"/>
        <v/>
      </c>
      <c r="E163" s="583"/>
      <c r="G163" s="583"/>
      <c r="H163" s="594" t="str">
        <f t="shared" si="19"/>
        <v/>
      </c>
      <c r="I163" s="582"/>
      <c r="J163" s="584"/>
      <c r="M163" s="1858">
        <f>+SYS_4_3_Digitos!A200</f>
        <v>521</v>
      </c>
      <c r="N163" s="1858" t="str">
        <f>+SYS_4_3_Digitos!B200</f>
        <v>DEUDAS A CP</v>
      </c>
      <c r="O163" s="1859">
        <f ca="1">+SYS_4_3_Digitos!I200-SYS_4_3_Digitos!J200</f>
        <v>-652.07000000000005</v>
      </c>
    </row>
    <row r="164" spans="2:15" ht="25.5" hidden="1" customHeight="1" outlineLevel="1">
      <c r="B164" s="581"/>
      <c r="C164" s="582"/>
      <c r="D164" s="594" t="str">
        <f t="shared" si="18"/>
        <v/>
      </c>
      <c r="E164" s="583"/>
      <c r="G164" s="583"/>
      <c r="H164" s="594" t="str">
        <f t="shared" si="19"/>
        <v/>
      </c>
      <c r="I164" s="582"/>
      <c r="J164" s="584"/>
      <c r="M164" s="1858">
        <f>+SYS_4_3_Digitos!A201</f>
        <v>522</v>
      </c>
      <c r="N164" s="1858" t="str">
        <f>+SYS_4_3_Digitos!B201</f>
        <v>DEUDAS A CP TRANSFORMABLES EN SUBVEN. DONAC. Y LEG.</v>
      </c>
      <c r="O164" s="1859">
        <f ca="1">+SYS_4_3_Digitos!I201-SYS_4_3_Digitos!J201</f>
        <v>0</v>
      </c>
    </row>
    <row r="165" spans="2:15" ht="25.5" hidden="1" customHeight="1" outlineLevel="1">
      <c r="B165" s="581"/>
      <c r="C165" s="582"/>
      <c r="D165" s="594" t="str">
        <f t="shared" si="18"/>
        <v/>
      </c>
      <c r="E165" s="583"/>
      <c r="G165" s="583"/>
      <c r="H165" s="594" t="str">
        <f t="shared" si="19"/>
        <v/>
      </c>
      <c r="I165" s="582"/>
      <c r="J165" s="584"/>
      <c r="M165" s="1858">
        <f>+SYS_4_3_Digitos!A202</f>
        <v>523</v>
      </c>
      <c r="N165" s="1858" t="str">
        <f>+SYS_4_3_Digitos!B202</f>
        <v>PROVEEDORES DE INMOVILIZAD A CP</v>
      </c>
      <c r="O165" s="1859">
        <f ca="1">+SYS_4_3_Digitos!I202-SYS_4_3_Digitos!J202</f>
        <v>0</v>
      </c>
    </row>
    <row r="166" spans="2:15" ht="25.5" hidden="1" customHeight="1" outlineLevel="1">
      <c r="B166" s="581"/>
      <c r="C166" s="582"/>
      <c r="D166" s="594" t="str">
        <f t="shared" si="18"/>
        <v/>
      </c>
      <c r="E166" s="583"/>
      <c r="G166" s="583"/>
      <c r="H166" s="594" t="str">
        <f t="shared" si="19"/>
        <v/>
      </c>
      <c r="I166" s="582"/>
      <c r="J166" s="584"/>
      <c r="M166" s="1858">
        <f>+SYS_4_3_Digitos!A203</f>
        <v>524</v>
      </c>
      <c r="N166" s="1858" t="str">
        <f>+SYS_4_3_Digitos!B203</f>
        <v>ACREEDORES POR ARREND. FRO. A CP</v>
      </c>
      <c r="O166" s="1859">
        <f ca="1">+SYS_4_3_Digitos!I203-SYS_4_3_Digitos!J203</f>
        <v>0</v>
      </c>
    </row>
    <row r="167" spans="2:15" ht="25.5" hidden="1" customHeight="1" outlineLevel="1">
      <c r="B167" s="581"/>
      <c r="C167" s="582"/>
      <c r="D167" s="594" t="str">
        <f t="shared" si="18"/>
        <v/>
      </c>
      <c r="E167" s="583"/>
      <c r="G167" s="583"/>
      <c r="H167" s="594" t="str">
        <f t="shared" si="19"/>
        <v/>
      </c>
      <c r="I167" s="582"/>
      <c r="J167" s="584"/>
      <c r="M167" s="1858">
        <f>+SYS_4_3_Digitos!A204</f>
        <v>525</v>
      </c>
      <c r="N167" s="1858" t="str">
        <f>+SYS_4_3_Digitos!B204</f>
        <v>EFECTOS A PAGAR A CP</v>
      </c>
      <c r="O167" s="1859">
        <f ca="1">+SYS_4_3_Digitos!I204-SYS_4_3_Digitos!J204</f>
        <v>0</v>
      </c>
    </row>
    <row r="168" spans="2:15" ht="25.5" hidden="1" customHeight="1" outlineLevel="1">
      <c r="B168" s="581"/>
      <c r="C168" s="582"/>
      <c r="D168" s="594" t="str">
        <f t="shared" si="18"/>
        <v/>
      </c>
      <c r="E168" s="583"/>
      <c r="G168" s="583"/>
      <c r="H168" s="594" t="str">
        <f t="shared" si="19"/>
        <v/>
      </c>
      <c r="I168" s="582"/>
      <c r="J168" s="584"/>
      <c r="M168" s="1858">
        <f>+SYS_4_3_Digitos!A205</f>
        <v>526</v>
      </c>
      <c r="N168" s="1858" t="str">
        <f>+SYS_4_3_Digitos!B205</f>
        <v>DIVIDENDO ACTIVO A PAGAR</v>
      </c>
      <c r="O168" s="1859">
        <f ca="1">+SYS_4_3_Digitos!I205-SYS_4_3_Digitos!J205</f>
        <v>0</v>
      </c>
    </row>
    <row r="169" spans="2:15" ht="25.5" hidden="1" customHeight="1" outlineLevel="1">
      <c r="B169" s="581"/>
      <c r="C169" s="582"/>
      <c r="D169" s="594" t="str">
        <f t="shared" si="18"/>
        <v/>
      </c>
      <c r="E169" s="583"/>
      <c r="G169" s="583"/>
      <c r="H169" s="594" t="str">
        <f t="shared" si="19"/>
        <v/>
      </c>
      <c r="I169" s="582"/>
      <c r="J169" s="584"/>
      <c r="M169" s="1858">
        <f>+SYS_4_3_Digitos!A206</f>
        <v>527</v>
      </c>
      <c r="N169" s="1858" t="str">
        <f>+SYS_4_3_Digitos!B206</f>
        <v>INTERESES A CP DE DEUDAS CON ENT. DE CRÉDITO</v>
      </c>
      <c r="O169" s="1859">
        <f ca="1">+SYS_4_3_Digitos!I206-SYS_4_3_Digitos!J206</f>
        <v>0</v>
      </c>
    </row>
    <row r="170" spans="2:15" ht="25.5" hidden="1" customHeight="1" outlineLevel="1">
      <c r="B170" s="587"/>
      <c r="C170" s="588"/>
      <c r="D170" s="595" t="str">
        <f t="shared" si="18"/>
        <v/>
      </c>
      <c r="E170" s="589"/>
      <c r="G170" s="589"/>
      <c r="H170" s="596" t="str">
        <f t="shared" si="19"/>
        <v/>
      </c>
      <c r="I170" s="588"/>
      <c r="J170" s="590"/>
      <c r="M170" s="1858">
        <f>+SYS_4_3_Digitos!A207</f>
        <v>528</v>
      </c>
      <c r="N170" s="1858" t="str">
        <f>+SYS_4_3_Digitos!B207</f>
        <v>INTERESES A CP DE DEUDAS</v>
      </c>
      <c r="O170" s="1859">
        <f ca="1">+SYS_4_3_Digitos!I207-SYS_4_3_Digitos!J207</f>
        <v>0</v>
      </c>
    </row>
    <row r="171" spans="2:15" collapsed="1">
      <c r="B171" s="598">
        <f>SUM(B157:B170)</f>
        <v>0</v>
      </c>
      <c r="C171" s="571"/>
      <c r="E171" s="571"/>
      <c r="F171" s="591">
        <f>+B171-J171</f>
        <v>0</v>
      </c>
      <c r="G171" s="575"/>
      <c r="H171" s="575"/>
      <c r="I171" s="571"/>
      <c r="J171" s="598">
        <f>SUM(J157:J170)</f>
        <v>0</v>
      </c>
      <c r="M171" s="1858">
        <f>+SYS_4_3_Digitos!A208</f>
        <v>529</v>
      </c>
      <c r="N171" s="1858" t="str">
        <f>+SYS_4_3_Digitos!B208</f>
        <v>PROVISIONES A CP</v>
      </c>
      <c r="O171" s="1859">
        <f ca="1">+SYS_4_3_Digitos!I208-SYS_4_3_Digitos!J208</f>
        <v>0</v>
      </c>
    </row>
    <row r="172" spans="2:15">
      <c r="M172" s="1858">
        <f>+SYS_4_3_Digitos!A216</f>
        <v>540</v>
      </c>
      <c r="N172" s="1858" t="str">
        <f>+SYS_4_3_Digitos!B216</f>
        <v>INVERSIONES FRAS A CP EN INSTRUMENTOS DE PATRIMONIO</v>
      </c>
      <c r="O172" s="1859">
        <f ca="1">+SYS_4_3_Digitos!I216-SYS_4_3_Digitos!J216</f>
        <v>0</v>
      </c>
    </row>
    <row r="173" spans="2:15" ht="15.6">
      <c r="B173" s="576"/>
      <c r="D173" s="554"/>
      <c r="E173" s="592"/>
      <c r="F173" s="572"/>
      <c r="G173" s="572"/>
      <c r="H173" s="572"/>
      <c r="J173" s="569"/>
      <c r="M173" s="1858">
        <f>+SYS_4_3_Digitos!A217</f>
        <v>541</v>
      </c>
      <c r="N173" s="1858" t="str">
        <f>+SYS_4_3_Digitos!B217</f>
        <v>VALORES REPRESENTATIVOS DE DEUDAS A CP</v>
      </c>
      <c r="O173" s="1859">
        <f ca="1">+SYS_4_3_Digitos!I217-SYS_4_3_Digitos!J217</f>
        <v>0</v>
      </c>
    </row>
    <row r="174" spans="2:15">
      <c r="M174" s="1858">
        <f>+SYS_4_3_Digitos!A218</f>
        <v>542</v>
      </c>
      <c r="N174" s="1858" t="str">
        <f>+SYS_4_3_Digitos!B218</f>
        <v>CRÉDITOS A CP</v>
      </c>
      <c r="O174" s="1859">
        <f ca="1">+SYS_4_3_Digitos!I218-SYS_4_3_Digitos!J218</f>
        <v>0</v>
      </c>
    </row>
    <row r="175" spans="2:15" ht="15.6">
      <c r="B175" s="576"/>
      <c r="C175" s="554"/>
      <c r="D175" s="571"/>
      <c r="E175" s="571"/>
      <c r="F175" s="575"/>
      <c r="G175" s="572"/>
      <c r="H175" s="572"/>
      <c r="I175" s="571"/>
      <c r="J175" s="569"/>
      <c r="M175" s="1858">
        <f>+SYS_4_3_Digitos!A219</f>
        <v>543</v>
      </c>
      <c r="N175" s="1858" t="str">
        <f>+SYS_4_3_Digitos!B219</f>
        <v>CRÉDITOS A CP POR ENAJENACIÓN DE INMOVILIZADO</v>
      </c>
      <c r="O175" s="1859">
        <f ca="1">+SYS_4_3_Digitos!I219-SYS_4_3_Digitos!J219</f>
        <v>0</v>
      </c>
    </row>
    <row r="176" spans="2:15">
      <c r="B176" s="569"/>
      <c r="C176" s="571"/>
      <c r="D176" s="571"/>
      <c r="E176" s="571"/>
      <c r="F176" s="575"/>
      <c r="G176" s="572"/>
      <c r="H176" s="572"/>
      <c r="I176" s="571"/>
      <c r="J176" s="569"/>
      <c r="M176" s="1858">
        <f>+SYS_4_3_Digitos!A220</f>
        <v>544</v>
      </c>
      <c r="N176" s="1858" t="str">
        <f>+SYS_4_3_Digitos!B220</f>
        <v>CRÉDITOS A CP AL PERSONAL</v>
      </c>
      <c r="O176" s="1859">
        <f ca="1">+SYS_4_3_Digitos!I220-SYS_4_3_Digitos!J220</f>
        <v>2904.58</v>
      </c>
    </row>
    <row r="177" spans="2:15" ht="25.5" customHeight="1">
      <c r="B177" s="577"/>
      <c r="C177" s="578"/>
      <c r="D177" s="593" t="str">
        <f t="shared" ref="D177:D190" si="20">IF(C177="","",+LOOKUP(C177,$M$12:$M$36733,$N$12:$N$36733))</f>
        <v/>
      </c>
      <c r="E177" s="579"/>
      <c r="F177" s="572"/>
      <c r="G177" s="579"/>
      <c r="H177" s="593" t="str">
        <f t="shared" ref="H177:H190" si="21">IF(I177="","",+LOOKUP(I177,$M$12:$M$36733,$N$12:$N$36733))</f>
        <v/>
      </c>
      <c r="I177" s="578"/>
      <c r="J177" s="580"/>
      <c r="M177" s="1858">
        <f>+SYS_4_3_Digitos!A221</f>
        <v>545</v>
      </c>
      <c r="N177" s="1858" t="str">
        <f>+SYS_4_3_Digitos!B221</f>
        <v>DIVIDENDO A COBRAR</v>
      </c>
      <c r="O177" s="1859">
        <f ca="1">+SYS_4_3_Digitos!I221-SYS_4_3_Digitos!J221</f>
        <v>0</v>
      </c>
    </row>
    <row r="178" spans="2:15" ht="25.5" customHeight="1">
      <c r="B178" s="581"/>
      <c r="C178" s="582"/>
      <c r="D178" s="594" t="str">
        <f t="shared" si="20"/>
        <v/>
      </c>
      <c r="E178" s="583"/>
      <c r="F178" s="572"/>
      <c r="G178" s="583"/>
      <c r="H178" s="594" t="str">
        <f t="shared" si="21"/>
        <v/>
      </c>
      <c r="I178" s="582"/>
      <c r="J178" s="584"/>
      <c r="M178" s="1858">
        <f>+SYS_4_3_Digitos!A222</f>
        <v>546</v>
      </c>
      <c r="N178" s="1858" t="str">
        <f>+SYS_4_3_Digitos!B222</f>
        <v>INTERESES A CP  DE VALORES REPRESENTATIVOS DE DEUDA</v>
      </c>
      <c r="O178" s="1859">
        <f ca="1">+SYS_4_3_Digitos!I222-SYS_4_3_Digitos!J222</f>
        <v>0</v>
      </c>
    </row>
    <row r="179" spans="2:15" ht="25.5" customHeight="1">
      <c r="B179" s="581"/>
      <c r="C179" s="582"/>
      <c r="D179" s="594" t="str">
        <f t="shared" si="20"/>
        <v/>
      </c>
      <c r="E179" s="583"/>
      <c r="F179" s="572"/>
      <c r="G179" s="583"/>
      <c r="H179" s="594" t="str">
        <f t="shared" si="21"/>
        <v/>
      </c>
      <c r="I179" s="582"/>
      <c r="J179" s="584"/>
      <c r="M179" s="1858">
        <f>+SYS_4_3_Digitos!A223</f>
        <v>547</v>
      </c>
      <c r="N179" s="1858" t="str">
        <f>+SYS_4_3_Digitos!B223</f>
        <v>INTERESES A CP DE CRÉDITOS</v>
      </c>
      <c r="O179" s="1859">
        <f ca="1">+SYS_4_3_Digitos!I223-SYS_4_3_Digitos!J223</f>
        <v>0</v>
      </c>
    </row>
    <row r="180" spans="2:15" ht="25.5" customHeight="1">
      <c r="B180" s="581"/>
      <c r="C180" s="582"/>
      <c r="D180" s="594" t="str">
        <f t="shared" si="20"/>
        <v/>
      </c>
      <c r="E180" s="583"/>
      <c r="F180" s="572"/>
      <c r="G180" s="583"/>
      <c r="H180" s="594" t="str">
        <f t="shared" si="21"/>
        <v/>
      </c>
      <c r="I180" s="582"/>
      <c r="J180" s="584"/>
      <c r="M180" s="1858">
        <f>+SYS_4_3_Digitos!A224</f>
        <v>548</v>
      </c>
      <c r="N180" s="1858" t="str">
        <f>+SYS_4_3_Digitos!B224</f>
        <v>IMPOSICIONES A CP</v>
      </c>
      <c r="O180" s="1859">
        <f ca="1">+SYS_4_3_Digitos!I224-SYS_4_3_Digitos!J224</f>
        <v>0</v>
      </c>
    </row>
    <row r="181" spans="2:15" ht="25.5" hidden="1" customHeight="1" outlineLevel="1">
      <c r="B181" s="585"/>
      <c r="C181" s="582"/>
      <c r="D181" s="594" t="str">
        <f t="shared" si="20"/>
        <v/>
      </c>
      <c r="E181" s="583"/>
      <c r="F181" s="572"/>
      <c r="G181" s="583"/>
      <c r="H181" s="594" t="str">
        <f t="shared" si="21"/>
        <v/>
      </c>
      <c r="I181" s="582"/>
      <c r="J181" s="586"/>
      <c r="M181" s="1858">
        <f>+SYS_4_3_Digitos!A225</f>
        <v>549</v>
      </c>
      <c r="N181" s="1858" t="str">
        <f>+SYS_4_3_Digitos!B225</f>
        <v>DESEMBOLSOS PTES SOBRE PART EN EL PATRIM NETO A CP</v>
      </c>
      <c r="O181" s="1859">
        <f ca="1">+SYS_4_3_Digitos!I225-SYS_4_3_Digitos!J225</f>
        <v>0</v>
      </c>
    </row>
    <row r="182" spans="2:15" ht="25.5" hidden="1" customHeight="1" outlineLevel="1">
      <c r="B182" s="581"/>
      <c r="C182" s="582"/>
      <c r="D182" s="594" t="str">
        <f t="shared" si="20"/>
        <v/>
      </c>
      <c r="E182" s="583"/>
      <c r="G182" s="583"/>
      <c r="H182" s="594" t="str">
        <f t="shared" si="21"/>
        <v/>
      </c>
      <c r="I182" s="582"/>
      <c r="J182" s="584"/>
      <c r="M182" s="1858">
        <f>+SYS_4_3_Digitos!A226</f>
        <v>550</v>
      </c>
      <c r="N182" s="1858" t="str">
        <f>+SYS_4_3_Digitos!B226</f>
        <v>TITULAR DE LA EXPLOTACIÓN</v>
      </c>
      <c r="O182" s="1859">
        <f ca="1">+SYS_4_3_Digitos!I226-SYS_4_3_Digitos!J226</f>
        <v>0</v>
      </c>
    </row>
    <row r="183" spans="2:15" ht="25.5" hidden="1" customHeight="1" outlineLevel="1">
      <c r="B183" s="581"/>
      <c r="C183" s="582"/>
      <c r="D183" s="594" t="str">
        <f t="shared" si="20"/>
        <v/>
      </c>
      <c r="E183" s="583"/>
      <c r="G183" s="583"/>
      <c r="H183" s="594" t="str">
        <f t="shared" si="21"/>
        <v/>
      </c>
      <c r="I183" s="582"/>
      <c r="J183" s="584"/>
      <c r="M183" s="1858">
        <f>+SYS_4_3_Digitos!A227</f>
        <v>551</v>
      </c>
      <c r="N183" s="1858" t="str">
        <f>+SYS_4_3_Digitos!B227</f>
        <v>CUENTA CORRIENTE CON SOCIOS Y ADMINISTRADORES</v>
      </c>
      <c r="O183" s="1859">
        <f ca="1">+SYS_4_3_Digitos!I227-SYS_4_3_Digitos!J227</f>
        <v>0</v>
      </c>
    </row>
    <row r="184" spans="2:15" ht="25.5" hidden="1" customHeight="1" outlineLevel="1">
      <c r="B184" s="581"/>
      <c r="C184" s="582"/>
      <c r="D184" s="594" t="str">
        <f t="shared" si="20"/>
        <v/>
      </c>
      <c r="E184" s="583"/>
      <c r="G184" s="583"/>
      <c r="H184" s="594" t="str">
        <f t="shared" si="21"/>
        <v/>
      </c>
      <c r="I184" s="582"/>
      <c r="J184" s="584"/>
      <c r="M184" s="1858">
        <f>+SYS_4_3_Digitos!A231</f>
        <v>553</v>
      </c>
      <c r="N184" s="1858" t="str">
        <f>+SYS_4_3_Digitos!B231</f>
        <v>CUENTAS CORRIENTES EN FUSIONES Y ESCISIONES</v>
      </c>
      <c r="O184" s="1859">
        <f ca="1">+SYS_4_3_Digitos!I231-SYS_4_3_Digitos!J231</f>
        <v>0</v>
      </c>
    </row>
    <row r="185" spans="2:15" ht="25.5" hidden="1" customHeight="1" outlineLevel="1">
      <c r="B185" s="581"/>
      <c r="C185" s="582"/>
      <c r="D185" s="594" t="str">
        <f t="shared" si="20"/>
        <v/>
      </c>
      <c r="E185" s="583"/>
      <c r="G185" s="583"/>
      <c r="H185" s="594" t="str">
        <f t="shared" si="21"/>
        <v/>
      </c>
      <c r="I185" s="582"/>
      <c r="J185" s="584"/>
      <c r="M185" s="1858">
        <f>+SYS_4_3_Digitos!A232</f>
        <v>554</v>
      </c>
      <c r="N185" s="1858" t="str">
        <f>+SYS_4_3_Digitos!B232</f>
        <v>CUENTA CORRIENTE CON UTE Y CB</v>
      </c>
      <c r="O185" s="1859">
        <f ca="1">+SYS_4_3_Digitos!I232-SYS_4_3_Digitos!J232</f>
        <v>0</v>
      </c>
    </row>
    <row r="186" spans="2:15" ht="25.5" hidden="1" customHeight="1" outlineLevel="1">
      <c r="B186" s="581"/>
      <c r="C186" s="582"/>
      <c r="D186" s="594" t="str">
        <f t="shared" si="20"/>
        <v/>
      </c>
      <c r="E186" s="583"/>
      <c r="G186" s="583"/>
      <c r="H186" s="594" t="str">
        <f t="shared" si="21"/>
        <v/>
      </c>
      <c r="I186" s="582"/>
      <c r="J186" s="584"/>
      <c r="M186" s="1858">
        <f>+SYS_4_3_Digitos!A233</f>
        <v>555</v>
      </c>
      <c r="N186" s="1858" t="str">
        <f>+SYS_4_3_Digitos!B233</f>
        <v>PARTIDAS PENDIENTES DE APLICACIÓN</v>
      </c>
      <c r="O186" s="1859">
        <f ca="1">+SYS_4_3_Digitos!I233-SYS_4_3_Digitos!J233</f>
        <v>0</v>
      </c>
    </row>
    <row r="187" spans="2:15" ht="25.5" hidden="1" customHeight="1" outlineLevel="1">
      <c r="B187" s="581"/>
      <c r="C187" s="582"/>
      <c r="D187" s="594" t="str">
        <f t="shared" si="20"/>
        <v/>
      </c>
      <c r="E187" s="583"/>
      <c r="G187" s="583"/>
      <c r="H187" s="594" t="str">
        <f t="shared" si="21"/>
        <v/>
      </c>
      <c r="I187" s="582"/>
      <c r="J187" s="584"/>
      <c r="M187" s="1858">
        <f>+SYS_4_3_Digitos!A234</f>
        <v>556</v>
      </c>
      <c r="N187" s="1858" t="str">
        <f>+SYS_4_3_Digitos!B234</f>
        <v>DESEMBOLSOS EXIGIDOS SOBRE PARTIC. EN EL PAT. NETO</v>
      </c>
      <c r="O187" s="1859">
        <f ca="1">+SYS_4_3_Digitos!I234-SYS_4_3_Digitos!J234</f>
        <v>0</v>
      </c>
    </row>
    <row r="188" spans="2:15" ht="25.5" hidden="1" customHeight="1" outlineLevel="1">
      <c r="B188" s="581"/>
      <c r="C188" s="582"/>
      <c r="D188" s="594" t="str">
        <f t="shared" si="20"/>
        <v/>
      </c>
      <c r="E188" s="583"/>
      <c r="G188" s="583"/>
      <c r="H188" s="594" t="str">
        <f t="shared" si="21"/>
        <v/>
      </c>
      <c r="I188" s="582"/>
      <c r="J188" s="584"/>
      <c r="M188" s="1858">
        <f>+SYS_4_3_Digitos!A235</f>
        <v>557</v>
      </c>
      <c r="N188" s="1858" t="str">
        <f>+SYS_4_3_Digitos!B235</f>
        <v>DIVIDENDO ACTIVO A CUENTA</v>
      </c>
      <c r="O188" s="1859">
        <f ca="1">+SYS_4_3_Digitos!I235-SYS_4_3_Digitos!J235</f>
        <v>0</v>
      </c>
    </row>
    <row r="189" spans="2:15" ht="25.5" hidden="1" customHeight="1" outlineLevel="1">
      <c r="B189" s="581"/>
      <c r="C189" s="582"/>
      <c r="D189" s="594" t="str">
        <f t="shared" si="20"/>
        <v/>
      </c>
      <c r="E189" s="583"/>
      <c r="G189" s="583"/>
      <c r="H189" s="594" t="str">
        <f t="shared" si="21"/>
        <v/>
      </c>
      <c r="I189" s="582"/>
      <c r="J189" s="584"/>
      <c r="M189" s="1858">
        <f>+SYS_4_3_Digitos!A236</f>
        <v>558</v>
      </c>
      <c r="N189" s="1858" t="str">
        <f>+SYS_4_3_Digitos!B236</f>
        <v>SOCIOS POR DESEMBOLSOS EXIGIDOS</v>
      </c>
      <c r="O189" s="1859">
        <f ca="1">+SYS_4_3_Digitos!I236-SYS_4_3_Digitos!J236</f>
        <v>0</v>
      </c>
    </row>
    <row r="190" spans="2:15" ht="25.5" hidden="1" customHeight="1" outlineLevel="1">
      <c r="B190" s="587"/>
      <c r="C190" s="588"/>
      <c r="D190" s="595" t="str">
        <f t="shared" si="20"/>
        <v/>
      </c>
      <c r="E190" s="589"/>
      <c r="G190" s="589"/>
      <c r="H190" s="596" t="str">
        <f t="shared" si="21"/>
        <v/>
      </c>
      <c r="I190" s="588"/>
      <c r="J190" s="590"/>
      <c r="M190" s="1858">
        <f>+SYS_4_3_Digitos!A237</f>
        <v>559</v>
      </c>
      <c r="N190" s="1858" t="str">
        <f>+SYS_4_3_Digitos!B237</f>
        <v>DERIVADOS FROS A CP</v>
      </c>
      <c r="O190" s="1859">
        <f ca="1">+SYS_4_3_Digitos!I237-SYS_4_3_Digitos!J237</f>
        <v>0</v>
      </c>
    </row>
    <row r="191" spans="2:15" collapsed="1">
      <c r="B191" s="598">
        <f>SUM(B177:B190)</f>
        <v>0</v>
      </c>
      <c r="C191" s="571"/>
      <c r="E191" s="571"/>
      <c r="F191" s="591">
        <f>+B191-J191</f>
        <v>0</v>
      </c>
      <c r="G191" s="575"/>
      <c r="H191" s="575"/>
      <c r="I191" s="571"/>
      <c r="J191" s="598">
        <f>SUM(J177:J190)</f>
        <v>0</v>
      </c>
      <c r="M191" s="1858">
        <f>+SYS_4_3_Digitos!A238</f>
        <v>560</v>
      </c>
      <c r="N191" s="1858" t="str">
        <f>+SYS_4_3_Digitos!B238</f>
        <v>FIANZAS RECIBIDAS A CP</v>
      </c>
      <c r="O191" s="1859">
        <f ca="1">+SYS_4_3_Digitos!I238-SYS_4_3_Digitos!J238</f>
        <v>0</v>
      </c>
    </row>
    <row r="192" spans="2:15">
      <c r="M192" s="1858">
        <f>+SYS_4_3_Digitos!A239</f>
        <v>561</v>
      </c>
      <c r="N192" s="1858" t="str">
        <f>+SYS_4_3_Digitos!B239</f>
        <v>DEPÓSITOS RECIBIDOS A CP</v>
      </c>
      <c r="O192" s="1859">
        <f ca="1">+SYS_4_3_Digitos!I239-SYS_4_3_Digitos!J239</f>
        <v>0</v>
      </c>
    </row>
    <row r="193" spans="2:15" ht="15.6">
      <c r="B193" s="576"/>
      <c r="C193" s="554"/>
      <c r="D193" s="571"/>
      <c r="E193" s="571"/>
      <c r="F193" s="575"/>
      <c r="G193" s="572"/>
      <c r="H193" s="572"/>
      <c r="I193" s="571"/>
      <c r="J193" s="569"/>
      <c r="M193" s="1858">
        <f>+SYS_4_3_Digitos!A240</f>
        <v>565</v>
      </c>
      <c r="N193" s="1858" t="str">
        <f>+SYS_4_3_Digitos!B240</f>
        <v>FIANZAS CONSTITUIDDAS A CP</v>
      </c>
      <c r="O193" s="1859">
        <f ca="1">+SYS_4_3_Digitos!I240-SYS_4_3_Digitos!J240</f>
        <v>0</v>
      </c>
    </row>
    <row r="194" spans="2:15">
      <c r="B194" s="569"/>
      <c r="C194" s="571"/>
      <c r="D194" s="571"/>
      <c r="E194" s="571"/>
      <c r="F194" s="575"/>
      <c r="G194" s="572"/>
      <c r="H194" s="572"/>
      <c r="I194" s="571"/>
      <c r="J194" s="569"/>
      <c r="M194" s="1858">
        <f>+SYS_4_3_Digitos!A241</f>
        <v>566</v>
      </c>
      <c r="N194" s="1858" t="str">
        <f>+SYS_4_3_Digitos!B241</f>
        <v>DEPÓSITOS CONSTITUIDOS A CP</v>
      </c>
      <c r="O194" s="1859">
        <f ca="1">+SYS_4_3_Digitos!I241-SYS_4_3_Digitos!J241</f>
        <v>103027.25</v>
      </c>
    </row>
    <row r="195" spans="2:15" ht="25.5" customHeight="1">
      <c r="B195" s="577"/>
      <c r="C195" s="578"/>
      <c r="D195" s="593" t="str">
        <f t="shared" ref="D195:D208" si="22">IF(C195="","",+LOOKUP(C195,$M$12:$M$36733,$N$12:$N$36733))</f>
        <v/>
      </c>
      <c r="E195" s="579"/>
      <c r="F195" s="572"/>
      <c r="G195" s="579"/>
      <c r="H195" s="593" t="str">
        <f t="shared" ref="H195:H208" si="23">IF(I195="","",+LOOKUP(I195,$M$12:$M$36733,$N$12:$N$36733))</f>
        <v/>
      </c>
      <c r="I195" s="578"/>
      <c r="J195" s="580"/>
      <c r="M195" s="1858">
        <f>+SYS_4_3_Digitos!A242</f>
        <v>567</v>
      </c>
      <c r="N195" s="1858" t="str">
        <f>+SYS_4_3_Digitos!B242</f>
        <v>INTERESES PAGADOS POR ANTICIPADO</v>
      </c>
      <c r="O195" s="1859">
        <f ca="1">+SYS_4_3_Digitos!I242-SYS_4_3_Digitos!J242</f>
        <v>0</v>
      </c>
    </row>
    <row r="196" spans="2:15" ht="25.5" customHeight="1">
      <c r="B196" s="581"/>
      <c r="C196" s="582"/>
      <c r="D196" s="594" t="str">
        <f t="shared" si="22"/>
        <v/>
      </c>
      <c r="E196" s="583"/>
      <c r="F196" s="572"/>
      <c r="G196" s="583"/>
      <c r="H196" s="594" t="str">
        <f t="shared" si="23"/>
        <v/>
      </c>
      <c r="I196" s="582"/>
      <c r="J196" s="584"/>
      <c r="M196" s="1858">
        <f>+SYS_4_3_Digitos!A243</f>
        <v>568</v>
      </c>
      <c r="N196" s="1858" t="str">
        <f>+SYS_4_3_Digitos!B243</f>
        <v>INTERESES COBRADOS POR ANTICIPADO</v>
      </c>
      <c r="O196" s="1859">
        <f ca="1">+SYS_4_3_Digitos!I243-SYS_4_3_Digitos!J243</f>
        <v>0</v>
      </c>
    </row>
    <row r="197" spans="2:15" ht="25.5" customHeight="1">
      <c r="B197" s="581"/>
      <c r="C197" s="582"/>
      <c r="D197" s="594" t="str">
        <f t="shared" si="22"/>
        <v/>
      </c>
      <c r="E197" s="583"/>
      <c r="F197" s="572"/>
      <c r="G197" s="583"/>
      <c r="H197" s="594" t="str">
        <f t="shared" si="23"/>
        <v/>
      </c>
      <c r="I197" s="582"/>
      <c r="J197" s="584"/>
      <c r="M197" s="1858">
        <f>+SYS_4_3_Digitos!A244</f>
        <v>569</v>
      </c>
      <c r="N197" s="1858" t="str">
        <f>+SYS_4_3_Digitos!B244</f>
        <v>GARANTÍAS FINANCIERAS A CP</v>
      </c>
      <c r="O197" s="1859">
        <f ca="1">+SYS_4_3_Digitos!I244-SYS_4_3_Digitos!J244</f>
        <v>0</v>
      </c>
    </row>
    <row r="198" spans="2:15" ht="25.5" customHeight="1">
      <c r="B198" s="581"/>
      <c r="C198" s="582"/>
      <c r="D198" s="594" t="str">
        <f t="shared" si="22"/>
        <v/>
      </c>
      <c r="E198" s="583"/>
      <c r="F198" s="572"/>
      <c r="G198" s="583"/>
      <c r="H198" s="594" t="str">
        <f t="shared" si="23"/>
        <v/>
      </c>
      <c r="I198" s="582"/>
      <c r="J198" s="584"/>
      <c r="M198" s="1858">
        <f>+SYS_4_3_Digitos!A245</f>
        <v>570</v>
      </c>
      <c r="N198" s="1858" t="str">
        <f>+SYS_4_3_Digitos!B245</f>
        <v>CAJA, EUROS</v>
      </c>
      <c r="O198" s="1859">
        <f ca="1">+SYS_4_3_Digitos!I245-SYS_4_3_Digitos!J245</f>
        <v>793.1</v>
      </c>
    </row>
    <row r="199" spans="2:15" ht="25.5" hidden="1" customHeight="1" outlineLevel="1">
      <c r="B199" s="585"/>
      <c r="C199" s="582"/>
      <c r="D199" s="594" t="str">
        <f t="shared" si="22"/>
        <v/>
      </c>
      <c r="E199" s="583"/>
      <c r="F199" s="572"/>
      <c r="G199" s="583"/>
      <c r="H199" s="594" t="str">
        <f t="shared" si="23"/>
        <v/>
      </c>
      <c r="I199" s="582"/>
      <c r="J199" s="586"/>
      <c r="M199" s="1858">
        <f>+SYS_4_3_Digitos!A246</f>
        <v>572</v>
      </c>
      <c r="N199" s="1858" t="str">
        <f>+SYS_4_3_Digitos!B246</f>
        <v>BANCOS E INSTITUCIONES DE CRÉDITO C/C VISTA, EUROS</v>
      </c>
      <c r="O199" s="1859">
        <f ca="1">+SYS_4_3_Digitos!I246-SYS_4_3_Digitos!J246</f>
        <v>85566358.589999989</v>
      </c>
    </row>
    <row r="200" spans="2:15" ht="25.5" hidden="1" customHeight="1" outlineLevel="1">
      <c r="B200" s="581"/>
      <c r="C200" s="582"/>
      <c r="D200" s="594" t="str">
        <f t="shared" si="22"/>
        <v/>
      </c>
      <c r="E200" s="583"/>
      <c r="G200" s="583"/>
      <c r="H200" s="594" t="str">
        <f t="shared" si="23"/>
        <v/>
      </c>
      <c r="I200" s="582"/>
      <c r="J200" s="584"/>
      <c r="M200" s="1858">
        <f>+SYS_4_3_Digitos!A247</f>
        <v>573</v>
      </c>
      <c r="N200" s="1858" t="str">
        <f>+SYS_4_3_Digitos!B247</f>
        <v>BANCOS E INSTIT. DE CRÉDITO C/C VISTA, MONEDA EXTR.</v>
      </c>
      <c r="O200" s="1859">
        <f ca="1">+SYS_4_3_Digitos!I247-SYS_4_3_Digitos!J247</f>
        <v>10007.01</v>
      </c>
    </row>
    <row r="201" spans="2:15" ht="25.5" hidden="1" customHeight="1" outlineLevel="1">
      <c r="B201" s="581"/>
      <c r="C201" s="582"/>
      <c r="D201" s="594" t="str">
        <f t="shared" si="22"/>
        <v/>
      </c>
      <c r="E201" s="583"/>
      <c r="G201" s="583"/>
      <c r="H201" s="594" t="str">
        <f t="shared" si="23"/>
        <v/>
      </c>
      <c r="I201" s="582"/>
      <c r="J201" s="584"/>
      <c r="M201" s="1858">
        <f>+SYS_4_3_Digitos!A248</f>
        <v>574</v>
      </c>
      <c r="N201" s="1858" t="str">
        <f>+SYS_4_3_Digitos!B248</f>
        <v>BANCOS E INSTIT. DE CRÉDITO CTAS AHORRO, EUROS</v>
      </c>
      <c r="O201" s="1859">
        <f ca="1">+SYS_4_3_Digitos!I248-SYS_4_3_Digitos!J248</f>
        <v>0</v>
      </c>
    </row>
    <row r="202" spans="2:15" ht="25.5" hidden="1" customHeight="1" outlineLevel="1">
      <c r="B202" s="581"/>
      <c r="C202" s="582"/>
      <c r="D202" s="594" t="str">
        <f t="shared" si="22"/>
        <v/>
      </c>
      <c r="E202" s="583"/>
      <c r="G202" s="583"/>
      <c r="H202" s="594" t="str">
        <f t="shared" si="23"/>
        <v/>
      </c>
      <c r="I202" s="582"/>
      <c r="J202" s="584"/>
      <c r="M202" s="1858">
        <f>+SYS_4_3_Digitos!A249</f>
        <v>580</v>
      </c>
      <c r="N202" s="1858" t="str">
        <f>+SYS_4_3_Digitos!B249</f>
        <v>INMOVILIZADO</v>
      </c>
      <c r="O202" s="1859">
        <f ca="1">+SYS_4_3_Digitos!I249-SYS_4_3_Digitos!J249</f>
        <v>0</v>
      </c>
    </row>
    <row r="203" spans="2:15" ht="25.5" hidden="1" customHeight="1" outlineLevel="1">
      <c r="B203" s="581"/>
      <c r="C203" s="582"/>
      <c r="D203" s="594" t="str">
        <f t="shared" si="22"/>
        <v/>
      </c>
      <c r="E203" s="583"/>
      <c r="G203" s="583"/>
      <c r="H203" s="594" t="str">
        <f t="shared" si="23"/>
        <v/>
      </c>
      <c r="I203" s="582"/>
      <c r="J203" s="584"/>
      <c r="M203" s="1858">
        <f>+SYS_4_3_Digitos!A250</f>
        <v>581</v>
      </c>
      <c r="N203" s="1858" t="str">
        <f>+SYS_4_3_Digitos!B250</f>
        <v>INVERSIONES CON PERSONAS Y ENTIDADES VINCUADAS</v>
      </c>
      <c r="O203" s="1859">
        <f ca="1">+SYS_4_3_Digitos!I250-SYS_4_3_Digitos!J250</f>
        <v>0</v>
      </c>
    </row>
    <row r="204" spans="2:15" ht="25.5" hidden="1" customHeight="1" outlineLevel="1">
      <c r="B204" s="581"/>
      <c r="C204" s="582"/>
      <c r="D204" s="594" t="str">
        <f t="shared" si="22"/>
        <v/>
      </c>
      <c r="E204" s="583"/>
      <c r="G204" s="583"/>
      <c r="H204" s="594" t="str">
        <f t="shared" si="23"/>
        <v/>
      </c>
      <c r="I204" s="582"/>
      <c r="J204" s="584"/>
      <c r="M204" s="1858">
        <f>+SYS_4_3_Digitos!A251</f>
        <v>582</v>
      </c>
      <c r="N204" s="1858" t="str">
        <f>+SYS_4_3_Digitos!B251</f>
        <v xml:space="preserve">INVERSIONES FINANCIERAS  </v>
      </c>
      <c r="O204" s="1859">
        <f ca="1">+SYS_4_3_Digitos!I251-SYS_4_3_Digitos!J251</f>
        <v>0</v>
      </c>
    </row>
    <row r="205" spans="2:15" ht="25.5" hidden="1" customHeight="1" outlineLevel="1">
      <c r="B205" s="581"/>
      <c r="C205" s="582"/>
      <c r="D205" s="594" t="str">
        <f t="shared" si="22"/>
        <v/>
      </c>
      <c r="E205" s="583"/>
      <c r="G205" s="583"/>
      <c r="H205" s="594" t="str">
        <f t="shared" si="23"/>
        <v/>
      </c>
      <c r="I205" s="582"/>
      <c r="J205" s="584"/>
      <c r="M205" s="1858">
        <f>+SYS_4_3_Digitos!A252</f>
        <v>583</v>
      </c>
      <c r="N205" s="1858" t="str">
        <f>+SYS_4_3_Digitos!B252</f>
        <v>EXISTENCIAS, DEUDORES COMER. Y OTRAS CTAS A COBRAR</v>
      </c>
      <c r="O205" s="1859">
        <f ca="1">+SYS_4_3_Digitos!I252-SYS_4_3_Digitos!J252</f>
        <v>0</v>
      </c>
    </row>
    <row r="206" spans="2:15" ht="25.5" hidden="1" customHeight="1" outlineLevel="1">
      <c r="B206" s="581"/>
      <c r="C206" s="582"/>
      <c r="D206" s="594" t="str">
        <f t="shared" si="22"/>
        <v/>
      </c>
      <c r="E206" s="583"/>
      <c r="G206" s="583"/>
      <c r="H206" s="594" t="str">
        <f t="shared" si="23"/>
        <v/>
      </c>
      <c r="I206" s="582"/>
      <c r="J206" s="584"/>
      <c r="M206" s="1858">
        <f>+SYS_4_3_Digitos!A253</f>
        <v>584</v>
      </c>
      <c r="N206" s="1858" t="str">
        <f>+SYS_4_3_Digitos!B253</f>
        <v>OTROS ACTIVOS</v>
      </c>
      <c r="O206" s="1859">
        <f ca="1">+SYS_4_3_Digitos!I253-SYS_4_3_Digitos!J253</f>
        <v>0</v>
      </c>
    </row>
    <row r="207" spans="2:15" ht="25.5" hidden="1" customHeight="1" outlineLevel="1">
      <c r="B207" s="581"/>
      <c r="C207" s="582"/>
      <c r="D207" s="594" t="str">
        <f t="shared" si="22"/>
        <v/>
      </c>
      <c r="E207" s="583"/>
      <c r="G207" s="583"/>
      <c r="H207" s="594" t="str">
        <f t="shared" si="23"/>
        <v/>
      </c>
      <c r="I207" s="582"/>
      <c r="J207" s="584"/>
      <c r="M207" s="1858">
        <f>+SYS_4_3_Digitos!A254</f>
        <v>585</v>
      </c>
      <c r="N207" s="1858" t="str">
        <f>+SYS_4_3_Digitos!B254</f>
        <v xml:space="preserve">PROVISIONES  </v>
      </c>
      <c r="O207" s="1859">
        <f ca="1">+SYS_4_3_Digitos!I254-SYS_4_3_Digitos!J254</f>
        <v>0</v>
      </c>
    </row>
    <row r="208" spans="2:15" ht="25.5" hidden="1" customHeight="1" outlineLevel="1">
      <c r="B208" s="587"/>
      <c r="C208" s="588"/>
      <c r="D208" s="595" t="str">
        <f t="shared" si="22"/>
        <v/>
      </c>
      <c r="E208" s="589"/>
      <c r="G208" s="589"/>
      <c r="H208" s="596" t="str">
        <f t="shared" si="23"/>
        <v/>
      </c>
      <c r="I208" s="588"/>
      <c r="J208" s="590"/>
      <c r="M208" s="1858">
        <f>+SYS_4_3_Digitos!A255</f>
        <v>586</v>
      </c>
      <c r="N208" s="1858" t="str">
        <f>+SYS_4_3_Digitos!B255</f>
        <v>DEUDAS CON CARACTERÍSTICAS ESPECIALES</v>
      </c>
      <c r="O208" s="1859">
        <f ca="1">+SYS_4_3_Digitos!I255-SYS_4_3_Digitos!J255</f>
        <v>0</v>
      </c>
    </row>
    <row r="209" spans="2:15" collapsed="1">
      <c r="B209" s="598">
        <f>SUM(B195:B208)</f>
        <v>0</v>
      </c>
      <c r="C209" s="571"/>
      <c r="E209" s="571"/>
      <c r="F209" s="591">
        <f>+B209-J209</f>
        <v>0</v>
      </c>
      <c r="G209" s="575"/>
      <c r="H209" s="575"/>
      <c r="I209" s="571"/>
      <c r="J209" s="598">
        <f>SUM(J195:J208)</f>
        <v>0</v>
      </c>
      <c r="M209" s="1858">
        <f>+SYS_4_3_Digitos!A256</f>
        <v>587</v>
      </c>
      <c r="N209" s="1858" t="str">
        <f>+SYS_4_3_Digitos!B256</f>
        <v>DEUDAS CON PERSONAS Y ENTIDADES VINCULADAS</v>
      </c>
      <c r="O209" s="1859">
        <f ca="1">+SYS_4_3_Digitos!I256-SYS_4_3_Digitos!J256</f>
        <v>0</v>
      </c>
    </row>
    <row r="210" spans="2:15">
      <c r="M210" s="1858">
        <f>+SYS_4_3_Digitos!A257</f>
        <v>588</v>
      </c>
      <c r="N210" s="1858" t="str">
        <f>+SYS_4_3_Digitos!B257</f>
        <v>ACREEDORES COMERCIALES Y OTRAS CUENTAS A PAGAR</v>
      </c>
      <c r="O210" s="1859">
        <f ca="1">+SYS_4_3_Digitos!I257-SYS_4_3_Digitos!J257</f>
        <v>0</v>
      </c>
    </row>
    <row r="211" spans="2:15" ht="15.6">
      <c r="B211" s="576"/>
      <c r="C211" s="554"/>
      <c r="D211" s="571"/>
      <c r="E211" s="571"/>
      <c r="F211" s="575"/>
      <c r="G211" s="572"/>
      <c r="H211" s="572"/>
      <c r="I211" s="571"/>
      <c r="J211" s="569"/>
      <c r="M211" s="1858">
        <f>+SYS_4_3_Digitos!A258</f>
        <v>589</v>
      </c>
      <c r="N211" s="1858" t="str">
        <f>+SYS_4_3_Digitos!B258</f>
        <v>OTROS PASIVOS</v>
      </c>
      <c r="O211" s="1859">
        <f ca="1">+SYS_4_3_Digitos!I258-SYS_4_3_Digitos!J258</f>
        <v>0</v>
      </c>
    </row>
    <row r="212" spans="2:15">
      <c r="B212" s="569"/>
      <c r="C212" s="571"/>
      <c r="D212" s="571"/>
      <c r="E212" s="571"/>
      <c r="F212" s="575"/>
      <c r="G212" s="572"/>
      <c r="H212" s="572"/>
      <c r="I212" s="571"/>
      <c r="J212" s="569"/>
      <c r="M212" s="1858">
        <f>+SYS_4_3_Digitos!A264</f>
        <v>600</v>
      </c>
      <c r="N212" s="1858" t="str">
        <f>+SYS_4_3_Digitos!B264</f>
        <v>COMPRAS DE MERCADERÍAS</v>
      </c>
      <c r="O212" s="1859">
        <f ca="1">+SYS_4_3_Digitos!I264-SYS_4_3_Digitos!J264</f>
        <v>21680440.560000002</v>
      </c>
    </row>
    <row r="213" spans="2:15" ht="25.5" customHeight="1">
      <c r="B213" s="577"/>
      <c r="C213" s="578"/>
      <c r="D213" s="593" t="str">
        <f t="shared" ref="D213:D226" si="24">IF(C213="","",+LOOKUP(C213,$M$12:$M$36733,$N$12:$N$36733))</f>
        <v/>
      </c>
      <c r="E213" s="579"/>
      <c r="F213" s="572"/>
      <c r="G213" s="579"/>
      <c r="H213" s="593" t="str">
        <f t="shared" ref="H213:H226" si="25">IF(I213="","",+LOOKUP(I213,$M$12:$M$36733,$N$12:$N$36733))</f>
        <v/>
      </c>
      <c r="I213" s="578"/>
      <c r="J213" s="580"/>
      <c r="M213" s="1858">
        <f>+SYS_4_3_Digitos!A265</f>
        <v>601</v>
      </c>
      <c r="N213" s="1858" t="str">
        <f>+SYS_4_3_Digitos!B265</f>
        <v>COMPRAS DE MATERIAS PRIMAS</v>
      </c>
      <c r="O213" s="1859">
        <f ca="1">+SYS_4_3_Digitos!I265-SYS_4_3_Digitos!J265</f>
        <v>41519643.559999987</v>
      </c>
    </row>
    <row r="214" spans="2:15" ht="25.5" customHeight="1">
      <c r="B214" s="581"/>
      <c r="C214" s="582"/>
      <c r="D214" s="594" t="str">
        <f t="shared" si="24"/>
        <v/>
      </c>
      <c r="E214" s="583"/>
      <c r="F214" s="572"/>
      <c r="G214" s="583"/>
      <c r="H214" s="594" t="str">
        <f t="shared" si="25"/>
        <v/>
      </c>
      <c r="I214" s="582"/>
      <c r="J214" s="584"/>
      <c r="M214" s="1858">
        <f>+SYS_4_3_Digitos!A266</f>
        <v>602</v>
      </c>
      <c r="N214" s="1858" t="str">
        <f>+SYS_4_3_Digitos!B266</f>
        <v>COMPRAS DE OTROS APROVISIONAMIENTOS</v>
      </c>
      <c r="O214" s="1859">
        <f ca="1">+SYS_4_3_Digitos!I266-SYS_4_3_Digitos!J266</f>
        <v>397772.66</v>
      </c>
    </row>
    <row r="215" spans="2:15" ht="25.5" customHeight="1">
      <c r="B215" s="581"/>
      <c r="C215" s="582"/>
      <c r="D215" s="594" t="str">
        <f t="shared" si="24"/>
        <v/>
      </c>
      <c r="E215" s="583"/>
      <c r="F215" s="572"/>
      <c r="G215" s="583"/>
      <c r="H215" s="594" t="str">
        <f t="shared" si="25"/>
        <v/>
      </c>
      <c r="I215" s="582"/>
      <c r="J215" s="584"/>
      <c r="M215" s="1858">
        <f>+SYS_4_3_Digitos!A267</f>
        <v>606</v>
      </c>
      <c r="N215" s="1858" t="str">
        <f>+SYS_4_3_Digitos!B267</f>
        <v>DESCUENTOS SOBRE COMPRAS POR PRONTO PAGO</v>
      </c>
      <c r="O215" s="1859">
        <f ca="1">+SYS_4_3_Digitos!I267-SYS_4_3_Digitos!J267</f>
        <v>-831.47</v>
      </c>
    </row>
    <row r="216" spans="2:15" ht="25.5" hidden="1" customHeight="1" outlineLevel="1">
      <c r="B216" s="581"/>
      <c r="C216" s="582"/>
      <c r="D216" s="594" t="str">
        <f t="shared" si="24"/>
        <v/>
      </c>
      <c r="E216" s="583"/>
      <c r="F216" s="572"/>
      <c r="G216" s="583"/>
      <c r="H216" s="594" t="str">
        <f t="shared" si="25"/>
        <v/>
      </c>
      <c r="I216" s="582"/>
      <c r="J216" s="584"/>
      <c r="M216" s="1858">
        <f>+SYS_4_3_Digitos!A268</f>
        <v>607</v>
      </c>
      <c r="N216" s="1858" t="str">
        <f>+SYS_4_3_Digitos!B268</f>
        <v>TRABAJOS REALIZADOS POR OTRAS EMPRESAS</v>
      </c>
      <c r="O216" s="1859">
        <f ca="1">+SYS_4_3_Digitos!I268-SYS_4_3_Digitos!J268</f>
        <v>0</v>
      </c>
    </row>
    <row r="217" spans="2:15" ht="25.5" hidden="1" customHeight="1" outlineLevel="1">
      <c r="B217" s="585"/>
      <c r="C217" s="582"/>
      <c r="D217" s="594" t="str">
        <f t="shared" si="24"/>
        <v/>
      </c>
      <c r="E217" s="583"/>
      <c r="F217" s="572"/>
      <c r="G217" s="583"/>
      <c r="H217" s="594" t="str">
        <f t="shared" si="25"/>
        <v/>
      </c>
      <c r="I217" s="582"/>
      <c r="J217" s="586"/>
      <c r="M217" s="1858">
        <f>+SYS_4_3_Digitos!A269</f>
        <v>608</v>
      </c>
      <c r="N217" s="1858" t="str">
        <f>+SYS_4_3_Digitos!B269</f>
        <v>DEVOLUCIONES DE COMPRAS Y OP SIMILARES</v>
      </c>
      <c r="O217" s="1859">
        <f ca="1">+SYS_4_3_Digitos!I269-SYS_4_3_Digitos!J269</f>
        <v>0</v>
      </c>
    </row>
    <row r="218" spans="2:15" ht="25.5" hidden="1" customHeight="1" outlineLevel="1">
      <c r="B218" s="581"/>
      <c r="C218" s="582"/>
      <c r="D218" s="594" t="str">
        <f t="shared" si="24"/>
        <v/>
      </c>
      <c r="E218" s="583"/>
      <c r="G218" s="583"/>
      <c r="H218" s="594" t="str">
        <f t="shared" si="25"/>
        <v/>
      </c>
      <c r="I218" s="582"/>
      <c r="J218" s="584"/>
      <c r="M218" s="1858">
        <f>+SYS_4_3_Digitos!A270</f>
        <v>609</v>
      </c>
      <c r="N218" s="1858" t="str">
        <f>+SYS_4_3_Digitos!B270</f>
        <v>RAPPELS POR COMPRAS</v>
      </c>
      <c r="O218" s="1859">
        <f ca="1">+SYS_4_3_Digitos!I270-SYS_4_3_Digitos!J270</f>
        <v>0</v>
      </c>
    </row>
    <row r="219" spans="2:15" ht="25.5" hidden="1" customHeight="1" outlineLevel="1">
      <c r="B219" s="581"/>
      <c r="C219" s="582"/>
      <c r="D219" s="594" t="str">
        <f t="shared" si="24"/>
        <v/>
      </c>
      <c r="E219" s="583"/>
      <c r="G219" s="583"/>
      <c r="H219" s="594" t="str">
        <f t="shared" si="25"/>
        <v/>
      </c>
      <c r="I219" s="582"/>
      <c r="J219" s="584"/>
      <c r="M219" s="1858">
        <f>+SYS_4_3_Digitos!A271</f>
        <v>610</v>
      </c>
      <c r="N219" s="1858" t="str">
        <f>+SYS_4_3_Digitos!B271</f>
        <v>VARIACIÓN DE EXISTENCIAS DE MERCADERÍAS</v>
      </c>
      <c r="O219" s="1859">
        <f ca="1">+SYS_4_3_Digitos!I271-SYS_4_3_Digitos!J271</f>
        <v>-1232212.9099999999</v>
      </c>
    </row>
    <row r="220" spans="2:15" ht="25.5" hidden="1" customHeight="1" outlineLevel="1">
      <c r="B220" s="581"/>
      <c r="C220" s="582"/>
      <c r="D220" s="594" t="str">
        <f t="shared" si="24"/>
        <v/>
      </c>
      <c r="E220" s="583"/>
      <c r="G220" s="583"/>
      <c r="H220" s="594" t="str">
        <f t="shared" si="25"/>
        <v/>
      </c>
      <c r="I220" s="582"/>
      <c r="J220" s="584"/>
      <c r="M220" s="1858">
        <f>+SYS_4_3_Digitos!A272</f>
        <v>611</v>
      </c>
      <c r="N220" s="1858" t="str">
        <f>+SYS_4_3_Digitos!B272</f>
        <v>VARIACIÓN DE EXISTENCIAS DE MATERIAS PRIMAS</v>
      </c>
      <c r="O220" s="1859">
        <f ca="1">+SYS_4_3_Digitos!I272-SYS_4_3_Digitos!J272</f>
        <v>-5456381.5499999998</v>
      </c>
    </row>
    <row r="221" spans="2:15" ht="25.5" hidden="1" customHeight="1" outlineLevel="1">
      <c r="B221" s="581"/>
      <c r="C221" s="582"/>
      <c r="D221" s="594" t="str">
        <f t="shared" si="24"/>
        <v/>
      </c>
      <c r="E221" s="583"/>
      <c r="G221" s="583"/>
      <c r="H221" s="594" t="str">
        <f t="shared" si="25"/>
        <v/>
      </c>
      <c r="I221" s="582"/>
      <c r="J221" s="584"/>
      <c r="M221" s="1858">
        <f>+SYS_4_3_Digitos!A273</f>
        <v>612</v>
      </c>
      <c r="N221" s="1858" t="str">
        <f>+SYS_4_3_Digitos!B273</f>
        <v>VARIACIÓN DE EXISTENCIAS DE OTROS APROVISIONAMIENT.</v>
      </c>
      <c r="O221" s="1859">
        <f ca="1">+SYS_4_3_Digitos!I273-SYS_4_3_Digitos!J273</f>
        <v>25977.61</v>
      </c>
    </row>
    <row r="222" spans="2:15" ht="25.5" hidden="1" customHeight="1" outlineLevel="1">
      <c r="B222" s="581"/>
      <c r="C222" s="582"/>
      <c r="D222" s="594" t="str">
        <f t="shared" si="24"/>
        <v/>
      </c>
      <c r="E222" s="583"/>
      <c r="G222" s="583"/>
      <c r="H222" s="594" t="str">
        <f t="shared" si="25"/>
        <v/>
      </c>
      <c r="I222" s="582"/>
      <c r="J222" s="584"/>
      <c r="M222" s="1858">
        <f>+SYS_4_3_Digitos!A274</f>
        <v>620</v>
      </c>
      <c r="N222" s="1858" t="str">
        <f>+SYS_4_3_Digitos!B274</f>
        <v>GASTOS EN INVESTIGACIÓN Y DESARROLLO DEL EJERCICIO</v>
      </c>
      <c r="O222" s="1859">
        <f ca="1">+SYS_4_3_Digitos!I274-SYS_4_3_Digitos!J274</f>
        <v>0</v>
      </c>
    </row>
    <row r="223" spans="2:15" ht="25.5" hidden="1" customHeight="1" outlineLevel="1">
      <c r="B223" s="581"/>
      <c r="C223" s="582"/>
      <c r="D223" s="594" t="str">
        <f t="shared" si="24"/>
        <v/>
      </c>
      <c r="E223" s="583"/>
      <c r="G223" s="583"/>
      <c r="H223" s="594" t="str">
        <f t="shared" si="25"/>
        <v/>
      </c>
      <c r="I223" s="582"/>
      <c r="J223" s="584"/>
      <c r="M223" s="1858">
        <f>+SYS_4_3_Digitos!A275</f>
        <v>621</v>
      </c>
      <c r="N223" s="1858" t="str">
        <f>+SYS_4_3_Digitos!B275</f>
        <v>ARRENDAMIENTOS Y CÁNONES</v>
      </c>
      <c r="O223" s="1859">
        <f ca="1">+SYS_4_3_Digitos!I275-SYS_4_3_Digitos!J275</f>
        <v>45607.610000000008</v>
      </c>
    </row>
    <row r="224" spans="2:15" ht="25.5" hidden="1" customHeight="1" outlineLevel="1">
      <c r="B224" s="581"/>
      <c r="C224" s="582"/>
      <c r="D224" s="594" t="str">
        <f t="shared" si="24"/>
        <v/>
      </c>
      <c r="E224" s="583"/>
      <c r="G224" s="583"/>
      <c r="H224" s="594" t="str">
        <f t="shared" si="25"/>
        <v/>
      </c>
      <c r="I224" s="582"/>
      <c r="J224" s="584"/>
      <c r="M224" s="1858">
        <f>+SYS_4_3_Digitos!A276</f>
        <v>622</v>
      </c>
      <c r="N224" s="1858" t="str">
        <f>+SYS_4_3_Digitos!B276</f>
        <v>REPARACIONES Y CONSERVACIÓN</v>
      </c>
      <c r="O224" s="1859">
        <f ca="1">+SYS_4_3_Digitos!I276-SYS_4_3_Digitos!J276</f>
        <v>408157.99</v>
      </c>
    </row>
    <row r="225" spans="2:15" ht="25.5" hidden="1" customHeight="1" outlineLevel="1">
      <c r="B225" s="581"/>
      <c r="C225" s="582"/>
      <c r="D225" s="594" t="str">
        <f t="shared" si="24"/>
        <v/>
      </c>
      <c r="E225" s="583"/>
      <c r="G225" s="583"/>
      <c r="H225" s="594" t="str">
        <f t="shared" si="25"/>
        <v/>
      </c>
      <c r="I225" s="582"/>
      <c r="J225" s="584"/>
      <c r="M225" s="1858">
        <f>+SYS_4_3_Digitos!A277</f>
        <v>623</v>
      </c>
      <c r="N225" s="1858" t="str">
        <f>+SYS_4_3_Digitos!B277</f>
        <v>SERVICIOS DE PROFESIONALES INDEPENDIENTES</v>
      </c>
      <c r="O225" s="1859">
        <f ca="1">+SYS_4_3_Digitos!I277-SYS_4_3_Digitos!J277</f>
        <v>1289990.83</v>
      </c>
    </row>
    <row r="226" spans="2:15" ht="25.5" hidden="1" customHeight="1" outlineLevel="1">
      <c r="B226" s="587"/>
      <c r="C226" s="588"/>
      <c r="D226" s="595" t="str">
        <f t="shared" si="24"/>
        <v/>
      </c>
      <c r="E226" s="589"/>
      <c r="G226" s="589"/>
      <c r="H226" s="596" t="str">
        <f t="shared" si="25"/>
        <v/>
      </c>
      <c r="I226" s="588"/>
      <c r="J226" s="590"/>
      <c r="M226" s="1858">
        <f>+SYS_4_3_Digitos!A278</f>
        <v>624</v>
      </c>
      <c r="N226" s="1858" t="str">
        <f>+SYS_4_3_Digitos!B278</f>
        <v>TRANSPORTES</v>
      </c>
      <c r="O226" s="1859">
        <f ca="1">+SYS_4_3_Digitos!I278-SYS_4_3_Digitos!J278</f>
        <v>969386.08000000007</v>
      </c>
    </row>
    <row r="227" spans="2:15" collapsed="1">
      <c r="B227" s="598">
        <f>SUM(B213:B226)</f>
        <v>0</v>
      </c>
      <c r="C227" s="571"/>
      <c r="E227" s="571"/>
      <c r="F227" s="591">
        <f>+B227-J227</f>
        <v>0</v>
      </c>
      <c r="G227" s="575"/>
      <c r="H227" s="575"/>
      <c r="I227" s="571"/>
      <c r="J227" s="598">
        <f>SUM(J213:J226)</f>
        <v>0</v>
      </c>
      <c r="M227" s="1858">
        <f>+SYS_4_3_Digitos!A279</f>
        <v>625</v>
      </c>
      <c r="N227" s="1858" t="str">
        <f>+SYS_4_3_Digitos!B279</f>
        <v>PRIMAS DE SEGUROS</v>
      </c>
      <c r="O227" s="1859">
        <f ca="1">+SYS_4_3_Digitos!I279-SYS_4_3_Digitos!J279</f>
        <v>103906.21</v>
      </c>
    </row>
    <row r="228" spans="2:15">
      <c r="M228" s="1858">
        <f>+SYS_4_3_Digitos!A280</f>
        <v>626</v>
      </c>
      <c r="N228" s="1858" t="str">
        <f>+SYS_4_3_Digitos!B280</f>
        <v>SERVICIOS BANCARIOS Y SIMILARES</v>
      </c>
      <c r="O228" s="1859">
        <f ca="1">+SYS_4_3_Digitos!I280-SYS_4_3_Digitos!J280</f>
        <v>58684.98</v>
      </c>
    </row>
    <row r="229" spans="2:15" ht="15.6">
      <c r="B229" s="576"/>
      <c r="C229" s="554"/>
      <c r="D229" s="571"/>
      <c r="E229" s="571"/>
      <c r="F229" s="575"/>
      <c r="G229" s="572"/>
      <c r="H229" s="572"/>
      <c r="I229" s="571"/>
      <c r="J229" s="569"/>
      <c r="M229" s="1858">
        <f>+SYS_4_3_Digitos!A281</f>
        <v>627</v>
      </c>
      <c r="N229" s="1858" t="str">
        <f>+SYS_4_3_Digitos!B281</f>
        <v>PUBLICIDAD, PROPAGANDA Y RELACIONES PÚBLICAS</v>
      </c>
      <c r="O229" s="1859">
        <f ca="1">+SYS_4_3_Digitos!I281-SYS_4_3_Digitos!J281</f>
        <v>49008.95</v>
      </c>
    </row>
    <row r="230" spans="2:15">
      <c r="B230" s="569"/>
      <c r="C230" s="571"/>
      <c r="D230" s="571"/>
      <c r="E230" s="571"/>
      <c r="F230" s="575"/>
      <c r="G230" s="572"/>
      <c r="H230" s="572"/>
      <c r="I230" s="571"/>
      <c r="J230" s="569"/>
      <c r="M230" s="1858">
        <f>+SYS_4_3_Digitos!A282</f>
        <v>628</v>
      </c>
      <c r="N230" s="1858" t="str">
        <f>+SYS_4_3_Digitos!B282</f>
        <v>SUMINISTROS</v>
      </c>
      <c r="O230" s="1859">
        <f ca="1">+SYS_4_3_Digitos!I282-SYS_4_3_Digitos!J282</f>
        <v>1387300.6999999995</v>
      </c>
    </row>
    <row r="231" spans="2:15" ht="25.5" customHeight="1">
      <c r="B231" s="577"/>
      <c r="C231" s="578"/>
      <c r="D231" s="593" t="str">
        <f t="shared" ref="D231:D244" si="26">IF(C231="","",+LOOKUP(C231,$M$12:$M$36733,$N$12:$N$36733))</f>
        <v/>
      </c>
      <c r="E231" s="579"/>
      <c r="F231" s="572"/>
      <c r="G231" s="579"/>
      <c r="H231" s="593" t="str">
        <f t="shared" ref="H231:H244" si="27">IF(I231="","",+LOOKUP(I231,$M$12:$M$36733,$N$12:$N$36733))</f>
        <v/>
      </c>
      <c r="I231" s="578"/>
      <c r="J231" s="580"/>
      <c r="M231" s="1858">
        <f>+SYS_4_3_Digitos!A283</f>
        <v>629</v>
      </c>
      <c r="N231" s="1858" t="str">
        <f>+SYS_4_3_Digitos!B283</f>
        <v>OTROS SERVICIOS</v>
      </c>
      <c r="O231" s="1859">
        <f ca="1">+SYS_4_3_Digitos!I283-SYS_4_3_Digitos!J283</f>
        <v>367677.30000000005</v>
      </c>
    </row>
    <row r="232" spans="2:15" ht="25.5" customHeight="1">
      <c r="B232" s="581"/>
      <c r="C232" s="582"/>
      <c r="D232" s="594" t="str">
        <f t="shared" si="26"/>
        <v/>
      </c>
      <c r="E232" s="583"/>
      <c r="F232" s="572"/>
      <c r="G232" s="583"/>
      <c r="H232" s="594" t="str">
        <f t="shared" si="27"/>
        <v/>
      </c>
      <c r="I232" s="582"/>
      <c r="J232" s="584"/>
      <c r="M232" s="1858">
        <f>+SYS_4_3_Digitos!A286</f>
        <v>631</v>
      </c>
      <c r="N232" s="1858" t="str">
        <f>+SYS_4_3_Digitos!B286</f>
        <v>OTROS TRIBUTOS</v>
      </c>
      <c r="O232" s="1859">
        <f ca="1">+SYS_4_3_Digitos!I286-SYS_4_3_Digitos!J286</f>
        <v>217821.86999999997</v>
      </c>
    </row>
    <row r="233" spans="2:15" ht="25.5" customHeight="1">
      <c r="B233" s="581"/>
      <c r="C233" s="582"/>
      <c r="D233" s="594" t="str">
        <f t="shared" si="26"/>
        <v/>
      </c>
      <c r="E233" s="583"/>
      <c r="F233" s="572"/>
      <c r="G233" s="583"/>
      <c r="H233" s="594" t="str">
        <f t="shared" si="27"/>
        <v/>
      </c>
      <c r="I233" s="582"/>
      <c r="J233" s="584"/>
      <c r="M233" s="1858">
        <f>+SYS_4_3_Digitos!A287</f>
        <v>633</v>
      </c>
      <c r="N233" s="1858" t="str">
        <f>+SYS_4_3_Digitos!B287</f>
        <v>AJUSTES NEGATIVOS EN LA IMPOSICIÓN SOBRE BENEFICIOS</v>
      </c>
      <c r="O233" s="1859">
        <f ca="1">+SYS_4_3_Digitos!I287-SYS_4_3_Digitos!J287</f>
        <v>0</v>
      </c>
    </row>
    <row r="234" spans="2:15" ht="25.5" customHeight="1">
      <c r="B234" s="581"/>
      <c r="C234" s="582"/>
      <c r="D234" s="594" t="str">
        <f t="shared" si="26"/>
        <v/>
      </c>
      <c r="E234" s="583"/>
      <c r="F234" s="572"/>
      <c r="G234" s="583"/>
      <c r="H234" s="594" t="str">
        <f t="shared" si="27"/>
        <v/>
      </c>
      <c r="I234" s="582"/>
      <c r="J234" s="584"/>
      <c r="M234" s="1858">
        <f>+SYS_4_3_Digitos!A290</f>
        <v>636</v>
      </c>
      <c r="N234" s="1858" t="str">
        <f>+SYS_4_3_Digitos!B290</f>
        <v>DEVOLUCIÓN DE IMPUESTOS</v>
      </c>
      <c r="O234" s="1859">
        <f ca="1">+SYS_4_3_Digitos!I290-SYS_4_3_Digitos!J290</f>
        <v>0</v>
      </c>
    </row>
    <row r="235" spans="2:15" ht="25.5" customHeight="1">
      <c r="B235" s="585"/>
      <c r="C235" s="582"/>
      <c r="D235" s="594" t="str">
        <f t="shared" si="26"/>
        <v/>
      </c>
      <c r="E235" s="583"/>
      <c r="F235" s="572"/>
      <c r="G235" s="583"/>
      <c r="H235" s="594" t="str">
        <f t="shared" si="27"/>
        <v/>
      </c>
      <c r="I235" s="582"/>
      <c r="J235" s="586"/>
      <c r="M235" s="1858">
        <f>+SYS_4_3_Digitos!A291</f>
        <v>638</v>
      </c>
      <c r="N235" s="1858" t="str">
        <f>+SYS_4_3_Digitos!B291</f>
        <v>AJUSTES POSITIVOS EN LA IMPOSICIÓN SOBRE BENEFICIOS</v>
      </c>
      <c r="O235" s="1859">
        <f ca="1">+SYS_4_3_Digitos!I291-SYS_4_3_Digitos!J291</f>
        <v>0</v>
      </c>
    </row>
    <row r="236" spans="2:15" ht="25.5" customHeight="1">
      <c r="B236" s="581"/>
      <c r="C236" s="582"/>
      <c r="D236" s="594" t="str">
        <f t="shared" si="26"/>
        <v/>
      </c>
      <c r="E236" s="583"/>
      <c r="G236" s="583"/>
      <c r="H236" s="594" t="str">
        <f t="shared" si="27"/>
        <v/>
      </c>
      <c r="I236" s="582"/>
      <c r="J236" s="584"/>
      <c r="M236" s="1858">
        <f>+SYS_4_3_Digitos!A294</f>
        <v>640</v>
      </c>
      <c r="N236" s="1858" t="str">
        <f>+SYS_4_3_Digitos!B294</f>
        <v>SUELDOS Y SALARIOS</v>
      </c>
      <c r="O236" s="1859">
        <f ca="1">+SYS_4_3_Digitos!I294-SYS_4_3_Digitos!J294</f>
        <v>3352261.73</v>
      </c>
    </row>
    <row r="237" spans="2:15" ht="25.5" hidden="1" customHeight="1" outlineLevel="1">
      <c r="B237" s="581"/>
      <c r="C237" s="582"/>
      <c r="D237" s="594" t="str">
        <f t="shared" si="26"/>
        <v/>
      </c>
      <c r="E237" s="583"/>
      <c r="G237" s="583"/>
      <c r="H237" s="594" t="str">
        <f t="shared" si="27"/>
        <v/>
      </c>
      <c r="I237" s="582"/>
      <c r="J237" s="584"/>
      <c r="M237" s="1858">
        <f>+SYS_4_3_Digitos!A295</f>
        <v>641</v>
      </c>
      <c r="N237" s="1858" t="str">
        <f>+SYS_4_3_Digitos!B295</f>
        <v>INDEMNIZACIONES</v>
      </c>
      <c r="O237" s="1859">
        <f ca="1">+SYS_4_3_Digitos!I295-SYS_4_3_Digitos!J295</f>
        <v>37352.629999999997</v>
      </c>
    </row>
    <row r="238" spans="2:15" ht="25.5" hidden="1" customHeight="1" outlineLevel="1">
      <c r="B238" s="581"/>
      <c r="C238" s="582"/>
      <c r="D238" s="594" t="str">
        <f t="shared" si="26"/>
        <v/>
      </c>
      <c r="E238" s="583"/>
      <c r="G238" s="583"/>
      <c r="H238" s="594" t="str">
        <f t="shared" si="27"/>
        <v/>
      </c>
      <c r="I238" s="582"/>
      <c r="J238" s="584"/>
      <c r="M238" s="1858">
        <f>+SYS_4_3_Digitos!A296</f>
        <v>642</v>
      </c>
      <c r="N238" s="1858" t="str">
        <f>+SYS_4_3_Digitos!B296</f>
        <v>SEGURIDAD SOCIAL A CARGO DE LA EMPRESA</v>
      </c>
      <c r="O238" s="1859">
        <f ca="1">+SYS_4_3_Digitos!I296-SYS_4_3_Digitos!J296</f>
        <v>622414.17000000004</v>
      </c>
    </row>
    <row r="239" spans="2:15" ht="25.5" hidden="1" customHeight="1" outlineLevel="1">
      <c r="B239" s="581"/>
      <c r="C239" s="582"/>
      <c r="D239" s="594" t="str">
        <f t="shared" si="26"/>
        <v/>
      </c>
      <c r="E239" s="583"/>
      <c r="G239" s="583"/>
      <c r="H239" s="594" t="str">
        <f t="shared" si="27"/>
        <v/>
      </c>
      <c r="I239" s="582"/>
      <c r="J239" s="584"/>
      <c r="M239" s="1858">
        <f>+SYS_4_3_Digitos!A297</f>
        <v>643</v>
      </c>
      <c r="N239" s="1858" t="str">
        <f>+SYS_4_3_Digitos!B297</f>
        <v>RETRIBUCIONES A LP MEDIANTE SIST DE APORTACIÓN DEF</v>
      </c>
      <c r="O239" s="1859">
        <f ca="1">+SYS_4_3_Digitos!I297-SYS_4_3_Digitos!J297</f>
        <v>0</v>
      </c>
    </row>
    <row r="240" spans="2:15" ht="25.5" hidden="1" customHeight="1" outlineLevel="1">
      <c r="B240" s="581"/>
      <c r="C240" s="582"/>
      <c r="D240" s="594" t="str">
        <f t="shared" si="26"/>
        <v/>
      </c>
      <c r="E240" s="583"/>
      <c r="G240" s="583"/>
      <c r="H240" s="594" t="str">
        <f t="shared" si="27"/>
        <v/>
      </c>
      <c r="I240" s="582"/>
      <c r="J240" s="584"/>
      <c r="M240" s="1858">
        <f>+SYS_4_3_Digitos!A298</f>
        <v>644</v>
      </c>
      <c r="N240" s="1858" t="str">
        <f>+SYS_4_3_Digitos!B298</f>
        <v>RETRIBUCIONES A LP MEDIANTE SIST DE PRESTACIÓN DEF</v>
      </c>
      <c r="O240" s="1859">
        <f ca="1">+SYS_4_3_Digitos!I298-SYS_4_3_Digitos!J298</f>
        <v>0</v>
      </c>
    </row>
    <row r="241" spans="1:15" ht="25.5" hidden="1" customHeight="1" outlineLevel="1">
      <c r="B241" s="581"/>
      <c r="C241" s="582"/>
      <c r="D241" s="594" t="str">
        <f t="shared" si="26"/>
        <v/>
      </c>
      <c r="E241" s="583"/>
      <c r="G241" s="583"/>
      <c r="H241" s="594" t="str">
        <f t="shared" si="27"/>
        <v/>
      </c>
      <c r="I241" s="582"/>
      <c r="J241" s="584"/>
      <c r="M241" s="1858">
        <f>+SYS_4_3_Digitos!A299</f>
        <v>645</v>
      </c>
      <c r="N241" s="1858" t="str">
        <f>+SYS_4_3_Digitos!B299</f>
        <v>RETRIBUCIONES AL PERSONAL MEDIANTE INST DE PATRIM</v>
      </c>
      <c r="O241" s="1859">
        <f ca="1">+SYS_4_3_Digitos!I299-SYS_4_3_Digitos!J299</f>
        <v>0</v>
      </c>
    </row>
    <row r="242" spans="1:15" ht="25.5" hidden="1" customHeight="1" outlineLevel="1">
      <c r="B242" s="581"/>
      <c r="C242" s="582"/>
      <c r="D242" s="594" t="str">
        <f t="shared" si="26"/>
        <v/>
      </c>
      <c r="E242" s="583"/>
      <c r="G242" s="583"/>
      <c r="H242" s="594" t="str">
        <f t="shared" si="27"/>
        <v/>
      </c>
      <c r="I242" s="582"/>
      <c r="J242" s="584"/>
      <c r="M242" s="1858">
        <f>+SYS_4_3_Digitos!A300</f>
        <v>649</v>
      </c>
      <c r="N242" s="1858" t="str">
        <f>+SYS_4_3_Digitos!B300</f>
        <v>OTROS GASTOS SOCIALES</v>
      </c>
      <c r="O242" s="1859">
        <f ca="1">+SYS_4_3_Digitos!I300-SYS_4_3_Digitos!J300</f>
        <v>11816.43</v>
      </c>
    </row>
    <row r="243" spans="1:15" ht="25.5" hidden="1" customHeight="1" outlineLevel="1">
      <c r="B243" s="581"/>
      <c r="C243" s="582"/>
      <c r="D243" s="594" t="str">
        <f t="shared" si="26"/>
        <v/>
      </c>
      <c r="E243" s="583"/>
      <c r="G243" s="583"/>
      <c r="H243" s="594" t="str">
        <f t="shared" si="27"/>
        <v/>
      </c>
      <c r="I243" s="582"/>
      <c r="J243" s="584"/>
      <c r="M243" s="1858">
        <f>+SYS_4_3_Digitos!A301</f>
        <v>650</v>
      </c>
      <c r="N243" s="1858" t="str">
        <f>+SYS_4_3_Digitos!B301</f>
        <v>PÉRDIDAS DE CRÉDITOS COMERCIALES INCOBRABLES</v>
      </c>
      <c r="O243" s="1859">
        <f ca="1">+SYS_4_3_Digitos!I301-SYS_4_3_Digitos!J301</f>
        <v>0</v>
      </c>
    </row>
    <row r="244" spans="1:15" ht="25.5" hidden="1" customHeight="1" outlineLevel="1">
      <c r="B244" s="587"/>
      <c r="C244" s="588"/>
      <c r="D244" s="595" t="str">
        <f t="shared" si="26"/>
        <v/>
      </c>
      <c r="E244" s="589"/>
      <c r="G244" s="589"/>
      <c r="H244" s="596" t="str">
        <f t="shared" si="27"/>
        <v/>
      </c>
      <c r="I244" s="588"/>
      <c r="J244" s="590"/>
      <c r="M244" s="1858">
        <f>+SYS_4_3_Digitos!A302</f>
        <v>651</v>
      </c>
      <c r="N244" s="1858" t="str">
        <f>+SYS_4_3_Digitos!B302</f>
        <v>RESULTADOS DE OPERACIONES EN COMÚN</v>
      </c>
      <c r="O244" s="1859">
        <f ca="1">+SYS_4_3_Digitos!I302-SYS_4_3_Digitos!J302</f>
        <v>0</v>
      </c>
    </row>
    <row r="245" spans="1:15" collapsed="1">
      <c r="B245" s="598">
        <f>SUM(B231:B244)</f>
        <v>0</v>
      </c>
      <c r="C245" s="571"/>
      <c r="E245" s="571"/>
      <c r="F245" s="591">
        <f>+B245-J245</f>
        <v>0</v>
      </c>
      <c r="G245" s="575"/>
      <c r="H245" s="575"/>
      <c r="I245" s="571"/>
      <c r="J245" s="598">
        <f>SUM(J231:J244)</f>
        <v>0</v>
      </c>
      <c r="M245" s="1858">
        <f>+SYS_4_3_Digitos!A303</f>
        <v>659</v>
      </c>
      <c r="N245" s="1858" t="str">
        <f>+SYS_4_3_Digitos!B303</f>
        <v>OTRAS PÉRDIDAS EN GESTIÓN CORRIENTE</v>
      </c>
      <c r="O245" s="1859">
        <f ca="1">+SYS_4_3_Digitos!I303-SYS_4_3_Digitos!J303</f>
        <v>0</v>
      </c>
    </row>
    <row r="246" spans="1:15">
      <c r="M246" s="1858">
        <f>+SYS_4_3_Digitos!A304</f>
        <v>660</v>
      </c>
      <c r="N246" s="1858" t="str">
        <f>+SYS_4_3_Digitos!B304</f>
        <v>GASTOS FINANCIEROS POR ACTUALIZACIONES DE PROV.</v>
      </c>
      <c r="O246" s="1859">
        <f ca="1">+SYS_4_3_Digitos!I304-SYS_4_3_Digitos!J304</f>
        <v>0</v>
      </c>
    </row>
    <row r="247" spans="1:15" hidden="1">
      <c r="A247" s="597"/>
      <c r="F247" s="572"/>
      <c r="G247" s="572"/>
      <c r="H247" s="572"/>
      <c r="J247" s="569"/>
      <c r="M247" s="1858">
        <f>+SYS_4_3_Digitos!A305</f>
        <v>661</v>
      </c>
      <c r="N247" s="1858" t="str">
        <f>+SYS_4_3_Digitos!B305</f>
        <v>INTERESES DE OBLIGACIONES Y BONOS</v>
      </c>
      <c r="O247" s="1859">
        <f ca="1">+SYS_4_3_Digitos!I305-SYS_4_3_Digitos!J305</f>
        <v>0</v>
      </c>
    </row>
    <row r="248" spans="1:15" hidden="1">
      <c r="M248" s="1858">
        <f>+SYS_4_3_Digitos!A311</f>
        <v>663</v>
      </c>
      <c r="N248" s="1858" t="str">
        <f>+SYS_4_3_Digitos!B311</f>
        <v>PÉRD. POR VALORACIÓN DE INSTR. FROS POR VALOR RAZON.</v>
      </c>
      <c r="O248" s="1859">
        <f ca="1">+SYS_4_3_Digitos!I311-SYS_4_3_Digitos!J311</f>
        <v>0</v>
      </c>
    </row>
    <row r="249" spans="1:15" hidden="1">
      <c r="M249" s="1858">
        <f>+SYS_4_3_Digitos!A312</f>
        <v>664</v>
      </c>
      <c r="N249" s="1858" t="str">
        <f>+SYS_4_3_Digitos!B312</f>
        <v>DIVIDENDOS DE ACC O PART. CONSID. COMO PASIVOS FROS</v>
      </c>
      <c r="O249" s="1859">
        <f ca="1">+SYS_4_3_Digitos!I312-SYS_4_3_Digitos!J312</f>
        <v>0</v>
      </c>
    </row>
    <row r="250" spans="1:15" hidden="1">
      <c r="M250" s="1858">
        <f>+SYS_4_3_Digitos!A313</f>
        <v>665</v>
      </c>
      <c r="N250" s="1858" t="str">
        <f>+SYS_4_3_Digitos!B313</f>
        <v>INTERESES POR DTO DE EFECTOS Y OP FACTORING</v>
      </c>
      <c r="O250" s="1859">
        <f ca="1">+SYS_4_3_Digitos!I313-SYS_4_3_Digitos!J313</f>
        <v>0</v>
      </c>
    </row>
    <row r="251" spans="1:15" hidden="1">
      <c r="M251" s="1858">
        <f>+SYS_4_3_Digitos!A314</f>
        <v>666</v>
      </c>
      <c r="N251" s="1858" t="str">
        <f>+SYS_4_3_Digitos!B314</f>
        <v>PÉRD. EN PARTICIP. Y VALORES REPRESENTATIVOS DEUDA</v>
      </c>
      <c r="O251" s="1859">
        <f ca="1">+SYS_4_3_Digitos!I314-SYS_4_3_Digitos!J314</f>
        <v>0</v>
      </c>
    </row>
    <row r="252" spans="1:15" hidden="1">
      <c r="M252" s="1858">
        <f>+SYS_4_3_Digitos!A315</f>
        <v>667</v>
      </c>
      <c r="N252" s="1858" t="str">
        <f>+SYS_4_3_Digitos!B315</f>
        <v>PÉRDIDAS DE CRÉDITOS NO COMERCIALES</v>
      </c>
      <c r="O252" s="1859">
        <f ca="1">+SYS_4_3_Digitos!I315-SYS_4_3_Digitos!J315</f>
        <v>0</v>
      </c>
    </row>
    <row r="253" spans="1:15" hidden="1">
      <c r="M253" s="1858">
        <f>+SYS_4_3_Digitos!A316</f>
        <v>668</v>
      </c>
      <c r="N253" s="1858" t="str">
        <f>+SYS_4_3_Digitos!B316</f>
        <v>DIFERENCIAS NEGATIVAS DE CAMBIO</v>
      </c>
      <c r="O253" s="1859">
        <f ca="1">+SYS_4_3_Digitos!I316-SYS_4_3_Digitos!J316</f>
        <v>163783.06</v>
      </c>
    </row>
    <row r="254" spans="1:15" hidden="1">
      <c r="M254" s="1858">
        <f>+SYS_4_3_Digitos!A317</f>
        <v>669</v>
      </c>
      <c r="N254" s="1858" t="str">
        <f>+SYS_4_3_Digitos!B317</f>
        <v>OTROS GASTOS FINANCIEROS</v>
      </c>
      <c r="O254" s="1859">
        <f ca="1">+SYS_4_3_Digitos!I317-SYS_4_3_Digitos!J317</f>
        <v>138283.04</v>
      </c>
    </row>
    <row r="255" spans="1:15" hidden="1">
      <c r="M255" s="1858">
        <f>+SYS_4_3_Digitos!A318</f>
        <v>670</v>
      </c>
      <c r="N255" s="1858" t="str">
        <f>+SYS_4_3_Digitos!B318</f>
        <v>PÉRDIDAS PROCEDENTES DEL INMOV. INTANGIBLE</v>
      </c>
      <c r="O255" s="1859">
        <f ca="1">+SYS_4_3_Digitos!I318-SYS_4_3_Digitos!J318</f>
        <v>0</v>
      </c>
    </row>
    <row r="256" spans="1:15" hidden="1">
      <c r="M256" s="1858">
        <f>+SYS_4_3_Digitos!A319</f>
        <v>671</v>
      </c>
      <c r="N256" s="1858" t="str">
        <f>+SYS_4_3_Digitos!B319</f>
        <v>PÉRDIDAS PROCEDENTES DEL INMOV. MATERIAL</v>
      </c>
      <c r="O256" s="1859">
        <f ca="1">+SYS_4_3_Digitos!I319-SYS_4_3_Digitos!J319</f>
        <v>0</v>
      </c>
    </row>
    <row r="257" spans="13:15" hidden="1">
      <c r="M257" s="1858">
        <f>+SYS_4_3_Digitos!A320</f>
        <v>672</v>
      </c>
      <c r="N257" s="1858" t="str">
        <f>+SYS_4_3_Digitos!B320</f>
        <v>PÉRD. PROCEDENTES DE LAS INVERSIONES INMOBILIARIAS</v>
      </c>
      <c r="O257" s="1859">
        <f ca="1">+SYS_4_3_Digitos!I320-SYS_4_3_Digitos!J320</f>
        <v>0</v>
      </c>
    </row>
    <row r="258" spans="13:15" hidden="1">
      <c r="M258" s="1858">
        <f>+SYS_4_3_Digitos!A321</f>
        <v>673</v>
      </c>
      <c r="N258" s="1858" t="str">
        <f>+SYS_4_3_Digitos!B321</f>
        <v>PÉRD. PROCEDENTES DE PARTICIP A LP EN PARTES VINC</v>
      </c>
      <c r="O258" s="1859">
        <f ca="1">+SYS_4_3_Digitos!I321-SYS_4_3_Digitos!J321</f>
        <v>0</v>
      </c>
    </row>
    <row r="259" spans="13:15" hidden="1">
      <c r="M259" s="1858">
        <f>+SYS_4_3_Digitos!A322</f>
        <v>675</v>
      </c>
      <c r="N259" s="1858" t="str">
        <f>+SYS_4_3_Digitos!B322</f>
        <v>PÉRDIDAS POR OP CON OBLIGACIONES PROPIAS</v>
      </c>
      <c r="O259" s="1859">
        <f ca="1">+SYS_4_3_Digitos!I322-SYS_4_3_Digitos!J322</f>
        <v>0</v>
      </c>
    </row>
    <row r="260" spans="13:15" hidden="1">
      <c r="M260" s="1858">
        <f>+SYS_4_3_Digitos!A323</f>
        <v>678</v>
      </c>
      <c r="N260" s="1858" t="str">
        <f>+SYS_4_3_Digitos!B323</f>
        <v>GASTOS EXCEPCIONALES</v>
      </c>
      <c r="O260" s="1859">
        <f ca="1">+SYS_4_3_Digitos!I323-SYS_4_3_Digitos!J323</f>
        <v>3.17</v>
      </c>
    </row>
    <row r="261" spans="13:15" hidden="1">
      <c r="M261" s="1858">
        <f>+SYS_4_3_Digitos!A324</f>
        <v>680</v>
      </c>
      <c r="N261" s="1858" t="str">
        <f>+SYS_4_3_Digitos!B324</f>
        <v>AMORTIZ. DEL INMOVILIZADO INTANGIBLE</v>
      </c>
      <c r="O261" s="1859">
        <f ca="1">+SYS_4_3_Digitos!I324-SYS_4_3_Digitos!J324</f>
        <v>24706.46</v>
      </c>
    </row>
    <row r="262" spans="13:15" hidden="1">
      <c r="M262" s="1858">
        <f>+SYS_4_3_Digitos!A325</f>
        <v>681</v>
      </c>
      <c r="N262" s="1858" t="str">
        <f>+SYS_4_3_Digitos!B325</f>
        <v>AMORTIZ. DEL INMOVILIZADO MATERIAL</v>
      </c>
      <c r="O262" s="1859">
        <f ca="1">+SYS_4_3_Digitos!I325-SYS_4_3_Digitos!J325</f>
        <v>527719.55000000005</v>
      </c>
    </row>
    <row r="263" spans="13:15" hidden="1">
      <c r="M263" s="1858">
        <f>+SYS_4_3_Digitos!A326</f>
        <v>682</v>
      </c>
      <c r="N263" s="1858" t="str">
        <f>+SYS_4_3_Digitos!B326</f>
        <v>AMORTIZ. DE LAS INVERSIONES INMOBILIARIAS</v>
      </c>
      <c r="O263" s="1859">
        <f ca="1">+SYS_4_3_Digitos!I326-SYS_4_3_Digitos!J326</f>
        <v>358611.1</v>
      </c>
    </row>
    <row r="264" spans="13:15" hidden="1">
      <c r="M264" s="1858">
        <f>+SYS_4_3_Digitos!A327</f>
        <v>690</v>
      </c>
      <c r="N264" s="1858" t="str">
        <f>+SYS_4_3_Digitos!B327</f>
        <v>PÉRDIDAS POR DETERIORO DEL INMOVILIZADO INTANGIBLE</v>
      </c>
      <c r="O264" s="1859">
        <f ca="1">+SYS_4_3_Digitos!I327-SYS_4_3_Digitos!J327</f>
        <v>0</v>
      </c>
    </row>
    <row r="265" spans="13:15" hidden="1">
      <c r="M265" s="1858">
        <f>+SYS_4_3_Digitos!A328</f>
        <v>691</v>
      </c>
      <c r="N265" s="1858" t="str">
        <f>+SYS_4_3_Digitos!B328</f>
        <v>PÉRDIDAS POR DETERIORO DEL INMOVILIZADO MATERIAL</v>
      </c>
      <c r="O265" s="1859">
        <f ca="1">+SYS_4_3_Digitos!I328-SYS_4_3_Digitos!J328</f>
        <v>0</v>
      </c>
    </row>
    <row r="266" spans="13:15" hidden="1">
      <c r="M266" s="1858">
        <f>+SYS_4_3_Digitos!A329</f>
        <v>692</v>
      </c>
      <c r="N266" s="1858" t="str">
        <f>+SYS_4_3_Digitos!B329</f>
        <v>PÉRDIDAS POR DETERIORO DE LAS INVERSIONES INMOB.</v>
      </c>
      <c r="O266" s="1859">
        <f ca="1">+SYS_4_3_Digitos!I329-SYS_4_3_Digitos!J329</f>
        <v>0</v>
      </c>
    </row>
    <row r="267" spans="13:15" hidden="1">
      <c r="M267" s="1858">
        <f>+SYS_4_3_Digitos!A330</f>
        <v>693</v>
      </c>
      <c r="N267" s="1858" t="str">
        <f>+SYS_4_3_Digitos!B330</f>
        <v>PÉRDIDAS POR DETERIORO DE LAS EXISTENCIAS</v>
      </c>
      <c r="O267" s="1859">
        <f ca="1">+SYS_4_3_Digitos!I330-SYS_4_3_Digitos!J330</f>
        <v>0</v>
      </c>
    </row>
    <row r="268" spans="13:15" hidden="1">
      <c r="M268" s="1858">
        <f>+SYS_4_3_Digitos!A331</f>
        <v>694</v>
      </c>
      <c r="N268" s="1858" t="str">
        <f>+SYS_4_3_Digitos!B331</f>
        <v>PÉRDIDAS POR DETERIORO DE CRÉDITOS POR OP COMERC.</v>
      </c>
      <c r="O268" s="1859">
        <f ca="1">+SYS_4_3_Digitos!I331-SYS_4_3_Digitos!J331</f>
        <v>110160</v>
      </c>
    </row>
    <row r="269" spans="13:15" hidden="1">
      <c r="M269" s="1858">
        <f>+SYS_4_3_Digitos!A332</f>
        <v>695</v>
      </c>
      <c r="N269" s="1858" t="str">
        <f>+SYS_4_3_Digitos!B332</f>
        <v>DOTACIÓN A LA PROVISIÓN POR OP COMERCIALES</v>
      </c>
      <c r="O269" s="1859">
        <f ca="1">+SYS_4_3_Digitos!I332-SYS_4_3_Digitos!J332</f>
        <v>0</v>
      </c>
    </row>
    <row r="270" spans="13:15" hidden="1">
      <c r="M270" s="1858">
        <f>+SYS_4_3_Digitos!A341</f>
        <v>698</v>
      </c>
      <c r="N270" s="1858" t="str">
        <f>+SYS_4_3_Digitos!B341</f>
        <v>PÉRD. POR DET. DE PART. Y VALORES REP. DE DEUDA CP</v>
      </c>
      <c r="O270" s="1859">
        <f ca="1">+SYS_4_3_Digitos!I341-SYS_4_3_Digitos!J341</f>
        <v>0</v>
      </c>
    </row>
    <row r="271" spans="13:15" hidden="1">
      <c r="M271" s="1858">
        <f>+SYS_4_3_Digitos!A342</f>
        <v>699</v>
      </c>
      <c r="N271" s="1858" t="str">
        <f>+SYS_4_3_Digitos!B342</f>
        <v>PÉRD. POR DET. DE CRÉDITOS A CP</v>
      </c>
      <c r="O271" s="1859">
        <f ca="1">+SYS_4_3_Digitos!I342-SYS_4_3_Digitos!J342</f>
        <v>0</v>
      </c>
    </row>
    <row r="272" spans="13:15" hidden="1">
      <c r="M272" s="1858">
        <f>+SYS_4_3_Digitos!A343</f>
        <v>700</v>
      </c>
      <c r="N272" s="1858" t="str">
        <f>+SYS_4_3_Digitos!B343</f>
        <v>VTAS DE MERCADERÍAS</v>
      </c>
      <c r="O272" s="1859">
        <f ca="1">+SYS_4_3_Digitos!I343-SYS_4_3_Digitos!J343</f>
        <v>-23781582.580000002</v>
      </c>
    </row>
    <row r="273" spans="13:15" hidden="1">
      <c r="M273" s="1858">
        <f>+SYS_4_3_Digitos!A344</f>
        <v>701</v>
      </c>
      <c r="N273" s="1858" t="str">
        <f>+SYS_4_3_Digitos!B344</f>
        <v>VTAS DE PRODUCTOS TERMINADOS</v>
      </c>
      <c r="O273" s="1859">
        <f ca="1">+SYS_4_3_Digitos!I344-SYS_4_3_Digitos!J344</f>
        <v>-48356916.410000004</v>
      </c>
    </row>
    <row r="274" spans="13:15" hidden="1">
      <c r="M274" s="1858">
        <f>+SYS_4_3_Digitos!A345</f>
        <v>702</v>
      </c>
      <c r="N274" s="1858" t="str">
        <f>+SYS_4_3_Digitos!B345</f>
        <v>VTAS DE PRODUCTOS SEMITERMINADOS</v>
      </c>
      <c r="O274" s="1859">
        <f ca="1">+SYS_4_3_Digitos!I345-SYS_4_3_Digitos!J345</f>
        <v>0</v>
      </c>
    </row>
    <row r="275" spans="13:15" hidden="1">
      <c r="M275" s="1858">
        <f>+SYS_4_3_Digitos!A346</f>
        <v>703</v>
      </c>
      <c r="N275" s="1858" t="str">
        <f>+SYS_4_3_Digitos!B346</f>
        <v>VTAS DE SUBPRODUCTOS Y RESIDUOS</v>
      </c>
      <c r="O275" s="1859">
        <f ca="1">+SYS_4_3_Digitos!I346-SYS_4_3_Digitos!J346</f>
        <v>0</v>
      </c>
    </row>
    <row r="276" spans="13:15" hidden="1">
      <c r="M276" s="1858">
        <f>+SYS_4_3_Digitos!A347</f>
        <v>704</v>
      </c>
      <c r="N276" s="1858" t="str">
        <f>+SYS_4_3_Digitos!B347</f>
        <v>VTAS DE ENVASES Y EMBALAJES</v>
      </c>
      <c r="O276" s="1859">
        <f ca="1">+SYS_4_3_Digitos!I347-SYS_4_3_Digitos!J347</f>
        <v>0</v>
      </c>
    </row>
    <row r="277" spans="13:15" hidden="1">
      <c r="M277" s="1858">
        <f>+SYS_4_3_Digitos!A348</f>
        <v>705</v>
      </c>
      <c r="N277" s="1858" t="str">
        <f>+SYS_4_3_Digitos!B348</f>
        <v>PRESTACIONES DE SERVICIOS</v>
      </c>
      <c r="O277" s="1859">
        <f ca="1">+SYS_4_3_Digitos!I348-SYS_4_3_Digitos!J348</f>
        <v>-1677197.1400000001</v>
      </c>
    </row>
    <row r="278" spans="13:15" hidden="1">
      <c r="M278" s="1858">
        <f>+SYS_4_3_Digitos!A349</f>
        <v>706</v>
      </c>
      <c r="N278" s="1858" t="str">
        <f>+SYS_4_3_Digitos!B349</f>
        <v>DTOS SOBRE VTAS POR PRONTO PAGO</v>
      </c>
      <c r="O278" s="1859">
        <f ca="1">+SYS_4_3_Digitos!I349-SYS_4_3_Digitos!J349</f>
        <v>3003.21</v>
      </c>
    </row>
    <row r="279" spans="13:15" hidden="1">
      <c r="M279" s="1858">
        <f>+SYS_4_3_Digitos!A350</f>
        <v>708</v>
      </c>
      <c r="N279" s="1858" t="str">
        <f>+SYS_4_3_Digitos!B350</f>
        <v>DEVOLUCIONES DE VENTAS Y OP SIMILARES</v>
      </c>
      <c r="O279" s="1859">
        <f ca="1">+SYS_4_3_Digitos!I350-SYS_4_3_Digitos!J350</f>
        <v>0</v>
      </c>
    </row>
    <row r="280" spans="13:15" hidden="1">
      <c r="M280" s="1858">
        <f>+SYS_4_3_Digitos!A351</f>
        <v>709</v>
      </c>
      <c r="N280" s="1858" t="str">
        <f>+SYS_4_3_Digitos!B351</f>
        <v>RAPPELS SOBRE VENTAS</v>
      </c>
      <c r="O280" s="1859">
        <f ca="1">+SYS_4_3_Digitos!I351-SYS_4_3_Digitos!J351</f>
        <v>29652.65</v>
      </c>
    </row>
    <row r="281" spans="13:15" hidden="1">
      <c r="M281" s="1858">
        <f>+SYS_4_3_Digitos!A352</f>
        <v>710</v>
      </c>
      <c r="N281" s="1858" t="str">
        <f>+SYS_4_3_Digitos!B352</f>
        <v>VARIACION DE EXISTENCIAS DE PRODUCTOS EN CURSO</v>
      </c>
      <c r="O281" s="1859">
        <f ca="1">+SYS_4_3_Digitos!I352-SYS_4_3_Digitos!J352</f>
        <v>0</v>
      </c>
    </row>
    <row r="282" spans="13:15" hidden="1">
      <c r="M282" s="1858">
        <f>+SYS_4_3_Digitos!A353</f>
        <v>711</v>
      </c>
      <c r="N282" s="1858" t="str">
        <f>+SYS_4_3_Digitos!B353</f>
        <v>VARIACIÓN DE EXISTENCIAS DE PROD. SEMITERMINADOS</v>
      </c>
      <c r="O282" s="1859">
        <f ca="1">+SYS_4_3_Digitos!I353-SYS_4_3_Digitos!J353</f>
        <v>0</v>
      </c>
    </row>
    <row r="283" spans="13:15" hidden="1">
      <c r="M283" s="1858">
        <f>+SYS_4_3_Digitos!A354</f>
        <v>712</v>
      </c>
      <c r="N283" s="1858" t="str">
        <f>+SYS_4_3_Digitos!B354</f>
        <v>VARIACIÓN DE EXISTENCIAS DE PROD. TERMINADOS</v>
      </c>
      <c r="O283" s="1859">
        <f ca="1">+SYS_4_3_Digitos!I354-SYS_4_3_Digitos!J354</f>
        <v>2581878.4300000002</v>
      </c>
    </row>
    <row r="284" spans="13:15" hidden="1">
      <c r="M284" s="1858">
        <f>+SYS_4_3_Digitos!A355</f>
        <v>713</v>
      </c>
      <c r="N284" s="1858" t="str">
        <f>+SYS_4_3_Digitos!B355</f>
        <v>VAR DE EXIST DE SUBPROD, RESIDUOS Y MAT RECUP</v>
      </c>
      <c r="O284" s="1859">
        <f ca="1">+SYS_4_3_Digitos!I355-SYS_4_3_Digitos!J355</f>
        <v>0</v>
      </c>
    </row>
    <row r="285" spans="13:15" hidden="1">
      <c r="M285" s="1858">
        <f>+SYS_4_3_Digitos!A357</f>
        <v>740</v>
      </c>
      <c r="N285" s="1858" t="str">
        <f>+SYS_4_3_Digitos!B357</f>
        <v>SUBVENCIONES , DONACIONES Y LEGADOS DE EXPLOTACIÓN</v>
      </c>
      <c r="O285" s="1859">
        <f ca="1">+SYS_4_3_Digitos!I357-SYS_4_3_Digitos!J357</f>
        <v>-6654.87</v>
      </c>
    </row>
    <row r="286" spans="13:15" hidden="1">
      <c r="M286" s="1858">
        <f>+SYS_4_3_Digitos!A358</f>
        <v>746</v>
      </c>
      <c r="N286" s="1858" t="str">
        <f>+SYS_4_3_Digitos!B358</f>
        <v>SUBV. DONAC. Y LEGADOS DE CAPITAL TRANSF AL RDO EJER</v>
      </c>
      <c r="O286" s="1859">
        <f ca="1">+SYS_4_3_Digitos!I358-SYS_4_3_Digitos!J358</f>
        <v>0</v>
      </c>
    </row>
    <row r="287" spans="13:15" hidden="1">
      <c r="M287" s="1858">
        <f>+SYS_4_3_Digitos!A359</f>
        <v>747</v>
      </c>
      <c r="N287" s="1858" t="str">
        <f>+SYS_4_3_Digitos!B359</f>
        <v>OTRAS SUBV. DONAC Y LEGADOS TRANSF A RDO EJER</v>
      </c>
      <c r="O287" s="1859">
        <f ca="1">+SYS_4_3_Digitos!I359-SYS_4_3_Digitos!J359</f>
        <v>-8449.84</v>
      </c>
    </row>
    <row r="288" spans="13:15" hidden="1">
      <c r="M288" s="1858">
        <f>+SYS_4_3_Digitos!A360</f>
        <v>751</v>
      </c>
      <c r="N288" s="1858" t="str">
        <f>+SYS_4_3_Digitos!B360</f>
        <v>RESULTADOS DE OPERACIONES EN COMÚN</v>
      </c>
      <c r="O288" s="1859">
        <f ca="1">+SYS_4_3_Digitos!I360-SYS_4_3_Digitos!J360</f>
        <v>0</v>
      </c>
    </row>
    <row r="289" spans="13:15" hidden="1">
      <c r="M289" s="1858">
        <f>+SYS_4_3_Digitos!A361</f>
        <v>752</v>
      </c>
      <c r="N289" s="1858" t="str">
        <f>+SYS_4_3_Digitos!B361</f>
        <v>INGRESOS POR ARRENDAMIENTOS</v>
      </c>
      <c r="O289" s="1859">
        <f ca="1">+SYS_4_3_Digitos!I361-SYS_4_3_Digitos!J361</f>
        <v>0</v>
      </c>
    </row>
    <row r="290" spans="13:15" hidden="1">
      <c r="M290" s="1858">
        <f>+SYS_4_3_Digitos!A362</f>
        <v>753</v>
      </c>
      <c r="N290" s="1858" t="str">
        <f>+SYS_4_3_Digitos!B362</f>
        <v>INGRESOS DE PROP INDUSTRIAL CEDIDA EN EXPLOTACIÓN</v>
      </c>
      <c r="O290" s="1859">
        <f ca="1">+SYS_4_3_Digitos!I362-SYS_4_3_Digitos!J362</f>
        <v>0</v>
      </c>
    </row>
    <row r="291" spans="13:15" hidden="1">
      <c r="M291" s="1858">
        <f>+SYS_4_3_Digitos!A363</f>
        <v>754</v>
      </c>
      <c r="N291" s="1858" t="str">
        <f>+SYS_4_3_Digitos!B363</f>
        <v>INGRESOS  POR COMISIONES</v>
      </c>
      <c r="O291" s="1859">
        <f ca="1">+SYS_4_3_Digitos!I363-SYS_4_3_Digitos!J363</f>
        <v>0</v>
      </c>
    </row>
    <row r="292" spans="13:15" hidden="1">
      <c r="M292" s="1858">
        <f>+SYS_4_3_Digitos!A364</f>
        <v>755</v>
      </c>
      <c r="N292" s="1858" t="str">
        <f>+SYS_4_3_Digitos!B364</f>
        <v>INGRESOS POR SERVICIOS AL PERSONAL</v>
      </c>
      <c r="O292" s="1859">
        <f ca="1">+SYS_4_3_Digitos!I364-SYS_4_3_Digitos!J364</f>
        <v>0</v>
      </c>
    </row>
    <row r="293" spans="13:15" hidden="1">
      <c r="M293" s="1858">
        <f>+SYS_4_3_Digitos!A365</f>
        <v>759</v>
      </c>
      <c r="N293" s="1858" t="str">
        <f>+SYS_4_3_Digitos!B365</f>
        <v>INGRESOS POR SERVICIOS DIVERSOS</v>
      </c>
      <c r="O293" s="1859">
        <f ca="1">+SYS_4_3_Digitos!I365-SYS_4_3_Digitos!J365</f>
        <v>-5048.42</v>
      </c>
    </row>
    <row r="294" spans="13:15" hidden="1">
      <c r="M294" s="1858">
        <f>+SYS_4_3_Digitos!A366</f>
        <v>760</v>
      </c>
      <c r="N294" s="1858" t="str">
        <f>+SYS_4_3_Digitos!B366</f>
        <v>INGRESOS DE PART. EN INSTRUMENTOS DE PATRIMONIO</v>
      </c>
      <c r="O294" s="1859">
        <f ca="1">+SYS_4_3_Digitos!I366-SYS_4_3_Digitos!J366</f>
        <v>-6524020.6900000004</v>
      </c>
    </row>
    <row r="295" spans="13:15" hidden="1">
      <c r="M295" s="1858">
        <f>+SYS_4_3_Digitos!A367</f>
        <v>761</v>
      </c>
      <c r="N295" s="1858" t="str">
        <f>+SYS_4_3_Digitos!B367</f>
        <v>INGRESOS DE VALORES REPRESENT. DE DEUDA</v>
      </c>
      <c r="O295" s="1859">
        <f ca="1">+SYS_4_3_Digitos!I367-SYS_4_3_Digitos!J367</f>
        <v>0</v>
      </c>
    </row>
    <row r="296" spans="13:15" hidden="1">
      <c r="M296" s="1858">
        <f>+SYS_4_3_Digitos!A368</f>
        <v>762</v>
      </c>
      <c r="N296" s="1858" t="str">
        <f>+SYS_4_3_Digitos!B368</f>
        <v>INGRESOS DE CRÉDITOS</v>
      </c>
      <c r="O296" s="1859">
        <f ca="1">+SYS_4_3_Digitos!I368-SYS_4_3_Digitos!J368</f>
        <v>0</v>
      </c>
    </row>
    <row r="297" spans="13:15" hidden="1">
      <c r="M297" s="1858">
        <f>+SYS_4_3_Digitos!A369</f>
        <v>763</v>
      </c>
      <c r="N297" s="1858" t="str">
        <f>+SYS_4_3_Digitos!B369</f>
        <v>BENEF POR VALORACIÓN DE INSTR FROS POR VALOR RAZON</v>
      </c>
      <c r="O297" s="1859">
        <f ca="1">+SYS_4_3_Digitos!I369-SYS_4_3_Digitos!J369</f>
        <v>-3504561.87</v>
      </c>
    </row>
    <row r="298" spans="13:15" hidden="1">
      <c r="M298" s="1858">
        <f>+SYS_4_3_Digitos!A370</f>
        <v>766</v>
      </c>
      <c r="N298" s="1858" t="str">
        <f>+SYS_4_3_Digitos!B370</f>
        <v>BENEF EN PARTICIP. Y VALORES REPRESENT. DE DEUDA</v>
      </c>
      <c r="O298" s="1859">
        <f ca="1">+SYS_4_3_Digitos!I370-SYS_4_3_Digitos!J370</f>
        <v>-639120.5</v>
      </c>
    </row>
    <row r="299" spans="13:15" hidden="1">
      <c r="M299" s="1858">
        <f>+SYS_4_3_Digitos!A371</f>
        <v>767</v>
      </c>
      <c r="N299" s="1858" t="str">
        <f>+SYS_4_3_Digitos!B371</f>
        <v>INGRES. DE ACTIV AFECTOS Y DE DCHOS REEMB. RETRIB LP</v>
      </c>
      <c r="O299" s="1859">
        <f ca="1">+SYS_4_3_Digitos!I371-SYS_4_3_Digitos!J371</f>
        <v>0</v>
      </c>
    </row>
    <row r="300" spans="13:15" hidden="1">
      <c r="M300" s="1858">
        <f>+SYS_4_3_Digitos!A372</f>
        <v>768</v>
      </c>
      <c r="N300" s="1858" t="str">
        <f>+SYS_4_3_Digitos!B372</f>
        <v>DIFERENCIAS POSITIVAS DE CAMBIO</v>
      </c>
      <c r="O300" s="1859">
        <f ca="1">+SYS_4_3_Digitos!I372-SYS_4_3_Digitos!J372</f>
        <v>-160702.71000000002</v>
      </c>
    </row>
    <row r="301" spans="13:15" hidden="1">
      <c r="M301" s="1858">
        <f>+SYS_4_3_Digitos!A373</f>
        <v>769</v>
      </c>
      <c r="N301" s="1858" t="str">
        <f>+SYS_4_3_Digitos!B373</f>
        <v>OTROS INGRESOS FINANCIEROS</v>
      </c>
      <c r="O301" s="1859">
        <f ca="1">+SYS_4_3_Digitos!I373-SYS_4_3_Digitos!J373</f>
        <v>-2309646.29</v>
      </c>
    </row>
    <row r="302" spans="13:15" hidden="1">
      <c r="M302" s="1858">
        <f>+SYS_4_3_Digitos!A374</f>
        <v>770</v>
      </c>
      <c r="N302" s="1858" t="str">
        <f>+SYS_4_3_Digitos!B374</f>
        <v>BENEFICIOS PROCEDENTES DEL INMOV. INTANGIBLE</v>
      </c>
      <c r="O302" s="1859">
        <f ca="1">+SYS_4_3_Digitos!I374-SYS_4_3_Digitos!J374</f>
        <v>0</v>
      </c>
    </row>
    <row r="303" spans="13:15" hidden="1">
      <c r="M303" s="1858">
        <f>+SYS_4_3_Digitos!A375</f>
        <v>771</v>
      </c>
      <c r="N303" s="1858" t="str">
        <f>+SYS_4_3_Digitos!B375</f>
        <v>BENEFICIOS PROCEDENTES DEL INMOV. MATERIAL</v>
      </c>
      <c r="O303" s="1859">
        <f ca="1">+SYS_4_3_Digitos!I375-SYS_4_3_Digitos!J375</f>
        <v>-4500</v>
      </c>
    </row>
    <row r="304" spans="13:15" hidden="1">
      <c r="M304" s="1858">
        <f>+SYS_4_3_Digitos!A376</f>
        <v>772</v>
      </c>
      <c r="N304" s="1858" t="str">
        <f>+SYS_4_3_Digitos!B376</f>
        <v>BENEFICIOS PROCEDENTES DE LAS INVER. INMOBILIARIAS</v>
      </c>
      <c r="O304" s="1859">
        <f ca="1">+SYS_4_3_Digitos!I376-SYS_4_3_Digitos!J376</f>
        <v>0</v>
      </c>
    </row>
    <row r="305" spans="13:15" hidden="1">
      <c r="M305" s="1858">
        <f>+SYS_4_3_Digitos!A377</f>
        <v>773</v>
      </c>
      <c r="N305" s="1858" t="str">
        <f>+SYS_4_3_Digitos!B377</f>
        <v>BENEFICIOS PROC. DEPARTIC. A LP EN PARTES VINC</v>
      </c>
      <c r="O305" s="1859">
        <f ca="1">+SYS_4_3_Digitos!I377-SYS_4_3_Digitos!J377</f>
        <v>0</v>
      </c>
    </row>
    <row r="306" spans="13:15" hidden="1">
      <c r="M306" s="1858">
        <f>+SYS_4_3_Digitos!A378</f>
        <v>774</v>
      </c>
      <c r="N306" s="1858" t="str">
        <f>+SYS_4_3_Digitos!B378</f>
        <v>DIFERENCIA NEGATIVA EN COMBINACIONES DE NEGOCIOS</v>
      </c>
      <c r="O306" s="1859">
        <f ca="1">+SYS_4_3_Digitos!I378-SYS_4_3_Digitos!J378</f>
        <v>0</v>
      </c>
    </row>
    <row r="307" spans="13:15" hidden="1">
      <c r="M307" s="1858">
        <f>+SYS_4_3_Digitos!A379</f>
        <v>775</v>
      </c>
      <c r="N307" s="1858" t="str">
        <f>+SYS_4_3_Digitos!B379</f>
        <v>BENEFICIOS POR OP CON OBLIGACIONES PROPIAS</v>
      </c>
      <c r="O307" s="1859">
        <f ca="1">+SYS_4_3_Digitos!I379-SYS_4_3_Digitos!J379</f>
        <v>0</v>
      </c>
    </row>
    <row r="308" spans="13:15" hidden="1">
      <c r="M308" s="1858">
        <f>+SYS_4_3_Digitos!A380</f>
        <v>778</v>
      </c>
      <c r="N308" s="1858" t="str">
        <f>+SYS_4_3_Digitos!B380</f>
        <v>INGRESOS EXCEPCIONALES</v>
      </c>
      <c r="O308" s="1859">
        <f ca="1">+SYS_4_3_Digitos!I380-SYS_4_3_Digitos!J380</f>
        <v>-268.60000000000002</v>
      </c>
    </row>
    <row r="309" spans="13:15" hidden="1">
      <c r="M309" s="1858">
        <f>+SYS_4_3_Digitos!A381</f>
        <v>790</v>
      </c>
      <c r="N309" s="1858" t="str">
        <f>+SYS_4_3_Digitos!B381</f>
        <v>REVERSIÓN DEL DETERIORO DEL INMOVILIZADO INTANGIBLE</v>
      </c>
      <c r="O309" s="1859">
        <f ca="1">+SYS_4_3_Digitos!I381-SYS_4_3_Digitos!J381</f>
        <v>0</v>
      </c>
    </row>
    <row r="310" spans="13:15" hidden="1">
      <c r="M310" s="1858">
        <f>+SYS_4_3_Digitos!A382</f>
        <v>791</v>
      </c>
      <c r="N310" s="1858" t="str">
        <f>+SYS_4_3_Digitos!B382</f>
        <v>REVERSIÓN DEL DETERIORO DEL INMOVILIZADO MATERIAL</v>
      </c>
      <c r="O310" s="1859">
        <f ca="1">+SYS_4_3_Digitos!I382-SYS_4_3_Digitos!J382</f>
        <v>0</v>
      </c>
    </row>
    <row r="311" spans="13:15" hidden="1">
      <c r="M311" s="1858">
        <f>+SYS_4_3_Digitos!A383</f>
        <v>792</v>
      </c>
      <c r="N311" s="1858" t="str">
        <f>+SYS_4_3_Digitos!B383</f>
        <v>REVERSIÓN DEL DETERIORO DE LAS INV, INMOBILIARIAS</v>
      </c>
      <c r="O311" s="1859">
        <f ca="1">+SYS_4_3_Digitos!I383-SYS_4_3_Digitos!J383</f>
        <v>0</v>
      </c>
    </row>
    <row r="312" spans="13:15" hidden="1">
      <c r="M312" s="1858">
        <f>+SYS_4_3_Digitos!A384</f>
        <v>793</v>
      </c>
      <c r="N312" s="1858" t="str">
        <f>+SYS_4_3_Digitos!B384</f>
        <v>REVERSIÓN DEL DETERIORO DE EXISTENCIAS</v>
      </c>
      <c r="O312" s="1859">
        <f ca="1">+SYS_4_3_Digitos!I384-SYS_4_3_Digitos!J384</f>
        <v>0</v>
      </c>
    </row>
    <row r="313" spans="13:15" hidden="1">
      <c r="M313" s="1858">
        <f>+SYS_4_3_Digitos!A385</f>
        <v>794</v>
      </c>
      <c r="N313" s="1858" t="str">
        <f>+SYS_4_3_Digitos!B385</f>
        <v>REVERSIÓN DEL DETERIORO DE CRÉDITOS POR OP COMER</v>
      </c>
      <c r="O313" s="1859">
        <f ca="1">+SYS_4_3_Digitos!I385-SYS_4_3_Digitos!J385</f>
        <v>0</v>
      </c>
    </row>
    <row r="314" spans="13:15" hidden="1">
      <c r="M314" s="1858">
        <f>+SYS_4_3_Digitos!A386</f>
        <v>795</v>
      </c>
      <c r="N314" s="1858" t="str">
        <f>+SYS_4_3_Digitos!B386</f>
        <v>EXCESO DE PROVISIONES</v>
      </c>
      <c r="O314" s="1859">
        <f ca="1">+SYS_4_3_Digitos!I386-SYS_4_3_Digitos!J386</f>
        <v>0</v>
      </c>
    </row>
    <row r="315" spans="13:15" hidden="1">
      <c r="M315" s="1858">
        <f>+SYS_4_3_Digitos!A387</f>
        <v>796</v>
      </c>
      <c r="N315" s="1858" t="str">
        <f>+SYS_4_3_Digitos!B387</f>
        <v>REVER. DEL DET. DE PART. Y VALORES REPR. DE  DEUDA LP</v>
      </c>
      <c r="O315" s="1859">
        <f ca="1">+SYS_4_3_Digitos!I387-SYS_4_3_Digitos!J387</f>
        <v>0</v>
      </c>
    </row>
    <row r="316" spans="13:15" hidden="1">
      <c r="M316" s="1858">
        <f>+SYS_4_3_Digitos!A388</f>
        <v>797</v>
      </c>
      <c r="N316" s="1858" t="str">
        <f>+SYS_4_3_Digitos!B388</f>
        <v>REVERSIÓN DEL DETERIORO DE CRÉDITOS A LP</v>
      </c>
      <c r="O316" s="1859">
        <f ca="1">+SYS_4_3_Digitos!I388-SYS_4_3_Digitos!J388</f>
        <v>0</v>
      </c>
    </row>
    <row r="317" spans="13:15" hidden="1">
      <c r="M317" s="1858">
        <f>+SYS_4_3_Digitos!A389</f>
        <v>798</v>
      </c>
      <c r="N317" s="1858" t="str">
        <f>+SYS_4_3_Digitos!B389</f>
        <v>REVER. DEL DET. DE PART. Y VALORES REPR. DE  DEUDA CP</v>
      </c>
      <c r="O317" s="1859">
        <f ca="1">+SYS_4_3_Digitos!I389-SYS_4_3_Digitos!J389</f>
        <v>0</v>
      </c>
    </row>
    <row r="318" spans="13:15" hidden="1">
      <c r="M318" s="1858">
        <f>+SYS_4_3_Digitos!A390</f>
        <v>799</v>
      </c>
      <c r="N318" s="1858" t="str">
        <f>+SYS_4_3_Digitos!B390</f>
        <v>REVERSIÓN DEL DETERIORO DE CRÉDITOS A CP</v>
      </c>
      <c r="O318" s="1859">
        <f ca="1">+SYS_4_3_Digitos!I390-SYS_4_3_Digitos!J390</f>
        <v>0</v>
      </c>
    </row>
    <row r="319" spans="13:15" hidden="1">
      <c r="M319" s="1858">
        <f>+SYS_4_3_Digitos!A391</f>
        <v>800</v>
      </c>
      <c r="N319" s="1858" t="str">
        <f>+SYS_4_3_Digitos!B391</f>
        <v>PERD.ACT.FIN.DISPONIBLES PARA LA VENTA</v>
      </c>
      <c r="O319" s="1859">
        <f>+SYS_4_3_Digitos!I391-SYS_4_3_Digitos!J391</f>
        <v>0</v>
      </c>
    </row>
    <row r="320" spans="13:15" hidden="1">
      <c r="M320" s="1858">
        <f>+SYS_4_3_Digitos!A393</f>
        <v>840</v>
      </c>
      <c r="N320" s="1858" t="str">
        <f>+SYS_4_3_Digitos!B393</f>
        <v>TRANSF.SUBV. OFICIALES DE CAPITAL</v>
      </c>
      <c r="O320" s="1859">
        <f>+SYS_4_3_Digitos!I393-SYS_4_3_Digitos!J393</f>
        <v>0</v>
      </c>
    </row>
    <row r="321" spans="13:15" hidden="1">
      <c r="M321" s="1858">
        <f>+SYS_4_3_Digitos!A394</f>
        <v>900</v>
      </c>
      <c r="N321" s="1858" t="str">
        <f>+SYS_4_3_Digitos!B394</f>
        <v>BFOS.ACT.FIN.DISPONIBLES PARA LA VENTA</v>
      </c>
      <c r="O321" s="1859">
        <f>+SYS_4_3_Digitos!I394-SYS_4_3_Digitos!J394</f>
        <v>0</v>
      </c>
    </row>
    <row r="322" spans="13:15" hidden="1">
      <c r="M322" s="1858">
        <f>+SYS_4_3_Digitos!A395</f>
        <v>940</v>
      </c>
      <c r="N322" s="1858" t="str">
        <f>+SYS_4_3_Digitos!B395</f>
        <v>ING.SUBV.OFICIALES DE CAPITAL</v>
      </c>
      <c r="O322" s="1859">
        <f>+SYS_4_3_Digitos!I395-SYS_4_3_Digitos!J395</f>
        <v>0</v>
      </c>
    </row>
    <row r="323" spans="13:15" hidden="1">
      <c r="M323" s="1858">
        <f>+SYS_4_3_Digitos!A14</f>
        <v>1140</v>
      </c>
      <c r="N323" s="1858" t="str">
        <f>+SYS_4_3_Digitos!B14</f>
        <v>RESERVAS ESPECIALES</v>
      </c>
      <c r="O323" s="1859">
        <f ca="1">+SYS_4_3_Digitos!I14-SYS_4_3_Digitos!J14</f>
        <v>0</v>
      </c>
    </row>
    <row r="324" spans="13:15" hidden="1">
      <c r="M324" s="1858">
        <v>1147</v>
      </c>
      <c r="N324" s="1858" t="str">
        <f>+SYS_4_3_Digitos!B15</f>
        <v>RESERVA DE CAPITALIZACIÓN</v>
      </c>
      <c r="O324" s="1859">
        <f ca="1">+SYS_4_3_Digitos!I15-SYS_4_3_Digitos!J15</f>
        <v>-6776702.0999999996</v>
      </c>
    </row>
    <row r="325" spans="13:15" hidden="1">
      <c r="M325" s="1858">
        <v>1148</v>
      </c>
      <c r="N325" s="1858" t="str">
        <f>+SYS_4_3_Digitos!B16</f>
        <v>RESERVA DE NIVELACIÓN</v>
      </c>
      <c r="O325" s="1859">
        <f ca="1">+SYS_4_3_Digitos!I16-SYS_4_3_Digitos!J16</f>
        <v>0</v>
      </c>
    </row>
    <row r="326" spans="13:15" hidden="1">
      <c r="M326" s="1858">
        <f>+SYS_4_3_Digitos!A44</f>
        <v>1633</v>
      </c>
      <c r="N326" s="1858" t="str">
        <f>+SYS_4_3_Digitos!B44</f>
        <v>OTRAS DEUDAS A LP CON EMPRESAS DEL GRUPO</v>
      </c>
      <c r="O326" s="1859">
        <f ca="1">+SYS_4_3_Digitos!I44-SYS_4_3_Digitos!J44</f>
        <v>0</v>
      </c>
    </row>
    <row r="327" spans="13:15" hidden="1">
      <c r="M327" s="1858">
        <f>+SYS_4_3_Digitos!A45</f>
        <v>1634</v>
      </c>
      <c r="N327" s="1858" t="str">
        <f>+SYS_4_3_Digitos!B45</f>
        <v>OTRAS DEUDAS A LP CON EMPRESAS ASOCIADAS</v>
      </c>
      <c r="O327" s="1859">
        <f ca="1">+SYS_4_3_Digitos!I45-SYS_4_3_Digitos!J45</f>
        <v>0</v>
      </c>
    </row>
    <row r="328" spans="13:15" hidden="1">
      <c r="M328" s="1858">
        <f>+SYS_4_3_Digitos!A46</f>
        <v>1635</v>
      </c>
      <c r="N328" s="1858" t="str">
        <f>+SYS_4_3_Digitos!B46</f>
        <v>OTRAS DEUDAS A LP CON OTRAS PARTES VINCULADAS</v>
      </c>
      <c r="O328" s="1859">
        <f ca="1">+SYS_4_3_Digitos!I46-SYS_4_3_Digitos!J46</f>
        <v>0</v>
      </c>
    </row>
    <row r="329" spans="13:15" hidden="1">
      <c r="M329" s="1858">
        <f>+SYS_4_3_Digitos!A93</f>
        <v>2403</v>
      </c>
      <c r="N329" s="1858" t="str">
        <f>+SYS_4_3_Digitos!B93</f>
        <v>PARTICIPACIONES A LP EN EMPRESAS DEL GRUPO</v>
      </c>
      <c r="O329" s="1859">
        <f ca="1">+SYS_4_3_Digitos!I93-SYS_4_3_Digitos!J93</f>
        <v>0</v>
      </c>
    </row>
    <row r="330" spans="13:15" hidden="1">
      <c r="M330" s="1858">
        <f>+SYS_4_3_Digitos!A94</f>
        <v>2404</v>
      </c>
      <c r="N330" s="1858" t="str">
        <f>+SYS_4_3_Digitos!B94</f>
        <v>PARTICIPACIONES A LP EN EMPRESAS ASOCIADAS</v>
      </c>
      <c r="O330" s="1859">
        <f ca="1">+SYS_4_3_Digitos!I94-SYS_4_3_Digitos!J94</f>
        <v>0</v>
      </c>
    </row>
    <row r="331" spans="13:15" hidden="1">
      <c r="M331" s="1858">
        <f>+SYS_4_3_Digitos!A95</f>
        <v>2405</v>
      </c>
      <c r="N331" s="1858" t="str">
        <f>+SYS_4_3_Digitos!B95</f>
        <v>PARTICIPACIONES A LP EN OTRAS VINCULADAS</v>
      </c>
      <c r="O331" s="1859">
        <f ca="1">+SYS_4_3_Digitos!I95-SYS_4_3_Digitos!J95</f>
        <v>0</v>
      </c>
    </row>
    <row r="332" spans="13:15" hidden="1">
      <c r="M332" s="1858">
        <f>+SYS_4_3_Digitos!A97</f>
        <v>2423</v>
      </c>
      <c r="N332" s="1858" t="str">
        <f>+SYS_4_3_Digitos!B97</f>
        <v>CRÉDITOS A LP A EMPRESAS DEL GRUPO</v>
      </c>
      <c r="O332" s="1859">
        <f ca="1">+SYS_4_3_Digitos!I97-SYS_4_3_Digitos!J97</f>
        <v>0</v>
      </c>
    </row>
    <row r="333" spans="13:15" hidden="1">
      <c r="M333" s="1858">
        <f>+SYS_4_3_Digitos!A98</f>
        <v>2424</v>
      </c>
      <c r="N333" s="1858" t="str">
        <f>+SYS_4_3_Digitos!B98</f>
        <v>CRÉDITOS A LP A EMPRESAS ASOCIADAS</v>
      </c>
      <c r="O333" s="1859">
        <f ca="1">+SYS_4_3_Digitos!I98-SYS_4_3_Digitos!J98</f>
        <v>0</v>
      </c>
    </row>
    <row r="334" spans="13:15" hidden="1">
      <c r="M334" s="1858">
        <f>+SYS_4_3_Digitos!A99</f>
        <v>2425</v>
      </c>
      <c r="N334" s="1858" t="str">
        <f>+SYS_4_3_Digitos!B99</f>
        <v>CRÉDITOS A LP A OTRAS VINCULADAS</v>
      </c>
      <c r="O334" s="1859">
        <f ca="1">+SYS_4_3_Digitos!I99-SYS_4_3_Digitos!J99</f>
        <v>0</v>
      </c>
    </row>
    <row r="335" spans="13:15" hidden="1">
      <c r="M335" s="1858">
        <f>+SYS_4_3_Digitos!A100</f>
        <v>2493</v>
      </c>
      <c r="N335" s="1858" t="str">
        <f>+SYS_4_3_Digitos!B100</f>
        <v>DESEMBOLSOS PTES SOBRE PARTICIP. A LP EN PARTES VINC.</v>
      </c>
      <c r="O335" s="1859">
        <f ca="1">+SYS_4_3_Digitos!I100-SYS_4_3_Digitos!J100</f>
        <v>0</v>
      </c>
    </row>
    <row r="336" spans="13:15" hidden="1">
      <c r="M336" s="1858">
        <f>+SYS_4_3_Digitos!A112</f>
        <v>2800</v>
      </c>
      <c r="N336" s="1858" t="str">
        <f>+SYS_4_3_Digitos!B112</f>
        <v>AMORT. ACUM. DE INVESTIGACIÓN</v>
      </c>
      <c r="O336" s="1859">
        <f ca="1">+SYS_4_3_Digitos!I112-SYS_4_3_Digitos!J112</f>
        <v>0</v>
      </c>
    </row>
    <row r="337" spans="13:15" hidden="1">
      <c r="M337" s="1858">
        <f>+SYS_4_3_Digitos!A113</f>
        <v>2801</v>
      </c>
      <c r="N337" s="1858" t="str">
        <f>+SYS_4_3_Digitos!B113</f>
        <v>AMORT. ACUM. DE DESARROLLO</v>
      </c>
      <c r="O337" s="1859">
        <f ca="1">+SYS_4_3_Digitos!I113-SYS_4_3_Digitos!J113</f>
        <v>0</v>
      </c>
    </row>
    <row r="338" spans="13:15" hidden="1">
      <c r="M338" s="1858">
        <f>+SYS_4_3_Digitos!A114</f>
        <v>2802</v>
      </c>
      <c r="N338" s="1858" t="str">
        <f>+SYS_4_3_Digitos!B114</f>
        <v>AMORT. ACUM. DE CONCESIONES ADMINISTRATIVAS</v>
      </c>
      <c r="O338" s="1859">
        <f ca="1">+SYS_4_3_Digitos!I114-SYS_4_3_Digitos!J114</f>
        <v>-9628.74</v>
      </c>
    </row>
    <row r="339" spans="13:15" hidden="1">
      <c r="M339" s="1858">
        <f>+SYS_4_3_Digitos!A115</f>
        <v>2803</v>
      </c>
      <c r="N339" s="1858" t="str">
        <f>+SYS_4_3_Digitos!B115</f>
        <v>AMORT. ACUM. DE PROPIEDAD INDUSTRIAL</v>
      </c>
      <c r="O339" s="1859">
        <f ca="1">+SYS_4_3_Digitos!I115-SYS_4_3_Digitos!J115</f>
        <v>0</v>
      </c>
    </row>
    <row r="340" spans="13:15" hidden="1">
      <c r="M340" s="1858">
        <f>+SYS_4_3_Digitos!A117</f>
        <v>2805</v>
      </c>
      <c r="N340" s="1858" t="str">
        <f>+SYS_4_3_Digitos!B117</f>
        <v>AMORT. ACUM, DE DERECHOS DE TRASPASO</v>
      </c>
      <c r="O340" s="1859">
        <f ca="1">+SYS_4_3_Digitos!I117-SYS_4_3_Digitos!J117</f>
        <v>0</v>
      </c>
    </row>
    <row r="341" spans="13:15" hidden="1">
      <c r="M341" s="1858">
        <f>+SYS_4_3_Digitos!A118</f>
        <v>2806</v>
      </c>
      <c r="N341" s="1858" t="str">
        <f>+SYS_4_3_Digitos!B118</f>
        <v>AMORT. ACUM. DE APLCACIONES INFORMÁTICAS</v>
      </c>
      <c r="O341" s="1859">
        <f ca="1">+SYS_4_3_Digitos!I118-SYS_4_3_Digitos!J118</f>
        <v>-88931.13</v>
      </c>
    </row>
    <row r="342" spans="13:15" hidden="1">
      <c r="M342" s="1858">
        <f>+SYS_4_3_Digitos!A119</f>
        <v>2811</v>
      </c>
      <c r="N342" s="1858" t="str">
        <f>+SYS_4_3_Digitos!B119</f>
        <v>AMORT. ACUM. DE CONSTRUCCIONES</v>
      </c>
      <c r="O342" s="1859">
        <f ca="1">+SYS_4_3_Digitos!I119-SYS_4_3_Digitos!J119</f>
        <v>-3128562.16</v>
      </c>
    </row>
    <row r="343" spans="13:15" hidden="1">
      <c r="M343" s="1858">
        <f>+SYS_4_3_Digitos!A120</f>
        <v>2812</v>
      </c>
      <c r="N343" s="1858" t="str">
        <f>+SYS_4_3_Digitos!B120</f>
        <v>AMORT. ACUM. DE INSTALACIONES TÉCNICAS</v>
      </c>
      <c r="O343" s="1859">
        <f ca="1">+SYS_4_3_Digitos!I120-SYS_4_3_Digitos!J120</f>
        <v>-17859712.620000001</v>
      </c>
    </row>
    <row r="344" spans="13:15" hidden="1">
      <c r="M344" s="1858">
        <f>+SYS_4_3_Digitos!A121</f>
        <v>2813</v>
      </c>
      <c r="N344" s="1858" t="str">
        <f>+SYS_4_3_Digitos!B121</f>
        <v>AMORT. ACUM. DE MAQUINARIA</v>
      </c>
      <c r="O344" s="1859">
        <f ca="1">+SYS_4_3_Digitos!I121-SYS_4_3_Digitos!J121</f>
        <v>-946983.86</v>
      </c>
    </row>
    <row r="345" spans="13:15" hidden="1">
      <c r="M345" s="1858">
        <f>+SYS_4_3_Digitos!A122</f>
        <v>2814</v>
      </c>
      <c r="N345" s="1858" t="str">
        <f>+SYS_4_3_Digitos!B122</f>
        <v>AMORT. ACUM. DE UTILLAJE</v>
      </c>
      <c r="O345" s="1859">
        <f ca="1">+SYS_4_3_Digitos!I122-SYS_4_3_Digitos!J122</f>
        <v>-10306.1</v>
      </c>
    </row>
    <row r="346" spans="13:15" hidden="1">
      <c r="M346" s="1858">
        <f>+SYS_4_3_Digitos!A123</f>
        <v>2815</v>
      </c>
      <c r="N346" s="1858" t="str">
        <f>+SYS_4_3_Digitos!B123</f>
        <v>AMORT. ACUM. DE OTRAS INSTALACIONES</v>
      </c>
      <c r="O346" s="1859">
        <f ca="1">+SYS_4_3_Digitos!I123-SYS_4_3_Digitos!J123</f>
        <v>-1078807.1499999999</v>
      </c>
    </row>
    <row r="347" spans="13:15" hidden="1">
      <c r="M347" s="1858">
        <f>+SYS_4_3_Digitos!A124</f>
        <v>2816</v>
      </c>
      <c r="N347" s="1858" t="str">
        <f>+SYS_4_3_Digitos!B124</f>
        <v>AMORT. ACUM. DE MOBILIARIO</v>
      </c>
      <c r="O347" s="1859">
        <f ca="1">+SYS_4_3_Digitos!I124-SYS_4_3_Digitos!J124</f>
        <v>-87249.42</v>
      </c>
    </row>
    <row r="348" spans="13:15" hidden="1">
      <c r="M348" s="1858">
        <f>+SYS_4_3_Digitos!A125</f>
        <v>2817</v>
      </c>
      <c r="N348" s="1858" t="str">
        <f>+SYS_4_3_Digitos!B125</f>
        <v>AMORT. ACUM. DE EQUIPOS PARA PROCESOS DE INFORMAC.</v>
      </c>
      <c r="O348" s="1859">
        <f ca="1">+SYS_4_3_Digitos!I125-SYS_4_3_Digitos!J125</f>
        <v>-46638.74</v>
      </c>
    </row>
    <row r="349" spans="13:15" hidden="1">
      <c r="M349" s="1858">
        <f>+SYS_4_3_Digitos!A126</f>
        <v>2818</v>
      </c>
      <c r="N349" s="1858" t="str">
        <f>+SYS_4_3_Digitos!B126</f>
        <v>AMORT. ACUM. DE ELEMENTOS DE TRANSPORTE</v>
      </c>
      <c r="O349" s="1859">
        <f ca="1">+SYS_4_3_Digitos!I126-SYS_4_3_Digitos!J126</f>
        <v>-85249.7</v>
      </c>
    </row>
    <row r="350" spans="13:15" hidden="1">
      <c r="M350" s="1858">
        <f>+SYS_4_3_Digitos!A127</f>
        <v>2819</v>
      </c>
      <c r="N350" s="1858" t="str">
        <f>+SYS_4_3_Digitos!B127</f>
        <v>AMORT. ACUM. DE OTRO INMOVILIZADO MATERIAL</v>
      </c>
      <c r="O350" s="1859">
        <f ca="1">+SYS_4_3_Digitos!I127-SYS_4_3_Digitos!J127</f>
        <v>-510483.56999999995</v>
      </c>
    </row>
    <row r="351" spans="13:15" hidden="1">
      <c r="M351" s="1858">
        <f>+SYS_4_3_Digitos!A132</f>
        <v>2933</v>
      </c>
      <c r="N351" s="1858" t="str">
        <f>+SYS_4_3_Digitos!B132</f>
        <v>DETERIORO DE VALOR DE PART. A LP EN EMPRESAS DEL GRUPO</v>
      </c>
      <c r="O351" s="1859">
        <f ca="1">+SYS_4_3_Digitos!I132-SYS_4_3_Digitos!J132</f>
        <v>0</v>
      </c>
    </row>
    <row r="352" spans="13:15" hidden="1">
      <c r="M352" s="1858">
        <f>+SYS_4_3_Digitos!A133</f>
        <v>2934</v>
      </c>
      <c r="N352" s="1858" t="str">
        <f>+SYS_4_3_Digitos!B133</f>
        <v>DETERIORO DE VALOR DE PART. A LP EN EMPRESAS ASOCIADAS</v>
      </c>
      <c r="O352" s="1859">
        <f ca="1">+SYS_4_3_Digitos!I133-SYS_4_3_Digitos!J133</f>
        <v>0</v>
      </c>
    </row>
    <row r="353" spans="13:15" hidden="1">
      <c r="M353" s="1858">
        <f>+SYS_4_3_Digitos!A135</f>
        <v>2953</v>
      </c>
      <c r="N353" s="1858" t="str">
        <f>+SYS_4_3_Digitos!B135</f>
        <v>DET. DE VALOR DE CRÉDITOS A LP A EMPRESAS DEL GRUPO</v>
      </c>
      <c r="O353" s="1859">
        <f ca="1">+SYS_4_3_Digitos!I135-SYS_4_3_Digitos!J135</f>
        <v>0</v>
      </c>
    </row>
    <row r="354" spans="13:15" hidden="1">
      <c r="M354" s="1858">
        <f>+SYS_4_3_Digitos!A136</f>
        <v>2954</v>
      </c>
      <c r="N354" s="1858" t="str">
        <f>+SYS_4_3_Digitos!B136</f>
        <v>DET. DE VALOR DE CRÉDITOS A LP A EMPRESAS ASOCIADAS</v>
      </c>
      <c r="O354" s="1859">
        <f ca="1">+SYS_4_3_Digitos!I136-SYS_4_3_Digitos!J136</f>
        <v>0</v>
      </c>
    </row>
    <row r="355" spans="13:15" hidden="1">
      <c r="M355" s="1858">
        <f>+SYS_4_3_Digitos!A137</f>
        <v>2955</v>
      </c>
      <c r="N355" s="1858" t="str">
        <f>+SYS_4_3_Digitos!B137</f>
        <v>DET. DE VALOR DE CRÉDITOS A LP PARTES VINCULADAS</v>
      </c>
      <c r="O355" s="1859">
        <f ca="1">+SYS_4_3_Digitos!I137-SYS_4_3_Digitos!J137</f>
        <v>0</v>
      </c>
    </row>
    <row r="356" spans="13:15" hidden="1">
      <c r="M356" s="1858">
        <f>+SYS_4_3_Digitos!A175</f>
        <v>4700</v>
      </c>
      <c r="N356" s="1858" t="str">
        <f>+SYS_4_3_Digitos!B175</f>
        <v>HP DEUDORA POR IVA</v>
      </c>
      <c r="O356" s="1859">
        <f ca="1">+SYS_4_3_Digitos!I175-SYS_4_3_Digitos!J175</f>
        <v>0</v>
      </c>
    </row>
    <row r="357" spans="13:15" hidden="1">
      <c r="M357" s="1858">
        <f>+SYS_4_3_Digitos!A176</f>
        <v>4708</v>
      </c>
      <c r="N357" s="1858" t="str">
        <f>+SYS_4_3_Digitos!B176</f>
        <v>HP DEUDORA POR SUBVENCIONES CONCEDIDAS</v>
      </c>
      <c r="O357" s="1859">
        <f ca="1">+SYS_4_3_Digitos!I176-SYS_4_3_Digitos!J176</f>
        <v>0</v>
      </c>
    </row>
    <row r="358" spans="13:15" hidden="1">
      <c r="M358" s="1858">
        <f>+SYS_4_3_Digitos!A177</f>
        <v>4709</v>
      </c>
      <c r="N358" s="1858" t="str">
        <f>+SYS_4_3_Digitos!B177</f>
        <v>HP DEUDORA POR DEVOLUCIÓN DE IMPUESTOS</v>
      </c>
      <c r="O358" s="1859">
        <f ca="1">+SYS_4_3_Digitos!I177-SYS_4_3_Digitos!J177</f>
        <v>3151475.96</v>
      </c>
    </row>
    <row r="359" spans="13:15" hidden="1">
      <c r="M359" s="1858">
        <f>+SYS_4_3_Digitos!A181</f>
        <v>4740</v>
      </c>
      <c r="N359" s="1858" t="str">
        <f>+SYS_4_3_Digitos!B181</f>
        <v>ACTIVOS POR DIFERENCIAS TEMPORALES DEDUCIBLES</v>
      </c>
      <c r="O359" s="1859">
        <f ca="1">+SYS_4_3_Digitos!I181-SYS_4_3_Digitos!J181</f>
        <v>2082289.74</v>
      </c>
    </row>
    <row r="360" spans="13:15" hidden="1">
      <c r="M360" s="1858">
        <f>+SYS_4_3_Digitos!A182</f>
        <v>4742</v>
      </c>
      <c r="N360" s="1858" t="str">
        <f>+SYS_4_3_Digitos!B182</f>
        <v>DERECHOS POR DEDUCCIONES Y BONIF. PTES DE APLICAR</v>
      </c>
      <c r="O360" s="1859">
        <f ca="1">+SYS_4_3_Digitos!I182-SYS_4_3_Digitos!J182</f>
        <v>211328.52000000008</v>
      </c>
    </row>
    <row r="361" spans="13:15" hidden="1">
      <c r="M361" s="1858">
        <f>+SYS_4_3_Digitos!A183</f>
        <v>4745</v>
      </c>
      <c r="N361" s="1858" t="str">
        <f>+SYS_4_3_Digitos!B183</f>
        <v>CRÉDITO POR PÉRDIDAS A COMPENSAR DEL EJERCICIO</v>
      </c>
      <c r="O361" s="1859">
        <f ca="1">+SYS_4_3_Digitos!I183-SYS_4_3_Digitos!J183</f>
        <v>0</v>
      </c>
    </row>
    <row r="362" spans="13:15" hidden="1">
      <c r="M362" s="1858">
        <f>+SYS_4_3_Digitos!A184</f>
        <v>4750</v>
      </c>
      <c r="N362" s="1858" t="str">
        <f>+SYS_4_3_Digitos!B184</f>
        <v>HP ACREEDORA POR IVA</v>
      </c>
      <c r="O362" s="1859">
        <f ca="1">+SYS_4_3_Digitos!I184-SYS_4_3_Digitos!J184</f>
        <v>-674546.61</v>
      </c>
    </row>
    <row r="363" spans="13:15" hidden="1">
      <c r="M363" s="1858">
        <f>+SYS_4_3_Digitos!A185</f>
        <v>4751</v>
      </c>
      <c r="N363" s="1858" t="str">
        <f>+SYS_4_3_Digitos!B185</f>
        <v>HP ACREEDORA POR RETENCIONES PRACTICADAS</v>
      </c>
      <c r="O363" s="1859">
        <f ca="1">+SYS_4_3_Digitos!I185-SYS_4_3_Digitos!J185</f>
        <v>-170101.03999999998</v>
      </c>
    </row>
    <row r="364" spans="13:15" hidden="1">
      <c r="M364" s="1858">
        <f>+SYS_4_3_Digitos!A186</f>
        <v>4752</v>
      </c>
      <c r="N364" s="1858" t="str">
        <f>+SYS_4_3_Digitos!B186</f>
        <v>HP ACREEDORA POR IS</v>
      </c>
      <c r="O364" s="1859">
        <f ca="1">+SYS_4_3_Digitos!I186-SYS_4_3_Digitos!J186</f>
        <v>0</v>
      </c>
    </row>
    <row r="365" spans="13:15" hidden="1">
      <c r="M365" s="1858">
        <f>+SYS_4_3_Digitos!A187</f>
        <v>4758</v>
      </c>
      <c r="N365" s="1858" t="str">
        <f>+SYS_4_3_Digitos!B187</f>
        <v>HP ACREEDORA POR SUBVENCIONES A REINTEGRAR</v>
      </c>
      <c r="O365" s="1859">
        <f ca="1">+SYS_4_3_Digitos!I187-SYS_4_3_Digitos!J187</f>
        <v>0</v>
      </c>
    </row>
    <row r="366" spans="13:15" hidden="1">
      <c r="M366" s="1858">
        <f>+SYS_4_3_Digitos!A195</f>
        <v>5133</v>
      </c>
      <c r="N366" s="1858" t="str">
        <f>+SYS_4_3_Digitos!B195</f>
        <v>OTRAS DEUDAS A CP CON EMPRESAS DEL GRUPO</v>
      </c>
      <c r="O366" s="1859">
        <f ca="1">+SYS_4_3_Digitos!I195-SYS_4_3_Digitos!J195</f>
        <v>0</v>
      </c>
    </row>
    <row r="367" spans="13:15" hidden="1">
      <c r="M367" s="1858">
        <f>+SYS_4_3_Digitos!A196</f>
        <v>5134</v>
      </c>
      <c r="N367" s="1858" t="str">
        <f>+SYS_4_3_Digitos!B196</f>
        <v>OTRAS DEUDAS A CP CON EMPRESAS ASOCIADAS</v>
      </c>
      <c r="O367" s="1859">
        <f ca="1">+SYS_4_3_Digitos!I196-SYS_4_3_Digitos!J196</f>
        <v>0</v>
      </c>
    </row>
    <row r="368" spans="13:15" hidden="1">
      <c r="M368" s="1858">
        <f>+SYS_4_3_Digitos!A197</f>
        <v>5135</v>
      </c>
      <c r="N368" s="1858" t="str">
        <f>+SYS_4_3_Digitos!B197</f>
        <v>OTRAS DEUDAS A CP CON OTRAS PARTES VINCULADAS</v>
      </c>
      <c r="O368" s="1859">
        <f ca="1">+SYS_4_3_Digitos!I197-SYS_4_3_Digitos!J197</f>
        <v>0</v>
      </c>
    </row>
    <row r="369" spans="13:15" hidden="1">
      <c r="M369" s="1858">
        <f>+SYS_4_3_Digitos!A198</f>
        <v>5145</v>
      </c>
      <c r="N369" s="1858" t="str">
        <f>+SYS_4_3_Digitos!B198</f>
        <v>INTERESES A CP DE DEUDAS CON PARTES VINCULADAS</v>
      </c>
      <c r="O369" s="1859">
        <f ca="1">+SYS_4_3_Digitos!I198-SYS_4_3_Digitos!J198</f>
        <v>0</v>
      </c>
    </row>
    <row r="370" spans="13:15" hidden="1">
      <c r="M370" s="1858">
        <f>+SYS_4_3_Digitos!A209</f>
        <v>5303</v>
      </c>
      <c r="N370" s="1858" t="str">
        <f>+SYS_4_3_Digitos!B209</f>
        <v>PARTICIPACIONES A CP EN EMPRESAS DEL GRUPO</v>
      </c>
      <c r="O370" s="1859">
        <f ca="1">+SYS_4_3_Digitos!I209-SYS_4_3_Digitos!J209</f>
        <v>0</v>
      </c>
    </row>
    <row r="371" spans="13:15" hidden="1">
      <c r="M371" s="1858">
        <f>+SYS_4_3_Digitos!A210</f>
        <v>5304</v>
      </c>
      <c r="N371" s="1858" t="str">
        <f>+SYS_4_3_Digitos!B210</f>
        <v>PARTICIPACIONES A CP EN EMPRESAS ASOCIADAS</v>
      </c>
      <c r="O371" s="1859">
        <f ca="1">+SYS_4_3_Digitos!I210-SYS_4_3_Digitos!J210</f>
        <v>0</v>
      </c>
    </row>
    <row r="372" spans="13:15" hidden="1">
      <c r="M372" s="1858">
        <f>+SYS_4_3_Digitos!A211</f>
        <v>5305</v>
      </c>
      <c r="N372" s="1858" t="str">
        <f>+SYS_4_3_Digitos!B211</f>
        <v>PARTICIPACIONES A CP EN OTRAS PARTES VINCULADAS</v>
      </c>
      <c r="O372" s="1859">
        <f ca="1">+SYS_4_3_Digitos!I211-SYS_4_3_Digitos!J211</f>
        <v>0</v>
      </c>
    </row>
    <row r="373" spans="13:15" hidden="1">
      <c r="M373" s="1858">
        <f>+SYS_4_3_Digitos!A212</f>
        <v>5323</v>
      </c>
      <c r="N373" s="1858" t="str">
        <f>+SYS_4_3_Digitos!B212</f>
        <v>CRÉDITOS A CP A EMPRESAS DEL GRUPO</v>
      </c>
      <c r="O373" s="1859">
        <f ca="1">+SYS_4_3_Digitos!I212-SYS_4_3_Digitos!J212</f>
        <v>0</v>
      </c>
    </row>
    <row r="374" spans="13:15" hidden="1">
      <c r="M374" s="1858">
        <f>+SYS_4_3_Digitos!A213</f>
        <v>5324</v>
      </c>
      <c r="N374" s="1858" t="str">
        <f>+SYS_4_3_Digitos!B213</f>
        <v>CRÉDITOS A CP A EMPRESAS ASOCIADAS</v>
      </c>
      <c r="O374" s="1859">
        <f ca="1">+SYS_4_3_Digitos!I213-SYS_4_3_Digitos!J213</f>
        <v>0</v>
      </c>
    </row>
    <row r="375" spans="13:15" hidden="1">
      <c r="M375" s="1858">
        <f>+SYS_4_3_Digitos!A214</f>
        <v>5325</v>
      </c>
      <c r="N375" s="1858" t="str">
        <f>+SYS_4_3_Digitos!B214</f>
        <v>CRÉDITOS A CP A OTRAS PARTES VINCULADAS</v>
      </c>
      <c r="O375" s="1859">
        <f ca="1">+SYS_4_3_Digitos!I214-SYS_4_3_Digitos!J214</f>
        <v>0</v>
      </c>
    </row>
    <row r="376" spans="13:15" hidden="1">
      <c r="M376" s="1858">
        <f>+SYS_4_3_Digitos!A215</f>
        <v>5345</v>
      </c>
      <c r="N376" s="1858" t="str">
        <f>+SYS_4_3_Digitos!B215</f>
        <v>INTERESES A CP A CRÉDITOS A PARTES VINCULADAS</v>
      </c>
      <c r="O376" s="1859">
        <f ca="1">+SYS_4_3_Digitos!I215-SYS_4_3_Digitos!J215</f>
        <v>0</v>
      </c>
    </row>
    <row r="377" spans="13:15" hidden="1">
      <c r="M377" s="1858">
        <f>+SYS_4_3_Digitos!A228</f>
        <v>5523</v>
      </c>
      <c r="N377" s="1858" t="str">
        <f>+SYS_4_3_Digitos!B228</f>
        <v>CUENTA CORRIENTE CON EMPRESAS DEL GRUPO</v>
      </c>
      <c r="O377" s="1859">
        <f ca="1">+SYS_4_3_Digitos!I228-SYS_4_3_Digitos!J228</f>
        <v>0</v>
      </c>
    </row>
    <row r="378" spans="13:15" hidden="1">
      <c r="M378" s="1858">
        <f>+SYS_4_3_Digitos!A229</f>
        <v>5524</v>
      </c>
      <c r="N378" s="1858" t="str">
        <f>+SYS_4_3_Digitos!B229</f>
        <v>CUENTA CORRIENTE CON EMPRESAS ASOCIADAS</v>
      </c>
      <c r="O378" s="1859">
        <f ca="1">+SYS_4_3_Digitos!I229-SYS_4_3_Digitos!J229</f>
        <v>0</v>
      </c>
    </row>
    <row r="379" spans="13:15" hidden="1">
      <c r="M379" s="1858">
        <f>+SYS_4_3_Digitos!A230</f>
        <v>5525</v>
      </c>
      <c r="N379" s="1858" t="str">
        <f>+SYS_4_3_Digitos!B230</f>
        <v>CUENTA CORRIENTE CON OTRAS PARTES VINCULADAS</v>
      </c>
      <c r="O379" s="1859">
        <f ca="1">+SYS_4_3_Digitos!I230-SYS_4_3_Digitos!J230</f>
        <v>0</v>
      </c>
    </row>
    <row r="380" spans="13:15" hidden="1">
      <c r="M380" s="1858">
        <f>+SYS_4_3_Digitos!A259</f>
        <v>5933</v>
      </c>
      <c r="N380" s="1858" t="str">
        <f>+SYS_4_3_Digitos!B259</f>
        <v>DET. VALOR PARTIC. CP EMPRESAS GRUPO</v>
      </c>
      <c r="O380" s="1859">
        <f ca="1">+SYS_4_3_Digitos!I259-SYS_4_3_Digitos!J259</f>
        <v>0</v>
      </c>
    </row>
    <row r="381" spans="13:15" hidden="1">
      <c r="M381" s="1858">
        <f>+SYS_4_3_Digitos!A260</f>
        <v>5934</v>
      </c>
      <c r="N381" s="1858" t="str">
        <f>+SYS_4_3_Digitos!B260</f>
        <v>DET. VALOR PARTIC. CP EMPRESAS ASOCIADAS</v>
      </c>
      <c r="O381" s="1859">
        <f ca="1">+SYS_4_3_Digitos!I260-SYS_4_3_Digitos!J260</f>
        <v>0</v>
      </c>
    </row>
    <row r="382" spans="13:15" hidden="1">
      <c r="M382" s="1858">
        <f>+SYS_4_3_Digitos!A261</f>
        <v>5953</v>
      </c>
      <c r="N382" s="1858" t="str">
        <f>+SYS_4_3_Digitos!B261</f>
        <v>DET. VALOR CRÉDITOS CP EMPRESAS GRUPO</v>
      </c>
      <c r="O382" s="1859">
        <f ca="1">+SYS_4_3_Digitos!I261-SYS_4_3_Digitos!J261</f>
        <v>0</v>
      </c>
    </row>
    <row r="383" spans="13:15" hidden="1">
      <c r="M383" s="1858">
        <f>+SYS_4_3_Digitos!A262</f>
        <v>5954</v>
      </c>
      <c r="N383" s="1858" t="str">
        <f>+SYS_4_3_Digitos!B262</f>
        <v>DET. VALOR CRÉDITOS CP EMPRESAS ASOCIADAS</v>
      </c>
      <c r="O383" s="1859">
        <f ca="1">+SYS_4_3_Digitos!I262-SYS_4_3_Digitos!J262</f>
        <v>0</v>
      </c>
    </row>
    <row r="384" spans="13:15" hidden="1">
      <c r="M384" s="1858">
        <f>+SYS_4_3_Digitos!A263</f>
        <v>5955</v>
      </c>
      <c r="N384" s="1858" t="str">
        <f>+SYS_4_3_Digitos!B263</f>
        <v>DET. VALOR CRÉDITOS CP OTRAS PARTES VINCULADAS</v>
      </c>
      <c r="O384" s="1859">
        <f ca="1">+SYS_4_3_Digitos!I263-SYS_4_3_Digitos!J263</f>
        <v>0</v>
      </c>
    </row>
    <row r="385" spans="13:15" hidden="1">
      <c r="M385" s="1858">
        <f>+SYS_4_3_Digitos!A284</f>
        <v>6300</v>
      </c>
      <c r="N385" s="1858" t="str">
        <f>+SYS_4_3_Digitos!B284</f>
        <v>IMPUESTO CORRIENTE</v>
      </c>
      <c r="O385" s="1859">
        <f ca="1">+SYS_4_3_Digitos!I284-SYS_4_3_Digitos!J284</f>
        <v>2477666.92</v>
      </c>
    </row>
    <row r="386" spans="13:15" hidden="1">
      <c r="M386" s="1858">
        <f>+SYS_4_3_Digitos!A285</f>
        <v>6301</v>
      </c>
      <c r="N386" s="1858" t="str">
        <f>+SYS_4_3_Digitos!B285</f>
        <v>IMPUESTO DIFERIDO</v>
      </c>
      <c r="O386" s="1859">
        <f ca="1">+SYS_4_3_Digitos!I285-SYS_4_3_Digitos!J285</f>
        <v>65906.049999999988</v>
      </c>
    </row>
    <row r="387" spans="13:15" hidden="1">
      <c r="M387" s="1858">
        <f>+SYS_4_3_Digitos!A288</f>
        <v>6341</v>
      </c>
      <c r="N387" s="1858" t="str">
        <f>+SYS_4_3_Digitos!B288</f>
        <v>AJUSTES NEGATIVOS EN IVA DE ACTIVO CORRIENTE</v>
      </c>
      <c r="O387" s="1859">
        <f ca="1">+SYS_4_3_Digitos!I288-SYS_4_3_Digitos!J288</f>
        <v>0</v>
      </c>
    </row>
    <row r="388" spans="13:15" hidden="1">
      <c r="M388" s="1858">
        <f>+SYS_4_3_Digitos!A289</f>
        <v>6342</v>
      </c>
      <c r="N388" s="1858" t="str">
        <f>+SYS_4_3_Digitos!B289</f>
        <v>AJUSTES NEGATIVOS EN IVA DE INVERSIONES</v>
      </c>
      <c r="O388" s="1859">
        <f ca="1">+SYS_4_3_Digitos!I289-SYS_4_3_Digitos!J289</f>
        <v>0</v>
      </c>
    </row>
    <row r="389" spans="13:15" hidden="1">
      <c r="M389" s="1858">
        <f>+SYS_4_3_Digitos!A292</f>
        <v>6391</v>
      </c>
      <c r="N389" s="1858" t="str">
        <f>+SYS_4_3_Digitos!B292</f>
        <v>AJUSTES POSITIVOS EN IVA DE ACTIVO CORRIENTE</v>
      </c>
      <c r="O389" s="1859">
        <f ca="1">+SYS_4_3_Digitos!I292-SYS_4_3_Digitos!J292</f>
        <v>0</v>
      </c>
    </row>
    <row r="390" spans="13:15" hidden="1">
      <c r="M390" s="1858">
        <f>+SYS_4_3_Digitos!A293</f>
        <v>6392</v>
      </c>
      <c r="N390" s="1858" t="str">
        <f>+SYS_4_3_Digitos!B293</f>
        <v>AJUSTES POSITIVOS EN IVA DE INVERSIONES</v>
      </c>
      <c r="O390" s="1859">
        <f ca="1">+SYS_4_3_Digitos!I293-SYS_4_3_Digitos!J293</f>
        <v>0</v>
      </c>
    </row>
    <row r="391" spans="13:15" hidden="1">
      <c r="M391" s="1858">
        <f>+SYS_4_3_Digitos!A306</f>
        <v>6620</v>
      </c>
      <c r="N391" s="1858" t="str">
        <f>+SYS_4_3_Digitos!B306</f>
        <v>INTERESES DE DEUDAS, EMPRESAS DEL GRUPO</v>
      </c>
      <c r="O391" s="1859">
        <f ca="1">+SYS_4_3_Digitos!I306-SYS_4_3_Digitos!J306</f>
        <v>0</v>
      </c>
    </row>
    <row r="392" spans="13:15" hidden="1">
      <c r="M392" s="1858">
        <f>+SYS_4_3_Digitos!A307</f>
        <v>6621</v>
      </c>
      <c r="N392" s="1858" t="str">
        <f>+SYS_4_3_Digitos!B307</f>
        <v>INTERESES DE DEUDAS, EMPRESAS ASOCIADAS</v>
      </c>
      <c r="O392" s="1859">
        <f ca="1">+SYS_4_3_Digitos!I307-SYS_4_3_Digitos!J307</f>
        <v>0</v>
      </c>
    </row>
    <row r="393" spans="13:15" hidden="1">
      <c r="M393" s="1858">
        <f>+SYS_4_3_Digitos!A308</f>
        <v>6622</v>
      </c>
      <c r="N393" s="1858" t="str">
        <f>+SYS_4_3_Digitos!B308</f>
        <v>INTERESES DE DEUDAS, OTRAS PARTES VINCULADAS</v>
      </c>
      <c r="O393" s="1859">
        <f ca="1">+SYS_4_3_Digitos!I308-SYS_4_3_Digitos!J308</f>
        <v>0</v>
      </c>
    </row>
    <row r="394" spans="13:15" hidden="1">
      <c r="M394" s="1858">
        <f>+SYS_4_3_Digitos!A309</f>
        <v>6623</v>
      </c>
      <c r="N394" s="1858" t="str">
        <f>+SYS_4_3_Digitos!B309</f>
        <v>INTERESES DE DEUDAS CON ENTIDADES DE CRÉDITO</v>
      </c>
      <c r="O394" s="1859">
        <f ca="1">+SYS_4_3_Digitos!I309-SYS_4_3_Digitos!J309</f>
        <v>0</v>
      </c>
    </row>
    <row r="395" spans="13:15" hidden="1">
      <c r="M395" s="1858">
        <f>+SYS_4_3_Digitos!A310</f>
        <v>6624</v>
      </c>
      <c r="N395" s="1858" t="str">
        <f>+SYS_4_3_Digitos!B310</f>
        <v>INTERESES DE DEUDAS, OTRAS EMPRESAS</v>
      </c>
      <c r="O395" s="1859">
        <f ca="1">+SYS_4_3_Digitos!I310-SYS_4_3_Digitos!J310</f>
        <v>0</v>
      </c>
    </row>
    <row r="396" spans="13:15" hidden="1">
      <c r="M396" s="1858">
        <f>+SYS_4_3_Digitos!A333</f>
        <v>6960</v>
      </c>
      <c r="N396" s="1858" t="str">
        <f>+SYS_4_3_Digitos!B333</f>
        <v>PÉRD. POR DET. PART. LP EMPRESAS DEL GRUPO</v>
      </c>
      <c r="O396" s="1859">
        <f ca="1">+SYS_4_3_Digitos!I333-SYS_4_3_Digitos!J333</f>
        <v>0</v>
      </c>
    </row>
    <row r="397" spans="13:15" hidden="1">
      <c r="M397" s="1858">
        <f>+SYS_4_3_Digitos!A334</f>
        <v>6961</v>
      </c>
      <c r="N397" s="1858" t="str">
        <f>+SYS_4_3_Digitos!B334</f>
        <v>PÉRD. POR DET. PART. LP EMPRESAS ASOCIADAS</v>
      </c>
      <c r="O397" s="1859">
        <f ca="1">+SYS_4_3_Digitos!I334-SYS_4_3_Digitos!J334</f>
        <v>0</v>
      </c>
    </row>
    <row r="398" spans="13:15" hidden="1">
      <c r="M398" s="1858">
        <f>+SYS_4_3_Digitos!A335</f>
        <v>6962</v>
      </c>
      <c r="N398" s="1858" t="str">
        <f>+SYS_4_3_Digitos!B335</f>
        <v>PÉRD. POR DET. PART. LP OTRAS PARTES VINCULADAS</v>
      </c>
      <c r="O398" s="1859">
        <f ca="1">+SYS_4_3_Digitos!I335-SYS_4_3_Digitos!J335</f>
        <v>0</v>
      </c>
    </row>
    <row r="399" spans="13:15" hidden="1">
      <c r="M399" s="1858">
        <f>+SYS_4_3_Digitos!A336</f>
        <v>6963</v>
      </c>
      <c r="N399" s="1858" t="str">
        <f>+SYS_4_3_Digitos!B336</f>
        <v>PÉRD. POR DET. PART. LP OTRAS EMPRESAS</v>
      </c>
      <c r="O399" s="1859">
        <f ca="1">+SYS_4_3_Digitos!I336-SYS_4_3_Digitos!J336</f>
        <v>0</v>
      </c>
    </row>
    <row r="400" spans="13:15" hidden="1">
      <c r="M400" s="1858">
        <f>+SYS_4_3_Digitos!A337</f>
        <v>6970</v>
      </c>
      <c r="N400" s="1858" t="str">
        <f>+SYS_4_3_Digitos!B337</f>
        <v>PÉRD. POR DET. DE CRÉDITOS A LP, EMP. GRUPO</v>
      </c>
      <c r="O400" s="1859">
        <f ca="1">+SYS_4_3_Digitos!I337-SYS_4_3_Digitos!J337</f>
        <v>0</v>
      </c>
    </row>
    <row r="401" spans="13:15" hidden="1">
      <c r="M401" s="1858">
        <f>+SYS_4_3_Digitos!A338</f>
        <v>6971</v>
      </c>
      <c r="N401" s="1858" t="str">
        <f>+SYS_4_3_Digitos!B338</f>
        <v>PÉRD. POR DET. DE CRÉDITOS A LP, EMP. ASOCIADAS</v>
      </c>
      <c r="O401" s="1859">
        <f ca="1">+SYS_4_3_Digitos!I338-SYS_4_3_Digitos!J338</f>
        <v>0</v>
      </c>
    </row>
    <row r="402" spans="13:15" hidden="1">
      <c r="M402" s="1858">
        <f>+SYS_4_3_Digitos!A339</f>
        <v>6972</v>
      </c>
      <c r="N402" s="1858" t="str">
        <f>+SYS_4_3_Digitos!B339</f>
        <v>PÉRD. POR DET. DE CRÉDITOS A LP, OTRAS PARTES VINC.</v>
      </c>
      <c r="O402" s="1859">
        <f ca="1">+SYS_4_3_Digitos!I339-SYS_4_3_Digitos!J339</f>
        <v>0</v>
      </c>
    </row>
    <row r="403" spans="13:15" hidden="1">
      <c r="M403" s="1858">
        <f>+SYS_4_3_Digitos!A340</f>
        <v>6973</v>
      </c>
      <c r="N403" s="1858" t="str">
        <f>+SYS_4_3_Digitos!B340</f>
        <v>PÉRD. POR DET. DE CRÉDITOS A LP, OTRAS EMPRESAS</v>
      </c>
      <c r="O403" s="1859">
        <f ca="1">+SYS_4_3_Digitos!I340-SYS_4_3_Digitos!J340</f>
        <v>0</v>
      </c>
    </row>
    <row r="404" spans="13:15" hidden="1">
      <c r="M404" s="1858">
        <f>+SYS_4_3_Digitos!A392</f>
        <v>8301</v>
      </c>
      <c r="N404" s="1852" t="str">
        <f>+SYS_4_3_Digitos!B392</f>
        <v>IMPUESTO DIFERIDO</v>
      </c>
      <c r="O404" s="1859">
        <f>+SYS_4_3_Digitos!I392-SYS_4_3_Digitos!J392</f>
        <v>0</v>
      </c>
    </row>
  </sheetData>
  <sheetProtection sort="0"/>
  <sortState xmlns:xlrd2="http://schemas.microsoft.com/office/spreadsheetml/2017/richdata2" ref="M12:O425">
    <sortCondition ref="M12"/>
  </sortState>
  <mergeCells count="1">
    <mergeCell ref="C4:D4"/>
  </mergeCells>
  <conditionalFormatting sqref="F27">
    <cfRule type="expression" dxfId="553" priority="114">
      <formula>$F$27&lt;&gt;0</formula>
    </cfRule>
  </conditionalFormatting>
  <conditionalFormatting sqref="C7">
    <cfRule type="expression" dxfId="552" priority="101">
      <formula>INT($C$7)&lt;&gt;0</formula>
    </cfRule>
  </conditionalFormatting>
  <conditionalFormatting sqref="F45">
    <cfRule type="expression" dxfId="551" priority="12">
      <formula>$F$27&lt;&gt;0</formula>
    </cfRule>
  </conditionalFormatting>
  <conditionalFormatting sqref="F63">
    <cfRule type="expression" dxfId="550" priority="11">
      <formula>$F$27&lt;&gt;0</formula>
    </cfRule>
  </conditionalFormatting>
  <conditionalFormatting sqref="F81">
    <cfRule type="expression" dxfId="549" priority="10">
      <formula>$F$27&lt;&gt;0</formula>
    </cfRule>
  </conditionalFormatting>
  <conditionalFormatting sqref="F99">
    <cfRule type="expression" dxfId="548" priority="9">
      <formula>$F$27&lt;&gt;0</formula>
    </cfRule>
  </conditionalFormatting>
  <conditionalFormatting sqref="F117">
    <cfRule type="expression" dxfId="547" priority="8">
      <formula>$F$27&lt;&gt;0</formula>
    </cfRule>
  </conditionalFormatting>
  <conditionalFormatting sqref="F135">
    <cfRule type="expression" dxfId="546" priority="7">
      <formula>$F$27&lt;&gt;0</formula>
    </cfRule>
  </conditionalFormatting>
  <conditionalFormatting sqref="F153">
    <cfRule type="expression" dxfId="545" priority="6">
      <formula>$F$27&lt;&gt;0</formula>
    </cfRule>
  </conditionalFormatting>
  <conditionalFormatting sqref="F171">
    <cfRule type="expression" dxfId="544" priority="5">
      <formula>$F$27&lt;&gt;0</formula>
    </cfRule>
  </conditionalFormatting>
  <conditionalFormatting sqref="F191">
    <cfRule type="expression" dxfId="543" priority="4">
      <formula>$F$27&lt;&gt;0</formula>
    </cfRule>
  </conditionalFormatting>
  <conditionalFormatting sqref="F209">
    <cfRule type="expression" dxfId="542" priority="3">
      <formula>$F$27&lt;&gt;0</formula>
    </cfRule>
  </conditionalFormatting>
  <conditionalFormatting sqref="F227">
    <cfRule type="expression" dxfId="541" priority="2">
      <formula>$F$27&lt;&gt;0</formula>
    </cfRule>
  </conditionalFormatting>
  <conditionalFormatting sqref="F245">
    <cfRule type="expression" dxfId="540" priority="1">
      <formula>$F$27&lt;&gt;0</formula>
    </cfRule>
  </conditionalFormatting>
  <dataValidations count="2">
    <dataValidation allowBlank="1" showInputMessage="1" showErrorMessage="1" promptTitle="Insertar cuadro de asiento" prompt="Posicionate en la celda sombreada de amarillo de la columna A, una vez estes en ella pulsa el boton &quot;Primero leer instrucciones&quot;" sqref="G4" xr:uid="{00000000-0002-0000-0700-000001000000}"/>
    <dataValidation type="list" allowBlank="1" showInputMessage="1" showErrorMessage="1" sqref="N15 I13:I28 I31:I46 I49:I64 I67:I82 I85:I100 I231:I245 I121:I136 I139:I154 I157:I174 C10:C245 I177:I192 I195:I210 I213:I228 I103:I118" xr:uid="{96D74E58-F2D3-4501-B300-A53E00D5F512}">
      <formula1>$M$12:$M$404</formula1>
    </dataValidation>
  </dataValidations>
  <pageMargins left="0.62992125984251968" right="0.11811023622047245" top="0.74803149606299213" bottom="0.74803149606299213" header="0.31496062992125984" footer="0.31496062992125984"/>
  <pageSetup paperSize="9" scale="58" orientation="portrait" r:id="rId1"/>
  <headerFooter alignWithMargins="0">
    <oddFooter>&amp;C&amp;"Arial,Normal"&amp;12&amp;K03-022Asientos de cierre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16" r:id="rId4" name="Button 12">
              <controlPr defaultSize="0" print="0" autoFill="0" autoPict="0" macro="[0]!insertarasiento">
                <anchor moveWithCells="1" sizeWithCells="1">
                  <from>
                    <xdr:col>7</xdr:col>
                    <xdr:colOff>1676400</xdr:colOff>
                    <xdr:row>3</xdr:row>
                    <xdr:rowOff>114300</xdr:rowOff>
                  </from>
                  <to>
                    <xdr:col>8</xdr:col>
                    <xdr:colOff>495300</xdr:colOff>
                    <xdr:row>7</xdr:row>
                    <xdr:rowOff>38100</xdr:rowOff>
                  </to>
                </anchor>
              </controlPr>
            </control>
          </mc:Choice>
        </mc:AlternateContent>
        <mc:AlternateContent xmlns:mc="http://schemas.openxmlformats.org/markup-compatibility/2006">
          <mc:Choice Requires="x14">
            <control shapeId="21518" r:id="rId5" name="Button 14">
              <controlPr defaultSize="0" print="0" autoFill="0" autoPict="0" macro="[0]!ordenarlistadocuentas">
                <anchor moveWithCells="1" sizeWithCells="1">
                  <from>
                    <xdr:col>8</xdr:col>
                    <xdr:colOff>1074420</xdr:colOff>
                    <xdr:row>3</xdr:row>
                    <xdr:rowOff>228600</xdr:rowOff>
                  </from>
                  <to>
                    <xdr:col>9</xdr:col>
                    <xdr:colOff>1066800</xdr:colOff>
                    <xdr:row>7</xdr:row>
                    <xdr:rowOff>38100</xdr:rowOff>
                  </to>
                </anchor>
              </controlPr>
            </control>
          </mc:Choice>
        </mc:AlternateContent>
        <mc:AlternateContent xmlns:mc="http://schemas.openxmlformats.org/markup-compatibility/2006">
          <mc:Choice Requires="x14">
            <control shapeId="21520" r:id="rId6" name="Button 16">
              <controlPr defaultSize="0" print="0" autoFill="0" autoPict="0" macro="[0]!BORRARASIENTOS">
                <anchor moveWithCells="1" sizeWithCells="1">
                  <from>
                    <xdr:col>3</xdr:col>
                    <xdr:colOff>160020</xdr:colOff>
                    <xdr:row>5</xdr:row>
                    <xdr:rowOff>114300</xdr:rowOff>
                  </from>
                  <to>
                    <xdr:col>3</xdr:col>
                    <xdr:colOff>1409700</xdr:colOff>
                    <xdr:row>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8">
    <tabColor rgb="FFFFC000"/>
    <pageSetUpPr autoPageBreaks="0"/>
  </sheetPr>
  <dimension ref="C1:AD2061"/>
  <sheetViews>
    <sheetView showGridLines="0" showRowColHeaders="0" zoomScaleNormal="100" zoomScaleSheetLayoutView="130" zoomScalePageLayoutView="55" workbookViewId="0">
      <selection activeCell="H58" sqref="H58"/>
    </sheetView>
  </sheetViews>
  <sheetFormatPr baseColWidth="10" defaultColWidth="0" defaultRowHeight="15" customHeight="1"/>
  <cols>
    <col min="1" max="2" width="2" style="553" customWidth="1"/>
    <col min="3" max="3" width="62" style="553" customWidth="1"/>
    <col min="4" max="4" width="1" style="553" customWidth="1"/>
    <col min="5" max="5" width="31" style="553" customWidth="1"/>
    <col min="6" max="6" width="16" style="553" customWidth="1"/>
    <col min="7" max="7" width="6" style="553" customWidth="1"/>
    <col min="8" max="8" width="31" style="553" customWidth="1"/>
    <col min="9" max="9" width="16" style="553" customWidth="1"/>
    <col min="10" max="10" width="4.44140625" style="553" customWidth="1"/>
    <col min="11" max="11" width="46" style="553" bestFit="1" customWidth="1"/>
    <col min="12" max="12" width="1" style="553" hidden="1" customWidth="1"/>
    <col min="13" max="13" width="21" style="553" hidden="1" customWidth="1"/>
    <col min="14" max="14" width="9" style="553" hidden="1" customWidth="1"/>
    <col min="15" max="15" width="1.44140625" style="553" hidden="1" customWidth="1"/>
    <col min="16" max="16" width="21" style="553" hidden="1" customWidth="1"/>
    <col min="17" max="17" width="9" style="605" hidden="1" customWidth="1"/>
    <col min="18" max="18" width="4.5546875" style="553" hidden="1" customWidth="1"/>
    <col min="19" max="20" width="11.44140625" style="553" hidden="1" customWidth="1"/>
    <col min="21" max="21" width="46" style="606" hidden="1" customWidth="1"/>
    <col min="22" max="22" width="40" style="553" hidden="1" customWidth="1"/>
    <col min="23" max="23" width="16" style="553" hidden="1" customWidth="1"/>
    <col min="24" max="25" width="11.44140625" style="553" hidden="1" customWidth="1"/>
    <col min="26" max="26" width="49" style="607" hidden="1" customWidth="1"/>
    <col min="27" max="27" width="47.5546875" style="553" hidden="1" customWidth="1"/>
    <col min="28" max="28" width="18" style="553" hidden="1" customWidth="1"/>
    <col min="29" max="30" width="11.44140625" style="553" hidden="1" customWidth="1"/>
    <col min="31" max="16384" width="0" style="553" hidden="1"/>
  </cols>
  <sheetData>
    <row r="1" spans="3:28" ht="13.8"/>
    <row r="2" spans="3:28" ht="9" customHeight="1"/>
    <row r="3" spans="3:28" ht="5.25" customHeight="1"/>
    <row r="4" spans="3:28" ht="5.25" customHeight="1"/>
    <row r="5" spans="3:28" ht="30">
      <c r="C5" s="563" t="str">
        <f>+MENU!C5</f>
        <v>Sociedad:</v>
      </c>
      <c r="E5" s="1098" t="str">
        <f>+MENU!E5</f>
        <v>MARIO PILATO BLAT, S.A.</v>
      </c>
      <c r="F5" s="1099"/>
      <c r="G5"/>
      <c r="H5"/>
      <c r="I5"/>
      <c r="K5" s="731"/>
      <c r="N5" s="555"/>
      <c r="Q5" s="609"/>
    </row>
    <row r="6" spans="3:28" ht="12.75" customHeight="1">
      <c r="G6"/>
      <c r="H6"/>
      <c r="I6"/>
    </row>
    <row r="7" spans="3:28" ht="18" customHeight="1">
      <c r="C7" s="603" t="s">
        <v>0</v>
      </c>
      <c r="E7" s="2250">
        <f>+MENU!D7</f>
        <v>45657</v>
      </c>
      <c r="F7" s="2250"/>
      <c r="G7"/>
      <c r="H7"/>
      <c r="I7"/>
      <c r="J7" s="610"/>
      <c r="V7" s="611" t="s">
        <v>168</v>
      </c>
    </row>
    <row r="8" spans="3:28" ht="15" customHeight="1">
      <c r="C8" s="612"/>
      <c r="E8" s="613"/>
      <c r="F8" s="613"/>
      <c r="G8"/>
      <c r="H8"/>
      <c r="I8"/>
      <c r="J8" s="613"/>
    </row>
    <row r="11" spans="3:28" ht="15.6">
      <c r="E11" s="730">
        <f>+E7</f>
        <v>45657</v>
      </c>
      <c r="F11" s="733" t="s">
        <v>180</v>
      </c>
      <c r="H11" s="730">
        <v>45291</v>
      </c>
      <c r="I11" s="733" t="s">
        <v>180</v>
      </c>
      <c r="P11" s="553">
        <v>45291</v>
      </c>
      <c r="Q11" s="605" t="s">
        <v>180</v>
      </c>
    </row>
    <row r="12" spans="3:28" ht="6" customHeight="1">
      <c r="E12" s="615"/>
      <c r="F12" s="615"/>
      <c r="H12" s="615"/>
      <c r="I12" s="615"/>
    </row>
    <row r="13" spans="3:28" ht="17.399999999999999">
      <c r="C13" s="616" t="s">
        <v>3</v>
      </c>
      <c r="E13" s="617">
        <f ca="1">+E15+E32</f>
        <v>352348840.22999996</v>
      </c>
      <c r="F13" s="618">
        <f ca="1">+IF(E13=0,"",E13/$E$13)</f>
        <v>1</v>
      </c>
      <c r="H13" s="617">
        <v>320877052.67000002</v>
      </c>
      <c r="I13" s="618">
        <v>1</v>
      </c>
      <c r="P13" s="553">
        <v>320877052.67000002</v>
      </c>
      <c r="Q13" s="605">
        <v>1</v>
      </c>
      <c r="V13" s="620" t="s">
        <v>3</v>
      </c>
      <c r="W13" s="621"/>
      <c r="X13" s="622"/>
      <c r="AA13" s="620" t="s">
        <v>53</v>
      </c>
      <c r="AB13" s="623"/>
    </row>
    <row r="14" spans="3:28" ht="6" customHeight="1">
      <c r="W14" s="625"/>
      <c r="X14" s="626"/>
      <c r="AB14" s="627"/>
    </row>
    <row r="15" spans="3:28" ht="15.75" customHeight="1">
      <c r="C15" s="734" t="s">
        <v>4</v>
      </c>
      <c r="E15" s="735">
        <f ca="1">+E17+E19+E21+E23+E25+E27</f>
        <v>193402893.98999998</v>
      </c>
      <c r="F15" s="736">
        <f t="shared" ref="F15:F27" ca="1" si="0">+IF(E15=0,"",E15/$E$13)</f>
        <v>0.54889607090448744</v>
      </c>
      <c r="H15" s="735">
        <v>182072916.52000001</v>
      </c>
      <c r="I15" s="736">
        <v>0.56742267795400592</v>
      </c>
      <c r="P15" s="553">
        <v>182072916.52000001</v>
      </c>
      <c r="Q15" s="553">
        <v>0.56742267795400592</v>
      </c>
      <c r="V15" s="634" t="s">
        <v>4</v>
      </c>
      <c r="W15" s="635"/>
      <c r="X15" s="636"/>
      <c r="AA15" s="634" t="s">
        <v>54</v>
      </c>
      <c r="AB15" s="637"/>
    </row>
    <row r="16" spans="3:28" ht="15.6">
      <c r="C16" s="737"/>
      <c r="E16" s="738"/>
      <c r="F16" s="739"/>
      <c r="H16" s="738"/>
      <c r="I16" s="739"/>
      <c r="V16" s="644" t="s">
        <v>5</v>
      </c>
      <c r="W16" s="645"/>
      <c r="X16" s="645"/>
      <c r="AB16" s="642"/>
    </row>
    <row r="17" spans="3:30" ht="15.6">
      <c r="C17" s="740" t="s">
        <v>5</v>
      </c>
      <c r="D17" s="639"/>
      <c r="E17" s="741">
        <f ca="1">+BALANCE!$E$16</f>
        <v>43207.829999999994</v>
      </c>
      <c r="F17" s="742">
        <f t="shared" ca="1" si="0"/>
        <v>1.226279898403967E-4</v>
      </c>
      <c r="G17" s="639"/>
      <c r="H17" s="741">
        <v>67914.289999999994</v>
      </c>
      <c r="I17" s="742">
        <v>2.1165206247965998E-4</v>
      </c>
      <c r="P17" s="553">
        <v>67914.289999999994</v>
      </c>
      <c r="Q17" s="605">
        <v>2.1165206247965998E-4</v>
      </c>
      <c r="U17" s="652" t="s">
        <v>109</v>
      </c>
      <c r="V17" s="653" t="s">
        <v>6</v>
      </c>
      <c r="W17" s="654">
        <f>SUM(W18:W39)</f>
        <v>0</v>
      </c>
      <c r="X17" s="655"/>
      <c r="AA17" s="656" t="s">
        <v>55</v>
      </c>
      <c r="AB17" s="657"/>
    </row>
    <row r="18" spans="3:30" ht="12.75" customHeight="1">
      <c r="C18" s="740"/>
      <c r="D18" s="639"/>
      <c r="E18" s="741"/>
      <c r="F18" s="742"/>
      <c r="G18" s="639"/>
      <c r="H18" s="741"/>
      <c r="I18" s="742"/>
      <c r="V18" s="661">
        <v>2000</v>
      </c>
      <c r="W18" s="662">
        <f>+SUMIF(SYS_cliente!$F$5:$F$1678,'BCE ABREVIADO'!V18,SYS_cliente!$I$5:$I$1678)</f>
        <v>0</v>
      </c>
      <c r="X18" s="655"/>
      <c r="Z18" s="663"/>
      <c r="AA18" s="664" t="s">
        <v>56</v>
      </c>
      <c r="AB18" s="642"/>
    </row>
    <row r="19" spans="3:30" ht="15.6">
      <c r="C19" s="740" t="s">
        <v>12</v>
      </c>
      <c r="D19" s="639"/>
      <c r="E19" s="741">
        <f ca="1">+BALANCE!$E$23</f>
        <v>5522964.8300000001</v>
      </c>
      <c r="F19" s="742">
        <f t="shared" ca="1" si="0"/>
        <v>1.5674706993202583E-2</v>
      </c>
      <c r="G19" s="639"/>
      <c r="H19" s="741">
        <v>5651000.570000004</v>
      </c>
      <c r="I19" s="742">
        <v>1.7611108438507349E-2</v>
      </c>
      <c r="P19" s="553">
        <v>5651000.570000004</v>
      </c>
      <c r="Q19" s="605">
        <v>1.7611108438507349E-2</v>
      </c>
      <c r="V19" s="661">
        <v>2001</v>
      </c>
      <c r="W19" s="662">
        <f>+SUMIF(SYS_cliente!$F$5:$F$1678,'BCE ABREVIADO'!V19,SYS_cliente!$I$5:$I$1678)</f>
        <v>0</v>
      </c>
      <c r="X19" s="655"/>
      <c r="Z19" s="666" t="s">
        <v>144</v>
      </c>
      <c r="AA19" s="653" t="s">
        <v>57</v>
      </c>
      <c r="AB19" s="667">
        <f>SUM(AB20:AB49)</f>
        <v>-140000005.09999999</v>
      </c>
      <c r="AD19" s="668"/>
    </row>
    <row r="20" spans="3:30" ht="12.75" customHeight="1">
      <c r="C20" s="740"/>
      <c r="D20" s="639"/>
      <c r="E20" s="741"/>
      <c r="F20" s="742"/>
      <c r="G20" s="639"/>
      <c r="H20" s="741"/>
      <c r="I20" s="742"/>
      <c r="V20" s="661">
        <v>2002</v>
      </c>
      <c r="W20" s="662">
        <f>+SUMIF(SYS_cliente!$F$5:$F$1678,'BCE ABREVIADO'!V20,SYS_cliente!$I$5:$I$1678)</f>
        <v>0</v>
      </c>
      <c r="X20" s="655"/>
      <c r="Z20" s="666"/>
      <c r="AA20" s="661">
        <v>1000</v>
      </c>
      <c r="AB20" s="672">
        <f>+SUMIF(SYS_cliente!$F$5:$F$1678,'BCE ABREVIADO'!AA20,SYS_cliente!$I$5:$I$1678)</f>
        <v>-140000005.09999999</v>
      </c>
      <c r="AD20" s="668"/>
    </row>
    <row r="21" spans="3:30" ht="15.6">
      <c r="C21" s="740" t="s">
        <v>16</v>
      </c>
      <c r="D21" s="639"/>
      <c r="E21" s="741">
        <f ca="1">+BALANCE!$E$27</f>
        <v>22285564.650000002</v>
      </c>
      <c r="F21" s="742">
        <f t="shared" ca="1" si="0"/>
        <v>6.32485823862875E-2</v>
      </c>
      <c r="G21" s="639"/>
      <c r="H21" s="741">
        <v>18524284.289999999</v>
      </c>
      <c r="I21" s="742">
        <v>5.7730162178505649E-2</v>
      </c>
      <c r="P21" s="553">
        <v>18524284.289999999</v>
      </c>
      <c r="Q21" s="605">
        <v>5.7730162178505649E-2</v>
      </c>
      <c r="V21" s="661">
        <v>2003</v>
      </c>
      <c r="W21" s="662">
        <f>+SUMIF(SYS_cliente!$F$5:$F$1678,'BCE ABREVIADO'!V21,SYS_cliente!$I$5:$I$1678)</f>
        <v>0</v>
      </c>
      <c r="X21" s="655"/>
      <c r="Z21" s="666"/>
      <c r="AA21" s="661">
        <v>1001</v>
      </c>
      <c r="AB21" s="672">
        <f>+SUMIF(SYS_cliente!$F$5:$F$1678,'BCE ABREVIADO'!AA21,SYS_cliente!$I$5:$I$1678)</f>
        <v>0</v>
      </c>
      <c r="AD21" s="668"/>
    </row>
    <row r="22" spans="3:30" ht="12.75" customHeight="1">
      <c r="C22" s="740"/>
      <c r="D22" s="639"/>
      <c r="E22" s="741"/>
      <c r="F22" s="742"/>
      <c r="G22" s="639"/>
      <c r="H22" s="741"/>
      <c r="I22" s="742"/>
      <c r="V22" s="661">
        <v>2004</v>
      </c>
      <c r="W22" s="662">
        <f>+SUMIF(SYS_cliente!$F$5:$F$1678,'BCE ABREVIADO'!V22,SYS_cliente!$I$5:$I$1678)</f>
        <v>0</v>
      </c>
      <c r="X22" s="655"/>
      <c r="Z22" s="666"/>
      <c r="AA22" s="661">
        <v>1002</v>
      </c>
      <c r="AB22" s="672">
        <f>+SUMIF(SYS_cliente!$F$5:$F$1678,'BCE ABREVIADO'!AA22,SYS_cliente!$I$5:$I$1678)</f>
        <v>0</v>
      </c>
      <c r="AD22" s="668"/>
    </row>
    <row r="23" spans="3:30" ht="15.6">
      <c r="C23" s="740" t="s">
        <v>19</v>
      </c>
      <c r="D23" s="639"/>
      <c r="E23" s="741">
        <f ca="1">+BALANCE!$E$30</f>
        <v>0</v>
      </c>
      <c r="F23" s="742" t="str">
        <f t="shared" ca="1" si="0"/>
        <v/>
      </c>
      <c r="G23" s="639"/>
      <c r="H23" s="741">
        <v>0</v>
      </c>
      <c r="I23" s="742" t="s">
        <v>1392</v>
      </c>
      <c r="P23" s="553">
        <v>0</v>
      </c>
      <c r="Q23" s="605" t="s">
        <v>1392</v>
      </c>
      <c r="V23" s="661">
        <v>2005</v>
      </c>
      <c r="W23" s="662">
        <f>+SUMIF(SYS_cliente!$F$5:$F$1678,'BCE ABREVIADO'!V23,SYS_cliente!$I$5:$I$1678)</f>
        <v>0</v>
      </c>
      <c r="X23" s="655"/>
      <c r="Z23" s="666"/>
      <c r="AA23" s="661">
        <v>1003</v>
      </c>
      <c r="AB23" s="672">
        <f>+SUMIF(SYS_cliente!$F$5:$F$1678,'BCE ABREVIADO'!AA23,SYS_cliente!$I$5:$I$1678)</f>
        <v>0</v>
      </c>
      <c r="AD23" s="668"/>
    </row>
    <row r="24" spans="3:30" ht="12.75" customHeight="1">
      <c r="C24" s="740"/>
      <c r="D24" s="639"/>
      <c r="E24" s="741"/>
      <c r="F24" s="742"/>
      <c r="G24" s="639"/>
      <c r="H24" s="741"/>
      <c r="I24" s="742"/>
      <c r="V24" s="661">
        <v>2006</v>
      </c>
      <c r="W24" s="662">
        <f>+SUMIF(SYS_cliente!$F$5:$F$1678,'BCE ABREVIADO'!V24,SYS_cliente!$I$5:$I$1678)</f>
        <v>0</v>
      </c>
      <c r="X24" s="655"/>
      <c r="Z24" s="666"/>
      <c r="AA24" s="661">
        <v>1004</v>
      </c>
      <c r="AB24" s="672">
        <f>+SUMIF(SYS_cliente!$F$5:$F$1678,'BCE ABREVIADO'!AA24,SYS_cliente!$I$5:$I$1678)</f>
        <v>0</v>
      </c>
      <c r="AD24" s="668"/>
    </row>
    <row r="25" spans="3:30" ht="15.6">
      <c r="C25" s="740" t="s">
        <v>25</v>
      </c>
      <c r="D25" s="639"/>
      <c r="E25" s="741">
        <f ca="1">+BALANCE!$E$36</f>
        <v>163257538.41999999</v>
      </c>
      <c r="F25" s="742">
        <f t="shared" ca="1" si="0"/>
        <v>0.46334064364574512</v>
      </c>
      <c r="G25" s="639"/>
      <c r="H25" s="741">
        <v>155136438</v>
      </c>
      <c r="I25" s="742">
        <v>0.48347626204216965</v>
      </c>
      <c r="P25" s="553">
        <v>155136438</v>
      </c>
      <c r="Q25" s="605">
        <v>0.48347626204216965</v>
      </c>
      <c r="V25" s="661">
        <v>2007</v>
      </c>
      <c r="W25" s="662">
        <f>+SUMIF(SYS_cliente!$F$5:$F$1678,'BCE ABREVIADO'!V25,SYS_cliente!$I$5:$I$1678)</f>
        <v>0</v>
      </c>
      <c r="X25" s="655"/>
      <c r="Z25" s="666"/>
      <c r="AA25" s="661">
        <v>1005</v>
      </c>
      <c r="AB25" s="672">
        <f>+SUMIF(SYS_cliente!$F$5:$F$1678,'BCE ABREVIADO'!AA25,SYS_cliente!$I$5:$I$1678)</f>
        <v>0</v>
      </c>
      <c r="AD25" s="668"/>
    </row>
    <row r="26" spans="3:30" ht="12.75" customHeight="1">
      <c r="C26" s="740"/>
      <c r="D26" s="639"/>
      <c r="E26" s="741"/>
      <c r="F26" s="742"/>
      <c r="G26" s="639"/>
      <c r="H26" s="741"/>
      <c r="I26" s="742"/>
      <c r="V26" s="661">
        <v>2008</v>
      </c>
      <c r="W26" s="662">
        <f>+SUMIF(SYS_cliente!$F$5:$F$1678,'BCE ABREVIADO'!V26,SYS_cliente!$I$5:$I$1678)</f>
        <v>0</v>
      </c>
      <c r="X26" s="655"/>
      <c r="Z26" s="666"/>
      <c r="AA26" s="661">
        <v>1006</v>
      </c>
      <c r="AB26" s="672">
        <f>+SUMIF(SYS_cliente!$F$5:$F$1678,'BCE ABREVIADO'!AA26,SYS_cliente!$I$5:$I$1678)</f>
        <v>0</v>
      </c>
      <c r="AD26" s="668"/>
    </row>
    <row r="27" spans="3:30" ht="15.6">
      <c r="C27" s="740" t="s">
        <v>27</v>
      </c>
      <c r="D27" s="639"/>
      <c r="E27" s="741">
        <f ca="1">+BALANCE!$E$42</f>
        <v>2293618.2600000002</v>
      </c>
      <c r="F27" s="742">
        <f t="shared" ca="1" si="0"/>
        <v>6.5095098894119054E-3</v>
      </c>
      <c r="G27" s="639"/>
      <c r="H27" s="741">
        <v>2693279.37</v>
      </c>
      <c r="I27" s="742">
        <v>8.393493232343582E-3</v>
      </c>
      <c r="P27" s="553">
        <v>2693279.37</v>
      </c>
      <c r="Q27" s="605">
        <v>8.393493232343582E-3</v>
      </c>
      <c r="V27" s="661">
        <v>2009</v>
      </c>
      <c r="W27" s="662">
        <f>+SUMIF(SYS_cliente!$F$5:$F$1678,'BCE ABREVIADO'!V27,SYS_cliente!$I$5:$I$1678)</f>
        <v>0</v>
      </c>
      <c r="X27" s="655"/>
      <c r="Z27" s="666"/>
      <c r="AA27" s="661">
        <v>1007</v>
      </c>
      <c r="AB27" s="672">
        <f>+SUMIF(SYS_cliente!$F$5:$F$1678,'BCE ABREVIADO'!AA27,SYS_cliente!$I$5:$I$1678)</f>
        <v>0</v>
      </c>
      <c r="AD27" s="668"/>
    </row>
    <row r="28" spans="3:30" ht="15.6">
      <c r="C28" s="743"/>
      <c r="D28" s="639"/>
      <c r="E28" s="744"/>
      <c r="F28" s="745"/>
      <c r="G28" s="639"/>
      <c r="H28" s="744"/>
      <c r="I28" s="745"/>
      <c r="V28" s="661">
        <v>2010</v>
      </c>
      <c r="W28" s="662">
        <f>+SUMIF(SYS_cliente!$F$5:$F$1678,'BCE ABREVIADO'!V28,SYS_cliente!$I$5:$I$1678)</f>
        <v>0</v>
      </c>
      <c r="X28" s="655"/>
      <c r="Z28" s="666"/>
      <c r="AA28" s="661">
        <v>1008</v>
      </c>
      <c r="AB28" s="672">
        <f>+SUMIF(SYS_cliente!$F$5:$F$1678,'BCE ABREVIADO'!AA28,SYS_cliente!$I$5:$I$1678)</f>
        <v>0</v>
      </c>
      <c r="AD28" s="668"/>
    </row>
    <row r="29" spans="3:30" ht="15.6">
      <c r="C29" s="644"/>
      <c r="D29" s="639"/>
      <c r="E29" s="746"/>
      <c r="F29" s="747"/>
      <c r="G29" s="639"/>
      <c r="H29" s="746"/>
      <c r="I29" s="747"/>
      <c r="V29" s="661">
        <v>2011</v>
      </c>
      <c r="W29" s="662">
        <f>+SUMIF(SYS_cliente!$F$5:$F$1678,'BCE ABREVIADO'!V29,SYS_cliente!$I$5:$I$1678)</f>
        <v>0</v>
      </c>
      <c r="X29" s="655"/>
      <c r="Z29" s="666"/>
      <c r="AA29" s="661">
        <v>1009</v>
      </c>
      <c r="AB29" s="672">
        <f>+SUMIF(SYS_cliente!$F$5:$F$1678,'BCE ABREVIADO'!AA29,SYS_cliente!$I$5:$I$1678)</f>
        <v>0</v>
      </c>
      <c r="AD29" s="668"/>
    </row>
    <row r="30" spans="3:30" ht="15.6" hidden="1">
      <c r="C30" s="644"/>
      <c r="D30" s="639"/>
      <c r="E30" s="746"/>
      <c r="F30" s="747"/>
      <c r="G30" s="639"/>
      <c r="H30" s="746"/>
      <c r="I30" s="747"/>
      <c r="Q30" s="553"/>
      <c r="V30" s="661"/>
      <c r="W30" s="662"/>
      <c r="X30" s="655"/>
      <c r="Z30" s="666"/>
      <c r="AA30" s="661"/>
      <c r="AB30" s="672"/>
      <c r="AD30" s="668"/>
    </row>
    <row r="31" spans="3:30" ht="15.6" hidden="1">
      <c r="C31" s="644"/>
      <c r="D31" s="639"/>
      <c r="E31" s="746"/>
      <c r="F31" s="747"/>
      <c r="G31" s="639"/>
      <c r="H31" s="746"/>
      <c r="I31" s="747"/>
      <c r="V31" s="661">
        <v>2013</v>
      </c>
      <c r="W31" s="662">
        <f>+SUMIF(SYS_cliente!$F$5:$F$1678,'BCE ABREVIADO'!V31,SYS_cliente!$I$5:$I$1678)</f>
        <v>0</v>
      </c>
      <c r="X31" s="655"/>
      <c r="Z31" s="666"/>
      <c r="AA31" s="661">
        <v>1011</v>
      </c>
      <c r="AB31" s="672">
        <f>+SUMIF(SYS_cliente!$F$5:$F$1678,'BCE ABREVIADO'!AA31,SYS_cliente!$I$5:$I$1678)</f>
        <v>0</v>
      </c>
      <c r="AD31" s="668"/>
    </row>
    <row r="32" spans="3:30" ht="15.6">
      <c r="C32" s="628" t="s">
        <v>28</v>
      </c>
      <c r="E32" s="629">
        <f ca="1">+E34+E36+E38+E43+E45+E47+E49</f>
        <v>158945946.23999998</v>
      </c>
      <c r="F32" s="689">
        <f t="shared" ref="F32:F49" ca="1" si="1">+IF(E32=0,"",E32/$E$13)</f>
        <v>0.45110392909551256</v>
      </c>
      <c r="H32" s="629">
        <v>138804136.15000001</v>
      </c>
      <c r="I32" s="689">
        <v>0.43257732204599408</v>
      </c>
      <c r="P32" s="553">
        <v>138804136.15000001</v>
      </c>
      <c r="Q32" s="605">
        <v>0.43257732204599408</v>
      </c>
      <c r="V32" s="661">
        <v>2014</v>
      </c>
      <c r="W32" s="662">
        <f>+SUMIF(SYS_cliente!$F$5:$F$1678,'BCE ABREVIADO'!V32,SYS_cliente!$I$5:$I$1678)</f>
        <v>0</v>
      </c>
      <c r="X32" s="655"/>
      <c r="Z32" s="666"/>
      <c r="AA32" s="661">
        <v>1012</v>
      </c>
      <c r="AB32" s="672">
        <f>+SUMIF(SYS_cliente!$F$5:$F$1678,'BCE ABREVIADO'!AA32,SYS_cliente!$I$5:$I$1678)</f>
        <v>0</v>
      </c>
      <c r="AD32" s="668"/>
    </row>
    <row r="33" spans="3:30" ht="15.6">
      <c r="C33" s="748"/>
      <c r="E33" s="749"/>
      <c r="F33" s="750"/>
      <c r="H33" s="749"/>
      <c r="I33" s="750"/>
      <c r="V33" s="661">
        <v>2015</v>
      </c>
      <c r="W33" s="662">
        <f>+SUMIF(SYS_cliente!$F$5:$F$1678,'BCE ABREVIADO'!V33,SYS_cliente!$I$5:$I$1678)</f>
        <v>0</v>
      </c>
      <c r="X33" s="655"/>
      <c r="Z33" s="666"/>
      <c r="AA33" s="661">
        <v>1013</v>
      </c>
      <c r="AB33" s="672">
        <f>+SUMIF(SYS_cliente!$F$5:$F$1678,'BCE ABREVIADO'!AA33,SYS_cliente!$I$5:$I$1678)</f>
        <v>0</v>
      </c>
      <c r="AD33" s="668"/>
    </row>
    <row r="34" spans="3:30" ht="15.6">
      <c r="C34" s="638" t="s">
        <v>29</v>
      </c>
      <c r="D34" s="639"/>
      <c r="E34" s="640">
        <f ca="1">+BALANCE!$E$45</f>
        <v>0</v>
      </c>
      <c r="F34" s="641" t="str">
        <f t="shared" ca="1" si="1"/>
        <v/>
      </c>
      <c r="G34" s="639"/>
      <c r="H34" s="640">
        <v>0</v>
      </c>
      <c r="I34" s="641" t="s">
        <v>1392</v>
      </c>
      <c r="P34" s="553">
        <v>0</v>
      </c>
      <c r="Q34" s="605" t="s">
        <v>1392</v>
      </c>
      <c r="V34" s="661">
        <v>2016</v>
      </c>
      <c r="W34" s="662">
        <f>+SUMIF(SYS_cliente!$F$5:$F$1678,'BCE ABREVIADO'!V34,SYS_cliente!$I$5:$I$1678)</f>
        <v>0</v>
      </c>
      <c r="X34" s="655"/>
      <c r="Z34" s="666"/>
      <c r="AA34" s="661">
        <v>1014</v>
      </c>
      <c r="AB34" s="672">
        <f>+SUMIF(SYS_cliente!$F$5:$F$1678,'BCE ABREVIADO'!AA34,SYS_cliente!$I$5:$I$1678)</f>
        <v>0</v>
      </c>
      <c r="AD34" s="668"/>
    </row>
    <row r="35" spans="3:30" ht="12.75" customHeight="1">
      <c r="C35" s="740"/>
      <c r="D35" s="639"/>
      <c r="E35" s="741"/>
      <c r="F35" s="742"/>
      <c r="G35" s="639"/>
      <c r="H35" s="741"/>
      <c r="I35" s="742"/>
      <c r="V35" s="661">
        <v>2017</v>
      </c>
      <c r="W35" s="662">
        <f>+SUMIF(SYS_cliente!$F$5:$F$1678,'BCE ABREVIADO'!V35,SYS_cliente!$I$5:$I$1678)</f>
        <v>0</v>
      </c>
      <c r="X35" s="655"/>
      <c r="Z35" s="666"/>
      <c r="AA35" s="661">
        <v>1015</v>
      </c>
      <c r="AB35" s="672">
        <f>+SUMIF(SYS_cliente!$F$5:$F$1678,'BCE ABREVIADO'!AA35,SYS_cliente!$I$5:$I$1678)</f>
        <v>0</v>
      </c>
      <c r="AD35" s="668"/>
    </row>
    <row r="36" spans="3:30" ht="15.6">
      <c r="C36" s="638" t="s">
        <v>30</v>
      </c>
      <c r="D36" s="639"/>
      <c r="E36" s="640">
        <f ca="1">+BALANCE!$E$46</f>
        <v>45753952.569999993</v>
      </c>
      <c r="F36" s="641">
        <f t="shared" ca="1" si="1"/>
        <v>0.12985413132091919</v>
      </c>
      <c r="G36" s="639"/>
      <c r="H36" s="640">
        <v>41673214.149999999</v>
      </c>
      <c r="I36" s="641">
        <v>0.12987284009012023</v>
      </c>
      <c r="P36" s="553">
        <v>41673214.149999999</v>
      </c>
      <c r="Q36" s="605">
        <v>0.12987284009012023</v>
      </c>
      <c r="V36" s="661">
        <v>2018</v>
      </c>
      <c r="W36" s="662">
        <f>+SUMIF(SYS_cliente!$F$5:$F$1678,'BCE ABREVIADO'!V36,SYS_cliente!$I$5:$I$1678)</f>
        <v>0</v>
      </c>
      <c r="X36" s="655"/>
      <c r="Z36" s="666"/>
      <c r="AA36" s="661">
        <v>1016</v>
      </c>
      <c r="AB36" s="672">
        <f>+SUMIF(SYS_cliente!$F$5:$F$1678,'BCE ABREVIADO'!AA36,SYS_cliente!$I$5:$I$1678)</f>
        <v>0</v>
      </c>
      <c r="AD36" s="668"/>
    </row>
    <row r="37" spans="3:30" ht="12.75" customHeight="1">
      <c r="C37" s="740"/>
      <c r="D37" s="639"/>
      <c r="E37" s="741"/>
      <c r="F37" s="742"/>
      <c r="G37" s="639"/>
      <c r="H37" s="741"/>
      <c r="I37" s="742"/>
      <c r="V37" s="661">
        <v>2019</v>
      </c>
      <c r="W37" s="662">
        <f>+SUMIF(SYS_cliente!$F$5:$F$1678,'BCE ABREVIADO'!V37,SYS_cliente!$I$5:$I$1678)</f>
        <v>0</v>
      </c>
      <c r="X37" s="655"/>
      <c r="Z37" s="666"/>
      <c r="AA37" s="661">
        <v>1017</v>
      </c>
      <c r="AB37" s="672">
        <f>+SUMIF(SYS_cliente!$F$5:$F$1678,'BCE ABREVIADO'!AA37,SYS_cliente!$I$5:$I$1678)</f>
        <v>0</v>
      </c>
      <c r="AD37" s="668"/>
    </row>
    <row r="38" spans="3:30" ht="15.6">
      <c r="C38" s="638" t="s">
        <v>37</v>
      </c>
      <c r="D38" s="639"/>
      <c r="E38" s="640">
        <f ca="1">SUM(E39:E41)</f>
        <v>27493302.080000002</v>
      </c>
      <c r="F38" s="641">
        <f t="shared" ca="1" si="1"/>
        <v>7.8028643608003406E-2</v>
      </c>
      <c r="G38" s="639"/>
      <c r="H38" s="640">
        <v>22173680.149999999</v>
      </c>
      <c r="I38" s="641">
        <v>6.9103352718725281E-2</v>
      </c>
      <c r="P38" s="553">
        <v>22173680.149999999</v>
      </c>
      <c r="Q38" s="605">
        <v>6.9103352718725281E-2</v>
      </c>
      <c r="V38" s="661">
        <v>2801</v>
      </c>
      <c r="W38" s="662">
        <f>+SUMIF(SYS_cliente!$F$5:$F$1678,'BCE ABREVIADO'!V38,SYS_cliente!$I$5:$I$1678)</f>
        <v>0</v>
      </c>
      <c r="X38" s="655"/>
      <c r="Z38" s="666"/>
      <c r="AA38" s="661">
        <v>1018</v>
      </c>
      <c r="AB38" s="672">
        <f>+SUMIF(SYS_cliente!$F$5:$F$1678,'BCE ABREVIADO'!AA38,SYS_cliente!$I$5:$I$1678)</f>
        <v>0</v>
      </c>
      <c r="AD38" s="668"/>
    </row>
    <row r="39" spans="3:30" ht="15" customHeight="1">
      <c r="C39" s="646" t="s">
        <v>38</v>
      </c>
      <c r="E39" s="647">
        <f ca="1">+BALANCE!$E$54+BALANCE!$E$55</f>
        <v>24337588.380000003</v>
      </c>
      <c r="F39" s="648">
        <f t="shared" ca="1" si="1"/>
        <v>6.9072423692705637E-2</v>
      </c>
      <c r="H39" s="647">
        <v>20428155.5</v>
      </c>
      <c r="I39" s="648">
        <v>6.3663497685541734E-2</v>
      </c>
      <c r="P39" s="553">
        <v>20428155.5</v>
      </c>
      <c r="Q39" s="605">
        <v>6.3663497685541734E-2</v>
      </c>
      <c r="V39" s="661">
        <v>2901</v>
      </c>
      <c r="W39" s="662">
        <f>+SUMIF(SYS_cliente!$F$5:$F$1678,'BCE ABREVIADO'!V39,SYS_cliente!$I$5:$I$1678)</f>
        <v>0</v>
      </c>
      <c r="X39" s="655"/>
      <c r="Z39" s="666"/>
      <c r="AA39" s="661">
        <v>1019</v>
      </c>
      <c r="AB39" s="672">
        <f>+SUMIF(SYS_cliente!$F$5:$F$1678,'BCE ABREVIADO'!AA39,SYS_cliente!$I$5:$I$1678)</f>
        <v>0</v>
      </c>
      <c r="AD39" s="668"/>
    </row>
    <row r="40" spans="3:30" ht="15" customHeight="1">
      <c r="C40" s="646" t="s">
        <v>44</v>
      </c>
      <c r="E40" s="647">
        <f ca="1">+BALANCE!$E$60</f>
        <v>0</v>
      </c>
      <c r="F40" s="648" t="str">
        <f t="shared" ca="1" si="1"/>
        <v/>
      </c>
      <c r="H40" s="647">
        <v>0</v>
      </c>
      <c r="I40" s="648" t="s">
        <v>1392</v>
      </c>
      <c r="P40" s="553">
        <v>0</v>
      </c>
      <c r="Q40" s="605" t="s">
        <v>1392</v>
      </c>
      <c r="U40" s="652" t="s">
        <v>110</v>
      </c>
      <c r="V40" s="653" t="s">
        <v>7</v>
      </c>
      <c r="W40" s="654">
        <f>SUM(W41:W52)</f>
        <v>11171.26</v>
      </c>
      <c r="X40" s="655"/>
      <c r="Z40" s="666"/>
      <c r="AA40" s="661">
        <v>1020</v>
      </c>
      <c r="AB40" s="672">
        <f>+SUMIF(SYS_cliente!$F$5:$F$1678,'BCE ABREVIADO'!AA40,SYS_cliente!$I$5:$I$1678)</f>
        <v>0</v>
      </c>
      <c r="AD40" s="668"/>
    </row>
    <row r="41" spans="3:30" ht="15" customHeight="1">
      <c r="C41" s="646" t="s">
        <v>279</v>
      </c>
      <c r="E41" s="647">
        <f ca="1">+BALANCE!$E$56+BALANCE!$E$57+BALANCE!$E$58+BALANCE!$E$59</f>
        <v>3155713.7</v>
      </c>
      <c r="F41" s="648">
        <f t="shared" ca="1" si="1"/>
        <v>8.9562199152977764E-3</v>
      </c>
      <c r="H41" s="647">
        <v>1745524.65</v>
      </c>
      <c r="I41" s="648">
        <v>5.4398550331835414E-3</v>
      </c>
      <c r="P41" s="553">
        <v>1745524.65</v>
      </c>
      <c r="Q41" s="605">
        <v>5.4398550331835414E-3</v>
      </c>
      <c r="V41" s="661">
        <v>2020</v>
      </c>
      <c r="W41" s="662">
        <f>+SUMIF(SYS_cliente!$F$5:$F$1678,'BCE ABREVIADO'!V41,SYS_cliente!$I$5:$I$1678)</f>
        <v>20800</v>
      </c>
      <c r="X41" s="655"/>
      <c r="Z41" s="666"/>
      <c r="AA41" s="661">
        <v>1021</v>
      </c>
      <c r="AB41" s="672">
        <f>+SUMIF(SYS_cliente!$F$5:$F$1678,'BCE ABREVIADO'!AA41,SYS_cliente!$I$5:$I$1678)</f>
        <v>0</v>
      </c>
      <c r="AD41" s="668"/>
    </row>
    <row r="42" spans="3:30" ht="12.75" customHeight="1">
      <c r="C42" s="740"/>
      <c r="D42" s="639"/>
      <c r="E42" s="741"/>
      <c r="F42" s="742"/>
      <c r="G42" s="639"/>
      <c r="H42" s="741"/>
      <c r="I42" s="742"/>
      <c r="V42" s="661">
        <v>2021</v>
      </c>
      <c r="W42" s="662">
        <f>+SUMIF(SYS_cliente!$F$5:$F$1678,'BCE ABREVIADO'!V42,SYS_cliente!$I$5:$I$1678)</f>
        <v>0</v>
      </c>
      <c r="X42" s="655"/>
      <c r="Z42" s="666"/>
      <c r="AA42" s="661">
        <v>1022</v>
      </c>
      <c r="AB42" s="672">
        <f>+SUMIF(SYS_cliente!$F$5:$F$1678,'BCE ABREVIADO'!AA42,SYS_cliente!$I$5:$I$1678)</f>
        <v>0</v>
      </c>
      <c r="AD42" s="668"/>
    </row>
    <row r="43" spans="3:30" ht="15.6">
      <c r="C43" s="638" t="s">
        <v>45</v>
      </c>
      <c r="D43" s="639"/>
      <c r="E43" s="640">
        <f ca="1">+BALANCE!$E$61</f>
        <v>0</v>
      </c>
      <c r="F43" s="641" t="str">
        <f t="shared" ca="1" si="1"/>
        <v/>
      </c>
      <c r="G43" s="639"/>
      <c r="H43" s="640">
        <v>0</v>
      </c>
      <c r="I43" s="641" t="s">
        <v>1392</v>
      </c>
      <c r="P43" s="553">
        <v>0</v>
      </c>
      <c r="Q43" s="605" t="s">
        <v>1392</v>
      </c>
      <c r="V43" s="661">
        <v>2022</v>
      </c>
      <c r="W43" s="662">
        <f>+SUMIF(SYS_cliente!$F$5:$F$1678,'BCE ABREVIADO'!V43,SYS_cliente!$I$5:$I$1678)</f>
        <v>0</v>
      </c>
      <c r="X43" s="655"/>
      <c r="Z43" s="666"/>
      <c r="AA43" s="661">
        <v>1023</v>
      </c>
      <c r="AB43" s="672">
        <f>+SUMIF(SYS_cliente!$F$5:$F$1678,'BCE ABREVIADO'!AA43,SYS_cliente!$I$5:$I$1678)</f>
        <v>0</v>
      </c>
      <c r="AD43" s="668"/>
    </row>
    <row r="44" spans="3:30" ht="12.75" customHeight="1">
      <c r="C44" s="740"/>
      <c r="D44" s="639"/>
      <c r="E44" s="741"/>
      <c r="F44" s="742"/>
      <c r="G44" s="639"/>
      <c r="H44" s="741"/>
      <c r="I44" s="742"/>
      <c r="V44" s="661">
        <v>2023</v>
      </c>
      <c r="W44" s="662">
        <f>+SUMIF(SYS_cliente!$F$5:$F$1678,'BCE ABREVIADO'!V44,SYS_cliente!$I$5:$I$1678)</f>
        <v>0</v>
      </c>
      <c r="X44" s="655"/>
      <c r="Z44" s="666"/>
      <c r="AA44" s="661">
        <v>1024</v>
      </c>
      <c r="AB44" s="672">
        <f>+SUMIF(SYS_cliente!$F$5:$F$1678,'BCE ABREVIADO'!AA44,SYS_cliente!$I$5:$I$1678)</f>
        <v>0</v>
      </c>
      <c r="AD44" s="668"/>
    </row>
    <row r="45" spans="3:30" ht="15.6">
      <c r="C45" s="638" t="s">
        <v>46</v>
      </c>
      <c r="D45" s="639"/>
      <c r="E45" s="640">
        <f ca="1">+BALANCE!$E$67</f>
        <v>103027.25</v>
      </c>
      <c r="F45" s="641">
        <f t="shared" ca="1" si="1"/>
        <v>2.9240127463665757E-4</v>
      </c>
      <c r="G45" s="639"/>
      <c r="H45" s="640">
        <v>125894.24</v>
      </c>
      <c r="I45" s="641">
        <v>3.9234416718939876E-4</v>
      </c>
      <c r="P45" s="553">
        <v>125894.24</v>
      </c>
      <c r="Q45" s="605">
        <v>3.9234416718939876E-4</v>
      </c>
      <c r="V45" s="661">
        <v>2024</v>
      </c>
      <c r="W45" s="662">
        <f>+SUMIF(SYS_cliente!$F$5:$F$1678,'BCE ABREVIADO'!V45,SYS_cliente!$I$5:$I$1678)</f>
        <v>0</v>
      </c>
      <c r="X45" s="655"/>
      <c r="Z45" s="666"/>
      <c r="AA45" s="661">
        <v>1025</v>
      </c>
      <c r="AB45" s="672">
        <f>+SUMIF(SYS_cliente!$F$5:$F$1678,'BCE ABREVIADO'!AA45,SYS_cliente!$I$5:$I$1678)</f>
        <v>0</v>
      </c>
    </row>
    <row r="46" spans="3:30" ht="12.75" customHeight="1">
      <c r="C46" s="740"/>
      <c r="D46" s="639"/>
      <c r="E46" s="741"/>
      <c r="F46" s="742"/>
      <c r="G46" s="639"/>
      <c r="H46" s="741"/>
      <c r="I46" s="742"/>
      <c r="V46" s="661">
        <v>2025</v>
      </c>
      <c r="W46" s="662">
        <f>+SUMIF(SYS_cliente!$F$5:$F$1678,'BCE ABREVIADO'!V46,SYS_cliente!$I$5:$I$1678)</f>
        <v>0</v>
      </c>
      <c r="X46" s="655"/>
      <c r="Z46" s="666"/>
      <c r="AA46" s="661">
        <v>1026</v>
      </c>
      <c r="AB46" s="672">
        <f>+SUMIF(SYS_cliente!$F$5:$F$1678,'BCE ABREVIADO'!AA46,SYS_cliente!$I$5:$I$1678)</f>
        <v>0</v>
      </c>
      <c r="AD46" s="668"/>
    </row>
    <row r="47" spans="3:30" ht="15.6">
      <c r="C47" s="638" t="s">
        <v>48</v>
      </c>
      <c r="D47" s="639"/>
      <c r="E47" s="640">
        <f ca="1">+BALANCE!$E$73</f>
        <v>18505.640000000003</v>
      </c>
      <c r="F47" s="641">
        <f t="shared" ca="1" si="1"/>
        <v>5.2520791576666531E-5</v>
      </c>
      <c r="G47" s="639"/>
      <c r="H47" s="640">
        <v>18058.22</v>
      </c>
      <c r="I47" s="641">
        <v>5.6277692186893899E-5</v>
      </c>
      <c r="P47" s="553">
        <v>18058.22</v>
      </c>
      <c r="Q47" s="605">
        <v>5.6277692186893899E-5</v>
      </c>
      <c r="V47" s="661">
        <v>2026</v>
      </c>
      <c r="W47" s="662">
        <f>+SUMIF(SYS_cliente!$F$5:$F$1678,'BCE ABREVIADO'!V47,SYS_cliente!$I$5:$I$1678)</f>
        <v>0</v>
      </c>
      <c r="X47" s="655"/>
      <c r="Z47" s="666"/>
      <c r="AA47" s="661">
        <v>1027</v>
      </c>
      <c r="AB47" s="672">
        <f>+SUMIF(SYS_cliente!$F$5:$F$1678,'BCE ABREVIADO'!AA47,SYS_cliente!$I$5:$I$1678)</f>
        <v>0</v>
      </c>
    </row>
    <row r="48" spans="3:30" ht="12.75" customHeight="1">
      <c r="C48" s="740"/>
      <c r="D48" s="639"/>
      <c r="E48" s="741"/>
      <c r="F48" s="742"/>
      <c r="G48" s="639"/>
      <c r="H48" s="741"/>
      <c r="I48" s="742"/>
      <c r="V48" s="661">
        <v>2027</v>
      </c>
      <c r="W48" s="662">
        <f>+SUMIF(SYS_cliente!$F$5:$F$1678,'BCE ABREVIADO'!V48,SYS_cliente!$I$5:$I$1678)</f>
        <v>0</v>
      </c>
      <c r="X48" s="655"/>
      <c r="Z48" s="666"/>
      <c r="AA48" s="661">
        <v>1028</v>
      </c>
      <c r="AB48" s="672">
        <f>+SUMIF(SYS_cliente!$F$5:$F$1678,'BCE ABREVIADO'!AA48,SYS_cliente!$I$5:$I$1678)</f>
        <v>0</v>
      </c>
      <c r="AD48" s="668"/>
    </row>
    <row r="49" spans="3:28" ht="15.6">
      <c r="C49" s="638" t="s">
        <v>278</v>
      </c>
      <c r="D49" s="639"/>
      <c r="E49" s="640">
        <f ca="1">+BALANCE!$E$74</f>
        <v>85577158.699999988</v>
      </c>
      <c r="F49" s="641">
        <f t="shared" ca="1" si="1"/>
        <v>0.24287623210037662</v>
      </c>
      <c r="G49" s="639"/>
      <c r="H49" s="640">
        <v>74813289.390000001</v>
      </c>
      <c r="I49" s="641">
        <v>0.23315250737777227</v>
      </c>
      <c r="P49" s="553">
        <v>74813289.390000001</v>
      </c>
      <c r="Q49" s="605">
        <v>0.23315250737777227</v>
      </c>
      <c r="V49" s="661">
        <v>2028</v>
      </c>
      <c r="W49" s="662">
        <f>+SUMIF(SYS_cliente!$F$5:$F$1678,'BCE ABREVIADO'!V49,SYS_cliente!$I$5:$I$1678)</f>
        <v>0</v>
      </c>
      <c r="X49" s="655"/>
      <c r="Z49" s="666"/>
      <c r="AA49" s="661">
        <v>1029</v>
      </c>
      <c r="AB49" s="672">
        <f>+SUMIF(SYS_cliente!$F$5:$F$1678,'BCE ABREVIADO'!AA49,SYS_cliente!$I$5:$I$1678)</f>
        <v>0</v>
      </c>
    </row>
    <row r="50" spans="3:28" ht="15.6" hidden="1">
      <c r="C50" s="638"/>
      <c r="D50" s="639"/>
      <c r="E50" s="640"/>
      <c r="F50" s="641"/>
      <c r="G50" s="639"/>
      <c r="H50" s="640"/>
      <c r="I50" s="641"/>
      <c r="V50" s="661">
        <v>2029</v>
      </c>
      <c r="W50" s="662">
        <f>+SUMIF(SYS_cliente!$F$5:$F$1678,'BCE ABREVIADO'!V50,SYS_cliente!$I$5:$I$1678)</f>
        <v>0</v>
      </c>
      <c r="X50" s="655"/>
      <c r="Z50" s="666" t="s">
        <v>145</v>
      </c>
      <c r="AA50" s="653" t="s">
        <v>58</v>
      </c>
      <c r="AB50" s="667">
        <f>SUM(AB51:AB52)</f>
        <v>0</v>
      </c>
    </row>
    <row r="51" spans="3:28" ht="15.6" hidden="1">
      <c r="C51" s="638"/>
      <c r="D51" s="639"/>
      <c r="E51" s="640"/>
      <c r="F51" s="641"/>
      <c r="G51" s="639"/>
      <c r="H51" s="640"/>
      <c r="I51" s="641"/>
      <c r="V51" s="661">
        <v>2802</v>
      </c>
      <c r="W51" s="662">
        <f>+SUMIF(SYS_cliente!$F$5:$F$1678,'BCE ABREVIADO'!V51,SYS_cliente!$I$5:$I$1678)</f>
        <v>-9628.74</v>
      </c>
      <c r="X51" s="655"/>
      <c r="Z51" s="666"/>
      <c r="AA51" s="661">
        <v>1030</v>
      </c>
      <c r="AB51" s="672">
        <f>+SUMIF(SYS_cliente!$F$5:$F$1678,'BCE ABREVIADO'!AA51,SYS_cliente!$I$5:$I$1678)</f>
        <v>0</v>
      </c>
    </row>
    <row r="52" spans="3:28" ht="15.6" hidden="1">
      <c r="C52" s="638"/>
      <c r="D52" s="639"/>
      <c r="E52" s="640"/>
      <c r="F52" s="641"/>
      <c r="G52" s="639"/>
      <c r="H52" s="640"/>
      <c r="I52" s="641"/>
      <c r="V52" s="661">
        <v>2902</v>
      </c>
      <c r="W52" s="662">
        <f>+SUMIF(SYS_cliente!$F$5:$F$1678,'BCE ABREVIADO'!V52,SYS_cliente!$I$5:$I$1678)</f>
        <v>0</v>
      </c>
      <c r="X52" s="655"/>
      <c r="Z52" s="666"/>
      <c r="AA52" s="661">
        <v>1040</v>
      </c>
      <c r="AB52" s="672">
        <f>+SUMIF(SYS_cliente!$F$5:$F$1678,'BCE ABREVIADO'!AA52,SYS_cliente!$I$5:$I$1678)</f>
        <v>0</v>
      </c>
    </row>
    <row r="53" spans="3:28" ht="15.6">
      <c r="C53" s="743"/>
      <c r="D53" s="639"/>
      <c r="E53" s="744"/>
      <c r="F53" s="745"/>
      <c r="G53" s="639"/>
      <c r="H53" s="744"/>
      <c r="I53" s="745"/>
      <c r="U53" s="652" t="s">
        <v>111</v>
      </c>
      <c r="V53" s="653" t="s">
        <v>8</v>
      </c>
      <c r="W53" s="654">
        <f>SUM(W54:W65)</f>
        <v>0</v>
      </c>
      <c r="X53" s="655"/>
      <c r="Z53" s="666">
        <v>110</v>
      </c>
      <c r="AA53" s="664" t="s">
        <v>59</v>
      </c>
      <c r="AB53" s="642">
        <f>SUM(AB54:AB63)</f>
        <v>0</v>
      </c>
    </row>
    <row r="54" spans="3:28" ht="15.6">
      <c r="C54" s="644"/>
      <c r="D54" s="639"/>
      <c r="E54" s="746"/>
      <c r="F54" s="747"/>
      <c r="G54" s="639"/>
      <c r="H54" s="746"/>
      <c r="I54" s="747"/>
      <c r="V54" s="661">
        <v>2030</v>
      </c>
      <c r="W54" s="662">
        <f>+SUMIF(SYS_cliente!$F$5:$F$1678,'BCE ABREVIADO'!V54,SYS_cliente!$I$5:$I$1678)</f>
        <v>0</v>
      </c>
      <c r="X54" s="655"/>
      <c r="Z54" s="666"/>
      <c r="AA54" s="661">
        <v>1100</v>
      </c>
      <c r="AB54" s="672">
        <f>+SUMIF(SYS_cliente!$F$5:$F$1678,'BCE ABREVIADO'!AA54,SYS_cliente!$I$5:$I$1678)</f>
        <v>0</v>
      </c>
    </row>
    <row r="55" spans="3:28" ht="17.399999999999999">
      <c r="C55" s="616" t="s">
        <v>52</v>
      </c>
      <c r="E55" s="617">
        <f ca="1">+E15+E32</f>
        <v>352348840.22999996</v>
      </c>
      <c r="F55" s="709">
        <f ca="1">+IF(E55=0,"",E55/$E$13)</f>
        <v>1</v>
      </c>
      <c r="H55" s="617">
        <v>320877052.67000002</v>
      </c>
      <c r="I55" s="709">
        <v>1</v>
      </c>
      <c r="P55" s="553">
        <v>320877052.67000002</v>
      </c>
      <c r="Q55" s="605">
        <v>1</v>
      </c>
      <c r="V55" s="661">
        <v>2031</v>
      </c>
      <c r="W55" s="662">
        <f>+SUMIF(SYS_cliente!$F$5:$F$1678,'BCE ABREVIADO'!V55,SYS_cliente!$I$5:$I$1678)</f>
        <v>0</v>
      </c>
      <c r="X55" s="655"/>
      <c r="Z55" s="666"/>
      <c r="AA55" s="661">
        <v>1101</v>
      </c>
      <c r="AB55" s="672">
        <f>+SUMIF(SYS_cliente!$F$5:$F$1678,'BCE ABREVIADO'!AA55,SYS_cliente!$I$5:$I$1678)</f>
        <v>0</v>
      </c>
    </row>
    <row r="56" spans="3:28" ht="9" customHeight="1">
      <c r="M56" s="642"/>
      <c r="N56" s="642"/>
      <c r="Q56" s="642"/>
      <c r="V56" s="661">
        <v>2032</v>
      </c>
      <c r="W56" s="662">
        <f>+SUMIF(SYS_cliente!$F$5:$F$1678,'BCE ABREVIADO'!V56,SYS_cliente!$I$5:$I$1678)</f>
        <v>0</v>
      </c>
      <c r="X56" s="655"/>
      <c r="Z56" s="666"/>
      <c r="AA56" s="661">
        <v>1102</v>
      </c>
      <c r="AB56" s="672">
        <f>+SUMIF(SYS_cliente!$F$5:$F$1678,'BCE ABREVIADO'!AA56,SYS_cliente!$I$5:$I$1678)</f>
        <v>0</v>
      </c>
    </row>
    <row r="57" spans="3:28" ht="13.5" customHeight="1">
      <c r="M57" s="642"/>
      <c r="N57" s="642"/>
      <c r="Q57" s="642"/>
      <c r="V57" s="661">
        <v>2033</v>
      </c>
      <c r="W57" s="662">
        <f>+SUMIF(SYS_cliente!$F$5:$F$1678,'BCE ABREVIADO'!V57,SYS_cliente!$I$5:$I$1678)</f>
        <v>0</v>
      </c>
      <c r="X57" s="655"/>
      <c r="Z57" s="666"/>
      <c r="AA57" s="661">
        <v>1103</v>
      </c>
      <c r="AB57" s="672">
        <f>+SUMIF(SYS_cliente!$F$5:$F$1678,'BCE ABREVIADO'!AA57,SYS_cliente!$I$5:$I$1678)</f>
        <v>0</v>
      </c>
    </row>
    <row r="58" spans="3:28" ht="13.8" hidden="1">
      <c r="Q58" s="642"/>
      <c r="V58" s="661">
        <v>2034</v>
      </c>
      <c r="W58" s="662">
        <f>+SUMIF(SYS_cliente!$F$5:$F$1678,'BCE ABREVIADO'!V58,SYS_cliente!$I$5:$I$1678)</f>
        <v>0</v>
      </c>
      <c r="X58" s="655"/>
      <c r="Z58" s="666"/>
      <c r="AA58" s="661">
        <v>1104</v>
      </c>
      <c r="AB58" s="672">
        <f>+SUMIF(SYS_cliente!$F$5:$F$1678,'BCE ABREVIADO'!AA58,SYS_cliente!$I$5:$I$1678)</f>
        <v>0</v>
      </c>
    </row>
    <row r="59" spans="3:28" ht="15.6" hidden="1">
      <c r="E59" s="732">
        <f>+E11</f>
        <v>45657</v>
      </c>
      <c r="F59" s="733" t="s">
        <v>180</v>
      </c>
      <c r="H59" s="732">
        <v>45291</v>
      </c>
      <c r="I59" s="733" t="s">
        <v>180</v>
      </c>
      <c r="M59" s="642"/>
      <c r="N59" s="642"/>
      <c r="P59" s="553">
        <v>45291</v>
      </c>
      <c r="Q59" s="642" t="s">
        <v>180</v>
      </c>
      <c r="V59" s="661">
        <v>2035</v>
      </c>
      <c r="W59" s="662">
        <f>+SUMIF(SYS_cliente!$F$5:$F$1678,'BCE ABREVIADO'!V59,SYS_cliente!$I$5:$I$1678)</f>
        <v>0</v>
      </c>
      <c r="X59" s="655"/>
      <c r="Z59" s="666"/>
      <c r="AA59" s="661">
        <v>1105</v>
      </c>
      <c r="AB59" s="672">
        <f>+SUMIF(SYS_cliente!$F$5:$F$1678,'BCE ABREVIADO'!AA59,SYS_cliente!$I$5:$I$1678)</f>
        <v>0</v>
      </c>
    </row>
    <row r="60" spans="3:28" ht="13.8" hidden="1">
      <c r="I60" s="605"/>
      <c r="M60" s="642"/>
      <c r="N60" s="642"/>
      <c r="Q60" s="642"/>
      <c r="V60" s="661">
        <v>2036</v>
      </c>
      <c r="W60" s="662">
        <f>+SUMIF(SYS_cliente!$F$5:$F$1678,'BCE ABREVIADO'!V60,SYS_cliente!$I$5:$I$1678)</f>
        <v>0</v>
      </c>
      <c r="X60" s="655"/>
      <c r="Z60" s="666"/>
      <c r="AA60" s="661">
        <v>1106</v>
      </c>
      <c r="AB60" s="672">
        <f>+SUMIF(SYS_cliente!$F$5:$F$1678,'BCE ABREVIADO'!AA60,SYS_cliente!$I$5:$I$1678)</f>
        <v>0</v>
      </c>
    </row>
    <row r="61" spans="3:28" ht="17.399999999999999">
      <c r="C61" s="616" t="s">
        <v>53</v>
      </c>
      <c r="E61" s="619">
        <f ca="1">+E63+E80+E90</f>
        <v>352348840.23000002</v>
      </c>
      <c r="F61" s="618">
        <f ca="1">+IF(E61=0,"",E61/$E$61)</f>
        <v>1</v>
      </c>
      <c r="H61" s="619">
        <v>320877052.67000002</v>
      </c>
      <c r="I61" s="618">
        <v>1</v>
      </c>
      <c r="M61" s="642"/>
      <c r="N61" s="642"/>
      <c r="P61" s="553">
        <v>320877052.67000002</v>
      </c>
      <c r="Q61" s="642">
        <v>1</v>
      </c>
      <c r="V61" s="661">
        <v>2037</v>
      </c>
      <c r="W61" s="662">
        <f>+SUMIF(SYS_cliente!$F$5:$F$1678,'BCE ABREVIADO'!V61,SYS_cliente!$I$5:$I$1678)</f>
        <v>0</v>
      </c>
      <c r="X61" s="655"/>
      <c r="Z61" s="666"/>
      <c r="AA61" s="661">
        <v>1107</v>
      </c>
      <c r="AB61" s="672">
        <f>+SUMIF(SYS_cliente!$F$5:$F$1678,'BCE ABREVIADO'!AA61,SYS_cliente!$I$5:$I$1678)</f>
        <v>0</v>
      </c>
    </row>
    <row r="62" spans="3:28" ht="15.6">
      <c r="E62" s="624"/>
      <c r="F62" s="624"/>
      <c r="H62" s="624"/>
      <c r="I62" s="624"/>
      <c r="M62" s="642"/>
      <c r="N62" s="642"/>
      <c r="Q62" s="642"/>
      <c r="V62" s="661">
        <v>2038</v>
      </c>
      <c r="W62" s="662">
        <f>+SUMIF(SYS_cliente!$F$5:$F$1678,'BCE ABREVIADO'!V62,SYS_cliente!$I$5:$I$1678)</f>
        <v>0</v>
      </c>
      <c r="X62" s="655"/>
      <c r="Z62" s="666"/>
      <c r="AA62" s="661">
        <v>1108</v>
      </c>
      <c r="AB62" s="672">
        <f>+SUMIF(SYS_cliente!$F$5:$F$1678,'BCE ABREVIADO'!AA62,SYS_cliente!$I$5:$I$1678)</f>
        <v>0</v>
      </c>
    </row>
    <row r="63" spans="3:28" ht="15.6">
      <c r="C63" s="631" t="s">
        <v>54</v>
      </c>
      <c r="E63" s="632">
        <f ca="1">+E65+E77+E78</f>
        <v>340811132.96000004</v>
      </c>
      <c r="F63" s="633">
        <f t="shared" ref="F63:F103" ca="1" si="2">+IF(E63=0,"",E63/$E$61)</f>
        <v>0.96725487371416174</v>
      </c>
      <c r="H63" s="632">
        <v>313525867.13999999</v>
      </c>
      <c r="I63" s="633">
        <v>0.9770903357880184</v>
      </c>
      <c r="M63" s="642"/>
      <c r="N63" s="642"/>
      <c r="P63" s="553">
        <v>313525867.13999999</v>
      </c>
      <c r="Q63" s="642">
        <v>0.9770903357880184</v>
      </c>
      <c r="V63" s="661">
        <v>2039</v>
      </c>
      <c r="W63" s="662">
        <f>+SUMIF(SYS_cliente!$F$5:$F$1678,'BCE ABREVIADO'!V63,SYS_cliente!$I$5:$I$1678)</f>
        <v>0</v>
      </c>
      <c r="X63" s="655"/>
      <c r="Z63" s="666"/>
      <c r="AA63" s="661">
        <v>1109</v>
      </c>
      <c r="AB63" s="672">
        <f>+SUMIF(SYS_cliente!$F$5:$F$1678,'BCE ABREVIADO'!AA63,SYS_cliente!$I$5:$I$1678)</f>
        <v>0</v>
      </c>
    </row>
    <row r="64" spans="3:28" ht="13.8">
      <c r="E64" s="642"/>
      <c r="F64" s="643" t="str">
        <f t="shared" si="2"/>
        <v/>
      </c>
      <c r="H64" s="642"/>
      <c r="I64" s="643" t="s">
        <v>1392</v>
      </c>
      <c r="M64" s="642"/>
      <c r="N64" s="642"/>
      <c r="Q64" s="642" t="s">
        <v>1392</v>
      </c>
      <c r="V64" s="661">
        <v>2803</v>
      </c>
      <c r="W64" s="662">
        <f>+SUMIF(SYS_cliente!$F$5:$F$1678,'BCE ABREVIADO'!V64,SYS_cliente!$I$5:$I$1678)</f>
        <v>0</v>
      </c>
      <c r="X64" s="655"/>
      <c r="Z64" s="666"/>
      <c r="AA64" s="664" t="s">
        <v>60</v>
      </c>
      <c r="AB64" s="642"/>
    </row>
    <row r="65" spans="3:28">
      <c r="C65" s="649" t="s">
        <v>55</v>
      </c>
      <c r="D65" s="639"/>
      <c r="E65" s="650">
        <f ca="1">SUM(E67:E76)</f>
        <v>317062467.81000006</v>
      </c>
      <c r="F65" s="651">
        <f t="shared" ca="1" si="2"/>
        <v>0.89985387096217961</v>
      </c>
      <c r="G65" s="639"/>
      <c r="H65" s="650">
        <v>302420967.47000003</v>
      </c>
      <c r="I65" s="651">
        <v>0.94248237745133867</v>
      </c>
      <c r="M65" s="642"/>
      <c r="N65" s="642"/>
      <c r="P65" s="553">
        <v>302420967.47000003</v>
      </c>
      <c r="Q65" s="642">
        <v>0.94248237745133867</v>
      </c>
      <c r="V65" s="661">
        <v>2903</v>
      </c>
      <c r="W65" s="662">
        <f>+SUMIF(SYS_cliente!$F$5:$F$1678,'BCE ABREVIADO'!V65,SYS_cliente!$I$5:$I$1678)</f>
        <v>0</v>
      </c>
      <c r="X65" s="655"/>
      <c r="Z65" s="666" t="s">
        <v>179</v>
      </c>
      <c r="AA65" s="653" t="s">
        <v>61</v>
      </c>
      <c r="AB65" s="667">
        <f>SUM(AB66:AB76)</f>
        <v>-16700583.99</v>
      </c>
    </row>
    <row r="66" spans="3:28" ht="15.6">
      <c r="C66" s="638" t="s">
        <v>56</v>
      </c>
      <c r="D66" s="639"/>
      <c r="E66" s="665">
        <f ca="1">+SUM(E67:E68)</f>
        <v>140000005.09999999</v>
      </c>
      <c r="F66" s="641">
        <f t="shared" ca="1" si="2"/>
        <v>0.39733352040725683</v>
      </c>
      <c r="G66" s="639"/>
      <c r="H66" s="665">
        <v>140000005.09999999</v>
      </c>
      <c r="I66" s="641">
        <v>0.43630419793209824</v>
      </c>
      <c r="M66" s="642"/>
      <c r="N66" s="642"/>
      <c r="P66" s="553">
        <v>140000005.09999999</v>
      </c>
      <c r="Q66" s="642">
        <v>0.43630419793209824</v>
      </c>
      <c r="U66" s="652">
        <v>204</v>
      </c>
      <c r="V66" s="653" t="s">
        <v>9</v>
      </c>
      <c r="W66" s="654">
        <f>SUM(W67:W76)</f>
        <v>0</v>
      </c>
      <c r="X66" s="699"/>
      <c r="Y66" s="668"/>
      <c r="Z66" s="666"/>
      <c r="AA66" s="661">
        <v>1120</v>
      </c>
      <c r="AB66" s="672">
        <f>+SUMIF(SYS_cliente!$F$5:$F$1678,'BCE ABREVIADO'!AA66,SYS_cliente!$I$5:$I$1678)</f>
        <v>-16700583.99</v>
      </c>
    </row>
    <row r="67" spans="3:28" ht="15" customHeight="1">
      <c r="C67" s="646" t="s">
        <v>57</v>
      </c>
      <c r="E67" s="670">
        <f ca="1">+BALANCE!M20</f>
        <v>140000005.09999999</v>
      </c>
      <c r="F67" s="671">
        <f t="shared" ca="1" si="2"/>
        <v>0.39733352040725683</v>
      </c>
      <c r="H67" s="670">
        <v>140000005.09999999</v>
      </c>
      <c r="I67" s="671">
        <v>0.43630419793209824</v>
      </c>
      <c r="M67" s="642"/>
      <c r="N67" s="642"/>
      <c r="P67" s="553">
        <v>140000005.09999999</v>
      </c>
      <c r="Q67" s="642">
        <v>0.43630419793209824</v>
      </c>
      <c r="V67" s="661">
        <v>2040</v>
      </c>
      <c r="W67" s="662">
        <f>+SUMIF(SYS_cliente!$F$5:$F$1678,'BCE ABREVIADO'!V67,SYS_cliente!$I$5:$I$1678)</f>
        <v>0</v>
      </c>
      <c r="X67" s="699"/>
      <c r="Y67" s="668"/>
      <c r="Z67" s="666"/>
      <c r="AA67" s="661">
        <v>1121</v>
      </c>
      <c r="AB67" s="672">
        <f>+SUMIF(SYS_cliente!$F$5:$F$1678,'BCE ABREVIADO'!AA67,SYS_cliente!$I$5:$I$1678)</f>
        <v>0</v>
      </c>
    </row>
    <row r="68" spans="3:28" ht="15" customHeight="1">
      <c r="C68" s="646" t="s">
        <v>58</v>
      </c>
      <c r="E68" s="673">
        <f ca="1">+BALANCE!M21</f>
        <v>0</v>
      </c>
      <c r="F68" s="674" t="str">
        <f t="shared" ca="1" si="2"/>
        <v/>
      </c>
      <c r="H68" s="673">
        <v>0</v>
      </c>
      <c r="I68" s="674" t="s">
        <v>1392</v>
      </c>
      <c r="M68" s="642"/>
      <c r="N68" s="642"/>
      <c r="P68" s="553">
        <v>0</v>
      </c>
      <c r="Q68" s="642" t="s">
        <v>1392</v>
      </c>
      <c r="V68" s="661">
        <v>2041</v>
      </c>
      <c r="W68" s="662">
        <f>+SUMIF(SYS_cliente!$F$5:$F$1678,'BCE ABREVIADO'!V68,SYS_cliente!$I$5:$I$1678)</f>
        <v>0</v>
      </c>
      <c r="X68" s="699"/>
      <c r="Y68" s="668"/>
      <c r="Z68" s="666"/>
      <c r="AA68" s="661">
        <v>1122</v>
      </c>
      <c r="AB68" s="672">
        <f>+SUMIF(SYS_cliente!$F$5:$F$1678,'BCE ABREVIADO'!AA68,SYS_cliente!$I$5:$I$1678)</f>
        <v>0</v>
      </c>
    </row>
    <row r="69" spans="3:28" ht="15.6">
      <c r="C69" s="638" t="s">
        <v>59</v>
      </c>
      <c r="D69" s="639"/>
      <c r="E69" s="665">
        <f ca="1">+BALANCE!M22</f>
        <v>0</v>
      </c>
      <c r="F69" s="641" t="str">
        <f t="shared" ca="1" si="2"/>
        <v/>
      </c>
      <c r="G69" s="639"/>
      <c r="H69" s="665">
        <v>0</v>
      </c>
      <c r="I69" s="641" t="s">
        <v>1392</v>
      </c>
      <c r="M69" s="642"/>
      <c r="N69" s="642"/>
      <c r="P69" s="553">
        <v>0</v>
      </c>
      <c r="Q69" s="642" t="s">
        <v>1392</v>
      </c>
      <c r="V69" s="661">
        <v>2042</v>
      </c>
      <c r="W69" s="662">
        <f>+SUMIF(SYS_cliente!$F$5:$F$1678,'BCE ABREVIADO'!V69,SYS_cliente!$I$5:$I$1678)</f>
        <v>0</v>
      </c>
      <c r="X69" s="699"/>
      <c r="Y69" s="668"/>
      <c r="Z69" s="666"/>
      <c r="AA69" s="661">
        <v>1123</v>
      </c>
      <c r="AB69" s="672">
        <f>+SUMIF(SYS_cliente!$F$5:$F$1678,'BCE ABREVIADO'!AA69,SYS_cliente!$I$5:$I$1678)</f>
        <v>0</v>
      </c>
    </row>
    <row r="70" spans="3:28" ht="15.6">
      <c r="C70" s="638" t="s">
        <v>60</v>
      </c>
      <c r="D70" s="639"/>
      <c r="E70" s="665">
        <f ca="1">+BALANCE!M23</f>
        <v>162420962.37</v>
      </c>
      <c r="F70" s="641">
        <f t="shared" ca="1" si="2"/>
        <v>0.46096636011055897</v>
      </c>
      <c r="G70" s="639"/>
      <c r="H70" s="665">
        <v>151615618.87</v>
      </c>
      <c r="I70" s="641">
        <v>0.47250377553774853</v>
      </c>
      <c r="M70" s="642"/>
      <c r="N70" s="642"/>
      <c r="P70" s="553">
        <v>151615618.87</v>
      </c>
      <c r="Q70" s="642">
        <v>0.47250377553774853</v>
      </c>
      <c r="V70" s="661">
        <v>2043</v>
      </c>
      <c r="W70" s="662">
        <f>+SUMIF(SYS_cliente!$F$5:$F$1678,'BCE ABREVIADO'!V70,SYS_cliente!$I$5:$I$1678)</f>
        <v>0</v>
      </c>
      <c r="X70" s="699"/>
      <c r="Y70" s="668"/>
      <c r="Z70" s="666"/>
      <c r="AA70" s="661">
        <v>1124</v>
      </c>
      <c r="AB70" s="672">
        <f>+SUMIF(SYS_cliente!$F$5:$F$1678,'BCE ABREVIADO'!AA70,SYS_cliente!$I$5:$I$1678)</f>
        <v>0</v>
      </c>
    </row>
    <row r="71" spans="3:28" ht="15.6">
      <c r="C71" s="638" t="s">
        <v>63</v>
      </c>
      <c r="D71" s="639"/>
      <c r="E71" s="665">
        <f ca="1">+BALANCE!M26</f>
        <v>0</v>
      </c>
      <c r="F71" s="641" t="str">
        <f t="shared" ca="1" si="2"/>
        <v/>
      </c>
      <c r="G71" s="639"/>
      <c r="H71" s="665">
        <v>0</v>
      </c>
      <c r="I71" s="641" t="s">
        <v>1392</v>
      </c>
      <c r="M71" s="642"/>
      <c r="N71" s="642"/>
      <c r="P71" s="553">
        <v>0</v>
      </c>
      <c r="Q71" s="642" t="s">
        <v>1392</v>
      </c>
      <c r="V71" s="661">
        <v>2044</v>
      </c>
      <c r="W71" s="662">
        <f>+SUMIF(SYS_cliente!$F$5:$F$1678,'BCE ABREVIADO'!V71,SYS_cliente!$I$5:$I$1678)</f>
        <v>0</v>
      </c>
      <c r="X71" s="699"/>
      <c r="Y71" s="668"/>
      <c r="Z71" s="666"/>
      <c r="AA71" s="661">
        <v>1125</v>
      </c>
      <c r="AB71" s="672">
        <f>+SUMIF(SYS_cliente!$F$5:$F$1678,'BCE ABREVIADO'!AA71,SYS_cliente!$I$5:$I$1678)</f>
        <v>0</v>
      </c>
    </row>
    <row r="72" spans="3:28" ht="15.6">
      <c r="C72" s="638" t="s">
        <v>64</v>
      </c>
      <c r="D72" s="639"/>
      <c r="E72" s="665">
        <f ca="1">+BALANCE!M27</f>
        <v>0</v>
      </c>
      <c r="F72" s="641" t="str">
        <f t="shared" ca="1" si="2"/>
        <v/>
      </c>
      <c r="G72" s="639"/>
      <c r="H72" s="665">
        <v>0</v>
      </c>
      <c r="I72" s="641" t="s">
        <v>1392</v>
      </c>
      <c r="M72" s="642"/>
      <c r="N72" s="642"/>
      <c r="P72" s="553">
        <v>0</v>
      </c>
      <c r="Q72" s="642" t="s">
        <v>1392</v>
      </c>
      <c r="V72" s="661">
        <v>2045</v>
      </c>
      <c r="W72" s="662">
        <f>+SUMIF(SYS_cliente!$F$5:$F$1678,'BCE ABREVIADO'!V72,SYS_cliente!$I$5:$I$1678)</f>
        <v>0</v>
      </c>
      <c r="X72" s="699"/>
      <c r="Y72" s="668"/>
      <c r="Z72" s="666"/>
      <c r="AA72" s="661">
        <v>1126</v>
      </c>
      <c r="AB72" s="672">
        <f>+SUMIF(SYS_cliente!$F$5:$F$1678,'BCE ABREVIADO'!AA72,SYS_cliente!$I$5:$I$1678)</f>
        <v>0</v>
      </c>
    </row>
    <row r="73" spans="3:28" ht="15.6">
      <c r="C73" s="638" t="s">
        <v>67</v>
      </c>
      <c r="D73" s="639"/>
      <c r="E73" s="665">
        <f ca="1">+BALANCE!M30</f>
        <v>0</v>
      </c>
      <c r="F73" s="641" t="str">
        <f t="shared" ca="1" si="2"/>
        <v/>
      </c>
      <c r="G73" s="639"/>
      <c r="H73" s="665">
        <v>0</v>
      </c>
      <c r="I73" s="641" t="s">
        <v>1392</v>
      </c>
      <c r="M73" s="642"/>
      <c r="N73" s="642"/>
      <c r="P73" s="553">
        <v>0</v>
      </c>
      <c r="Q73" s="642" t="s">
        <v>1392</v>
      </c>
      <c r="V73" s="661">
        <v>2046</v>
      </c>
      <c r="W73" s="662">
        <f>+SUMIF(SYS_cliente!$F$5:$F$1678,'BCE ABREVIADO'!V73,SYS_cliente!$I$5:$I$1678)</f>
        <v>0</v>
      </c>
      <c r="X73" s="699"/>
      <c r="Y73" s="668"/>
      <c r="Z73" s="666"/>
      <c r="AA73" s="661">
        <v>1127</v>
      </c>
      <c r="AB73" s="672">
        <f>+SUMIF(SYS_cliente!$F$5:$F$1678,'BCE ABREVIADO'!AA73,SYS_cliente!$I$5:$I$1678)</f>
        <v>0</v>
      </c>
    </row>
    <row r="74" spans="3:28" ht="15.6">
      <c r="C74" s="638" t="s">
        <v>68</v>
      </c>
      <c r="D74" s="639"/>
      <c r="E74" s="665">
        <f ca="1">+BALANCE!M31</f>
        <v>14641500.340000015</v>
      </c>
      <c r="F74" s="641">
        <f t="shared" ca="1" si="2"/>
        <v>4.1553990444363594E-2</v>
      </c>
      <c r="G74" s="639"/>
      <c r="H74" s="665">
        <v>10805343.500000006</v>
      </c>
      <c r="I74" s="641">
        <v>3.367440398149181E-2</v>
      </c>
      <c r="M74" s="642"/>
      <c r="N74" s="642"/>
      <c r="P74" s="553">
        <v>10805343.500000006</v>
      </c>
      <c r="Q74" s="642">
        <v>3.367440398149181E-2</v>
      </c>
      <c r="V74" s="661">
        <v>2047</v>
      </c>
      <c r="W74" s="662">
        <f>+SUMIF(SYS_cliente!$F$5:$F$1678,'BCE ABREVIADO'!V74,SYS_cliente!$I$5:$I$1678)</f>
        <v>0</v>
      </c>
      <c r="X74" s="699"/>
      <c r="Y74" s="668"/>
      <c r="Z74" s="666"/>
      <c r="AA74" s="661">
        <v>1128</v>
      </c>
      <c r="AB74" s="672">
        <f>+SUMIF(SYS_cliente!$F$5:$F$1678,'BCE ABREVIADO'!AA74,SYS_cliente!$I$5:$I$1678)</f>
        <v>0</v>
      </c>
    </row>
    <row r="75" spans="3:28" ht="15.6">
      <c r="C75" s="638" t="s">
        <v>69</v>
      </c>
      <c r="D75" s="639"/>
      <c r="E75" s="665">
        <f ca="1">+BALANCE!M32</f>
        <v>0</v>
      </c>
      <c r="F75" s="641" t="str">
        <f t="shared" ca="1" si="2"/>
        <v/>
      </c>
      <c r="G75" s="639"/>
      <c r="H75" s="665">
        <v>0</v>
      </c>
      <c r="I75" s="641" t="s">
        <v>1392</v>
      </c>
      <c r="M75" s="642"/>
      <c r="N75" s="642"/>
      <c r="P75" s="553">
        <v>0</v>
      </c>
      <c r="Q75" s="642" t="s">
        <v>1392</v>
      </c>
      <c r="V75" s="661">
        <v>2048</v>
      </c>
      <c r="W75" s="662">
        <f>+SUMIF(SYS_cliente!$F$5:$F$1678,'BCE ABREVIADO'!V75,SYS_cliente!$I$5:$I$1678)</f>
        <v>0</v>
      </c>
      <c r="X75" s="699"/>
      <c r="Y75" s="668"/>
      <c r="Z75" s="666"/>
      <c r="AA75" s="661">
        <v>1129</v>
      </c>
      <c r="AB75" s="672">
        <f>+SUMIF(SYS_cliente!$F$5:$F$1678,'BCE ABREVIADO'!AA75,SYS_cliente!$I$5:$I$1678)</f>
        <v>0</v>
      </c>
    </row>
    <row r="76" spans="3:28" ht="15.6">
      <c r="C76" s="638" t="s">
        <v>70</v>
      </c>
      <c r="D76" s="639"/>
      <c r="E76" s="665">
        <f ca="1">+BALANCE!M33</f>
        <v>0</v>
      </c>
      <c r="F76" s="641" t="str">
        <f t="shared" ca="1" si="2"/>
        <v/>
      </c>
      <c r="G76" s="639"/>
      <c r="H76" s="665">
        <v>0</v>
      </c>
      <c r="I76" s="641" t="s">
        <v>1392</v>
      </c>
      <c r="M76" s="642"/>
      <c r="N76" s="642"/>
      <c r="P76" s="553">
        <v>0</v>
      </c>
      <c r="Q76" s="642" t="s">
        <v>1392</v>
      </c>
      <c r="V76" s="661">
        <v>2049</v>
      </c>
      <c r="W76" s="662">
        <f>+SUMIF(SYS_cliente!$F$5:$F$1678,'BCE ABREVIADO'!V76,SYS_cliente!$I$5:$I$1678)</f>
        <v>0</v>
      </c>
      <c r="X76" s="699"/>
      <c r="Y76" s="668"/>
      <c r="Z76" s="666"/>
      <c r="AA76" s="661">
        <v>1141</v>
      </c>
      <c r="AB76" s="672">
        <f>+SUMIF(SYS_cliente!$F$5:$F$1678,'BCE ABREVIADO'!AA76,SYS_cliente!$I$5:$I$1678)</f>
        <v>0</v>
      </c>
    </row>
    <row r="77" spans="3:28">
      <c r="C77" s="649" t="s">
        <v>71</v>
      </c>
      <c r="D77" s="639"/>
      <c r="E77" s="650">
        <f ca="1">+BALANCE!M35</f>
        <v>23713691.499999996</v>
      </c>
      <c r="F77" s="651">
        <f t="shared" ca="1" si="2"/>
        <v>6.7301744159341051E-2</v>
      </c>
      <c r="G77" s="639"/>
      <c r="H77" s="650">
        <v>11088325.029999999</v>
      </c>
      <c r="I77" s="651">
        <v>3.4556304159910053E-2</v>
      </c>
      <c r="M77" s="642"/>
      <c r="N77" s="642"/>
      <c r="P77" s="553">
        <v>11088325.029999999</v>
      </c>
      <c r="Q77" s="642">
        <v>3.4556304159910053E-2</v>
      </c>
      <c r="U77" s="652" t="s">
        <v>112</v>
      </c>
      <c r="V77" s="653" t="s">
        <v>10</v>
      </c>
      <c r="W77" s="654">
        <f>SUM(W78:W88)</f>
        <v>32036.569999999992</v>
      </c>
      <c r="X77" s="702"/>
      <c r="Y77" s="668"/>
      <c r="Z77" s="666" t="s">
        <v>147</v>
      </c>
      <c r="AA77" s="653" t="s">
        <v>62</v>
      </c>
      <c r="AB77" s="667">
        <f>SUM(AB78:AB110)</f>
        <v>-138943676.28</v>
      </c>
    </row>
    <row r="78" spans="3:28">
      <c r="C78" s="649" t="s">
        <v>75</v>
      </c>
      <c r="D78" s="639"/>
      <c r="E78" s="650">
        <f ca="1">+BALANCE!M41</f>
        <v>34973.649999999994</v>
      </c>
      <c r="F78" s="651">
        <f t="shared" ca="1" si="2"/>
        <v>9.9258592641231666E-5</v>
      </c>
      <c r="G78" s="639"/>
      <c r="H78" s="650">
        <v>16574.64</v>
      </c>
      <c r="I78" s="651">
        <v>5.1654176769835508E-5</v>
      </c>
      <c r="M78" s="642"/>
      <c r="N78" s="642"/>
      <c r="P78" s="553">
        <v>16574.64</v>
      </c>
      <c r="Q78" s="642">
        <v>5.1654176769835508E-5</v>
      </c>
      <c r="V78" s="661">
        <v>2060</v>
      </c>
      <c r="W78" s="662">
        <f>+SUMIF(SYS_cliente!$F$5:$F$1678,'BCE ABREVIADO'!V78,SYS_cliente!$I$5:$I$1678)</f>
        <v>120967.7</v>
      </c>
      <c r="X78" s="702"/>
      <c r="Y78" s="668"/>
      <c r="Z78" s="666"/>
      <c r="AA78" s="661">
        <v>1130</v>
      </c>
      <c r="AB78" s="672">
        <f>+SUMIF(SYS_cliente!$F$5:$F$1678,'BCE ABREVIADO'!AA78,SYS_cliente!$I$5:$I$1678)</f>
        <v>-138943662.72</v>
      </c>
    </row>
    <row r="79" spans="3:28" ht="13.8">
      <c r="E79" s="642"/>
      <c r="F79" s="643" t="str">
        <f t="shared" si="2"/>
        <v/>
      </c>
      <c r="H79" s="642"/>
      <c r="I79" s="643" t="s">
        <v>1392</v>
      </c>
      <c r="M79" s="642"/>
      <c r="N79" s="642"/>
      <c r="Q79" s="642" t="s">
        <v>1392</v>
      </c>
      <c r="V79" s="661">
        <v>2061</v>
      </c>
      <c r="W79" s="662">
        <f>+SUMIF(SYS_cliente!$F$5:$F$1678,'BCE ABREVIADO'!V79,SYS_cliente!$I$5:$I$1678)</f>
        <v>0</v>
      </c>
      <c r="X79" s="702"/>
      <c r="Y79" s="668"/>
      <c r="Z79" s="666"/>
      <c r="AA79" s="661">
        <v>1131</v>
      </c>
      <c r="AB79" s="672">
        <f>+SUMIF(SYS_cliente!$F$5:$F$1678,'BCE ABREVIADO'!AA79,SYS_cliente!$I$5:$I$1678)</f>
        <v>0</v>
      </c>
    </row>
    <row r="80" spans="3:28" ht="15.6">
      <c r="C80" s="751" t="s">
        <v>76</v>
      </c>
      <c r="E80" s="752">
        <f ca="1">+E81+E82+E86+E87+E88</f>
        <v>10203945.560000001</v>
      </c>
      <c r="F80" s="753">
        <f t="shared" ca="1" si="2"/>
        <v>2.8959781883599361E-2</v>
      </c>
      <c r="H80" s="752">
        <v>6315112.1199999982</v>
      </c>
      <c r="I80" s="753">
        <v>1.9680784485684791E-2</v>
      </c>
      <c r="M80" s="642"/>
      <c r="N80" s="642"/>
      <c r="P80" s="553">
        <v>6315112.1199999982</v>
      </c>
      <c r="Q80" s="642">
        <v>1.9680784485684791E-2</v>
      </c>
      <c r="V80" s="661">
        <v>2062</v>
      </c>
      <c r="W80" s="662">
        <f>+SUMIF(SYS_cliente!$F$5:$F$1678,'BCE ABREVIADO'!V80,SYS_cliente!$I$5:$I$1678)</f>
        <v>0</v>
      </c>
      <c r="X80" s="702"/>
      <c r="Y80" s="668"/>
      <c r="Z80" s="666"/>
      <c r="AA80" s="661">
        <v>1132</v>
      </c>
      <c r="AB80" s="672">
        <f>+SUMIF(SYS_cliente!$F$5:$F$1678,'BCE ABREVIADO'!AA80,SYS_cliente!$I$5:$I$1678)</f>
        <v>0</v>
      </c>
    </row>
    <row r="81" spans="3:28" ht="15.6">
      <c r="C81" s="740" t="s">
        <v>77</v>
      </c>
      <c r="D81" s="639"/>
      <c r="E81" s="754">
        <f ca="1">+BALANCE!M45</f>
        <v>0</v>
      </c>
      <c r="F81" s="755" t="str">
        <f t="shared" ca="1" si="2"/>
        <v/>
      </c>
      <c r="G81" s="639"/>
      <c r="H81" s="754">
        <v>0</v>
      </c>
      <c r="I81" s="755" t="s">
        <v>1392</v>
      </c>
      <c r="M81" s="642"/>
      <c r="N81" s="642"/>
      <c r="P81" s="553">
        <v>0</v>
      </c>
      <c r="Q81" s="642" t="s">
        <v>1392</v>
      </c>
      <c r="V81" s="661">
        <v>2063</v>
      </c>
      <c r="W81" s="662">
        <f>+SUMIF(SYS_cliente!$F$5:$F$1678,'BCE ABREVIADO'!V81,SYS_cliente!$I$5:$I$1678)</f>
        <v>0</v>
      </c>
      <c r="X81" s="702"/>
      <c r="Y81" s="668"/>
      <c r="Z81" s="666"/>
      <c r="AA81" s="661">
        <v>1133</v>
      </c>
      <c r="AB81" s="672">
        <f>+SUMIF(SYS_cliente!$F$5:$F$1678,'BCE ABREVIADO'!AA81,SYS_cliente!$I$5:$I$1678)</f>
        <v>0</v>
      </c>
    </row>
    <row r="82" spans="3:28" ht="15.6">
      <c r="C82" s="740" t="s">
        <v>82</v>
      </c>
      <c r="D82" s="639"/>
      <c r="E82" s="756">
        <f ca="1">SUM(E83:E85)</f>
        <v>205434</v>
      </c>
      <c r="F82" s="742">
        <f t="shared" ca="1" si="2"/>
        <v>5.8304151041309077E-4</v>
      </c>
      <c r="G82" s="639"/>
      <c r="H82" s="756">
        <v>197434</v>
      </c>
      <c r="I82" s="742">
        <v>6.1529485626087227E-4</v>
      </c>
      <c r="M82" s="642"/>
      <c r="N82" s="642"/>
      <c r="P82" s="553">
        <v>197434</v>
      </c>
      <c r="Q82" s="642">
        <v>6.1529485626087227E-4</v>
      </c>
      <c r="V82" s="661">
        <v>2064</v>
      </c>
      <c r="W82" s="662">
        <f>+SUMIF(SYS_cliente!$F$5:$F$1678,'BCE ABREVIADO'!V82,SYS_cliente!$I$5:$I$1678)</f>
        <v>0</v>
      </c>
      <c r="X82" s="702"/>
      <c r="Y82" s="668"/>
      <c r="Z82" s="666"/>
      <c r="AA82" s="661">
        <v>1134</v>
      </c>
      <c r="AB82" s="672">
        <f>+SUMIF(SYS_cliente!$F$5:$F$1678,'BCE ABREVIADO'!AA82,SYS_cliente!$I$5:$I$1678)</f>
        <v>0</v>
      </c>
    </row>
    <row r="83" spans="3:28" ht="15" customHeight="1">
      <c r="C83" s="757" t="s">
        <v>84</v>
      </c>
      <c r="E83" s="758">
        <f ca="1">+BALANCE!M52</f>
        <v>0</v>
      </c>
      <c r="F83" s="759" t="str">
        <f t="shared" ca="1" si="2"/>
        <v/>
      </c>
      <c r="H83" s="758">
        <v>0</v>
      </c>
      <c r="I83" s="759" t="s">
        <v>1392</v>
      </c>
      <c r="M83" s="642"/>
      <c r="N83" s="642"/>
      <c r="P83" s="553">
        <v>0</v>
      </c>
      <c r="Q83" s="642" t="s">
        <v>1392</v>
      </c>
      <c r="V83" s="661">
        <v>2065</v>
      </c>
      <c r="W83" s="662">
        <f>+SUMIF(SYS_cliente!$F$5:$F$1678,'BCE ABREVIADO'!V83,SYS_cliente!$I$5:$I$1678)</f>
        <v>0</v>
      </c>
      <c r="X83" s="702"/>
      <c r="Y83" s="668"/>
      <c r="Z83" s="666"/>
      <c r="AA83" s="661">
        <v>1135</v>
      </c>
      <c r="AB83" s="672">
        <f>+SUMIF(SYS_cliente!$F$5:$F$1678,'BCE ABREVIADO'!AA83,SYS_cliente!$I$5:$I$1678)</f>
        <v>0</v>
      </c>
    </row>
    <row r="84" spans="3:28" ht="15" customHeight="1">
      <c r="C84" s="757" t="s">
        <v>85</v>
      </c>
      <c r="E84" s="758">
        <f ca="1">+BALANCE!M53</f>
        <v>0</v>
      </c>
      <c r="F84" s="759" t="str">
        <f t="shared" ca="1" si="2"/>
        <v/>
      </c>
      <c r="H84" s="758">
        <v>0</v>
      </c>
      <c r="I84" s="759" t="s">
        <v>1392</v>
      </c>
      <c r="M84" s="642"/>
      <c r="N84" s="642"/>
      <c r="P84" s="553">
        <v>0</v>
      </c>
      <c r="Q84" s="642" t="s">
        <v>1392</v>
      </c>
      <c r="V84" s="661">
        <v>2067</v>
      </c>
      <c r="W84" s="662">
        <f>+SUMIF(SYS_cliente!$F$5:$F$1678,'BCE ABREVIADO'!V84,SYS_cliente!$I$5:$I$1678)</f>
        <v>0</v>
      </c>
      <c r="X84" s="702"/>
      <c r="Y84" s="668"/>
      <c r="Z84" s="666"/>
      <c r="AA84" s="661">
        <v>1137</v>
      </c>
      <c r="AB84" s="672">
        <f>+SUMIF(SYS_cliente!$F$5:$F$1678,'BCE ABREVIADO'!AA84,SYS_cliente!$I$5:$I$1678)</f>
        <v>0</v>
      </c>
    </row>
    <row r="85" spans="3:28" ht="15" customHeight="1">
      <c r="C85" s="757" t="s">
        <v>280</v>
      </c>
      <c r="E85" s="758">
        <f ca="1">+BALANCE!M51+BALANCE!M54+BALANCE!M55</f>
        <v>205434</v>
      </c>
      <c r="F85" s="759">
        <f t="shared" ca="1" si="2"/>
        <v>5.8304151041309077E-4</v>
      </c>
      <c r="H85" s="758">
        <v>197434</v>
      </c>
      <c r="I85" s="759">
        <v>6.1529485626087227E-4</v>
      </c>
      <c r="M85" s="642"/>
      <c r="N85" s="642"/>
      <c r="P85" s="553">
        <v>197434</v>
      </c>
      <c r="Q85" s="642">
        <v>6.1529485626087227E-4</v>
      </c>
      <c r="V85" s="661">
        <v>2068</v>
      </c>
      <c r="W85" s="662">
        <f>+SUMIF(SYS_cliente!$F$5:$F$1678,'BCE ABREVIADO'!V85,SYS_cliente!$I$5:$I$1678)</f>
        <v>0</v>
      </c>
      <c r="X85" s="702"/>
      <c r="Y85" s="668"/>
      <c r="Z85" s="666"/>
      <c r="AA85" s="661">
        <v>1138</v>
      </c>
      <c r="AB85" s="672">
        <f>+SUMIF(SYS_cliente!$F$5:$F$1678,'BCE ABREVIADO'!AA85,SYS_cliente!$I$5:$I$1678)</f>
        <v>0</v>
      </c>
    </row>
    <row r="86" spans="3:28" ht="15.6">
      <c r="C86" s="740" t="s">
        <v>87</v>
      </c>
      <c r="D86" s="639"/>
      <c r="E86" s="756">
        <f ca="1">+BALANCE!M56</f>
        <v>0</v>
      </c>
      <c r="F86" s="742" t="str">
        <f t="shared" ca="1" si="2"/>
        <v/>
      </c>
      <c r="G86" s="639"/>
      <c r="H86" s="756">
        <v>0</v>
      </c>
      <c r="I86" s="742" t="s">
        <v>1392</v>
      </c>
      <c r="M86" s="642"/>
      <c r="N86" s="642"/>
      <c r="P86" s="553">
        <v>0</v>
      </c>
      <c r="Q86" s="642" t="s">
        <v>1392</v>
      </c>
      <c r="V86" s="661">
        <v>2069</v>
      </c>
      <c r="W86" s="662">
        <f>+SUMIF(SYS_cliente!$F$5:$F$1678,'BCE ABREVIADO'!V86,SYS_cliente!$I$5:$I$1678)</f>
        <v>0</v>
      </c>
      <c r="X86" s="702"/>
      <c r="Y86" s="668"/>
      <c r="Z86" s="666"/>
      <c r="AA86" s="661">
        <v>1139</v>
      </c>
      <c r="AB86" s="672">
        <f>+SUMIF(SYS_cliente!$F$5:$F$1678,'BCE ABREVIADO'!AA86,SYS_cliente!$I$5:$I$1678)</f>
        <v>0</v>
      </c>
    </row>
    <row r="87" spans="3:28" ht="15.6">
      <c r="C87" s="740" t="s">
        <v>88</v>
      </c>
      <c r="D87" s="639"/>
      <c r="E87" s="756">
        <f ca="1">+BALANCE!M57</f>
        <v>9998511.5600000005</v>
      </c>
      <c r="F87" s="742">
        <f t="shared" ca="1" si="2"/>
        <v>2.8376740373186271E-2</v>
      </c>
      <c r="G87" s="639"/>
      <c r="H87" s="756">
        <v>6117678.1199999982</v>
      </c>
      <c r="I87" s="742">
        <v>1.9065489629423921E-2</v>
      </c>
      <c r="M87" s="642"/>
      <c r="N87" s="642"/>
      <c r="P87" s="553">
        <v>6117678.1199999982</v>
      </c>
      <c r="Q87" s="642">
        <v>1.9065489629423921E-2</v>
      </c>
      <c r="V87" s="661">
        <v>2806</v>
      </c>
      <c r="W87" s="662">
        <f>+SUMIF(SYS_cliente!$F$5:$F$1678,'BCE ABREVIADO'!V87,SYS_cliente!$I$5:$I$1678)</f>
        <v>-88931.13</v>
      </c>
      <c r="X87" s="702"/>
      <c r="Y87" s="668"/>
      <c r="Z87" s="666"/>
      <c r="AA87" s="661">
        <v>1140</v>
      </c>
      <c r="AB87" s="672">
        <f>+SUMIF(SYS_cliente!$F$5:$F$1678,'BCE ABREVIADO'!AA87,SYS_cliente!$I$5:$I$1678)</f>
        <v>0</v>
      </c>
    </row>
    <row r="88" spans="3:28" ht="15.6">
      <c r="C88" s="743" t="s">
        <v>89</v>
      </c>
      <c r="D88" s="639"/>
      <c r="E88" s="760">
        <f ca="1">+BALANCE!M58</f>
        <v>0</v>
      </c>
      <c r="F88" s="745" t="str">
        <f t="shared" ca="1" si="2"/>
        <v/>
      </c>
      <c r="G88" s="639"/>
      <c r="H88" s="760">
        <v>0</v>
      </c>
      <c r="I88" s="745" t="s">
        <v>1392</v>
      </c>
      <c r="M88" s="642"/>
      <c r="N88" s="642"/>
      <c r="P88" s="553">
        <v>0</v>
      </c>
      <c r="Q88" s="642" t="s">
        <v>1392</v>
      </c>
      <c r="V88" s="661">
        <v>2906</v>
      </c>
      <c r="W88" s="662">
        <f>+SUMIF(SYS_cliente!$F$5:$F$1678,'BCE ABREVIADO'!V88,SYS_cliente!$I$5:$I$1678)</f>
        <v>0</v>
      </c>
      <c r="X88" s="702"/>
      <c r="Y88" s="668"/>
      <c r="Z88" s="666"/>
      <c r="AA88" s="661">
        <v>1142</v>
      </c>
      <c r="AB88" s="672">
        <f>+SUMIF(SYS_cliente!$F$5:$F$1678,'BCE ABREVIADO'!AA88,SYS_cliente!$I$5:$I$1678)</f>
        <v>0</v>
      </c>
    </row>
    <row r="89" spans="3:28" ht="13.8">
      <c r="C89" s="664"/>
      <c r="E89" s="694"/>
      <c r="F89" s="695" t="str">
        <f t="shared" si="2"/>
        <v/>
      </c>
      <c r="H89" s="694"/>
      <c r="I89" s="695" t="s">
        <v>1392</v>
      </c>
      <c r="M89" s="642"/>
      <c r="N89" s="642"/>
      <c r="Q89" s="642" t="s">
        <v>1392</v>
      </c>
      <c r="U89" s="712" t="s">
        <v>113</v>
      </c>
      <c r="V89" s="653" t="s">
        <v>11</v>
      </c>
      <c r="W89" s="654">
        <f>SUM(W90:W103)</f>
        <v>0</v>
      </c>
      <c r="X89" s="702"/>
      <c r="Y89" s="668"/>
      <c r="Z89" s="666"/>
      <c r="AA89" s="661">
        <v>1143</v>
      </c>
      <c r="AB89" s="672">
        <f>+SUMIF(SYS_cliente!$F$5:$F$1678,'BCE ABREVIADO'!AA89,SYS_cliente!$I$5:$I$1678)</f>
        <v>0</v>
      </c>
    </row>
    <row r="90" spans="3:28" ht="15.6">
      <c r="C90" s="751" t="s">
        <v>91</v>
      </c>
      <c r="D90" s="639"/>
      <c r="E90" s="752">
        <f ca="1">+E91+E92+E93+E97+E98+E101</f>
        <v>1333761.71</v>
      </c>
      <c r="F90" s="761">
        <f t="shared" ca="1" si="2"/>
        <v>3.7853444022389023E-3</v>
      </c>
      <c r="G90" s="639"/>
      <c r="H90" s="752">
        <v>1036073.4100000006</v>
      </c>
      <c r="I90" s="761">
        <v>3.2288797262966973E-3</v>
      </c>
      <c r="M90" s="642"/>
      <c r="N90" s="642"/>
      <c r="P90" s="553">
        <v>1036073.4100000006</v>
      </c>
      <c r="Q90" s="642">
        <v>3.2288797262966973E-3</v>
      </c>
      <c r="V90" s="661">
        <v>2050</v>
      </c>
      <c r="W90" s="662">
        <f>+SUMIF(SYS_cliente!$F$5:$F$1678,'BCE ABREVIADO'!V90,SYS_cliente!$I$5:$I$1678)</f>
        <v>0</v>
      </c>
      <c r="X90" s="702"/>
      <c r="Y90" s="668"/>
      <c r="Z90" s="666"/>
      <c r="AA90" s="661">
        <v>1144</v>
      </c>
      <c r="AB90" s="672">
        <f>+SUMIF(SYS_cliente!$F$5:$F$1678,'BCE ABREVIADO'!AA90,SYS_cliente!$I$5:$I$1678)</f>
        <v>0</v>
      </c>
    </row>
    <row r="91" spans="3:28" ht="15.6">
      <c r="C91" s="740" t="s">
        <v>92</v>
      </c>
      <c r="D91" s="639"/>
      <c r="E91" s="754">
        <f ca="1">+BALANCE!M62</f>
        <v>0</v>
      </c>
      <c r="F91" s="755" t="str">
        <f t="shared" ca="1" si="2"/>
        <v/>
      </c>
      <c r="G91" s="639"/>
      <c r="H91" s="754">
        <v>0</v>
      </c>
      <c r="I91" s="755" t="s">
        <v>1392</v>
      </c>
      <c r="M91" s="642"/>
      <c r="N91" s="642"/>
      <c r="P91" s="553">
        <v>0</v>
      </c>
      <c r="Q91" s="642" t="s">
        <v>1392</v>
      </c>
      <c r="V91" s="661">
        <v>2051</v>
      </c>
      <c r="W91" s="662">
        <f>+SUMIF(SYS_cliente!$F$5:$F$1678,'BCE ABREVIADO'!V91,SYS_cliente!$I$5:$I$1678)</f>
        <v>0</v>
      </c>
      <c r="X91" s="702"/>
      <c r="Y91" s="668"/>
      <c r="Z91" s="666"/>
      <c r="AA91" s="661">
        <v>1150</v>
      </c>
      <c r="AB91" s="672">
        <f>+SUMIF(SYS_cliente!$F$5:$F$1678,'BCE ABREVIADO'!AA91,SYS_cliente!$I$5:$I$1678)</f>
        <v>0</v>
      </c>
    </row>
    <row r="92" spans="3:28" ht="15.6">
      <c r="C92" s="740" t="s">
        <v>93</v>
      </c>
      <c r="D92" s="639"/>
      <c r="E92" s="756">
        <f ca="1">+BALANCE!M63</f>
        <v>0</v>
      </c>
      <c r="F92" s="742" t="str">
        <f t="shared" ca="1" si="2"/>
        <v/>
      </c>
      <c r="G92" s="639"/>
      <c r="H92" s="756">
        <v>0</v>
      </c>
      <c r="I92" s="742" t="s">
        <v>1392</v>
      </c>
      <c r="M92" s="642"/>
      <c r="N92" s="642"/>
      <c r="P92" s="553">
        <v>0</v>
      </c>
      <c r="Q92" s="642" t="s">
        <v>1392</v>
      </c>
      <c r="V92" s="661">
        <v>2052</v>
      </c>
      <c r="W92" s="662">
        <f>+SUMIF(SYS_cliente!$F$5:$F$1678,'BCE ABREVIADO'!V92,SYS_cliente!$I$5:$I$1678)</f>
        <v>0</v>
      </c>
      <c r="X92" s="702"/>
      <c r="Y92" s="668"/>
      <c r="Z92" s="666"/>
      <c r="AA92" s="661">
        <v>1151</v>
      </c>
      <c r="AB92" s="672">
        <f>+SUMIF(SYS_cliente!$F$5:$F$1678,'BCE ABREVIADO'!AA92,SYS_cliente!$I$5:$I$1678)</f>
        <v>0</v>
      </c>
    </row>
    <row r="93" spans="3:28" ht="15.6">
      <c r="C93" s="740" t="s">
        <v>94</v>
      </c>
      <c r="D93" s="639"/>
      <c r="E93" s="756">
        <f ca="1">SUM(E94:E96)</f>
        <v>652.07000000000005</v>
      </c>
      <c r="F93" s="742">
        <f t="shared" ca="1" si="2"/>
        <v>1.8506375658122031E-6</v>
      </c>
      <c r="G93" s="639"/>
      <c r="H93" s="756">
        <v>652.07000000000005</v>
      </c>
      <c r="I93" s="742">
        <v>2.0321490570115937E-6</v>
      </c>
      <c r="M93" s="642"/>
      <c r="N93" s="642"/>
      <c r="P93" s="553">
        <v>652.07000000000005</v>
      </c>
      <c r="Q93" s="642">
        <v>2.0321490570115937E-6</v>
      </c>
      <c r="V93" s="661">
        <v>2053</v>
      </c>
      <c r="W93" s="662">
        <f>+SUMIF(SYS_cliente!$F$5:$F$1678,'BCE ABREVIADO'!V93,SYS_cliente!$I$5:$I$1678)</f>
        <v>0</v>
      </c>
      <c r="X93" s="702"/>
      <c r="Y93" s="668"/>
      <c r="Z93" s="666"/>
      <c r="AA93" s="661">
        <v>1152</v>
      </c>
      <c r="AB93" s="672">
        <f>+SUMIF(SYS_cliente!$F$5:$F$1678,'BCE ABREVIADO'!AA93,SYS_cliente!$I$5:$I$1678)</f>
        <v>0</v>
      </c>
    </row>
    <row r="94" spans="3:28" ht="15" customHeight="1">
      <c r="C94" s="762" t="s">
        <v>96</v>
      </c>
      <c r="E94" s="763">
        <f ca="1">+BALANCE!M66</f>
        <v>0</v>
      </c>
      <c r="F94" s="764" t="str">
        <f t="shared" ca="1" si="2"/>
        <v/>
      </c>
      <c r="H94" s="763">
        <v>0</v>
      </c>
      <c r="I94" s="764" t="s">
        <v>1392</v>
      </c>
      <c r="M94" s="642"/>
      <c r="N94" s="642"/>
      <c r="P94" s="553">
        <v>0</v>
      </c>
      <c r="Q94" s="642" t="s">
        <v>1392</v>
      </c>
      <c r="V94" s="661">
        <v>2054</v>
      </c>
      <c r="W94" s="662">
        <f>+SUMIF(SYS_cliente!$F$5:$F$1678,'BCE ABREVIADO'!V94,SYS_cliente!$I$5:$I$1678)</f>
        <v>0</v>
      </c>
      <c r="X94" s="702"/>
      <c r="Y94" s="668"/>
      <c r="Z94" s="666"/>
      <c r="AA94" s="661">
        <v>1153</v>
      </c>
      <c r="AB94" s="672">
        <f>+SUMIF(SYS_cliente!$F$5:$F$1678,'BCE ABREVIADO'!AA94,SYS_cliente!$I$5:$I$1678)</f>
        <v>0</v>
      </c>
    </row>
    <row r="95" spans="3:28" ht="15" customHeight="1">
      <c r="C95" s="762" t="s">
        <v>85</v>
      </c>
      <c r="E95" s="763">
        <f ca="1">+BALANCE!M67</f>
        <v>0</v>
      </c>
      <c r="F95" s="764" t="str">
        <f t="shared" ca="1" si="2"/>
        <v/>
      </c>
      <c r="H95" s="763">
        <v>0</v>
      </c>
      <c r="I95" s="764" t="s">
        <v>1392</v>
      </c>
      <c r="M95" s="642"/>
      <c r="N95" s="642"/>
      <c r="P95" s="553">
        <v>0</v>
      </c>
      <c r="Q95" s="642" t="s">
        <v>1392</v>
      </c>
      <c r="V95" s="661">
        <v>2055</v>
      </c>
      <c r="W95" s="662">
        <f>+SUMIF(SYS_cliente!$F$5:$F$1678,'BCE ABREVIADO'!V95,SYS_cliente!$I$5:$I$1678)</f>
        <v>0</v>
      </c>
      <c r="X95" s="702"/>
      <c r="Y95" s="668"/>
      <c r="Z95" s="666"/>
      <c r="AA95" s="661">
        <v>1154</v>
      </c>
      <c r="AB95" s="672">
        <f>+SUMIF(SYS_cliente!$F$5:$F$1678,'BCE ABREVIADO'!AA95,SYS_cliente!$I$5:$I$1678)</f>
        <v>0</v>
      </c>
    </row>
    <row r="96" spans="3:28" ht="15" customHeight="1">
      <c r="C96" s="762" t="s">
        <v>281</v>
      </c>
      <c r="E96" s="763">
        <f ca="1">+BALANCE!M65+BALANCE!M68+BALANCE!M69</f>
        <v>652.07000000000005</v>
      </c>
      <c r="F96" s="764">
        <f t="shared" ca="1" si="2"/>
        <v>1.8506375658122031E-6</v>
      </c>
      <c r="H96" s="763">
        <v>652.07000000000005</v>
      </c>
      <c r="I96" s="764">
        <v>2.0321490570115937E-6</v>
      </c>
      <c r="M96" s="642"/>
      <c r="N96" s="642"/>
      <c r="P96" s="553">
        <v>652.07000000000005</v>
      </c>
      <c r="Q96" s="642">
        <v>2.0321490570115937E-6</v>
      </c>
      <c r="V96" s="661">
        <v>2056</v>
      </c>
      <c r="W96" s="662">
        <f>+SUMIF(SYS_cliente!$F$5:$F$1678,'BCE ABREVIADO'!V96,SYS_cliente!$I$5:$I$1678)</f>
        <v>0</v>
      </c>
      <c r="X96" s="702"/>
      <c r="Y96" s="668"/>
      <c r="Z96" s="666"/>
      <c r="AA96" s="661">
        <v>1155</v>
      </c>
      <c r="AB96" s="672">
        <f>+SUMIF(SYS_cliente!$F$5:$F$1678,'BCE ABREVIADO'!AA96,SYS_cliente!$I$5:$I$1678)</f>
        <v>0</v>
      </c>
    </row>
    <row r="97" spans="3:28" ht="15.6">
      <c r="C97" s="740" t="s">
        <v>97</v>
      </c>
      <c r="D97" s="639"/>
      <c r="E97" s="756">
        <f ca="1">+BALANCE!M70</f>
        <v>0</v>
      </c>
      <c r="F97" s="742" t="str">
        <f t="shared" ca="1" si="2"/>
        <v/>
      </c>
      <c r="G97" s="639"/>
      <c r="H97" s="756">
        <v>0</v>
      </c>
      <c r="I97" s="742" t="s">
        <v>1392</v>
      </c>
      <c r="M97" s="642"/>
      <c r="N97" s="642"/>
      <c r="P97" s="553">
        <v>0</v>
      </c>
      <c r="Q97" s="642" t="s">
        <v>1392</v>
      </c>
      <c r="V97" s="661">
        <v>2057</v>
      </c>
      <c r="W97" s="662">
        <f>+SUMIF(SYS_cliente!$F$5:$F$1678,'BCE ABREVIADO'!V97,SYS_cliente!$I$5:$I$1678)</f>
        <v>0</v>
      </c>
      <c r="X97" s="702"/>
      <c r="Y97" s="668"/>
      <c r="Z97" s="666"/>
      <c r="AA97" s="661">
        <v>1156</v>
      </c>
      <c r="AB97" s="672">
        <f>+SUMIF(SYS_cliente!$F$5:$F$1678,'BCE ABREVIADO'!AA97,SYS_cliente!$I$5:$I$1678)</f>
        <v>0</v>
      </c>
    </row>
    <row r="98" spans="3:28" ht="15.6">
      <c r="C98" s="740" t="s">
        <v>98</v>
      </c>
      <c r="D98" s="639"/>
      <c r="E98" s="756">
        <f ca="1">SUM(E99:E100)</f>
        <v>1333109.6399999999</v>
      </c>
      <c r="F98" s="742">
        <f t="shared" ca="1" si="2"/>
        <v>3.7834937646730902E-3</v>
      </c>
      <c r="G98" s="639"/>
      <c r="H98" s="756">
        <v>1035421.3400000007</v>
      </c>
      <c r="I98" s="742">
        <v>3.2268475772396859E-3</v>
      </c>
      <c r="M98" s="642"/>
      <c r="N98" s="642"/>
      <c r="P98" s="553">
        <v>1035421.3400000007</v>
      </c>
      <c r="Q98" s="642">
        <v>3.2268475772396859E-3</v>
      </c>
      <c r="V98" s="661">
        <v>2058</v>
      </c>
      <c r="W98" s="662">
        <f>+SUMIF(SYS_cliente!$F$5:$F$1678,'BCE ABREVIADO'!V98,SYS_cliente!$I$5:$I$1678)</f>
        <v>0</v>
      </c>
      <c r="X98" s="702"/>
      <c r="Y98" s="668"/>
      <c r="Z98" s="666"/>
      <c r="AA98" s="661">
        <v>1157</v>
      </c>
      <c r="AB98" s="672">
        <f>+SUMIF(SYS_cliente!$F$5:$F$1678,'BCE ABREVIADO'!AA98,SYS_cliente!$I$5:$I$1678)</f>
        <v>0</v>
      </c>
    </row>
    <row r="99" spans="3:28" ht="15" customHeight="1">
      <c r="C99" s="762" t="s">
        <v>99</v>
      </c>
      <c r="E99" s="763">
        <f ca="1">+BALANCE!M72+BALANCE!M73</f>
        <v>159031.70999999996</v>
      </c>
      <c r="F99" s="764">
        <f t="shared" ca="1" si="2"/>
        <v>4.513473349201038E-4</v>
      </c>
      <c r="H99" s="763">
        <v>79309.050000000745</v>
      </c>
      <c r="I99" s="764">
        <v>2.4716335848909909E-4</v>
      </c>
      <c r="M99" s="642"/>
      <c r="N99" s="642"/>
      <c r="P99" s="553">
        <v>79309.050000000745</v>
      </c>
      <c r="Q99" s="642">
        <v>2.4716335848909909E-4</v>
      </c>
      <c r="V99" s="661">
        <v>2059</v>
      </c>
      <c r="W99" s="662">
        <f>+SUMIF(SYS_cliente!$F$5:$F$1678,'BCE ABREVIADO'!V99,SYS_cliente!$I$5:$I$1678)</f>
        <v>0</v>
      </c>
      <c r="X99" s="702"/>
      <c r="Y99" s="668"/>
      <c r="Z99" s="666"/>
      <c r="AA99" s="661">
        <v>1158</v>
      </c>
      <c r="AB99" s="672">
        <f>+SUMIF(SYS_cliente!$F$5:$F$1678,'BCE ABREVIADO'!AA99,SYS_cliente!$I$5:$I$1678)</f>
        <v>0</v>
      </c>
    </row>
    <row r="100" spans="3:28" ht="15" customHeight="1">
      <c r="C100" s="762" t="s">
        <v>282</v>
      </c>
      <c r="E100" s="763">
        <f ca="1">+BALANCE!M74+BALANCE!M75+BALANCE!M76+BALANCE!M77+BALANCE!M78</f>
        <v>1174077.93</v>
      </c>
      <c r="F100" s="764">
        <f t="shared" ca="1" si="2"/>
        <v>3.332146429752986E-3</v>
      </c>
      <c r="H100" s="763">
        <v>956112.28999999992</v>
      </c>
      <c r="I100" s="764">
        <v>2.9796842187505869E-3</v>
      </c>
      <c r="M100" s="642"/>
      <c r="N100" s="642"/>
      <c r="P100" s="553">
        <v>956112.28999999992</v>
      </c>
      <c r="Q100" s="642">
        <v>2.9796842187505869E-3</v>
      </c>
      <c r="V100" s="661">
        <v>2090</v>
      </c>
      <c r="W100" s="662">
        <f>+SUMIF(SYS_cliente!$F$5:$F$1678,'BCE ABREVIADO'!V100,SYS_cliente!$I$5:$I$1678)</f>
        <v>0</v>
      </c>
      <c r="X100" s="702"/>
      <c r="Y100" s="668"/>
      <c r="Z100" s="666"/>
      <c r="AA100" s="661">
        <v>1159</v>
      </c>
      <c r="AB100" s="672">
        <f>+SUMIF(SYS_cliente!$F$5:$F$1678,'BCE ABREVIADO'!AA100,SYS_cliente!$I$5:$I$1678)</f>
        <v>0</v>
      </c>
    </row>
    <row r="101" spans="3:28" ht="15.6">
      <c r="C101" s="743" t="s">
        <v>106</v>
      </c>
      <c r="D101" s="639"/>
      <c r="E101" s="760">
        <f ca="1">+BALANCE!M79</f>
        <v>0</v>
      </c>
      <c r="F101" s="745" t="str">
        <f t="shared" ca="1" si="2"/>
        <v/>
      </c>
      <c r="G101" s="639"/>
      <c r="H101" s="760">
        <v>0</v>
      </c>
      <c r="I101" s="745" t="s">
        <v>1392</v>
      </c>
      <c r="M101" s="642"/>
      <c r="N101" s="642"/>
      <c r="P101" s="553">
        <v>0</v>
      </c>
      <c r="Q101" s="642" t="s">
        <v>1392</v>
      </c>
      <c r="V101" s="661">
        <v>2800</v>
      </c>
      <c r="W101" s="662">
        <f>+SUMIF(SYS_cliente!$F$5:$F$1678,'BCE ABREVIADO'!V101,SYS_cliente!$I$5:$I$1678)</f>
        <v>0</v>
      </c>
      <c r="X101" s="702"/>
      <c r="Y101" s="668"/>
      <c r="Z101" s="666"/>
      <c r="AA101" s="661">
        <v>1190</v>
      </c>
      <c r="AB101" s="672">
        <f>+SUMIF(SYS_cliente!$F$5:$F$1678,'BCE ABREVIADO'!AA101,SYS_cliente!$I$5:$I$1678)</f>
        <v>-13.56</v>
      </c>
    </row>
    <row r="102" spans="3:28" ht="13.8">
      <c r="E102" s="642"/>
      <c r="F102" s="643" t="str">
        <f t="shared" si="2"/>
        <v/>
      </c>
      <c r="H102" s="642"/>
      <c r="I102" s="643" t="s">
        <v>1392</v>
      </c>
      <c r="M102" s="642"/>
      <c r="N102" s="642"/>
      <c r="Q102" s="642" t="s">
        <v>1392</v>
      </c>
      <c r="V102" s="661">
        <v>2805</v>
      </c>
      <c r="W102" s="662">
        <f>+SUMIF(SYS_cliente!$F$5:$F$1678,'BCE ABREVIADO'!V102,SYS_cliente!$I$5:$I$1678)</f>
        <v>0</v>
      </c>
      <c r="X102" s="702"/>
      <c r="Y102" s="668"/>
      <c r="Z102" s="666"/>
      <c r="AA102" s="661">
        <v>1191</v>
      </c>
      <c r="AB102" s="672">
        <f>+SUMIF(SYS_cliente!$F$5:$F$1678,'BCE ABREVIADO'!AA102,SYS_cliente!$I$5:$I$1678)</f>
        <v>0</v>
      </c>
    </row>
    <row r="103" spans="3:28" ht="17.399999999999999">
      <c r="C103" s="616" t="s">
        <v>108</v>
      </c>
      <c r="E103" s="619">
        <f ca="1">+E90+E80+E63</f>
        <v>352348840.23000002</v>
      </c>
      <c r="F103" s="709">
        <f t="shared" ca="1" si="2"/>
        <v>1</v>
      </c>
      <c r="H103" s="619">
        <v>320877052.66999996</v>
      </c>
      <c r="I103" s="709">
        <v>0.99999999999999978</v>
      </c>
      <c r="M103" s="642"/>
      <c r="N103" s="642"/>
      <c r="P103" s="553">
        <v>320877052.66999996</v>
      </c>
      <c r="Q103" s="642">
        <v>0.99999999999999978</v>
      </c>
      <c r="V103" s="661">
        <v>2905</v>
      </c>
      <c r="W103" s="662">
        <f>+SUMIF(SYS_cliente!$F$5:$F$1678,'BCE ABREVIADO'!V103,SYS_cliente!$I$5:$I$1678)</f>
        <v>0</v>
      </c>
      <c r="X103" s="702"/>
      <c r="Y103" s="668"/>
      <c r="Z103" s="666"/>
      <c r="AA103" s="661">
        <v>1192</v>
      </c>
      <c r="AB103" s="672">
        <f>+SUMIF(SYS_cliente!$F$5:$F$1678,'BCE ABREVIADO'!AA103,SYS_cliente!$I$5:$I$1678)</f>
        <v>0</v>
      </c>
    </row>
    <row r="104" spans="3:28" ht="13.8">
      <c r="E104" s="707"/>
      <c r="F104" s="707"/>
      <c r="G104" s="707"/>
      <c r="M104" s="642"/>
      <c r="N104" s="642"/>
      <c r="Q104" s="642"/>
      <c r="V104" s="664" t="s">
        <v>12</v>
      </c>
      <c r="W104" s="699"/>
      <c r="X104" s="702"/>
      <c r="Y104" s="668"/>
      <c r="Z104" s="666"/>
      <c r="AA104" s="661">
        <v>1193</v>
      </c>
      <c r="AB104" s="672">
        <f>+SUMIF(SYS_cliente!$F$5:$F$1678,'BCE ABREVIADO'!AA104,SYS_cliente!$I$5:$I$1678)</f>
        <v>0</v>
      </c>
    </row>
    <row r="105" spans="3:28" ht="17.399999999999999">
      <c r="C105" s="710" t="s">
        <v>177</v>
      </c>
      <c r="E105" s="711">
        <f ca="1">+E55-E103</f>
        <v>0</v>
      </c>
      <c r="H105" s="711">
        <v>1.9999956712126732E-3</v>
      </c>
      <c r="M105" s="642"/>
      <c r="N105" s="642"/>
      <c r="Q105" s="642"/>
      <c r="U105" s="652" t="s">
        <v>114</v>
      </c>
      <c r="V105" s="653" t="s">
        <v>13</v>
      </c>
      <c r="W105" s="654">
        <f>SUM(W106:W128)</f>
        <v>2994079.3899999997</v>
      </c>
      <c r="X105" s="699"/>
      <c r="Y105" s="668"/>
      <c r="Z105" s="666"/>
      <c r="AA105" s="661">
        <v>1194</v>
      </c>
      <c r="AB105" s="672">
        <f>+SUMIF(SYS_cliente!$F$5:$F$1678,'BCE ABREVIADO'!AA105,SYS_cliente!$I$5:$I$1678)</f>
        <v>0</v>
      </c>
    </row>
    <row r="106" spans="3:28" ht="13.8">
      <c r="E106" s="707"/>
      <c r="F106" s="707"/>
      <c r="G106" s="707"/>
      <c r="M106" s="642"/>
      <c r="N106" s="642"/>
      <c r="Q106" s="642"/>
      <c r="V106" s="661">
        <v>2100</v>
      </c>
      <c r="W106" s="662">
        <f>+SUMIF(SYS_cliente!$F$5:$F$1678,'BCE ABREVIADO'!V106,SYS_cliente!$I$5:$I$1678)</f>
        <v>1217233.03</v>
      </c>
      <c r="X106" s="702"/>
      <c r="Y106" s="668"/>
      <c r="Z106" s="666"/>
      <c r="AA106" s="661">
        <v>1195</v>
      </c>
      <c r="AB106" s="672">
        <f>+SUMIF(SYS_cliente!$F$5:$F$1678,'BCE ABREVIADO'!AA106,SYS_cliente!$I$5:$I$1678)</f>
        <v>0</v>
      </c>
    </row>
    <row r="107" spans="3:28" ht="13.8">
      <c r="E107" s="707"/>
      <c r="F107" s="707"/>
      <c r="G107" s="707"/>
      <c r="M107" s="642"/>
      <c r="N107" s="642"/>
      <c r="Q107" s="642"/>
      <c r="V107" s="661">
        <v>2101</v>
      </c>
      <c r="W107" s="662">
        <f>+SUMIF(SYS_cliente!$F$5:$F$1678,'BCE ABREVIADO'!V107,SYS_cliente!$I$5:$I$1678)</f>
        <v>0</v>
      </c>
      <c r="X107" s="702"/>
      <c r="Z107" s="666"/>
      <c r="AA107" s="661">
        <v>1196</v>
      </c>
      <c r="AB107" s="672">
        <f>+SUMIF(SYS_cliente!$F$5:$F$1678,'BCE ABREVIADO'!AA107,SYS_cliente!$I$5:$I$1678)</f>
        <v>0</v>
      </c>
    </row>
    <row r="108" spans="3:28" ht="13.8">
      <c r="E108" s="707"/>
      <c r="F108" s="707"/>
      <c r="G108" s="707"/>
      <c r="M108" s="642"/>
      <c r="N108" s="642"/>
      <c r="Q108" s="642"/>
      <c r="V108" s="661">
        <v>2102</v>
      </c>
      <c r="W108" s="662">
        <f>+SUMIF(SYS_cliente!$F$5:$F$1678,'BCE ABREVIADO'!V108,SYS_cliente!$I$5:$I$1678)</f>
        <v>0</v>
      </c>
      <c r="X108" s="702"/>
      <c r="Z108" s="666"/>
      <c r="AA108" s="661">
        <v>1197</v>
      </c>
      <c r="AB108" s="672">
        <f>+SUMIF(SYS_cliente!$F$5:$F$1678,'BCE ABREVIADO'!AA108,SYS_cliente!$I$5:$I$1678)</f>
        <v>0</v>
      </c>
    </row>
    <row r="109" spans="3:28" ht="13.8">
      <c r="E109" s="707"/>
      <c r="F109" s="707"/>
      <c r="G109" s="707"/>
      <c r="M109" s="642"/>
      <c r="N109" s="642"/>
      <c r="Q109" s="642"/>
      <c r="V109" s="661">
        <v>2103</v>
      </c>
      <c r="W109" s="662">
        <f>+SUMIF(SYS_cliente!$F$5:$F$1678,'BCE ABREVIADO'!V109,SYS_cliente!$I$5:$I$1678)</f>
        <v>0</v>
      </c>
      <c r="X109" s="702"/>
      <c r="Z109" s="666"/>
      <c r="AA109" s="661">
        <v>1198</v>
      </c>
      <c r="AB109" s="672">
        <f>+SUMIF(SYS_cliente!$F$5:$F$1678,'BCE ABREVIADO'!AA109,SYS_cliente!$I$5:$I$1678)</f>
        <v>0</v>
      </c>
    </row>
    <row r="110" spans="3:28" ht="13.8">
      <c r="E110" s="707"/>
      <c r="F110" s="707"/>
      <c r="G110" s="707"/>
      <c r="M110" s="642"/>
      <c r="N110" s="642"/>
      <c r="Q110" s="642"/>
      <c r="V110" s="661">
        <v>2104</v>
      </c>
      <c r="W110" s="662">
        <f>+SUMIF(SYS_cliente!$F$5:$F$1678,'BCE ABREVIADO'!V110,SYS_cliente!$I$5:$I$1678)</f>
        <v>0</v>
      </c>
      <c r="X110" s="702"/>
      <c r="Z110" s="666"/>
      <c r="AA110" s="661">
        <v>1199</v>
      </c>
      <c r="AB110" s="672">
        <f>+SUMIF(SYS_cliente!$F$5:$F$1678,'BCE ABREVIADO'!AA110,SYS_cliente!$I$5:$I$1678)</f>
        <v>0</v>
      </c>
    </row>
    <row r="111" spans="3:28" ht="13.8">
      <c r="E111" s="707"/>
      <c r="F111" s="707"/>
      <c r="G111" s="707"/>
      <c r="M111" s="642"/>
      <c r="N111" s="642"/>
      <c r="Q111" s="642"/>
      <c r="V111" s="661">
        <v>2105</v>
      </c>
      <c r="W111" s="662">
        <f>+SUMIF(SYS_cliente!$F$5:$F$1678,'BCE ABREVIADO'!V111,SYS_cliente!$I$5:$I$1678)</f>
        <v>0</v>
      </c>
      <c r="X111" s="702"/>
      <c r="Z111" s="666" t="s">
        <v>148</v>
      </c>
      <c r="AA111" s="664" t="s">
        <v>63</v>
      </c>
      <c r="AB111" s="642">
        <f>SUM(AB112:AB131)</f>
        <v>0</v>
      </c>
    </row>
    <row r="112" spans="3:28" ht="13.8">
      <c r="E112" s="707"/>
      <c r="F112" s="707"/>
      <c r="G112" s="707"/>
      <c r="M112" s="642"/>
      <c r="N112" s="642"/>
      <c r="Q112" s="642"/>
      <c r="V112" s="661">
        <v>2106</v>
      </c>
      <c r="W112" s="662">
        <f>+SUMIF(SYS_cliente!$F$5:$F$1678,'BCE ABREVIADO'!V112,SYS_cliente!$I$5:$I$1678)</f>
        <v>0</v>
      </c>
      <c r="X112" s="702"/>
      <c r="Z112" s="666"/>
      <c r="AA112" s="661">
        <v>1080</v>
      </c>
      <c r="AB112" s="672">
        <f>+SUMIF(SYS_cliente!$F$5:$F$1678,'BCE ABREVIADO'!AA112,SYS_cliente!$I$5:$I$1678)</f>
        <v>0</v>
      </c>
    </row>
    <row r="113" spans="5:28" ht="13.8">
      <c r="E113" s="707"/>
      <c r="F113" s="707"/>
      <c r="G113" s="707"/>
      <c r="M113" s="642"/>
      <c r="N113" s="642"/>
      <c r="Q113" s="642"/>
      <c r="V113" s="661">
        <v>2107</v>
      </c>
      <c r="W113" s="662">
        <f>+SUMIF(SYS_cliente!$F$5:$F$1678,'BCE ABREVIADO'!V113,SYS_cliente!$I$5:$I$1678)</f>
        <v>0</v>
      </c>
      <c r="X113" s="702"/>
      <c r="Z113" s="666"/>
      <c r="AA113" s="661">
        <v>1081</v>
      </c>
      <c r="AB113" s="672">
        <f>+SUMIF(SYS_cliente!$F$5:$F$1678,'BCE ABREVIADO'!AA113,SYS_cliente!$I$5:$I$1678)</f>
        <v>0</v>
      </c>
    </row>
    <row r="114" spans="5:28" ht="13.8">
      <c r="E114" s="707"/>
      <c r="F114" s="707"/>
      <c r="G114" s="707"/>
      <c r="M114" s="642"/>
      <c r="N114" s="642"/>
      <c r="Q114" s="642"/>
      <c r="V114" s="661">
        <v>2108</v>
      </c>
      <c r="W114" s="662">
        <f>+SUMIF(SYS_cliente!$F$5:$F$1678,'BCE ABREVIADO'!V114,SYS_cliente!$I$5:$I$1678)</f>
        <v>0</v>
      </c>
      <c r="X114" s="702"/>
      <c r="Z114" s="666"/>
      <c r="AA114" s="661">
        <v>1082</v>
      </c>
      <c r="AB114" s="672">
        <f>+SUMIF(SYS_cliente!$F$5:$F$1678,'BCE ABREVIADO'!AA114,SYS_cliente!$I$5:$I$1678)</f>
        <v>0</v>
      </c>
    </row>
    <row r="115" spans="5:28" ht="13.8">
      <c r="E115" s="707"/>
      <c r="F115" s="707"/>
      <c r="G115" s="707"/>
      <c r="M115" s="642"/>
      <c r="N115" s="642"/>
      <c r="Q115" s="642"/>
      <c r="V115" s="661">
        <v>2109</v>
      </c>
      <c r="W115" s="662">
        <f>+SUMIF(SYS_cliente!$F$5:$F$1678,'BCE ABREVIADO'!V115,SYS_cliente!$I$5:$I$1678)</f>
        <v>0</v>
      </c>
      <c r="X115" s="702"/>
      <c r="Z115" s="666"/>
      <c r="AA115" s="661">
        <v>1083</v>
      </c>
      <c r="AB115" s="672">
        <f>+SUMIF(SYS_cliente!$F$5:$F$1678,'BCE ABREVIADO'!AA115,SYS_cliente!$I$5:$I$1678)</f>
        <v>0</v>
      </c>
    </row>
    <row r="116" spans="5:28" ht="13.8">
      <c r="E116" s="707"/>
      <c r="F116" s="707"/>
      <c r="G116" s="707"/>
      <c r="M116" s="642"/>
      <c r="N116" s="642"/>
      <c r="Q116" s="642"/>
      <c r="V116" s="661">
        <v>2110</v>
      </c>
      <c r="W116" s="662">
        <f>+SUMIF(SYS_cliente!$F$5:$F$1678,'BCE ABREVIADO'!V116,SYS_cliente!$I$5:$I$1678)</f>
        <v>4310120.59</v>
      </c>
      <c r="X116" s="702"/>
      <c r="Z116" s="666"/>
      <c r="AA116" s="661">
        <v>1084</v>
      </c>
      <c r="AB116" s="672">
        <f>+SUMIF(SYS_cliente!$F$5:$F$1678,'BCE ABREVIADO'!AA116,SYS_cliente!$I$5:$I$1678)</f>
        <v>0</v>
      </c>
    </row>
    <row r="117" spans="5:28" ht="13.8">
      <c r="E117" s="707"/>
      <c r="F117" s="707"/>
      <c r="G117" s="707"/>
      <c r="M117" s="642"/>
      <c r="N117" s="642"/>
      <c r="Q117" s="642"/>
      <c r="V117" s="661">
        <v>2111</v>
      </c>
      <c r="W117" s="662">
        <f>+SUMIF(SYS_cliente!$F$5:$F$1678,'BCE ABREVIADO'!V117,SYS_cliente!$I$5:$I$1678)</f>
        <v>0</v>
      </c>
      <c r="X117" s="702"/>
      <c r="Z117" s="666"/>
      <c r="AA117" s="661">
        <v>1085</v>
      </c>
      <c r="AB117" s="672">
        <f>+SUMIF(SYS_cliente!$F$5:$F$1678,'BCE ABREVIADO'!AA117,SYS_cliente!$I$5:$I$1678)</f>
        <v>0</v>
      </c>
    </row>
    <row r="118" spans="5:28" ht="13.8">
      <c r="E118" s="707"/>
      <c r="F118" s="707"/>
      <c r="G118" s="707"/>
      <c r="M118" s="642"/>
      <c r="N118" s="642"/>
      <c r="Q118" s="642"/>
      <c r="V118" s="661">
        <v>2112</v>
      </c>
      <c r="W118" s="662">
        <f>+SUMIF(SYS_cliente!$F$5:$F$1678,'BCE ABREVIADO'!V118,SYS_cliente!$I$5:$I$1678)</f>
        <v>595287.93000000005</v>
      </c>
      <c r="X118" s="702"/>
      <c r="Z118" s="666"/>
      <c r="AA118" s="661">
        <v>1086</v>
      </c>
      <c r="AB118" s="672">
        <f>+SUMIF(SYS_cliente!$F$5:$F$1678,'BCE ABREVIADO'!AA118,SYS_cliente!$I$5:$I$1678)</f>
        <v>0</v>
      </c>
    </row>
    <row r="119" spans="5:28" ht="13.8">
      <c r="E119" s="707"/>
      <c r="F119" s="707"/>
      <c r="G119" s="707"/>
      <c r="M119" s="642"/>
      <c r="N119" s="642"/>
      <c r="Q119" s="642"/>
      <c r="V119" s="661">
        <v>2113</v>
      </c>
      <c r="W119" s="662">
        <f>+SUMIF(SYS_cliente!$F$5:$F$1678,'BCE ABREVIADO'!V119,SYS_cliente!$I$5:$I$1678)</f>
        <v>0</v>
      </c>
      <c r="X119" s="702"/>
      <c r="Z119" s="666"/>
      <c r="AA119" s="661">
        <v>1087</v>
      </c>
      <c r="AB119" s="672">
        <f>+SUMIF(SYS_cliente!$F$5:$F$1678,'BCE ABREVIADO'!AA119,SYS_cliente!$I$5:$I$1678)</f>
        <v>0</v>
      </c>
    </row>
    <row r="120" spans="5:28" ht="13.8">
      <c r="E120" s="707"/>
      <c r="F120" s="707"/>
      <c r="G120" s="707"/>
      <c r="M120" s="642"/>
      <c r="N120" s="642"/>
      <c r="Q120" s="642"/>
      <c r="V120" s="661">
        <v>2114</v>
      </c>
      <c r="W120" s="662">
        <f>+SUMIF(SYS_cliente!$F$5:$F$1678,'BCE ABREVIADO'!V120,SYS_cliente!$I$5:$I$1678)</f>
        <v>0</v>
      </c>
      <c r="X120" s="702"/>
      <c r="Z120" s="666"/>
      <c r="AA120" s="661">
        <v>1088</v>
      </c>
      <c r="AB120" s="672">
        <f>+SUMIF(SYS_cliente!$F$5:$F$1678,'BCE ABREVIADO'!AA120,SYS_cliente!$I$5:$I$1678)</f>
        <v>0</v>
      </c>
    </row>
    <row r="121" spans="5:28" ht="13.8">
      <c r="E121" s="707"/>
      <c r="F121" s="707"/>
      <c r="G121" s="707"/>
      <c r="M121" s="642"/>
      <c r="N121" s="642"/>
      <c r="Q121" s="642"/>
      <c r="V121" s="661">
        <v>2115</v>
      </c>
      <c r="W121" s="662">
        <f>+SUMIF(SYS_cliente!$F$5:$F$1678,'BCE ABREVIADO'!V121,SYS_cliente!$I$5:$I$1678)</f>
        <v>0</v>
      </c>
      <c r="X121" s="702"/>
      <c r="Z121" s="666"/>
      <c r="AA121" s="661">
        <v>1089</v>
      </c>
      <c r="AB121" s="672">
        <f>+SUMIF(SYS_cliente!$F$5:$F$1678,'BCE ABREVIADO'!AA121,SYS_cliente!$I$5:$I$1678)</f>
        <v>0</v>
      </c>
    </row>
    <row r="122" spans="5:28" ht="13.8">
      <c r="E122" s="707"/>
      <c r="F122" s="707"/>
      <c r="G122" s="707"/>
      <c r="M122" s="642"/>
      <c r="N122" s="642"/>
      <c r="Q122" s="642"/>
      <c r="V122" s="661">
        <v>2116</v>
      </c>
      <c r="W122" s="662">
        <f>+SUMIF(SYS_cliente!$F$5:$F$1678,'BCE ABREVIADO'!V122,SYS_cliente!$I$5:$I$1678)</f>
        <v>0</v>
      </c>
      <c r="X122" s="702"/>
      <c r="Z122" s="666"/>
      <c r="AA122" s="661">
        <v>1090</v>
      </c>
      <c r="AB122" s="672">
        <f>+SUMIF(SYS_cliente!$F$5:$F$1678,'BCE ABREVIADO'!AA122,SYS_cliente!$I$5:$I$1678)</f>
        <v>0</v>
      </c>
    </row>
    <row r="123" spans="5:28" ht="13.8">
      <c r="E123" s="707"/>
      <c r="F123" s="707"/>
      <c r="G123" s="707"/>
      <c r="M123" s="642"/>
      <c r="N123" s="642"/>
      <c r="Q123" s="642"/>
      <c r="V123" s="661">
        <v>2117</v>
      </c>
      <c r="W123" s="662">
        <f>+SUMIF(SYS_cliente!$F$5:$F$1678,'BCE ABREVIADO'!V123,SYS_cliente!$I$5:$I$1678)</f>
        <v>0</v>
      </c>
      <c r="X123" s="702"/>
      <c r="Z123" s="666"/>
      <c r="AA123" s="661">
        <v>1091</v>
      </c>
      <c r="AB123" s="672">
        <f>+SUMIF(SYS_cliente!$F$5:$F$1678,'BCE ABREVIADO'!AA123,SYS_cliente!$I$5:$I$1678)</f>
        <v>0</v>
      </c>
    </row>
    <row r="124" spans="5:28" ht="13.8">
      <c r="E124" s="707"/>
      <c r="F124" s="707"/>
      <c r="G124" s="707"/>
      <c r="M124" s="642"/>
      <c r="N124" s="642"/>
      <c r="Q124" s="642"/>
      <c r="V124" s="661">
        <v>2118</v>
      </c>
      <c r="W124" s="662">
        <f>+SUMIF(SYS_cliente!$F$5:$F$1678,'BCE ABREVIADO'!V124,SYS_cliente!$I$5:$I$1678)</f>
        <v>0</v>
      </c>
      <c r="X124" s="702"/>
      <c r="Z124" s="666"/>
      <c r="AA124" s="661">
        <v>1092</v>
      </c>
      <c r="AB124" s="672">
        <f>+SUMIF(SYS_cliente!$F$5:$F$1678,'BCE ABREVIADO'!AA124,SYS_cliente!$I$5:$I$1678)</f>
        <v>0</v>
      </c>
    </row>
    <row r="125" spans="5:28" ht="13.8">
      <c r="E125" s="707"/>
      <c r="F125" s="707"/>
      <c r="G125" s="707"/>
      <c r="M125" s="642"/>
      <c r="N125" s="642"/>
      <c r="Q125" s="642"/>
      <c r="V125" s="661">
        <v>2119</v>
      </c>
      <c r="W125" s="662">
        <f>+SUMIF(SYS_cliente!$F$5:$F$1678,'BCE ABREVIADO'!V125,SYS_cliente!$I$5:$I$1678)</f>
        <v>0</v>
      </c>
      <c r="X125" s="702"/>
      <c r="Z125" s="666"/>
      <c r="AA125" s="661">
        <v>1093</v>
      </c>
      <c r="AB125" s="672">
        <f>+SUMIF(SYS_cliente!$F$5:$F$1678,'BCE ABREVIADO'!AA125,SYS_cliente!$I$5:$I$1678)</f>
        <v>0</v>
      </c>
    </row>
    <row r="126" spans="5:28" ht="13.8">
      <c r="E126" s="707"/>
      <c r="F126" s="707"/>
      <c r="G126" s="707"/>
      <c r="M126" s="642"/>
      <c r="N126" s="642"/>
      <c r="Q126" s="642"/>
      <c r="V126" s="661">
        <v>2811</v>
      </c>
      <c r="W126" s="662">
        <f>+SUMIF(SYS_cliente!$F$5:$F$1678,'BCE ABREVIADO'!V126,SYS_cliente!$I$5:$I$1678)</f>
        <v>-3128562.16</v>
      </c>
      <c r="X126" s="699"/>
      <c r="Z126" s="666"/>
      <c r="AA126" s="661">
        <v>1094</v>
      </c>
      <c r="AB126" s="672">
        <f>+SUMIF(SYS_cliente!$F$5:$F$1678,'BCE ABREVIADO'!AA126,SYS_cliente!$I$5:$I$1678)</f>
        <v>0</v>
      </c>
    </row>
    <row r="127" spans="5:28" ht="13.8">
      <c r="E127" s="707"/>
      <c r="F127" s="707"/>
      <c r="G127" s="707"/>
      <c r="M127" s="642"/>
      <c r="N127" s="642"/>
      <c r="Q127" s="642"/>
      <c r="V127" s="661">
        <v>2910</v>
      </c>
      <c r="W127" s="662">
        <f>+SUMIF(SYS_cliente!$F$5:$F$1678,'BCE ABREVIADO'!V127,SYS_cliente!$I$5:$I$1678)</f>
        <v>0</v>
      </c>
      <c r="X127" s="702"/>
      <c r="Z127" s="666"/>
      <c r="AA127" s="661">
        <v>1095</v>
      </c>
      <c r="AB127" s="672">
        <f>+SUMIF(SYS_cliente!$F$5:$F$1678,'BCE ABREVIADO'!AA127,SYS_cliente!$I$5:$I$1678)</f>
        <v>0</v>
      </c>
    </row>
    <row r="128" spans="5:28" ht="13.8">
      <c r="E128" s="707"/>
      <c r="F128" s="707"/>
      <c r="G128" s="707"/>
      <c r="M128" s="642"/>
      <c r="N128" s="642"/>
      <c r="Q128" s="642"/>
      <c r="V128" s="661">
        <v>2911</v>
      </c>
      <c r="W128" s="662">
        <f>+SUMIF(SYS_cliente!$F$5:$F$1678,'BCE ABREVIADO'!V128,SYS_cliente!$I$5:$I$1678)</f>
        <v>0</v>
      </c>
      <c r="X128" s="702"/>
      <c r="Z128" s="666"/>
      <c r="AA128" s="661">
        <v>1096</v>
      </c>
      <c r="AB128" s="672">
        <f>+SUMIF(SYS_cliente!$F$5:$F$1678,'BCE ABREVIADO'!AA128,SYS_cliente!$I$5:$I$1678)</f>
        <v>0</v>
      </c>
    </row>
    <row r="129" spans="5:28" ht="13.8">
      <c r="E129" s="707"/>
      <c r="F129" s="707"/>
      <c r="G129" s="707"/>
      <c r="M129" s="642"/>
      <c r="N129" s="642"/>
      <c r="Q129" s="642"/>
      <c r="U129" s="652" t="s">
        <v>115</v>
      </c>
      <c r="V129" s="653" t="s">
        <v>14</v>
      </c>
      <c r="W129" s="654">
        <f>SUM(W130:W225)</f>
        <v>2528885.4400000004</v>
      </c>
      <c r="X129" s="702"/>
      <c r="Z129" s="666"/>
      <c r="AA129" s="661">
        <v>1097</v>
      </c>
      <c r="AB129" s="672">
        <f>+SUMIF(SYS_cliente!$F$5:$F$1678,'BCE ABREVIADO'!AA129,SYS_cliente!$I$5:$I$1678)</f>
        <v>0</v>
      </c>
    </row>
    <row r="130" spans="5:28" ht="13.8">
      <c r="E130" s="707"/>
      <c r="F130" s="707"/>
      <c r="G130" s="707"/>
      <c r="M130" s="642"/>
      <c r="N130" s="642"/>
      <c r="Q130" s="642"/>
      <c r="V130" s="661">
        <v>2120</v>
      </c>
      <c r="W130" s="662">
        <f>+SUMIF(SYS_cliente!$F$5:$F$1678,'BCE ABREVIADO'!V130,SYS_cliente!$I$5:$I$1678)</f>
        <v>19677094.84</v>
      </c>
      <c r="X130" s="702"/>
      <c r="Z130" s="666"/>
      <c r="AA130" s="661">
        <v>1098</v>
      </c>
      <c r="AB130" s="672">
        <f>+SUMIF(SYS_cliente!$F$5:$F$1678,'BCE ABREVIADO'!AA130,SYS_cliente!$I$5:$I$1678)</f>
        <v>0</v>
      </c>
    </row>
    <row r="131" spans="5:28" ht="13.8">
      <c r="E131" s="707"/>
      <c r="F131" s="707"/>
      <c r="G131" s="707"/>
      <c r="M131" s="642"/>
      <c r="N131" s="642"/>
      <c r="Q131" s="642"/>
      <c r="V131" s="661">
        <v>2121</v>
      </c>
      <c r="W131" s="662">
        <f>+SUMIF(SYS_cliente!$F$5:$F$1678,'BCE ABREVIADO'!V131,SYS_cliente!$I$5:$I$1678)</f>
        <v>0</v>
      </c>
      <c r="X131" s="702"/>
      <c r="Z131" s="666"/>
      <c r="AA131" s="661">
        <v>1099</v>
      </c>
      <c r="AB131" s="672">
        <f>+SUMIF(SYS_cliente!$F$5:$F$1678,'BCE ABREVIADO'!AA131,SYS_cliente!$I$5:$I$1678)</f>
        <v>0</v>
      </c>
    </row>
    <row r="132" spans="5:28" ht="13.8">
      <c r="E132" s="707"/>
      <c r="F132" s="707"/>
      <c r="G132" s="707"/>
      <c r="M132" s="642"/>
      <c r="N132" s="642"/>
      <c r="Q132" s="642"/>
      <c r="V132" s="661">
        <v>2122</v>
      </c>
      <c r="W132" s="662">
        <f>+SUMIF(SYS_cliente!$F$5:$F$1678,'BCE ABREVIADO'!V132,SYS_cliente!$I$5:$I$1678)</f>
        <v>0</v>
      </c>
      <c r="X132" s="702"/>
      <c r="Z132" s="666"/>
      <c r="AA132" s="664" t="s">
        <v>64</v>
      </c>
      <c r="AB132" s="642"/>
    </row>
    <row r="133" spans="5:28" ht="13.8">
      <c r="E133" s="707"/>
      <c r="F133" s="707"/>
      <c r="G133" s="707"/>
      <c r="M133" s="642"/>
      <c r="N133" s="642"/>
      <c r="Q133" s="642"/>
      <c r="V133" s="661">
        <v>2123</v>
      </c>
      <c r="W133" s="662">
        <f>+SUMIF(SYS_cliente!$F$5:$F$1678,'BCE ABREVIADO'!V133,SYS_cliente!$I$5:$I$1678)</f>
        <v>0</v>
      </c>
      <c r="X133" s="702"/>
      <c r="Z133" s="666">
        <v>120</v>
      </c>
      <c r="AA133" s="653" t="s">
        <v>65</v>
      </c>
      <c r="AB133" s="667">
        <f>SUM(AB134:AB143)</f>
        <v>0</v>
      </c>
    </row>
    <row r="134" spans="5:28" ht="13.8">
      <c r="E134" s="707"/>
      <c r="F134" s="707"/>
      <c r="G134" s="707"/>
      <c r="M134" s="642"/>
      <c r="N134" s="642"/>
      <c r="Q134" s="642"/>
      <c r="V134" s="661">
        <v>2124</v>
      </c>
      <c r="W134" s="662">
        <f>+SUMIF(SYS_cliente!$F$5:$F$1678,'BCE ABREVIADO'!V134,SYS_cliente!$I$5:$I$1678)</f>
        <v>0</v>
      </c>
      <c r="X134" s="702"/>
      <c r="Z134" s="666"/>
      <c r="AA134" s="661">
        <v>1200</v>
      </c>
      <c r="AB134" s="672">
        <f>+SUMIF(SYS_cliente!$F$5:$F$1678,'BCE ABREVIADO'!AA134,SYS_cliente!$I$5:$I$1678)</f>
        <v>0</v>
      </c>
    </row>
    <row r="135" spans="5:28" ht="13.8">
      <c r="E135" s="707"/>
      <c r="F135" s="707"/>
      <c r="G135" s="707"/>
      <c r="M135" s="642"/>
      <c r="N135" s="642"/>
      <c r="Q135" s="642"/>
      <c r="V135" s="661">
        <v>2125</v>
      </c>
      <c r="W135" s="662">
        <f>+SUMIF(SYS_cliente!$F$5:$F$1678,'BCE ABREVIADO'!V135,SYS_cliente!$I$5:$I$1678)</f>
        <v>0</v>
      </c>
      <c r="X135" s="702"/>
      <c r="Z135" s="666"/>
      <c r="AA135" s="661">
        <v>1201</v>
      </c>
      <c r="AB135" s="672">
        <f>+SUMIF(SYS_cliente!$F$5:$F$1678,'BCE ABREVIADO'!AA135,SYS_cliente!$I$5:$I$1678)</f>
        <v>0</v>
      </c>
    </row>
    <row r="136" spans="5:28" ht="13.8">
      <c r="E136" s="707"/>
      <c r="F136" s="707"/>
      <c r="G136" s="707"/>
      <c r="M136" s="642"/>
      <c r="N136" s="642"/>
      <c r="Q136" s="642"/>
      <c r="V136" s="661">
        <v>2126</v>
      </c>
      <c r="W136" s="662">
        <f>+SUMIF(SYS_cliente!$F$5:$F$1678,'BCE ABREVIADO'!V136,SYS_cliente!$I$5:$I$1678)</f>
        <v>0</v>
      </c>
      <c r="X136" s="702"/>
      <c r="Z136" s="666"/>
      <c r="AA136" s="661">
        <v>1202</v>
      </c>
      <c r="AB136" s="672">
        <f>+SUMIF(SYS_cliente!$F$5:$F$1678,'BCE ABREVIADO'!AA136,SYS_cliente!$I$5:$I$1678)</f>
        <v>0</v>
      </c>
    </row>
    <row r="137" spans="5:28" ht="13.8">
      <c r="E137" s="707"/>
      <c r="F137" s="707"/>
      <c r="G137" s="707"/>
      <c r="M137" s="642"/>
      <c r="N137" s="642"/>
      <c r="Q137" s="642"/>
      <c r="V137" s="661">
        <v>2127</v>
      </c>
      <c r="W137" s="662">
        <f>+SUMIF(SYS_cliente!$F$5:$F$1678,'BCE ABREVIADO'!V137,SYS_cliente!$I$5:$I$1678)</f>
        <v>0</v>
      </c>
      <c r="X137" s="702"/>
      <c r="Z137" s="666"/>
      <c r="AA137" s="661">
        <v>1203</v>
      </c>
      <c r="AB137" s="672">
        <f>+SUMIF(SYS_cliente!$F$5:$F$1678,'BCE ABREVIADO'!AA137,SYS_cliente!$I$5:$I$1678)</f>
        <v>0</v>
      </c>
    </row>
    <row r="138" spans="5:28" ht="13.8">
      <c r="E138" s="707"/>
      <c r="F138" s="707"/>
      <c r="G138" s="707"/>
      <c r="M138" s="642"/>
      <c r="N138" s="642"/>
      <c r="Q138" s="642"/>
      <c r="V138" s="661">
        <v>2128</v>
      </c>
      <c r="W138" s="662">
        <f>+SUMIF(SYS_cliente!$F$5:$F$1678,'BCE ABREVIADO'!V138,SYS_cliente!$I$5:$I$1678)</f>
        <v>0</v>
      </c>
      <c r="X138" s="702"/>
      <c r="Z138" s="666"/>
      <c r="AA138" s="661">
        <v>1204</v>
      </c>
      <c r="AB138" s="672">
        <f>+SUMIF(SYS_cliente!$F$5:$F$1678,'BCE ABREVIADO'!AA138,SYS_cliente!$I$5:$I$1678)</f>
        <v>0</v>
      </c>
    </row>
    <row r="139" spans="5:28" ht="13.8">
      <c r="E139" s="707"/>
      <c r="F139" s="707"/>
      <c r="G139" s="707"/>
      <c r="M139" s="642"/>
      <c r="N139" s="642"/>
      <c r="Q139" s="642"/>
      <c r="V139" s="661">
        <v>2129</v>
      </c>
      <c r="W139" s="662">
        <f>+SUMIF(SYS_cliente!$F$5:$F$1678,'BCE ABREVIADO'!V139,SYS_cliente!$I$5:$I$1678)</f>
        <v>0</v>
      </c>
      <c r="X139" s="702"/>
      <c r="Z139" s="666"/>
      <c r="AA139" s="661">
        <v>1205</v>
      </c>
      <c r="AB139" s="672">
        <f>+SUMIF(SYS_cliente!$F$5:$F$1678,'BCE ABREVIADO'!AA139,SYS_cliente!$I$5:$I$1678)</f>
        <v>0</v>
      </c>
    </row>
    <row r="140" spans="5:28" ht="13.8">
      <c r="E140" s="707"/>
      <c r="F140" s="707"/>
      <c r="G140" s="707"/>
      <c r="M140" s="642"/>
      <c r="N140" s="642"/>
      <c r="Q140" s="642"/>
      <c r="V140" s="661">
        <v>2130</v>
      </c>
      <c r="W140" s="662">
        <f>+SUMIF(SYS_cliente!$F$5:$F$1678,'BCE ABREVIADO'!V140,SYS_cliente!$I$5:$I$1678)</f>
        <v>1060116.9099999999</v>
      </c>
      <c r="X140" s="702"/>
      <c r="Z140" s="666"/>
      <c r="AA140" s="661">
        <v>1206</v>
      </c>
      <c r="AB140" s="672">
        <f>+SUMIF(SYS_cliente!$F$5:$F$1678,'BCE ABREVIADO'!AA140,SYS_cliente!$I$5:$I$1678)</f>
        <v>0</v>
      </c>
    </row>
    <row r="141" spans="5:28" ht="13.8">
      <c r="E141" s="707"/>
      <c r="F141" s="707"/>
      <c r="G141" s="707"/>
      <c r="M141" s="642"/>
      <c r="N141" s="642"/>
      <c r="Q141" s="642"/>
      <c r="V141" s="661">
        <v>2131</v>
      </c>
      <c r="W141" s="662">
        <f>+SUMIF(SYS_cliente!$F$5:$F$1678,'BCE ABREVIADO'!V141,SYS_cliente!$I$5:$I$1678)</f>
        <v>0</v>
      </c>
      <c r="X141" s="702"/>
      <c r="Z141" s="666"/>
      <c r="AA141" s="661">
        <v>1207</v>
      </c>
      <c r="AB141" s="672">
        <f>+SUMIF(SYS_cliente!$F$5:$F$1678,'BCE ABREVIADO'!AA141,SYS_cliente!$I$5:$I$1678)</f>
        <v>0</v>
      </c>
    </row>
    <row r="142" spans="5:28" ht="13.8">
      <c r="E142" s="707"/>
      <c r="F142" s="707"/>
      <c r="G142" s="707"/>
      <c r="M142" s="642"/>
      <c r="N142" s="642"/>
      <c r="Q142" s="642"/>
      <c r="V142" s="661">
        <v>2132</v>
      </c>
      <c r="W142" s="662">
        <f>+SUMIF(SYS_cliente!$F$5:$F$1678,'BCE ABREVIADO'!V142,SYS_cliente!$I$5:$I$1678)</f>
        <v>0</v>
      </c>
      <c r="X142" s="702"/>
      <c r="Z142" s="666"/>
      <c r="AA142" s="661">
        <v>1208</v>
      </c>
      <c r="AB142" s="672">
        <f>+SUMIF(SYS_cliente!$F$5:$F$1678,'BCE ABREVIADO'!AA142,SYS_cliente!$I$5:$I$1678)</f>
        <v>0</v>
      </c>
    </row>
    <row r="143" spans="5:28" ht="13.8">
      <c r="E143" s="707"/>
      <c r="F143" s="707"/>
      <c r="G143" s="707"/>
      <c r="M143" s="642"/>
      <c r="N143" s="642"/>
      <c r="Q143" s="642"/>
      <c r="V143" s="661">
        <v>2133</v>
      </c>
      <c r="W143" s="662">
        <f>+SUMIF(SYS_cliente!$F$5:$F$1678,'BCE ABREVIADO'!V143,SYS_cliente!$I$5:$I$1678)</f>
        <v>0</v>
      </c>
      <c r="X143" s="702"/>
      <c r="Z143" s="666"/>
      <c r="AA143" s="661">
        <v>1209</v>
      </c>
      <c r="AB143" s="672">
        <f>+SUMIF(SYS_cliente!$F$5:$F$1678,'BCE ABREVIADO'!AA143,SYS_cliente!$I$5:$I$1678)</f>
        <v>0</v>
      </c>
    </row>
    <row r="144" spans="5:28" ht="13.8">
      <c r="E144" s="707"/>
      <c r="F144" s="707"/>
      <c r="G144" s="707"/>
      <c r="M144" s="642"/>
      <c r="N144" s="642"/>
      <c r="Q144" s="642"/>
      <c r="V144" s="661">
        <v>2134</v>
      </c>
      <c r="W144" s="662">
        <f>+SUMIF(SYS_cliente!$F$5:$F$1678,'BCE ABREVIADO'!V144,SYS_cliente!$I$5:$I$1678)</f>
        <v>0</v>
      </c>
      <c r="X144" s="702"/>
      <c r="Z144" s="666">
        <v>-121</v>
      </c>
      <c r="AA144" s="653" t="s">
        <v>66</v>
      </c>
      <c r="AB144" s="667">
        <f>SUM(AB145:AB164)</f>
        <v>0</v>
      </c>
    </row>
    <row r="145" spans="5:28" ht="13.8">
      <c r="E145" s="707"/>
      <c r="F145" s="707"/>
      <c r="G145" s="707"/>
      <c r="M145" s="642"/>
      <c r="N145" s="642"/>
      <c r="Q145" s="642"/>
      <c r="V145" s="661">
        <v>2135</v>
      </c>
      <c r="W145" s="662">
        <f>+SUMIF(SYS_cliente!$F$5:$F$1678,'BCE ABREVIADO'!V145,SYS_cliente!$I$5:$I$1678)</f>
        <v>0</v>
      </c>
      <c r="X145" s="702"/>
      <c r="Z145" s="666"/>
      <c r="AA145" s="661">
        <v>1210</v>
      </c>
      <c r="AB145" s="672">
        <f>+SUMIF(SYS_cliente!$F$5:$F$1678,'BCE ABREVIADO'!AA145,SYS_cliente!$I$5:$I$1678)</f>
        <v>0</v>
      </c>
    </row>
    <row r="146" spans="5:28" ht="13.8">
      <c r="E146" s="707"/>
      <c r="F146" s="707"/>
      <c r="G146" s="707"/>
      <c r="M146" s="642"/>
      <c r="N146" s="642"/>
      <c r="Q146" s="642"/>
      <c r="V146" s="661">
        <v>2136</v>
      </c>
      <c r="W146" s="662">
        <f>+SUMIF(SYS_cliente!$F$5:$F$1678,'BCE ABREVIADO'!V146,SYS_cliente!$I$5:$I$1678)</f>
        <v>0</v>
      </c>
      <c r="X146" s="702"/>
      <c r="Z146" s="666"/>
      <c r="AA146" s="661">
        <v>1211</v>
      </c>
      <c r="AB146" s="672">
        <f>+SUMIF(SYS_cliente!$F$5:$F$1678,'BCE ABREVIADO'!AA146,SYS_cliente!$I$5:$I$1678)</f>
        <v>0</v>
      </c>
    </row>
    <row r="147" spans="5:28" ht="13.8">
      <c r="E147" s="707"/>
      <c r="F147" s="707"/>
      <c r="G147" s="707"/>
      <c r="M147" s="642"/>
      <c r="N147" s="642"/>
      <c r="Q147" s="642"/>
      <c r="V147" s="661">
        <v>2137</v>
      </c>
      <c r="W147" s="662">
        <f>+SUMIF(SYS_cliente!$F$5:$F$1678,'BCE ABREVIADO'!V147,SYS_cliente!$I$5:$I$1678)</f>
        <v>0</v>
      </c>
      <c r="X147" s="702"/>
      <c r="Z147" s="666"/>
      <c r="AA147" s="661">
        <v>1212</v>
      </c>
      <c r="AB147" s="672">
        <f>+SUMIF(SYS_cliente!$F$5:$F$1678,'BCE ABREVIADO'!AA147,SYS_cliente!$I$5:$I$1678)</f>
        <v>0</v>
      </c>
    </row>
    <row r="148" spans="5:28" ht="13.8">
      <c r="E148" s="707"/>
      <c r="F148" s="707"/>
      <c r="G148" s="707"/>
      <c r="M148" s="642"/>
      <c r="N148" s="642"/>
      <c r="Q148" s="642"/>
      <c r="V148" s="661">
        <v>2138</v>
      </c>
      <c r="W148" s="662">
        <f>+SUMIF(SYS_cliente!$F$5:$F$1678,'BCE ABREVIADO'!V148,SYS_cliente!$I$5:$I$1678)</f>
        <v>0</v>
      </c>
      <c r="X148" s="702"/>
      <c r="Z148" s="666"/>
      <c r="AA148" s="661">
        <v>1213</v>
      </c>
      <c r="AB148" s="672">
        <f>+SUMIF(SYS_cliente!$F$5:$F$1678,'BCE ABREVIADO'!AA148,SYS_cliente!$I$5:$I$1678)</f>
        <v>0</v>
      </c>
    </row>
    <row r="149" spans="5:28" ht="13.8">
      <c r="E149" s="707"/>
      <c r="F149" s="707"/>
      <c r="G149" s="707"/>
      <c r="M149" s="642"/>
      <c r="N149" s="642"/>
      <c r="Q149" s="642"/>
      <c r="V149" s="661">
        <v>2139</v>
      </c>
      <c r="W149" s="662">
        <f>+SUMIF(SYS_cliente!$F$5:$F$1678,'BCE ABREVIADO'!V149,SYS_cliente!$I$5:$I$1678)</f>
        <v>0</v>
      </c>
      <c r="X149" s="702"/>
      <c r="Z149" s="666"/>
      <c r="AA149" s="661">
        <v>1214</v>
      </c>
      <c r="AB149" s="672">
        <f>+SUMIF(SYS_cliente!$F$5:$F$1678,'BCE ABREVIADO'!AA149,SYS_cliente!$I$5:$I$1678)</f>
        <v>0</v>
      </c>
    </row>
    <row r="150" spans="5:28" ht="13.8">
      <c r="E150" s="707"/>
      <c r="F150" s="707"/>
      <c r="G150" s="707"/>
      <c r="M150" s="642"/>
      <c r="N150" s="642"/>
      <c r="Q150" s="642"/>
      <c r="V150" s="661">
        <v>2140</v>
      </c>
      <c r="W150" s="662">
        <f>+SUMIF(SYS_cliente!$F$5:$F$1678,'BCE ABREVIADO'!V150,SYS_cliente!$I$5:$I$1678)</f>
        <v>10306.1</v>
      </c>
      <c r="X150" s="702"/>
      <c r="Z150" s="666"/>
      <c r="AA150" s="661">
        <v>1215</v>
      </c>
      <c r="AB150" s="672">
        <f>+SUMIF(SYS_cliente!$F$5:$F$1678,'BCE ABREVIADO'!AA150,SYS_cliente!$I$5:$I$1678)</f>
        <v>0</v>
      </c>
    </row>
    <row r="151" spans="5:28" ht="13.8">
      <c r="E151" s="707"/>
      <c r="F151" s="707"/>
      <c r="G151" s="707"/>
      <c r="M151" s="642"/>
      <c r="N151" s="642"/>
      <c r="Q151" s="642"/>
      <c r="V151" s="661">
        <v>2141</v>
      </c>
      <c r="W151" s="662">
        <f>+SUMIF(SYS_cliente!$F$5:$F$1678,'BCE ABREVIADO'!V151,SYS_cliente!$I$5:$I$1678)</f>
        <v>0</v>
      </c>
      <c r="X151" s="702"/>
      <c r="Z151" s="666"/>
      <c r="AA151" s="661">
        <v>1216</v>
      </c>
      <c r="AB151" s="672">
        <f>+SUMIF(SYS_cliente!$F$5:$F$1678,'BCE ABREVIADO'!AA151,SYS_cliente!$I$5:$I$1678)</f>
        <v>0</v>
      </c>
    </row>
    <row r="152" spans="5:28" ht="13.8">
      <c r="E152" s="707"/>
      <c r="F152" s="707"/>
      <c r="G152" s="707"/>
      <c r="M152" s="642"/>
      <c r="N152" s="642"/>
      <c r="Q152" s="642"/>
      <c r="V152" s="661">
        <v>2142</v>
      </c>
      <c r="W152" s="662">
        <f>+SUMIF(SYS_cliente!$F$5:$F$1678,'BCE ABREVIADO'!V152,SYS_cliente!$I$5:$I$1678)</f>
        <v>0</v>
      </c>
      <c r="X152" s="702"/>
      <c r="Z152" s="666"/>
      <c r="AA152" s="661">
        <v>1217</v>
      </c>
      <c r="AB152" s="672">
        <f>+SUMIF(SYS_cliente!$F$5:$F$1678,'BCE ABREVIADO'!AA152,SYS_cliente!$I$5:$I$1678)</f>
        <v>0</v>
      </c>
    </row>
    <row r="153" spans="5:28" ht="13.8">
      <c r="E153" s="707"/>
      <c r="F153" s="707"/>
      <c r="G153" s="707"/>
      <c r="M153" s="642"/>
      <c r="N153" s="642"/>
      <c r="Q153" s="642"/>
      <c r="V153" s="661">
        <v>2143</v>
      </c>
      <c r="W153" s="662">
        <f>+SUMIF(SYS_cliente!$F$5:$F$1678,'BCE ABREVIADO'!V153,SYS_cliente!$I$5:$I$1678)</f>
        <v>0</v>
      </c>
      <c r="X153" s="702"/>
      <c r="Z153" s="666"/>
      <c r="AA153" s="661">
        <v>1218</v>
      </c>
      <c r="AB153" s="672">
        <f>+SUMIF(SYS_cliente!$F$5:$F$1678,'BCE ABREVIADO'!AA153,SYS_cliente!$I$5:$I$1678)</f>
        <v>0</v>
      </c>
    </row>
    <row r="154" spans="5:28" ht="13.8">
      <c r="E154" s="707"/>
      <c r="F154" s="707"/>
      <c r="G154" s="707"/>
      <c r="M154" s="642"/>
      <c r="N154" s="642"/>
      <c r="Q154" s="642"/>
      <c r="V154" s="661">
        <v>2144</v>
      </c>
      <c r="W154" s="662">
        <f>+SUMIF(SYS_cliente!$F$5:$F$1678,'BCE ABREVIADO'!V154,SYS_cliente!$I$5:$I$1678)</f>
        <v>0</v>
      </c>
      <c r="X154" s="702"/>
      <c r="Z154" s="666"/>
      <c r="AA154" s="661">
        <v>1219</v>
      </c>
      <c r="AB154" s="672">
        <f>+SUMIF(SYS_cliente!$F$5:$F$1678,'BCE ABREVIADO'!AA154,SYS_cliente!$I$5:$I$1678)</f>
        <v>0</v>
      </c>
    </row>
    <row r="155" spans="5:28" ht="13.8">
      <c r="E155" s="707"/>
      <c r="F155" s="707"/>
      <c r="G155" s="707"/>
      <c r="M155" s="642"/>
      <c r="N155" s="642"/>
      <c r="Q155" s="642"/>
      <c r="V155" s="661">
        <v>2145</v>
      </c>
      <c r="W155" s="662">
        <f>+SUMIF(SYS_cliente!$F$5:$F$1678,'BCE ABREVIADO'!V155,SYS_cliente!$I$5:$I$1678)</f>
        <v>0</v>
      </c>
      <c r="X155" s="702"/>
      <c r="Z155" s="666"/>
      <c r="AA155" s="661">
        <v>1290</v>
      </c>
      <c r="AB155" s="672">
        <f>+SUMIF(SYS_cliente!$F$5:$F$1678,'BCE ABREVIADO'!AA155,SYS_cliente!$I$5:$I$1678)</f>
        <v>0</v>
      </c>
    </row>
    <row r="156" spans="5:28" ht="13.8">
      <c r="E156" s="707"/>
      <c r="F156" s="707"/>
      <c r="G156" s="707"/>
      <c r="M156" s="642"/>
      <c r="N156" s="642"/>
      <c r="Q156" s="642"/>
      <c r="V156" s="661">
        <v>2146</v>
      </c>
      <c r="W156" s="662">
        <f>+SUMIF(SYS_cliente!$F$5:$F$1678,'BCE ABREVIADO'!V156,SYS_cliente!$I$5:$I$1678)</f>
        <v>0</v>
      </c>
      <c r="X156" s="702"/>
      <c r="Z156" s="666"/>
      <c r="AA156" s="661">
        <v>1291</v>
      </c>
      <c r="AB156" s="672">
        <f>+SUMIF(SYS_cliente!$F$5:$F$1678,'BCE ABREVIADO'!AA156,SYS_cliente!$I$5:$I$1678)</f>
        <v>0</v>
      </c>
    </row>
    <row r="157" spans="5:28" ht="13.8">
      <c r="E157" s="707"/>
      <c r="F157" s="707"/>
      <c r="G157" s="707"/>
      <c r="M157" s="642"/>
      <c r="N157" s="642"/>
      <c r="Q157" s="642"/>
      <c r="V157" s="661">
        <v>2147</v>
      </c>
      <c r="W157" s="662">
        <f>+SUMIF(SYS_cliente!$F$5:$F$1678,'BCE ABREVIADO'!V157,SYS_cliente!$I$5:$I$1678)</f>
        <v>0</v>
      </c>
      <c r="X157" s="702"/>
      <c r="Z157" s="666"/>
      <c r="AA157" s="661">
        <v>1292</v>
      </c>
      <c r="AB157" s="672">
        <f>+SUMIF(SYS_cliente!$F$5:$F$1678,'BCE ABREVIADO'!AA157,SYS_cliente!$I$5:$I$1678)</f>
        <v>0</v>
      </c>
    </row>
    <row r="158" spans="5:28" ht="13.8">
      <c r="E158" s="707"/>
      <c r="F158" s="707"/>
      <c r="G158" s="707"/>
      <c r="V158" s="661">
        <v>2148</v>
      </c>
      <c r="W158" s="662">
        <f>+SUMIF(SYS_cliente!$F$5:$F$1678,'BCE ABREVIADO'!V158,SYS_cliente!$I$5:$I$1678)</f>
        <v>0</v>
      </c>
      <c r="X158" s="702"/>
      <c r="Z158" s="666"/>
      <c r="AA158" s="661">
        <v>1293</v>
      </c>
      <c r="AB158" s="672">
        <f>+SUMIF(SYS_cliente!$F$5:$F$1678,'BCE ABREVIADO'!AA158,SYS_cliente!$I$5:$I$1678)</f>
        <v>0</v>
      </c>
    </row>
    <row r="159" spans="5:28" ht="13.8">
      <c r="E159" s="707"/>
      <c r="F159" s="707"/>
      <c r="G159" s="707"/>
      <c r="V159" s="661">
        <v>2149</v>
      </c>
      <c r="W159" s="662">
        <f>+SUMIF(SYS_cliente!$F$5:$F$1678,'BCE ABREVIADO'!V159,SYS_cliente!$I$5:$I$1678)</f>
        <v>0</v>
      </c>
      <c r="X159" s="702"/>
      <c r="Z159" s="666"/>
      <c r="AA159" s="661">
        <v>1294</v>
      </c>
      <c r="AB159" s="672">
        <f>+SUMIF(SYS_cliente!$F$5:$F$1678,'BCE ABREVIADO'!AA159,SYS_cliente!$I$5:$I$1678)</f>
        <v>0</v>
      </c>
    </row>
    <row r="160" spans="5:28" ht="13.8">
      <c r="E160" s="707"/>
      <c r="F160" s="707"/>
      <c r="G160" s="707"/>
      <c r="V160" s="661">
        <v>2150</v>
      </c>
      <c r="W160" s="662">
        <f>+SUMIF(SYS_cliente!$F$5:$F$1678,'BCE ABREVIADO'!V160,SYS_cliente!$I$5:$I$1678)</f>
        <v>1162570.3500000001</v>
      </c>
      <c r="X160" s="702"/>
      <c r="Z160" s="666"/>
      <c r="AA160" s="661">
        <v>1295</v>
      </c>
      <c r="AB160" s="672">
        <f>+SUMIF(SYS_cliente!$F$5:$F$1678,'BCE ABREVIADO'!AA160,SYS_cliente!$I$5:$I$1678)</f>
        <v>0</v>
      </c>
    </row>
    <row r="161" spans="5:28" ht="13.8">
      <c r="E161" s="707"/>
      <c r="F161" s="707"/>
      <c r="G161" s="707"/>
      <c r="V161" s="661">
        <v>2151</v>
      </c>
      <c r="W161" s="662">
        <f>+SUMIF(SYS_cliente!$F$5:$F$1678,'BCE ABREVIADO'!V161,SYS_cliente!$I$5:$I$1678)</f>
        <v>0</v>
      </c>
      <c r="X161" s="702"/>
      <c r="Z161" s="666"/>
      <c r="AA161" s="661">
        <v>1296</v>
      </c>
      <c r="AB161" s="672">
        <f>+SUMIF(SYS_cliente!$F$5:$F$1678,'BCE ABREVIADO'!AA161,SYS_cliente!$I$5:$I$1678)</f>
        <v>0</v>
      </c>
    </row>
    <row r="162" spans="5:28" ht="13.8">
      <c r="E162" s="707"/>
      <c r="F162" s="707"/>
      <c r="G162" s="707"/>
      <c r="V162" s="661">
        <v>2152</v>
      </c>
      <c r="W162" s="662">
        <f>+SUMIF(SYS_cliente!$F$5:$F$1678,'BCE ABREVIADO'!V162,SYS_cliente!$I$5:$I$1678)</f>
        <v>0</v>
      </c>
      <c r="X162" s="702"/>
      <c r="Z162" s="666"/>
      <c r="AA162" s="661">
        <v>1297</v>
      </c>
      <c r="AB162" s="672">
        <f>+SUMIF(SYS_cliente!$F$5:$F$1678,'BCE ABREVIADO'!AA162,SYS_cliente!$I$5:$I$1678)</f>
        <v>0</v>
      </c>
    </row>
    <row r="163" spans="5:28" ht="13.8">
      <c r="E163" s="707"/>
      <c r="F163" s="707"/>
      <c r="G163" s="707"/>
      <c r="V163" s="661">
        <v>2153</v>
      </c>
      <c r="W163" s="662">
        <f>+SUMIF(SYS_cliente!$F$5:$F$1678,'BCE ABREVIADO'!V163,SYS_cliente!$I$5:$I$1678)</f>
        <v>0</v>
      </c>
      <c r="X163" s="702"/>
      <c r="Z163" s="666"/>
      <c r="AA163" s="661">
        <v>1298</v>
      </c>
      <c r="AB163" s="672">
        <f>+SUMIF(SYS_cliente!$F$5:$F$1678,'BCE ABREVIADO'!AA163,SYS_cliente!$I$5:$I$1678)</f>
        <v>0</v>
      </c>
    </row>
    <row r="164" spans="5:28" ht="13.8">
      <c r="E164" s="707"/>
      <c r="F164" s="707"/>
      <c r="G164" s="707"/>
      <c r="V164" s="661">
        <v>2154</v>
      </c>
      <c r="W164" s="662">
        <f>+SUMIF(SYS_cliente!$F$5:$F$1678,'BCE ABREVIADO'!V164,SYS_cliente!$I$5:$I$1678)</f>
        <v>0</v>
      </c>
      <c r="X164" s="702"/>
      <c r="Z164" s="666"/>
      <c r="AA164" s="661">
        <v>1299</v>
      </c>
      <c r="AB164" s="672">
        <f>+SUMIF(SYS_cliente!$F$5:$F$1678,'BCE ABREVIADO'!AA164,SYS_cliente!$I$5:$I$1678)</f>
        <v>0</v>
      </c>
    </row>
    <row r="165" spans="5:28" ht="13.8">
      <c r="E165" s="707"/>
      <c r="F165" s="707"/>
      <c r="G165" s="707"/>
      <c r="V165" s="661">
        <v>2155</v>
      </c>
      <c r="W165" s="662">
        <f>+SUMIF(SYS_cliente!$F$5:$F$1678,'BCE ABREVIADO'!V165,SYS_cliente!$I$5:$I$1678)</f>
        <v>0</v>
      </c>
      <c r="X165" s="702"/>
      <c r="Z165" s="666">
        <v>118</v>
      </c>
      <c r="AA165" s="664" t="s">
        <v>67</v>
      </c>
      <c r="AB165" s="642">
        <f>SUM(AB166:AB175)</f>
        <v>0</v>
      </c>
    </row>
    <row r="166" spans="5:28" ht="13.8">
      <c r="E166" s="707"/>
      <c r="F166" s="707"/>
      <c r="G166" s="707"/>
      <c r="V166" s="661">
        <v>2156</v>
      </c>
      <c r="W166" s="662">
        <f>+SUMIF(SYS_cliente!$F$5:$F$1678,'BCE ABREVIADO'!V166,SYS_cliente!$I$5:$I$1678)</f>
        <v>0</v>
      </c>
      <c r="X166" s="702"/>
      <c r="Z166" s="666"/>
      <c r="AA166" s="661">
        <v>1180</v>
      </c>
      <c r="AB166" s="672">
        <f>+SUMIF(SYS_cliente!$F$5:$F$1678,'BCE ABREVIADO'!AA166,SYS_cliente!$I$5:$I$1678)</f>
        <v>0</v>
      </c>
    </row>
    <row r="167" spans="5:28" ht="13.8">
      <c r="E167" s="707"/>
      <c r="F167" s="707"/>
      <c r="G167" s="707"/>
      <c r="V167" s="661">
        <v>2157</v>
      </c>
      <c r="W167" s="662">
        <f>+SUMIF(SYS_cliente!$F$5:$F$1678,'BCE ABREVIADO'!V167,SYS_cliente!$I$5:$I$1678)</f>
        <v>0</v>
      </c>
      <c r="X167" s="702"/>
      <c r="Z167" s="666"/>
      <c r="AA167" s="661">
        <v>1181</v>
      </c>
      <c r="AB167" s="672">
        <f>+SUMIF(SYS_cliente!$F$5:$F$1678,'BCE ABREVIADO'!AA167,SYS_cliente!$I$5:$I$1678)</f>
        <v>0</v>
      </c>
    </row>
    <row r="168" spans="5:28" ht="13.8">
      <c r="E168" s="707"/>
      <c r="F168" s="707"/>
      <c r="G168" s="707"/>
      <c r="V168" s="661">
        <v>2158</v>
      </c>
      <c r="W168" s="662">
        <f>+SUMIF(SYS_cliente!$F$5:$F$1678,'BCE ABREVIADO'!V168,SYS_cliente!$I$5:$I$1678)</f>
        <v>0</v>
      </c>
      <c r="X168" s="702"/>
      <c r="Z168" s="666"/>
      <c r="AA168" s="661">
        <v>1182</v>
      </c>
      <c r="AB168" s="672">
        <f>+SUMIF(SYS_cliente!$F$5:$F$1678,'BCE ABREVIADO'!AA168,SYS_cliente!$I$5:$I$1678)</f>
        <v>0</v>
      </c>
    </row>
    <row r="169" spans="5:28" ht="13.8">
      <c r="E169" s="707"/>
      <c r="F169" s="707"/>
      <c r="G169" s="707"/>
      <c r="V169" s="661">
        <v>2159</v>
      </c>
      <c r="W169" s="662">
        <f>+SUMIF(SYS_cliente!$F$5:$F$1678,'BCE ABREVIADO'!V169,SYS_cliente!$I$5:$I$1678)</f>
        <v>0</v>
      </c>
      <c r="X169" s="699"/>
      <c r="Z169" s="666"/>
      <c r="AA169" s="661">
        <v>1183</v>
      </c>
      <c r="AB169" s="672">
        <f>+SUMIF(SYS_cliente!$F$5:$F$1678,'BCE ABREVIADO'!AA169,SYS_cliente!$I$5:$I$1678)</f>
        <v>0</v>
      </c>
    </row>
    <row r="170" spans="5:28" ht="13.8">
      <c r="E170" s="707"/>
      <c r="F170" s="707"/>
      <c r="G170" s="707"/>
      <c r="V170" s="661">
        <v>2160</v>
      </c>
      <c r="W170" s="662">
        <f>+SUMIF(SYS_cliente!$F$5:$F$1678,'BCE ABREVIADO'!V170,SYS_cliente!$I$5:$I$1678)</f>
        <v>452970.06</v>
      </c>
      <c r="X170" s="702"/>
      <c r="Z170" s="666"/>
      <c r="AA170" s="661">
        <v>1184</v>
      </c>
      <c r="AB170" s="672">
        <f>+SUMIF(SYS_cliente!$F$5:$F$1678,'BCE ABREVIADO'!AA170,SYS_cliente!$I$5:$I$1678)</f>
        <v>0</v>
      </c>
    </row>
    <row r="171" spans="5:28" ht="13.8">
      <c r="E171" s="707"/>
      <c r="F171" s="707"/>
      <c r="G171" s="707"/>
      <c r="V171" s="661">
        <v>2161</v>
      </c>
      <c r="W171" s="662">
        <f>+SUMIF(SYS_cliente!$F$5:$F$1678,'BCE ABREVIADO'!V171,SYS_cliente!$I$5:$I$1678)</f>
        <v>1485.73</v>
      </c>
      <c r="X171" s="702"/>
      <c r="Z171" s="666"/>
      <c r="AA171" s="661">
        <v>1185</v>
      </c>
      <c r="AB171" s="672">
        <f>+SUMIF(SYS_cliente!$F$5:$F$1678,'BCE ABREVIADO'!AA171,SYS_cliente!$I$5:$I$1678)</f>
        <v>0</v>
      </c>
    </row>
    <row r="172" spans="5:28" ht="13.8">
      <c r="E172" s="707"/>
      <c r="F172" s="707"/>
      <c r="G172" s="707"/>
      <c r="V172" s="661">
        <v>2162</v>
      </c>
      <c r="W172" s="662">
        <f>+SUMIF(SYS_cliente!$F$5:$F$1678,'BCE ABREVIADO'!V172,SYS_cliente!$I$5:$I$1678)</f>
        <v>0</v>
      </c>
      <c r="X172" s="702"/>
      <c r="Z172" s="666"/>
      <c r="AA172" s="661">
        <v>1186</v>
      </c>
      <c r="AB172" s="672">
        <f>+SUMIF(SYS_cliente!$F$5:$F$1678,'BCE ABREVIADO'!AA172,SYS_cliente!$I$5:$I$1678)</f>
        <v>0</v>
      </c>
    </row>
    <row r="173" spans="5:28" ht="13.8">
      <c r="E173" s="707"/>
      <c r="F173" s="707"/>
      <c r="G173" s="707"/>
      <c r="V173" s="661">
        <v>2163</v>
      </c>
      <c r="W173" s="662">
        <f>+SUMIF(SYS_cliente!$F$5:$F$1678,'BCE ABREVIADO'!V173,SYS_cliente!$I$5:$I$1678)</f>
        <v>0</v>
      </c>
      <c r="X173" s="702"/>
      <c r="Z173" s="666"/>
      <c r="AA173" s="661">
        <v>1187</v>
      </c>
      <c r="AB173" s="672">
        <f>+SUMIF(SYS_cliente!$F$5:$F$1678,'BCE ABREVIADO'!AA173,SYS_cliente!$I$5:$I$1678)</f>
        <v>0</v>
      </c>
    </row>
    <row r="174" spans="5:28" ht="13.8">
      <c r="E174" s="707"/>
      <c r="F174" s="707"/>
      <c r="G174" s="707"/>
      <c r="V174" s="661">
        <v>2164</v>
      </c>
      <c r="W174" s="662">
        <f>+SUMIF(SYS_cliente!$F$5:$F$1678,'BCE ABREVIADO'!V174,SYS_cliente!$I$5:$I$1678)</f>
        <v>0</v>
      </c>
      <c r="X174" s="702"/>
      <c r="Z174" s="666"/>
      <c r="AA174" s="661">
        <v>1188</v>
      </c>
      <c r="AB174" s="672">
        <f>+SUMIF(SYS_cliente!$F$5:$F$1678,'BCE ABREVIADO'!AA174,SYS_cliente!$I$5:$I$1678)</f>
        <v>0</v>
      </c>
    </row>
    <row r="175" spans="5:28" ht="13.8">
      <c r="E175" s="707"/>
      <c r="F175" s="707"/>
      <c r="G175" s="707"/>
      <c r="V175" s="661">
        <v>2165</v>
      </c>
      <c r="W175" s="662">
        <f>+SUMIF(SYS_cliente!$F$5:$F$1678,'BCE ABREVIADO'!V175,SYS_cliente!$I$5:$I$1678)</f>
        <v>0</v>
      </c>
      <c r="X175" s="702"/>
      <c r="Z175" s="666"/>
      <c r="AA175" s="661">
        <v>1189</v>
      </c>
      <c r="AB175" s="672">
        <f>+SUMIF(SYS_cliente!$F$5:$F$1678,'BCE ABREVIADO'!AA175,SYS_cliente!$I$5:$I$1678)</f>
        <v>0</v>
      </c>
    </row>
    <row r="176" spans="5:28" ht="13.8">
      <c r="E176" s="707"/>
      <c r="F176" s="707"/>
      <c r="G176" s="707"/>
      <c r="V176" s="661">
        <v>2166</v>
      </c>
      <c r="W176" s="662">
        <f>+SUMIF(SYS_cliente!$F$5:$F$1678,'BCE ABREVIADO'!V176,SYS_cliente!$I$5:$I$1678)</f>
        <v>0</v>
      </c>
      <c r="X176" s="702"/>
      <c r="Z176" s="666">
        <v>129</v>
      </c>
      <c r="AA176" s="664" t="s">
        <v>68</v>
      </c>
      <c r="AB176" s="642">
        <f>SUM(AB177:AB186)</f>
        <v>0</v>
      </c>
    </row>
    <row r="177" spans="5:28" ht="13.8">
      <c r="E177" s="707"/>
      <c r="F177" s="707"/>
      <c r="G177" s="707"/>
      <c r="V177" s="661">
        <v>2167</v>
      </c>
      <c r="W177" s="662">
        <f>+SUMIF(SYS_cliente!$F$5:$F$1678,'BCE ABREVIADO'!V177,SYS_cliente!$I$5:$I$1678)</f>
        <v>0</v>
      </c>
      <c r="X177" s="702"/>
      <c r="Z177" s="666"/>
      <c r="AA177" s="661">
        <v>1290</v>
      </c>
      <c r="AB177" s="672">
        <f>+SUMIF(SYS_cliente!$F$5:$F$1678,'BCE ABREVIADO'!AA177,SYS_cliente!$I$5:$I$1678)</f>
        <v>0</v>
      </c>
    </row>
    <row r="178" spans="5:28" ht="13.8">
      <c r="E178" s="707"/>
      <c r="F178" s="707"/>
      <c r="G178" s="707"/>
      <c r="V178" s="661">
        <v>2168</v>
      </c>
      <c r="W178" s="662">
        <f>+SUMIF(SYS_cliente!$F$5:$F$1678,'BCE ABREVIADO'!V178,SYS_cliente!$I$5:$I$1678)</f>
        <v>0</v>
      </c>
      <c r="X178" s="702"/>
      <c r="Z178" s="666"/>
      <c r="AA178" s="661">
        <v>1291</v>
      </c>
      <c r="AB178" s="672">
        <f>+SUMIF(SYS_cliente!$F$5:$F$1678,'BCE ABREVIADO'!AA178,SYS_cliente!$I$5:$I$1678)</f>
        <v>0</v>
      </c>
    </row>
    <row r="179" spans="5:28" ht="13.8">
      <c r="E179" s="707"/>
      <c r="F179" s="707"/>
      <c r="G179" s="707"/>
      <c r="V179" s="661">
        <v>2169</v>
      </c>
      <c r="W179" s="662">
        <f>+SUMIF(SYS_cliente!$F$5:$F$1678,'BCE ABREVIADO'!V179,SYS_cliente!$I$5:$I$1678)</f>
        <v>0</v>
      </c>
      <c r="X179" s="702"/>
      <c r="Z179" s="666"/>
      <c r="AA179" s="661">
        <v>1292</v>
      </c>
      <c r="AB179" s="672">
        <f>+SUMIF(SYS_cliente!$F$5:$F$1678,'BCE ABREVIADO'!AA179,SYS_cliente!$I$5:$I$1678)</f>
        <v>0</v>
      </c>
    </row>
    <row r="180" spans="5:28" ht="13.8">
      <c r="E180" s="707"/>
      <c r="F180" s="707"/>
      <c r="G180" s="707"/>
      <c r="V180" s="661">
        <v>2170</v>
      </c>
      <c r="W180" s="662">
        <f>+SUMIF(SYS_cliente!$F$5:$F$1678,'BCE ABREVIADO'!V180,SYS_cliente!$I$5:$I$1678)</f>
        <v>53303.6</v>
      </c>
      <c r="X180" s="702"/>
      <c r="Z180" s="666"/>
      <c r="AA180" s="661">
        <v>1293</v>
      </c>
      <c r="AB180" s="672">
        <f>+SUMIF(SYS_cliente!$F$5:$F$1678,'BCE ABREVIADO'!AA180,SYS_cliente!$I$5:$I$1678)</f>
        <v>0</v>
      </c>
    </row>
    <row r="181" spans="5:28" ht="13.8">
      <c r="E181" s="707"/>
      <c r="F181" s="707"/>
      <c r="G181" s="707"/>
      <c r="V181" s="661">
        <v>2171</v>
      </c>
      <c r="W181" s="662">
        <f>+SUMIF(SYS_cliente!$F$5:$F$1678,'BCE ABREVIADO'!V181,SYS_cliente!$I$5:$I$1678)</f>
        <v>0</v>
      </c>
      <c r="X181" s="702"/>
      <c r="Z181" s="666"/>
      <c r="AA181" s="661">
        <v>1294</v>
      </c>
      <c r="AB181" s="672">
        <f>+SUMIF(SYS_cliente!$F$5:$F$1678,'BCE ABREVIADO'!AA181,SYS_cliente!$I$5:$I$1678)</f>
        <v>0</v>
      </c>
    </row>
    <row r="182" spans="5:28" ht="13.8">
      <c r="E182" s="707"/>
      <c r="F182" s="707"/>
      <c r="G182" s="707"/>
      <c r="V182" s="661">
        <v>2172</v>
      </c>
      <c r="W182" s="662">
        <f>+SUMIF(SYS_cliente!$F$5:$F$1678,'BCE ABREVIADO'!V182,SYS_cliente!$I$5:$I$1678)</f>
        <v>0</v>
      </c>
      <c r="X182" s="702"/>
      <c r="Z182" s="666"/>
      <c r="AA182" s="661">
        <v>1295</v>
      </c>
      <c r="AB182" s="672">
        <f>+SUMIF(SYS_cliente!$F$5:$F$1678,'BCE ABREVIADO'!AA182,SYS_cliente!$I$5:$I$1678)</f>
        <v>0</v>
      </c>
    </row>
    <row r="183" spans="5:28" ht="13.8">
      <c r="E183" s="707"/>
      <c r="F183" s="707"/>
      <c r="G183" s="707"/>
      <c r="V183" s="661">
        <v>2173</v>
      </c>
      <c r="W183" s="662">
        <f>+SUMIF(SYS_cliente!$F$5:$F$1678,'BCE ABREVIADO'!V183,SYS_cliente!$I$5:$I$1678)</f>
        <v>0</v>
      </c>
      <c r="X183" s="702"/>
      <c r="Z183" s="666"/>
      <c r="AA183" s="661">
        <v>1296</v>
      </c>
      <c r="AB183" s="672">
        <f>+SUMIF(SYS_cliente!$F$5:$F$1678,'BCE ABREVIADO'!AA183,SYS_cliente!$I$5:$I$1678)</f>
        <v>0</v>
      </c>
    </row>
    <row r="184" spans="5:28" ht="13.8">
      <c r="E184" s="707"/>
      <c r="F184" s="707"/>
      <c r="G184" s="707"/>
      <c r="V184" s="661">
        <v>2174</v>
      </c>
      <c r="W184" s="662">
        <f>+SUMIF(SYS_cliente!$F$5:$F$1678,'BCE ABREVIADO'!V184,SYS_cliente!$I$5:$I$1678)</f>
        <v>0</v>
      </c>
      <c r="X184" s="702"/>
      <c r="Z184" s="666"/>
      <c r="AA184" s="661">
        <v>1297</v>
      </c>
      <c r="AB184" s="672">
        <f>+SUMIF(SYS_cliente!$F$5:$F$1678,'BCE ABREVIADO'!AA184,SYS_cliente!$I$5:$I$1678)</f>
        <v>0</v>
      </c>
    </row>
    <row r="185" spans="5:28" ht="13.8">
      <c r="E185" s="707"/>
      <c r="F185" s="707"/>
      <c r="G185" s="707"/>
      <c r="V185" s="661">
        <v>2175</v>
      </c>
      <c r="W185" s="662">
        <f>+SUMIF(SYS_cliente!$F$5:$F$1678,'BCE ABREVIADO'!V185,SYS_cliente!$I$5:$I$1678)</f>
        <v>0</v>
      </c>
      <c r="X185" s="702"/>
      <c r="Z185" s="666"/>
      <c r="AA185" s="661">
        <v>1298</v>
      </c>
      <c r="AB185" s="672">
        <f>+SUMIF(SYS_cliente!$F$5:$F$1678,'BCE ABREVIADO'!AA185,SYS_cliente!$I$5:$I$1678)</f>
        <v>0</v>
      </c>
    </row>
    <row r="186" spans="5:28" ht="13.8">
      <c r="E186" s="707"/>
      <c r="F186" s="707"/>
      <c r="G186" s="707"/>
      <c r="V186" s="661">
        <v>2176</v>
      </c>
      <c r="W186" s="662">
        <f>+SUMIF(SYS_cliente!$F$5:$F$1678,'BCE ABREVIADO'!V186,SYS_cliente!$I$5:$I$1678)</f>
        <v>0</v>
      </c>
      <c r="X186" s="702"/>
      <c r="Z186" s="666"/>
      <c r="AA186" s="661">
        <v>1299</v>
      </c>
      <c r="AB186" s="672">
        <f>+SUMIF(SYS_cliente!$F$5:$F$1678,'BCE ABREVIADO'!AA186,SYS_cliente!$I$5:$I$1678)</f>
        <v>0</v>
      </c>
    </row>
    <row r="187" spans="5:28" ht="13.8">
      <c r="E187" s="707"/>
      <c r="F187" s="707"/>
      <c r="G187" s="707"/>
      <c r="V187" s="661">
        <v>2177</v>
      </c>
      <c r="W187" s="662">
        <f>+SUMIF(SYS_cliente!$F$5:$F$1678,'BCE ABREVIADO'!V187,SYS_cliente!$I$5:$I$1678)</f>
        <v>0</v>
      </c>
      <c r="X187" s="702"/>
      <c r="Z187" s="666">
        <v>-557</v>
      </c>
      <c r="AA187" s="664" t="s">
        <v>69</v>
      </c>
      <c r="AB187" s="642">
        <f>SUM(AB188:AB197)</f>
        <v>0</v>
      </c>
    </row>
    <row r="188" spans="5:28" ht="13.8">
      <c r="E188" s="707"/>
      <c r="F188" s="707"/>
      <c r="G188" s="707"/>
      <c r="V188" s="661">
        <v>2178</v>
      </c>
      <c r="W188" s="662">
        <f>+SUMIF(SYS_cliente!$F$5:$F$1678,'BCE ABREVIADO'!V188,SYS_cliente!$I$5:$I$1678)</f>
        <v>0</v>
      </c>
      <c r="X188" s="702"/>
      <c r="Z188" s="666"/>
      <c r="AA188" s="661">
        <v>5570</v>
      </c>
      <c r="AB188" s="672">
        <f>+SUMIF(SYS_cliente!$F$5:$F$1678,'BCE ABREVIADO'!AA188,SYS_cliente!$I$5:$I$1678)</f>
        <v>0</v>
      </c>
    </row>
    <row r="189" spans="5:28" ht="13.8">
      <c r="E189" s="707"/>
      <c r="F189" s="707"/>
      <c r="G189" s="707"/>
      <c r="V189" s="661">
        <v>2179</v>
      </c>
      <c r="W189" s="662">
        <f>+SUMIF(SYS_cliente!$F$5:$F$1678,'BCE ABREVIADO'!V189,SYS_cliente!$I$5:$I$1678)</f>
        <v>0</v>
      </c>
      <c r="X189" s="702"/>
      <c r="Z189" s="666"/>
      <c r="AA189" s="661">
        <v>5571</v>
      </c>
      <c r="AB189" s="672">
        <f>+SUMIF(SYS_cliente!$F$5:$F$1678,'BCE ABREVIADO'!AA189,SYS_cliente!$I$5:$I$1678)</f>
        <v>0</v>
      </c>
    </row>
    <row r="190" spans="5:28" ht="13.8">
      <c r="E190" s="707"/>
      <c r="F190" s="707"/>
      <c r="G190" s="707"/>
      <c r="V190" s="661">
        <v>2180</v>
      </c>
      <c r="W190" s="662">
        <f>+SUMIF(SYS_cliente!$F$5:$F$1678,'BCE ABREVIADO'!V190,SYS_cliente!$I$5:$I$1678)</f>
        <v>85249.7</v>
      </c>
      <c r="X190" s="702"/>
      <c r="Z190" s="666"/>
      <c r="AA190" s="661">
        <v>5572</v>
      </c>
      <c r="AB190" s="672">
        <f>+SUMIF(SYS_cliente!$F$5:$F$1678,'BCE ABREVIADO'!AA190,SYS_cliente!$I$5:$I$1678)</f>
        <v>0</v>
      </c>
    </row>
    <row r="191" spans="5:28" ht="13.8">
      <c r="E191" s="707"/>
      <c r="F191" s="707"/>
      <c r="G191" s="707"/>
      <c r="V191" s="661">
        <v>2181</v>
      </c>
      <c r="W191" s="662">
        <f>+SUMIF(SYS_cliente!$F$5:$F$1678,'BCE ABREVIADO'!V191,SYS_cliente!$I$5:$I$1678)</f>
        <v>0</v>
      </c>
      <c r="X191" s="702"/>
      <c r="Z191" s="666"/>
      <c r="AA191" s="661">
        <v>5573</v>
      </c>
      <c r="AB191" s="672">
        <f>+SUMIF(SYS_cliente!$F$5:$F$1678,'BCE ABREVIADO'!AA191,SYS_cliente!$I$5:$I$1678)</f>
        <v>0</v>
      </c>
    </row>
    <row r="192" spans="5:28" ht="13.8">
      <c r="E192" s="707"/>
      <c r="F192" s="707"/>
      <c r="G192" s="707"/>
      <c r="V192" s="661">
        <v>2182</v>
      </c>
      <c r="W192" s="662">
        <f>+SUMIF(SYS_cliente!$F$5:$F$1678,'BCE ABREVIADO'!V192,SYS_cliente!$I$5:$I$1678)</f>
        <v>0</v>
      </c>
      <c r="X192" s="702"/>
      <c r="Z192" s="666"/>
      <c r="AA192" s="661">
        <v>5574</v>
      </c>
      <c r="AB192" s="672">
        <f>+SUMIF(SYS_cliente!$F$5:$F$1678,'BCE ABREVIADO'!AA192,SYS_cliente!$I$5:$I$1678)</f>
        <v>0</v>
      </c>
    </row>
    <row r="193" spans="5:28" ht="13.8">
      <c r="E193" s="707"/>
      <c r="F193" s="707"/>
      <c r="G193" s="707"/>
      <c r="V193" s="661">
        <v>2183</v>
      </c>
      <c r="W193" s="662">
        <f>+SUMIF(SYS_cliente!$F$5:$F$1678,'BCE ABREVIADO'!V193,SYS_cliente!$I$5:$I$1678)</f>
        <v>0</v>
      </c>
      <c r="X193" s="702"/>
      <c r="Z193" s="666"/>
      <c r="AA193" s="661">
        <v>5575</v>
      </c>
      <c r="AB193" s="672">
        <f>+SUMIF(SYS_cliente!$F$5:$F$1678,'BCE ABREVIADO'!AA193,SYS_cliente!$I$5:$I$1678)</f>
        <v>0</v>
      </c>
    </row>
    <row r="194" spans="5:28" ht="13.8">
      <c r="E194" s="707"/>
      <c r="F194" s="707"/>
      <c r="G194" s="707"/>
      <c r="V194" s="661">
        <v>2184</v>
      </c>
      <c r="W194" s="662">
        <f>+SUMIF(SYS_cliente!$F$5:$F$1678,'BCE ABREVIADO'!V194,SYS_cliente!$I$5:$I$1678)</f>
        <v>0</v>
      </c>
      <c r="X194" s="702"/>
      <c r="Z194" s="666"/>
      <c r="AA194" s="661">
        <v>5576</v>
      </c>
      <c r="AB194" s="672">
        <f>+SUMIF(SYS_cliente!$F$5:$F$1678,'BCE ABREVIADO'!AA194,SYS_cliente!$I$5:$I$1678)</f>
        <v>0</v>
      </c>
    </row>
    <row r="195" spans="5:28" ht="13.8">
      <c r="E195" s="707"/>
      <c r="F195" s="707"/>
      <c r="G195" s="707"/>
      <c r="V195" s="661">
        <v>2185</v>
      </c>
      <c r="W195" s="662">
        <f>+SUMIF(SYS_cliente!$F$5:$F$1678,'BCE ABREVIADO'!V195,SYS_cliente!$I$5:$I$1678)</f>
        <v>0</v>
      </c>
      <c r="X195" s="702"/>
      <c r="Z195" s="666"/>
      <c r="AA195" s="661">
        <v>5577</v>
      </c>
      <c r="AB195" s="672">
        <f>+SUMIF(SYS_cliente!$F$5:$F$1678,'BCE ABREVIADO'!AA195,SYS_cliente!$I$5:$I$1678)</f>
        <v>0</v>
      </c>
    </row>
    <row r="196" spans="5:28" ht="13.8">
      <c r="E196" s="707"/>
      <c r="F196" s="707"/>
      <c r="G196" s="707"/>
      <c r="V196" s="661">
        <v>2186</v>
      </c>
      <c r="W196" s="662">
        <f>+SUMIF(SYS_cliente!$F$5:$F$1678,'BCE ABREVIADO'!V196,SYS_cliente!$I$5:$I$1678)</f>
        <v>0</v>
      </c>
      <c r="X196" s="702"/>
      <c r="Z196" s="666"/>
      <c r="AA196" s="661">
        <v>5578</v>
      </c>
      <c r="AB196" s="672">
        <f>+SUMIF(SYS_cliente!$F$5:$F$1678,'BCE ABREVIADO'!AA196,SYS_cliente!$I$5:$I$1678)</f>
        <v>0</v>
      </c>
    </row>
    <row r="197" spans="5:28" ht="13.8">
      <c r="E197" s="707"/>
      <c r="F197" s="707"/>
      <c r="G197" s="707"/>
      <c r="V197" s="661">
        <v>2187</v>
      </c>
      <c r="W197" s="662">
        <f>+SUMIF(SYS_cliente!$F$5:$F$1678,'BCE ABREVIADO'!V197,SYS_cliente!$I$5:$I$1678)</f>
        <v>0</v>
      </c>
      <c r="X197" s="702"/>
      <c r="Z197" s="666"/>
      <c r="AA197" s="661">
        <v>5579</v>
      </c>
      <c r="AB197" s="672">
        <f>+SUMIF(SYS_cliente!$F$5:$F$1678,'BCE ABREVIADO'!AA197,SYS_cliente!$I$5:$I$1678)</f>
        <v>0</v>
      </c>
    </row>
    <row r="198" spans="5:28" ht="13.8">
      <c r="E198" s="707"/>
      <c r="F198" s="707"/>
      <c r="G198" s="707"/>
      <c r="V198" s="661">
        <v>2188</v>
      </c>
      <c r="W198" s="662">
        <f>+SUMIF(SYS_cliente!$F$5:$F$1678,'BCE ABREVIADO'!V198,SYS_cliente!$I$5:$I$1678)</f>
        <v>0</v>
      </c>
      <c r="X198" s="702"/>
      <c r="Z198" s="713">
        <v>111</v>
      </c>
      <c r="AA198" s="664" t="s">
        <v>70</v>
      </c>
      <c r="AB198" s="642">
        <f>SUM(AB199:AB208)</f>
        <v>0</v>
      </c>
    </row>
    <row r="199" spans="5:28" ht="13.8">
      <c r="E199" s="707"/>
      <c r="F199" s="707"/>
      <c r="G199" s="707"/>
      <c r="V199" s="661">
        <v>2189</v>
      </c>
      <c r="W199" s="662">
        <f>+SUMIF(SYS_cliente!$F$5:$F$1678,'BCE ABREVIADO'!V199,SYS_cliente!$I$5:$I$1678)</f>
        <v>0</v>
      </c>
      <c r="X199" s="702"/>
      <c r="Z199" s="713"/>
      <c r="AA199" s="661">
        <v>1110</v>
      </c>
      <c r="AB199" s="672">
        <f>+SUMIF(SYS_cliente!$F$5:$F$1678,'BCE ABREVIADO'!AA199,SYS_cliente!$I$5:$I$1678)</f>
        <v>0</v>
      </c>
    </row>
    <row r="200" spans="5:28" ht="13.8">
      <c r="V200" s="661">
        <v>2190</v>
      </c>
      <c r="W200" s="662">
        <f>+SUMIF(SYS_cliente!$F$5:$F$1678,'BCE ABREVIADO'!V200,SYS_cliente!$I$5:$I$1678)</f>
        <v>185744.4</v>
      </c>
      <c r="X200" s="702"/>
      <c r="Z200" s="713"/>
      <c r="AA200" s="661">
        <v>1111</v>
      </c>
      <c r="AB200" s="672">
        <f>+SUMIF(SYS_cliente!$F$5:$F$1678,'BCE ABREVIADO'!AA200,SYS_cliente!$I$5:$I$1678)</f>
        <v>0</v>
      </c>
    </row>
    <row r="201" spans="5:28" ht="13.8">
      <c r="V201" s="661">
        <v>2191</v>
      </c>
      <c r="W201" s="662">
        <f>+SUMIF(SYS_cliente!$F$5:$F$1678,'BCE ABREVIADO'!V201,SYS_cliente!$I$5:$I$1678)</f>
        <v>465474.91</v>
      </c>
      <c r="X201" s="702"/>
      <c r="Z201" s="713"/>
      <c r="AA201" s="661">
        <v>1112</v>
      </c>
      <c r="AB201" s="672">
        <f>+SUMIF(SYS_cliente!$F$5:$F$1678,'BCE ABREVIADO'!AA201,SYS_cliente!$I$5:$I$1678)</f>
        <v>0</v>
      </c>
    </row>
    <row r="202" spans="5:28" ht="13.8">
      <c r="V202" s="661">
        <v>2192</v>
      </c>
      <c r="W202" s="662">
        <f>+SUMIF(SYS_cliente!$F$5:$F$1678,'BCE ABREVIADO'!V202,SYS_cliente!$I$5:$I$1678)</f>
        <v>0</v>
      </c>
      <c r="X202" s="702"/>
      <c r="Z202" s="713"/>
      <c r="AA202" s="661">
        <v>1113</v>
      </c>
      <c r="AB202" s="672">
        <f>+SUMIF(SYS_cliente!$F$5:$F$1678,'BCE ABREVIADO'!AA202,SYS_cliente!$I$5:$I$1678)</f>
        <v>0</v>
      </c>
    </row>
    <row r="203" spans="5:28" ht="13.8">
      <c r="V203" s="661">
        <v>2193</v>
      </c>
      <c r="W203" s="662">
        <f>+SUMIF(SYS_cliente!$F$5:$F$1678,'BCE ABREVIADO'!V203,SYS_cliente!$I$5:$I$1678)</f>
        <v>0</v>
      </c>
      <c r="X203" s="702"/>
      <c r="Z203" s="713"/>
      <c r="AA203" s="661">
        <v>1114</v>
      </c>
      <c r="AB203" s="672">
        <f>+SUMIF(SYS_cliente!$F$5:$F$1678,'BCE ABREVIADO'!AA203,SYS_cliente!$I$5:$I$1678)</f>
        <v>0</v>
      </c>
    </row>
    <row r="204" spans="5:28" ht="13.8">
      <c r="V204" s="661">
        <v>2194</v>
      </c>
      <c r="W204" s="662">
        <f>+SUMIF(SYS_cliente!$F$5:$F$1678,'BCE ABREVIADO'!V204,SYS_cliente!$I$5:$I$1678)</f>
        <v>0</v>
      </c>
      <c r="X204" s="702"/>
      <c r="Z204" s="713"/>
      <c r="AA204" s="661">
        <v>1115</v>
      </c>
      <c r="AB204" s="672">
        <f>+SUMIF(SYS_cliente!$F$5:$F$1678,'BCE ABREVIADO'!AA204,SYS_cliente!$I$5:$I$1678)</f>
        <v>0</v>
      </c>
    </row>
    <row r="205" spans="5:28" ht="13.8">
      <c r="V205" s="661">
        <v>2195</v>
      </c>
      <c r="W205" s="662">
        <f>+SUMIF(SYS_cliente!$F$5:$F$1678,'BCE ABREVIADO'!V205,SYS_cliente!$I$5:$I$1678)</f>
        <v>0</v>
      </c>
      <c r="X205" s="702"/>
      <c r="Z205" s="713"/>
      <c r="AA205" s="661">
        <v>1116</v>
      </c>
      <c r="AB205" s="672">
        <f>+SUMIF(SYS_cliente!$F$5:$F$1678,'BCE ABREVIADO'!AA205,SYS_cliente!$I$5:$I$1678)</f>
        <v>0</v>
      </c>
    </row>
    <row r="206" spans="5:28" ht="13.8">
      <c r="V206" s="661">
        <v>2196</v>
      </c>
      <c r="W206" s="662">
        <f>+SUMIF(SYS_cliente!$F$5:$F$1678,'BCE ABREVIADO'!V206,SYS_cliente!$I$5:$I$1678)</f>
        <v>0</v>
      </c>
      <c r="X206" s="702"/>
      <c r="Z206" s="713"/>
      <c r="AA206" s="661">
        <v>1117</v>
      </c>
      <c r="AB206" s="672">
        <f>+SUMIF(SYS_cliente!$F$5:$F$1678,'BCE ABREVIADO'!AA206,SYS_cliente!$I$5:$I$1678)</f>
        <v>0</v>
      </c>
    </row>
    <row r="207" spans="5:28" ht="13.8">
      <c r="V207" s="661">
        <v>2197</v>
      </c>
      <c r="W207" s="662">
        <f>+SUMIF(SYS_cliente!$F$5:$F$1678,'BCE ABREVIADO'!V207,SYS_cliente!$I$5:$I$1678)</f>
        <v>0</v>
      </c>
      <c r="X207" s="702"/>
      <c r="Z207" s="713"/>
      <c r="AA207" s="661">
        <v>1118</v>
      </c>
      <c r="AB207" s="672">
        <f>+SUMIF(SYS_cliente!$F$5:$F$1678,'BCE ABREVIADO'!AA207,SYS_cliente!$I$5:$I$1678)</f>
        <v>0</v>
      </c>
    </row>
    <row r="208" spans="5:28" ht="13.8">
      <c r="V208" s="661">
        <v>2198</v>
      </c>
      <c r="W208" s="662">
        <f>+SUMIF(SYS_cliente!$F$5:$F$1678,'BCE ABREVIADO'!V208,SYS_cliente!$I$5:$I$1678)</f>
        <v>0</v>
      </c>
      <c r="X208" s="702"/>
      <c r="AA208" s="661">
        <v>1119</v>
      </c>
      <c r="AB208" s="672">
        <f>+SUMIF(SYS_cliente!$F$5:$F$1678,'BCE ABREVIADO'!AA208,SYS_cliente!$I$5:$I$1678)</f>
        <v>0</v>
      </c>
    </row>
    <row r="209" spans="22:28" ht="13.8">
      <c r="V209" s="661">
        <v>2199</v>
      </c>
      <c r="W209" s="662">
        <f>+SUMIF(SYS_cliente!$F$5:$F$1678,'BCE ABREVIADO'!V209,SYS_cliente!$I$5:$I$1678)</f>
        <v>0</v>
      </c>
      <c r="X209" s="702"/>
      <c r="AA209" s="664"/>
      <c r="AB209" s="714"/>
    </row>
    <row r="210" spans="22:28" ht="13.8">
      <c r="V210" s="661">
        <v>2812</v>
      </c>
      <c r="W210" s="662">
        <f>+SUMIF(SYS_cliente!$F$5:$F$1678,'BCE ABREVIADO'!V210,SYS_cliente!$I$5:$I$1678)</f>
        <v>-17859712.620000001</v>
      </c>
      <c r="X210" s="699"/>
      <c r="AA210" s="656" t="s">
        <v>71</v>
      </c>
      <c r="AB210" s="657"/>
    </row>
    <row r="211" spans="22:28" ht="13.8">
      <c r="V211" s="661">
        <v>2813</v>
      </c>
      <c r="W211" s="662">
        <f>+SUMIF(SYS_cliente!$F$5:$F$1678,'BCE ABREVIADO'!V211,SYS_cliente!$I$5:$I$1678)</f>
        <v>-946983.86</v>
      </c>
      <c r="X211" s="699"/>
      <c r="Z211" s="666">
        <v>133</v>
      </c>
      <c r="AA211" s="664" t="s">
        <v>72</v>
      </c>
      <c r="AB211" s="642">
        <f>SUM(AB212:AB221)</f>
        <v>-23713691.499999996</v>
      </c>
    </row>
    <row r="212" spans="22:28" ht="13.8">
      <c r="V212" s="661">
        <v>2814</v>
      </c>
      <c r="W212" s="662">
        <f>+SUMIF(SYS_cliente!$F$5:$F$1678,'BCE ABREVIADO'!V212,SYS_cliente!$I$5:$I$1678)</f>
        <v>-10306.1</v>
      </c>
      <c r="X212" s="699"/>
      <c r="Z212" s="666"/>
      <c r="AA212" s="661">
        <v>1330</v>
      </c>
      <c r="AB212" s="672">
        <f>+SUMIF(SYS_cliente!$F$5:$F$1678,'BCE ABREVIADO'!AA212,SYS_cliente!$I$5:$I$1678)</f>
        <v>-21634090.739999998</v>
      </c>
    </row>
    <row r="213" spans="22:28" ht="13.8">
      <c r="V213" s="661">
        <v>2815</v>
      </c>
      <c r="W213" s="662">
        <f>+SUMIF(SYS_cliente!$F$5:$F$1678,'BCE ABREVIADO'!V213,SYS_cliente!$I$5:$I$1678)</f>
        <v>-1078807.1499999999</v>
      </c>
      <c r="X213" s="699"/>
      <c r="Z213" s="666"/>
      <c r="AA213" s="661">
        <v>1331</v>
      </c>
      <c r="AB213" s="672">
        <f>+SUMIF(SYS_cliente!$F$5:$F$1678,'BCE ABREVIADO'!AA213,SYS_cliente!$I$5:$I$1678)</f>
        <v>-715209.58</v>
      </c>
    </row>
    <row r="214" spans="22:28" ht="13.8">
      <c r="V214" s="661">
        <v>2816</v>
      </c>
      <c r="W214" s="662">
        <f>+SUMIF(SYS_cliente!$F$5:$F$1678,'BCE ABREVIADO'!V214,SYS_cliente!$I$5:$I$1678)</f>
        <v>-87249.42</v>
      </c>
      <c r="X214" s="699"/>
      <c r="Z214" s="666"/>
      <c r="AA214" s="661">
        <v>1332</v>
      </c>
      <c r="AB214" s="672">
        <f>+SUMIF(SYS_cliente!$F$5:$F$1678,'BCE ABREVIADO'!AA214,SYS_cliente!$I$5:$I$1678)</f>
        <v>-1364391.18</v>
      </c>
    </row>
    <row r="215" spans="22:28" ht="13.8">
      <c r="V215" s="661">
        <v>2817</v>
      </c>
      <c r="W215" s="662">
        <f>+SUMIF(SYS_cliente!$F$5:$F$1678,'BCE ABREVIADO'!V215,SYS_cliente!$I$5:$I$1678)</f>
        <v>-46638.74</v>
      </c>
      <c r="X215" s="699"/>
      <c r="Z215" s="666"/>
      <c r="AA215" s="661">
        <v>1333</v>
      </c>
      <c r="AB215" s="672">
        <f>+SUMIF(SYS_cliente!$F$5:$F$1678,'BCE ABREVIADO'!AA215,SYS_cliente!$I$5:$I$1678)</f>
        <v>0</v>
      </c>
    </row>
    <row r="216" spans="22:28" ht="13.8">
      <c r="V216" s="661">
        <v>2818</v>
      </c>
      <c r="W216" s="662">
        <f>+SUMIF(SYS_cliente!$F$5:$F$1678,'BCE ABREVIADO'!V216,SYS_cliente!$I$5:$I$1678)</f>
        <v>-85249.7</v>
      </c>
      <c r="X216" s="702"/>
      <c r="Z216" s="666"/>
      <c r="AA216" s="661">
        <v>1334</v>
      </c>
      <c r="AB216" s="672">
        <f>+SUMIF(SYS_cliente!$F$5:$F$1678,'BCE ABREVIADO'!AA216,SYS_cliente!$I$5:$I$1678)</f>
        <v>0</v>
      </c>
    </row>
    <row r="217" spans="22:28" ht="13.8">
      <c r="V217" s="661">
        <v>2819</v>
      </c>
      <c r="W217" s="662">
        <f>+SUMIF(SYS_cliente!$F$5:$F$1678,'BCE ABREVIADO'!V217,SYS_cliente!$I$5:$I$1678)</f>
        <v>-510483.56999999995</v>
      </c>
      <c r="X217" s="702"/>
      <c r="Z217" s="666"/>
      <c r="AA217" s="661">
        <v>1335</v>
      </c>
      <c r="AB217" s="672">
        <f>+SUMIF(SYS_cliente!$F$5:$F$1678,'BCE ABREVIADO'!AA217,SYS_cliente!$I$5:$I$1678)</f>
        <v>0</v>
      </c>
    </row>
    <row r="218" spans="22:28" ht="13.8">
      <c r="V218" s="661">
        <v>2912</v>
      </c>
      <c r="W218" s="662">
        <f>+SUMIF(SYS_cliente!$F$5:$F$1678,'BCE ABREVIADO'!V218,SYS_cliente!$I$5:$I$1678)</f>
        <v>0</v>
      </c>
      <c r="X218" s="702"/>
      <c r="Z218" s="666"/>
      <c r="AA218" s="661">
        <v>1336</v>
      </c>
      <c r="AB218" s="672">
        <f>+SUMIF(SYS_cliente!$F$5:$F$1678,'BCE ABREVIADO'!AA218,SYS_cliente!$I$5:$I$1678)</f>
        <v>0</v>
      </c>
    </row>
    <row r="219" spans="22:28" ht="13.8">
      <c r="V219" s="661">
        <v>2913</v>
      </c>
      <c r="W219" s="662">
        <f>+SUMIF(SYS_cliente!$F$5:$F$1678,'BCE ABREVIADO'!V219,SYS_cliente!$I$5:$I$1678)</f>
        <v>0</v>
      </c>
      <c r="X219" s="702"/>
      <c r="Z219" s="666"/>
      <c r="AA219" s="661">
        <v>1337</v>
      </c>
      <c r="AB219" s="672">
        <f>+SUMIF(SYS_cliente!$F$5:$F$1678,'BCE ABREVIADO'!AA219,SYS_cliente!$I$5:$I$1678)</f>
        <v>0</v>
      </c>
    </row>
    <row r="220" spans="22:28" ht="13.8">
      <c r="V220" s="661">
        <v>2914</v>
      </c>
      <c r="W220" s="662">
        <f>+SUMIF(SYS_cliente!$F$5:$F$1678,'BCE ABREVIADO'!V220,SYS_cliente!$I$5:$I$1678)</f>
        <v>0</v>
      </c>
      <c r="X220" s="702"/>
      <c r="Z220" s="666"/>
      <c r="AA220" s="661">
        <v>1338</v>
      </c>
      <c r="AB220" s="672">
        <f>+SUMIF(SYS_cliente!$F$5:$F$1678,'BCE ABREVIADO'!AA220,SYS_cliente!$I$5:$I$1678)</f>
        <v>0</v>
      </c>
    </row>
    <row r="221" spans="22:28" ht="13.8">
      <c r="V221" s="661">
        <v>2915</v>
      </c>
      <c r="W221" s="662">
        <f>+SUMIF(SYS_cliente!$F$5:$F$1678,'BCE ABREVIADO'!V221,SYS_cliente!$I$5:$I$1678)</f>
        <v>0</v>
      </c>
      <c r="X221" s="699"/>
      <c r="Z221" s="666"/>
      <c r="AA221" s="661">
        <v>1339</v>
      </c>
      <c r="AB221" s="672">
        <f>+SUMIF(SYS_cliente!$F$5:$F$1678,'BCE ABREVIADO'!AA221,SYS_cliente!$I$5:$I$1678)</f>
        <v>0</v>
      </c>
    </row>
    <row r="222" spans="22:28" ht="13.8">
      <c r="V222" s="661">
        <v>2916</v>
      </c>
      <c r="W222" s="662">
        <f>+SUMIF(SYS_cliente!$F$5:$F$1678,'BCE ABREVIADO'!V222,SYS_cliente!$I$5:$I$1678)</f>
        <v>0</v>
      </c>
      <c r="X222" s="702"/>
      <c r="Z222" s="666">
        <v>1340</v>
      </c>
      <c r="AA222" s="664" t="s">
        <v>73</v>
      </c>
      <c r="AB222" s="642">
        <f>+AB223</f>
        <v>0</v>
      </c>
    </row>
    <row r="223" spans="22:28" ht="13.8">
      <c r="V223" s="661">
        <v>2917</v>
      </c>
      <c r="W223" s="662">
        <f>+SUMIF(SYS_cliente!$F$5:$F$1678,'BCE ABREVIADO'!V223,SYS_cliente!$I$5:$I$1678)</f>
        <v>0</v>
      </c>
      <c r="X223" s="702"/>
      <c r="Z223" s="666"/>
      <c r="AA223" s="661">
        <v>1340</v>
      </c>
      <c r="AB223" s="672">
        <f>+SUMIF(SYS_cliente!$F$5:$F$1678,'BCE ABREVIADO'!AA223,SYS_cliente!$I$5:$I$1678)</f>
        <v>0</v>
      </c>
    </row>
    <row r="224" spans="22:28" ht="13.8">
      <c r="V224" s="661">
        <v>2918</v>
      </c>
      <c r="W224" s="662">
        <f>+SUMIF(SYS_cliente!$F$5:$F$1678,'BCE ABREVIADO'!V224,SYS_cliente!$I$5:$I$1678)</f>
        <v>0</v>
      </c>
      <c r="X224" s="702"/>
      <c r="Z224" s="666">
        <v>137</v>
      </c>
      <c r="AA224" s="664" t="s">
        <v>74</v>
      </c>
      <c r="AB224" s="642">
        <f>SUM(AB225:AB234)</f>
        <v>0</v>
      </c>
    </row>
    <row r="225" spans="21:28" ht="13.8">
      <c r="V225" s="661">
        <v>2919</v>
      </c>
      <c r="W225" s="662">
        <f>+SUMIF(SYS_cliente!$F$5:$F$1678,'BCE ABREVIADO'!V225,SYS_cliente!$I$5:$I$1678)</f>
        <v>0</v>
      </c>
      <c r="X225" s="702"/>
      <c r="Z225" s="666"/>
      <c r="AA225" s="661">
        <v>1370</v>
      </c>
      <c r="AB225" s="672">
        <f>+SUMIF(SYS_cliente!$F$5:$F$1678,'BCE ABREVIADO'!AA225,SYS_cliente!$I$5:$I$1678)</f>
        <v>0</v>
      </c>
    </row>
    <row r="226" spans="21:28" ht="13.8">
      <c r="U226" s="715">
        <v>23</v>
      </c>
      <c r="V226" s="653" t="s">
        <v>15</v>
      </c>
      <c r="W226" s="654">
        <f>SUM(W227:W326)</f>
        <v>0</v>
      </c>
      <c r="X226" s="702"/>
      <c r="Z226" s="666"/>
      <c r="AA226" s="661">
        <v>1371</v>
      </c>
      <c r="AB226" s="672">
        <f>+SUMIF(SYS_cliente!$F$5:$F$1678,'BCE ABREVIADO'!AA226,SYS_cliente!$I$5:$I$1678)</f>
        <v>0</v>
      </c>
    </row>
    <row r="227" spans="21:28" ht="13.8">
      <c r="V227" s="661">
        <v>2300</v>
      </c>
      <c r="W227" s="662">
        <f>+SUMIF(SYS_cliente!$F$5:$F$1678,'BCE ABREVIADO'!V227,SYS_cliente!$I$5:$I$1678)</f>
        <v>0</v>
      </c>
      <c r="X227" s="702"/>
      <c r="Z227" s="666"/>
      <c r="AA227" s="661">
        <v>1372</v>
      </c>
      <c r="AB227" s="672">
        <f>+SUMIF(SYS_cliente!$F$5:$F$1678,'BCE ABREVIADO'!AA227,SYS_cliente!$I$5:$I$1678)</f>
        <v>0</v>
      </c>
    </row>
    <row r="228" spans="21:28" ht="13.8">
      <c r="V228" s="661">
        <v>2301</v>
      </c>
      <c r="W228" s="662">
        <f>+SUMIF(SYS_cliente!$F$5:$F$1678,'BCE ABREVIADO'!V228,SYS_cliente!$I$5:$I$1678)</f>
        <v>0</v>
      </c>
      <c r="X228" s="702"/>
      <c r="Z228" s="666"/>
      <c r="AA228" s="661">
        <v>1373</v>
      </c>
      <c r="AB228" s="672">
        <f>+SUMIF(SYS_cliente!$F$5:$F$1678,'BCE ABREVIADO'!AA228,SYS_cliente!$I$5:$I$1678)</f>
        <v>0</v>
      </c>
    </row>
    <row r="229" spans="21:28" ht="13.8">
      <c r="V229" s="661">
        <v>2302</v>
      </c>
      <c r="W229" s="662">
        <f>+SUMIF(SYS_cliente!$F$5:$F$1678,'BCE ABREVIADO'!V229,SYS_cliente!$I$5:$I$1678)</f>
        <v>0</v>
      </c>
      <c r="X229" s="702"/>
      <c r="Z229" s="666"/>
      <c r="AA229" s="661">
        <v>1374</v>
      </c>
      <c r="AB229" s="672">
        <f>+SUMIF(SYS_cliente!$F$5:$F$1678,'BCE ABREVIADO'!AA229,SYS_cliente!$I$5:$I$1678)</f>
        <v>0</v>
      </c>
    </row>
    <row r="230" spans="21:28" ht="13.8">
      <c r="V230" s="661">
        <v>2303</v>
      </c>
      <c r="W230" s="662">
        <f>+SUMIF(SYS_cliente!$F$5:$F$1678,'BCE ABREVIADO'!V230,SYS_cliente!$I$5:$I$1678)</f>
        <v>0</v>
      </c>
      <c r="X230" s="702"/>
      <c r="Z230" s="666"/>
      <c r="AA230" s="661">
        <v>1375</v>
      </c>
      <c r="AB230" s="672">
        <f>+SUMIF(SYS_cliente!$F$5:$F$1678,'BCE ABREVIADO'!AA230,SYS_cliente!$I$5:$I$1678)</f>
        <v>0</v>
      </c>
    </row>
    <row r="231" spans="21:28" ht="13.8">
      <c r="V231" s="661">
        <v>2304</v>
      </c>
      <c r="W231" s="662">
        <f>+SUMIF(SYS_cliente!$F$5:$F$1678,'BCE ABREVIADO'!V231,SYS_cliente!$I$5:$I$1678)</f>
        <v>0</v>
      </c>
      <c r="X231" s="702"/>
      <c r="Z231" s="666"/>
      <c r="AA231" s="661">
        <v>1376</v>
      </c>
      <c r="AB231" s="672">
        <f>+SUMIF(SYS_cliente!$F$5:$F$1678,'BCE ABREVIADO'!AA231,SYS_cliente!$I$5:$I$1678)</f>
        <v>0</v>
      </c>
    </row>
    <row r="232" spans="21:28" ht="13.8">
      <c r="V232" s="661">
        <v>2305</v>
      </c>
      <c r="W232" s="662">
        <f>+SUMIF(SYS_cliente!$F$5:$F$1678,'BCE ABREVIADO'!V232,SYS_cliente!$I$5:$I$1678)</f>
        <v>0</v>
      </c>
      <c r="X232" s="702"/>
      <c r="Z232" s="666"/>
      <c r="AA232" s="661">
        <v>1377</v>
      </c>
      <c r="AB232" s="672">
        <f>+SUMIF(SYS_cliente!$F$5:$F$1678,'BCE ABREVIADO'!AA232,SYS_cliente!$I$5:$I$1678)</f>
        <v>0</v>
      </c>
    </row>
    <row r="233" spans="21:28" ht="13.8">
      <c r="V233" s="661">
        <v>2306</v>
      </c>
      <c r="W233" s="662">
        <f>+SUMIF(SYS_cliente!$F$5:$F$1678,'BCE ABREVIADO'!V233,SYS_cliente!$I$5:$I$1678)</f>
        <v>0</v>
      </c>
      <c r="X233" s="702"/>
      <c r="Z233" s="666"/>
      <c r="AA233" s="661">
        <v>1378</v>
      </c>
      <c r="AB233" s="672">
        <f>+SUMIF(SYS_cliente!$F$5:$F$1678,'BCE ABREVIADO'!AA233,SYS_cliente!$I$5:$I$1678)</f>
        <v>0</v>
      </c>
    </row>
    <row r="234" spans="21:28" ht="13.8">
      <c r="V234" s="661">
        <v>2307</v>
      </c>
      <c r="W234" s="662">
        <f>+SUMIF(SYS_cliente!$F$5:$F$1678,'BCE ABREVIADO'!V234,SYS_cliente!$I$5:$I$1678)</f>
        <v>0</v>
      </c>
      <c r="X234" s="702"/>
      <c r="Z234" s="666"/>
      <c r="AA234" s="661">
        <v>1379</v>
      </c>
      <c r="AB234" s="672">
        <f>+SUMIF(SYS_cliente!$F$5:$F$1678,'BCE ABREVIADO'!AA234,SYS_cliente!$I$5:$I$1678)</f>
        <v>0</v>
      </c>
    </row>
    <row r="235" spans="21:28" ht="13.8">
      <c r="V235" s="661">
        <v>2308</v>
      </c>
      <c r="W235" s="662">
        <f>+SUMIF(SYS_cliente!$F$5:$F$1678,'BCE ABREVIADO'!V235,SYS_cliente!$I$5:$I$1678)</f>
        <v>0</v>
      </c>
      <c r="X235" s="702"/>
      <c r="Z235" s="666" t="s">
        <v>149</v>
      </c>
      <c r="AA235" s="656" t="s">
        <v>75</v>
      </c>
      <c r="AB235" s="657">
        <f>SUM(AB236:AB265)</f>
        <v>-49556.49</v>
      </c>
    </row>
    <row r="236" spans="21:28" ht="13.8">
      <c r="V236" s="661">
        <v>2309</v>
      </c>
      <c r="W236" s="662">
        <f>+SUMIF(SYS_cliente!$F$5:$F$1678,'BCE ABREVIADO'!V236,SYS_cliente!$I$5:$I$1678)</f>
        <v>0</v>
      </c>
      <c r="X236" s="702"/>
      <c r="AA236" s="661">
        <v>1300</v>
      </c>
      <c r="AB236" s="672">
        <f>+SUMIF(SYS_cliente!$F$5:$F$1678,'BCE ABREVIADO'!AA236,SYS_cliente!$I$5:$I$1678)</f>
        <v>-49556.49</v>
      </c>
    </row>
    <row r="237" spans="21:28" ht="13.8">
      <c r="V237" s="661">
        <v>2310</v>
      </c>
      <c r="W237" s="662">
        <f>+SUMIF(SYS_cliente!$F$5:$F$1678,'BCE ABREVIADO'!V237,SYS_cliente!$I$5:$I$1678)</f>
        <v>0</v>
      </c>
      <c r="X237" s="702"/>
      <c r="AA237" s="661">
        <v>1301</v>
      </c>
      <c r="AB237" s="672">
        <f>+SUMIF(SYS_cliente!$F$5:$F$1678,'BCE ABREVIADO'!AA237,SYS_cliente!$I$5:$I$1678)</f>
        <v>0</v>
      </c>
    </row>
    <row r="238" spans="21:28" ht="13.8">
      <c r="V238" s="661">
        <v>2311</v>
      </c>
      <c r="W238" s="662">
        <f>+SUMIF(SYS_cliente!$F$5:$F$1678,'BCE ABREVIADO'!V238,SYS_cliente!$I$5:$I$1678)</f>
        <v>0</v>
      </c>
      <c r="X238" s="702"/>
      <c r="AA238" s="661">
        <v>1302</v>
      </c>
      <c r="AB238" s="672">
        <f>+SUMIF(SYS_cliente!$F$5:$F$1678,'BCE ABREVIADO'!AA238,SYS_cliente!$I$5:$I$1678)</f>
        <v>0</v>
      </c>
    </row>
    <row r="239" spans="21:28" ht="13.8">
      <c r="V239" s="661">
        <v>2312</v>
      </c>
      <c r="W239" s="662">
        <f>+SUMIF(SYS_cliente!$F$5:$F$1678,'BCE ABREVIADO'!V239,SYS_cliente!$I$5:$I$1678)</f>
        <v>0</v>
      </c>
      <c r="X239" s="702"/>
      <c r="AA239" s="661">
        <v>1303</v>
      </c>
      <c r="AB239" s="672">
        <f>+SUMIF(SYS_cliente!$F$5:$F$1678,'BCE ABREVIADO'!AA239,SYS_cliente!$I$5:$I$1678)</f>
        <v>0</v>
      </c>
    </row>
    <row r="240" spans="21:28" ht="13.8">
      <c r="V240" s="661">
        <v>2313</v>
      </c>
      <c r="W240" s="662">
        <f>+SUMIF(SYS_cliente!$F$5:$F$1678,'BCE ABREVIADO'!V240,SYS_cliente!$I$5:$I$1678)</f>
        <v>0</v>
      </c>
      <c r="X240" s="702"/>
      <c r="AA240" s="661">
        <v>1304</v>
      </c>
      <c r="AB240" s="672">
        <f>+SUMIF(SYS_cliente!$F$5:$F$1678,'BCE ABREVIADO'!AA240,SYS_cliente!$I$5:$I$1678)</f>
        <v>0</v>
      </c>
    </row>
    <row r="241" spans="22:28" ht="13.8">
      <c r="V241" s="661">
        <v>2314</v>
      </c>
      <c r="W241" s="662">
        <f>+SUMIF(SYS_cliente!$F$5:$F$1678,'BCE ABREVIADO'!V241,SYS_cliente!$I$5:$I$1678)</f>
        <v>0</v>
      </c>
      <c r="X241" s="702"/>
      <c r="AA241" s="661">
        <v>1305</v>
      </c>
      <c r="AB241" s="672">
        <f>+SUMIF(SYS_cliente!$F$5:$F$1678,'BCE ABREVIADO'!AA241,SYS_cliente!$I$5:$I$1678)</f>
        <v>0</v>
      </c>
    </row>
    <row r="242" spans="22:28" ht="13.8">
      <c r="V242" s="661">
        <v>2315</v>
      </c>
      <c r="W242" s="662">
        <f>+SUMIF(SYS_cliente!$F$5:$F$1678,'BCE ABREVIADO'!V242,SYS_cliente!$I$5:$I$1678)</f>
        <v>0</v>
      </c>
      <c r="X242" s="702"/>
      <c r="AA242" s="661">
        <v>1306</v>
      </c>
      <c r="AB242" s="672">
        <f>+SUMIF(SYS_cliente!$F$5:$F$1678,'BCE ABREVIADO'!AA242,SYS_cliente!$I$5:$I$1678)</f>
        <v>0</v>
      </c>
    </row>
    <row r="243" spans="22:28" ht="13.8">
      <c r="V243" s="661">
        <v>2316</v>
      </c>
      <c r="W243" s="662">
        <f>+SUMIF(SYS_cliente!$F$5:$F$1678,'BCE ABREVIADO'!V243,SYS_cliente!$I$5:$I$1678)</f>
        <v>0</v>
      </c>
      <c r="X243" s="702"/>
      <c r="AA243" s="661">
        <v>1307</v>
      </c>
      <c r="AB243" s="672">
        <f>+SUMIF(SYS_cliente!$F$5:$F$1678,'BCE ABREVIADO'!AA243,SYS_cliente!$I$5:$I$1678)</f>
        <v>0</v>
      </c>
    </row>
    <row r="244" spans="22:28" ht="13.8">
      <c r="V244" s="661">
        <v>2317</v>
      </c>
      <c r="W244" s="662">
        <f>+SUMIF(SYS_cliente!$F$5:$F$1678,'BCE ABREVIADO'!V244,SYS_cliente!$I$5:$I$1678)</f>
        <v>0</v>
      </c>
      <c r="X244" s="702"/>
      <c r="AA244" s="661">
        <v>1308</v>
      </c>
      <c r="AB244" s="672">
        <f>+SUMIF(SYS_cliente!$F$5:$F$1678,'BCE ABREVIADO'!AA244,SYS_cliente!$I$5:$I$1678)</f>
        <v>0</v>
      </c>
    </row>
    <row r="245" spans="22:28" ht="13.8">
      <c r="V245" s="661">
        <v>2318</v>
      </c>
      <c r="W245" s="662">
        <f>+SUMIF(SYS_cliente!$F$5:$F$1678,'BCE ABREVIADO'!V245,SYS_cliente!$I$5:$I$1678)</f>
        <v>0</v>
      </c>
      <c r="X245" s="702"/>
      <c r="AA245" s="661">
        <v>1309</v>
      </c>
      <c r="AB245" s="672">
        <f>+SUMIF(SYS_cliente!$F$5:$F$1678,'BCE ABREVIADO'!AA245,SYS_cliente!$I$5:$I$1678)</f>
        <v>0</v>
      </c>
    </row>
    <row r="246" spans="22:28" ht="13.8">
      <c r="V246" s="661">
        <v>2319</v>
      </c>
      <c r="W246" s="662">
        <f>+SUMIF(SYS_cliente!$F$5:$F$1678,'BCE ABREVIADO'!V246,SYS_cliente!$I$5:$I$1678)</f>
        <v>0</v>
      </c>
      <c r="X246" s="702"/>
      <c r="AA246" s="661">
        <v>1310</v>
      </c>
      <c r="AB246" s="672">
        <f>+SUMIF(SYS_cliente!$F$5:$F$1678,'BCE ABREVIADO'!AA246,SYS_cliente!$I$5:$I$1678)</f>
        <v>0</v>
      </c>
    </row>
    <row r="247" spans="22:28" ht="13.8">
      <c r="V247" s="661">
        <v>2320</v>
      </c>
      <c r="W247" s="662">
        <f>+SUMIF(SYS_cliente!$F$5:$F$1678,'BCE ABREVIADO'!V247,SYS_cliente!$I$5:$I$1678)</f>
        <v>0</v>
      </c>
      <c r="X247" s="702"/>
      <c r="AA247" s="661">
        <v>1311</v>
      </c>
      <c r="AB247" s="672">
        <f>+SUMIF(SYS_cliente!$F$5:$F$1678,'BCE ABREVIADO'!AA247,SYS_cliente!$I$5:$I$1678)</f>
        <v>0</v>
      </c>
    </row>
    <row r="248" spans="22:28" ht="13.8">
      <c r="V248" s="661">
        <v>2321</v>
      </c>
      <c r="W248" s="662">
        <f>+SUMIF(SYS_cliente!$F$5:$F$1678,'BCE ABREVIADO'!V248,SYS_cliente!$I$5:$I$1678)</f>
        <v>0</v>
      </c>
      <c r="X248" s="702"/>
      <c r="AA248" s="661">
        <v>1312</v>
      </c>
      <c r="AB248" s="672">
        <f>+SUMIF(SYS_cliente!$F$5:$F$1678,'BCE ABREVIADO'!AA248,SYS_cliente!$I$5:$I$1678)</f>
        <v>0</v>
      </c>
    </row>
    <row r="249" spans="22:28" ht="13.8">
      <c r="V249" s="661">
        <v>2322</v>
      </c>
      <c r="W249" s="662">
        <f>+SUMIF(SYS_cliente!$F$5:$F$1678,'BCE ABREVIADO'!V249,SYS_cliente!$I$5:$I$1678)</f>
        <v>0</v>
      </c>
      <c r="X249" s="702"/>
      <c r="AA249" s="661">
        <v>1313</v>
      </c>
      <c r="AB249" s="672">
        <f>+SUMIF(SYS_cliente!$F$5:$F$1678,'BCE ABREVIADO'!AA249,SYS_cliente!$I$5:$I$1678)</f>
        <v>0</v>
      </c>
    </row>
    <row r="250" spans="22:28" ht="13.8">
      <c r="V250" s="661">
        <v>2323</v>
      </c>
      <c r="W250" s="662">
        <f>+SUMIF(SYS_cliente!$F$5:$F$1678,'BCE ABREVIADO'!V250,SYS_cliente!$I$5:$I$1678)</f>
        <v>0</v>
      </c>
      <c r="X250" s="702"/>
      <c r="AA250" s="661">
        <v>1314</v>
      </c>
      <c r="AB250" s="672">
        <f>+SUMIF(SYS_cliente!$F$5:$F$1678,'BCE ABREVIADO'!AA250,SYS_cliente!$I$5:$I$1678)</f>
        <v>0</v>
      </c>
    </row>
    <row r="251" spans="22:28" ht="13.8">
      <c r="V251" s="661">
        <v>2324</v>
      </c>
      <c r="W251" s="662">
        <f>+SUMIF(SYS_cliente!$F$5:$F$1678,'BCE ABREVIADO'!V251,SYS_cliente!$I$5:$I$1678)</f>
        <v>0</v>
      </c>
      <c r="X251" s="702"/>
      <c r="AA251" s="661">
        <v>1315</v>
      </c>
      <c r="AB251" s="672">
        <f>+SUMIF(SYS_cliente!$F$5:$F$1678,'BCE ABREVIADO'!AA251,SYS_cliente!$I$5:$I$1678)</f>
        <v>0</v>
      </c>
    </row>
    <row r="252" spans="22:28" ht="13.8">
      <c r="V252" s="661">
        <v>2325</v>
      </c>
      <c r="W252" s="662">
        <f>+SUMIF(SYS_cliente!$F$5:$F$1678,'BCE ABREVIADO'!V252,SYS_cliente!$I$5:$I$1678)</f>
        <v>0</v>
      </c>
      <c r="X252" s="702"/>
      <c r="AA252" s="661">
        <v>1316</v>
      </c>
      <c r="AB252" s="672">
        <f>+SUMIF(SYS_cliente!$F$5:$F$1678,'BCE ABREVIADO'!AA252,SYS_cliente!$I$5:$I$1678)</f>
        <v>0</v>
      </c>
    </row>
    <row r="253" spans="22:28" ht="13.8">
      <c r="V253" s="661">
        <v>2326</v>
      </c>
      <c r="W253" s="662">
        <f>+SUMIF(SYS_cliente!$F$5:$F$1678,'BCE ABREVIADO'!V253,SYS_cliente!$I$5:$I$1678)</f>
        <v>0</v>
      </c>
      <c r="X253" s="702"/>
      <c r="AA253" s="661">
        <v>1317</v>
      </c>
      <c r="AB253" s="672">
        <f>+SUMIF(SYS_cliente!$F$5:$F$1678,'BCE ABREVIADO'!AA253,SYS_cliente!$I$5:$I$1678)</f>
        <v>0</v>
      </c>
    </row>
    <row r="254" spans="22:28" ht="13.8">
      <c r="V254" s="661">
        <v>2327</v>
      </c>
      <c r="W254" s="662">
        <f>+SUMIF(SYS_cliente!$F$5:$F$1678,'BCE ABREVIADO'!V254,SYS_cliente!$I$5:$I$1678)</f>
        <v>0</v>
      </c>
      <c r="X254" s="702"/>
      <c r="AA254" s="661">
        <v>1318</v>
      </c>
      <c r="AB254" s="672">
        <f>+SUMIF(SYS_cliente!$F$5:$F$1678,'BCE ABREVIADO'!AA254,SYS_cliente!$I$5:$I$1678)</f>
        <v>0</v>
      </c>
    </row>
    <row r="255" spans="22:28" ht="13.8">
      <c r="V255" s="661">
        <v>2328</v>
      </c>
      <c r="W255" s="662">
        <f>+SUMIF(SYS_cliente!$F$5:$F$1678,'BCE ABREVIADO'!V255,SYS_cliente!$I$5:$I$1678)</f>
        <v>0</v>
      </c>
      <c r="X255" s="702"/>
      <c r="AA255" s="661">
        <v>1319</v>
      </c>
      <c r="AB255" s="672">
        <f>+SUMIF(SYS_cliente!$F$5:$F$1678,'BCE ABREVIADO'!AA255,SYS_cliente!$I$5:$I$1678)</f>
        <v>0</v>
      </c>
    </row>
    <row r="256" spans="22:28" ht="13.8">
      <c r="V256" s="661">
        <v>2329</v>
      </c>
      <c r="W256" s="662">
        <f>+SUMIF(SYS_cliente!$F$5:$F$1678,'BCE ABREVIADO'!V256,SYS_cliente!$I$5:$I$1678)</f>
        <v>0</v>
      </c>
      <c r="X256" s="702"/>
      <c r="AA256" s="661">
        <v>1320</v>
      </c>
      <c r="AB256" s="672">
        <f>+SUMIF(SYS_cliente!$F$5:$F$1678,'BCE ABREVIADO'!AA256,SYS_cliente!$I$5:$I$1678)</f>
        <v>0</v>
      </c>
    </row>
    <row r="257" spans="22:28" ht="13.8">
      <c r="V257" s="661">
        <v>2330</v>
      </c>
      <c r="W257" s="662">
        <f>+SUMIF(SYS_cliente!$F$5:$F$1678,'BCE ABREVIADO'!V257,SYS_cliente!$I$5:$I$1678)</f>
        <v>0</v>
      </c>
      <c r="X257" s="702"/>
      <c r="AA257" s="661">
        <v>1321</v>
      </c>
      <c r="AB257" s="672">
        <f>+SUMIF(SYS_cliente!$F$5:$F$1678,'BCE ABREVIADO'!AA257,SYS_cliente!$I$5:$I$1678)</f>
        <v>0</v>
      </c>
    </row>
    <row r="258" spans="22:28" ht="13.8">
      <c r="V258" s="661">
        <v>2331</v>
      </c>
      <c r="W258" s="662">
        <f>+SUMIF(SYS_cliente!$F$5:$F$1678,'BCE ABREVIADO'!V258,SYS_cliente!$I$5:$I$1678)</f>
        <v>0</v>
      </c>
      <c r="X258" s="702"/>
      <c r="AA258" s="661">
        <v>1322</v>
      </c>
      <c r="AB258" s="672">
        <f>+SUMIF(SYS_cliente!$F$5:$F$1678,'BCE ABREVIADO'!AA258,SYS_cliente!$I$5:$I$1678)</f>
        <v>0</v>
      </c>
    </row>
    <row r="259" spans="22:28" ht="13.8">
      <c r="V259" s="661">
        <v>2332</v>
      </c>
      <c r="W259" s="662">
        <f>+SUMIF(SYS_cliente!$F$5:$F$1678,'BCE ABREVIADO'!V259,SYS_cliente!$I$5:$I$1678)</f>
        <v>0</v>
      </c>
      <c r="X259" s="702"/>
      <c r="AA259" s="661">
        <v>1323</v>
      </c>
      <c r="AB259" s="672">
        <f>+SUMIF(SYS_cliente!$F$5:$F$1678,'BCE ABREVIADO'!AA259,SYS_cliente!$I$5:$I$1678)</f>
        <v>0</v>
      </c>
    </row>
    <row r="260" spans="22:28" ht="13.8">
      <c r="V260" s="661">
        <v>2333</v>
      </c>
      <c r="W260" s="662">
        <f>+SUMIF(SYS_cliente!$F$5:$F$1678,'BCE ABREVIADO'!V260,SYS_cliente!$I$5:$I$1678)</f>
        <v>0</v>
      </c>
      <c r="X260" s="702"/>
      <c r="AA260" s="661">
        <v>1324</v>
      </c>
      <c r="AB260" s="672">
        <f>+SUMIF(SYS_cliente!$F$5:$F$1678,'BCE ABREVIADO'!AA260,SYS_cliente!$I$5:$I$1678)</f>
        <v>0</v>
      </c>
    </row>
    <row r="261" spans="22:28" ht="13.8">
      <c r="V261" s="661">
        <v>2334</v>
      </c>
      <c r="W261" s="662">
        <f>+SUMIF(SYS_cliente!$F$5:$F$1678,'BCE ABREVIADO'!V261,SYS_cliente!$I$5:$I$1678)</f>
        <v>0</v>
      </c>
      <c r="X261" s="702"/>
      <c r="AA261" s="661">
        <v>1325</v>
      </c>
      <c r="AB261" s="672">
        <f>+SUMIF(SYS_cliente!$F$5:$F$1678,'BCE ABREVIADO'!AA261,SYS_cliente!$I$5:$I$1678)</f>
        <v>0</v>
      </c>
    </row>
    <row r="262" spans="22:28" ht="13.8">
      <c r="V262" s="661">
        <v>2335</v>
      </c>
      <c r="W262" s="662">
        <f>+SUMIF(SYS_cliente!$F$5:$F$1678,'BCE ABREVIADO'!V262,SYS_cliente!$I$5:$I$1678)</f>
        <v>0</v>
      </c>
      <c r="X262" s="702"/>
      <c r="AA262" s="661">
        <v>1326</v>
      </c>
      <c r="AB262" s="672">
        <f>+SUMIF(SYS_cliente!$F$5:$F$1678,'BCE ABREVIADO'!AA262,SYS_cliente!$I$5:$I$1678)</f>
        <v>0</v>
      </c>
    </row>
    <row r="263" spans="22:28" ht="13.8">
      <c r="V263" s="661">
        <v>2336</v>
      </c>
      <c r="W263" s="662">
        <f>+SUMIF(SYS_cliente!$F$5:$F$1678,'BCE ABREVIADO'!V263,SYS_cliente!$I$5:$I$1678)</f>
        <v>0</v>
      </c>
      <c r="X263" s="702"/>
      <c r="AA263" s="661">
        <v>1327</v>
      </c>
      <c r="AB263" s="672">
        <f>+SUMIF(SYS_cliente!$F$5:$F$1678,'BCE ABREVIADO'!AA263,SYS_cliente!$I$5:$I$1678)</f>
        <v>0</v>
      </c>
    </row>
    <row r="264" spans="22:28" ht="13.8">
      <c r="V264" s="661">
        <v>2337</v>
      </c>
      <c r="W264" s="662">
        <f>+SUMIF(SYS_cliente!$F$5:$F$1678,'BCE ABREVIADO'!V264,SYS_cliente!$I$5:$I$1678)</f>
        <v>0</v>
      </c>
      <c r="X264" s="702"/>
      <c r="AA264" s="661">
        <v>1328</v>
      </c>
      <c r="AB264" s="672">
        <f>+SUMIF(SYS_cliente!$F$5:$F$1678,'BCE ABREVIADO'!AA264,SYS_cliente!$I$5:$I$1678)</f>
        <v>0</v>
      </c>
    </row>
    <row r="265" spans="22:28" ht="13.8">
      <c r="V265" s="661">
        <v>2338</v>
      </c>
      <c r="W265" s="662">
        <f>+SUMIF(SYS_cliente!$F$5:$F$1678,'BCE ABREVIADO'!V265,SYS_cliente!$I$5:$I$1678)</f>
        <v>0</v>
      </c>
      <c r="X265" s="702"/>
      <c r="AA265" s="661">
        <v>1329</v>
      </c>
      <c r="AB265" s="672">
        <f>+SUMIF(SYS_cliente!$F$5:$F$1678,'BCE ABREVIADO'!AA265,SYS_cliente!$I$5:$I$1678)</f>
        <v>0</v>
      </c>
    </row>
    <row r="266" spans="22:28" ht="13.8">
      <c r="V266" s="661">
        <v>2339</v>
      </c>
      <c r="W266" s="662">
        <f>+SUMIF(SYS_cliente!$F$5:$F$1678,'BCE ABREVIADO'!V266,SYS_cliente!$I$5:$I$1678)</f>
        <v>0</v>
      </c>
      <c r="X266" s="702"/>
      <c r="AA266" s="716" t="s">
        <v>76</v>
      </c>
      <c r="AB266" s="637"/>
    </row>
    <row r="267" spans="22:28" ht="13.8">
      <c r="V267" s="661">
        <v>2340</v>
      </c>
      <c r="W267" s="662">
        <f>+SUMIF(SYS_cliente!$F$5:$F$1678,'BCE ABREVIADO'!V267,SYS_cliente!$I$5:$I$1678)</f>
        <v>0</v>
      </c>
      <c r="X267" s="702"/>
      <c r="Z267" s="663"/>
      <c r="AA267" s="664" t="s">
        <v>77</v>
      </c>
      <c r="AB267" s="642"/>
    </row>
    <row r="268" spans="22:28" ht="13.8">
      <c r="V268" s="661">
        <v>2341</v>
      </c>
      <c r="W268" s="662">
        <f>+SUMIF(SYS_cliente!$F$5:$F$1678,'BCE ABREVIADO'!V268,SYS_cliente!$I$5:$I$1678)</f>
        <v>0</v>
      </c>
      <c r="X268" s="702"/>
      <c r="Z268" s="666" t="s">
        <v>150</v>
      </c>
      <c r="AA268" s="653" t="s">
        <v>78</v>
      </c>
      <c r="AB268" s="667">
        <f>+AB269</f>
        <v>0</v>
      </c>
    </row>
    <row r="269" spans="22:28" ht="13.8">
      <c r="V269" s="661">
        <v>2342</v>
      </c>
      <c r="W269" s="662">
        <f>+SUMIF(SYS_cliente!$F$5:$F$1678,'BCE ABREVIADO'!V269,SYS_cliente!$I$5:$I$1678)</f>
        <v>0</v>
      </c>
      <c r="X269" s="702"/>
      <c r="Z269" s="666"/>
      <c r="AA269" s="706"/>
      <c r="AB269" s="642"/>
    </row>
    <row r="270" spans="22:28" ht="13.8">
      <c r="V270" s="661">
        <v>2343</v>
      </c>
      <c r="W270" s="662">
        <f>+SUMIF(SYS_cliente!$F$5:$F$1678,'BCE ABREVIADO'!V270,SYS_cliente!$I$5:$I$1678)</f>
        <v>0</v>
      </c>
      <c r="X270" s="702"/>
      <c r="Z270" s="666">
        <v>145</v>
      </c>
      <c r="AA270" s="653" t="s">
        <v>79</v>
      </c>
      <c r="AB270" s="667">
        <f>SUM(AB271:AB280)</f>
        <v>0</v>
      </c>
    </row>
    <row r="271" spans="22:28" ht="13.8">
      <c r="V271" s="661">
        <v>2344</v>
      </c>
      <c r="W271" s="662">
        <f>+SUMIF(SYS_cliente!$F$5:$F$1678,'BCE ABREVIADO'!V271,SYS_cliente!$I$5:$I$1678)</f>
        <v>0</v>
      </c>
      <c r="X271" s="702"/>
      <c r="Z271" s="666"/>
      <c r="AA271" s="661">
        <v>1450</v>
      </c>
      <c r="AB271" s="672">
        <f>+SUMIF(SYS_cliente!$F$5:$F$1678,'BCE ABREVIADO'!AA271,SYS_cliente!$I$5:$I$1678)</f>
        <v>0</v>
      </c>
    </row>
    <row r="272" spans="22:28" ht="13.8">
      <c r="V272" s="661">
        <v>2345</v>
      </c>
      <c r="W272" s="662">
        <f>+SUMIF(SYS_cliente!$F$5:$F$1678,'BCE ABREVIADO'!V272,SYS_cliente!$I$5:$I$1678)</f>
        <v>0</v>
      </c>
      <c r="X272" s="702"/>
      <c r="Z272" s="666"/>
      <c r="AA272" s="661">
        <v>1451</v>
      </c>
      <c r="AB272" s="672">
        <f>+SUMIF(SYS_cliente!$F$5:$F$1678,'BCE ABREVIADO'!AA272,SYS_cliente!$I$5:$I$1678)</f>
        <v>0</v>
      </c>
    </row>
    <row r="273" spans="22:28" ht="13.8">
      <c r="V273" s="661">
        <v>2346</v>
      </c>
      <c r="W273" s="662">
        <f>+SUMIF(SYS_cliente!$F$5:$F$1678,'BCE ABREVIADO'!V273,SYS_cliente!$I$5:$I$1678)</f>
        <v>0</v>
      </c>
      <c r="X273" s="702"/>
      <c r="Z273" s="666"/>
      <c r="AA273" s="661">
        <v>1452</v>
      </c>
      <c r="AB273" s="672">
        <f>+SUMIF(SYS_cliente!$F$5:$F$1678,'BCE ABREVIADO'!AA273,SYS_cliente!$I$5:$I$1678)</f>
        <v>0</v>
      </c>
    </row>
    <row r="274" spans="22:28" ht="13.8">
      <c r="V274" s="661">
        <v>2347</v>
      </c>
      <c r="W274" s="662">
        <f>+SUMIF(SYS_cliente!$F$5:$F$1678,'BCE ABREVIADO'!V274,SYS_cliente!$I$5:$I$1678)</f>
        <v>0</v>
      </c>
      <c r="X274" s="702"/>
      <c r="Z274" s="666"/>
      <c r="AA274" s="661">
        <v>1453</v>
      </c>
      <c r="AB274" s="672">
        <f>+SUMIF(SYS_cliente!$F$5:$F$1678,'BCE ABREVIADO'!AA274,SYS_cliente!$I$5:$I$1678)</f>
        <v>0</v>
      </c>
    </row>
    <row r="275" spans="22:28" ht="13.8">
      <c r="V275" s="661">
        <v>2348</v>
      </c>
      <c r="W275" s="662">
        <f>+SUMIF(SYS_cliente!$F$5:$F$1678,'BCE ABREVIADO'!V275,SYS_cliente!$I$5:$I$1678)</f>
        <v>0</v>
      </c>
      <c r="X275" s="702"/>
      <c r="Z275" s="666"/>
      <c r="AA275" s="661">
        <v>1454</v>
      </c>
      <c r="AB275" s="672">
        <f>+SUMIF(SYS_cliente!$F$5:$F$1678,'BCE ABREVIADO'!AA275,SYS_cliente!$I$5:$I$1678)</f>
        <v>0</v>
      </c>
    </row>
    <row r="276" spans="22:28" ht="13.8">
      <c r="V276" s="661">
        <v>2349</v>
      </c>
      <c r="W276" s="662">
        <f>+SUMIF(SYS_cliente!$F$5:$F$1678,'BCE ABREVIADO'!V276,SYS_cliente!$I$5:$I$1678)</f>
        <v>0</v>
      </c>
      <c r="X276" s="702"/>
      <c r="Z276" s="666"/>
      <c r="AA276" s="661">
        <v>1455</v>
      </c>
      <c r="AB276" s="672">
        <f>+SUMIF(SYS_cliente!$F$5:$F$1678,'BCE ABREVIADO'!AA276,SYS_cliente!$I$5:$I$1678)</f>
        <v>0</v>
      </c>
    </row>
    <row r="277" spans="22:28" ht="13.8">
      <c r="V277" s="661">
        <v>2350</v>
      </c>
      <c r="W277" s="662">
        <f>+SUMIF(SYS_cliente!$F$5:$F$1678,'BCE ABREVIADO'!V277,SYS_cliente!$I$5:$I$1678)</f>
        <v>0</v>
      </c>
      <c r="X277" s="702"/>
      <c r="Z277" s="666"/>
      <c r="AA277" s="661">
        <v>1456</v>
      </c>
      <c r="AB277" s="672">
        <f>+SUMIF(SYS_cliente!$F$5:$F$1678,'BCE ABREVIADO'!AA277,SYS_cliente!$I$5:$I$1678)</f>
        <v>0</v>
      </c>
    </row>
    <row r="278" spans="22:28" ht="13.8">
      <c r="V278" s="661">
        <v>2351</v>
      </c>
      <c r="W278" s="662">
        <f>+SUMIF(SYS_cliente!$F$5:$F$1678,'BCE ABREVIADO'!V278,SYS_cliente!$I$5:$I$1678)</f>
        <v>0</v>
      </c>
      <c r="X278" s="702"/>
      <c r="Z278" s="666"/>
      <c r="AA278" s="661">
        <v>1457</v>
      </c>
      <c r="AB278" s="672">
        <f>+SUMIF(SYS_cliente!$F$5:$F$1678,'BCE ABREVIADO'!AA278,SYS_cliente!$I$5:$I$1678)</f>
        <v>0</v>
      </c>
    </row>
    <row r="279" spans="22:28" ht="13.8">
      <c r="V279" s="661">
        <v>2352</v>
      </c>
      <c r="W279" s="662">
        <f>+SUMIF(SYS_cliente!$F$5:$F$1678,'BCE ABREVIADO'!V279,SYS_cliente!$I$5:$I$1678)</f>
        <v>0</v>
      </c>
      <c r="X279" s="702"/>
      <c r="Z279" s="666"/>
      <c r="AA279" s="661">
        <v>1458</v>
      </c>
      <c r="AB279" s="672">
        <f>+SUMIF(SYS_cliente!$F$5:$F$1678,'BCE ABREVIADO'!AA279,SYS_cliente!$I$5:$I$1678)</f>
        <v>0</v>
      </c>
    </row>
    <row r="280" spans="22:28" ht="13.8">
      <c r="V280" s="661">
        <v>2353</v>
      </c>
      <c r="W280" s="662">
        <f>+SUMIF(SYS_cliente!$F$5:$F$1678,'BCE ABREVIADO'!V280,SYS_cliente!$I$5:$I$1678)</f>
        <v>0</v>
      </c>
      <c r="X280" s="702"/>
      <c r="Z280" s="666"/>
      <c r="AA280" s="661">
        <v>1459</v>
      </c>
      <c r="AB280" s="672">
        <f>+SUMIF(SYS_cliente!$F$5:$F$1678,'BCE ABREVIADO'!AA280,SYS_cliente!$I$5:$I$1678)</f>
        <v>0</v>
      </c>
    </row>
    <row r="281" spans="22:28" ht="13.8">
      <c r="V281" s="661">
        <v>2354</v>
      </c>
      <c r="W281" s="662">
        <f>+SUMIF(SYS_cliente!$F$5:$F$1678,'BCE ABREVIADO'!V281,SYS_cliente!$I$5:$I$1678)</f>
        <v>0</v>
      </c>
      <c r="X281" s="702"/>
      <c r="Z281" s="666">
        <v>146</v>
      </c>
      <c r="AA281" s="653" t="s">
        <v>80</v>
      </c>
      <c r="AB281" s="667">
        <f>SUM(AB282:AB291)</f>
        <v>0</v>
      </c>
    </row>
    <row r="282" spans="22:28" ht="13.8">
      <c r="V282" s="661">
        <v>2355</v>
      </c>
      <c r="W282" s="662">
        <f>+SUMIF(SYS_cliente!$F$5:$F$1678,'BCE ABREVIADO'!V282,SYS_cliente!$I$5:$I$1678)</f>
        <v>0</v>
      </c>
      <c r="X282" s="702"/>
      <c r="Z282" s="666"/>
      <c r="AA282" s="661">
        <v>1460</v>
      </c>
      <c r="AB282" s="672">
        <f>+SUMIF(SYS_cliente!$F$5:$F$1678,'BCE ABREVIADO'!AA282,SYS_cliente!$I$5:$I$1678)</f>
        <v>0</v>
      </c>
    </row>
    <row r="283" spans="22:28" ht="13.8">
      <c r="V283" s="661">
        <v>2356</v>
      </c>
      <c r="W283" s="662">
        <f>+SUMIF(SYS_cliente!$F$5:$F$1678,'BCE ABREVIADO'!V283,SYS_cliente!$I$5:$I$1678)</f>
        <v>0</v>
      </c>
      <c r="X283" s="702"/>
      <c r="Z283" s="666"/>
      <c r="AA283" s="661">
        <v>1461</v>
      </c>
      <c r="AB283" s="672">
        <f>+SUMIF(SYS_cliente!$F$5:$F$1678,'BCE ABREVIADO'!AA283,SYS_cliente!$I$5:$I$1678)</f>
        <v>0</v>
      </c>
    </row>
    <row r="284" spans="22:28" ht="13.8">
      <c r="V284" s="661">
        <v>2357</v>
      </c>
      <c r="W284" s="662">
        <f>+SUMIF(SYS_cliente!$F$5:$F$1678,'BCE ABREVIADO'!V284,SYS_cliente!$I$5:$I$1678)</f>
        <v>0</v>
      </c>
      <c r="X284" s="702"/>
      <c r="Z284" s="666"/>
      <c r="AA284" s="661">
        <v>1462</v>
      </c>
      <c r="AB284" s="672">
        <f>+SUMIF(SYS_cliente!$F$5:$F$1678,'BCE ABREVIADO'!AA284,SYS_cliente!$I$5:$I$1678)</f>
        <v>0</v>
      </c>
    </row>
    <row r="285" spans="22:28" ht="13.8">
      <c r="V285" s="661">
        <v>2358</v>
      </c>
      <c r="W285" s="662">
        <f>+SUMIF(SYS_cliente!$F$5:$F$1678,'BCE ABREVIADO'!V285,SYS_cliente!$I$5:$I$1678)</f>
        <v>0</v>
      </c>
      <c r="X285" s="702"/>
      <c r="Z285" s="666"/>
      <c r="AA285" s="661">
        <v>1463</v>
      </c>
      <c r="AB285" s="672">
        <f>+SUMIF(SYS_cliente!$F$5:$F$1678,'BCE ABREVIADO'!AA285,SYS_cliente!$I$5:$I$1678)</f>
        <v>0</v>
      </c>
    </row>
    <row r="286" spans="22:28" ht="13.8">
      <c r="V286" s="661">
        <v>2359</v>
      </c>
      <c r="W286" s="662">
        <f>+SUMIF(SYS_cliente!$F$5:$F$1678,'BCE ABREVIADO'!V286,SYS_cliente!$I$5:$I$1678)</f>
        <v>0</v>
      </c>
      <c r="X286" s="702"/>
      <c r="Z286" s="666"/>
      <c r="AA286" s="661">
        <v>1464</v>
      </c>
      <c r="AB286" s="672">
        <f>+SUMIF(SYS_cliente!$F$5:$F$1678,'BCE ABREVIADO'!AA286,SYS_cliente!$I$5:$I$1678)</f>
        <v>0</v>
      </c>
    </row>
    <row r="287" spans="22:28" ht="13.8">
      <c r="V287" s="661">
        <v>2360</v>
      </c>
      <c r="W287" s="662">
        <f>+SUMIF(SYS_cliente!$F$5:$F$1678,'BCE ABREVIADO'!V287,SYS_cliente!$I$5:$I$1678)</f>
        <v>0</v>
      </c>
      <c r="X287" s="702"/>
      <c r="Z287" s="666"/>
      <c r="AA287" s="661">
        <v>1465</v>
      </c>
      <c r="AB287" s="672">
        <f>+SUMIF(SYS_cliente!$F$5:$F$1678,'BCE ABREVIADO'!AA287,SYS_cliente!$I$5:$I$1678)</f>
        <v>0</v>
      </c>
    </row>
    <row r="288" spans="22:28" ht="13.8">
      <c r="V288" s="661">
        <v>2361</v>
      </c>
      <c r="W288" s="662">
        <f>+SUMIF(SYS_cliente!$F$5:$F$1678,'BCE ABREVIADO'!V288,SYS_cliente!$I$5:$I$1678)</f>
        <v>0</v>
      </c>
      <c r="X288" s="702"/>
      <c r="Z288" s="666"/>
      <c r="AA288" s="661">
        <v>1466</v>
      </c>
      <c r="AB288" s="672">
        <f>+SUMIF(SYS_cliente!$F$5:$F$1678,'BCE ABREVIADO'!AA288,SYS_cliente!$I$5:$I$1678)</f>
        <v>0</v>
      </c>
    </row>
    <row r="289" spans="22:28" ht="13.8">
      <c r="V289" s="661">
        <v>2362</v>
      </c>
      <c r="W289" s="662">
        <f>+SUMIF(SYS_cliente!$F$5:$F$1678,'BCE ABREVIADO'!V289,SYS_cliente!$I$5:$I$1678)</f>
        <v>0</v>
      </c>
      <c r="X289" s="702"/>
      <c r="Z289" s="666"/>
      <c r="AA289" s="661">
        <v>1467</v>
      </c>
      <c r="AB289" s="672">
        <f>+SUMIF(SYS_cliente!$F$5:$F$1678,'BCE ABREVIADO'!AA289,SYS_cliente!$I$5:$I$1678)</f>
        <v>0</v>
      </c>
    </row>
    <row r="290" spans="22:28" ht="13.8">
      <c r="V290" s="661">
        <v>2363</v>
      </c>
      <c r="W290" s="662">
        <f>+SUMIF(SYS_cliente!$F$5:$F$1678,'BCE ABREVIADO'!V290,SYS_cliente!$I$5:$I$1678)</f>
        <v>0</v>
      </c>
      <c r="X290" s="702"/>
      <c r="Z290" s="666"/>
      <c r="AA290" s="661">
        <v>1468</v>
      </c>
      <c r="AB290" s="672">
        <f>+SUMIF(SYS_cliente!$F$5:$F$1678,'BCE ABREVIADO'!AA290,SYS_cliente!$I$5:$I$1678)</f>
        <v>0</v>
      </c>
    </row>
    <row r="291" spans="22:28" ht="13.8">
      <c r="V291" s="661">
        <v>2364</v>
      </c>
      <c r="W291" s="662">
        <f>+SUMIF(SYS_cliente!$F$5:$F$1678,'BCE ABREVIADO'!V291,SYS_cliente!$I$5:$I$1678)</f>
        <v>0</v>
      </c>
      <c r="X291" s="702"/>
      <c r="Z291" s="666"/>
      <c r="AA291" s="661">
        <v>1469</v>
      </c>
      <c r="AB291" s="672">
        <f>+SUMIF(SYS_cliente!$F$5:$F$1678,'BCE ABREVIADO'!AA291,SYS_cliente!$I$5:$I$1678)</f>
        <v>0</v>
      </c>
    </row>
    <row r="292" spans="22:28" ht="13.8">
      <c r="V292" s="661">
        <v>2365</v>
      </c>
      <c r="W292" s="662">
        <f>+SUMIF(SYS_cliente!$F$5:$F$1678,'BCE ABREVIADO'!V292,SYS_cliente!$I$5:$I$1678)</f>
        <v>0</v>
      </c>
      <c r="X292" s="702"/>
      <c r="Z292" s="666" t="s">
        <v>151</v>
      </c>
      <c r="AA292" s="653" t="s">
        <v>81</v>
      </c>
      <c r="AB292" s="667">
        <f>SUM(AB293:AB332)</f>
        <v>0</v>
      </c>
    </row>
    <row r="293" spans="22:28" ht="13.8">
      <c r="V293" s="661">
        <v>2366</v>
      </c>
      <c r="W293" s="662">
        <f>+SUMIF(SYS_cliente!$F$5:$F$1678,'BCE ABREVIADO'!V293,SYS_cliente!$I$5:$I$1678)</f>
        <v>0</v>
      </c>
      <c r="X293" s="702"/>
      <c r="Z293" s="666"/>
      <c r="AA293" s="661">
        <v>1410</v>
      </c>
      <c r="AB293" s="672">
        <f>+SUMIF(SYS_cliente!$F$5:$F$1678,'BCE ABREVIADO'!AA293,SYS_cliente!$I$5:$I$1678)</f>
        <v>0</v>
      </c>
    </row>
    <row r="294" spans="22:28" ht="13.8">
      <c r="V294" s="661">
        <v>2367</v>
      </c>
      <c r="W294" s="662">
        <f>+SUMIF(SYS_cliente!$F$5:$F$1678,'BCE ABREVIADO'!V294,SYS_cliente!$I$5:$I$1678)</f>
        <v>0</v>
      </c>
      <c r="X294" s="702"/>
      <c r="Z294" s="666"/>
      <c r="AA294" s="661">
        <v>1411</v>
      </c>
      <c r="AB294" s="672">
        <f>+SUMIF(SYS_cliente!$F$5:$F$1678,'BCE ABREVIADO'!AA294,SYS_cliente!$I$5:$I$1678)</f>
        <v>0</v>
      </c>
    </row>
    <row r="295" spans="22:28" ht="13.8">
      <c r="V295" s="661">
        <v>2368</v>
      </c>
      <c r="W295" s="662">
        <f>+SUMIF(SYS_cliente!$F$5:$F$1678,'BCE ABREVIADO'!V295,SYS_cliente!$I$5:$I$1678)</f>
        <v>0</v>
      </c>
      <c r="X295" s="702"/>
      <c r="Z295" s="666"/>
      <c r="AA295" s="661">
        <v>1412</v>
      </c>
      <c r="AB295" s="672">
        <f>+SUMIF(SYS_cliente!$F$5:$F$1678,'BCE ABREVIADO'!AA295,SYS_cliente!$I$5:$I$1678)</f>
        <v>0</v>
      </c>
    </row>
    <row r="296" spans="22:28" ht="13.8">
      <c r="V296" s="661">
        <v>2369</v>
      </c>
      <c r="W296" s="662">
        <f>+SUMIF(SYS_cliente!$F$5:$F$1678,'BCE ABREVIADO'!V296,SYS_cliente!$I$5:$I$1678)</f>
        <v>0</v>
      </c>
      <c r="X296" s="702"/>
      <c r="Z296" s="666"/>
      <c r="AA296" s="661">
        <v>1413</v>
      </c>
      <c r="AB296" s="672">
        <f>+SUMIF(SYS_cliente!$F$5:$F$1678,'BCE ABREVIADO'!AA296,SYS_cliente!$I$5:$I$1678)</f>
        <v>0</v>
      </c>
    </row>
    <row r="297" spans="22:28" ht="13.8">
      <c r="V297" s="661">
        <v>2370</v>
      </c>
      <c r="W297" s="662">
        <f>+SUMIF(SYS_cliente!$F$5:$F$1678,'BCE ABREVIADO'!V297,SYS_cliente!$I$5:$I$1678)</f>
        <v>0</v>
      </c>
      <c r="X297" s="702"/>
      <c r="Z297" s="666"/>
      <c r="AA297" s="661">
        <v>1414</v>
      </c>
      <c r="AB297" s="672">
        <f>+SUMIF(SYS_cliente!$F$5:$F$1678,'BCE ABREVIADO'!AA297,SYS_cliente!$I$5:$I$1678)</f>
        <v>0</v>
      </c>
    </row>
    <row r="298" spans="22:28" ht="13.8">
      <c r="V298" s="661">
        <v>2371</v>
      </c>
      <c r="W298" s="662">
        <f>+SUMIF(SYS_cliente!$F$5:$F$1678,'BCE ABREVIADO'!V298,SYS_cliente!$I$5:$I$1678)</f>
        <v>0</v>
      </c>
      <c r="X298" s="702"/>
      <c r="Z298" s="666"/>
      <c r="AA298" s="661">
        <v>1415</v>
      </c>
      <c r="AB298" s="672">
        <f>+SUMIF(SYS_cliente!$F$5:$F$1678,'BCE ABREVIADO'!AA298,SYS_cliente!$I$5:$I$1678)</f>
        <v>0</v>
      </c>
    </row>
    <row r="299" spans="22:28" ht="13.8">
      <c r="V299" s="661">
        <v>2372</v>
      </c>
      <c r="W299" s="662">
        <f>+SUMIF(SYS_cliente!$F$5:$F$1678,'BCE ABREVIADO'!V299,SYS_cliente!$I$5:$I$1678)</f>
        <v>0</v>
      </c>
      <c r="X299" s="702"/>
      <c r="Z299" s="666"/>
      <c r="AA299" s="661">
        <v>1416</v>
      </c>
      <c r="AB299" s="672">
        <f>+SUMIF(SYS_cliente!$F$5:$F$1678,'BCE ABREVIADO'!AA299,SYS_cliente!$I$5:$I$1678)</f>
        <v>0</v>
      </c>
    </row>
    <row r="300" spans="22:28" ht="13.8">
      <c r="V300" s="661">
        <v>2373</v>
      </c>
      <c r="W300" s="662">
        <f>+SUMIF(SYS_cliente!$F$5:$F$1678,'BCE ABREVIADO'!V300,SYS_cliente!$I$5:$I$1678)</f>
        <v>0</v>
      </c>
      <c r="X300" s="702"/>
      <c r="Z300" s="666"/>
      <c r="AA300" s="661">
        <v>1417</v>
      </c>
      <c r="AB300" s="672">
        <f>+SUMIF(SYS_cliente!$F$5:$F$1678,'BCE ABREVIADO'!AA300,SYS_cliente!$I$5:$I$1678)</f>
        <v>0</v>
      </c>
    </row>
    <row r="301" spans="22:28" ht="13.8">
      <c r="V301" s="661">
        <v>2374</v>
      </c>
      <c r="W301" s="662">
        <f>+SUMIF(SYS_cliente!$F$5:$F$1678,'BCE ABREVIADO'!V301,SYS_cliente!$I$5:$I$1678)</f>
        <v>0</v>
      </c>
      <c r="X301" s="702"/>
      <c r="Z301" s="666"/>
      <c r="AA301" s="661">
        <v>1418</v>
      </c>
      <c r="AB301" s="672">
        <f>+SUMIF(SYS_cliente!$F$5:$F$1678,'BCE ABREVIADO'!AA301,SYS_cliente!$I$5:$I$1678)</f>
        <v>0</v>
      </c>
    </row>
    <row r="302" spans="22:28" ht="13.8">
      <c r="V302" s="661">
        <v>2375</v>
      </c>
      <c r="W302" s="662">
        <f>+SUMIF(SYS_cliente!$F$5:$F$1678,'BCE ABREVIADO'!V302,SYS_cliente!$I$5:$I$1678)</f>
        <v>0</v>
      </c>
      <c r="X302" s="702"/>
      <c r="Z302" s="666"/>
      <c r="AA302" s="661">
        <v>1419</v>
      </c>
      <c r="AB302" s="672">
        <f>+SUMIF(SYS_cliente!$F$5:$F$1678,'BCE ABREVIADO'!AA302,SYS_cliente!$I$5:$I$1678)</f>
        <v>0</v>
      </c>
    </row>
    <row r="303" spans="22:28" ht="13.8">
      <c r="V303" s="661">
        <v>2376</v>
      </c>
      <c r="W303" s="662">
        <f>+SUMIF(SYS_cliente!$F$5:$F$1678,'BCE ABREVIADO'!V303,SYS_cliente!$I$5:$I$1678)</f>
        <v>0</v>
      </c>
      <c r="X303" s="702"/>
      <c r="Z303" s="666"/>
      <c r="AA303" s="661">
        <v>1420</v>
      </c>
      <c r="AB303" s="672">
        <f>+SUMIF(SYS_cliente!$F$5:$F$1678,'BCE ABREVIADO'!AA303,SYS_cliente!$I$5:$I$1678)</f>
        <v>0</v>
      </c>
    </row>
    <row r="304" spans="22:28" ht="13.8">
      <c r="V304" s="661">
        <v>2377</v>
      </c>
      <c r="W304" s="662">
        <f>+SUMIF(SYS_cliente!$F$5:$F$1678,'BCE ABREVIADO'!V304,SYS_cliente!$I$5:$I$1678)</f>
        <v>0</v>
      </c>
      <c r="X304" s="702"/>
      <c r="Z304" s="666"/>
      <c r="AA304" s="661">
        <v>1421</v>
      </c>
      <c r="AB304" s="672">
        <f>+SUMIF(SYS_cliente!$F$5:$F$1678,'BCE ABREVIADO'!AA304,SYS_cliente!$I$5:$I$1678)</f>
        <v>0</v>
      </c>
    </row>
    <row r="305" spans="22:28" ht="13.8">
      <c r="V305" s="661">
        <v>2378</v>
      </c>
      <c r="W305" s="662">
        <f>+SUMIF(SYS_cliente!$F$5:$F$1678,'BCE ABREVIADO'!V305,SYS_cliente!$I$5:$I$1678)</f>
        <v>0</v>
      </c>
      <c r="X305" s="702"/>
      <c r="Z305" s="666"/>
      <c r="AA305" s="661">
        <v>1422</v>
      </c>
      <c r="AB305" s="672">
        <f>+SUMIF(SYS_cliente!$F$5:$F$1678,'BCE ABREVIADO'!AA305,SYS_cliente!$I$5:$I$1678)</f>
        <v>0</v>
      </c>
    </row>
    <row r="306" spans="22:28" ht="13.8">
      <c r="V306" s="661">
        <v>2379</v>
      </c>
      <c r="W306" s="662">
        <f>+SUMIF(SYS_cliente!$F$5:$F$1678,'BCE ABREVIADO'!V306,SYS_cliente!$I$5:$I$1678)</f>
        <v>0</v>
      </c>
      <c r="X306" s="702"/>
      <c r="Z306" s="666"/>
      <c r="AA306" s="661">
        <v>1423</v>
      </c>
      <c r="AB306" s="672">
        <f>+SUMIF(SYS_cliente!$F$5:$F$1678,'BCE ABREVIADO'!AA306,SYS_cliente!$I$5:$I$1678)</f>
        <v>0</v>
      </c>
    </row>
    <row r="307" spans="22:28" ht="13.8">
      <c r="V307" s="661">
        <v>2380</v>
      </c>
      <c r="W307" s="662">
        <f>+SUMIF(SYS_cliente!$F$5:$F$1678,'BCE ABREVIADO'!V307,SYS_cliente!$I$5:$I$1678)</f>
        <v>0</v>
      </c>
      <c r="X307" s="702"/>
      <c r="Z307" s="666"/>
      <c r="AA307" s="661">
        <v>1424</v>
      </c>
      <c r="AB307" s="672">
        <f>+SUMIF(SYS_cliente!$F$5:$F$1678,'BCE ABREVIADO'!AA307,SYS_cliente!$I$5:$I$1678)</f>
        <v>0</v>
      </c>
    </row>
    <row r="308" spans="22:28" ht="13.8">
      <c r="V308" s="661">
        <v>2381</v>
      </c>
      <c r="W308" s="662">
        <f>+SUMIF(SYS_cliente!$F$5:$F$1678,'BCE ABREVIADO'!V308,SYS_cliente!$I$5:$I$1678)</f>
        <v>0</v>
      </c>
      <c r="X308" s="702"/>
      <c r="Z308" s="666"/>
      <c r="AA308" s="661">
        <v>1425</v>
      </c>
      <c r="AB308" s="672">
        <f>+SUMIF(SYS_cliente!$F$5:$F$1678,'BCE ABREVIADO'!AA308,SYS_cliente!$I$5:$I$1678)</f>
        <v>0</v>
      </c>
    </row>
    <row r="309" spans="22:28" ht="13.8">
      <c r="V309" s="661">
        <v>2382</v>
      </c>
      <c r="W309" s="662">
        <f>+SUMIF(SYS_cliente!$F$5:$F$1678,'BCE ABREVIADO'!V309,SYS_cliente!$I$5:$I$1678)</f>
        <v>0</v>
      </c>
      <c r="X309" s="702"/>
      <c r="Z309" s="666"/>
      <c r="AA309" s="661">
        <v>1426</v>
      </c>
      <c r="AB309" s="672">
        <f>+SUMIF(SYS_cliente!$F$5:$F$1678,'BCE ABREVIADO'!AA309,SYS_cliente!$I$5:$I$1678)</f>
        <v>0</v>
      </c>
    </row>
    <row r="310" spans="22:28" ht="13.8">
      <c r="V310" s="661">
        <v>2383</v>
      </c>
      <c r="W310" s="662">
        <f>+SUMIF(SYS_cliente!$F$5:$F$1678,'BCE ABREVIADO'!V310,SYS_cliente!$I$5:$I$1678)</f>
        <v>0</v>
      </c>
      <c r="X310" s="702"/>
      <c r="Z310" s="666"/>
      <c r="AA310" s="661">
        <v>1427</v>
      </c>
      <c r="AB310" s="672">
        <f>+SUMIF(SYS_cliente!$F$5:$F$1678,'BCE ABREVIADO'!AA310,SYS_cliente!$I$5:$I$1678)</f>
        <v>0</v>
      </c>
    </row>
    <row r="311" spans="22:28" ht="13.8">
      <c r="V311" s="661">
        <v>2384</v>
      </c>
      <c r="W311" s="662">
        <f>+SUMIF(SYS_cliente!$F$5:$F$1678,'BCE ABREVIADO'!V311,SYS_cliente!$I$5:$I$1678)</f>
        <v>0</v>
      </c>
      <c r="X311" s="702"/>
      <c r="Z311" s="666"/>
      <c r="AA311" s="661">
        <v>1428</v>
      </c>
      <c r="AB311" s="672">
        <f>+SUMIF(SYS_cliente!$F$5:$F$1678,'BCE ABREVIADO'!AA311,SYS_cliente!$I$5:$I$1678)</f>
        <v>0</v>
      </c>
    </row>
    <row r="312" spans="22:28" ht="13.8">
      <c r="V312" s="661">
        <v>2385</v>
      </c>
      <c r="W312" s="662">
        <f>+SUMIF(SYS_cliente!$F$5:$F$1678,'BCE ABREVIADO'!V312,SYS_cliente!$I$5:$I$1678)</f>
        <v>0</v>
      </c>
      <c r="X312" s="702"/>
      <c r="Z312" s="666"/>
      <c r="AA312" s="661">
        <v>1429</v>
      </c>
      <c r="AB312" s="672">
        <f>+SUMIF(SYS_cliente!$F$5:$F$1678,'BCE ABREVIADO'!AA312,SYS_cliente!$I$5:$I$1678)</f>
        <v>0</v>
      </c>
    </row>
    <row r="313" spans="22:28" ht="13.8">
      <c r="V313" s="661">
        <v>2386</v>
      </c>
      <c r="W313" s="662">
        <f>+SUMIF(SYS_cliente!$F$5:$F$1678,'BCE ABREVIADO'!V313,SYS_cliente!$I$5:$I$1678)</f>
        <v>0</v>
      </c>
      <c r="X313" s="702"/>
      <c r="Z313" s="666"/>
      <c r="AA313" s="661">
        <v>1430</v>
      </c>
      <c r="AB313" s="672">
        <f>+SUMIF(SYS_cliente!$F$5:$F$1678,'BCE ABREVIADO'!AA313,SYS_cliente!$I$5:$I$1678)</f>
        <v>0</v>
      </c>
    </row>
    <row r="314" spans="22:28" ht="13.8">
      <c r="V314" s="661">
        <v>2387</v>
      </c>
      <c r="W314" s="662">
        <f>+SUMIF(SYS_cliente!$F$5:$F$1678,'BCE ABREVIADO'!V314,SYS_cliente!$I$5:$I$1678)</f>
        <v>0</v>
      </c>
      <c r="X314" s="702"/>
      <c r="Z314" s="666"/>
      <c r="AA314" s="661">
        <v>1431</v>
      </c>
      <c r="AB314" s="672">
        <f>+SUMIF(SYS_cliente!$F$5:$F$1678,'BCE ABREVIADO'!AA314,SYS_cliente!$I$5:$I$1678)</f>
        <v>0</v>
      </c>
    </row>
    <row r="315" spans="22:28" ht="13.8">
      <c r="V315" s="661">
        <v>2388</v>
      </c>
      <c r="W315" s="662">
        <f>+SUMIF(SYS_cliente!$F$5:$F$1678,'BCE ABREVIADO'!V315,SYS_cliente!$I$5:$I$1678)</f>
        <v>0</v>
      </c>
      <c r="X315" s="702"/>
      <c r="Z315" s="666"/>
      <c r="AA315" s="661">
        <v>1432</v>
      </c>
      <c r="AB315" s="672">
        <f>+SUMIF(SYS_cliente!$F$5:$F$1678,'BCE ABREVIADO'!AA315,SYS_cliente!$I$5:$I$1678)</f>
        <v>0</v>
      </c>
    </row>
    <row r="316" spans="22:28" ht="13.8">
      <c r="V316" s="661">
        <v>2389</v>
      </c>
      <c r="W316" s="662">
        <f>+SUMIF(SYS_cliente!$F$5:$F$1678,'BCE ABREVIADO'!V316,SYS_cliente!$I$5:$I$1678)</f>
        <v>0</v>
      </c>
      <c r="X316" s="702"/>
      <c r="Z316" s="666"/>
      <c r="AA316" s="661">
        <v>1433</v>
      </c>
      <c r="AB316" s="672">
        <f>+SUMIF(SYS_cliente!$F$5:$F$1678,'BCE ABREVIADO'!AA316,SYS_cliente!$I$5:$I$1678)</f>
        <v>0</v>
      </c>
    </row>
    <row r="317" spans="22:28" ht="13.8">
      <c r="V317" s="661">
        <v>2390</v>
      </c>
      <c r="W317" s="662">
        <f>+SUMIF(SYS_cliente!$F$5:$F$1678,'BCE ABREVIADO'!V317,SYS_cliente!$I$5:$I$1678)</f>
        <v>0</v>
      </c>
      <c r="X317" s="702"/>
      <c r="Z317" s="666"/>
      <c r="AA317" s="661">
        <v>1434</v>
      </c>
      <c r="AB317" s="672">
        <f>+SUMIF(SYS_cliente!$F$5:$F$1678,'BCE ABREVIADO'!AA317,SYS_cliente!$I$5:$I$1678)</f>
        <v>0</v>
      </c>
    </row>
    <row r="318" spans="22:28" ht="13.8">
      <c r="V318" s="661">
        <v>2391</v>
      </c>
      <c r="W318" s="662">
        <f>+SUMIF(SYS_cliente!$F$5:$F$1678,'BCE ABREVIADO'!V318,SYS_cliente!$I$5:$I$1678)</f>
        <v>0</v>
      </c>
      <c r="X318" s="702"/>
      <c r="Z318" s="666"/>
      <c r="AA318" s="661">
        <v>1435</v>
      </c>
      <c r="AB318" s="672">
        <f>+SUMIF(SYS_cliente!$F$5:$F$1678,'BCE ABREVIADO'!AA318,SYS_cliente!$I$5:$I$1678)</f>
        <v>0</v>
      </c>
    </row>
    <row r="319" spans="22:28" ht="13.8">
      <c r="V319" s="661">
        <v>2392</v>
      </c>
      <c r="W319" s="662">
        <f>+SUMIF(SYS_cliente!$F$5:$F$1678,'BCE ABREVIADO'!V319,SYS_cliente!$I$5:$I$1678)</f>
        <v>0</v>
      </c>
      <c r="X319" s="702"/>
      <c r="Z319" s="666"/>
      <c r="AA319" s="661">
        <v>1436</v>
      </c>
      <c r="AB319" s="672">
        <f>+SUMIF(SYS_cliente!$F$5:$F$1678,'BCE ABREVIADO'!AA319,SYS_cliente!$I$5:$I$1678)</f>
        <v>0</v>
      </c>
    </row>
    <row r="320" spans="22:28" ht="13.8">
      <c r="V320" s="661">
        <v>2393</v>
      </c>
      <c r="W320" s="662">
        <f>+SUMIF(SYS_cliente!$F$5:$F$1678,'BCE ABREVIADO'!V320,SYS_cliente!$I$5:$I$1678)</f>
        <v>0</v>
      </c>
      <c r="X320" s="702"/>
      <c r="Z320" s="666"/>
      <c r="AA320" s="661">
        <v>1437</v>
      </c>
      <c r="AB320" s="672">
        <f>+SUMIF(SYS_cliente!$F$5:$F$1678,'BCE ABREVIADO'!AA320,SYS_cliente!$I$5:$I$1678)</f>
        <v>0</v>
      </c>
    </row>
    <row r="321" spans="21:28" ht="13.8">
      <c r="V321" s="661">
        <v>2394</v>
      </c>
      <c r="W321" s="662">
        <f>+SUMIF(SYS_cliente!$F$5:$F$1678,'BCE ABREVIADO'!V321,SYS_cliente!$I$5:$I$1678)</f>
        <v>0</v>
      </c>
      <c r="X321" s="702"/>
      <c r="Z321" s="666"/>
      <c r="AA321" s="661">
        <v>1438</v>
      </c>
      <c r="AB321" s="672">
        <f>+SUMIF(SYS_cliente!$F$5:$F$1678,'BCE ABREVIADO'!AA321,SYS_cliente!$I$5:$I$1678)</f>
        <v>0</v>
      </c>
    </row>
    <row r="322" spans="21:28" ht="13.8">
      <c r="V322" s="661">
        <v>2395</v>
      </c>
      <c r="W322" s="662">
        <f>+SUMIF(SYS_cliente!$F$5:$F$1678,'BCE ABREVIADO'!V322,SYS_cliente!$I$5:$I$1678)</f>
        <v>0</v>
      </c>
      <c r="X322" s="702"/>
      <c r="Z322" s="666"/>
      <c r="AA322" s="661">
        <v>1439</v>
      </c>
      <c r="AB322" s="672">
        <f>+SUMIF(SYS_cliente!$F$5:$F$1678,'BCE ABREVIADO'!AA322,SYS_cliente!$I$5:$I$1678)</f>
        <v>0</v>
      </c>
    </row>
    <row r="323" spans="21:28" ht="13.8">
      <c r="V323" s="661">
        <v>2396</v>
      </c>
      <c r="W323" s="662">
        <f>+SUMIF(SYS_cliente!$F$5:$F$1678,'BCE ABREVIADO'!V323,SYS_cliente!$I$5:$I$1678)</f>
        <v>0</v>
      </c>
      <c r="X323" s="702"/>
      <c r="Z323" s="666"/>
      <c r="AA323" s="661">
        <v>1470</v>
      </c>
      <c r="AB323" s="672">
        <f>+SUMIF(SYS_cliente!$F$5:$F$1678,'BCE ABREVIADO'!AA323,SYS_cliente!$I$5:$I$1678)</f>
        <v>0</v>
      </c>
    </row>
    <row r="324" spans="21:28" ht="13.8">
      <c r="V324" s="661">
        <v>2397</v>
      </c>
      <c r="W324" s="662">
        <f>+SUMIF(SYS_cliente!$F$5:$F$1678,'BCE ABREVIADO'!V324,SYS_cliente!$I$5:$I$1678)</f>
        <v>0</v>
      </c>
      <c r="X324" s="702"/>
      <c r="Z324" s="666"/>
      <c r="AA324" s="661">
        <v>1471</v>
      </c>
      <c r="AB324" s="672">
        <f>+SUMIF(SYS_cliente!$F$5:$F$1678,'BCE ABREVIADO'!AA324,SYS_cliente!$I$5:$I$1678)</f>
        <v>0</v>
      </c>
    </row>
    <row r="325" spans="21:28" ht="13.8">
      <c r="V325" s="661">
        <v>2398</v>
      </c>
      <c r="W325" s="662">
        <f>+SUMIF(SYS_cliente!$F$5:$F$1678,'BCE ABREVIADO'!V325,SYS_cliente!$I$5:$I$1678)</f>
        <v>0</v>
      </c>
      <c r="X325" s="702"/>
      <c r="Z325" s="666"/>
      <c r="AA325" s="661">
        <v>1472</v>
      </c>
      <c r="AB325" s="672">
        <f>+SUMIF(SYS_cliente!$F$5:$F$1678,'BCE ABREVIADO'!AA325,SYS_cliente!$I$5:$I$1678)</f>
        <v>0</v>
      </c>
    </row>
    <row r="326" spans="21:28" ht="13.8">
      <c r="V326" s="661">
        <v>2399</v>
      </c>
      <c r="W326" s="662">
        <f>+SUMIF(SYS_cliente!$F$5:$F$1678,'BCE ABREVIADO'!V326,SYS_cliente!$I$5:$I$1678)</f>
        <v>0</v>
      </c>
      <c r="X326" s="702"/>
      <c r="Z326" s="666"/>
      <c r="AA326" s="661">
        <v>1473</v>
      </c>
      <c r="AB326" s="672">
        <f>+SUMIF(SYS_cliente!$F$5:$F$1678,'BCE ABREVIADO'!AA326,SYS_cliente!$I$5:$I$1678)</f>
        <v>0</v>
      </c>
    </row>
    <row r="327" spans="21:28" ht="13.8">
      <c r="V327" s="664" t="s">
        <v>16</v>
      </c>
      <c r="W327" s="699"/>
      <c r="X327" s="702"/>
      <c r="Z327" s="666"/>
      <c r="AA327" s="661">
        <v>1474</v>
      </c>
      <c r="AB327" s="672">
        <f>+SUMIF(SYS_cliente!$F$5:$F$1678,'BCE ABREVIADO'!AA327,SYS_cliente!$I$5:$I$1678)</f>
        <v>0</v>
      </c>
    </row>
    <row r="328" spans="21:28" ht="13.8">
      <c r="U328" s="715" t="s">
        <v>116</v>
      </c>
      <c r="V328" s="653" t="s">
        <v>17</v>
      </c>
      <c r="W328" s="654">
        <f>SUM(W329:W339)</f>
        <v>4595214.4400000004</v>
      </c>
      <c r="X328" s="699"/>
      <c r="Z328" s="666"/>
      <c r="AA328" s="661">
        <v>1475</v>
      </c>
      <c r="AB328" s="672">
        <f>+SUMIF(SYS_cliente!$F$5:$F$1678,'BCE ABREVIADO'!AA328,SYS_cliente!$I$5:$I$1678)</f>
        <v>0</v>
      </c>
    </row>
    <row r="329" spans="21:28" ht="13.8">
      <c r="V329" s="661">
        <v>2200</v>
      </c>
      <c r="W329" s="662">
        <f>+SUMIF(SYS_cliente!$F$5:$F$1678,'BCE ABREVIADO'!V329,SYS_cliente!$I$5:$I$1678)</f>
        <v>4595214.4400000004</v>
      </c>
      <c r="X329" s="702"/>
      <c r="Z329" s="666"/>
      <c r="AA329" s="661">
        <v>1476</v>
      </c>
      <c r="AB329" s="672">
        <f>+SUMIF(SYS_cliente!$F$5:$F$1678,'BCE ABREVIADO'!AA329,SYS_cliente!$I$5:$I$1678)</f>
        <v>0</v>
      </c>
    </row>
    <row r="330" spans="21:28" ht="13.8">
      <c r="V330" s="661">
        <v>2201</v>
      </c>
      <c r="W330" s="662">
        <f>+SUMIF(SYS_cliente!$F$5:$F$1678,'BCE ABREVIADO'!V330,SYS_cliente!$I$5:$I$1678)</f>
        <v>0</v>
      </c>
      <c r="X330" s="702"/>
      <c r="Z330" s="666"/>
      <c r="AA330" s="661">
        <v>1477</v>
      </c>
      <c r="AB330" s="672">
        <f>+SUMIF(SYS_cliente!$F$5:$F$1678,'BCE ABREVIADO'!AA330,SYS_cliente!$I$5:$I$1678)</f>
        <v>0</v>
      </c>
    </row>
    <row r="331" spans="21:28" ht="13.8">
      <c r="V331" s="661">
        <v>2202</v>
      </c>
      <c r="W331" s="662">
        <f>+SUMIF(SYS_cliente!$F$5:$F$1678,'BCE ABREVIADO'!V331,SYS_cliente!$I$5:$I$1678)</f>
        <v>0</v>
      </c>
      <c r="X331" s="702"/>
      <c r="Z331" s="666"/>
      <c r="AA331" s="661">
        <v>1478</v>
      </c>
      <c r="AB331" s="672">
        <f>+SUMIF(SYS_cliente!$F$5:$F$1678,'BCE ABREVIADO'!AA331,SYS_cliente!$I$5:$I$1678)</f>
        <v>0</v>
      </c>
    </row>
    <row r="332" spans="21:28" ht="13.8">
      <c r="V332" s="661">
        <v>2203</v>
      </c>
      <c r="W332" s="662">
        <f>+SUMIF(SYS_cliente!$F$5:$F$1678,'BCE ABREVIADO'!V332,SYS_cliente!$I$5:$I$1678)</f>
        <v>0</v>
      </c>
      <c r="X332" s="702"/>
      <c r="Z332" s="666"/>
      <c r="AA332" s="661">
        <v>1479</v>
      </c>
      <c r="AB332" s="672">
        <f>+SUMIF(SYS_cliente!$F$5:$F$1678,'BCE ABREVIADO'!AA332,SYS_cliente!$I$5:$I$1678)</f>
        <v>0</v>
      </c>
    </row>
    <row r="333" spans="21:28" ht="13.8">
      <c r="V333" s="661">
        <v>2204</v>
      </c>
      <c r="W333" s="662">
        <f>+SUMIF(SYS_cliente!$F$5:$F$1678,'BCE ABREVIADO'!V333,SYS_cliente!$I$5:$I$1678)</f>
        <v>0</v>
      </c>
      <c r="X333" s="702"/>
      <c r="Z333" s="666"/>
      <c r="AA333" s="664" t="s">
        <v>82</v>
      </c>
      <c r="AB333" s="642"/>
    </row>
    <row r="334" spans="21:28" ht="13.8">
      <c r="V334" s="661">
        <v>2205</v>
      </c>
      <c r="W334" s="662">
        <f>+SUMIF(SYS_cliente!$F$5:$F$1678,'BCE ABREVIADO'!V334,SYS_cliente!$I$5:$I$1678)</f>
        <v>0</v>
      </c>
      <c r="X334" s="702"/>
      <c r="Z334" s="666" t="s">
        <v>152</v>
      </c>
      <c r="AA334" s="653" t="s">
        <v>83</v>
      </c>
      <c r="AB334" s="667">
        <f>SUM(AB335:AB364)</f>
        <v>0</v>
      </c>
    </row>
    <row r="335" spans="21:28" ht="13.8">
      <c r="V335" s="661">
        <v>2206</v>
      </c>
      <c r="W335" s="662">
        <f>+SUMIF(SYS_cliente!$F$5:$F$1678,'BCE ABREVIADO'!V335,SYS_cliente!$I$5:$I$1678)</f>
        <v>0</v>
      </c>
      <c r="X335" s="702"/>
      <c r="Z335" s="666"/>
      <c r="AA335" s="661">
        <v>1770</v>
      </c>
      <c r="AB335" s="672">
        <f>+SUMIF(SYS_cliente!$F$5:$F$1678,'BCE ABREVIADO'!AA335,SYS_cliente!$I$5:$I$1678)</f>
        <v>0</v>
      </c>
    </row>
    <row r="336" spans="21:28" ht="13.8">
      <c r="V336" s="661">
        <v>2207</v>
      </c>
      <c r="W336" s="662">
        <f>+SUMIF(SYS_cliente!$F$5:$F$1678,'BCE ABREVIADO'!V336,SYS_cliente!$I$5:$I$1678)</f>
        <v>0</v>
      </c>
      <c r="X336" s="702"/>
      <c r="Z336" s="666"/>
      <c r="AA336" s="661">
        <v>1771</v>
      </c>
      <c r="AB336" s="672">
        <f>+SUMIF(SYS_cliente!$F$5:$F$1678,'BCE ABREVIADO'!AA336,SYS_cliente!$I$5:$I$1678)</f>
        <v>0</v>
      </c>
    </row>
    <row r="337" spans="21:28" ht="13.8">
      <c r="V337" s="661">
        <v>2208</v>
      </c>
      <c r="W337" s="662">
        <f>+SUMIF(SYS_cliente!$F$5:$F$1678,'BCE ABREVIADO'!V337,SYS_cliente!$I$5:$I$1678)</f>
        <v>0</v>
      </c>
      <c r="X337" s="702"/>
      <c r="Z337" s="666"/>
      <c r="AA337" s="661">
        <v>1772</v>
      </c>
      <c r="AB337" s="672">
        <f>+SUMIF(SYS_cliente!$F$5:$F$1678,'BCE ABREVIADO'!AA337,SYS_cliente!$I$5:$I$1678)</f>
        <v>0</v>
      </c>
    </row>
    <row r="338" spans="21:28" ht="13.8">
      <c r="V338" s="661">
        <v>2209</v>
      </c>
      <c r="W338" s="662">
        <f>+SUMIF(SYS_cliente!$F$5:$F$1678,'BCE ABREVIADO'!V338,SYS_cliente!$I$5:$I$1678)</f>
        <v>0</v>
      </c>
      <c r="X338" s="702"/>
      <c r="Z338" s="666"/>
      <c r="AA338" s="661">
        <v>1773</v>
      </c>
      <c r="AB338" s="672">
        <f>+SUMIF(SYS_cliente!$F$5:$F$1678,'BCE ABREVIADO'!AA338,SYS_cliente!$I$5:$I$1678)</f>
        <v>0</v>
      </c>
    </row>
    <row r="339" spans="21:28" ht="13.8">
      <c r="V339" s="661">
        <v>2920</v>
      </c>
      <c r="W339" s="662">
        <f>+SUMIF(SYS_cliente!$F$5:$F$1678,'BCE ABREVIADO'!V339,SYS_cliente!$I$5:$I$1678)</f>
        <v>0</v>
      </c>
      <c r="X339" s="702"/>
      <c r="Z339" s="666"/>
      <c r="AA339" s="661">
        <v>1774</v>
      </c>
      <c r="AB339" s="672">
        <f>+SUMIF(SYS_cliente!$F$5:$F$1678,'BCE ABREVIADO'!AA339,SYS_cliente!$I$5:$I$1678)</f>
        <v>0</v>
      </c>
    </row>
    <row r="340" spans="21:28" ht="13.8">
      <c r="U340" s="715" t="s">
        <v>117</v>
      </c>
      <c r="V340" s="653" t="s">
        <v>18</v>
      </c>
      <c r="W340" s="654">
        <f>SUM(W341:W361)</f>
        <v>17690350.210000001</v>
      </c>
      <c r="X340" s="702"/>
      <c r="Z340" s="666"/>
      <c r="AA340" s="661">
        <v>1775</v>
      </c>
      <c r="AB340" s="672">
        <f>+SUMIF(SYS_cliente!$F$5:$F$1678,'BCE ABREVIADO'!AA340,SYS_cliente!$I$5:$I$1678)</f>
        <v>0</v>
      </c>
    </row>
    <row r="341" spans="21:28" ht="13.8">
      <c r="V341" s="661">
        <v>2210</v>
      </c>
      <c r="W341" s="662">
        <f>+SUMIF(SYS_cliente!$F$5:$F$1678,'BCE ABREVIADO'!V341,SYS_cliente!$I$5:$I$1678)</f>
        <v>3101836.77</v>
      </c>
      <c r="X341" s="702"/>
      <c r="Z341" s="666"/>
      <c r="AA341" s="661">
        <v>1776</v>
      </c>
      <c r="AB341" s="672">
        <f>+SUMIF(SYS_cliente!$F$5:$F$1678,'BCE ABREVIADO'!AA341,SYS_cliente!$I$5:$I$1678)</f>
        <v>0</v>
      </c>
    </row>
    <row r="342" spans="21:28" ht="13.8">
      <c r="V342" s="661">
        <v>2211</v>
      </c>
      <c r="W342" s="662">
        <f>+SUMIF(SYS_cliente!$F$5:$F$1678,'BCE ABREVIADO'!V342,SYS_cliente!$I$5:$I$1678)</f>
        <v>15488071.93</v>
      </c>
      <c r="X342" s="702"/>
      <c r="Z342" s="666"/>
      <c r="AA342" s="661">
        <v>1777</v>
      </c>
      <c r="AB342" s="672">
        <f>+SUMIF(SYS_cliente!$F$5:$F$1678,'BCE ABREVIADO'!AA342,SYS_cliente!$I$5:$I$1678)</f>
        <v>0</v>
      </c>
    </row>
    <row r="343" spans="21:28" ht="13.8">
      <c r="V343" s="661">
        <v>2212</v>
      </c>
      <c r="W343" s="662">
        <f>+SUMIF(SYS_cliente!$F$5:$F$1678,'BCE ABREVIADO'!V343,SYS_cliente!$I$5:$I$1678)</f>
        <v>0</v>
      </c>
      <c r="X343" s="702"/>
      <c r="Z343" s="666"/>
      <c r="AA343" s="661">
        <v>1778</v>
      </c>
      <c r="AB343" s="672">
        <f>+SUMIF(SYS_cliente!$F$5:$F$1678,'BCE ABREVIADO'!AA343,SYS_cliente!$I$5:$I$1678)</f>
        <v>0</v>
      </c>
    </row>
    <row r="344" spans="21:28" ht="13.8">
      <c r="V344" s="661">
        <v>2213</v>
      </c>
      <c r="W344" s="662">
        <f>+SUMIF(SYS_cliente!$F$5:$F$1678,'BCE ABREVIADO'!V344,SYS_cliente!$I$5:$I$1678)</f>
        <v>0</v>
      </c>
      <c r="X344" s="702"/>
      <c r="Z344" s="666"/>
      <c r="AA344" s="661">
        <v>1779</v>
      </c>
      <c r="AB344" s="672">
        <f>+SUMIF(SYS_cliente!$F$5:$F$1678,'BCE ABREVIADO'!AA344,SYS_cliente!$I$5:$I$1678)</f>
        <v>0</v>
      </c>
    </row>
    <row r="345" spans="21:28" ht="13.8">
      <c r="V345" s="661">
        <v>2214</v>
      </c>
      <c r="W345" s="662">
        <f>+SUMIF(SYS_cliente!$F$5:$F$1678,'BCE ABREVIADO'!V345,SYS_cliente!$I$5:$I$1678)</f>
        <v>0</v>
      </c>
      <c r="X345" s="702"/>
      <c r="Z345" s="666"/>
      <c r="AA345" s="661">
        <v>1780</v>
      </c>
      <c r="AB345" s="672">
        <f>+SUMIF(SYS_cliente!$F$5:$F$1678,'BCE ABREVIADO'!AA345,SYS_cliente!$I$5:$I$1678)</f>
        <v>0</v>
      </c>
    </row>
    <row r="346" spans="21:28" ht="13.8">
      <c r="V346" s="661">
        <v>2215</v>
      </c>
      <c r="W346" s="662">
        <f>+SUMIF(SYS_cliente!$F$5:$F$1678,'BCE ABREVIADO'!V346,SYS_cliente!$I$5:$I$1678)</f>
        <v>0</v>
      </c>
      <c r="X346" s="702"/>
      <c r="Z346" s="666"/>
      <c r="AA346" s="661">
        <v>1781</v>
      </c>
      <c r="AB346" s="672">
        <f>+SUMIF(SYS_cliente!$F$5:$F$1678,'BCE ABREVIADO'!AA346,SYS_cliente!$I$5:$I$1678)</f>
        <v>0</v>
      </c>
    </row>
    <row r="347" spans="21:28" ht="13.8">
      <c r="V347" s="661">
        <v>2216</v>
      </c>
      <c r="W347" s="662">
        <f>+SUMIF(SYS_cliente!$F$5:$F$1678,'BCE ABREVIADO'!V347,SYS_cliente!$I$5:$I$1678)</f>
        <v>0</v>
      </c>
      <c r="X347" s="702"/>
      <c r="Z347" s="666"/>
      <c r="AA347" s="661">
        <v>1782</v>
      </c>
      <c r="AB347" s="672">
        <f>+SUMIF(SYS_cliente!$F$5:$F$1678,'BCE ABREVIADO'!AA347,SYS_cliente!$I$5:$I$1678)</f>
        <v>0</v>
      </c>
    </row>
    <row r="348" spans="21:28" ht="13.8">
      <c r="V348" s="661">
        <v>2217</v>
      </c>
      <c r="W348" s="662">
        <f>+SUMIF(SYS_cliente!$F$5:$F$1678,'BCE ABREVIADO'!V348,SYS_cliente!$I$5:$I$1678)</f>
        <v>0</v>
      </c>
      <c r="X348" s="702"/>
      <c r="Z348" s="666"/>
      <c r="AA348" s="661">
        <v>1783</v>
      </c>
      <c r="AB348" s="672">
        <f>+SUMIF(SYS_cliente!$F$5:$F$1678,'BCE ABREVIADO'!AA348,SYS_cliente!$I$5:$I$1678)</f>
        <v>0</v>
      </c>
    </row>
    <row r="349" spans="21:28" ht="13.8">
      <c r="V349" s="661">
        <v>2218</v>
      </c>
      <c r="W349" s="662">
        <f>+SUMIF(SYS_cliente!$F$5:$F$1678,'BCE ABREVIADO'!V349,SYS_cliente!$I$5:$I$1678)</f>
        <v>0</v>
      </c>
      <c r="X349" s="702"/>
      <c r="Z349" s="666"/>
      <c r="AA349" s="661">
        <v>1784</v>
      </c>
      <c r="AB349" s="672">
        <f>+SUMIF(SYS_cliente!$F$5:$F$1678,'BCE ABREVIADO'!AA349,SYS_cliente!$I$5:$I$1678)</f>
        <v>0</v>
      </c>
    </row>
    <row r="350" spans="21:28" ht="13.8">
      <c r="V350" s="661">
        <v>2219</v>
      </c>
      <c r="W350" s="662">
        <f>+SUMIF(SYS_cliente!$F$5:$F$1678,'BCE ABREVIADO'!V350,SYS_cliente!$I$5:$I$1678)</f>
        <v>0</v>
      </c>
      <c r="X350" s="702"/>
      <c r="Z350" s="666"/>
      <c r="AA350" s="661">
        <v>1785</v>
      </c>
      <c r="AB350" s="672">
        <f>+SUMIF(SYS_cliente!$F$5:$F$1678,'BCE ABREVIADO'!AA350,SYS_cliente!$I$5:$I$1678)</f>
        <v>0</v>
      </c>
    </row>
    <row r="351" spans="21:28" ht="13.8">
      <c r="V351" s="661">
        <v>2820</v>
      </c>
      <c r="W351" s="662">
        <f>+SUMIF(SYS_cliente!$F$5:$F$1678,'BCE ABREVIADO'!V351,SYS_cliente!$I$5:$I$1678)</f>
        <v>0</v>
      </c>
      <c r="X351" s="702"/>
      <c r="Z351" s="666"/>
      <c r="AA351" s="661">
        <v>1786</v>
      </c>
      <c r="AB351" s="672">
        <f>+SUMIF(SYS_cliente!$F$5:$F$1678,'BCE ABREVIADO'!AA351,SYS_cliente!$I$5:$I$1678)</f>
        <v>0</v>
      </c>
    </row>
    <row r="352" spans="21:28" ht="13.8">
      <c r="V352" s="661">
        <v>2821</v>
      </c>
      <c r="W352" s="662">
        <f>+SUMIF(SYS_cliente!$F$5:$F$1678,'BCE ABREVIADO'!V352,SYS_cliente!$I$5:$I$1678)</f>
        <v>-899558.49</v>
      </c>
      <c r="X352" s="702"/>
      <c r="Z352" s="666"/>
      <c r="AA352" s="661">
        <v>1787</v>
      </c>
      <c r="AB352" s="672">
        <f>+SUMIF(SYS_cliente!$F$5:$F$1678,'BCE ABREVIADO'!AA352,SYS_cliente!$I$5:$I$1678)</f>
        <v>0</v>
      </c>
    </row>
    <row r="353" spans="21:28" ht="13.8">
      <c r="V353" s="661">
        <v>2822</v>
      </c>
      <c r="W353" s="662">
        <f>+SUMIF(SYS_cliente!$F$5:$F$1678,'BCE ABREVIADO'!V353,SYS_cliente!$I$5:$I$1678)</f>
        <v>0</v>
      </c>
      <c r="X353" s="699"/>
      <c r="Z353" s="666"/>
      <c r="AA353" s="661">
        <v>1788</v>
      </c>
      <c r="AB353" s="672">
        <f>+SUMIF(SYS_cliente!$F$5:$F$1678,'BCE ABREVIADO'!AA353,SYS_cliente!$I$5:$I$1678)</f>
        <v>0</v>
      </c>
    </row>
    <row r="354" spans="21:28" ht="13.8">
      <c r="V354" s="661">
        <v>2823</v>
      </c>
      <c r="W354" s="662">
        <f>+SUMIF(SYS_cliente!$F$5:$F$1678,'BCE ABREVIADO'!V354,SYS_cliente!$I$5:$I$1678)</f>
        <v>0</v>
      </c>
      <c r="X354" s="702"/>
      <c r="Z354" s="666"/>
      <c r="AA354" s="661">
        <v>1789</v>
      </c>
      <c r="AB354" s="672">
        <f>+SUMIF(SYS_cliente!$F$5:$F$1678,'BCE ABREVIADO'!AA354,SYS_cliente!$I$5:$I$1678)</f>
        <v>0</v>
      </c>
    </row>
    <row r="355" spans="21:28" ht="13.8">
      <c r="V355" s="661">
        <v>2824</v>
      </c>
      <c r="W355" s="662">
        <f>+SUMIF(SYS_cliente!$F$5:$F$1678,'BCE ABREVIADO'!V355,SYS_cliente!$I$5:$I$1678)</f>
        <v>0</v>
      </c>
      <c r="X355" s="702"/>
      <c r="Z355" s="666"/>
      <c r="AA355" s="661">
        <v>1790</v>
      </c>
      <c r="AB355" s="672">
        <f>+SUMIF(SYS_cliente!$F$5:$F$1678,'BCE ABREVIADO'!AA355,SYS_cliente!$I$5:$I$1678)</f>
        <v>0</v>
      </c>
    </row>
    <row r="356" spans="21:28" ht="13.8">
      <c r="V356" s="661">
        <v>2825</v>
      </c>
      <c r="W356" s="662">
        <f>+SUMIF(SYS_cliente!$F$5:$F$1678,'BCE ABREVIADO'!V356,SYS_cliente!$I$5:$I$1678)</f>
        <v>0</v>
      </c>
      <c r="X356" s="702"/>
      <c r="Z356" s="666"/>
      <c r="AA356" s="661">
        <v>1791</v>
      </c>
      <c r="AB356" s="672">
        <f>+SUMIF(SYS_cliente!$F$5:$F$1678,'BCE ABREVIADO'!AA356,SYS_cliente!$I$5:$I$1678)</f>
        <v>0</v>
      </c>
    </row>
    <row r="357" spans="21:28" ht="13.8">
      <c r="V357" s="661">
        <v>2826</v>
      </c>
      <c r="W357" s="662">
        <f>+SUMIF(SYS_cliente!$F$5:$F$1678,'BCE ABREVIADO'!V357,SYS_cliente!$I$5:$I$1678)</f>
        <v>0</v>
      </c>
      <c r="X357" s="702"/>
      <c r="Z357" s="666"/>
      <c r="AA357" s="661">
        <v>1792</v>
      </c>
      <c r="AB357" s="672">
        <f>+SUMIF(SYS_cliente!$F$5:$F$1678,'BCE ABREVIADO'!AA357,SYS_cliente!$I$5:$I$1678)</f>
        <v>0</v>
      </c>
    </row>
    <row r="358" spans="21:28" ht="13.8">
      <c r="V358" s="661">
        <v>2827</v>
      </c>
      <c r="W358" s="662">
        <f>+SUMIF(SYS_cliente!$F$5:$F$1678,'BCE ABREVIADO'!V358,SYS_cliente!$I$5:$I$1678)</f>
        <v>0</v>
      </c>
      <c r="X358" s="702"/>
      <c r="Z358" s="666"/>
      <c r="AA358" s="661">
        <v>1793</v>
      </c>
      <c r="AB358" s="672">
        <f>+SUMIF(SYS_cliente!$F$5:$F$1678,'BCE ABREVIADO'!AA358,SYS_cliente!$I$5:$I$1678)</f>
        <v>0</v>
      </c>
    </row>
    <row r="359" spans="21:28" ht="13.8">
      <c r="V359" s="661">
        <v>2828</v>
      </c>
      <c r="W359" s="662">
        <f>+SUMIF(SYS_cliente!$F$5:$F$1678,'BCE ABREVIADO'!V359,SYS_cliente!$I$5:$I$1678)</f>
        <v>0</v>
      </c>
      <c r="X359" s="702"/>
      <c r="Z359" s="666"/>
      <c r="AA359" s="661">
        <v>1794</v>
      </c>
      <c r="AB359" s="672">
        <f>+SUMIF(SYS_cliente!$F$5:$F$1678,'BCE ABREVIADO'!AA359,SYS_cliente!$I$5:$I$1678)</f>
        <v>0</v>
      </c>
    </row>
    <row r="360" spans="21:28" ht="13.8">
      <c r="V360" s="661">
        <v>2829</v>
      </c>
      <c r="W360" s="662">
        <f>+SUMIF(SYS_cliente!$F$5:$F$1678,'BCE ABREVIADO'!V360,SYS_cliente!$I$5:$I$1678)</f>
        <v>0</v>
      </c>
      <c r="X360" s="702"/>
      <c r="Z360" s="666"/>
      <c r="AA360" s="661">
        <v>1795</v>
      </c>
      <c r="AB360" s="672">
        <f>+SUMIF(SYS_cliente!$F$5:$F$1678,'BCE ABREVIADO'!AA360,SYS_cliente!$I$5:$I$1678)</f>
        <v>0</v>
      </c>
    </row>
    <row r="361" spans="21:28" ht="13.8">
      <c r="V361" s="661">
        <v>2921</v>
      </c>
      <c r="W361" s="662">
        <f>+SUMIF(SYS_cliente!$F$5:$F$1678,'BCE ABREVIADO'!V361,SYS_cliente!$I$5:$I$1678)</f>
        <v>0</v>
      </c>
      <c r="X361" s="702"/>
      <c r="Z361" s="666"/>
      <c r="AA361" s="661">
        <v>1796</v>
      </c>
      <c r="AB361" s="672">
        <f>+SUMIF(SYS_cliente!$F$5:$F$1678,'BCE ABREVIADO'!AA361,SYS_cliente!$I$5:$I$1678)</f>
        <v>0</v>
      </c>
    </row>
    <row r="362" spans="21:28" ht="13.8">
      <c r="V362" s="664" t="s">
        <v>19</v>
      </c>
      <c r="W362" s="699"/>
      <c r="X362" s="699"/>
      <c r="Z362" s="666"/>
      <c r="AA362" s="661">
        <v>1797</v>
      </c>
      <c r="AB362" s="672">
        <f>+SUMIF(SYS_cliente!$F$5:$F$1678,'BCE ABREVIADO'!AA362,SYS_cliente!$I$5:$I$1678)</f>
        <v>0</v>
      </c>
    </row>
    <row r="363" spans="21:28" ht="13.8">
      <c r="U363" s="715" t="s">
        <v>118</v>
      </c>
      <c r="V363" s="653" t="s">
        <v>20</v>
      </c>
      <c r="W363" s="654">
        <f>SUM(W364:W372)</f>
        <v>0</v>
      </c>
      <c r="X363" s="699"/>
      <c r="Z363" s="666"/>
      <c r="AA363" s="661">
        <v>1798</v>
      </c>
      <c r="AB363" s="672">
        <f>+SUMIF(SYS_cliente!$F$5:$F$1678,'BCE ABREVIADO'!AA363,SYS_cliente!$I$5:$I$1678)</f>
        <v>0</v>
      </c>
    </row>
    <row r="364" spans="21:28" ht="13.8">
      <c r="V364" s="661">
        <v>2403</v>
      </c>
      <c r="W364" s="662">
        <f>+SUMIF(SYS_cliente!$F$5:$F$1678,'BCE ABREVIADO'!V364,SYS_cliente!$I$5:$I$1678)</f>
        <v>0</v>
      </c>
      <c r="X364" s="702"/>
      <c r="Z364" s="666"/>
      <c r="AA364" s="661">
        <v>1799</v>
      </c>
      <c r="AB364" s="672">
        <f>+SUMIF(SYS_cliente!$F$5:$F$1678,'BCE ABREVIADO'!AA364,SYS_cliente!$I$5:$I$1678)</f>
        <v>0</v>
      </c>
    </row>
    <row r="365" spans="21:28" ht="13.8">
      <c r="V365" s="661">
        <v>2404</v>
      </c>
      <c r="W365" s="662">
        <f>+SUMIF(SYS_cliente!$F$5:$F$1678,'BCE ABREVIADO'!V365,SYS_cliente!$I$5:$I$1678)</f>
        <v>0</v>
      </c>
      <c r="X365" s="668"/>
      <c r="Z365" s="666" t="s">
        <v>153</v>
      </c>
      <c r="AA365" s="653" t="s">
        <v>84</v>
      </c>
      <c r="AB365" s="667">
        <f>SUM(AB366:AB376)</f>
        <v>0</v>
      </c>
    </row>
    <row r="366" spans="21:28" ht="13.8">
      <c r="V366" s="661">
        <v>2493</v>
      </c>
      <c r="W366" s="662">
        <f>+SUMIF(SYS_cliente!$F$5:$F$1678,'BCE ABREVIADO'!V366,SYS_cliente!$I$5:$I$1678)</f>
        <v>0</v>
      </c>
      <c r="X366" s="668"/>
      <c r="Z366" s="666"/>
      <c r="AA366" s="661">
        <v>1605</v>
      </c>
      <c r="AB366" s="672">
        <f>+SUMIF(SYS_cliente!$F$5:$F$1678,'BCE ABREVIADO'!AA366,SYS_cliente!$I$5:$I$1678)</f>
        <v>0</v>
      </c>
    </row>
    <row r="367" spans="21:28" ht="13.8">
      <c r="V367" s="661">
        <v>2494</v>
      </c>
      <c r="W367" s="662">
        <f>+SUMIF(SYS_cliente!$F$5:$F$1678,'BCE ABREVIADO'!V367,SYS_cliente!$I$5:$I$1678)</f>
        <v>0</v>
      </c>
      <c r="X367" s="668"/>
      <c r="Z367" s="666"/>
      <c r="AA367" s="661">
        <v>1700</v>
      </c>
      <c r="AB367" s="672">
        <f>+SUMIF(SYS_cliente!$F$5:$F$1678,'BCE ABREVIADO'!AA367,SYS_cliente!$I$5:$I$1678)</f>
        <v>0</v>
      </c>
    </row>
    <row r="368" spans="21:28" ht="13.8">
      <c r="V368" s="661">
        <v>2930</v>
      </c>
      <c r="W368" s="662">
        <f>+SUMIF(SYS_cliente!$F$5:$F$1678,'BCE ABREVIADO'!V368,SYS_cliente!$I$5:$I$1678)</f>
        <v>0</v>
      </c>
      <c r="X368" s="668"/>
      <c r="Z368" s="666"/>
      <c r="AA368" s="661">
        <v>1701</v>
      </c>
      <c r="AB368" s="672">
        <f>+SUMIF(SYS_cliente!$F$5:$F$1678,'BCE ABREVIADO'!AA368,SYS_cliente!$I$5:$I$1678)</f>
        <v>0</v>
      </c>
    </row>
    <row r="369" spans="21:28" ht="13.8">
      <c r="V369" s="661">
        <v>2931</v>
      </c>
      <c r="W369" s="662">
        <f>+SUMIF(SYS_cliente!$F$5:$F$1678,'BCE ABREVIADO'!V369,SYS_cliente!$I$5:$I$1678)</f>
        <v>0</v>
      </c>
      <c r="Z369" s="666"/>
      <c r="AA369" s="661">
        <v>1702</v>
      </c>
      <c r="AB369" s="672">
        <f>+SUMIF(SYS_cliente!$F$5:$F$1678,'BCE ABREVIADO'!AA369,SYS_cliente!$I$5:$I$1678)</f>
        <v>0</v>
      </c>
    </row>
    <row r="370" spans="21:28" ht="13.8">
      <c r="V370" s="661">
        <v>2932</v>
      </c>
      <c r="W370" s="662">
        <f>+SUMIF(SYS_cliente!$F$5:$F$1678,'BCE ABREVIADO'!V370,SYS_cliente!$I$5:$I$1678)</f>
        <v>0</v>
      </c>
      <c r="Z370" s="666"/>
      <c r="AA370" s="661">
        <v>1703</v>
      </c>
      <c r="AB370" s="672">
        <f>+SUMIF(SYS_cliente!$F$5:$F$1678,'BCE ABREVIADO'!AA370,SYS_cliente!$I$5:$I$1678)</f>
        <v>0</v>
      </c>
    </row>
    <row r="371" spans="21:28" ht="13.8">
      <c r="V371" s="661">
        <v>2933</v>
      </c>
      <c r="W371" s="662">
        <f>+SUMIF(SYS_cliente!$F$5:$F$1678,'BCE ABREVIADO'!V371,SYS_cliente!$I$5:$I$1678)</f>
        <v>0</v>
      </c>
      <c r="Z371" s="666"/>
      <c r="AA371" s="661">
        <v>1704</v>
      </c>
      <c r="AB371" s="672">
        <f>+SUMIF(SYS_cliente!$F$5:$F$1678,'BCE ABREVIADO'!AA371,SYS_cliente!$I$5:$I$1678)</f>
        <v>0</v>
      </c>
    </row>
    <row r="372" spans="21:28" ht="13.8">
      <c r="V372" s="661">
        <v>2934</v>
      </c>
      <c r="W372" s="662">
        <f>+SUMIF(SYS_cliente!$F$5:$F$1678,'BCE ABREVIADO'!V372,SYS_cliente!$I$5:$I$1678)</f>
        <v>0</v>
      </c>
      <c r="Z372" s="666"/>
      <c r="AA372" s="661">
        <v>1705</v>
      </c>
      <c r="AB372" s="672">
        <f>+SUMIF(SYS_cliente!$F$5:$F$1678,'BCE ABREVIADO'!AA372,SYS_cliente!$I$5:$I$1678)</f>
        <v>0</v>
      </c>
    </row>
    <row r="373" spans="21:28" ht="13.8">
      <c r="V373" s="661">
        <v>2935</v>
      </c>
      <c r="W373" s="662">
        <f>+SUMIF(SYS_cliente!$F$5:$F$1678,'BCE ABREVIADO'!V373,SYS_cliente!$I$5:$I$1678)</f>
        <v>0</v>
      </c>
      <c r="Z373" s="666"/>
      <c r="AA373" s="661">
        <v>1706</v>
      </c>
      <c r="AB373" s="672">
        <f>+SUMIF(SYS_cliente!$F$5:$F$1678,'BCE ABREVIADO'!AA373,SYS_cliente!$I$5:$I$1678)</f>
        <v>0</v>
      </c>
    </row>
    <row r="374" spans="21:28" ht="13.8">
      <c r="V374" s="661">
        <v>2936</v>
      </c>
      <c r="W374" s="662">
        <f>+SUMIF(SYS_cliente!$F$5:$F$1678,'BCE ABREVIADO'!V374,SYS_cliente!$I$5:$I$1678)</f>
        <v>0</v>
      </c>
      <c r="Z374" s="666"/>
      <c r="AA374" s="661">
        <v>1707</v>
      </c>
      <c r="AB374" s="672">
        <f>+SUMIF(SYS_cliente!$F$5:$F$1678,'BCE ABREVIADO'!AA374,SYS_cliente!$I$5:$I$1678)</f>
        <v>0</v>
      </c>
    </row>
    <row r="375" spans="21:28" ht="13.8">
      <c r="V375" s="661">
        <v>2937</v>
      </c>
      <c r="W375" s="662">
        <f>+SUMIF(SYS_cliente!$F$5:$F$1678,'BCE ABREVIADO'!V375,SYS_cliente!$I$5:$I$1678)</f>
        <v>0</v>
      </c>
      <c r="Z375" s="666"/>
      <c r="AA375" s="661">
        <v>1708</v>
      </c>
      <c r="AB375" s="672">
        <f>+SUMIF(SYS_cliente!$F$5:$F$1678,'BCE ABREVIADO'!AA375,SYS_cliente!$I$5:$I$1678)</f>
        <v>0</v>
      </c>
    </row>
    <row r="376" spans="21:28" ht="13.8">
      <c r="V376" s="661">
        <v>2938</v>
      </c>
      <c r="W376" s="662">
        <f>+SUMIF(SYS_cliente!$F$5:$F$1678,'BCE ABREVIADO'!V376,SYS_cliente!$I$5:$I$1678)</f>
        <v>0</v>
      </c>
      <c r="Z376" s="666"/>
      <c r="AA376" s="661">
        <v>1709</v>
      </c>
      <c r="AB376" s="672">
        <f>+SUMIF(SYS_cliente!$F$5:$F$1678,'BCE ABREVIADO'!AA376,SYS_cliente!$I$5:$I$1678)</f>
        <v>0</v>
      </c>
    </row>
    <row r="377" spans="21:28" ht="13.8">
      <c r="V377" s="661">
        <v>2939</v>
      </c>
      <c r="W377" s="662">
        <f>+SUMIF(SYS_cliente!$F$5:$F$1678,'BCE ABREVIADO'!V377,SYS_cliente!$I$5:$I$1678)</f>
        <v>0</v>
      </c>
      <c r="Z377" s="666" t="s">
        <v>154</v>
      </c>
      <c r="AA377" s="653" t="s">
        <v>85</v>
      </c>
      <c r="AB377" s="667">
        <f>SUM(AB378:AB388)</f>
        <v>0</v>
      </c>
    </row>
    <row r="378" spans="21:28" ht="13.8">
      <c r="U378" s="715" t="s">
        <v>119</v>
      </c>
      <c r="V378" s="653" t="s">
        <v>21</v>
      </c>
      <c r="W378" s="654">
        <f>SUM(W379:W382)</f>
        <v>0</v>
      </c>
      <c r="Z378" s="666"/>
      <c r="AA378" s="661">
        <v>1625</v>
      </c>
      <c r="AB378" s="672">
        <f>+SUMIF(SYS_cliente!$F$5:$F$1678,'BCE ABREVIADO'!AA378,SYS_cliente!$I$5:$I$1678)</f>
        <v>0</v>
      </c>
    </row>
    <row r="379" spans="21:28" ht="13.8">
      <c r="V379" s="661">
        <v>2423</v>
      </c>
      <c r="W379" s="662">
        <f>+SUMIF(SYS_cliente!$F$5:$F$1678,'BCE ABREVIADO'!V379,SYS_cliente!$I$5:$I$1678)</f>
        <v>0</v>
      </c>
      <c r="Z379" s="666"/>
      <c r="AA379" s="661">
        <v>1740</v>
      </c>
      <c r="AB379" s="672">
        <f>+SUMIF(SYS_cliente!$F$5:$F$1678,'BCE ABREVIADO'!AA379,SYS_cliente!$I$5:$I$1678)</f>
        <v>0</v>
      </c>
    </row>
    <row r="380" spans="21:28" ht="13.8">
      <c r="V380" s="661">
        <v>2424</v>
      </c>
      <c r="W380" s="662">
        <f>+SUMIF(SYS_cliente!$F$5:$F$1678,'BCE ABREVIADO'!V380,SYS_cliente!$I$5:$I$1678)</f>
        <v>0</v>
      </c>
      <c r="Z380" s="666"/>
      <c r="AA380" s="661">
        <v>1741</v>
      </c>
      <c r="AB380" s="672">
        <f>+SUMIF(SYS_cliente!$F$5:$F$1678,'BCE ABREVIADO'!AA380,SYS_cliente!$I$5:$I$1678)</f>
        <v>0</v>
      </c>
    </row>
    <row r="381" spans="21:28" ht="13.8">
      <c r="V381" s="661">
        <v>2953</v>
      </c>
      <c r="W381" s="662">
        <f>+SUMIF(SYS_cliente!$F$5:$F$1678,'BCE ABREVIADO'!V381,SYS_cliente!$I$5:$I$1678)</f>
        <v>0</v>
      </c>
      <c r="Z381" s="666"/>
      <c r="AA381" s="661">
        <v>1742</v>
      </c>
      <c r="AB381" s="672">
        <f>+SUMIF(SYS_cliente!$F$5:$F$1678,'BCE ABREVIADO'!AA381,SYS_cliente!$I$5:$I$1678)</f>
        <v>0</v>
      </c>
    </row>
    <row r="382" spans="21:28" ht="13.8">
      <c r="V382" s="661">
        <v>2954</v>
      </c>
      <c r="W382" s="662">
        <f>+SUMIF(SYS_cliente!$F$5:$F$1678,'BCE ABREVIADO'!V382,SYS_cliente!$I$5:$I$1678)</f>
        <v>0</v>
      </c>
      <c r="Z382" s="666"/>
      <c r="AA382" s="661">
        <v>1743</v>
      </c>
      <c r="AB382" s="672">
        <f>+SUMIF(SYS_cliente!$F$5:$F$1678,'BCE ABREVIADO'!AA382,SYS_cliente!$I$5:$I$1678)</f>
        <v>0</v>
      </c>
    </row>
    <row r="383" spans="21:28" ht="13.8">
      <c r="U383" s="715" t="s">
        <v>120</v>
      </c>
      <c r="V383" s="653" t="s">
        <v>22</v>
      </c>
      <c r="W383" s="654">
        <f>SUM(W384:W387)</f>
        <v>0</v>
      </c>
      <c r="Z383" s="666"/>
      <c r="AA383" s="661">
        <v>1744</v>
      </c>
      <c r="AB383" s="672">
        <f>+SUMIF(SYS_cliente!$F$5:$F$1678,'BCE ABREVIADO'!AA383,SYS_cliente!$I$5:$I$1678)</f>
        <v>0</v>
      </c>
    </row>
    <row r="384" spans="21:28" ht="13.8">
      <c r="V384" s="661">
        <v>2413</v>
      </c>
      <c r="W384" s="662">
        <f>+SUMIF(SYS_cliente!$F$5:$F$1678,'BCE ABREVIADO'!V384,SYS_cliente!$I$5:$I$1678)</f>
        <v>0</v>
      </c>
      <c r="Z384" s="666"/>
      <c r="AA384" s="661">
        <v>1745</v>
      </c>
      <c r="AB384" s="672">
        <f>+SUMIF(SYS_cliente!$F$5:$F$1678,'BCE ABREVIADO'!AA384,SYS_cliente!$I$5:$I$1678)</f>
        <v>0</v>
      </c>
    </row>
    <row r="385" spans="21:28" ht="13.8">
      <c r="V385" s="661">
        <v>2414</v>
      </c>
      <c r="W385" s="662">
        <f>+SUMIF(SYS_cliente!$F$5:$F$1678,'BCE ABREVIADO'!V385,SYS_cliente!$I$5:$I$1678)</f>
        <v>0</v>
      </c>
      <c r="Z385" s="666"/>
      <c r="AA385" s="661">
        <v>1746</v>
      </c>
      <c r="AB385" s="672">
        <f>+SUMIF(SYS_cliente!$F$5:$F$1678,'BCE ABREVIADO'!AA385,SYS_cliente!$I$5:$I$1678)</f>
        <v>0</v>
      </c>
    </row>
    <row r="386" spans="21:28" ht="13.8">
      <c r="V386" s="661">
        <v>2943</v>
      </c>
      <c r="W386" s="662">
        <f>+SUMIF(SYS_cliente!$F$5:$F$1678,'BCE ABREVIADO'!V386,SYS_cliente!$I$5:$I$1678)</f>
        <v>0</v>
      </c>
      <c r="Z386" s="666"/>
      <c r="AA386" s="661">
        <v>1747</v>
      </c>
      <c r="AB386" s="672">
        <f>+SUMIF(SYS_cliente!$F$5:$F$1678,'BCE ABREVIADO'!AA386,SYS_cliente!$I$5:$I$1678)</f>
        <v>0</v>
      </c>
    </row>
    <row r="387" spans="21:28" ht="13.8">
      <c r="V387" s="661">
        <v>2944</v>
      </c>
      <c r="W387" s="662">
        <f>+SUMIF(SYS_cliente!$F$5:$F$1678,'BCE ABREVIADO'!V387,SYS_cliente!$I$5:$I$1678)</f>
        <v>0</v>
      </c>
      <c r="Z387" s="666"/>
      <c r="AA387" s="661">
        <v>1748</v>
      </c>
      <c r="AB387" s="672">
        <f>+SUMIF(SYS_cliente!$F$5:$F$1678,'BCE ABREVIADO'!AA387,SYS_cliente!$I$5:$I$1678)</f>
        <v>0</v>
      </c>
    </row>
    <row r="388" spans="21:28" ht="13.8">
      <c r="V388" s="653" t="s">
        <v>23</v>
      </c>
      <c r="W388" s="654"/>
      <c r="Z388" s="666"/>
      <c r="AA388" s="661">
        <v>1749</v>
      </c>
      <c r="AB388" s="672">
        <f>+SUMIF(SYS_cliente!$F$5:$F$1678,'BCE ABREVIADO'!AA388,SYS_cliente!$I$5:$I$1678)</f>
        <v>0</v>
      </c>
    </row>
    <row r="389" spans="21:28" ht="13.8">
      <c r="V389" s="653" t="s">
        <v>24</v>
      </c>
      <c r="W389" s="654"/>
      <c r="Z389" s="666">
        <v>176</v>
      </c>
      <c r="AA389" s="653" t="s">
        <v>23</v>
      </c>
      <c r="AB389" s="667">
        <f>SUM(AB390:AB399)</f>
        <v>0</v>
      </c>
    </row>
    <row r="390" spans="21:28" ht="13.8">
      <c r="V390" s="664" t="s">
        <v>25</v>
      </c>
      <c r="W390" s="699"/>
      <c r="Z390" s="666"/>
      <c r="AA390" s="661">
        <v>1760</v>
      </c>
      <c r="AB390" s="672">
        <f>+SUMIF(SYS_cliente!$F$5:$F$1678,'BCE ABREVIADO'!AA390,SYS_cliente!$I$5:$I$1678)</f>
        <v>0</v>
      </c>
    </row>
    <row r="391" spans="21:28" ht="13.8">
      <c r="U391" s="715" t="s">
        <v>121</v>
      </c>
      <c r="V391" s="653" t="s">
        <v>20</v>
      </c>
      <c r="W391" s="654">
        <f>SUM(W392:W413)</f>
        <v>163066826.98000002</v>
      </c>
      <c r="Z391" s="666"/>
      <c r="AA391" s="661">
        <v>1761</v>
      </c>
      <c r="AB391" s="672">
        <f>+SUMIF(SYS_cliente!$F$5:$F$1678,'BCE ABREVIADO'!AA391,SYS_cliente!$I$5:$I$1678)</f>
        <v>0</v>
      </c>
    </row>
    <row r="392" spans="21:28" ht="13.8">
      <c r="V392" s="661">
        <v>2405</v>
      </c>
      <c r="W392" s="662">
        <f>+SUMIF(SYS_cliente!$F$5:$F$1678,'BCE ABREVIADO'!V392,SYS_cliente!$I$5:$I$1678)</f>
        <v>0</v>
      </c>
      <c r="Z392" s="666"/>
      <c r="AA392" s="661">
        <v>1762</v>
      </c>
      <c r="AB392" s="672">
        <f>+SUMIF(SYS_cliente!$F$5:$F$1678,'BCE ABREVIADO'!AA392,SYS_cliente!$I$5:$I$1678)</f>
        <v>0</v>
      </c>
    </row>
    <row r="393" spans="21:28" ht="13.8">
      <c r="V393" s="661">
        <v>2495</v>
      </c>
      <c r="W393" s="662">
        <f>+SUMIF(SYS_cliente!$F$5:$F$1678,'BCE ABREVIADO'!V393,SYS_cliente!$I$5:$I$1678)</f>
        <v>0</v>
      </c>
      <c r="Z393" s="666"/>
      <c r="AA393" s="661">
        <v>1763</v>
      </c>
      <c r="AB393" s="672">
        <f>+SUMIF(SYS_cliente!$F$5:$F$1678,'BCE ABREVIADO'!AA393,SYS_cliente!$I$5:$I$1678)</f>
        <v>0</v>
      </c>
    </row>
    <row r="394" spans="21:28" ht="13.8">
      <c r="V394" s="661">
        <v>2500</v>
      </c>
      <c r="W394" s="662">
        <f>+SUMIF(SYS_cliente!$F$5:$F$1678,'BCE ABREVIADO'!V394,SYS_cliente!$I$5:$I$1678)</f>
        <v>143845499.27000001</v>
      </c>
      <c r="Z394" s="666"/>
      <c r="AA394" s="661">
        <v>1764</v>
      </c>
      <c r="AB394" s="672">
        <f>+SUMIF(SYS_cliente!$F$5:$F$1678,'BCE ABREVIADO'!AA394,SYS_cliente!$I$5:$I$1678)</f>
        <v>0</v>
      </c>
    </row>
    <row r="395" spans="21:28" ht="13.8">
      <c r="V395" s="661">
        <v>2501</v>
      </c>
      <c r="W395" s="662">
        <f>+SUMIF(SYS_cliente!$F$5:$F$1678,'BCE ABREVIADO'!V395,SYS_cliente!$I$5:$I$1678)</f>
        <v>19221327.710000001</v>
      </c>
      <c r="Z395" s="666"/>
      <c r="AA395" s="661">
        <v>1765</v>
      </c>
      <c r="AB395" s="672">
        <f>+SUMIF(SYS_cliente!$F$5:$F$1678,'BCE ABREVIADO'!AA395,SYS_cliente!$I$5:$I$1678)</f>
        <v>0</v>
      </c>
    </row>
    <row r="396" spans="21:28" ht="13.8">
      <c r="V396" s="661">
        <v>2502</v>
      </c>
      <c r="W396" s="662">
        <f>+SUMIF(SYS_cliente!$F$5:$F$1678,'BCE ABREVIADO'!V396,SYS_cliente!$I$5:$I$1678)</f>
        <v>0</v>
      </c>
      <c r="Z396" s="666"/>
      <c r="AA396" s="661">
        <v>1766</v>
      </c>
      <c r="AB396" s="672">
        <f>+SUMIF(SYS_cliente!$F$5:$F$1678,'BCE ABREVIADO'!AA396,SYS_cliente!$I$5:$I$1678)</f>
        <v>0</v>
      </c>
    </row>
    <row r="397" spans="21:28" ht="13.8">
      <c r="V397" s="661">
        <v>2503</v>
      </c>
      <c r="W397" s="662">
        <f>+SUMIF(SYS_cliente!$F$5:$F$1678,'BCE ABREVIADO'!V397,SYS_cliente!$I$5:$I$1678)</f>
        <v>0</v>
      </c>
      <c r="Z397" s="666"/>
      <c r="AA397" s="661">
        <v>1767</v>
      </c>
      <c r="AB397" s="672">
        <f>+SUMIF(SYS_cliente!$F$5:$F$1678,'BCE ABREVIADO'!AA397,SYS_cliente!$I$5:$I$1678)</f>
        <v>0</v>
      </c>
    </row>
    <row r="398" spans="21:28" ht="13.8">
      <c r="V398" s="661">
        <v>2504</v>
      </c>
      <c r="W398" s="662">
        <f>+SUMIF(SYS_cliente!$F$5:$F$1678,'BCE ABREVIADO'!V398,SYS_cliente!$I$5:$I$1678)</f>
        <v>0</v>
      </c>
      <c r="Z398" s="666"/>
      <c r="AA398" s="661">
        <v>1768</v>
      </c>
      <c r="AB398" s="672">
        <f>+SUMIF(SYS_cliente!$F$5:$F$1678,'BCE ABREVIADO'!AA398,SYS_cliente!$I$5:$I$1678)</f>
        <v>0</v>
      </c>
    </row>
    <row r="399" spans="21:28" ht="13.8">
      <c r="V399" s="661">
        <v>2505</v>
      </c>
      <c r="W399" s="662">
        <f>+SUMIF(SYS_cliente!$F$5:$F$1678,'BCE ABREVIADO'!V399,SYS_cliente!$I$5:$I$1678)</f>
        <v>0</v>
      </c>
      <c r="Z399" s="666"/>
      <c r="AA399" s="661">
        <v>1769</v>
      </c>
      <c r="AB399" s="672">
        <f>+SUMIF(SYS_cliente!$F$5:$F$1678,'BCE ABREVIADO'!AA399,SYS_cliente!$I$5:$I$1678)</f>
        <v>0</v>
      </c>
    </row>
    <row r="400" spans="21:28" ht="13.8">
      <c r="V400" s="661">
        <v>2506</v>
      </c>
      <c r="W400" s="662">
        <f>+SUMIF(SYS_cliente!$F$5:$F$1678,'BCE ABREVIADO'!V400,SYS_cliente!$I$5:$I$1678)</f>
        <v>0</v>
      </c>
      <c r="Z400" s="666" t="s">
        <v>155</v>
      </c>
      <c r="AA400" s="653" t="s">
        <v>86</v>
      </c>
      <c r="AB400" s="667">
        <f>SUM(AB401:AB472)</f>
        <v>-205434</v>
      </c>
    </row>
    <row r="401" spans="21:28" ht="13.8">
      <c r="V401" s="661">
        <v>2507</v>
      </c>
      <c r="W401" s="662">
        <f>+SUMIF(SYS_cliente!$F$5:$F$1678,'BCE ABREVIADO'!V401,SYS_cliente!$I$5:$I$1678)</f>
        <v>0</v>
      </c>
      <c r="Z401" s="666"/>
      <c r="AA401" s="661">
        <v>1615</v>
      </c>
      <c r="AB401" s="672">
        <f>+SUMIF(SYS_cliente!$F$5:$F$1678,'BCE ABREVIADO'!AA401,SYS_cliente!$I$5:$I$1678)</f>
        <v>0</v>
      </c>
    </row>
    <row r="402" spans="21:28" ht="13.8">
      <c r="V402" s="661">
        <v>2508</v>
      </c>
      <c r="W402" s="662">
        <f>+SUMIF(SYS_cliente!$F$5:$F$1678,'BCE ABREVIADO'!V402,SYS_cliente!$I$5:$I$1678)</f>
        <v>0</v>
      </c>
      <c r="Z402" s="666"/>
      <c r="AA402" s="661">
        <v>1635</v>
      </c>
      <c r="AB402" s="672">
        <f>+SUMIF(SYS_cliente!$F$5:$F$1678,'BCE ABREVIADO'!AA402,SYS_cliente!$I$5:$I$1678)</f>
        <v>0</v>
      </c>
    </row>
    <row r="403" spans="21:28" ht="13.8">
      <c r="V403" s="661">
        <v>2509</v>
      </c>
      <c r="W403" s="662">
        <f>+SUMIF(SYS_cliente!$F$5:$F$1678,'BCE ABREVIADO'!V403,SYS_cliente!$I$5:$I$1678)</f>
        <v>0</v>
      </c>
      <c r="Z403" s="666"/>
      <c r="AA403" s="661">
        <v>1710</v>
      </c>
      <c r="AB403" s="672">
        <f>+SUMIF(SYS_cliente!$F$5:$F$1678,'BCE ABREVIADO'!AA403,SYS_cliente!$I$5:$I$1678)</f>
        <v>0</v>
      </c>
    </row>
    <row r="404" spans="21:28" ht="13.8">
      <c r="V404" s="661">
        <v>2590</v>
      </c>
      <c r="W404" s="662">
        <f>+SUMIF(SYS_cliente!$F$5:$F$1678,'BCE ABREVIADO'!V404,SYS_cliente!$I$5:$I$1678)</f>
        <v>0</v>
      </c>
      <c r="Z404" s="666"/>
      <c r="AA404" s="661">
        <v>1711</v>
      </c>
      <c r="AB404" s="672">
        <f>+SUMIF(SYS_cliente!$F$5:$F$1678,'BCE ABREVIADO'!AA404,SYS_cliente!$I$5:$I$1678)</f>
        <v>0</v>
      </c>
    </row>
    <row r="405" spans="21:28" ht="13.8">
      <c r="V405" s="661">
        <v>2591</v>
      </c>
      <c r="W405" s="662">
        <f>+SUMIF(SYS_cliente!$F$5:$F$1678,'BCE ABREVIADO'!V405,SYS_cliente!$I$5:$I$1678)</f>
        <v>0</v>
      </c>
      <c r="Z405" s="666"/>
      <c r="AA405" s="661">
        <v>1712</v>
      </c>
      <c r="AB405" s="672">
        <f>+SUMIF(SYS_cliente!$F$5:$F$1678,'BCE ABREVIADO'!AA405,SYS_cliente!$I$5:$I$1678)</f>
        <v>0</v>
      </c>
    </row>
    <row r="406" spans="21:28" ht="13.8">
      <c r="V406" s="661">
        <v>2592</v>
      </c>
      <c r="W406" s="662">
        <f>+SUMIF(SYS_cliente!$F$5:$F$1678,'BCE ABREVIADO'!V406,SYS_cliente!$I$5:$I$1678)</f>
        <v>0</v>
      </c>
      <c r="Z406" s="666"/>
      <c r="AA406" s="661">
        <v>1713</v>
      </c>
      <c r="AB406" s="672">
        <f>+SUMIF(SYS_cliente!$F$5:$F$1678,'BCE ABREVIADO'!AA406,SYS_cliente!$I$5:$I$1678)</f>
        <v>0</v>
      </c>
    </row>
    <row r="407" spans="21:28" ht="13.8">
      <c r="V407" s="661">
        <v>2593</v>
      </c>
      <c r="W407" s="662">
        <f>+SUMIF(SYS_cliente!$F$5:$F$1678,'BCE ABREVIADO'!V407,SYS_cliente!$I$5:$I$1678)</f>
        <v>0</v>
      </c>
      <c r="Z407" s="666"/>
      <c r="AA407" s="661">
        <v>1714</v>
      </c>
      <c r="AB407" s="672">
        <f>+SUMIF(SYS_cliente!$F$5:$F$1678,'BCE ABREVIADO'!AA407,SYS_cliente!$I$5:$I$1678)</f>
        <v>0</v>
      </c>
    </row>
    <row r="408" spans="21:28" ht="13.8">
      <c r="V408" s="661">
        <v>2594</v>
      </c>
      <c r="W408" s="662">
        <f>+SUMIF(SYS_cliente!$F$5:$F$1678,'BCE ABREVIADO'!V408,SYS_cliente!$I$5:$I$1678)</f>
        <v>0</v>
      </c>
      <c r="Z408" s="666"/>
      <c r="AA408" s="661">
        <v>1715</v>
      </c>
      <c r="AB408" s="672">
        <f>+SUMIF(SYS_cliente!$F$5:$F$1678,'BCE ABREVIADO'!AA408,SYS_cliente!$I$5:$I$1678)</f>
        <v>0</v>
      </c>
    </row>
    <row r="409" spans="21:28" ht="13.8">
      <c r="V409" s="661">
        <v>2595</v>
      </c>
      <c r="W409" s="662">
        <f>+SUMIF(SYS_cliente!$F$5:$F$1678,'BCE ABREVIADO'!V409,SYS_cliente!$I$5:$I$1678)</f>
        <v>0</v>
      </c>
      <c r="Z409" s="666"/>
      <c r="AA409" s="661">
        <v>1716</v>
      </c>
      <c r="AB409" s="672">
        <f>+SUMIF(SYS_cliente!$F$5:$F$1678,'BCE ABREVIADO'!AA409,SYS_cliente!$I$5:$I$1678)</f>
        <v>0</v>
      </c>
    </row>
    <row r="410" spans="21:28" ht="13.8">
      <c r="V410" s="661">
        <v>2596</v>
      </c>
      <c r="W410" s="662">
        <f>+SUMIF(SYS_cliente!$F$5:$F$1678,'BCE ABREVIADO'!V410,SYS_cliente!$I$5:$I$1678)</f>
        <v>0</v>
      </c>
      <c r="Z410" s="666"/>
      <c r="AA410" s="661">
        <v>1717</v>
      </c>
      <c r="AB410" s="672">
        <f>+SUMIF(SYS_cliente!$F$5:$F$1678,'BCE ABREVIADO'!AA410,SYS_cliente!$I$5:$I$1678)</f>
        <v>0</v>
      </c>
    </row>
    <row r="411" spans="21:28" ht="13.8">
      <c r="V411" s="661">
        <v>2597</v>
      </c>
      <c r="W411" s="662">
        <f>+SUMIF(SYS_cliente!$F$5:$F$1678,'BCE ABREVIADO'!V411,SYS_cliente!$I$5:$I$1678)</f>
        <v>0</v>
      </c>
      <c r="Z411" s="666"/>
      <c r="AA411" s="661">
        <v>1718</v>
      </c>
      <c r="AB411" s="672">
        <f>+SUMIF(SYS_cliente!$F$5:$F$1678,'BCE ABREVIADO'!AA411,SYS_cliente!$I$5:$I$1678)</f>
        <v>0</v>
      </c>
    </row>
    <row r="412" spans="21:28" ht="13.8">
      <c r="V412" s="661">
        <v>2598</v>
      </c>
      <c r="W412" s="662">
        <f>+SUMIF(SYS_cliente!$F$5:$F$1678,'BCE ABREVIADO'!V412,SYS_cliente!$I$5:$I$1678)</f>
        <v>0</v>
      </c>
      <c r="Z412" s="666"/>
      <c r="AA412" s="661">
        <v>1719</v>
      </c>
      <c r="AB412" s="672">
        <f>+SUMIF(SYS_cliente!$F$5:$F$1678,'BCE ABREVIADO'!AA412,SYS_cliente!$I$5:$I$1678)</f>
        <v>0</v>
      </c>
    </row>
    <row r="413" spans="21:28" ht="13.8">
      <c r="V413" s="661">
        <v>2599</v>
      </c>
      <c r="W413" s="662">
        <f>+SUMIF(SYS_cliente!$F$5:$F$1678,'BCE ABREVIADO'!V413,SYS_cliente!$I$5:$I$1678)</f>
        <v>0</v>
      </c>
      <c r="Z413" s="666"/>
      <c r="AA413" s="661">
        <v>1720</v>
      </c>
      <c r="AB413" s="672">
        <f>+SUMIF(SYS_cliente!$F$5:$F$1678,'BCE ABREVIADO'!AA413,SYS_cliente!$I$5:$I$1678)</f>
        <v>0</v>
      </c>
    </row>
    <row r="414" spans="21:28" ht="13.8">
      <c r="U414" s="715" t="s">
        <v>122</v>
      </c>
      <c r="V414" s="653" t="s">
        <v>26</v>
      </c>
      <c r="W414" s="654">
        <f>SUM(W415:W447)</f>
        <v>6095.42</v>
      </c>
      <c r="Z414" s="666"/>
      <c r="AA414" s="661">
        <v>1721</v>
      </c>
      <c r="AB414" s="672">
        <f>+SUMIF(SYS_cliente!$F$5:$F$1678,'BCE ABREVIADO'!AA414,SYS_cliente!$I$5:$I$1678)</f>
        <v>0</v>
      </c>
    </row>
    <row r="415" spans="21:28" ht="13.8">
      <c r="V415" s="661">
        <v>2425</v>
      </c>
      <c r="W415" s="662">
        <f>+SUMIF(SYS_cliente!$F$5:$F$1678,'BCE ABREVIADO'!V415,SYS_cliente!$I$5:$I$1678)</f>
        <v>0</v>
      </c>
      <c r="Z415" s="666"/>
      <c r="AA415" s="661">
        <v>1722</v>
      </c>
      <c r="AB415" s="672">
        <f>+SUMIF(SYS_cliente!$F$5:$F$1678,'BCE ABREVIADO'!AA415,SYS_cliente!$I$5:$I$1678)</f>
        <v>0</v>
      </c>
    </row>
    <row r="416" spans="21:28" ht="13.8">
      <c r="V416" s="661">
        <v>2520</v>
      </c>
      <c r="W416" s="662">
        <f>+SUMIF(SYS_cliente!$F$5:$F$1678,'BCE ABREVIADO'!V416,SYS_cliente!$I$5:$I$1678)</f>
        <v>0</v>
      </c>
      <c r="Z416" s="666"/>
      <c r="AA416" s="661">
        <v>1723</v>
      </c>
      <c r="AB416" s="672">
        <f>+SUMIF(SYS_cliente!$F$5:$F$1678,'BCE ABREVIADO'!AA416,SYS_cliente!$I$5:$I$1678)</f>
        <v>0</v>
      </c>
    </row>
    <row r="417" spans="22:28" ht="13.8">
      <c r="V417" s="661">
        <v>2530</v>
      </c>
      <c r="W417" s="662">
        <f>+SUMIF(SYS_cliente!$F$5:$F$1678,'BCE ABREVIADO'!V417,SYS_cliente!$I$5:$I$1678)</f>
        <v>0</v>
      </c>
      <c r="Z417" s="666"/>
      <c r="AA417" s="661">
        <v>1724</v>
      </c>
      <c r="AB417" s="672">
        <f>+SUMIF(SYS_cliente!$F$5:$F$1678,'BCE ABREVIADO'!AA417,SYS_cliente!$I$5:$I$1678)</f>
        <v>0</v>
      </c>
    </row>
    <row r="418" spans="22:28" ht="13.8">
      <c r="V418" s="661">
        <v>2531</v>
      </c>
      <c r="W418" s="662">
        <f>+SUMIF(SYS_cliente!$F$5:$F$1678,'BCE ABREVIADO'!V418,SYS_cliente!$I$5:$I$1678)</f>
        <v>0</v>
      </c>
      <c r="Z418" s="666"/>
      <c r="AA418" s="661">
        <v>1725</v>
      </c>
      <c r="AB418" s="672">
        <f>+SUMIF(SYS_cliente!$F$5:$F$1678,'BCE ABREVIADO'!AA418,SYS_cliente!$I$5:$I$1678)</f>
        <v>0</v>
      </c>
    </row>
    <row r="419" spans="22:28" ht="13.8">
      <c r="V419" s="661">
        <v>2532</v>
      </c>
      <c r="W419" s="662">
        <f>+SUMIF(SYS_cliente!$F$5:$F$1678,'BCE ABREVIADO'!V419,SYS_cliente!$I$5:$I$1678)</f>
        <v>0</v>
      </c>
      <c r="Z419" s="666"/>
      <c r="AA419" s="661">
        <v>1726</v>
      </c>
      <c r="AB419" s="672">
        <f>+SUMIF(SYS_cliente!$F$5:$F$1678,'BCE ABREVIADO'!AA419,SYS_cliente!$I$5:$I$1678)</f>
        <v>0</v>
      </c>
    </row>
    <row r="420" spans="22:28" ht="13.8">
      <c r="V420" s="661">
        <v>2533</v>
      </c>
      <c r="W420" s="662">
        <f>+SUMIF(SYS_cliente!$F$5:$F$1678,'BCE ABREVIADO'!V420,SYS_cliente!$I$5:$I$1678)</f>
        <v>0</v>
      </c>
      <c r="Z420" s="666"/>
      <c r="AA420" s="661">
        <v>1727</v>
      </c>
      <c r="AB420" s="672">
        <f>+SUMIF(SYS_cliente!$F$5:$F$1678,'BCE ABREVIADO'!AA420,SYS_cliente!$I$5:$I$1678)</f>
        <v>0</v>
      </c>
    </row>
    <row r="421" spans="22:28" ht="13.8">
      <c r="V421" s="661">
        <v>2534</v>
      </c>
      <c r="W421" s="662">
        <f>+SUMIF(SYS_cliente!$F$5:$F$1678,'BCE ABREVIADO'!V421,SYS_cliente!$I$5:$I$1678)</f>
        <v>0</v>
      </c>
      <c r="Z421" s="666"/>
      <c r="AA421" s="661">
        <v>1728</v>
      </c>
      <c r="AB421" s="672">
        <f>+SUMIF(SYS_cliente!$F$5:$F$1678,'BCE ABREVIADO'!AA421,SYS_cliente!$I$5:$I$1678)</f>
        <v>0</v>
      </c>
    </row>
    <row r="422" spans="22:28" ht="13.8">
      <c r="V422" s="661">
        <v>2535</v>
      </c>
      <c r="W422" s="662">
        <f>+SUMIF(SYS_cliente!$F$5:$F$1678,'BCE ABREVIADO'!V422,SYS_cliente!$I$5:$I$1678)</f>
        <v>0</v>
      </c>
      <c r="Z422" s="666"/>
      <c r="AA422" s="661">
        <v>1729</v>
      </c>
      <c r="AB422" s="672">
        <f>+SUMIF(SYS_cliente!$F$5:$F$1678,'BCE ABREVIADO'!AA422,SYS_cliente!$I$5:$I$1678)</f>
        <v>0</v>
      </c>
    </row>
    <row r="423" spans="22:28" ht="13.8">
      <c r="V423" s="661">
        <v>2536</v>
      </c>
      <c r="W423" s="662">
        <f>+SUMIF(SYS_cliente!$F$5:$F$1678,'BCE ABREVIADO'!V423,SYS_cliente!$I$5:$I$1678)</f>
        <v>0</v>
      </c>
      <c r="Z423" s="666"/>
      <c r="AA423" s="661">
        <v>1730</v>
      </c>
      <c r="AB423" s="672">
        <f>+SUMIF(SYS_cliente!$F$5:$F$1678,'BCE ABREVIADO'!AA423,SYS_cliente!$I$5:$I$1678)</f>
        <v>0</v>
      </c>
    </row>
    <row r="424" spans="22:28" ht="13.8">
      <c r="V424" s="661">
        <v>2537</v>
      </c>
      <c r="W424" s="662">
        <f>+SUMIF(SYS_cliente!$F$5:$F$1678,'BCE ABREVIADO'!V424,SYS_cliente!$I$5:$I$1678)</f>
        <v>0</v>
      </c>
      <c r="Z424" s="666"/>
      <c r="AA424" s="661">
        <v>1731</v>
      </c>
      <c r="AB424" s="672">
        <f>+SUMIF(SYS_cliente!$F$5:$F$1678,'BCE ABREVIADO'!AA424,SYS_cliente!$I$5:$I$1678)</f>
        <v>0</v>
      </c>
    </row>
    <row r="425" spans="22:28" ht="13.8">
      <c r="V425" s="661">
        <v>2538</v>
      </c>
      <c r="W425" s="662">
        <f>+SUMIF(SYS_cliente!$F$5:$F$1678,'BCE ABREVIADO'!V425,SYS_cliente!$I$5:$I$1678)</f>
        <v>0</v>
      </c>
      <c r="Z425" s="666"/>
      <c r="AA425" s="661">
        <v>1732</v>
      </c>
      <c r="AB425" s="672">
        <f>+SUMIF(SYS_cliente!$F$5:$F$1678,'BCE ABREVIADO'!AA425,SYS_cliente!$I$5:$I$1678)</f>
        <v>0</v>
      </c>
    </row>
    <row r="426" spans="22:28" ht="13.8">
      <c r="V426" s="661">
        <v>2539</v>
      </c>
      <c r="W426" s="662">
        <f>+SUMIF(SYS_cliente!$F$5:$F$1678,'BCE ABREVIADO'!V426,SYS_cliente!$I$5:$I$1678)</f>
        <v>0</v>
      </c>
      <c r="Z426" s="666"/>
      <c r="AA426" s="661">
        <v>1733</v>
      </c>
      <c r="AB426" s="672">
        <f>+SUMIF(SYS_cliente!$F$5:$F$1678,'BCE ABREVIADO'!AA426,SYS_cliente!$I$5:$I$1678)</f>
        <v>0</v>
      </c>
    </row>
    <row r="427" spans="22:28" ht="13.8">
      <c r="V427" s="661">
        <v>2540</v>
      </c>
      <c r="W427" s="662">
        <f>+SUMIF(SYS_cliente!$F$5:$F$1678,'BCE ABREVIADO'!V427,SYS_cliente!$I$5:$I$1678)</f>
        <v>6095.42</v>
      </c>
      <c r="Z427" s="666"/>
      <c r="AA427" s="661">
        <v>1734</v>
      </c>
      <c r="AB427" s="672">
        <f>+SUMIF(SYS_cliente!$F$5:$F$1678,'BCE ABREVIADO'!AA427,SYS_cliente!$I$5:$I$1678)</f>
        <v>0</v>
      </c>
    </row>
    <row r="428" spans="22:28" ht="13.8">
      <c r="V428" s="661">
        <v>2541</v>
      </c>
      <c r="W428" s="662">
        <f>+SUMIF(SYS_cliente!$F$5:$F$1678,'BCE ABREVIADO'!V428,SYS_cliente!$I$5:$I$1678)</f>
        <v>0</v>
      </c>
      <c r="Z428" s="666"/>
      <c r="AA428" s="661">
        <v>1735</v>
      </c>
      <c r="AB428" s="672">
        <f>+SUMIF(SYS_cliente!$F$5:$F$1678,'BCE ABREVIADO'!AA428,SYS_cliente!$I$5:$I$1678)</f>
        <v>0</v>
      </c>
    </row>
    <row r="429" spans="22:28" ht="13.8">
      <c r="V429" s="661">
        <v>2542</v>
      </c>
      <c r="W429" s="662">
        <f>+SUMIF(SYS_cliente!$F$5:$F$1678,'BCE ABREVIADO'!V429,SYS_cliente!$I$5:$I$1678)</f>
        <v>0</v>
      </c>
      <c r="Z429" s="666"/>
      <c r="AA429" s="661">
        <v>1736</v>
      </c>
      <c r="AB429" s="672">
        <f>+SUMIF(SYS_cliente!$F$5:$F$1678,'BCE ABREVIADO'!AA429,SYS_cliente!$I$5:$I$1678)</f>
        <v>0</v>
      </c>
    </row>
    <row r="430" spans="22:28" ht="13.8">
      <c r="V430" s="661">
        <v>2543</v>
      </c>
      <c r="W430" s="662">
        <f>+SUMIF(SYS_cliente!$F$5:$F$1678,'BCE ABREVIADO'!V430,SYS_cliente!$I$5:$I$1678)</f>
        <v>0</v>
      </c>
      <c r="Z430" s="666"/>
      <c r="AA430" s="661">
        <v>1737</v>
      </c>
      <c r="AB430" s="672">
        <f>+SUMIF(SYS_cliente!$F$5:$F$1678,'BCE ABREVIADO'!AA430,SYS_cliente!$I$5:$I$1678)</f>
        <v>0</v>
      </c>
    </row>
    <row r="431" spans="22:28" ht="13.8">
      <c r="V431" s="661">
        <v>2544</v>
      </c>
      <c r="W431" s="662">
        <f>+SUMIF(SYS_cliente!$F$5:$F$1678,'BCE ABREVIADO'!V431,SYS_cliente!$I$5:$I$1678)</f>
        <v>0</v>
      </c>
      <c r="Z431" s="666"/>
      <c r="AA431" s="661">
        <v>1738</v>
      </c>
      <c r="AB431" s="672">
        <f>+SUMIF(SYS_cliente!$F$5:$F$1678,'BCE ABREVIADO'!AA431,SYS_cliente!$I$5:$I$1678)</f>
        <v>0</v>
      </c>
    </row>
    <row r="432" spans="22:28" ht="13.8">
      <c r="V432" s="661">
        <v>2545</v>
      </c>
      <c r="W432" s="662">
        <f>+SUMIF(SYS_cliente!$F$5:$F$1678,'BCE ABREVIADO'!V432,SYS_cliente!$I$5:$I$1678)</f>
        <v>0</v>
      </c>
      <c r="Z432" s="666"/>
      <c r="AA432" s="661">
        <v>1739</v>
      </c>
      <c r="AB432" s="672">
        <f>+SUMIF(SYS_cliente!$F$5:$F$1678,'BCE ABREVIADO'!AA432,SYS_cliente!$I$5:$I$1678)</f>
        <v>0</v>
      </c>
    </row>
    <row r="433" spans="21:28" ht="13.8">
      <c r="V433" s="661">
        <v>2546</v>
      </c>
      <c r="W433" s="662">
        <f>+SUMIF(SYS_cliente!$F$5:$F$1678,'BCE ABREVIADO'!V433,SYS_cliente!$I$5:$I$1678)</f>
        <v>0</v>
      </c>
      <c r="Z433" s="666"/>
      <c r="AA433" s="661">
        <v>1750</v>
      </c>
      <c r="AB433" s="672">
        <f>+SUMIF(SYS_cliente!$F$5:$F$1678,'BCE ABREVIADO'!AA433,SYS_cliente!$I$5:$I$1678)</f>
        <v>0</v>
      </c>
    </row>
    <row r="434" spans="21:28" ht="13.8">
      <c r="V434" s="661">
        <v>2547</v>
      </c>
      <c r="W434" s="662">
        <f>+SUMIF(SYS_cliente!$F$5:$F$1678,'BCE ABREVIADO'!V434,SYS_cliente!$I$5:$I$1678)</f>
        <v>0</v>
      </c>
      <c r="Z434" s="666"/>
      <c r="AA434" s="661">
        <v>1751</v>
      </c>
      <c r="AB434" s="672">
        <f>+SUMIF(SYS_cliente!$F$5:$F$1678,'BCE ABREVIADO'!AA434,SYS_cliente!$I$5:$I$1678)</f>
        <v>0</v>
      </c>
    </row>
    <row r="435" spans="21:28" ht="13.8">
      <c r="V435" s="661">
        <v>2548</v>
      </c>
      <c r="W435" s="662">
        <f>+SUMIF(SYS_cliente!$F$5:$F$1678,'BCE ABREVIADO'!V435,SYS_cliente!$I$5:$I$1678)</f>
        <v>0</v>
      </c>
      <c r="Z435" s="666"/>
      <c r="AA435" s="661">
        <v>1752</v>
      </c>
      <c r="AB435" s="672">
        <f>+SUMIF(SYS_cliente!$F$5:$F$1678,'BCE ABREVIADO'!AA435,SYS_cliente!$I$5:$I$1678)</f>
        <v>0</v>
      </c>
    </row>
    <row r="436" spans="21:28" ht="13.8">
      <c r="V436" s="661">
        <v>2549</v>
      </c>
      <c r="W436" s="662">
        <f>+SUMIF(SYS_cliente!$F$5:$F$1678,'BCE ABREVIADO'!V436,SYS_cliente!$I$5:$I$1678)</f>
        <v>0</v>
      </c>
      <c r="Z436" s="666"/>
      <c r="AA436" s="661">
        <v>1753</v>
      </c>
      <c r="AB436" s="672">
        <f>+SUMIF(SYS_cliente!$F$5:$F$1678,'BCE ABREVIADO'!AA436,SYS_cliente!$I$5:$I$1678)</f>
        <v>0</v>
      </c>
    </row>
    <row r="437" spans="21:28" ht="13.8">
      <c r="V437" s="661">
        <v>2955</v>
      </c>
      <c r="W437" s="662">
        <f>+SUMIF(SYS_cliente!$F$5:$F$1678,'BCE ABREVIADO'!V437,SYS_cliente!$I$5:$I$1678)</f>
        <v>0</v>
      </c>
      <c r="Z437" s="666"/>
      <c r="AA437" s="661">
        <v>1754</v>
      </c>
      <c r="AB437" s="672">
        <f>+SUMIF(SYS_cliente!$F$5:$F$1678,'BCE ABREVIADO'!AA437,SYS_cliente!$I$5:$I$1678)</f>
        <v>0</v>
      </c>
    </row>
    <row r="438" spans="21:28" ht="13.8">
      <c r="V438" s="661">
        <v>2980</v>
      </c>
      <c r="W438" s="662">
        <f>+SUMIF(SYS_cliente!$F$5:$F$1678,'BCE ABREVIADO'!V438,SYS_cliente!$I$5:$I$1678)</f>
        <v>0</v>
      </c>
      <c r="Z438" s="666"/>
      <c r="AA438" s="661">
        <v>1755</v>
      </c>
      <c r="AB438" s="672">
        <f>+SUMIF(SYS_cliente!$F$5:$F$1678,'BCE ABREVIADO'!AA438,SYS_cliente!$I$5:$I$1678)</f>
        <v>0</v>
      </c>
    </row>
    <row r="439" spans="21:28" ht="13.8">
      <c r="V439" s="661">
        <v>2981</v>
      </c>
      <c r="W439" s="662">
        <f>+SUMIF(SYS_cliente!$F$5:$F$1678,'BCE ABREVIADO'!V439,SYS_cliente!$I$5:$I$1678)</f>
        <v>0</v>
      </c>
      <c r="Z439" s="666"/>
      <c r="AA439" s="661">
        <v>1756</v>
      </c>
      <c r="AB439" s="672">
        <f>+SUMIF(SYS_cliente!$F$5:$F$1678,'BCE ABREVIADO'!AA439,SYS_cliente!$I$5:$I$1678)</f>
        <v>0</v>
      </c>
    </row>
    <row r="440" spans="21:28" ht="13.8">
      <c r="V440" s="661">
        <v>2982</v>
      </c>
      <c r="W440" s="662">
        <f>+SUMIF(SYS_cliente!$F$5:$F$1678,'BCE ABREVIADO'!V440,SYS_cliente!$I$5:$I$1678)</f>
        <v>0</v>
      </c>
      <c r="Z440" s="666"/>
      <c r="AA440" s="661">
        <v>1757</v>
      </c>
      <c r="AB440" s="672">
        <f>+SUMIF(SYS_cliente!$F$5:$F$1678,'BCE ABREVIADO'!AA440,SYS_cliente!$I$5:$I$1678)</f>
        <v>0</v>
      </c>
    </row>
    <row r="441" spans="21:28" ht="13.8">
      <c r="V441" s="661">
        <v>2983</v>
      </c>
      <c r="W441" s="662">
        <f>+SUMIF(SYS_cliente!$F$5:$F$1678,'BCE ABREVIADO'!V441,SYS_cliente!$I$5:$I$1678)</f>
        <v>0</v>
      </c>
      <c r="Z441" s="666"/>
      <c r="AA441" s="661">
        <v>1758</v>
      </c>
      <c r="AB441" s="672">
        <f>+SUMIF(SYS_cliente!$F$5:$F$1678,'BCE ABREVIADO'!AA441,SYS_cliente!$I$5:$I$1678)</f>
        <v>0</v>
      </c>
    </row>
    <row r="442" spans="21:28" ht="13.8">
      <c r="V442" s="661">
        <v>2984</v>
      </c>
      <c r="W442" s="662">
        <f>+SUMIF(SYS_cliente!$F$5:$F$1678,'BCE ABREVIADO'!V442,SYS_cliente!$I$5:$I$1678)</f>
        <v>0</v>
      </c>
      <c r="Z442" s="666"/>
      <c r="AA442" s="661">
        <v>1759</v>
      </c>
      <c r="AB442" s="672">
        <f>+SUMIF(SYS_cliente!$F$5:$F$1678,'BCE ABREVIADO'!AA442,SYS_cliente!$I$5:$I$1678)</f>
        <v>0</v>
      </c>
    </row>
    <row r="443" spans="21:28" ht="13.8">
      <c r="V443" s="661">
        <v>2985</v>
      </c>
      <c r="W443" s="662">
        <f>+SUMIF(SYS_cliente!$F$5:$F$1678,'BCE ABREVIADO'!V443,SYS_cliente!$I$5:$I$1678)</f>
        <v>0</v>
      </c>
      <c r="Z443" s="666"/>
      <c r="AA443" s="661">
        <v>1800</v>
      </c>
      <c r="AB443" s="672">
        <f>+SUMIF(SYS_cliente!$F$5:$F$1678,'BCE ABREVIADO'!AA443,SYS_cliente!$I$5:$I$1678)</f>
        <v>-205434</v>
      </c>
    </row>
    <row r="444" spans="21:28" ht="13.8">
      <c r="V444" s="661">
        <v>2986</v>
      </c>
      <c r="W444" s="662">
        <f>+SUMIF(SYS_cliente!$F$5:$F$1678,'BCE ABREVIADO'!V444,SYS_cliente!$I$5:$I$1678)</f>
        <v>0</v>
      </c>
      <c r="Z444" s="666"/>
      <c r="AA444" s="661">
        <v>1801</v>
      </c>
      <c r="AB444" s="672">
        <f>+SUMIF(SYS_cliente!$F$5:$F$1678,'BCE ABREVIADO'!AA444,SYS_cliente!$I$5:$I$1678)</f>
        <v>0</v>
      </c>
    </row>
    <row r="445" spans="21:28" ht="13.8">
      <c r="V445" s="661">
        <v>2987</v>
      </c>
      <c r="W445" s="662">
        <f>+SUMIF(SYS_cliente!$F$5:$F$1678,'BCE ABREVIADO'!V445,SYS_cliente!$I$5:$I$1678)</f>
        <v>0</v>
      </c>
      <c r="Z445" s="666"/>
      <c r="AA445" s="661">
        <v>1802</v>
      </c>
      <c r="AB445" s="672">
        <f>+SUMIF(SYS_cliente!$F$5:$F$1678,'BCE ABREVIADO'!AA445,SYS_cliente!$I$5:$I$1678)</f>
        <v>0</v>
      </c>
    </row>
    <row r="446" spans="21:28" ht="13.8">
      <c r="V446" s="661">
        <v>2988</v>
      </c>
      <c r="W446" s="662">
        <f>+SUMIF(SYS_cliente!$F$5:$F$1678,'BCE ABREVIADO'!V446,SYS_cliente!$I$5:$I$1678)</f>
        <v>0</v>
      </c>
      <c r="Z446" s="666"/>
      <c r="AA446" s="661">
        <v>1803</v>
      </c>
      <c r="AB446" s="672">
        <f>+SUMIF(SYS_cliente!$F$5:$F$1678,'BCE ABREVIADO'!AA446,SYS_cliente!$I$5:$I$1678)</f>
        <v>0</v>
      </c>
    </row>
    <row r="447" spans="21:28" ht="13.8">
      <c r="V447" s="661">
        <v>2989</v>
      </c>
      <c r="W447" s="662">
        <f>+SUMIF(SYS_cliente!$F$5:$F$1678,'BCE ABREVIADO'!V447,SYS_cliente!$I$5:$I$1678)</f>
        <v>0</v>
      </c>
      <c r="Z447" s="666"/>
      <c r="AA447" s="661">
        <v>1804</v>
      </c>
      <c r="AB447" s="672">
        <f>+SUMIF(SYS_cliente!$F$5:$F$1678,'BCE ABREVIADO'!AA447,SYS_cliente!$I$5:$I$1678)</f>
        <v>0</v>
      </c>
    </row>
    <row r="448" spans="21:28" ht="13.8">
      <c r="U448" s="715" t="s">
        <v>123</v>
      </c>
      <c r="V448" s="653" t="s">
        <v>22</v>
      </c>
      <c r="W448" s="654">
        <f>SUM(W449:W470)</f>
        <v>0</v>
      </c>
      <c r="Z448" s="666"/>
      <c r="AA448" s="661">
        <v>1805</v>
      </c>
      <c r="AB448" s="672">
        <f>+SUMIF(SYS_cliente!$F$5:$F$1678,'BCE ABREVIADO'!AA448,SYS_cliente!$I$5:$I$1678)</f>
        <v>0</v>
      </c>
    </row>
    <row r="449" spans="22:28" ht="13.8">
      <c r="V449" s="661">
        <v>2415</v>
      </c>
      <c r="W449" s="662">
        <f>+SUMIF(SYS_cliente!$F$5:$F$1678,'BCE ABREVIADO'!V449,SYS_cliente!$I$5:$I$1678)</f>
        <v>0</v>
      </c>
      <c r="Z449" s="666"/>
      <c r="AA449" s="661">
        <v>1806</v>
      </c>
      <c r="AB449" s="672">
        <f>+SUMIF(SYS_cliente!$F$5:$F$1678,'BCE ABREVIADO'!AA449,SYS_cliente!$I$5:$I$1678)</f>
        <v>0</v>
      </c>
    </row>
    <row r="450" spans="22:28" ht="13.8">
      <c r="V450" s="661">
        <v>2510</v>
      </c>
      <c r="W450" s="662">
        <f>+SUMIF(SYS_cliente!$F$5:$F$1678,'BCE ABREVIADO'!V450,SYS_cliente!$I$5:$I$1678)</f>
        <v>0</v>
      </c>
      <c r="Z450" s="666"/>
      <c r="AA450" s="661">
        <v>1807</v>
      </c>
      <c r="AB450" s="672">
        <f>+SUMIF(SYS_cliente!$F$5:$F$1678,'BCE ABREVIADO'!AA450,SYS_cliente!$I$5:$I$1678)</f>
        <v>0</v>
      </c>
    </row>
    <row r="451" spans="22:28" ht="13.8">
      <c r="V451" s="661">
        <v>2511</v>
      </c>
      <c r="W451" s="662">
        <f>+SUMIF(SYS_cliente!$F$5:$F$1678,'BCE ABREVIADO'!V451,SYS_cliente!$I$5:$I$1678)</f>
        <v>0</v>
      </c>
      <c r="Z451" s="666"/>
      <c r="AA451" s="661">
        <v>1808</v>
      </c>
      <c r="AB451" s="672">
        <f>+SUMIF(SYS_cliente!$F$5:$F$1678,'BCE ABREVIADO'!AA451,SYS_cliente!$I$5:$I$1678)</f>
        <v>0</v>
      </c>
    </row>
    <row r="452" spans="22:28" ht="13.8">
      <c r="V452" s="661">
        <v>2512</v>
      </c>
      <c r="W452" s="662">
        <f>+SUMIF(SYS_cliente!$F$5:$F$1678,'BCE ABREVIADO'!V452,SYS_cliente!$I$5:$I$1678)</f>
        <v>0</v>
      </c>
      <c r="Z452" s="666"/>
      <c r="AA452" s="661">
        <v>1809</v>
      </c>
      <c r="AB452" s="672">
        <f>+SUMIF(SYS_cliente!$F$5:$F$1678,'BCE ABREVIADO'!AA452,SYS_cliente!$I$5:$I$1678)</f>
        <v>0</v>
      </c>
    </row>
    <row r="453" spans="22:28" ht="13.8">
      <c r="V453" s="661">
        <v>2513</v>
      </c>
      <c r="W453" s="662">
        <f>+SUMIF(SYS_cliente!$F$5:$F$1678,'BCE ABREVIADO'!V453,SYS_cliente!$I$5:$I$1678)</f>
        <v>0</v>
      </c>
      <c r="Z453" s="666"/>
      <c r="AA453" s="661">
        <v>1850</v>
      </c>
      <c r="AB453" s="672">
        <f>+SUMIF(SYS_cliente!$F$5:$F$1678,'BCE ABREVIADO'!AA453,SYS_cliente!$I$5:$I$1678)</f>
        <v>0</v>
      </c>
    </row>
    <row r="454" spans="22:28" ht="13.8">
      <c r="V454" s="661">
        <v>2514</v>
      </c>
      <c r="W454" s="662">
        <f>+SUMIF(SYS_cliente!$F$5:$F$1678,'BCE ABREVIADO'!V454,SYS_cliente!$I$5:$I$1678)</f>
        <v>0</v>
      </c>
      <c r="Z454" s="666"/>
      <c r="AA454" s="661">
        <v>1851</v>
      </c>
      <c r="AB454" s="672">
        <f>+SUMIF(SYS_cliente!$F$5:$F$1678,'BCE ABREVIADO'!AA454,SYS_cliente!$I$5:$I$1678)</f>
        <v>0</v>
      </c>
    </row>
    <row r="455" spans="22:28" ht="13.8">
      <c r="V455" s="661">
        <v>2515</v>
      </c>
      <c r="W455" s="662">
        <f>+SUMIF(SYS_cliente!$F$5:$F$1678,'BCE ABREVIADO'!V455,SYS_cliente!$I$5:$I$1678)</f>
        <v>0</v>
      </c>
      <c r="Z455" s="666"/>
      <c r="AA455" s="661">
        <v>1852</v>
      </c>
      <c r="AB455" s="672">
        <f>+SUMIF(SYS_cliente!$F$5:$F$1678,'BCE ABREVIADO'!AA455,SYS_cliente!$I$5:$I$1678)</f>
        <v>0</v>
      </c>
    </row>
    <row r="456" spans="22:28" ht="13.8">
      <c r="V456" s="661">
        <v>2516</v>
      </c>
      <c r="W456" s="662">
        <f>+SUMIF(SYS_cliente!$F$5:$F$1678,'BCE ABREVIADO'!V456,SYS_cliente!$I$5:$I$1678)</f>
        <v>0</v>
      </c>
      <c r="Z456" s="666"/>
      <c r="AA456" s="661">
        <v>1853</v>
      </c>
      <c r="AB456" s="672">
        <f>+SUMIF(SYS_cliente!$F$5:$F$1678,'BCE ABREVIADO'!AA456,SYS_cliente!$I$5:$I$1678)</f>
        <v>0</v>
      </c>
    </row>
    <row r="457" spans="22:28" ht="13.8">
      <c r="V457" s="661">
        <v>2517</v>
      </c>
      <c r="W457" s="662">
        <f>+SUMIF(SYS_cliente!$F$5:$F$1678,'BCE ABREVIADO'!V457,SYS_cliente!$I$5:$I$1678)</f>
        <v>0</v>
      </c>
      <c r="Z457" s="666"/>
      <c r="AA457" s="661">
        <v>1854</v>
      </c>
      <c r="AB457" s="672">
        <f>+SUMIF(SYS_cliente!$F$5:$F$1678,'BCE ABREVIADO'!AA457,SYS_cliente!$I$5:$I$1678)</f>
        <v>0</v>
      </c>
    </row>
    <row r="458" spans="22:28" ht="13.8">
      <c r="V458" s="661">
        <v>2518</v>
      </c>
      <c r="W458" s="662">
        <f>+SUMIF(SYS_cliente!$F$5:$F$1678,'BCE ABREVIADO'!V458,SYS_cliente!$I$5:$I$1678)</f>
        <v>0</v>
      </c>
      <c r="Z458" s="666"/>
      <c r="AA458" s="661">
        <v>1855</v>
      </c>
      <c r="AB458" s="672">
        <f>+SUMIF(SYS_cliente!$F$5:$F$1678,'BCE ABREVIADO'!AA458,SYS_cliente!$I$5:$I$1678)</f>
        <v>0</v>
      </c>
    </row>
    <row r="459" spans="22:28" ht="13.8">
      <c r="V459" s="661">
        <v>2519</v>
      </c>
      <c r="W459" s="662">
        <f>+SUMIF(SYS_cliente!$F$5:$F$1678,'BCE ABREVIADO'!V459,SYS_cliente!$I$5:$I$1678)</f>
        <v>0</v>
      </c>
      <c r="Z459" s="666"/>
      <c r="AA459" s="661">
        <v>1856</v>
      </c>
      <c r="AB459" s="672">
        <f>+SUMIF(SYS_cliente!$F$5:$F$1678,'BCE ABREVIADO'!AA459,SYS_cliente!$I$5:$I$1678)</f>
        <v>0</v>
      </c>
    </row>
    <row r="460" spans="22:28" ht="13.8">
      <c r="V460" s="661">
        <v>2945</v>
      </c>
      <c r="W460" s="662">
        <f>+SUMIF(SYS_cliente!$F$5:$F$1678,'BCE ABREVIADO'!V460,SYS_cliente!$I$5:$I$1678)</f>
        <v>0</v>
      </c>
      <c r="Z460" s="666"/>
      <c r="AA460" s="661">
        <v>1857</v>
      </c>
      <c r="AB460" s="672">
        <f>+SUMIF(SYS_cliente!$F$5:$F$1678,'BCE ABREVIADO'!AA460,SYS_cliente!$I$5:$I$1678)</f>
        <v>0</v>
      </c>
    </row>
    <row r="461" spans="22:28" ht="13.8">
      <c r="V461" s="661">
        <v>2970</v>
      </c>
      <c r="W461" s="662">
        <f>+SUMIF(SYS_cliente!$F$5:$F$1678,'BCE ABREVIADO'!V461,SYS_cliente!$I$5:$I$1678)</f>
        <v>0</v>
      </c>
      <c r="Z461" s="666"/>
      <c r="AA461" s="661">
        <v>1858</v>
      </c>
      <c r="AB461" s="672">
        <f>+SUMIF(SYS_cliente!$F$5:$F$1678,'BCE ABREVIADO'!AA461,SYS_cliente!$I$5:$I$1678)</f>
        <v>0</v>
      </c>
    </row>
    <row r="462" spans="22:28" ht="13.8">
      <c r="V462" s="661">
        <v>2971</v>
      </c>
      <c r="W462" s="662">
        <f>+SUMIF(SYS_cliente!$F$5:$F$1678,'BCE ABREVIADO'!V462,SYS_cliente!$I$5:$I$1678)</f>
        <v>0</v>
      </c>
      <c r="Z462" s="666"/>
      <c r="AA462" s="661">
        <v>1859</v>
      </c>
      <c r="AB462" s="672">
        <f>+SUMIF(SYS_cliente!$F$5:$F$1678,'BCE ABREVIADO'!AA462,SYS_cliente!$I$5:$I$1678)</f>
        <v>0</v>
      </c>
    </row>
    <row r="463" spans="22:28" ht="13.8">
      <c r="V463" s="661">
        <v>2972</v>
      </c>
      <c r="W463" s="662">
        <f>+SUMIF(SYS_cliente!$F$5:$F$1678,'BCE ABREVIADO'!V463,SYS_cliente!$I$5:$I$1678)</f>
        <v>0</v>
      </c>
      <c r="Z463" s="666"/>
      <c r="AA463" s="661">
        <v>1890</v>
      </c>
      <c r="AB463" s="672">
        <f>+SUMIF(SYS_cliente!$F$5:$F$1678,'BCE ABREVIADO'!AA463,SYS_cliente!$I$5:$I$1678)</f>
        <v>0</v>
      </c>
    </row>
    <row r="464" spans="22:28" ht="13.8">
      <c r="V464" s="661">
        <v>2973</v>
      </c>
      <c r="W464" s="662">
        <f>+SUMIF(SYS_cliente!$F$5:$F$1678,'BCE ABREVIADO'!V464,SYS_cliente!$I$5:$I$1678)</f>
        <v>0</v>
      </c>
      <c r="Z464" s="666"/>
      <c r="AA464" s="661">
        <v>1891</v>
      </c>
      <c r="AB464" s="672">
        <f>+SUMIF(SYS_cliente!$F$5:$F$1678,'BCE ABREVIADO'!AA464,SYS_cliente!$I$5:$I$1678)</f>
        <v>0</v>
      </c>
    </row>
    <row r="465" spans="21:28" ht="13.8">
      <c r="V465" s="661">
        <v>2974</v>
      </c>
      <c r="W465" s="662">
        <f>+SUMIF(SYS_cliente!$F$5:$F$1678,'BCE ABREVIADO'!V465,SYS_cliente!$I$5:$I$1678)</f>
        <v>0</v>
      </c>
      <c r="Z465" s="666"/>
      <c r="AA465" s="661">
        <v>1892</v>
      </c>
      <c r="AB465" s="672">
        <f>+SUMIF(SYS_cliente!$F$5:$F$1678,'BCE ABREVIADO'!AA465,SYS_cliente!$I$5:$I$1678)</f>
        <v>0</v>
      </c>
    </row>
    <row r="466" spans="21:28" ht="13.8">
      <c r="V466" s="661">
        <v>2975</v>
      </c>
      <c r="W466" s="662">
        <f>+SUMIF(SYS_cliente!$F$5:$F$1678,'BCE ABREVIADO'!V466,SYS_cliente!$I$5:$I$1678)</f>
        <v>0</v>
      </c>
      <c r="Z466" s="666"/>
      <c r="AA466" s="661">
        <v>1893</v>
      </c>
      <c r="AB466" s="672">
        <f>+SUMIF(SYS_cliente!$F$5:$F$1678,'BCE ABREVIADO'!AA466,SYS_cliente!$I$5:$I$1678)</f>
        <v>0</v>
      </c>
    </row>
    <row r="467" spans="21:28" ht="13.8">
      <c r="V467" s="661">
        <v>2976</v>
      </c>
      <c r="W467" s="662">
        <f>+SUMIF(SYS_cliente!$F$5:$F$1678,'BCE ABREVIADO'!V467,SYS_cliente!$I$5:$I$1678)</f>
        <v>0</v>
      </c>
      <c r="Z467" s="666"/>
      <c r="AA467" s="661">
        <v>1894</v>
      </c>
      <c r="AB467" s="672">
        <f>+SUMIF(SYS_cliente!$F$5:$F$1678,'BCE ABREVIADO'!AA467,SYS_cliente!$I$5:$I$1678)</f>
        <v>0</v>
      </c>
    </row>
    <row r="468" spans="21:28" ht="13.8">
      <c r="V468" s="661">
        <v>2977</v>
      </c>
      <c r="W468" s="662">
        <f>+SUMIF(SYS_cliente!$F$5:$F$1678,'BCE ABREVIADO'!V468,SYS_cliente!$I$5:$I$1678)</f>
        <v>0</v>
      </c>
      <c r="Z468" s="666"/>
      <c r="AA468" s="661">
        <v>1895</v>
      </c>
      <c r="AB468" s="672">
        <f>+SUMIF(SYS_cliente!$F$5:$F$1678,'BCE ABREVIADO'!AA468,SYS_cliente!$I$5:$I$1678)</f>
        <v>0</v>
      </c>
    </row>
    <row r="469" spans="21:28" ht="13.8">
      <c r="V469" s="661">
        <v>2978</v>
      </c>
      <c r="W469" s="662">
        <f>+SUMIF(SYS_cliente!$F$5:$F$1678,'BCE ABREVIADO'!V469,SYS_cliente!$I$5:$I$1678)</f>
        <v>0</v>
      </c>
      <c r="Z469" s="666"/>
      <c r="AA469" s="661">
        <v>1896</v>
      </c>
      <c r="AB469" s="672">
        <f>+SUMIF(SYS_cliente!$F$5:$F$1678,'BCE ABREVIADO'!AA469,SYS_cliente!$I$5:$I$1678)</f>
        <v>0</v>
      </c>
    </row>
    <row r="470" spans="21:28" ht="13.8">
      <c r="V470" s="661">
        <v>2979</v>
      </c>
      <c r="W470" s="662">
        <f>+SUMIF(SYS_cliente!$F$5:$F$1678,'BCE ABREVIADO'!V470,SYS_cliente!$I$5:$I$1678)</f>
        <v>0</v>
      </c>
      <c r="Z470" s="666"/>
      <c r="AA470" s="661">
        <v>1897</v>
      </c>
      <c r="AB470" s="672">
        <f>+SUMIF(SYS_cliente!$F$5:$F$1678,'BCE ABREVIADO'!AA470,SYS_cliente!$I$5:$I$1678)</f>
        <v>0</v>
      </c>
    </row>
    <row r="471" spans="21:28" ht="13.8">
      <c r="U471" s="715">
        <v>255</v>
      </c>
      <c r="V471" s="653" t="s">
        <v>23</v>
      </c>
      <c r="W471" s="654">
        <f>SUM(W472:W481)</f>
        <v>0</v>
      </c>
      <c r="Z471" s="666"/>
      <c r="AA471" s="661">
        <v>1898</v>
      </c>
      <c r="AB471" s="672">
        <f>+SUMIF(SYS_cliente!$F$5:$F$1678,'BCE ABREVIADO'!AA471,SYS_cliente!$I$5:$I$1678)</f>
        <v>0</v>
      </c>
    </row>
    <row r="472" spans="21:28" ht="13.8">
      <c r="V472" s="661">
        <v>2550</v>
      </c>
      <c r="W472" s="662">
        <f>+SUMIF(SYS_cliente!$F$5:$F$1678,'BCE ABREVIADO'!V472,SYS_cliente!$I$5:$I$1678)</f>
        <v>0</v>
      </c>
      <c r="Z472" s="666"/>
      <c r="AA472" s="661">
        <v>1899</v>
      </c>
      <c r="AB472" s="672">
        <f>+SUMIF(SYS_cliente!$F$5:$F$1678,'BCE ABREVIADO'!AA472,SYS_cliente!$I$5:$I$1678)</f>
        <v>0</v>
      </c>
    </row>
    <row r="473" spans="21:28" ht="13.8">
      <c r="V473" s="661">
        <v>2551</v>
      </c>
      <c r="W473" s="662">
        <f>+SUMIF(SYS_cliente!$F$5:$F$1678,'BCE ABREVIADO'!V473,SYS_cliente!$I$5:$I$1678)</f>
        <v>0</v>
      </c>
      <c r="Z473" s="666" t="s">
        <v>1550</v>
      </c>
      <c r="AA473" s="664" t="s">
        <v>87</v>
      </c>
      <c r="AB473" s="642">
        <f>SUM(AB474:AB484)</f>
        <v>0</v>
      </c>
    </row>
    <row r="474" spans="21:28" ht="13.8">
      <c r="V474" s="661">
        <v>2552</v>
      </c>
      <c r="W474" s="662">
        <f>+SUMIF(SYS_cliente!$F$5:$F$1678,'BCE ABREVIADO'!V474,SYS_cliente!$I$5:$I$1678)</f>
        <v>0</v>
      </c>
      <c r="Z474" s="666"/>
      <c r="AA474" s="661">
        <v>1600</v>
      </c>
      <c r="AB474" s="672">
        <f>+SUMIF(SYS_cliente!$F$5:$F$1678,'BCE ABREVIADO'!AA474,SYS_cliente!$I$5:$I$1678)</f>
        <v>0</v>
      </c>
    </row>
    <row r="475" spans="21:28" ht="13.8">
      <c r="V475" s="661">
        <v>2553</v>
      </c>
      <c r="W475" s="662">
        <f>+SUMIF(SYS_cliente!$F$5:$F$1678,'BCE ABREVIADO'!V475,SYS_cliente!$I$5:$I$1678)</f>
        <v>0</v>
      </c>
      <c r="Z475" s="666"/>
      <c r="AA475" s="661">
        <v>1601</v>
      </c>
      <c r="AB475" s="672">
        <f>+SUMIF(SYS_cliente!$F$5:$F$1678,'BCE ABREVIADO'!AA475,SYS_cliente!$I$5:$I$1678)</f>
        <v>0</v>
      </c>
    </row>
    <row r="476" spans="21:28" ht="13.8">
      <c r="V476" s="661">
        <v>2554</v>
      </c>
      <c r="W476" s="662">
        <f>+SUMIF(SYS_cliente!$F$5:$F$1678,'BCE ABREVIADO'!V476,SYS_cliente!$I$5:$I$1678)</f>
        <v>0</v>
      </c>
      <c r="Z476" s="666"/>
      <c r="AA476" s="661">
        <v>1602</v>
      </c>
      <c r="AB476" s="672">
        <f>+SUMIF(SYS_cliente!$F$5:$F$1678,'BCE ABREVIADO'!AA476,SYS_cliente!$I$5:$I$1678)</f>
        <v>0</v>
      </c>
    </row>
    <row r="477" spans="21:28" ht="13.8">
      <c r="V477" s="661">
        <v>2555</v>
      </c>
      <c r="W477" s="662">
        <f>+SUMIF(SYS_cliente!$F$5:$F$1678,'BCE ABREVIADO'!V477,SYS_cliente!$I$5:$I$1678)</f>
        <v>0</v>
      </c>
      <c r="Z477" s="666"/>
      <c r="AA477" s="661">
        <v>1603</v>
      </c>
      <c r="AB477" s="672">
        <f>+SUMIF(SYS_cliente!$F$5:$F$1678,'BCE ABREVIADO'!AA477,SYS_cliente!$I$5:$I$1678)</f>
        <v>0</v>
      </c>
    </row>
    <row r="478" spans="21:28" ht="13.8">
      <c r="V478" s="661">
        <v>2556</v>
      </c>
      <c r="W478" s="662">
        <f>+SUMIF(SYS_cliente!$F$5:$F$1678,'BCE ABREVIADO'!V478,SYS_cliente!$I$5:$I$1678)</f>
        <v>0</v>
      </c>
      <c r="Z478" s="666"/>
      <c r="AA478" s="661">
        <v>1604</v>
      </c>
      <c r="AB478" s="672">
        <f>+SUMIF(SYS_cliente!$F$5:$F$1678,'BCE ABREVIADO'!AA478,SYS_cliente!$I$5:$I$1678)</f>
        <v>0</v>
      </c>
    </row>
    <row r="479" spans="21:28" ht="13.8">
      <c r="V479" s="661">
        <v>2557</v>
      </c>
      <c r="W479" s="662">
        <f>+SUMIF(SYS_cliente!$F$5:$F$1678,'BCE ABREVIADO'!V479,SYS_cliente!$I$5:$I$1678)</f>
        <v>0</v>
      </c>
      <c r="Z479" s="666"/>
      <c r="AA479" s="661">
        <v>1613</v>
      </c>
      <c r="AB479" s="672">
        <f>+SUMIF(SYS_cliente!$F$5:$F$1678,'BCE ABREVIADO'!AA479,SYS_cliente!$I$5:$I$1678)</f>
        <v>0</v>
      </c>
    </row>
    <row r="480" spans="21:28" ht="13.8">
      <c r="V480" s="661">
        <v>2558</v>
      </c>
      <c r="W480" s="662">
        <f>+SUMIF(SYS_cliente!$F$5:$F$1678,'BCE ABREVIADO'!V480,SYS_cliente!$I$5:$I$1678)</f>
        <v>0</v>
      </c>
      <c r="Z480" s="666"/>
      <c r="AA480" s="661">
        <v>1614</v>
      </c>
      <c r="AB480" s="672">
        <f>+SUMIF(SYS_cliente!$F$5:$F$1678,'BCE ABREVIADO'!AA480,SYS_cliente!$I$5:$I$1678)</f>
        <v>0</v>
      </c>
    </row>
    <row r="481" spans="21:28" ht="13.8">
      <c r="V481" s="661">
        <v>2559</v>
      </c>
      <c r="W481" s="662">
        <f>+SUMIF(SYS_cliente!$F$5:$F$1678,'BCE ABREVIADO'!V481,SYS_cliente!$I$5:$I$1678)</f>
        <v>0</v>
      </c>
      <c r="Z481" s="666"/>
      <c r="AA481" s="661">
        <v>1623</v>
      </c>
      <c r="AB481" s="672">
        <f>+SUMIF(SYS_cliente!$F$5:$F$1678,'BCE ABREVIADO'!AA481,SYS_cliente!$I$5:$I$1678)</f>
        <v>0</v>
      </c>
    </row>
    <row r="482" spans="21:28" ht="13.8">
      <c r="U482" s="715" t="s">
        <v>124</v>
      </c>
      <c r="V482" s="653" t="s">
        <v>24</v>
      </c>
      <c r="W482" s="654">
        <f>SUM(W483:W493)</f>
        <v>202851.78</v>
      </c>
      <c r="Z482" s="666"/>
      <c r="AA482" s="661">
        <v>1624</v>
      </c>
      <c r="AB482" s="672">
        <f>+SUMIF(SYS_cliente!$F$5:$F$1678,'BCE ABREVIADO'!AA482,SYS_cliente!$I$5:$I$1678)</f>
        <v>0</v>
      </c>
    </row>
    <row r="483" spans="21:28" ht="13.8">
      <c r="V483" s="661">
        <v>2580</v>
      </c>
      <c r="W483" s="662">
        <f>+SUMIF(SYS_cliente!$F$5:$F$1678,'BCE ABREVIADO'!V483,SYS_cliente!$I$5:$I$1678)</f>
        <v>0</v>
      </c>
      <c r="Z483" s="666"/>
      <c r="AA483" s="661">
        <v>1633</v>
      </c>
      <c r="AB483" s="672">
        <f>+SUMIF(SYS_cliente!$F$5:$F$1678,'BCE ABREVIADO'!AA483,SYS_cliente!$I$5:$I$1678)</f>
        <v>0</v>
      </c>
    </row>
    <row r="484" spans="21:28" ht="13.8">
      <c r="V484" s="661">
        <v>2581</v>
      </c>
      <c r="W484" s="662">
        <f>+SUMIF(SYS_cliente!$F$5:$F$1678,'BCE ABREVIADO'!V484,SYS_cliente!$I$5:$I$1678)</f>
        <v>0</v>
      </c>
      <c r="Z484" s="666"/>
      <c r="AA484" s="661">
        <v>1634</v>
      </c>
      <c r="AB484" s="672">
        <f>+SUMIF(SYS_cliente!$F$5:$F$1678,'BCE ABREVIADO'!AA484,SYS_cliente!$I$5:$I$1678)</f>
        <v>0</v>
      </c>
    </row>
    <row r="485" spans="21:28" ht="13.8">
      <c r="V485" s="661">
        <v>2582</v>
      </c>
      <c r="W485" s="662">
        <f>+SUMIF(SYS_cliente!$F$5:$F$1678,'BCE ABREVIADO'!V485,SYS_cliente!$I$5:$I$1678)</f>
        <v>0</v>
      </c>
      <c r="Z485" s="666">
        <v>479</v>
      </c>
      <c r="AA485" s="664" t="s">
        <v>88</v>
      </c>
      <c r="AB485" s="642">
        <f>SUM(AB486:AB495)</f>
        <v>-9992378.5600000005</v>
      </c>
    </row>
    <row r="486" spans="21:28" ht="13.8">
      <c r="V486" s="661">
        <v>2583</v>
      </c>
      <c r="W486" s="662">
        <f>+SUMIF(SYS_cliente!$F$5:$F$1678,'BCE ABREVIADO'!V486,SYS_cliente!$I$5:$I$1678)</f>
        <v>0</v>
      </c>
      <c r="Z486" s="666"/>
      <c r="AA486" s="661">
        <v>4790</v>
      </c>
      <c r="AB486" s="672">
        <f>+SUMIF(SYS_cliente!$F$5:$F$1678,'BCE ABREVIADO'!AA486,SYS_cliente!$I$5:$I$1678)</f>
        <v>-9992378.5600000005</v>
      </c>
    </row>
    <row r="487" spans="21:28" ht="13.8">
      <c r="V487" s="661">
        <v>2584</v>
      </c>
      <c r="W487" s="662">
        <f>+SUMIF(SYS_cliente!$F$5:$F$1678,'BCE ABREVIADO'!V487,SYS_cliente!$I$5:$I$1678)</f>
        <v>0</v>
      </c>
      <c r="Z487" s="666"/>
      <c r="AA487" s="661">
        <v>4791</v>
      </c>
      <c r="AB487" s="672">
        <f>+SUMIF(SYS_cliente!$F$5:$F$1678,'BCE ABREVIADO'!AA487,SYS_cliente!$I$5:$I$1678)</f>
        <v>0</v>
      </c>
    </row>
    <row r="488" spans="21:28" ht="13.8">
      <c r="V488" s="661">
        <v>2585</v>
      </c>
      <c r="W488" s="662">
        <f>+SUMIF(SYS_cliente!$F$5:$F$1678,'BCE ABREVIADO'!V488,SYS_cliente!$I$5:$I$1678)</f>
        <v>0</v>
      </c>
      <c r="Z488" s="666"/>
      <c r="AA488" s="661">
        <v>4792</v>
      </c>
      <c r="AB488" s="672">
        <f>+SUMIF(SYS_cliente!$F$5:$F$1678,'BCE ABREVIADO'!AA488,SYS_cliente!$I$5:$I$1678)</f>
        <v>0</v>
      </c>
    </row>
    <row r="489" spans="21:28" ht="13.8">
      <c r="V489" s="661">
        <v>2586</v>
      </c>
      <c r="W489" s="662">
        <f>+SUMIF(SYS_cliente!$F$5:$F$1678,'BCE ABREVIADO'!V489,SYS_cliente!$I$5:$I$1678)</f>
        <v>0</v>
      </c>
      <c r="Z489" s="666"/>
      <c r="AA489" s="661">
        <v>4793</v>
      </c>
      <c r="AB489" s="672">
        <f>+SUMIF(SYS_cliente!$F$5:$F$1678,'BCE ABREVIADO'!AA489,SYS_cliente!$I$5:$I$1678)</f>
        <v>0</v>
      </c>
    </row>
    <row r="490" spans="21:28" ht="13.8">
      <c r="V490" s="661">
        <v>2587</v>
      </c>
      <c r="W490" s="662">
        <f>+SUMIF(SYS_cliente!$F$5:$F$1678,'BCE ABREVIADO'!V490,SYS_cliente!$I$5:$I$1678)</f>
        <v>0</v>
      </c>
      <c r="Z490" s="666"/>
      <c r="AA490" s="661">
        <v>4794</v>
      </c>
      <c r="AB490" s="672">
        <f>+SUMIF(SYS_cliente!$F$5:$F$1678,'BCE ABREVIADO'!AA490,SYS_cliente!$I$5:$I$1678)</f>
        <v>0</v>
      </c>
    </row>
    <row r="491" spans="21:28" ht="13.8">
      <c r="V491" s="661">
        <v>2588</v>
      </c>
      <c r="W491" s="662">
        <f>+SUMIF(SYS_cliente!$F$5:$F$1678,'BCE ABREVIADO'!V491,SYS_cliente!$I$5:$I$1678)</f>
        <v>0</v>
      </c>
      <c r="Z491" s="666"/>
      <c r="AA491" s="661">
        <v>4795</v>
      </c>
      <c r="AB491" s="672">
        <f>+SUMIF(SYS_cliente!$F$5:$F$1678,'BCE ABREVIADO'!AA491,SYS_cliente!$I$5:$I$1678)</f>
        <v>0</v>
      </c>
    </row>
    <row r="492" spans="21:28" ht="13.8">
      <c r="V492" s="661">
        <v>2589</v>
      </c>
      <c r="W492" s="662">
        <f>+SUMIF(SYS_cliente!$F$5:$F$1678,'BCE ABREVIADO'!V492,SYS_cliente!$I$5:$I$1678)</f>
        <v>0</v>
      </c>
      <c r="Z492" s="666"/>
      <c r="AA492" s="661">
        <v>4796</v>
      </c>
      <c r="AB492" s="672">
        <f>+SUMIF(SYS_cliente!$F$5:$F$1678,'BCE ABREVIADO'!AA492,SYS_cliente!$I$5:$I$1678)</f>
        <v>0</v>
      </c>
    </row>
    <row r="493" spans="21:28" ht="13.8">
      <c r="V493" s="661">
        <v>2600</v>
      </c>
      <c r="W493" s="662">
        <f>+SUMIF(SYS_cliente!$F$5:$F$1678,'BCE ABREVIADO'!V493,SYS_cliente!$I$5:$I$1678)</f>
        <v>202851.78</v>
      </c>
      <c r="Z493" s="666"/>
      <c r="AA493" s="661">
        <v>4797</v>
      </c>
      <c r="AB493" s="672">
        <f>+SUMIF(SYS_cliente!$F$5:$F$1678,'BCE ABREVIADO'!AA493,SYS_cliente!$I$5:$I$1678)</f>
        <v>0</v>
      </c>
    </row>
    <row r="494" spans="21:28" ht="13.8">
      <c r="V494" s="661">
        <v>2601</v>
      </c>
      <c r="W494" s="662">
        <f>+SUMIF(SYS_cliente!$F$5:$F$1678,'BCE ABREVIADO'!V494,SYS_cliente!$I$5:$I$1678)</f>
        <v>0</v>
      </c>
      <c r="Z494" s="666"/>
      <c r="AA494" s="661">
        <v>4798</v>
      </c>
      <c r="AB494" s="672">
        <f>+SUMIF(SYS_cliente!$F$5:$F$1678,'BCE ABREVIADO'!AA494,SYS_cliente!$I$5:$I$1678)</f>
        <v>0</v>
      </c>
    </row>
    <row r="495" spans="21:28" ht="13.8">
      <c r="V495" s="661">
        <v>2602</v>
      </c>
      <c r="W495" s="662">
        <f>+SUMIF(SYS_cliente!$F$5:$F$1678,'BCE ABREVIADO'!V495,SYS_cliente!$I$5:$I$1678)</f>
        <v>0</v>
      </c>
      <c r="Z495" s="666"/>
      <c r="AA495" s="661">
        <v>4799</v>
      </c>
      <c r="AB495" s="672">
        <f>+SUMIF(SYS_cliente!$F$5:$F$1678,'BCE ABREVIADO'!AA495,SYS_cliente!$I$5:$I$1678)</f>
        <v>0</v>
      </c>
    </row>
    <row r="496" spans="21:28" ht="13.8">
      <c r="V496" s="661">
        <v>2603</v>
      </c>
      <c r="W496" s="662">
        <f>+SUMIF(SYS_cliente!$F$5:$F$1678,'BCE ABREVIADO'!V496,SYS_cliente!$I$5:$I$1678)</f>
        <v>0</v>
      </c>
      <c r="Z496" s="666">
        <v>181</v>
      </c>
      <c r="AA496" s="664" t="s">
        <v>89</v>
      </c>
      <c r="AB496" s="642">
        <f>SUM(AB497:AB506)</f>
        <v>0</v>
      </c>
    </row>
    <row r="497" spans="22:28" ht="13.8">
      <c r="V497" s="661">
        <v>2604</v>
      </c>
      <c r="W497" s="662">
        <f>+SUMIF(SYS_cliente!$F$5:$F$1678,'BCE ABREVIADO'!V497,SYS_cliente!$I$5:$I$1678)</f>
        <v>0</v>
      </c>
      <c r="Z497" s="666"/>
      <c r="AA497" s="661">
        <v>1810</v>
      </c>
      <c r="AB497" s="672">
        <f>+SUMIF(SYS_cliente!$F$5:$F$1678,'BCE ABREVIADO'!AA497,SYS_cliente!$I$5:$I$1678)</f>
        <v>0</v>
      </c>
    </row>
    <row r="498" spans="22:28" ht="13.8">
      <c r="V498" s="661">
        <v>2605</v>
      </c>
      <c r="W498" s="662">
        <f>+SUMIF(SYS_cliente!$F$5:$F$1678,'BCE ABREVIADO'!V498,SYS_cliente!$I$5:$I$1678)</f>
        <v>0</v>
      </c>
      <c r="Z498" s="666"/>
      <c r="AA498" s="661">
        <v>1811</v>
      </c>
      <c r="AB498" s="672">
        <f>+SUMIF(SYS_cliente!$F$5:$F$1678,'BCE ABREVIADO'!AA498,SYS_cliente!$I$5:$I$1678)</f>
        <v>0</v>
      </c>
    </row>
    <row r="499" spans="22:28" ht="13.8">
      <c r="V499" s="661">
        <v>2606</v>
      </c>
      <c r="W499" s="662">
        <f>+SUMIF(SYS_cliente!$F$5:$F$1678,'BCE ABREVIADO'!V499,SYS_cliente!$I$5:$I$1678)</f>
        <v>0</v>
      </c>
      <c r="Z499" s="666"/>
      <c r="AA499" s="661">
        <v>1812</v>
      </c>
      <c r="AB499" s="672">
        <f>+SUMIF(SYS_cliente!$F$5:$F$1678,'BCE ABREVIADO'!AA499,SYS_cliente!$I$5:$I$1678)</f>
        <v>0</v>
      </c>
    </row>
    <row r="500" spans="22:28" ht="13.8">
      <c r="V500" s="661">
        <v>2607</v>
      </c>
      <c r="W500" s="662">
        <f>+SUMIF(SYS_cliente!$F$5:$F$1678,'BCE ABREVIADO'!V500,SYS_cliente!$I$5:$I$1678)</f>
        <v>0</v>
      </c>
      <c r="Z500" s="666"/>
      <c r="AA500" s="661">
        <v>1813</v>
      </c>
      <c r="AB500" s="672">
        <f>+SUMIF(SYS_cliente!$F$5:$F$1678,'BCE ABREVIADO'!AA500,SYS_cliente!$I$5:$I$1678)</f>
        <v>0</v>
      </c>
    </row>
    <row r="501" spans="22:28" ht="13.8">
      <c r="V501" s="661">
        <v>2608</v>
      </c>
      <c r="W501" s="662">
        <f>+SUMIF(SYS_cliente!$F$5:$F$1678,'BCE ABREVIADO'!V501,SYS_cliente!$I$5:$I$1678)</f>
        <v>0</v>
      </c>
      <c r="Z501" s="666"/>
      <c r="AA501" s="661">
        <v>1814</v>
      </c>
      <c r="AB501" s="672">
        <f>+SUMIF(SYS_cliente!$F$5:$F$1678,'BCE ABREVIADO'!AA501,SYS_cliente!$I$5:$I$1678)</f>
        <v>0</v>
      </c>
    </row>
    <row r="502" spans="22:28" ht="13.8">
      <c r="V502" s="661">
        <v>2609</v>
      </c>
      <c r="W502" s="662">
        <f>+SUMIF(SYS_cliente!$F$5:$F$1678,'BCE ABREVIADO'!V502,SYS_cliente!$I$5:$I$1678)</f>
        <v>0</v>
      </c>
      <c r="Z502" s="666"/>
      <c r="AA502" s="661">
        <v>1815</v>
      </c>
      <c r="AB502" s="672">
        <f>+SUMIF(SYS_cliente!$F$5:$F$1678,'BCE ABREVIADO'!AA502,SYS_cliente!$I$5:$I$1678)</f>
        <v>0</v>
      </c>
    </row>
    <row r="503" spans="22:28" ht="13.8">
      <c r="V503" s="661">
        <v>2610</v>
      </c>
      <c r="W503" s="662">
        <f>+SUMIF(SYS_cliente!$F$5:$F$1678,'BCE ABREVIADO'!V503,SYS_cliente!$I$5:$I$1678)</f>
        <v>0</v>
      </c>
      <c r="Z503" s="666"/>
      <c r="AA503" s="661">
        <v>1816</v>
      </c>
      <c r="AB503" s="672">
        <f>+SUMIF(SYS_cliente!$F$5:$F$1678,'BCE ABREVIADO'!AA503,SYS_cliente!$I$5:$I$1678)</f>
        <v>0</v>
      </c>
    </row>
    <row r="504" spans="22:28" ht="13.8">
      <c r="V504" s="661">
        <v>2611</v>
      </c>
      <c r="W504" s="662">
        <f>+SUMIF(SYS_cliente!$F$5:$F$1678,'BCE ABREVIADO'!V504,SYS_cliente!$I$5:$I$1678)</f>
        <v>0</v>
      </c>
      <c r="Z504" s="666"/>
      <c r="AA504" s="661">
        <v>1817</v>
      </c>
      <c r="AB504" s="672">
        <f>+SUMIF(SYS_cliente!$F$5:$F$1678,'BCE ABREVIADO'!AA504,SYS_cliente!$I$5:$I$1678)</f>
        <v>0</v>
      </c>
    </row>
    <row r="505" spans="22:28" ht="13.8">
      <c r="V505" s="661">
        <v>2612</v>
      </c>
      <c r="W505" s="662">
        <f>+SUMIF(SYS_cliente!$F$5:$F$1678,'BCE ABREVIADO'!V505,SYS_cliente!$I$5:$I$1678)</f>
        <v>0</v>
      </c>
      <c r="Z505" s="666"/>
      <c r="AA505" s="661">
        <v>1818</v>
      </c>
      <c r="AB505" s="672">
        <f>+SUMIF(SYS_cliente!$F$5:$F$1678,'BCE ABREVIADO'!AA505,SYS_cliente!$I$5:$I$1678)</f>
        <v>0</v>
      </c>
    </row>
    <row r="506" spans="22:28" ht="13.8">
      <c r="V506" s="661">
        <v>2613</v>
      </c>
      <c r="W506" s="662">
        <f>+SUMIF(SYS_cliente!$F$5:$F$1678,'BCE ABREVIADO'!V506,SYS_cliente!$I$5:$I$1678)</f>
        <v>0</v>
      </c>
      <c r="Z506" s="553"/>
      <c r="AA506" s="661">
        <v>1819</v>
      </c>
      <c r="AB506" s="672">
        <f>+SUMIF(SYS_cliente!$F$5:$F$1678,'BCE ABREVIADO'!AA506,SYS_cliente!$I$5:$I$1678)</f>
        <v>0</v>
      </c>
    </row>
    <row r="507" spans="22:28" ht="13.8">
      <c r="V507" s="661">
        <v>2614</v>
      </c>
      <c r="W507" s="662">
        <f>+SUMIF(SYS_cliente!$F$5:$F$1678,'BCE ABREVIADO'!V507,SYS_cliente!$I$5:$I$1678)</f>
        <v>0</v>
      </c>
      <c r="Z507" s="553"/>
    </row>
    <row r="508" spans="22:28" ht="13.8">
      <c r="V508" s="661">
        <v>2615</v>
      </c>
      <c r="W508" s="662">
        <f>+SUMIF(SYS_cliente!$F$5:$F$1678,'BCE ABREVIADO'!V508,SYS_cliente!$I$5:$I$1678)</f>
        <v>0</v>
      </c>
      <c r="AA508" s="716" t="s">
        <v>91</v>
      </c>
      <c r="AB508" s="637"/>
    </row>
    <row r="509" spans="22:28" ht="13.8">
      <c r="V509" s="661">
        <v>2616</v>
      </c>
      <c r="W509" s="662">
        <f>+SUMIF(SYS_cliente!$F$5:$F$1678,'BCE ABREVIADO'!V509,SYS_cliente!$I$5:$I$1678)</f>
        <v>0</v>
      </c>
      <c r="Z509" s="666" t="s">
        <v>157</v>
      </c>
      <c r="AA509" s="664" t="s">
        <v>92</v>
      </c>
      <c r="AB509" s="642">
        <f>SUM(AB510:AB559)</f>
        <v>0</v>
      </c>
    </row>
    <row r="510" spans="22:28" ht="13.8">
      <c r="V510" s="661">
        <v>2617</v>
      </c>
      <c r="W510" s="662">
        <f>+SUMIF(SYS_cliente!$F$5:$F$1678,'BCE ABREVIADO'!V510,SYS_cliente!$I$5:$I$1678)</f>
        <v>0</v>
      </c>
      <c r="Z510" s="666"/>
      <c r="AA510" s="661">
        <v>5850</v>
      </c>
      <c r="AB510" s="672">
        <f>+SUMIF(SYS_cliente!$F$5:$F$1678,'BCE ABREVIADO'!AA510,SYS_cliente!$I$5:$I$1678)</f>
        <v>0</v>
      </c>
    </row>
    <row r="511" spans="22:28" ht="13.8">
      <c r="V511" s="661">
        <v>2618</v>
      </c>
      <c r="W511" s="662">
        <f>+SUMIF(SYS_cliente!$F$5:$F$1678,'BCE ABREVIADO'!V511,SYS_cliente!$I$5:$I$1678)</f>
        <v>0</v>
      </c>
      <c r="Z511" s="666"/>
      <c r="AA511" s="661">
        <v>5851</v>
      </c>
      <c r="AB511" s="672">
        <f>+SUMIF(SYS_cliente!$F$5:$F$1678,'BCE ABREVIADO'!AA511,SYS_cliente!$I$5:$I$1678)</f>
        <v>0</v>
      </c>
    </row>
    <row r="512" spans="22:28" ht="13.8">
      <c r="V512" s="661">
        <v>2619</v>
      </c>
      <c r="W512" s="662">
        <f>+SUMIF(SYS_cliente!$F$5:$F$1678,'BCE ABREVIADO'!V512,SYS_cliente!$I$5:$I$1678)</f>
        <v>0</v>
      </c>
      <c r="Z512" s="666"/>
      <c r="AA512" s="661">
        <v>5852</v>
      </c>
      <c r="AB512" s="672">
        <f>+SUMIF(SYS_cliente!$F$5:$F$1678,'BCE ABREVIADO'!AA512,SYS_cliente!$I$5:$I$1678)</f>
        <v>0</v>
      </c>
    </row>
    <row r="513" spans="22:28" ht="13.8">
      <c r="V513" s="661">
        <v>2620</v>
      </c>
      <c r="W513" s="662">
        <f>+SUMIF(SYS_cliente!$F$5:$F$1678,'BCE ABREVIADO'!V513,SYS_cliente!$I$5:$I$1678)</f>
        <v>0</v>
      </c>
      <c r="Z513" s="666"/>
      <c r="AA513" s="661">
        <v>5853</v>
      </c>
      <c r="AB513" s="672">
        <f>+SUMIF(SYS_cliente!$F$5:$F$1678,'BCE ABREVIADO'!AA513,SYS_cliente!$I$5:$I$1678)</f>
        <v>0</v>
      </c>
    </row>
    <row r="514" spans="22:28" ht="13.8">
      <c r="V514" s="661">
        <v>2621</v>
      </c>
      <c r="W514" s="662">
        <f>+SUMIF(SYS_cliente!$F$5:$F$1678,'BCE ABREVIADO'!V514,SYS_cliente!$I$5:$I$1678)</f>
        <v>0</v>
      </c>
      <c r="Z514" s="666"/>
      <c r="AA514" s="661">
        <v>5854</v>
      </c>
      <c r="AB514" s="672">
        <f>+SUMIF(SYS_cliente!$F$5:$F$1678,'BCE ABREVIADO'!AA514,SYS_cliente!$I$5:$I$1678)</f>
        <v>0</v>
      </c>
    </row>
    <row r="515" spans="22:28" ht="13.8">
      <c r="V515" s="661">
        <v>2622</v>
      </c>
      <c r="W515" s="662">
        <f>+SUMIF(SYS_cliente!$F$5:$F$1678,'BCE ABREVIADO'!V515,SYS_cliente!$I$5:$I$1678)</f>
        <v>0</v>
      </c>
      <c r="Z515" s="666"/>
      <c r="AA515" s="661">
        <v>5855</v>
      </c>
      <c r="AB515" s="672">
        <f>+SUMIF(SYS_cliente!$F$5:$F$1678,'BCE ABREVIADO'!AA515,SYS_cliente!$I$5:$I$1678)</f>
        <v>0</v>
      </c>
    </row>
    <row r="516" spans="22:28" ht="13.8">
      <c r="V516" s="661">
        <v>2623</v>
      </c>
      <c r="W516" s="662">
        <f>+SUMIF(SYS_cliente!$F$5:$F$1678,'BCE ABREVIADO'!V516,SYS_cliente!$I$5:$I$1678)</f>
        <v>0</v>
      </c>
      <c r="Z516" s="666"/>
      <c r="AA516" s="661">
        <v>5856</v>
      </c>
      <c r="AB516" s="672">
        <f>+SUMIF(SYS_cliente!$F$5:$F$1678,'BCE ABREVIADO'!AA516,SYS_cliente!$I$5:$I$1678)</f>
        <v>0</v>
      </c>
    </row>
    <row r="517" spans="22:28" ht="13.8">
      <c r="V517" s="661">
        <v>2624</v>
      </c>
      <c r="W517" s="662">
        <f>+SUMIF(SYS_cliente!$F$5:$F$1678,'BCE ABREVIADO'!V517,SYS_cliente!$I$5:$I$1678)</f>
        <v>0</v>
      </c>
      <c r="Z517" s="666"/>
      <c r="AA517" s="661">
        <v>5857</v>
      </c>
      <c r="AB517" s="672">
        <f>+SUMIF(SYS_cliente!$F$5:$F$1678,'BCE ABREVIADO'!AA517,SYS_cliente!$I$5:$I$1678)</f>
        <v>0</v>
      </c>
    </row>
    <row r="518" spans="22:28" ht="13.8">
      <c r="V518" s="661">
        <v>2625</v>
      </c>
      <c r="W518" s="662">
        <f>+SUMIF(SYS_cliente!$F$5:$F$1678,'BCE ABREVIADO'!V518,SYS_cliente!$I$5:$I$1678)</f>
        <v>0</v>
      </c>
      <c r="Z518" s="666"/>
      <c r="AA518" s="661">
        <v>5858</v>
      </c>
      <c r="AB518" s="672">
        <f>+SUMIF(SYS_cliente!$F$5:$F$1678,'BCE ABREVIADO'!AA518,SYS_cliente!$I$5:$I$1678)</f>
        <v>0</v>
      </c>
    </row>
    <row r="519" spans="22:28" ht="13.8">
      <c r="V519" s="661">
        <v>2626</v>
      </c>
      <c r="W519" s="662">
        <f>+SUMIF(SYS_cliente!$F$5:$F$1678,'BCE ABREVIADO'!V519,SYS_cliente!$I$5:$I$1678)</f>
        <v>0</v>
      </c>
      <c r="Z519" s="666"/>
      <c r="AA519" s="661">
        <v>5859</v>
      </c>
      <c r="AB519" s="672">
        <f>+SUMIF(SYS_cliente!$F$5:$F$1678,'BCE ABREVIADO'!AA519,SYS_cliente!$I$5:$I$1678)</f>
        <v>0</v>
      </c>
    </row>
    <row r="520" spans="22:28" ht="13.8">
      <c r="V520" s="661">
        <v>2627</v>
      </c>
      <c r="W520" s="662">
        <f>+SUMIF(SYS_cliente!$F$5:$F$1678,'BCE ABREVIADO'!V520,SYS_cliente!$I$5:$I$1678)</f>
        <v>0</v>
      </c>
      <c r="Z520" s="666"/>
      <c r="AA520" s="661">
        <v>5860</v>
      </c>
      <c r="AB520" s="672">
        <f>+SUMIF(SYS_cliente!$F$5:$F$1678,'BCE ABREVIADO'!AA520,SYS_cliente!$I$5:$I$1678)</f>
        <v>0</v>
      </c>
    </row>
    <row r="521" spans="22:28" ht="13.8">
      <c r="V521" s="661">
        <v>2628</v>
      </c>
      <c r="W521" s="662">
        <f>+SUMIF(SYS_cliente!$F$5:$F$1678,'BCE ABREVIADO'!V521,SYS_cliente!$I$5:$I$1678)</f>
        <v>0</v>
      </c>
      <c r="Z521" s="666"/>
      <c r="AA521" s="661">
        <v>5861</v>
      </c>
      <c r="AB521" s="672">
        <f>+SUMIF(SYS_cliente!$F$5:$F$1678,'BCE ABREVIADO'!AA521,SYS_cliente!$I$5:$I$1678)</f>
        <v>0</v>
      </c>
    </row>
    <row r="522" spans="22:28" ht="13.8">
      <c r="V522" s="661">
        <v>2629</v>
      </c>
      <c r="W522" s="662">
        <f>+SUMIF(SYS_cliente!$F$5:$F$1678,'BCE ABREVIADO'!V522,SYS_cliente!$I$5:$I$1678)</f>
        <v>0</v>
      </c>
      <c r="Z522" s="666"/>
      <c r="AA522" s="661">
        <v>5862</v>
      </c>
      <c r="AB522" s="672">
        <f>+SUMIF(SYS_cliente!$F$5:$F$1678,'BCE ABREVIADO'!AA522,SYS_cliente!$I$5:$I$1678)</f>
        <v>0</v>
      </c>
    </row>
    <row r="523" spans="22:28" ht="13.8">
      <c r="V523" s="661">
        <v>2630</v>
      </c>
      <c r="W523" s="662">
        <f>+SUMIF(SYS_cliente!$F$5:$F$1678,'BCE ABREVIADO'!V523,SYS_cliente!$I$5:$I$1678)</f>
        <v>0</v>
      </c>
      <c r="Z523" s="666"/>
      <c r="AA523" s="661">
        <v>5863</v>
      </c>
      <c r="AB523" s="672">
        <f>+SUMIF(SYS_cliente!$F$5:$F$1678,'BCE ABREVIADO'!AA523,SYS_cliente!$I$5:$I$1678)</f>
        <v>0</v>
      </c>
    </row>
    <row r="524" spans="22:28" ht="13.8">
      <c r="V524" s="661">
        <v>2631</v>
      </c>
      <c r="W524" s="662">
        <f>+SUMIF(SYS_cliente!$F$5:$F$1678,'BCE ABREVIADO'!V524,SYS_cliente!$I$5:$I$1678)</f>
        <v>0</v>
      </c>
      <c r="Z524" s="666"/>
      <c r="AA524" s="661">
        <v>5864</v>
      </c>
      <c r="AB524" s="672">
        <f>+SUMIF(SYS_cliente!$F$5:$F$1678,'BCE ABREVIADO'!AA524,SYS_cliente!$I$5:$I$1678)</f>
        <v>0</v>
      </c>
    </row>
    <row r="525" spans="22:28" ht="13.8">
      <c r="V525" s="661">
        <v>2632</v>
      </c>
      <c r="W525" s="662">
        <f>+SUMIF(SYS_cliente!$F$5:$F$1678,'BCE ABREVIADO'!V525,SYS_cliente!$I$5:$I$1678)</f>
        <v>0</v>
      </c>
      <c r="Z525" s="666"/>
      <c r="AA525" s="661">
        <v>5865</v>
      </c>
      <c r="AB525" s="672">
        <f>+SUMIF(SYS_cliente!$F$5:$F$1678,'BCE ABREVIADO'!AA525,SYS_cliente!$I$5:$I$1678)</f>
        <v>0</v>
      </c>
    </row>
    <row r="526" spans="22:28" ht="13.8">
      <c r="V526" s="661">
        <v>2633</v>
      </c>
      <c r="W526" s="662">
        <f>+SUMIF(SYS_cliente!$F$5:$F$1678,'BCE ABREVIADO'!V526,SYS_cliente!$I$5:$I$1678)</f>
        <v>0</v>
      </c>
      <c r="Z526" s="666"/>
      <c r="AA526" s="661">
        <v>5866</v>
      </c>
      <c r="AB526" s="672">
        <f>+SUMIF(SYS_cliente!$F$5:$F$1678,'BCE ABREVIADO'!AA526,SYS_cliente!$I$5:$I$1678)</f>
        <v>0</v>
      </c>
    </row>
    <row r="527" spans="22:28" ht="13.8">
      <c r="V527" s="661">
        <v>2634</v>
      </c>
      <c r="W527" s="662">
        <f>+SUMIF(SYS_cliente!$F$5:$F$1678,'BCE ABREVIADO'!V527,SYS_cliente!$I$5:$I$1678)</f>
        <v>0</v>
      </c>
      <c r="Z527" s="666"/>
      <c r="AA527" s="661">
        <v>5867</v>
      </c>
      <c r="AB527" s="672">
        <f>+SUMIF(SYS_cliente!$F$5:$F$1678,'BCE ABREVIADO'!AA527,SYS_cliente!$I$5:$I$1678)</f>
        <v>0</v>
      </c>
    </row>
    <row r="528" spans="22:28" ht="13.8">
      <c r="V528" s="661">
        <v>2635</v>
      </c>
      <c r="W528" s="662">
        <f>+SUMIF(SYS_cliente!$F$5:$F$1678,'BCE ABREVIADO'!V528,SYS_cliente!$I$5:$I$1678)</f>
        <v>0</v>
      </c>
      <c r="Z528" s="666"/>
      <c r="AA528" s="661">
        <v>5868</v>
      </c>
      <c r="AB528" s="672">
        <f>+SUMIF(SYS_cliente!$F$5:$F$1678,'BCE ABREVIADO'!AA528,SYS_cliente!$I$5:$I$1678)</f>
        <v>0</v>
      </c>
    </row>
    <row r="529" spans="22:28" ht="13.8">
      <c r="V529" s="661">
        <v>2636</v>
      </c>
      <c r="W529" s="662">
        <f>+SUMIF(SYS_cliente!$F$5:$F$1678,'BCE ABREVIADO'!V529,SYS_cliente!$I$5:$I$1678)</f>
        <v>0</v>
      </c>
      <c r="Z529" s="666"/>
      <c r="AA529" s="661">
        <v>5869</v>
      </c>
      <c r="AB529" s="672">
        <f>+SUMIF(SYS_cliente!$F$5:$F$1678,'BCE ABREVIADO'!AA529,SYS_cliente!$I$5:$I$1678)</f>
        <v>0</v>
      </c>
    </row>
    <row r="530" spans="22:28" ht="13.8">
      <c r="V530" s="661">
        <v>2637</v>
      </c>
      <c r="W530" s="662">
        <f>+SUMIF(SYS_cliente!$F$5:$F$1678,'BCE ABREVIADO'!V530,SYS_cliente!$I$5:$I$1678)</f>
        <v>0</v>
      </c>
      <c r="Z530" s="666"/>
      <c r="AA530" s="661">
        <v>5870</v>
      </c>
      <c r="AB530" s="672">
        <f>+SUMIF(SYS_cliente!$F$5:$F$1678,'BCE ABREVIADO'!AA530,SYS_cliente!$I$5:$I$1678)</f>
        <v>0</v>
      </c>
    </row>
    <row r="531" spans="22:28" ht="13.8">
      <c r="V531" s="661">
        <v>2638</v>
      </c>
      <c r="W531" s="662">
        <f>+SUMIF(SYS_cliente!$F$5:$F$1678,'BCE ABREVIADO'!V531,SYS_cliente!$I$5:$I$1678)</f>
        <v>0</v>
      </c>
      <c r="Z531" s="666"/>
      <c r="AA531" s="661">
        <v>5871</v>
      </c>
      <c r="AB531" s="672">
        <f>+SUMIF(SYS_cliente!$F$5:$F$1678,'BCE ABREVIADO'!AA531,SYS_cliente!$I$5:$I$1678)</f>
        <v>0</v>
      </c>
    </row>
    <row r="532" spans="22:28" ht="13.8">
      <c r="V532" s="661">
        <v>2639</v>
      </c>
      <c r="W532" s="662">
        <f>+SUMIF(SYS_cliente!$F$5:$F$1678,'BCE ABREVIADO'!V532,SYS_cliente!$I$5:$I$1678)</f>
        <v>0</v>
      </c>
      <c r="Z532" s="666"/>
      <c r="AA532" s="661">
        <v>5872</v>
      </c>
      <c r="AB532" s="672">
        <f>+SUMIF(SYS_cliente!$F$5:$F$1678,'BCE ABREVIADO'!AA532,SYS_cliente!$I$5:$I$1678)</f>
        <v>0</v>
      </c>
    </row>
    <row r="533" spans="22:28" ht="13.8">
      <c r="V533" s="661">
        <v>2640</v>
      </c>
      <c r="W533" s="662">
        <f>+SUMIF(SYS_cliente!$F$5:$F$1678,'BCE ABREVIADO'!V533,SYS_cliente!$I$5:$I$1678)</f>
        <v>0</v>
      </c>
      <c r="Z533" s="666"/>
      <c r="AA533" s="661">
        <v>5873</v>
      </c>
      <c r="AB533" s="672">
        <f>+SUMIF(SYS_cliente!$F$5:$F$1678,'BCE ABREVIADO'!AA533,SYS_cliente!$I$5:$I$1678)</f>
        <v>0</v>
      </c>
    </row>
    <row r="534" spans="22:28" ht="13.8">
      <c r="V534" s="661">
        <v>2641</v>
      </c>
      <c r="W534" s="662">
        <f>+SUMIF(SYS_cliente!$F$5:$F$1678,'BCE ABREVIADO'!V534,SYS_cliente!$I$5:$I$1678)</f>
        <v>0</v>
      </c>
      <c r="Z534" s="666"/>
      <c r="AA534" s="661">
        <v>5874</v>
      </c>
      <c r="AB534" s="672">
        <f>+SUMIF(SYS_cliente!$F$5:$F$1678,'BCE ABREVIADO'!AA534,SYS_cliente!$I$5:$I$1678)</f>
        <v>0</v>
      </c>
    </row>
    <row r="535" spans="22:28" ht="13.8">
      <c r="V535" s="661">
        <v>2642</v>
      </c>
      <c r="W535" s="662">
        <f>+SUMIF(SYS_cliente!$F$5:$F$1678,'BCE ABREVIADO'!V535,SYS_cliente!$I$5:$I$1678)</f>
        <v>0</v>
      </c>
      <c r="Z535" s="666"/>
      <c r="AA535" s="661">
        <v>5875</v>
      </c>
      <c r="AB535" s="672">
        <f>+SUMIF(SYS_cliente!$F$5:$F$1678,'BCE ABREVIADO'!AA535,SYS_cliente!$I$5:$I$1678)</f>
        <v>0</v>
      </c>
    </row>
    <row r="536" spans="22:28" ht="13.8">
      <c r="V536" s="661">
        <v>2643</v>
      </c>
      <c r="W536" s="662">
        <f>+SUMIF(SYS_cliente!$F$5:$F$1678,'BCE ABREVIADO'!V536,SYS_cliente!$I$5:$I$1678)</f>
        <v>0</v>
      </c>
      <c r="Z536" s="666"/>
      <c r="AA536" s="661">
        <v>5876</v>
      </c>
      <c r="AB536" s="672">
        <f>+SUMIF(SYS_cliente!$F$5:$F$1678,'BCE ABREVIADO'!AA536,SYS_cliente!$I$5:$I$1678)</f>
        <v>0</v>
      </c>
    </row>
    <row r="537" spans="22:28" ht="13.8">
      <c r="V537" s="661">
        <v>2644</v>
      </c>
      <c r="W537" s="662">
        <f>+SUMIF(SYS_cliente!$F$5:$F$1678,'BCE ABREVIADO'!V537,SYS_cliente!$I$5:$I$1678)</f>
        <v>0</v>
      </c>
      <c r="Z537" s="666"/>
      <c r="AA537" s="661">
        <v>5877</v>
      </c>
      <c r="AB537" s="672">
        <f>+SUMIF(SYS_cliente!$F$5:$F$1678,'BCE ABREVIADO'!AA537,SYS_cliente!$I$5:$I$1678)</f>
        <v>0</v>
      </c>
    </row>
    <row r="538" spans="22:28" ht="13.8">
      <c r="V538" s="661">
        <v>2645</v>
      </c>
      <c r="W538" s="662">
        <f>+SUMIF(SYS_cliente!$F$5:$F$1678,'BCE ABREVIADO'!V538,SYS_cliente!$I$5:$I$1678)</f>
        <v>0</v>
      </c>
      <c r="Z538" s="666"/>
      <c r="AA538" s="661">
        <v>5878</v>
      </c>
      <c r="AB538" s="672">
        <f>+SUMIF(SYS_cliente!$F$5:$F$1678,'BCE ABREVIADO'!AA538,SYS_cliente!$I$5:$I$1678)</f>
        <v>0</v>
      </c>
    </row>
    <row r="539" spans="22:28" ht="13.8">
      <c r="V539" s="661">
        <v>2646</v>
      </c>
      <c r="W539" s="662">
        <f>+SUMIF(SYS_cliente!$F$5:$F$1678,'BCE ABREVIADO'!V539,SYS_cliente!$I$5:$I$1678)</f>
        <v>0</v>
      </c>
      <c r="Z539" s="666"/>
      <c r="AA539" s="661">
        <v>5879</v>
      </c>
      <c r="AB539" s="672">
        <f>+SUMIF(SYS_cliente!$F$5:$F$1678,'BCE ABREVIADO'!AA539,SYS_cliente!$I$5:$I$1678)</f>
        <v>0</v>
      </c>
    </row>
    <row r="540" spans="22:28" ht="13.8">
      <c r="V540" s="661">
        <v>2647</v>
      </c>
      <c r="W540" s="662">
        <f>+SUMIF(SYS_cliente!$F$5:$F$1678,'BCE ABREVIADO'!V540,SYS_cliente!$I$5:$I$1678)</f>
        <v>0</v>
      </c>
      <c r="Z540" s="666"/>
      <c r="AA540" s="661">
        <v>5880</v>
      </c>
      <c r="AB540" s="672">
        <f>+SUMIF(SYS_cliente!$F$5:$F$1678,'BCE ABREVIADO'!AA540,SYS_cliente!$I$5:$I$1678)</f>
        <v>0</v>
      </c>
    </row>
    <row r="541" spans="22:28" ht="13.8">
      <c r="V541" s="661">
        <v>2648</v>
      </c>
      <c r="W541" s="662">
        <f>+SUMIF(SYS_cliente!$F$5:$F$1678,'BCE ABREVIADO'!V541,SYS_cliente!$I$5:$I$1678)</f>
        <v>0</v>
      </c>
      <c r="Z541" s="666"/>
      <c r="AA541" s="661">
        <v>5881</v>
      </c>
      <c r="AB541" s="672">
        <f>+SUMIF(SYS_cliente!$F$5:$F$1678,'BCE ABREVIADO'!AA541,SYS_cliente!$I$5:$I$1678)</f>
        <v>0</v>
      </c>
    </row>
    <row r="542" spans="22:28" ht="13.8">
      <c r="V542" s="661">
        <v>2649</v>
      </c>
      <c r="W542" s="662">
        <f>+SUMIF(SYS_cliente!$F$5:$F$1678,'BCE ABREVIADO'!V542,SYS_cliente!$I$5:$I$1678)</f>
        <v>0</v>
      </c>
      <c r="Z542" s="666"/>
      <c r="AA542" s="661">
        <v>5882</v>
      </c>
      <c r="AB542" s="672">
        <f>+SUMIF(SYS_cliente!$F$5:$F$1678,'BCE ABREVIADO'!AA542,SYS_cliente!$I$5:$I$1678)</f>
        <v>0</v>
      </c>
    </row>
    <row r="543" spans="22:28" ht="13.8">
      <c r="V543" s="661">
        <v>2650</v>
      </c>
      <c r="W543" s="662">
        <f>+SUMIF(SYS_cliente!$F$5:$F$1678,'BCE ABREVIADO'!V543,SYS_cliente!$I$5:$I$1678)</f>
        <v>-18235.760000000002</v>
      </c>
      <c r="Z543" s="666"/>
      <c r="AA543" s="661">
        <v>5883</v>
      </c>
      <c r="AB543" s="672">
        <f>+SUMIF(SYS_cliente!$F$5:$F$1678,'BCE ABREVIADO'!AA543,SYS_cliente!$I$5:$I$1678)</f>
        <v>0</v>
      </c>
    </row>
    <row r="544" spans="22:28" ht="13.8">
      <c r="V544" s="661">
        <v>2651</v>
      </c>
      <c r="W544" s="662">
        <f>+SUMIF(SYS_cliente!$F$5:$F$1678,'BCE ABREVIADO'!V544,SYS_cliente!$I$5:$I$1678)</f>
        <v>0</v>
      </c>
      <c r="Z544" s="666"/>
      <c r="AA544" s="661">
        <v>5884</v>
      </c>
      <c r="AB544" s="672">
        <f>+SUMIF(SYS_cliente!$F$5:$F$1678,'BCE ABREVIADO'!AA544,SYS_cliente!$I$5:$I$1678)</f>
        <v>0</v>
      </c>
    </row>
    <row r="545" spans="22:28" ht="13.8">
      <c r="V545" s="661">
        <v>2652</v>
      </c>
      <c r="W545" s="662">
        <f>+SUMIF(SYS_cliente!$F$5:$F$1678,'BCE ABREVIADO'!V545,SYS_cliente!$I$5:$I$1678)</f>
        <v>0</v>
      </c>
      <c r="Z545" s="666"/>
      <c r="AA545" s="661">
        <v>5885</v>
      </c>
      <c r="AB545" s="672">
        <f>+SUMIF(SYS_cliente!$F$5:$F$1678,'BCE ABREVIADO'!AA545,SYS_cliente!$I$5:$I$1678)</f>
        <v>0</v>
      </c>
    </row>
    <row r="546" spans="22:28" ht="13.8">
      <c r="V546" s="661">
        <v>2653</v>
      </c>
      <c r="W546" s="662">
        <f>+SUMIF(SYS_cliente!$F$5:$F$1678,'BCE ABREVIADO'!V546,SYS_cliente!$I$5:$I$1678)</f>
        <v>0</v>
      </c>
      <c r="Z546" s="666"/>
      <c r="AA546" s="661">
        <v>5886</v>
      </c>
      <c r="AB546" s="672">
        <f>+SUMIF(SYS_cliente!$F$5:$F$1678,'BCE ABREVIADO'!AA546,SYS_cliente!$I$5:$I$1678)</f>
        <v>0</v>
      </c>
    </row>
    <row r="547" spans="22:28" ht="13.8">
      <c r="V547" s="661">
        <v>2654</v>
      </c>
      <c r="W547" s="662">
        <f>+SUMIF(SYS_cliente!$F$5:$F$1678,'BCE ABREVIADO'!V547,SYS_cliente!$I$5:$I$1678)</f>
        <v>0</v>
      </c>
      <c r="Z547" s="666"/>
      <c r="AA547" s="661">
        <v>5887</v>
      </c>
      <c r="AB547" s="672">
        <f>+SUMIF(SYS_cliente!$F$5:$F$1678,'BCE ABREVIADO'!AA547,SYS_cliente!$I$5:$I$1678)</f>
        <v>0</v>
      </c>
    </row>
    <row r="548" spans="22:28" ht="13.8">
      <c r="V548" s="661">
        <v>2655</v>
      </c>
      <c r="W548" s="662">
        <f>+SUMIF(SYS_cliente!$F$5:$F$1678,'BCE ABREVIADO'!V548,SYS_cliente!$I$5:$I$1678)</f>
        <v>0</v>
      </c>
      <c r="Z548" s="666"/>
      <c r="AA548" s="661">
        <v>5888</v>
      </c>
      <c r="AB548" s="672">
        <f>+SUMIF(SYS_cliente!$F$5:$F$1678,'BCE ABREVIADO'!AA548,SYS_cliente!$I$5:$I$1678)</f>
        <v>0</v>
      </c>
    </row>
    <row r="549" spans="22:28" ht="13.8">
      <c r="V549" s="661">
        <v>2656</v>
      </c>
      <c r="W549" s="662">
        <f>+SUMIF(SYS_cliente!$F$5:$F$1678,'BCE ABREVIADO'!V549,SYS_cliente!$I$5:$I$1678)</f>
        <v>0</v>
      </c>
      <c r="Z549" s="666"/>
      <c r="AA549" s="661">
        <v>5889</v>
      </c>
      <c r="AB549" s="672">
        <f>+SUMIF(SYS_cliente!$F$5:$F$1678,'BCE ABREVIADO'!AA549,SYS_cliente!$I$5:$I$1678)</f>
        <v>0</v>
      </c>
    </row>
    <row r="550" spans="22:28" ht="13.8">
      <c r="V550" s="661">
        <v>2657</v>
      </c>
      <c r="W550" s="662">
        <f>+SUMIF(SYS_cliente!$F$5:$F$1678,'BCE ABREVIADO'!V550,SYS_cliente!$I$5:$I$1678)</f>
        <v>0</v>
      </c>
      <c r="Z550" s="666"/>
      <c r="AA550" s="661">
        <v>5890</v>
      </c>
      <c r="AB550" s="672">
        <f>+SUMIF(SYS_cliente!$F$5:$F$1678,'BCE ABREVIADO'!AA550,SYS_cliente!$I$5:$I$1678)</f>
        <v>0</v>
      </c>
    </row>
    <row r="551" spans="22:28" ht="13.8">
      <c r="V551" s="661">
        <v>2658</v>
      </c>
      <c r="W551" s="662">
        <f>+SUMIF(SYS_cliente!$F$5:$F$1678,'BCE ABREVIADO'!V551,SYS_cliente!$I$5:$I$1678)</f>
        <v>0</v>
      </c>
      <c r="Z551" s="666"/>
      <c r="AA551" s="661">
        <v>5891</v>
      </c>
      <c r="AB551" s="672">
        <f>+SUMIF(SYS_cliente!$F$5:$F$1678,'BCE ABREVIADO'!AA551,SYS_cliente!$I$5:$I$1678)</f>
        <v>0</v>
      </c>
    </row>
    <row r="552" spans="22:28" ht="13.8">
      <c r="V552" s="661">
        <v>2659</v>
      </c>
      <c r="W552" s="662">
        <f>+SUMIF(SYS_cliente!$F$5:$F$1678,'BCE ABREVIADO'!V552,SYS_cliente!$I$5:$I$1678)</f>
        <v>0</v>
      </c>
      <c r="Z552" s="666"/>
      <c r="AA552" s="661">
        <v>5892</v>
      </c>
      <c r="AB552" s="672">
        <f>+SUMIF(SYS_cliente!$F$5:$F$1678,'BCE ABREVIADO'!AA552,SYS_cliente!$I$5:$I$1678)</f>
        <v>0</v>
      </c>
    </row>
    <row r="553" spans="22:28" ht="13.8">
      <c r="V553" s="661">
        <v>2660</v>
      </c>
      <c r="W553" s="662">
        <f>+SUMIF(SYS_cliente!$F$5:$F$1678,'BCE ABREVIADO'!V553,SYS_cliente!$I$5:$I$1678)</f>
        <v>0</v>
      </c>
      <c r="Z553" s="666"/>
      <c r="AA553" s="661">
        <v>5893</v>
      </c>
      <c r="AB553" s="672">
        <f>+SUMIF(SYS_cliente!$F$5:$F$1678,'BCE ABREVIADO'!AA553,SYS_cliente!$I$5:$I$1678)</f>
        <v>0</v>
      </c>
    </row>
    <row r="554" spans="22:28" ht="13.8">
      <c r="V554" s="661">
        <v>2661</v>
      </c>
      <c r="W554" s="662">
        <f>+SUMIF(SYS_cliente!$F$5:$F$1678,'BCE ABREVIADO'!V554,SYS_cliente!$I$5:$I$1678)</f>
        <v>0</v>
      </c>
      <c r="Z554" s="666"/>
      <c r="AA554" s="661">
        <v>5894</v>
      </c>
      <c r="AB554" s="672">
        <f>+SUMIF(SYS_cliente!$F$5:$F$1678,'BCE ABREVIADO'!AA554,SYS_cliente!$I$5:$I$1678)</f>
        <v>0</v>
      </c>
    </row>
    <row r="555" spans="22:28" ht="13.8">
      <c r="V555" s="661">
        <v>2662</v>
      </c>
      <c r="W555" s="662">
        <f>+SUMIF(SYS_cliente!$F$5:$F$1678,'BCE ABREVIADO'!V555,SYS_cliente!$I$5:$I$1678)</f>
        <v>0</v>
      </c>
      <c r="Z555" s="666"/>
      <c r="AA555" s="661">
        <v>5895</v>
      </c>
      <c r="AB555" s="672">
        <f>+SUMIF(SYS_cliente!$F$5:$F$1678,'BCE ABREVIADO'!AA555,SYS_cliente!$I$5:$I$1678)</f>
        <v>0</v>
      </c>
    </row>
    <row r="556" spans="22:28" ht="13.8">
      <c r="V556" s="661">
        <v>2663</v>
      </c>
      <c r="W556" s="662">
        <f>+SUMIF(SYS_cliente!$F$5:$F$1678,'BCE ABREVIADO'!V556,SYS_cliente!$I$5:$I$1678)</f>
        <v>0</v>
      </c>
      <c r="Z556" s="666"/>
      <c r="AA556" s="661">
        <v>5896</v>
      </c>
      <c r="AB556" s="672">
        <f>+SUMIF(SYS_cliente!$F$5:$F$1678,'BCE ABREVIADO'!AA556,SYS_cliente!$I$5:$I$1678)</f>
        <v>0</v>
      </c>
    </row>
    <row r="557" spans="22:28" ht="13.8">
      <c r="V557" s="661">
        <v>2664</v>
      </c>
      <c r="W557" s="662">
        <f>+SUMIF(SYS_cliente!$F$5:$F$1678,'BCE ABREVIADO'!V557,SYS_cliente!$I$5:$I$1678)</f>
        <v>0</v>
      </c>
      <c r="Z557" s="666"/>
      <c r="AA557" s="661">
        <v>5897</v>
      </c>
      <c r="AB557" s="672">
        <f>+SUMIF(SYS_cliente!$F$5:$F$1678,'BCE ABREVIADO'!AA557,SYS_cliente!$I$5:$I$1678)</f>
        <v>0</v>
      </c>
    </row>
    <row r="558" spans="22:28" ht="13.8">
      <c r="V558" s="661">
        <v>2665</v>
      </c>
      <c r="W558" s="662">
        <f>+SUMIF(SYS_cliente!$F$5:$F$1678,'BCE ABREVIADO'!V558,SYS_cliente!$I$5:$I$1678)</f>
        <v>0</v>
      </c>
      <c r="Z558" s="666"/>
      <c r="AA558" s="661">
        <v>5898</v>
      </c>
      <c r="AB558" s="672">
        <f>+SUMIF(SYS_cliente!$F$5:$F$1678,'BCE ABREVIADO'!AA558,SYS_cliente!$I$5:$I$1678)</f>
        <v>0</v>
      </c>
    </row>
    <row r="559" spans="22:28" ht="13.8">
      <c r="V559" s="661">
        <v>2666</v>
      </c>
      <c r="W559" s="662">
        <f>+SUMIF(SYS_cliente!$F$5:$F$1678,'BCE ABREVIADO'!V559,SYS_cliente!$I$5:$I$1678)</f>
        <v>0</v>
      </c>
      <c r="Z559" s="666"/>
      <c r="AA559" s="661">
        <v>5899</v>
      </c>
      <c r="AB559" s="672">
        <f>+SUMIF(SYS_cliente!$F$5:$F$1678,'BCE ABREVIADO'!AA559,SYS_cliente!$I$5:$I$1678)</f>
        <v>0</v>
      </c>
    </row>
    <row r="560" spans="22:28" ht="13.8">
      <c r="V560" s="661">
        <v>2667</v>
      </c>
      <c r="W560" s="662">
        <f>+SUMIF(SYS_cliente!$F$5:$F$1678,'BCE ABREVIADO'!V560,SYS_cliente!$I$5:$I$1678)</f>
        <v>0</v>
      </c>
      <c r="Z560" s="666" t="s">
        <v>158</v>
      </c>
      <c r="AA560" s="664" t="s">
        <v>93</v>
      </c>
      <c r="AB560" s="642">
        <f>SUM(AB561:AB580)</f>
        <v>0</v>
      </c>
    </row>
    <row r="561" spans="22:28" ht="13.8">
      <c r="V561" s="661">
        <v>2668</v>
      </c>
      <c r="W561" s="662">
        <f>+SUMIF(SYS_cliente!$F$5:$F$1678,'BCE ABREVIADO'!V561,SYS_cliente!$I$5:$I$1678)</f>
        <v>0</v>
      </c>
      <c r="Z561" s="666"/>
      <c r="AA561" s="661">
        <v>4990</v>
      </c>
      <c r="AB561" s="672">
        <f>+SUMIF(SYS_cliente!$F$5:$F$1678,'BCE ABREVIADO'!AA561,SYS_cliente!$I$5:$I$1678)</f>
        <v>0</v>
      </c>
    </row>
    <row r="562" spans="22:28" ht="13.8">
      <c r="V562" s="661">
        <v>2669</v>
      </c>
      <c r="W562" s="662">
        <f>+SUMIF(SYS_cliente!$F$5:$F$1678,'BCE ABREVIADO'!V562,SYS_cliente!$I$5:$I$1678)</f>
        <v>0</v>
      </c>
      <c r="Z562" s="666"/>
      <c r="AA562" s="661">
        <v>4991</v>
      </c>
      <c r="AB562" s="672">
        <f>+SUMIF(SYS_cliente!$F$5:$F$1678,'BCE ABREVIADO'!AA562,SYS_cliente!$I$5:$I$1678)</f>
        <v>0</v>
      </c>
    </row>
    <row r="563" spans="22:28" ht="13.8">
      <c r="V563" s="661">
        <v>2670</v>
      </c>
      <c r="W563" s="662">
        <f>+SUMIF(SYS_cliente!$F$5:$F$1678,'BCE ABREVIADO'!V563,SYS_cliente!$I$5:$I$1678)</f>
        <v>0</v>
      </c>
      <c r="Z563" s="666"/>
      <c r="AA563" s="661">
        <v>4992</v>
      </c>
      <c r="AB563" s="672">
        <f>+SUMIF(SYS_cliente!$F$5:$F$1678,'BCE ABREVIADO'!AA563,SYS_cliente!$I$5:$I$1678)</f>
        <v>0</v>
      </c>
    </row>
    <row r="564" spans="22:28" ht="13.8">
      <c r="V564" s="661">
        <v>2671</v>
      </c>
      <c r="W564" s="662">
        <f>+SUMIF(SYS_cliente!$F$5:$F$1678,'BCE ABREVIADO'!V564,SYS_cliente!$I$5:$I$1678)</f>
        <v>0</v>
      </c>
      <c r="Z564" s="666"/>
      <c r="AA564" s="661">
        <v>4993</v>
      </c>
      <c r="AB564" s="672">
        <f>+SUMIF(SYS_cliente!$F$5:$F$1678,'BCE ABREVIADO'!AA564,SYS_cliente!$I$5:$I$1678)</f>
        <v>0</v>
      </c>
    </row>
    <row r="565" spans="22:28" ht="13.8">
      <c r="V565" s="661">
        <v>2672</v>
      </c>
      <c r="W565" s="662">
        <f>+SUMIF(SYS_cliente!$F$5:$F$1678,'BCE ABREVIADO'!V565,SYS_cliente!$I$5:$I$1678)</f>
        <v>0</v>
      </c>
      <c r="Z565" s="666"/>
      <c r="AA565" s="661">
        <v>4994</v>
      </c>
      <c r="AB565" s="672">
        <f>+SUMIF(SYS_cliente!$F$5:$F$1678,'BCE ABREVIADO'!AA565,SYS_cliente!$I$5:$I$1678)</f>
        <v>0</v>
      </c>
    </row>
    <row r="566" spans="22:28" ht="13.8">
      <c r="V566" s="661">
        <v>2673</v>
      </c>
      <c r="W566" s="662">
        <f>+SUMIF(SYS_cliente!$F$5:$F$1678,'BCE ABREVIADO'!V566,SYS_cliente!$I$5:$I$1678)</f>
        <v>0</v>
      </c>
      <c r="Z566" s="666"/>
      <c r="AA566" s="661">
        <v>4995</v>
      </c>
      <c r="AB566" s="672">
        <f>+SUMIF(SYS_cliente!$F$5:$F$1678,'BCE ABREVIADO'!AA566,SYS_cliente!$I$5:$I$1678)</f>
        <v>0</v>
      </c>
    </row>
    <row r="567" spans="22:28" ht="13.8">
      <c r="V567" s="661">
        <v>2674</v>
      </c>
      <c r="W567" s="662">
        <f>+SUMIF(SYS_cliente!$F$5:$F$1678,'BCE ABREVIADO'!V567,SYS_cliente!$I$5:$I$1678)</f>
        <v>0</v>
      </c>
      <c r="Z567" s="666"/>
      <c r="AA567" s="661">
        <v>4996</v>
      </c>
      <c r="AB567" s="672">
        <f>+SUMIF(SYS_cliente!$F$5:$F$1678,'BCE ABREVIADO'!AA567,SYS_cliente!$I$5:$I$1678)</f>
        <v>0</v>
      </c>
    </row>
    <row r="568" spans="22:28" ht="13.8">
      <c r="V568" s="661">
        <v>2675</v>
      </c>
      <c r="W568" s="662">
        <f>+SUMIF(SYS_cliente!$F$5:$F$1678,'BCE ABREVIADO'!V568,SYS_cliente!$I$5:$I$1678)</f>
        <v>0</v>
      </c>
      <c r="Z568" s="666"/>
      <c r="AA568" s="661">
        <v>4997</v>
      </c>
      <c r="AB568" s="672">
        <f>+SUMIF(SYS_cliente!$F$5:$F$1678,'BCE ABREVIADO'!AA568,SYS_cliente!$I$5:$I$1678)</f>
        <v>0</v>
      </c>
    </row>
    <row r="569" spans="22:28" ht="13.8">
      <c r="V569" s="661">
        <v>2676</v>
      </c>
      <c r="W569" s="662">
        <f>+SUMIF(SYS_cliente!$F$5:$F$1678,'BCE ABREVIADO'!V569,SYS_cliente!$I$5:$I$1678)</f>
        <v>0</v>
      </c>
      <c r="Z569" s="666"/>
      <c r="AA569" s="661">
        <v>4998</v>
      </c>
      <c r="AB569" s="672">
        <f>+SUMIF(SYS_cliente!$F$5:$F$1678,'BCE ABREVIADO'!AA569,SYS_cliente!$I$5:$I$1678)</f>
        <v>0</v>
      </c>
    </row>
    <row r="570" spans="22:28" ht="13.8">
      <c r="V570" s="661">
        <v>2677</v>
      </c>
      <c r="W570" s="662">
        <f>+SUMIF(SYS_cliente!$F$5:$F$1678,'BCE ABREVIADO'!V570,SYS_cliente!$I$5:$I$1678)</f>
        <v>0</v>
      </c>
      <c r="Z570" s="666"/>
      <c r="AA570" s="661">
        <v>4999</v>
      </c>
      <c r="AB570" s="672">
        <f>+SUMIF(SYS_cliente!$F$5:$F$1678,'BCE ABREVIADO'!AA570,SYS_cliente!$I$5:$I$1678)</f>
        <v>0</v>
      </c>
    </row>
    <row r="571" spans="22:28" ht="13.8">
      <c r="V571" s="661">
        <v>2678</v>
      </c>
      <c r="W571" s="662">
        <f>+SUMIF(SYS_cliente!$F$5:$F$1678,'BCE ABREVIADO'!V571,SYS_cliente!$I$5:$I$1678)</f>
        <v>0</v>
      </c>
      <c r="Z571" s="666"/>
      <c r="AA571" s="661">
        <v>5290</v>
      </c>
      <c r="AB571" s="672">
        <f>+SUMIF(SYS_cliente!$F$5:$F$1678,'BCE ABREVIADO'!AA571,SYS_cliente!$I$5:$I$1678)</f>
        <v>0</v>
      </c>
    </row>
    <row r="572" spans="22:28" ht="13.8">
      <c r="V572" s="661">
        <v>2679</v>
      </c>
      <c r="W572" s="662">
        <f>+SUMIF(SYS_cliente!$F$5:$F$1678,'BCE ABREVIADO'!V572,SYS_cliente!$I$5:$I$1678)</f>
        <v>0</v>
      </c>
      <c r="Z572" s="666"/>
      <c r="AA572" s="661">
        <v>5291</v>
      </c>
      <c r="AB572" s="672">
        <f>+SUMIF(SYS_cliente!$F$5:$F$1678,'BCE ABREVIADO'!AA572,SYS_cliente!$I$5:$I$1678)</f>
        <v>0</v>
      </c>
    </row>
    <row r="573" spans="22:28" ht="13.8">
      <c r="V573" s="661">
        <v>2680</v>
      </c>
      <c r="W573" s="662">
        <f>+SUMIF(SYS_cliente!$F$5:$F$1678,'BCE ABREVIADO'!V573,SYS_cliente!$I$5:$I$1678)</f>
        <v>0</v>
      </c>
      <c r="Z573" s="666"/>
      <c r="AA573" s="661">
        <v>5292</v>
      </c>
      <c r="AB573" s="672">
        <f>+SUMIF(SYS_cliente!$F$5:$F$1678,'BCE ABREVIADO'!AA573,SYS_cliente!$I$5:$I$1678)</f>
        <v>0</v>
      </c>
    </row>
    <row r="574" spans="22:28" ht="13.8">
      <c r="V574" s="661">
        <v>2681</v>
      </c>
      <c r="W574" s="662">
        <f>+SUMIF(SYS_cliente!$F$5:$F$1678,'BCE ABREVIADO'!V574,SYS_cliente!$I$5:$I$1678)</f>
        <v>0</v>
      </c>
      <c r="Z574" s="666"/>
      <c r="AA574" s="661">
        <v>5293</v>
      </c>
      <c r="AB574" s="672">
        <f>+SUMIF(SYS_cliente!$F$5:$F$1678,'BCE ABREVIADO'!AA574,SYS_cliente!$I$5:$I$1678)</f>
        <v>0</v>
      </c>
    </row>
    <row r="575" spans="22:28" ht="13.8">
      <c r="V575" s="661">
        <v>2682</v>
      </c>
      <c r="W575" s="662">
        <f>+SUMIF(SYS_cliente!$F$5:$F$1678,'BCE ABREVIADO'!V575,SYS_cliente!$I$5:$I$1678)</f>
        <v>0</v>
      </c>
      <c r="Z575" s="666"/>
      <c r="AA575" s="661">
        <v>5294</v>
      </c>
      <c r="AB575" s="672">
        <f>+SUMIF(SYS_cliente!$F$5:$F$1678,'BCE ABREVIADO'!AA575,SYS_cliente!$I$5:$I$1678)</f>
        <v>0</v>
      </c>
    </row>
    <row r="576" spans="22:28" ht="13.8">
      <c r="V576" s="661">
        <v>2683</v>
      </c>
      <c r="W576" s="662">
        <f>+SUMIF(SYS_cliente!$F$5:$F$1678,'BCE ABREVIADO'!V576,SYS_cliente!$I$5:$I$1678)</f>
        <v>0</v>
      </c>
      <c r="Z576" s="666"/>
      <c r="AA576" s="661">
        <v>5295</v>
      </c>
      <c r="AB576" s="672">
        <f>+SUMIF(SYS_cliente!$F$5:$F$1678,'BCE ABREVIADO'!AA576,SYS_cliente!$I$5:$I$1678)</f>
        <v>0</v>
      </c>
    </row>
    <row r="577" spans="22:28" ht="13.8">
      <c r="V577" s="661">
        <v>2684</v>
      </c>
      <c r="W577" s="662">
        <f>+SUMIF(SYS_cliente!$F$5:$F$1678,'BCE ABREVIADO'!V577,SYS_cliente!$I$5:$I$1678)</f>
        <v>0</v>
      </c>
      <c r="Z577" s="666"/>
      <c r="AA577" s="661">
        <v>5296</v>
      </c>
      <c r="AB577" s="672">
        <f>+SUMIF(SYS_cliente!$F$5:$F$1678,'BCE ABREVIADO'!AA577,SYS_cliente!$I$5:$I$1678)</f>
        <v>0</v>
      </c>
    </row>
    <row r="578" spans="22:28" ht="13.8">
      <c r="V578" s="661">
        <v>2685</v>
      </c>
      <c r="W578" s="662">
        <f>+SUMIF(SYS_cliente!$F$5:$F$1678,'BCE ABREVIADO'!V578,SYS_cliente!$I$5:$I$1678)</f>
        <v>0</v>
      </c>
      <c r="Z578" s="666"/>
      <c r="AA578" s="661">
        <v>5297</v>
      </c>
      <c r="AB578" s="672">
        <f>+SUMIF(SYS_cliente!$F$5:$F$1678,'BCE ABREVIADO'!AA578,SYS_cliente!$I$5:$I$1678)</f>
        <v>0</v>
      </c>
    </row>
    <row r="579" spans="22:28" ht="13.8">
      <c r="V579" s="661">
        <v>2686</v>
      </c>
      <c r="W579" s="662">
        <f>+SUMIF(SYS_cliente!$F$5:$F$1678,'BCE ABREVIADO'!V579,SYS_cliente!$I$5:$I$1678)</f>
        <v>0</v>
      </c>
      <c r="Z579" s="666"/>
      <c r="AA579" s="661">
        <v>5298</v>
      </c>
      <c r="AB579" s="672">
        <f>+SUMIF(SYS_cliente!$F$5:$F$1678,'BCE ABREVIADO'!AA579,SYS_cliente!$I$5:$I$1678)</f>
        <v>0</v>
      </c>
    </row>
    <row r="580" spans="22:28" ht="13.8">
      <c r="V580" s="661">
        <v>2687</v>
      </c>
      <c r="W580" s="662">
        <f>+SUMIF(SYS_cliente!$F$5:$F$1678,'BCE ABREVIADO'!V580,SYS_cliente!$I$5:$I$1678)</f>
        <v>0</v>
      </c>
      <c r="Z580" s="666"/>
      <c r="AA580" s="661">
        <v>5299</v>
      </c>
      <c r="AB580" s="672">
        <f>+SUMIF(SYS_cliente!$F$5:$F$1678,'BCE ABREVIADO'!AA580,SYS_cliente!$I$5:$I$1678)</f>
        <v>0</v>
      </c>
    </row>
    <row r="581" spans="22:28" ht="13.8">
      <c r="V581" s="661">
        <v>2688</v>
      </c>
      <c r="W581" s="662">
        <f>+SUMIF(SYS_cliente!$F$5:$F$1678,'BCE ABREVIADO'!V581,SYS_cliente!$I$5:$I$1678)</f>
        <v>0</v>
      </c>
      <c r="Z581" s="666"/>
      <c r="AA581" s="664" t="s">
        <v>94</v>
      </c>
      <c r="AB581" s="642"/>
    </row>
    <row r="582" spans="22:28" ht="13.8">
      <c r="V582" s="661">
        <v>2689</v>
      </c>
      <c r="W582" s="662">
        <f>+SUMIF(SYS_cliente!$F$5:$F$1678,'BCE ABREVIADO'!V582,SYS_cliente!$I$5:$I$1678)</f>
        <v>0</v>
      </c>
      <c r="Z582" s="666" t="s">
        <v>159</v>
      </c>
      <c r="AA582" s="653" t="s">
        <v>95</v>
      </c>
      <c r="AB582" s="667">
        <f>SUM(AB583:AB622)</f>
        <v>0</v>
      </c>
    </row>
    <row r="583" spans="22:28" ht="13.8">
      <c r="V583" s="661">
        <v>2690</v>
      </c>
      <c r="W583" s="662">
        <f>+SUMIF(SYS_cliente!$F$5:$F$1678,'BCE ABREVIADO'!V583,SYS_cliente!$I$5:$I$1678)</f>
        <v>0</v>
      </c>
      <c r="Z583" s="666"/>
      <c r="AA583" s="661">
        <v>5000</v>
      </c>
      <c r="AB583" s="672">
        <f>+SUMIF(SYS_cliente!$F$5:$F$1678,'BCE ABREVIADO'!AA583,SYS_cliente!$I$5:$I$1678)</f>
        <v>0</v>
      </c>
    </row>
    <row r="584" spans="22:28" ht="13.8">
      <c r="V584" s="661">
        <v>2691</v>
      </c>
      <c r="W584" s="662">
        <f>+SUMIF(SYS_cliente!$F$5:$F$1678,'BCE ABREVIADO'!V584,SYS_cliente!$I$5:$I$1678)</f>
        <v>0</v>
      </c>
      <c r="Z584" s="666"/>
      <c r="AA584" s="661">
        <v>5001</v>
      </c>
      <c r="AB584" s="672">
        <f>+SUMIF(SYS_cliente!$F$5:$F$1678,'BCE ABREVIADO'!AA584,SYS_cliente!$I$5:$I$1678)</f>
        <v>0</v>
      </c>
    </row>
    <row r="585" spans="22:28" ht="13.8">
      <c r="V585" s="661">
        <v>2692</v>
      </c>
      <c r="W585" s="662">
        <f>+SUMIF(SYS_cliente!$F$5:$F$1678,'BCE ABREVIADO'!V585,SYS_cliente!$I$5:$I$1678)</f>
        <v>0</v>
      </c>
      <c r="Z585" s="666"/>
      <c r="AA585" s="661">
        <v>5002</v>
      </c>
      <c r="AB585" s="672">
        <f>+SUMIF(SYS_cliente!$F$5:$F$1678,'BCE ABREVIADO'!AA585,SYS_cliente!$I$5:$I$1678)</f>
        <v>0</v>
      </c>
    </row>
    <row r="586" spans="22:28" ht="13.8">
      <c r="V586" s="661">
        <v>2693</v>
      </c>
      <c r="W586" s="662">
        <f>+SUMIF(SYS_cliente!$F$5:$F$1678,'BCE ABREVIADO'!V586,SYS_cliente!$I$5:$I$1678)</f>
        <v>0</v>
      </c>
      <c r="Z586" s="666"/>
      <c r="AA586" s="661">
        <v>5003</v>
      </c>
      <c r="AB586" s="672">
        <f>+SUMIF(SYS_cliente!$F$5:$F$1678,'BCE ABREVIADO'!AA586,SYS_cliente!$I$5:$I$1678)</f>
        <v>0</v>
      </c>
    </row>
    <row r="587" spans="22:28" ht="13.8">
      <c r="V587" s="661">
        <v>2694</v>
      </c>
      <c r="W587" s="662">
        <f>+SUMIF(SYS_cliente!$F$5:$F$1678,'BCE ABREVIADO'!V587,SYS_cliente!$I$5:$I$1678)</f>
        <v>0</v>
      </c>
      <c r="Z587" s="666"/>
      <c r="AA587" s="661">
        <v>5004</v>
      </c>
      <c r="AB587" s="672">
        <f>+SUMIF(SYS_cliente!$F$5:$F$1678,'BCE ABREVIADO'!AA587,SYS_cliente!$I$5:$I$1678)</f>
        <v>0</v>
      </c>
    </row>
    <row r="588" spans="22:28" ht="13.8">
      <c r="V588" s="661">
        <v>2695</v>
      </c>
      <c r="W588" s="662">
        <f>+SUMIF(SYS_cliente!$F$5:$F$1678,'BCE ABREVIADO'!V588,SYS_cliente!$I$5:$I$1678)</f>
        <v>0</v>
      </c>
      <c r="Z588" s="666"/>
      <c r="AA588" s="661">
        <v>5005</v>
      </c>
      <c r="AB588" s="672">
        <f>+SUMIF(SYS_cliente!$F$5:$F$1678,'BCE ABREVIADO'!AA588,SYS_cliente!$I$5:$I$1678)</f>
        <v>0</v>
      </c>
    </row>
    <row r="589" spans="22:28" ht="13.8">
      <c r="V589" s="661">
        <v>2696</v>
      </c>
      <c r="W589" s="662">
        <f>+SUMIF(SYS_cliente!$F$5:$F$1678,'BCE ABREVIADO'!V589,SYS_cliente!$I$5:$I$1678)</f>
        <v>0</v>
      </c>
      <c r="Z589" s="666"/>
      <c r="AA589" s="661">
        <v>5006</v>
      </c>
      <c r="AB589" s="672">
        <f>+SUMIF(SYS_cliente!$F$5:$F$1678,'BCE ABREVIADO'!AA589,SYS_cliente!$I$5:$I$1678)</f>
        <v>0</v>
      </c>
    </row>
    <row r="590" spans="22:28" ht="13.8">
      <c r="V590" s="661">
        <v>2697</v>
      </c>
      <c r="W590" s="662">
        <f>+SUMIF(SYS_cliente!$F$5:$F$1678,'BCE ABREVIADO'!V590,SYS_cliente!$I$5:$I$1678)</f>
        <v>0</v>
      </c>
      <c r="Z590" s="666"/>
      <c r="AA590" s="661">
        <v>5007</v>
      </c>
      <c r="AB590" s="672">
        <f>+SUMIF(SYS_cliente!$F$5:$F$1678,'BCE ABREVIADO'!AA590,SYS_cliente!$I$5:$I$1678)</f>
        <v>0</v>
      </c>
    </row>
    <row r="591" spans="22:28" ht="13.8">
      <c r="V591" s="661">
        <v>2698</v>
      </c>
      <c r="W591" s="662">
        <f>+SUMIF(SYS_cliente!$F$5:$F$1678,'BCE ABREVIADO'!V591,SYS_cliente!$I$5:$I$1678)</f>
        <v>0</v>
      </c>
      <c r="Z591" s="666"/>
      <c r="AA591" s="661">
        <v>5008</v>
      </c>
      <c r="AB591" s="672">
        <f>+SUMIF(SYS_cliente!$F$5:$F$1678,'BCE ABREVIADO'!AA591,SYS_cliente!$I$5:$I$1678)</f>
        <v>0</v>
      </c>
    </row>
    <row r="592" spans="22:28" ht="13.8">
      <c r="V592" s="661">
        <v>2699</v>
      </c>
      <c r="W592" s="662">
        <f>+SUMIF(SYS_cliente!$F$5:$F$1678,'BCE ABREVIADO'!V592,SYS_cliente!$I$5:$I$1678)</f>
        <v>0</v>
      </c>
      <c r="Z592" s="666"/>
      <c r="AA592" s="661">
        <v>5009</v>
      </c>
      <c r="AB592" s="672">
        <f>+SUMIF(SYS_cliente!$F$5:$F$1678,'BCE ABREVIADO'!AA592,SYS_cliente!$I$5:$I$1678)</f>
        <v>0</v>
      </c>
    </row>
    <row r="593" spans="21:28" ht="13.8">
      <c r="U593" s="666"/>
      <c r="Z593" s="666"/>
      <c r="AA593" s="661">
        <v>5010</v>
      </c>
      <c r="AB593" s="672">
        <f>+SUMIF(SYS_cliente!$F$5:$F$1678,'BCE ABREVIADO'!AA593,SYS_cliente!$I$5:$I$1678)</f>
        <v>0</v>
      </c>
    </row>
    <row r="594" spans="21:28" ht="13.8">
      <c r="U594" s="666" t="s">
        <v>156</v>
      </c>
      <c r="V594" s="664" t="s">
        <v>90</v>
      </c>
      <c r="W594" s="642">
        <f>SUM(W595:W624)</f>
        <v>0</v>
      </c>
      <c r="Z594" s="666"/>
      <c r="AA594" s="661">
        <v>5011</v>
      </c>
      <c r="AB594" s="672">
        <f>+SUMIF(SYS_cliente!$F$5:$F$1678,'BCE ABREVIADO'!AA594,SYS_cliente!$I$5:$I$1678)</f>
        <v>0</v>
      </c>
    </row>
    <row r="595" spans="21:28" ht="13.8">
      <c r="U595" s="607"/>
      <c r="V595" s="661">
        <v>1500</v>
      </c>
      <c r="W595" s="672">
        <f>+SUMIF(SYS_cliente!$F$5:$F$1678,'BCE ABREVIADO'!V595,SYS_cliente!$I$5:$I$1678)</f>
        <v>0</v>
      </c>
      <c r="Z595" s="666"/>
      <c r="AA595" s="661">
        <v>5012</v>
      </c>
      <c r="AB595" s="672">
        <f>+SUMIF(SYS_cliente!$F$5:$F$1678,'BCE ABREVIADO'!AA595,SYS_cliente!$I$5:$I$1678)</f>
        <v>0</v>
      </c>
    </row>
    <row r="596" spans="21:28" ht="13.8">
      <c r="U596" s="607"/>
      <c r="V596" s="661">
        <v>1501</v>
      </c>
      <c r="W596" s="672">
        <f>+SUMIF(SYS_cliente!$F$5:$F$1678,'BCE ABREVIADO'!V596,SYS_cliente!$I$5:$I$1678)</f>
        <v>0</v>
      </c>
      <c r="Z596" s="666"/>
      <c r="AA596" s="661">
        <v>5013</v>
      </c>
      <c r="AB596" s="672">
        <f>+SUMIF(SYS_cliente!$F$5:$F$1678,'BCE ABREVIADO'!AA596,SYS_cliente!$I$5:$I$1678)</f>
        <v>0</v>
      </c>
    </row>
    <row r="597" spans="21:28" ht="13.8">
      <c r="U597" s="607"/>
      <c r="V597" s="661">
        <v>1502</v>
      </c>
      <c r="W597" s="672">
        <f>+SUMIF(SYS_cliente!$F$5:$F$1678,'BCE ABREVIADO'!V597,SYS_cliente!$I$5:$I$1678)</f>
        <v>0</v>
      </c>
      <c r="Z597" s="666"/>
      <c r="AA597" s="661">
        <v>5014</v>
      </c>
      <c r="AB597" s="672">
        <f>+SUMIF(SYS_cliente!$F$5:$F$1678,'BCE ABREVIADO'!AA597,SYS_cliente!$I$5:$I$1678)</f>
        <v>0</v>
      </c>
    </row>
    <row r="598" spans="21:28" ht="13.8">
      <c r="U598" s="607"/>
      <c r="V598" s="661">
        <v>1503</v>
      </c>
      <c r="W598" s="672">
        <f>+SUMIF(SYS_cliente!$F$5:$F$1678,'BCE ABREVIADO'!V598,SYS_cliente!$I$5:$I$1678)</f>
        <v>0</v>
      </c>
      <c r="Z598" s="666"/>
      <c r="AA598" s="661">
        <v>5015</v>
      </c>
      <c r="AB598" s="672">
        <f>+SUMIF(SYS_cliente!$F$5:$F$1678,'BCE ABREVIADO'!AA598,SYS_cliente!$I$5:$I$1678)</f>
        <v>0</v>
      </c>
    </row>
    <row r="599" spans="21:28" ht="13.8">
      <c r="U599" s="607"/>
      <c r="V599" s="661">
        <v>1504</v>
      </c>
      <c r="W599" s="672">
        <f>+SUMIF(SYS_cliente!$F$5:$F$1678,'BCE ABREVIADO'!V599,SYS_cliente!$I$5:$I$1678)</f>
        <v>0</v>
      </c>
      <c r="Z599" s="666"/>
      <c r="AA599" s="661">
        <v>5016</v>
      </c>
      <c r="AB599" s="672">
        <f>+SUMIF(SYS_cliente!$F$5:$F$1678,'BCE ABREVIADO'!AA599,SYS_cliente!$I$5:$I$1678)</f>
        <v>0</v>
      </c>
    </row>
    <row r="600" spans="21:28" ht="13.8">
      <c r="U600" s="607"/>
      <c r="V600" s="661">
        <v>1505</v>
      </c>
      <c r="W600" s="672">
        <f>+SUMIF(SYS_cliente!$F$5:$F$1678,'BCE ABREVIADO'!V600,SYS_cliente!$I$5:$I$1678)</f>
        <v>0</v>
      </c>
      <c r="Z600" s="666"/>
      <c r="AA600" s="661">
        <v>5017</v>
      </c>
      <c r="AB600" s="672">
        <f>+SUMIF(SYS_cliente!$F$5:$F$1678,'BCE ABREVIADO'!AA600,SYS_cliente!$I$5:$I$1678)</f>
        <v>0</v>
      </c>
    </row>
    <row r="601" spans="21:28" ht="13.8">
      <c r="U601" s="607"/>
      <c r="V601" s="661">
        <v>1506</v>
      </c>
      <c r="W601" s="672">
        <f>+SUMIF(SYS_cliente!$F$5:$F$1678,'BCE ABREVIADO'!V601,SYS_cliente!$I$5:$I$1678)</f>
        <v>0</v>
      </c>
      <c r="Z601" s="666"/>
      <c r="AA601" s="661">
        <v>5018</v>
      </c>
      <c r="AB601" s="672">
        <f>+SUMIF(SYS_cliente!$F$5:$F$1678,'BCE ABREVIADO'!AA601,SYS_cliente!$I$5:$I$1678)</f>
        <v>0</v>
      </c>
    </row>
    <row r="602" spans="21:28" ht="13.8">
      <c r="U602" s="607"/>
      <c r="V602" s="661">
        <v>1507</v>
      </c>
      <c r="W602" s="672">
        <f>+SUMIF(SYS_cliente!$F$5:$F$1678,'BCE ABREVIADO'!V602,SYS_cliente!$I$5:$I$1678)</f>
        <v>0</v>
      </c>
      <c r="Z602" s="666"/>
      <c r="AA602" s="661">
        <v>5019</v>
      </c>
      <c r="AB602" s="672">
        <f>+SUMIF(SYS_cliente!$F$5:$F$1678,'BCE ABREVIADO'!AA602,SYS_cliente!$I$5:$I$1678)</f>
        <v>0</v>
      </c>
    </row>
    <row r="603" spans="21:28" ht="13.8">
      <c r="U603" s="607"/>
      <c r="V603" s="661">
        <v>1508</v>
      </c>
      <c r="W603" s="672">
        <f>+SUMIF(SYS_cliente!$F$5:$F$1678,'BCE ABREVIADO'!V603,SYS_cliente!$I$5:$I$1678)</f>
        <v>0</v>
      </c>
      <c r="Z603" s="666"/>
      <c r="AA603" s="661">
        <v>5050</v>
      </c>
      <c r="AB603" s="672">
        <f>+SUMIF(SYS_cliente!$F$5:$F$1678,'BCE ABREVIADO'!AA603,SYS_cliente!$I$5:$I$1678)</f>
        <v>0</v>
      </c>
    </row>
    <row r="604" spans="21:28" ht="13.8">
      <c r="U604" s="607"/>
      <c r="V604" s="661">
        <v>1509</v>
      </c>
      <c r="W604" s="672">
        <f>+SUMIF(SYS_cliente!$F$5:$F$1678,'BCE ABREVIADO'!V604,SYS_cliente!$I$5:$I$1678)</f>
        <v>0</v>
      </c>
      <c r="Z604" s="666"/>
      <c r="AA604" s="661">
        <v>5051</v>
      </c>
      <c r="AB604" s="672">
        <f>+SUMIF(SYS_cliente!$F$5:$F$1678,'BCE ABREVIADO'!AA604,SYS_cliente!$I$5:$I$1678)</f>
        <v>0</v>
      </c>
    </row>
    <row r="605" spans="21:28" ht="13.8">
      <c r="U605" s="607"/>
      <c r="V605" s="661">
        <v>1530</v>
      </c>
      <c r="W605" s="672">
        <f>+SUMIF(SYS_cliente!$F$5:$F$1678,'BCE ABREVIADO'!V605,SYS_cliente!$I$5:$I$1678)</f>
        <v>0</v>
      </c>
      <c r="Z605" s="666"/>
      <c r="AA605" s="661">
        <v>5052</v>
      </c>
      <c r="AB605" s="672">
        <f>+SUMIF(SYS_cliente!$F$5:$F$1678,'BCE ABREVIADO'!AA605,SYS_cliente!$I$5:$I$1678)</f>
        <v>0</v>
      </c>
    </row>
    <row r="606" spans="21:28" ht="13.8">
      <c r="U606" s="607"/>
      <c r="V606" s="661">
        <v>1531</v>
      </c>
      <c r="W606" s="672">
        <f>+SUMIF(SYS_cliente!$F$5:$F$1678,'BCE ABREVIADO'!V606,SYS_cliente!$I$5:$I$1678)</f>
        <v>0</v>
      </c>
      <c r="Z606" s="666"/>
      <c r="AA606" s="661">
        <v>5053</v>
      </c>
      <c r="AB606" s="672">
        <f>+SUMIF(SYS_cliente!$F$5:$F$1678,'BCE ABREVIADO'!AA606,SYS_cliente!$I$5:$I$1678)</f>
        <v>0</v>
      </c>
    </row>
    <row r="607" spans="21:28" ht="13.8">
      <c r="U607" s="607"/>
      <c r="V607" s="661">
        <v>1532</v>
      </c>
      <c r="W607" s="672">
        <f>+SUMIF(SYS_cliente!$F$5:$F$1678,'BCE ABREVIADO'!V607,SYS_cliente!$I$5:$I$1678)</f>
        <v>0</v>
      </c>
      <c r="Z607" s="666"/>
      <c r="AA607" s="661">
        <v>5054</v>
      </c>
      <c r="AB607" s="672">
        <f>+SUMIF(SYS_cliente!$F$5:$F$1678,'BCE ABREVIADO'!AA607,SYS_cliente!$I$5:$I$1678)</f>
        <v>0</v>
      </c>
    </row>
    <row r="608" spans="21:28" ht="13.8">
      <c r="U608" s="607"/>
      <c r="V608" s="661">
        <v>1533</v>
      </c>
      <c r="W608" s="672">
        <f>+SUMIF(SYS_cliente!$F$5:$F$1678,'BCE ABREVIADO'!V608,SYS_cliente!$I$5:$I$1678)</f>
        <v>0</v>
      </c>
      <c r="Z608" s="666"/>
      <c r="AA608" s="661">
        <v>5055</v>
      </c>
      <c r="AB608" s="672">
        <f>+SUMIF(SYS_cliente!$F$5:$F$1678,'BCE ABREVIADO'!AA608,SYS_cliente!$I$5:$I$1678)</f>
        <v>0</v>
      </c>
    </row>
    <row r="609" spans="21:28" ht="13.8">
      <c r="U609" s="607"/>
      <c r="V609" s="661">
        <v>1534</v>
      </c>
      <c r="W609" s="672">
        <f>+SUMIF(SYS_cliente!$F$5:$F$1678,'BCE ABREVIADO'!V609,SYS_cliente!$I$5:$I$1678)</f>
        <v>0</v>
      </c>
      <c r="Z609" s="666"/>
      <c r="AA609" s="661">
        <v>5056</v>
      </c>
      <c r="AB609" s="672">
        <f>+SUMIF(SYS_cliente!$F$5:$F$1678,'BCE ABREVIADO'!AA609,SYS_cliente!$I$5:$I$1678)</f>
        <v>0</v>
      </c>
    </row>
    <row r="610" spans="21:28" ht="13.8">
      <c r="U610" s="607"/>
      <c r="V610" s="661">
        <v>1535</v>
      </c>
      <c r="W610" s="672">
        <f>+SUMIF(SYS_cliente!$F$5:$F$1678,'BCE ABREVIADO'!V610,SYS_cliente!$I$5:$I$1678)</f>
        <v>0</v>
      </c>
      <c r="Z610" s="666"/>
      <c r="AA610" s="661">
        <v>5057</v>
      </c>
      <c r="AB610" s="672">
        <f>+SUMIF(SYS_cliente!$F$5:$F$1678,'BCE ABREVIADO'!AA610,SYS_cliente!$I$5:$I$1678)</f>
        <v>0</v>
      </c>
    </row>
    <row r="611" spans="21:28" ht="13.8">
      <c r="U611" s="607"/>
      <c r="V611" s="661">
        <v>1536</v>
      </c>
      <c r="W611" s="672">
        <f>+SUMIF(SYS_cliente!$F$5:$F$1678,'BCE ABREVIADO'!V611,SYS_cliente!$I$5:$I$1678)</f>
        <v>0</v>
      </c>
      <c r="Z611" s="666"/>
      <c r="AA611" s="661">
        <v>5058</v>
      </c>
      <c r="AB611" s="672">
        <f>+SUMIF(SYS_cliente!$F$5:$F$1678,'BCE ABREVIADO'!AA611,SYS_cliente!$I$5:$I$1678)</f>
        <v>0</v>
      </c>
    </row>
    <row r="612" spans="21:28" ht="13.8">
      <c r="U612" s="607"/>
      <c r="V612" s="661">
        <v>1537</v>
      </c>
      <c r="W612" s="672">
        <f>+SUMIF(SYS_cliente!$F$5:$F$1678,'BCE ABREVIADO'!V612,SYS_cliente!$I$5:$I$1678)</f>
        <v>0</v>
      </c>
      <c r="Z612" s="666"/>
      <c r="AA612" s="661">
        <v>5059</v>
      </c>
      <c r="AB612" s="672">
        <f>+SUMIF(SYS_cliente!$F$5:$F$1678,'BCE ABREVIADO'!AA612,SYS_cliente!$I$5:$I$1678)</f>
        <v>0</v>
      </c>
    </row>
    <row r="613" spans="21:28" ht="13.8">
      <c r="U613" s="607"/>
      <c r="V613" s="661">
        <v>1538</v>
      </c>
      <c r="W613" s="672">
        <f>+SUMIF(SYS_cliente!$F$5:$F$1678,'BCE ABREVIADO'!V613,SYS_cliente!$I$5:$I$1678)</f>
        <v>0</v>
      </c>
      <c r="Z613" s="666"/>
      <c r="AA613" s="661">
        <v>5060</v>
      </c>
      <c r="AB613" s="672">
        <f>+SUMIF(SYS_cliente!$F$5:$F$1678,'BCE ABREVIADO'!AA613,SYS_cliente!$I$5:$I$1678)</f>
        <v>0</v>
      </c>
    </row>
    <row r="614" spans="21:28" ht="13.8">
      <c r="U614" s="607"/>
      <c r="V614" s="661">
        <v>1539</v>
      </c>
      <c r="W614" s="672">
        <f>+SUMIF(SYS_cliente!$F$5:$F$1678,'BCE ABREVIADO'!V614,SYS_cliente!$I$5:$I$1678)</f>
        <v>0</v>
      </c>
      <c r="Z614" s="666"/>
      <c r="AA614" s="661">
        <v>5061</v>
      </c>
      <c r="AB614" s="672">
        <f>+SUMIF(SYS_cliente!$F$5:$F$1678,'BCE ABREVIADO'!AA614,SYS_cliente!$I$5:$I$1678)</f>
        <v>0</v>
      </c>
    </row>
    <row r="615" spans="21:28" ht="13.8">
      <c r="U615" s="607"/>
      <c r="V615" s="661">
        <v>1540</v>
      </c>
      <c r="W615" s="672">
        <f>+SUMIF(SYS_cliente!$F$5:$F$1678,'BCE ABREVIADO'!V615,SYS_cliente!$I$5:$I$1678)</f>
        <v>0</v>
      </c>
      <c r="Z615" s="666"/>
      <c r="AA615" s="661">
        <v>5062</v>
      </c>
      <c r="AB615" s="672">
        <f>+SUMIF(SYS_cliente!$F$5:$F$1678,'BCE ABREVIADO'!AA615,SYS_cliente!$I$5:$I$1678)</f>
        <v>0</v>
      </c>
    </row>
    <row r="616" spans="21:28" ht="13.8">
      <c r="U616" s="607"/>
      <c r="V616" s="661">
        <v>1541</v>
      </c>
      <c r="W616" s="672">
        <f>+SUMIF(SYS_cliente!$F$5:$F$1678,'BCE ABREVIADO'!V616,SYS_cliente!$I$5:$I$1678)</f>
        <v>0</v>
      </c>
      <c r="Z616" s="666"/>
      <c r="AA616" s="661">
        <v>5063</v>
      </c>
      <c r="AB616" s="672">
        <f>+SUMIF(SYS_cliente!$F$5:$F$1678,'BCE ABREVIADO'!AA616,SYS_cliente!$I$5:$I$1678)</f>
        <v>0</v>
      </c>
    </row>
    <row r="617" spans="21:28" ht="13.8">
      <c r="U617" s="607"/>
      <c r="V617" s="661">
        <v>1542</v>
      </c>
      <c r="W617" s="672">
        <f>+SUMIF(SYS_cliente!$F$5:$F$1678,'BCE ABREVIADO'!V617,SYS_cliente!$I$5:$I$1678)</f>
        <v>0</v>
      </c>
      <c r="Z617" s="666"/>
      <c r="AA617" s="661">
        <v>5064</v>
      </c>
      <c r="AB617" s="672">
        <f>+SUMIF(SYS_cliente!$F$5:$F$1678,'BCE ABREVIADO'!AA617,SYS_cliente!$I$5:$I$1678)</f>
        <v>0</v>
      </c>
    </row>
    <row r="618" spans="21:28" ht="13.8">
      <c r="U618" s="607"/>
      <c r="V618" s="661">
        <v>1543</v>
      </c>
      <c r="W618" s="672">
        <f>+SUMIF(SYS_cliente!$F$5:$F$1678,'BCE ABREVIADO'!V618,SYS_cliente!$I$5:$I$1678)</f>
        <v>0</v>
      </c>
      <c r="Z618" s="666"/>
      <c r="AA618" s="661">
        <v>5065</v>
      </c>
      <c r="AB618" s="672">
        <f>+SUMIF(SYS_cliente!$F$5:$F$1678,'BCE ABREVIADO'!AA618,SYS_cliente!$I$5:$I$1678)</f>
        <v>0</v>
      </c>
    </row>
    <row r="619" spans="21:28" ht="13.8">
      <c r="U619" s="607"/>
      <c r="V619" s="661">
        <v>1544</v>
      </c>
      <c r="W619" s="672">
        <f>+SUMIF(SYS_cliente!$F$5:$F$1678,'BCE ABREVIADO'!V619,SYS_cliente!$I$5:$I$1678)</f>
        <v>0</v>
      </c>
      <c r="Z619" s="666"/>
      <c r="AA619" s="661">
        <v>5066</v>
      </c>
      <c r="AB619" s="672">
        <f>+SUMIF(SYS_cliente!$F$5:$F$1678,'BCE ABREVIADO'!AA619,SYS_cliente!$I$5:$I$1678)</f>
        <v>0</v>
      </c>
    </row>
    <row r="620" spans="21:28" ht="13.8">
      <c r="U620" s="607"/>
      <c r="V620" s="661">
        <v>1545</v>
      </c>
      <c r="W620" s="672">
        <f>+SUMIF(SYS_cliente!$F$5:$F$1678,'BCE ABREVIADO'!V620,SYS_cliente!$I$5:$I$1678)</f>
        <v>0</v>
      </c>
      <c r="Z620" s="666"/>
      <c r="AA620" s="661">
        <v>5067</v>
      </c>
      <c r="AB620" s="672">
        <f>+SUMIF(SYS_cliente!$F$5:$F$1678,'BCE ABREVIADO'!AA620,SYS_cliente!$I$5:$I$1678)</f>
        <v>0</v>
      </c>
    </row>
    <row r="621" spans="21:28" ht="13.8">
      <c r="U621" s="607"/>
      <c r="V621" s="661">
        <v>1546</v>
      </c>
      <c r="W621" s="672">
        <f>+SUMIF(SYS_cliente!$F$5:$F$1678,'BCE ABREVIADO'!V621,SYS_cliente!$I$5:$I$1678)</f>
        <v>0</v>
      </c>
      <c r="Z621" s="666"/>
      <c r="AA621" s="661">
        <v>5068</v>
      </c>
      <c r="AB621" s="672">
        <f>+SUMIF(SYS_cliente!$F$5:$F$1678,'BCE ABREVIADO'!AA621,SYS_cliente!$I$5:$I$1678)</f>
        <v>0</v>
      </c>
    </row>
    <row r="622" spans="21:28" ht="13.8">
      <c r="U622" s="607"/>
      <c r="V622" s="661">
        <v>1547</v>
      </c>
      <c r="W622" s="672">
        <f>+SUMIF(SYS_cliente!$F$5:$F$1678,'BCE ABREVIADO'!V622,SYS_cliente!$I$5:$I$1678)</f>
        <v>0</v>
      </c>
      <c r="Z622" s="666"/>
      <c r="AA622" s="661">
        <v>5069</v>
      </c>
      <c r="AB622" s="672">
        <f>+SUMIF(SYS_cliente!$F$5:$F$1678,'BCE ABREVIADO'!AA622,SYS_cliente!$I$5:$I$1678)</f>
        <v>0</v>
      </c>
    </row>
    <row r="623" spans="21:28" ht="13.8">
      <c r="U623" s="607"/>
      <c r="V623" s="661">
        <v>1548</v>
      </c>
      <c r="W623" s="672">
        <f>+SUMIF(SYS_cliente!$F$5:$F$1678,'BCE ABREVIADO'!V623,SYS_cliente!$I$5:$I$1678)</f>
        <v>0</v>
      </c>
      <c r="Z623" s="666" t="s">
        <v>160</v>
      </c>
      <c r="AA623" s="653" t="s">
        <v>96</v>
      </c>
      <c r="AB623" s="667">
        <f>SUM(AB624:AB644)</f>
        <v>0</v>
      </c>
    </row>
    <row r="624" spans="21:28" ht="13.8">
      <c r="U624" s="607"/>
      <c r="V624" s="661">
        <v>1549</v>
      </c>
      <c r="W624" s="672">
        <f>+SUMIF(SYS_cliente!$F$5:$F$1678,'BCE ABREVIADO'!V624,SYS_cliente!$I$5:$I$1678)</f>
        <v>0</v>
      </c>
      <c r="Z624" s="666"/>
      <c r="AA624" s="661">
        <v>5105</v>
      </c>
      <c r="AB624" s="672">
        <f>+SUMIF(SYS_cliente!$F$5:$F$1678,'BCE ABREVIADO'!AA624,SYS_cliente!$I$5:$I$1678)</f>
        <v>0</v>
      </c>
    </row>
    <row r="625" spans="21:28" ht="13.8">
      <c r="U625" s="715">
        <v>474</v>
      </c>
      <c r="V625" s="664" t="s">
        <v>27</v>
      </c>
      <c r="W625" s="719">
        <f>SUM(W626:W635)</f>
        <v>2359524.31</v>
      </c>
      <c r="Z625" s="666"/>
      <c r="AA625" s="661">
        <v>5200</v>
      </c>
      <c r="AB625" s="672">
        <f>+SUMIF(SYS_cliente!$F$5:$F$1678,'BCE ABREVIADO'!AA625,SYS_cliente!$I$5:$I$1678)</f>
        <v>0</v>
      </c>
    </row>
    <row r="626" spans="21:28" ht="13.8">
      <c r="V626" s="661">
        <v>4740</v>
      </c>
      <c r="W626" s="662">
        <f>+SUMIF(SYS_cliente!$F$5:$F$1678,'BCE ABREVIADO'!V626,SYS_cliente!$I$5:$I$1678)</f>
        <v>2083460.54</v>
      </c>
      <c r="Z626" s="666"/>
      <c r="AA626" s="661">
        <v>5201</v>
      </c>
      <c r="AB626" s="672">
        <f>+SUMIF(SYS_cliente!$F$5:$F$1678,'BCE ABREVIADO'!AA626,SYS_cliente!$I$5:$I$1678)</f>
        <v>0</v>
      </c>
    </row>
    <row r="627" spans="21:28" ht="13.8">
      <c r="V627" s="661">
        <v>4741</v>
      </c>
      <c r="W627" s="662">
        <f>+SUMIF(SYS_cliente!$F$5:$F$1678,'BCE ABREVIADO'!V627,SYS_cliente!$I$5:$I$1678)</f>
        <v>0</v>
      </c>
      <c r="Z627" s="666"/>
      <c r="AA627" s="661">
        <v>5202</v>
      </c>
      <c r="AB627" s="672">
        <f>+SUMIF(SYS_cliente!$F$5:$F$1678,'BCE ABREVIADO'!AA627,SYS_cliente!$I$5:$I$1678)</f>
        <v>0</v>
      </c>
    </row>
    <row r="628" spans="21:28" ht="13.8">
      <c r="V628" s="661">
        <v>4742</v>
      </c>
      <c r="W628" s="662">
        <f>+SUMIF(SYS_cliente!$F$5:$F$1678,'BCE ABREVIADO'!V628,SYS_cliente!$I$5:$I$1678)</f>
        <v>276063.77</v>
      </c>
      <c r="Z628" s="666"/>
      <c r="AA628" s="661">
        <v>5203</v>
      </c>
      <c r="AB628" s="672">
        <f>+SUMIF(SYS_cliente!$F$5:$F$1678,'BCE ABREVIADO'!AA628,SYS_cliente!$I$5:$I$1678)</f>
        <v>0</v>
      </c>
    </row>
    <row r="629" spans="21:28" ht="13.8">
      <c r="V629" s="661">
        <v>4743</v>
      </c>
      <c r="W629" s="662">
        <f>+SUMIF(SYS_cliente!$F$5:$F$1678,'BCE ABREVIADO'!V629,SYS_cliente!$I$5:$I$1678)</f>
        <v>0</v>
      </c>
      <c r="Z629" s="666"/>
      <c r="AA629" s="661">
        <v>5204</v>
      </c>
      <c r="AB629" s="672">
        <f>+SUMIF(SYS_cliente!$F$5:$F$1678,'BCE ABREVIADO'!AA629,SYS_cliente!$I$5:$I$1678)</f>
        <v>0</v>
      </c>
    </row>
    <row r="630" spans="21:28" ht="13.8">
      <c r="V630" s="661">
        <v>4744</v>
      </c>
      <c r="W630" s="662">
        <f>+SUMIF(SYS_cliente!$F$5:$F$1678,'BCE ABREVIADO'!V630,SYS_cliente!$I$5:$I$1678)</f>
        <v>0</v>
      </c>
      <c r="Z630" s="666"/>
      <c r="AA630" s="661">
        <v>5205</v>
      </c>
      <c r="AB630" s="672">
        <f>+SUMIF(SYS_cliente!$F$5:$F$1678,'BCE ABREVIADO'!AA630,SYS_cliente!$I$5:$I$1678)</f>
        <v>0</v>
      </c>
    </row>
    <row r="631" spans="21:28" ht="13.8">
      <c r="V631" s="661">
        <v>4745</v>
      </c>
      <c r="W631" s="662">
        <f>+SUMIF(SYS_cliente!$F$5:$F$1678,'BCE ABREVIADO'!V631,SYS_cliente!$I$5:$I$1678)</f>
        <v>0</v>
      </c>
      <c r="Z631" s="666"/>
      <c r="AA631" s="661">
        <v>5206</v>
      </c>
      <c r="AB631" s="672">
        <f>+SUMIF(SYS_cliente!$F$5:$F$1678,'BCE ABREVIADO'!AA631,SYS_cliente!$I$5:$I$1678)</f>
        <v>0</v>
      </c>
    </row>
    <row r="632" spans="21:28" ht="13.8">
      <c r="V632" s="661">
        <v>4746</v>
      </c>
      <c r="W632" s="662">
        <f>+SUMIF(SYS_cliente!$F$5:$F$1678,'BCE ABREVIADO'!V632,SYS_cliente!$I$5:$I$1678)</f>
        <v>0</v>
      </c>
      <c r="Z632" s="666"/>
      <c r="AA632" s="661">
        <v>5207</v>
      </c>
      <c r="AB632" s="672">
        <f>+SUMIF(SYS_cliente!$F$5:$F$1678,'BCE ABREVIADO'!AA632,SYS_cliente!$I$5:$I$1678)</f>
        <v>0</v>
      </c>
    </row>
    <row r="633" spans="21:28" ht="13.8">
      <c r="V633" s="661">
        <v>4747</v>
      </c>
      <c r="W633" s="662">
        <f>+SUMIF(SYS_cliente!$F$5:$F$1678,'BCE ABREVIADO'!V633,SYS_cliente!$I$5:$I$1678)</f>
        <v>0</v>
      </c>
      <c r="Z633" s="666"/>
      <c r="AA633" s="661">
        <v>5208</v>
      </c>
      <c r="AB633" s="672">
        <f>+SUMIF(SYS_cliente!$F$5:$F$1678,'BCE ABREVIADO'!AA633,SYS_cliente!$I$5:$I$1678)</f>
        <v>0</v>
      </c>
    </row>
    <row r="634" spans="21:28" ht="13.8">
      <c r="V634" s="661">
        <v>4748</v>
      </c>
      <c r="W634" s="662">
        <f>+SUMIF(SYS_cliente!$F$5:$F$1678,'BCE ABREVIADO'!V634,SYS_cliente!$I$5:$I$1678)</f>
        <v>0</v>
      </c>
      <c r="Z634" s="666"/>
      <c r="AA634" s="661">
        <v>5209</v>
      </c>
      <c r="AB634" s="672">
        <f>+SUMIF(SYS_cliente!$F$5:$F$1678,'BCE ABREVIADO'!AA634,SYS_cliente!$I$5:$I$1678)</f>
        <v>0</v>
      </c>
    </row>
    <row r="635" spans="21:28" ht="13.8">
      <c r="V635" s="661">
        <v>4749</v>
      </c>
      <c r="W635" s="662">
        <f>+SUMIF(SYS_cliente!$F$5:$F$1678,'BCE ABREVIADO'!V635,SYS_cliente!$I$5:$I$1678)</f>
        <v>0</v>
      </c>
      <c r="Z635" s="666"/>
      <c r="AA635" s="661">
        <v>5270</v>
      </c>
      <c r="AB635" s="672">
        <f>+SUMIF(SYS_cliente!$F$5:$F$1678,'BCE ABREVIADO'!AA635,SYS_cliente!$I$5:$I$1678)</f>
        <v>0</v>
      </c>
    </row>
    <row r="636" spans="21:28" ht="13.8">
      <c r="V636" s="720" t="s">
        <v>28</v>
      </c>
      <c r="W636" s="721"/>
      <c r="Z636" s="666"/>
      <c r="AA636" s="661">
        <v>5271</v>
      </c>
      <c r="AB636" s="672">
        <f>+SUMIF(SYS_cliente!$F$5:$F$1678,'BCE ABREVIADO'!AA636,SYS_cliente!$I$5:$I$1678)</f>
        <v>0</v>
      </c>
    </row>
    <row r="637" spans="21:28" ht="13.8">
      <c r="U637" s="722" t="s">
        <v>125</v>
      </c>
      <c r="V637" s="664" t="s">
        <v>29</v>
      </c>
      <c r="W637" s="719">
        <f>SUM(W638:W697)</f>
        <v>0</v>
      </c>
      <c r="Z637" s="666"/>
      <c r="AA637" s="661">
        <v>5272</v>
      </c>
      <c r="AB637" s="672">
        <f>+SUMIF(SYS_cliente!$F$5:$F$1678,'BCE ABREVIADO'!AA637,SYS_cliente!$I$5:$I$1678)</f>
        <v>0</v>
      </c>
    </row>
    <row r="638" spans="21:28" ht="13.8">
      <c r="V638" s="661">
        <v>5800</v>
      </c>
      <c r="W638" s="662">
        <f>+SUMIF(SYS_cliente!$F$5:$F$1678,'BCE ABREVIADO'!V638,SYS_cliente!$I$5:$I$1678)</f>
        <v>0</v>
      </c>
      <c r="Z638" s="666"/>
      <c r="AA638" s="661">
        <v>5273</v>
      </c>
      <c r="AB638" s="672">
        <f>+SUMIF(SYS_cliente!$F$5:$F$1678,'BCE ABREVIADO'!AA638,SYS_cliente!$I$5:$I$1678)</f>
        <v>0</v>
      </c>
    </row>
    <row r="639" spans="21:28" ht="13.8">
      <c r="V639" s="661">
        <v>5801</v>
      </c>
      <c r="W639" s="662">
        <f>+SUMIF(SYS_cliente!$F$5:$F$1678,'BCE ABREVIADO'!V639,SYS_cliente!$I$5:$I$1678)</f>
        <v>0</v>
      </c>
      <c r="Z639" s="666"/>
      <c r="AA639" s="661">
        <v>5274</v>
      </c>
      <c r="AB639" s="672">
        <f>+SUMIF(SYS_cliente!$F$5:$F$1678,'BCE ABREVIADO'!AA639,SYS_cliente!$I$5:$I$1678)</f>
        <v>0</v>
      </c>
    </row>
    <row r="640" spans="21:28" ht="13.8">
      <c r="V640" s="661">
        <v>5802</v>
      </c>
      <c r="W640" s="662">
        <f>+SUMIF(SYS_cliente!$F$5:$F$1678,'BCE ABREVIADO'!V640,SYS_cliente!$I$5:$I$1678)</f>
        <v>0</v>
      </c>
      <c r="Z640" s="666"/>
      <c r="AA640" s="661">
        <v>5275</v>
      </c>
      <c r="AB640" s="672">
        <f>+SUMIF(SYS_cliente!$F$5:$F$1678,'BCE ABREVIADO'!AA640,SYS_cliente!$I$5:$I$1678)</f>
        <v>0</v>
      </c>
    </row>
    <row r="641" spans="22:28" ht="13.8">
      <c r="V641" s="661">
        <v>5803</v>
      </c>
      <c r="W641" s="662">
        <f>+SUMIF(SYS_cliente!$F$5:$F$1678,'BCE ABREVIADO'!V641,SYS_cliente!$I$5:$I$1678)</f>
        <v>0</v>
      </c>
      <c r="Z641" s="666"/>
      <c r="AA641" s="661">
        <v>5276</v>
      </c>
      <c r="AB641" s="672">
        <f>+SUMIF(SYS_cliente!$F$5:$F$1678,'BCE ABREVIADO'!AA641,SYS_cliente!$I$5:$I$1678)</f>
        <v>0</v>
      </c>
    </row>
    <row r="642" spans="22:28" ht="13.8">
      <c r="V642" s="661">
        <v>5804</v>
      </c>
      <c r="W642" s="662">
        <f>+SUMIF(SYS_cliente!$F$5:$F$1678,'BCE ABREVIADO'!V642,SYS_cliente!$I$5:$I$1678)</f>
        <v>0</v>
      </c>
      <c r="Z642" s="666"/>
      <c r="AA642" s="661">
        <v>5277</v>
      </c>
      <c r="AB642" s="672">
        <f>+SUMIF(SYS_cliente!$F$5:$F$1678,'BCE ABREVIADO'!AA642,SYS_cliente!$I$5:$I$1678)</f>
        <v>0</v>
      </c>
    </row>
    <row r="643" spans="22:28" ht="13.8">
      <c r="V643" s="661">
        <v>5805</v>
      </c>
      <c r="W643" s="662">
        <f>+SUMIF(SYS_cliente!$F$5:$F$1678,'BCE ABREVIADO'!V643,SYS_cliente!$I$5:$I$1678)</f>
        <v>0</v>
      </c>
      <c r="Z643" s="666"/>
      <c r="AA643" s="661">
        <v>5278</v>
      </c>
      <c r="AB643" s="672">
        <f>+SUMIF(SYS_cliente!$F$5:$F$1678,'BCE ABREVIADO'!AA643,SYS_cliente!$I$5:$I$1678)</f>
        <v>0</v>
      </c>
    </row>
    <row r="644" spans="22:28" ht="13.8">
      <c r="V644" s="661">
        <v>5806</v>
      </c>
      <c r="W644" s="662">
        <f>+SUMIF(SYS_cliente!$F$5:$F$1678,'BCE ABREVIADO'!V644,SYS_cliente!$I$5:$I$1678)</f>
        <v>0</v>
      </c>
      <c r="Z644" s="666"/>
      <c r="AA644" s="661">
        <v>5279</v>
      </c>
      <c r="AB644" s="672">
        <f>+SUMIF(SYS_cliente!$F$5:$F$1678,'BCE ABREVIADO'!AA644,SYS_cliente!$I$5:$I$1678)</f>
        <v>0</v>
      </c>
    </row>
    <row r="645" spans="22:28" ht="13.8">
      <c r="V645" s="661">
        <v>5807</v>
      </c>
      <c r="W645" s="662">
        <f>+SUMIF(SYS_cliente!$F$5:$F$1678,'BCE ABREVIADO'!V645,SYS_cliente!$I$5:$I$1678)</f>
        <v>0</v>
      </c>
      <c r="Z645" s="666" t="s">
        <v>161</v>
      </c>
      <c r="AA645" s="653" t="s">
        <v>85</v>
      </c>
      <c r="AB645" s="667">
        <f>SUM(AB646:AB656)</f>
        <v>0</v>
      </c>
    </row>
    <row r="646" spans="22:28" ht="13.8">
      <c r="V646" s="661">
        <v>5808</v>
      </c>
      <c r="W646" s="662">
        <f>+SUMIF(SYS_cliente!$F$5:$F$1678,'BCE ABREVIADO'!V646,SYS_cliente!$I$5:$I$1678)</f>
        <v>0</v>
      </c>
      <c r="Z646" s="666"/>
      <c r="AA646" s="661">
        <v>5125</v>
      </c>
      <c r="AB646" s="672">
        <f>+SUMIF(SYS_cliente!$F$5:$F$1678,'BCE ABREVIADO'!AA646,SYS_cliente!$I$5:$I$1678)</f>
        <v>0</v>
      </c>
    </row>
    <row r="647" spans="22:28" ht="13.8">
      <c r="V647" s="661">
        <v>5809</v>
      </c>
      <c r="W647" s="662">
        <f>+SUMIF(SYS_cliente!$F$5:$F$1678,'BCE ABREVIADO'!V647,SYS_cliente!$I$5:$I$1678)</f>
        <v>0</v>
      </c>
      <c r="Z647" s="666"/>
      <c r="AA647" s="661">
        <v>5240</v>
      </c>
      <c r="AB647" s="672">
        <f>+SUMIF(SYS_cliente!$F$5:$F$1678,'BCE ABREVIADO'!AA647,SYS_cliente!$I$5:$I$1678)</f>
        <v>0</v>
      </c>
    </row>
    <row r="648" spans="22:28" ht="13.8">
      <c r="V648" s="661">
        <v>5810</v>
      </c>
      <c r="W648" s="662">
        <f>+SUMIF(SYS_cliente!$F$5:$F$1678,'BCE ABREVIADO'!V648,SYS_cliente!$I$5:$I$1678)</f>
        <v>0</v>
      </c>
      <c r="Z648" s="666"/>
      <c r="AA648" s="661">
        <v>5241</v>
      </c>
      <c r="AB648" s="672">
        <f>+SUMIF(SYS_cliente!$F$5:$F$1678,'BCE ABREVIADO'!AA648,SYS_cliente!$I$5:$I$1678)</f>
        <v>0</v>
      </c>
    </row>
    <row r="649" spans="22:28" ht="13.8">
      <c r="V649" s="661">
        <v>5811</v>
      </c>
      <c r="W649" s="662">
        <f>+SUMIF(SYS_cliente!$F$5:$F$1678,'BCE ABREVIADO'!V649,SYS_cliente!$I$5:$I$1678)</f>
        <v>0</v>
      </c>
      <c r="Z649" s="666"/>
      <c r="AA649" s="661">
        <v>5242</v>
      </c>
      <c r="AB649" s="672">
        <f>+SUMIF(SYS_cliente!$F$5:$F$1678,'BCE ABREVIADO'!AA649,SYS_cliente!$I$5:$I$1678)</f>
        <v>0</v>
      </c>
    </row>
    <row r="650" spans="22:28" ht="13.8">
      <c r="V650" s="661">
        <v>5812</v>
      </c>
      <c r="W650" s="662">
        <f>+SUMIF(SYS_cliente!$F$5:$F$1678,'BCE ABREVIADO'!V650,SYS_cliente!$I$5:$I$1678)</f>
        <v>0</v>
      </c>
      <c r="Z650" s="666"/>
      <c r="AA650" s="661">
        <v>5243</v>
      </c>
      <c r="AB650" s="672">
        <f>+SUMIF(SYS_cliente!$F$5:$F$1678,'BCE ABREVIADO'!AA650,SYS_cliente!$I$5:$I$1678)</f>
        <v>0</v>
      </c>
    </row>
    <row r="651" spans="22:28" ht="13.8">
      <c r="V651" s="661">
        <v>5813</v>
      </c>
      <c r="W651" s="662">
        <f>+SUMIF(SYS_cliente!$F$5:$F$1678,'BCE ABREVIADO'!V651,SYS_cliente!$I$5:$I$1678)</f>
        <v>0</v>
      </c>
      <c r="Z651" s="666"/>
      <c r="AA651" s="661">
        <v>5244</v>
      </c>
      <c r="AB651" s="672">
        <f>+SUMIF(SYS_cliente!$F$5:$F$1678,'BCE ABREVIADO'!AA651,SYS_cliente!$I$5:$I$1678)</f>
        <v>0</v>
      </c>
    </row>
    <row r="652" spans="22:28" ht="13.8">
      <c r="V652" s="661">
        <v>5814</v>
      </c>
      <c r="W652" s="662">
        <f>+SUMIF(SYS_cliente!$F$5:$F$1678,'BCE ABREVIADO'!V652,SYS_cliente!$I$5:$I$1678)</f>
        <v>0</v>
      </c>
      <c r="Z652" s="666"/>
      <c r="AA652" s="661">
        <v>5245</v>
      </c>
      <c r="AB652" s="672">
        <f>+SUMIF(SYS_cliente!$F$5:$F$1678,'BCE ABREVIADO'!AA652,SYS_cliente!$I$5:$I$1678)</f>
        <v>0</v>
      </c>
    </row>
    <row r="653" spans="22:28" ht="13.8">
      <c r="V653" s="661">
        <v>5815</v>
      </c>
      <c r="W653" s="662">
        <f>+SUMIF(SYS_cliente!$F$5:$F$1678,'BCE ABREVIADO'!V653,SYS_cliente!$I$5:$I$1678)</f>
        <v>0</v>
      </c>
      <c r="Z653" s="666"/>
      <c r="AA653" s="661">
        <v>5246</v>
      </c>
      <c r="AB653" s="672">
        <f>+SUMIF(SYS_cliente!$F$5:$F$1678,'BCE ABREVIADO'!AA653,SYS_cliente!$I$5:$I$1678)</f>
        <v>0</v>
      </c>
    </row>
    <row r="654" spans="22:28" ht="13.8">
      <c r="V654" s="661">
        <v>5816</v>
      </c>
      <c r="W654" s="662">
        <f>+SUMIF(SYS_cliente!$F$5:$F$1678,'BCE ABREVIADO'!V654,SYS_cliente!$I$5:$I$1678)</f>
        <v>0</v>
      </c>
      <c r="Z654" s="666"/>
      <c r="AA654" s="661">
        <v>5247</v>
      </c>
      <c r="AB654" s="672">
        <f>+SUMIF(SYS_cliente!$F$5:$F$1678,'BCE ABREVIADO'!AA654,SYS_cliente!$I$5:$I$1678)</f>
        <v>0</v>
      </c>
    </row>
    <row r="655" spans="22:28" ht="13.8">
      <c r="V655" s="661">
        <v>5817</v>
      </c>
      <c r="W655" s="662">
        <f>+SUMIF(SYS_cliente!$F$5:$F$1678,'BCE ABREVIADO'!V655,SYS_cliente!$I$5:$I$1678)</f>
        <v>0</v>
      </c>
      <c r="Z655" s="666"/>
      <c r="AA655" s="661">
        <v>5248</v>
      </c>
      <c r="AB655" s="672">
        <f>+SUMIF(SYS_cliente!$F$5:$F$1678,'BCE ABREVIADO'!AA655,SYS_cliente!$I$5:$I$1678)</f>
        <v>0</v>
      </c>
    </row>
    <row r="656" spans="22:28" ht="13.8">
      <c r="V656" s="661">
        <v>5818</v>
      </c>
      <c r="W656" s="662">
        <f>+SUMIF(SYS_cliente!$F$5:$F$1678,'BCE ABREVIADO'!V656,SYS_cliente!$I$5:$I$1678)</f>
        <v>0</v>
      </c>
      <c r="Z656" s="666"/>
      <c r="AA656" s="661">
        <v>5249</v>
      </c>
      <c r="AB656" s="672">
        <f>+SUMIF(SYS_cliente!$F$5:$F$1678,'BCE ABREVIADO'!AA656,SYS_cliente!$I$5:$I$1678)</f>
        <v>0</v>
      </c>
    </row>
    <row r="657" spans="22:28" ht="13.8">
      <c r="V657" s="661">
        <v>5819</v>
      </c>
      <c r="W657" s="662">
        <f>+SUMIF(SYS_cliente!$F$5:$F$1678,'BCE ABREVIADO'!V657,SYS_cliente!$I$5:$I$1678)</f>
        <v>0</v>
      </c>
      <c r="Z657" s="666" t="s">
        <v>162</v>
      </c>
      <c r="AA657" s="653" t="s">
        <v>23</v>
      </c>
      <c r="AB657" s="667">
        <f>SUM(AB658:AB659)</f>
        <v>0</v>
      </c>
    </row>
    <row r="658" spans="22:28" ht="13.8">
      <c r="V658" s="661">
        <v>5820</v>
      </c>
      <c r="W658" s="662">
        <f>+SUMIF(SYS_cliente!$F$5:$F$1678,'BCE ABREVIADO'!V658,SYS_cliente!$I$5:$I$1678)</f>
        <v>0</v>
      </c>
      <c r="Z658" s="666"/>
      <c r="AA658" s="661">
        <v>5595</v>
      </c>
      <c r="AB658" s="672">
        <f>+SUMIF(SYS_cliente!$F$5:$F$1678,'BCE ABREVIADO'!AA658,SYS_cliente!$I$5:$I$1678)</f>
        <v>0</v>
      </c>
    </row>
    <row r="659" spans="22:28" ht="13.8">
      <c r="V659" s="661">
        <v>5821</v>
      </c>
      <c r="W659" s="662">
        <f>+SUMIF(SYS_cliente!$F$5:$F$1678,'BCE ABREVIADO'!V659,SYS_cliente!$I$5:$I$1678)</f>
        <v>0</v>
      </c>
      <c r="Z659" s="666"/>
      <c r="AA659" s="661">
        <v>5598</v>
      </c>
      <c r="AB659" s="672">
        <f>+SUMIF(SYS_cliente!$F$5:$F$1678,'BCE ABREVIADO'!AA659,SYS_cliente!$I$5:$I$1678)</f>
        <v>0</v>
      </c>
    </row>
    <row r="660" spans="22:28" ht="21">
      <c r="V660" s="661">
        <v>5822</v>
      </c>
      <c r="W660" s="662">
        <f>+SUMIF(SYS_cliente!$F$5:$F$1678,'BCE ABREVIADO'!V660,SYS_cliente!$I$5:$I$1678)</f>
        <v>0</v>
      </c>
      <c r="Z660" s="666" t="s">
        <v>1551</v>
      </c>
      <c r="AA660" s="653" t="s">
        <v>86</v>
      </c>
      <c r="AB660" s="667">
        <f>SUM(AB661:AB802)</f>
        <v>-652.07000000000005</v>
      </c>
    </row>
    <row r="661" spans="22:28" ht="13.8">
      <c r="V661" s="661">
        <v>5823</v>
      </c>
      <c r="W661" s="662">
        <f>+SUMIF(SYS_cliente!$F$5:$F$1678,'BCE ABREVIADO'!V661,SYS_cliente!$I$5:$I$1678)</f>
        <v>0</v>
      </c>
      <c r="Z661" s="666"/>
      <c r="AA661" s="661">
        <v>1034</v>
      </c>
      <c r="AB661" s="672">
        <f>+SUMIF(SYS_cliente!$F$5:$F$1678,'BCE ABREVIADO'!AA661,SYS_cliente!$I$5:$I$1678)</f>
        <v>0</v>
      </c>
    </row>
    <row r="662" spans="22:28" ht="13.8">
      <c r="V662" s="661">
        <v>5824</v>
      </c>
      <c r="W662" s="662">
        <f>+SUMIF(SYS_cliente!$F$5:$F$1678,'BCE ABREVIADO'!V662,SYS_cliente!$I$5:$I$1678)</f>
        <v>0</v>
      </c>
      <c r="Z662" s="666"/>
      <c r="AA662" s="661">
        <v>1044</v>
      </c>
      <c r="AB662" s="672">
        <f>+SUMIF(SYS_cliente!$F$5:$F$1678,'BCE ABREVIADO'!AA662,SYS_cliente!$I$5:$I$1678)</f>
        <v>0</v>
      </c>
    </row>
    <row r="663" spans="22:28" ht="13.8">
      <c r="V663" s="661">
        <v>5825</v>
      </c>
      <c r="W663" s="662">
        <f>+SUMIF(SYS_cliente!$F$5:$F$1678,'BCE ABREVIADO'!V663,SYS_cliente!$I$5:$I$1678)</f>
        <v>0</v>
      </c>
      <c r="Z663" s="666"/>
      <c r="AA663" s="661">
        <v>1900</v>
      </c>
      <c r="AB663" s="672">
        <f>+SUMIF(SYS_cliente!$F$5:$F$1678,'BCE ABREVIADO'!AA663,SYS_cliente!$I$5:$I$1678)</f>
        <v>0</v>
      </c>
    </row>
    <row r="664" spans="22:28" ht="13.8">
      <c r="V664" s="661">
        <v>5826</v>
      </c>
      <c r="W664" s="662">
        <f>+SUMIF(SYS_cliente!$F$5:$F$1678,'BCE ABREVIADO'!V664,SYS_cliente!$I$5:$I$1678)</f>
        <v>0</v>
      </c>
      <c r="Z664" s="666"/>
      <c r="AA664" s="661">
        <v>1901</v>
      </c>
      <c r="AB664" s="672">
        <f>+SUMIF(SYS_cliente!$F$5:$F$1678,'BCE ABREVIADO'!AA664,SYS_cliente!$I$5:$I$1678)</f>
        <v>0</v>
      </c>
    </row>
    <row r="665" spans="22:28" ht="13.8">
      <c r="V665" s="661">
        <v>5827</v>
      </c>
      <c r="W665" s="662">
        <f>+SUMIF(SYS_cliente!$F$5:$F$1678,'BCE ABREVIADO'!V665,SYS_cliente!$I$5:$I$1678)</f>
        <v>0</v>
      </c>
      <c r="Z665" s="666"/>
      <c r="AA665" s="661">
        <v>1902</v>
      </c>
      <c r="AB665" s="672">
        <f>+SUMIF(SYS_cliente!$F$5:$F$1678,'BCE ABREVIADO'!AA665,SYS_cliente!$I$5:$I$1678)</f>
        <v>0</v>
      </c>
    </row>
    <row r="666" spans="22:28" ht="13.8">
      <c r="V666" s="661">
        <v>5828</v>
      </c>
      <c r="W666" s="662">
        <f>+SUMIF(SYS_cliente!$F$5:$F$1678,'BCE ABREVIADO'!V666,SYS_cliente!$I$5:$I$1678)</f>
        <v>0</v>
      </c>
      <c r="Z666" s="666"/>
      <c r="AA666" s="661">
        <v>1903</v>
      </c>
      <c r="AB666" s="672">
        <f>+SUMIF(SYS_cliente!$F$5:$F$1678,'BCE ABREVIADO'!AA666,SYS_cliente!$I$5:$I$1678)</f>
        <v>0</v>
      </c>
    </row>
    <row r="667" spans="22:28" ht="13.8">
      <c r="V667" s="661">
        <v>5829</v>
      </c>
      <c r="W667" s="662">
        <f>+SUMIF(SYS_cliente!$F$5:$F$1678,'BCE ABREVIADO'!V667,SYS_cliente!$I$5:$I$1678)</f>
        <v>0</v>
      </c>
      <c r="Z667" s="666"/>
      <c r="AA667" s="661">
        <v>1904</v>
      </c>
      <c r="AB667" s="672">
        <f>+SUMIF(SYS_cliente!$F$5:$F$1678,'BCE ABREVIADO'!AA667,SYS_cliente!$I$5:$I$1678)</f>
        <v>0</v>
      </c>
    </row>
    <row r="668" spans="22:28" ht="13.8">
      <c r="V668" s="661">
        <v>5830</v>
      </c>
      <c r="W668" s="662">
        <f>+SUMIF(SYS_cliente!$F$5:$F$1678,'BCE ABREVIADO'!V668,SYS_cliente!$I$5:$I$1678)</f>
        <v>0</v>
      </c>
      <c r="Z668" s="666"/>
      <c r="AA668" s="661">
        <v>1905</v>
      </c>
      <c r="AB668" s="672">
        <f>+SUMIF(SYS_cliente!$F$5:$F$1678,'BCE ABREVIADO'!AA668,SYS_cliente!$I$5:$I$1678)</f>
        <v>0</v>
      </c>
    </row>
    <row r="669" spans="22:28" ht="13.8">
      <c r="V669" s="661">
        <v>5831</v>
      </c>
      <c r="W669" s="662">
        <f>+SUMIF(SYS_cliente!$F$5:$F$1678,'BCE ABREVIADO'!V669,SYS_cliente!$I$5:$I$1678)</f>
        <v>0</v>
      </c>
      <c r="Z669" s="666"/>
      <c r="AA669" s="661">
        <v>1906</v>
      </c>
      <c r="AB669" s="672">
        <f>+SUMIF(SYS_cliente!$F$5:$F$1678,'BCE ABREVIADO'!AA669,SYS_cliente!$I$5:$I$1678)</f>
        <v>0</v>
      </c>
    </row>
    <row r="670" spans="22:28" ht="13.8">
      <c r="V670" s="661">
        <v>5832</v>
      </c>
      <c r="W670" s="662">
        <f>+SUMIF(SYS_cliente!$F$5:$F$1678,'BCE ABREVIADO'!V670,SYS_cliente!$I$5:$I$1678)</f>
        <v>0</v>
      </c>
      <c r="Z670" s="666"/>
      <c r="AA670" s="661">
        <v>1907</v>
      </c>
      <c r="AB670" s="672">
        <f>+SUMIF(SYS_cliente!$F$5:$F$1678,'BCE ABREVIADO'!AA670,SYS_cliente!$I$5:$I$1678)</f>
        <v>0</v>
      </c>
    </row>
    <row r="671" spans="22:28" ht="13.8">
      <c r="V671" s="661">
        <v>5833</v>
      </c>
      <c r="W671" s="662">
        <f>+SUMIF(SYS_cliente!$F$5:$F$1678,'BCE ABREVIADO'!V671,SYS_cliente!$I$5:$I$1678)</f>
        <v>0</v>
      </c>
      <c r="Z671" s="666"/>
      <c r="AA671" s="661">
        <v>1908</v>
      </c>
      <c r="AB671" s="672">
        <f>+SUMIF(SYS_cliente!$F$5:$F$1678,'BCE ABREVIADO'!AA671,SYS_cliente!$I$5:$I$1678)</f>
        <v>0</v>
      </c>
    </row>
    <row r="672" spans="22:28" ht="13.8">
      <c r="V672" s="661">
        <v>5834</v>
      </c>
      <c r="W672" s="662">
        <f>+SUMIF(SYS_cliente!$F$5:$F$1678,'BCE ABREVIADO'!V672,SYS_cliente!$I$5:$I$1678)</f>
        <v>0</v>
      </c>
      <c r="Z672" s="666"/>
      <c r="AA672" s="661">
        <v>1909</v>
      </c>
      <c r="AB672" s="672">
        <f>+SUMIF(SYS_cliente!$F$5:$F$1678,'BCE ABREVIADO'!AA672,SYS_cliente!$I$5:$I$1678)</f>
        <v>0</v>
      </c>
    </row>
    <row r="673" spans="22:28" ht="13.8">
      <c r="V673" s="661">
        <v>5835</v>
      </c>
      <c r="W673" s="662">
        <f>+SUMIF(SYS_cliente!$F$5:$F$1678,'BCE ABREVIADO'!V673,SYS_cliente!$I$5:$I$1678)</f>
        <v>0</v>
      </c>
      <c r="Z673" s="666"/>
      <c r="AA673" s="661">
        <v>1920</v>
      </c>
      <c r="AB673" s="672">
        <f>+SUMIF(SYS_cliente!$F$5:$F$1678,'BCE ABREVIADO'!AA673,SYS_cliente!$I$5:$I$1678)</f>
        <v>0</v>
      </c>
    </row>
    <row r="674" spans="22:28" ht="13.8">
      <c r="V674" s="661">
        <v>5836</v>
      </c>
      <c r="W674" s="662">
        <f>+SUMIF(SYS_cliente!$F$5:$F$1678,'BCE ABREVIADO'!V674,SYS_cliente!$I$5:$I$1678)</f>
        <v>0</v>
      </c>
      <c r="Z674" s="666"/>
      <c r="AA674" s="661">
        <v>1921</v>
      </c>
      <c r="AB674" s="672">
        <f>+SUMIF(SYS_cliente!$F$5:$F$1678,'BCE ABREVIADO'!AA674,SYS_cliente!$I$5:$I$1678)</f>
        <v>0</v>
      </c>
    </row>
    <row r="675" spans="22:28" ht="13.8">
      <c r="V675" s="661">
        <v>5837</v>
      </c>
      <c r="W675" s="662">
        <f>+SUMIF(SYS_cliente!$F$5:$F$1678,'BCE ABREVIADO'!V675,SYS_cliente!$I$5:$I$1678)</f>
        <v>0</v>
      </c>
      <c r="Z675" s="666"/>
      <c r="AA675" s="661">
        <v>1922</v>
      </c>
      <c r="AB675" s="672">
        <f>+SUMIF(SYS_cliente!$F$5:$F$1678,'BCE ABREVIADO'!AA675,SYS_cliente!$I$5:$I$1678)</f>
        <v>0</v>
      </c>
    </row>
    <row r="676" spans="22:28" ht="13.8">
      <c r="V676" s="661">
        <v>5838</v>
      </c>
      <c r="W676" s="662">
        <f>+SUMIF(SYS_cliente!$F$5:$F$1678,'BCE ABREVIADO'!V676,SYS_cliente!$I$5:$I$1678)</f>
        <v>0</v>
      </c>
      <c r="Z676" s="666"/>
      <c r="AA676" s="661">
        <v>1923</v>
      </c>
      <c r="AB676" s="672">
        <f>+SUMIF(SYS_cliente!$F$5:$F$1678,'BCE ABREVIADO'!AA676,SYS_cliente!$I$5:$I$1678)</f>
        <v>0</v>
      </c>
    </row>
    <row r="677" spans="22:28" ht="13.8">
      <c r="V677" s="661">
        <v>5839</v>
      </c>
      <c r="W677" s="662">
        <f>+SUMIF(SYS_cliente!$F$5:$F$1678,'BCE ABREVIADO'!V677,SYS_cliente!$I$5:$I$1678)</f>
        <v>0</v>
      </c>
      <c r="Z677" s="666"/>
      <c r="AA677" s="661">
        <v>1924</v>
      </c>
      <c r="AB677" s="672">
        <f>+SUMIF(SYS_cliente!$F$5:$F$1678,'BCE ABREVIADO'!AA677,SYS_cliente!$I$5:$I$1678)</f>
        <v>0</v>
      </c>
    </row>
    <row r="678" spans="22:28" ht="13.8">
      <c r="V678" s="661">
        <v>5840</v>
      </c>
      <c r="W678" s="662">
        <f>+SUMIF(SYS_cliente!$F$5:$F$1678,'BCE ABREVIADO'!V678,SYS_cliente!$I$5:$I$1678)</f>
        <v>0</v>
      </c>
      <c r="Z678" s="666"/>
      <c r="AA678" s="661">
        <v>1925</v>
      </c>
      <c r="AB678" s="672">
        <f>+SUMIF(SYS_cliente!$F$5:$F$1678,'BCE ABREVIADO'!AA678,SYS_cliente!$I$5:$I$1678)</f>
        <v>0</v>
      </c>
    </row>
    <row r="679" spans="22:28" ht="13.8">
      <c r="V679" s="661">
        <v>5841</v>
      </c>
      <c r="W679" s="662">
        <f>+SUMIF(SYS_cliente!$F$5:$F$1678,'BCE ABREVIADO'!V679,SYS_cliente!$I$5:$I$1678)</f>
        <v>0</v>
      </c>
      <c r="Z679" s="666"/>
      <c r="AA679" s="661">
        <v>1926</v>
      </c>
      <c r="AB679" s="672">
        <f>+SUMIF(SYS_cliente!$F$5:$F$1678,'BCE ABREVIADO'!AA679,SYS_cliente!$I$5:$I$1678)</f>
        <v>0</v>
      </c>
    </row>
    <row r="680" spans="22:28" ht="13.8">
      <c r="V680" s="661">
        <v>5842</v>
      </c>
      <c r="W680" s="662">
        <f>+SUMIF(SYS_cliente!$F$5:$F$1678,'BCE ABREVIADO'!V680,SYS_cliente!$I$5:$I$1678)</f>
        <v>0</v>
      </c>
      <c r="Z680" s="666"/>
      <c r="AA680" s="661">
        <v>1927</v>
      </c>
      <c r="AB680" s="672">
        <f>+SUMIF(SYS_cliente!$F$5:$F$1678,'BCE ABREVIADO'!AA680,SYS_cliente!$I$5:$I$1678)</f>
        <v>0</v>
      </c>
    </row>
    <row r="681" spans="22:28" ht="13.8">
      <c r="V681" s="661">
        <v>5843</v>
      </c>
      <c r="W681" s="662">
        <f>+SUMIF(SYS_cliente!$F$5:$F$1678,'BCE ABREVIADO'!V681,SYS_cliente!$I$5:$I$1678)</f>
        <v>0</v>
      </c>
      <c r="Z681" s="666"/>
      <c r="AA681" s="661">
        <v>1928</v>
      </c>
      <c r="AB681" s="672">
        <f>+SUMIF(SYS_cliente!$F$5:$F$1678,'BCE ABREVIADO'!AA681,SYS_cliente!$I$5:$I$1678)</f>
        <v>0</v>
      </c>
    </row>
    <row r="682" spans="22:28" ht="13.8">
      <c r="V682" s="661">
        <v>5844</v>
      </c>
      <c r="W682" s="662">
        <f>+SUMIF(SYS_cliente!$F$5:$F$1678,'BCE ABREVIADO'!V682,SYS_cliente!$I$5:$I$1678)</f>
        <v>0</v>
      </c>
      <c r="Z682" s="666"/>
      <c r="AA682" s="661">
        <v>1929</v>
      </c>
      <c r="AB682" s="672">
        <f>+SUMIF(SYS_cliente!$F$5:$F$1678,'BCE ABREVIADO'!AA682,SYS_cliente!$I$5:$I$1678)</f>
        <v>0</v>
      </c>
    </row>
    <row r="683" spans="22:28" ht="13.8">
      <c r="V683" s="661">
        <v>5845</v>
      </c>
      <c r="W683" s="662">
        <f>+SUMIF(SYS_cliente!$F$5:$F$1678,'BCE ABREVIADO'!V683,SYS_cliente!$I$5:$I$1678)</f>
        <v>0</v>
      </c>
      <c r="Z683" s="666"/>
      <c r="AA683" s="661">
        <v>1940</v>
      </c>
      <c r="AB683" s="672">
        <f>+SUMIF(SYS_cliente!$F$5:$F$1678,'BCE ABREVIADO'!AA683,SYS_cliente!$I$5:$I$1678)</f>
        <v>0</v>
      </c>
    </row>
    <row r="684" spans="22:28" ht="13.8">
      <c r="V684" s="661">
        <v>5846</v>
      </c>
      <c r="W684" s="662">
        <f>+SUMIF(SYS_cliente!$F$5:$F$1678,'BCE ABREVIADO'!V684,SYS_cliente!$I$5:$I$1678)</f>
        <v>0</v>
      </c>
      <c r="Z684" s="666"/>
      <c r="AA684" s="661">
        <v>1941</v>
      </c>
      <c r="AB684" s="672">
        <f>+SUMIF(SYS_cliente!$F$5:$F$1678,'BCE ABREVIADO'!AA684,SYS_cliente!$I$5:$I$1678)</f>
        <v>0</v>
      </c>
    </row>
    <row r="685" spans="22:28" ht="13.8">
      <c r="V685" s="661">
        <v>5847</v>
      </c>
      <c r="W685" s="662">
        <f>+SUMIF(SYS_cliente!$F$5:$F$1678,'BCE ABREVIADO'!V685,SYS_cliente!$I$5:$I$1678)</f>
        <v>0</v>
      </c>
      <c r="Z685" s="666"/>
      <c r="AA685" s="661">
        <v>1942</v>
      </c>
      <c r="AB685" s="672">
        <f>+SUMIF(SYS_cliente!$F$5:$F$1678,'BCE ABREVIADO'!AA685,SYS_cliente!$I$5:$I$1678)</f>
        <v>0</v>
      </c>
    </row>
    <row r="686" spans="22:28" ht="13.8">
      <c r="V686" s="661">
        <v>5848</v>
      </c>
      <c r="W686" s="662">
        <f>+SUMIF(SYS_cliente!$F$5:$F$1678,'BCE ABREVIADO'!V686,SYS_cliente!$I$5:$I$1678)</f>
        <v>0</v>
      </c>
      <c r="Z686" s="666"/>
      <c r="AA686" s="661">
        <v>1943</v>
      </c>
      <c r="AB686" s="672">
        <f>+SUMIF(SYS_cliente!$F$5:$F$1678,'BCE ABREVIADO'!AA686,SYS_cliente!$I$5:$I$1678)</f>
        <v>0</v>
      </c>
    </row>
    <row r="687" spans="22:28" ht="13.8">
      <c r="V687" s="661">
        <v>5849</v>
      </c>
      <c r="W687" s="662">
        <f>+SUMIF(SYS_cliente!$F$5:$F$1678,'BCE ABREVIADO'!V687,SYS_cliente!$I$5:$I$1678)</f>
        <v>0</v>
      </c>
      <c r="Z687" s="666"/>
      <c r="AA687" s="661">
        <v>1944</v>
      </c>
      <c r="AB687" s="672">
        <f>+SUMIF(SYS_cliente!$F$5:$F$1678,'BCE ABREVIADO'!AA687,SYS_cliente!$I$5:$I$1678)</f>
        <v>0</v>
      </c>
    </row>
    <row r="688" spans="22:28" ht="13.8">
      <c r="V688" s="661">
        <v>5990</v>
      </c>
      <c r="W688" s="662">
        <f>+SUMIF(SYS_cliente!$F$5:$F$1678,'BCE ABREVIADO'!V688,SYS_cliente!$I$5:$I$1678)</f>
        <v>0</v>
      </c>
      <c r="Z688" s="666"/>
      <c r="AA688" s="661">
        <v>1945</v>
      </c>
      <c r="AB688" s="672">
        <f>+SUMIF(SYS_cliente!$F$5:$F$1678,'BCE ABREVIADO'!AA688,SYS_cliente!$I$5:$I$1678)</f>
        <v>0</v>
      </c>
    </row>
    <row r="689" spans="21:28" ht="13.8">
      <c r="V689" s="661">
        <v>5991</v>
      </c>
      <c r="W689" s="662">
        <f>+SUMIF(SYS_cliente!$F$5:$F$1678,'BCE ABREVIADO'!V689,SYS_cliente!$I$5:$I$1678)</f>
        <v>0</v>
      </c>
      <c r="Z689" s="666"/>
      <c r="AA689" s="661">
        <v>1946</v>
      </c>
      <c r="AB689" s="672">
        <f>+SUMIF(SYS_cliente!$F$5:$F$1678,'BCE ABREVIADO'!AA689,SYS_cliente!$I$5:$I$1678)</f>
        <v>0</v>
      </c>
    </row>
    <row r="690" spans="21:28" ht="13.8">
      <c r="V690" s="661">
        <v>5992</v>
      </c>
      <c r="W690" s="662">
        <f>+SUMIF(SYS_cliente!$F$5:$F$1678,'BCE ABREVIADO'!V690,SYS_cliente!$I$5:$I$1678)</f>
        <v>0</v>
      </c>
      <c r="Z690" s="666"/>
      <c r="AA690" s="661">
        <v>1947</v>
      </c>
      <c r="AB690" s="672">
        <f>+SUMIF(SYS_cliente!$F$5:$F$1678,'BCE ABREVIADO'!AA690,SYS_cliente!$I$5:$I$1678)</f>
        <v>0</v>
      </c>
    </row>
    <row r="691" spans="21:28" ht="13.8">
      <c r="V691" s="661">
        <v>5993</v>
      </c>
      <c r="W691" s="662">
        <f>+SUMIF(SYS_cliente!$F$5:$F$1678,'BCE ABREVIADO'!V691,SYS_cliente!$I$5:$I$1678)</f>
        <v>0</v>
      </c>
      <c r="Z691" s="666"/>
      <c r="AA691" s="661">
        <v>1948</v>
      </c>
      <c r="AB691" s="672">
        <f>+SUMIF(SYS_cliente!$F$5:$F$1678,'BCE ABREVIADO'!AA691,SYS_cliente!$I$5:$I$1678)</f>
        <v>0</v>
      </c>
    </row>
    <row r="692" spans="21:28" ht="13.8">
      <c r="V692" s="661">
        <v>5994</v>
      </c>
      <c r="W692" s="662">
        <f>+SUMIF(SYS_cliente!$F$5:$F$1678,'BCE ABREVIADO'!V692,SYS_cliente!$I$5:$I$1678)</f>
        <v>0</v>
      </c>
      <c r="Z692" s="666"/>
      <c r="AA692" s="661">
        <v>1949</v>
      </c>
      <c r="AB692" s="672">
        <f>+SUMIF(SYS_cliente!$F$5:$F$1678,'BCE ABREVIADO'!AA692,SYS_cliente!$I$5:$I$1678)</f>
        <v>0</v>
      </c>
    </row>
    <row r="693" spans="21:28" ht="13.8">
      <c r="V693" s="661">
        <v>5995</v>
      </c>
      <c r="W693" s="662">
        <f>+SUMIF(SYS_cliente!$F$5:$F$1678,'BCE ABREVIADO'!V693,SYS_cliente!$I$5:$I$1678)</f>
        <v>0</v>
      </c>
      <c r="Z693" s="666"/>
      <c r="AA693" s="661">
        <v>5090</v>
      </c>
      <c r="AB693" s="672">
        <f>+SUMIF(SYS_cliente!$F$5:$F$1678,'BCE ABREVIADO'!AA693,SYS_cliente!$I$5:$I$1678)</f>
        <v>0</v>
      </c>
    </row>
    <row r="694" spans="21:28" ht="13.8">
      <c r="V694" s="661">
        <v>5996</v>
      </c>
      <c r="W694" s="662">
        <f>+SUMIF(SYS_cliente!$F$5:$F$1678,'BCE ABREVIADO'!V694,SYS_cliente!$I$5:$I$1678)</f>
        <v>0</v>
      </c>
      <c r="Z694" s="666"/>
      <c r="AA694" s="661">
        <v>5115</v>
      </c>
      <c r="AB694" s="672">
        <f>+SUMIF(SYS_cliente!$F$5:$F$1678,'BCE ABREVIADO'!AA694,SYS_cliente!$I$5:$I$1678)</f>
        <v>0</v>
      </c>
    </row>
    <row r="695" spans="21:28" ht="13.8">
      <c r="V695" s="661">
        <v>5997</v>
      </c>
      <c r="W695" s="662">
        <f>+SUMIF(SYS_cliente!$F$5:$F$1678,'BCE ABREVIADO'!V695,SYS_cliente!$I$5:$I$1678)</f>
        <v>0</v>
      </c>
      <c r="Z695" s="666"/>
      <c r="AA695" s="661">
        <v>5135</v>
      </c>
      <c r="AB695" s="672">
        <f>+SUMIF(SYS_cliente!$F$5:$F$1678,'BCE ABREVIADO'!AA695,SYS_cliente!$I$5:$I$1678)</f>
        <v>0</v>
      </c>
    </row>
    <row r="696" spans="21:28" ht="13.8">
      <c r="V696" s="661">
        <v>5998</v>
      </c>
      <c r="W696" s="662">
        <f>+SUMIF(SYS_cliente!$F$5:$F$1678,'BCE ABREVIADO'!V696,SYS_cliente!$I$5:$I$1678)</f>
        <v>0</v>
      </c>
      <c r="Z696" s="666"/>
      <c r="AA696" s="661">
        <v>5145</v>
      </c>
      <c r="AB696" s="672">
        <f>+SUMIF(SYS_cliente!$F$5:$F$1678,'BCE ABREVIADO'!AA696,SYS_cliente!$I$5:$I$1678)</f>
        <v>0</v>
      </c>
    </row>
    <row r="697" spans="21:28" ht="13.8">
      <c r="V697" s="661">
        <v>5999</v>
      </c>
      <c r="W697" s="662">
        <f>+SUMIF(SYS_cliente!$F$5:$F$1678,'BCE ABREVIADO'!V697,SYS_cliente!$I$5:$I$1678)</f>
        <v>0</v>
      </c>
      <c r="Z697" s="666"/>
      <c r="AA697" s="661">
        <v>5210</v>
      </c>
      <c r="AB697" s="672">
        <f>+SUMIF(SYS_cliente!$F$5:$F$1678,'BCE ABREVIADO'!AA697,SYS_cliente!$I$5:$I$1678)</f>
        <v>-652.07000000000005</v>
      </c>
    </row>
    <row r="698" spans="21:28" ht="13.8">
      <c r="V698" s="664" t="s">
        <v>30</v>
      </c>
      <c r="W698" s="722"/>
      <c r="Z698" s="666"/>
      <c r="AA698" s="661">
        <v>5211</v>
      </c>
      <c r="AB698" s="672">
        <f>+SUMIF(SYS_cliente!$F$5:$F$1678,'BCE ABREVIADO'!AA698,SYS_cliente!$I$5:$I$1678)</f>
        <v>0</v>
      </c>
    </row>
    <row r="699" spans="21:28" ht="13.8">
      <c r="U699" s="715" t="s">
        <v>126</v>
      </c>
      <c r="V699" s="653" t="s">
        <v>31</v>
      </c>
      <c r="W699" s="654">
        <f>SUM(W700:W809)</f>
        <v>7571396.0500000007</v>
      </c>
      <c r="Z699" s="666"/>
      <c r="AA699" s="661">
        <v>5212</v>
      </c>
      <c r="AB699" s="672">
        <f>+SUMIF(SYS_cliente!$F$5:$F$1678,'BCE ABREVIADO'!AA699,SYS_cliente!$I$5:$I$1678)</f>
        <v>0</v>
      </c>
    </row>
    <row r="700" spans="21:28" ht="13.8">
      <c r="V700" s="661">
        <v>3000</v>
      </c>
      <c r="W700" s="662">
        <f>+SUMIF(SYS_cliente!$F$5:$F$1678,'BCE ABREVIADO'!V700,SYS_cliente!$I$5:$I$1678)</f>
        <v>7571396.0500000007</v>
      </c>
      <c r="Z700" s="666"/>
      <c r="AA700" s="661">
        <v>5213</v>
      </c>
      <c r="AB700" s="672">
        <f>+SUMIF(SYS_cliente!$F$5:$F$1678,'BCE ABREVIADO'!AA700,SYS_cliente!$I$5:$I$1678)</f>
        <v>0</v>
      </c>
    </row>
    <row r="701" spans="21:28" ht="13.8">
      <c r="V701" s="661">
        <v>3001</v>
      </c>
      <c r="W701" s="662">
        <f>+SUMIF(SYS_cliente!$F$5:$F$1678,'BCE ABREVIADO'!V701,SYS_cliente!$I$5:$I$1678)</f>
        <v>0</v>
      </c>
      <c r="Z701" s="666"/>
      <c r="AA701" s="661">
        <v>5214</v>
      </c>
      <c r="AB701" s="672">
        <f>+SUMIF(SYS_cliente!$F$5:$F$1678,'BCE ABREVIADO'!AA701,SYS_cliente!$I$5:$I$1678)</f>
        <v>0</v>
      </c>
    </row>
    <row r="702" spans="21:28" ht="13.8">
      <c r="V702" s="661">
        <v>3002</v>
      </c>
      <c r="W702" s="662">
        <f>+SUMIF(SYS_cliente!$F$5:$F$1678,'BCE ABREVIADO'!V702,SYS_cliente!$I$5:$I$1678)</f>
        <v>0</v>
      </c>
      <c r="Z702" s="666"/>
      <c r="AA702" s="661">
        <v>5215</v>
      </c>
      <c r="AB702" s="672">
        <f>+SUMIF(SYS_cliente!$F$5:$F$1678,'BCE ABREVIADO'!AA702,SYS_cliente!$I$5:$I$1678)</f>
        <v>0</v>
      </c>
    </row>
    <row r="703" spans="21:28" ht="13.8">
      <c r="V703" s="661">
        <v>3003</v>
      </c>
      <c r="W703" s="662">
        <f>+SUMIF(SYS_cliente!$F$5:$F$1678,'BCE ABREVIADO'!V703,SYS_cliente!$I$5:$I$1678)</f>
        <v>0</v>
      </c>
      <c r="Z703" s="666"/>
      <c r="AA703" s="661">
        <v>5216</v>
      </c>
      <c r="AB703" s="672">
        <f>+SUMIF(SYS_cliente!$F$5:$F$1678,'BCE ABREVIADO'!AA703,SYS_cliente!$I$5:$I$1678)</f>
        <v>0</v>
      </c>
    </row>
    <row r="704" spans="21:28" ht="13.8">
      <c r="V704" s="661">
        <v>3004</v>
      </c>
      <c r="W704" s="662">
        <f>+SUMIF(SYS_cliente!$F$5:$F$1678,'BCE ABREVIADO'!V704,SYS_cliente!$I$5:$I$1678)</f>
        <v>0</v>
      </c>
      <c r="Z704" s="666"/>
      <c r="AA704" s="661">
        <v>5217</v>
      </c>
      <c r="AB704" s="672">
        <f>+SUMIF(SYS_cliente!$F$5:$F$1678,'BCE ABREVIADO'!AA704,SYS_cliente!$I$5:$I$1678)</f>
        <v>0</v>
      </c>
    </row>
    <row r="705" spans="22:28" ht="13.8">
      <c r="V705" s="661">
        <v>3005</v>
      </c>
      <c r="W705" s="662">
        <f>+SUMIF(SYS_cliente!$F$5:$F$1678,'BCE ABREVIADO'!V705,SYS_cliente!$I$5:$I$1678)</f>
        <v>0</v>
      </c>
      <c r="Z705" s="666"/>
      <c r="AA705" s="661">
        <v>5218</v>
      </c>
      <c r="AB705" s="672">
        <f>+SUMIF(SYS_cliente!$F$5:$F$1678,'BCE ABREVIADO'!AA705,SYS_cliente!$I$5:$I$1678)</f>
        <v>0</v>
      </c>
    </row>
    <row r="706" spans="22:28" ht="13.8">
      <c r="V706" s="661">
        <v>3006</v>
      </c>
      <c r="W706" s="662">
        <f>+SUMIF(SYS_cliente!$F$5:$F$1678,'BCE ABREVIADO'!V706,SYS_cliente!$I$5:$I$1678)</f>
        <v>0</v>
      </c>
      <c r="Z706" s="666"/>
      <c r="AA706" s="661">
        <v>5219</v>
      </c>
      <c r="AB706" s="672">
        <f>+SUMIF(SYS_cliente!$F$5:$F$1678,'BCE ABREVIADO'!AA706,SYS_cliente!$I$5:$I$1678)</f>
        <v>0</v>
      </c>
    </row>
    <row r="707" spans="22:28" ht="13.8">
      <c r="V707" s="661">
        <v>3007</v>
      </c>
      <c r="W707" s="662">
        <f>+SUMIF(SYS_cliente!$F$5:$F$1678,'BCE ABREVIADO'!V707,SYS_cliente!$I$5:$I$1678)</f>
        <v>0</v>
      </c>
      <c r="Z707" s="666"/>
      <c r="AA707" s="661">
        <v>5220</v>
      </c>
      <c r="AB707" s="672">
        <f>+SUMIF(SYS_cliente!$F$5:$F$1678,'BCE ABREVIADO'!AA707,SYS_cliente!$I$5:$I$1678)</f>
        <v>0</v>
      </c>
    </row>
    <row r="708" spans="22:28" ht="13.8">
      <c r="V708" s="661">
        <v>3008</v>
      </c>
      <c r="W708" s="662">
        <f>+SUMIF(SYS_cliente!$F$5:$F$1678,'BCE ABREVIADO'!V708,SYS_cliente!$I$5:$I$1678)</f>
        <v>0</v>
      </c>
      <c r="Z708" s="666"/>
      <c r="AA708" s="661">
        <v>5221</v>
      </c>
      <c r="AB708" s="672">
        <f>+SUMIF(SYS_cliente!$F$5:$F$1678,'BCE ABREVIADO'!AA708,SYS_cliente!$I$5:$I$1678)</f>
        <v>0</v>
      </c>
    </row>
    <row r="709" spans="22:28" ht="13.8">
      <c r="V709" s="661">
        <v>3009</v>
      </c>
      <c r="W709" s="662">
        <f>+SUMIF(SYS_cliente!$F$5:$F$1678,'BCE ABREVIADO'!V709,SYS_cliente!$I$5:$I$1678)</f>
        <v>0</v>
      </c>
      <c r="Z709" s="666"/>
      <c r="AA709" s="661">
        <v>5222</v>
      </c>
      <c r="AB709" s="672">
        <f>+SUMIF(SYS_cliente!$F$5:$F$1678,'BCE ABREVIADO'!AA709,SYS_cliente!$I$5:$I$1678)</f>
        <v>0</v>
      </c>
    </row>
    <row r="710" spans="22:28" ht="13.8">
      <c r="V710" s="661">
        <v>3010</v>
      </c>
      <c r="W710" s="662">
        <f>+SUMIF(SYS_cliente!$F$5:$F$1678,'BCE ABREVIADO'!V710,SYS_cliente!$I$5:$I$1678)</f>
        <v>0</v>
      </c>
      <c r="Z710" s="666"/>
      <c r="AA710" s="661">
        <v>5223</v>
      </c>
      <c r="AB710" s="672">
        <f>+SUMIF(SYS_cliente!$F$5:$F$1678,'BCE ABREVIADO'!AA710,SYS_cliente!$I$5:$I$1678)</f>
        <v>0</v>
      </c>
    </row>
    <row r="711" spans="22:28" ht="13.8">
      <c r="V711" s="661">
        <v>3011</v>
      </c>
      <c r="W711" s="662">
        <f>+SUMIF(SYS_cliente!$F$5:$F$1678,'BCE ABREVIADO'!V711,SYS_cliente!$I$5:$I$1678)</f>
        <v>0</v>
      </c>
      <c r="Z711" s="666"/>
      <c r="AA711" s="661">
        <v>5224</v>
      </c>
      <c r="AB711" s="672">
        <f>+SUMIF(SYS_cliente!$F$5:$F$1678,'BCE ABREVIADO'!AA711,SYS_cliente!$I$5:$I$1678)</f>
        <v>0</v>
      </c>
    </row>
    <row r="712" spans="22:28" ht="13.8">
      <c r="V712" s="661">
        <v>3012</v>
      </c>
      <c r="W712" s="662">
        <f>+SUMIF(SYS_cliente!$F$5:$F$1678,'BCE ABREVIADO'!V712,SYS_cliente!$I$5:$I$1678)</f>
        <v>0</v>
      </c>
      <c r="Z712" s="666"/>
      <c r="AA712" s="661">
        <v>5225</v>
      </c>
      <c r="AB712" s="672">
        <f>+SUMIF(SYS_cliente!$F$5:$F$1678,'BCE ABREVIADO'!AA712,SYS_cliente!$I$5:$I$1678)</f>
        <v>0</v>
      </c>
    </row>
    <row r="713" spans="22:28" ht="13.8">
      <c r="V713" s="661">
        <v>3013</v>
      </c>
      <c r="W713" s="662">
        <f>+SUMIF(SYS_cliente!$F$5:$F$1678,'BCE ABREVIADO'!V713,SYS_cliente!$I$5:$I$1678)</f>
        <v>0</v>
      </c>
      <c r="Z713" s="666"/>
      <c r="AA713" s="661">
        <v>5226</v>
      </c>
      <c r="AB713" s="672">
        <f>+SUMIF(SYS_cliente!$F$5:$F$1678,'BCE ABREVIADO'!AA713,SYS_cliente!$I$5:$I$1678)</f>
        <v>0</v>
      </c>
    </row>
    <row r="714" spans="22:28" ht="13.8">
      <c r="V714" s="661">
        <v>3014</v>
      </c>
      <c r="W714" s="662">
        <f>+SUMIF(SYS_cliente!$F$5:$F$1678,'BCE ABREVIADO'!V714,SYS_cliente!$I$5:$I$1678)</f>
        <v>0</v>
      </c>
      <c r="Z714" s="666"/>
      <c r="AA714" s="661">
        <v>5227</v>
      </c>
      <c r="AB714" s="672">
        <f>+SUMIF(SYS_cliente!$F$5:$F$1678,'BCE ABREVIADO'!AA714,SYS_cliente!$I$5:$I$1678)</f>
        <v>0</v>
      </c>
    </row>
    <row r="715" spans="22:28" ht="13.8">
      <c r="V715" s="661">
        <v>3015</v>
      </c>
      <c r="W715" s="662">
        <f>+SUMIF(SYS_cliente!$F$5:$F$1678,'BCE ABREVIADO'!V715,SYS_cliente!$I$5:$I$1678)</f>
        <v>0</v>
      </c>
      <c r="Z715" s="666"/>
      <c r="AA715" s="661">
        <v>5228</v>
      </c>
      <c r="AB715" s="672">
        <f>+SUMIF(SYS_cliente!$F$5:$F$1678,'BCE ABREVIADO'!AA715,SYS_cliente!$I$5:$I$1678)</f>
        <v>0</v>
      </c>
    </row>
    <row r="716" spans="22:28" ht="13.8">
      <c r="V716" s="661">
        <v>3016</v>
      </c>
      <c r="W716" s="662">
        <f>+SUMIF(SYS_cliente!$F$5:$F$1678,'BCE ABREVIADO'!V716,SYS_cliente!$I$5:$I$1678)</f>
        <v>0</v>
      </c>
      <c r="Z716" s="666"/>
      <c r="AA716" s="661">
        <v>5229</v>
      </c>
      <c r="AB716" s="672">
        <f>+SUMIF(SYS_cliente!$F$5:$F$1678,'BCE ABREVIADO'!AA716,SYS_cliente!$I$5:$I$1678)</f>
        <v>0</v>
      </c>
    </row>
    <row r="717" spans="22:28" ht="13.8">
      <c r="V717" s="661">
        <v>3017</v>
      </c>
      <c r="W717" s="662">
        <f>+SUMIF(SYS_cliente!$F$5:$F$1678,'BCE ABREVIADO'!V717,SYS_cliente!$I$5:$I$1678)</f>
        <v>0</v>
      </c>
      <c r="Z717" s="666"/>
      <c r="AA717" s="661">
        <v>5230</v>
      </c>
      <c r="AB717" s="672">
        <f>+SUMIF(SYS_cliente!$F$5:$F$1678,'BCE ABREVIADO'!AA717,SYS_cliente!$I$5:$I$1678)</f>
        <v>0</v>
      </c>
    </row>
    <row r="718" spans="22:28" ht="13.8">
      <c r="V718" s="661">
        <v>3018</v>
      </c>
      <c r="W718" s="662">
        <f>+SUMIF(SYS_cliente!$F$5:$F$1678,'BCE ABREVIADO'!V718,SYS_cliente!$I$5:$I$1678)</f>
        <v>0</v>
      </c>
      <c r="Z718" s="666"/>
      <c r="AA718" s="661">
        <v>5231</v>
      </c>
      <c r="AB718" s="672">
        <f>+SUMIF(SYS_cliente!$F$5:$F$1678,'BCE ABREVIADO'!AA718,SYS_cliente!$I$5:$I$1678)</f>
        <v>0</v>
      </c>
    </row>
    <row r="719" spans="22:28" ht="13.8">
      <c r="V719" s="661">
        <v>3019</v>
      </c>
      <c r="W719" s="662">
        <f>+SUMIF(SYS_cliente!$F$5:$F$1678,'BCE ABREVIADO'!V719,SYS_cliente!$I$5:$I$1678)</f>
        <v>0</v>
      </c>
      <c r="Z719" s="666"/>
      <c r="AA719" s="661">
        <v>5232</v>
      </c>
      <c r="AB719" s="672">
        <f>+SUMIF(SYS_cliente!$F$5:$F$1678,'BCE ABREVIADO'!AA719,SYS_cliente!$I$5:$I$1678)</f>
        <v>0</v>
      </c>
    </row>
    <row r="720" spans="22:28" ht="13.8">
      <c r="V720" s="661">
        <v>3020</v>
      </c>
      <c r="W720" s="662">
        <f>+SUMIF(SYS_cliente!$F$5:$F$1678,'BCE ABREVIADO'!V720,SYS_cliente!$I$5:$I$1678)</f>
        <v>0</v>
      </c>
      <c r="Z720" s="666"/>
      <c r="AA720" s="661">
        <v>5233</v>
      </c>
      <c r="AB720" s="672">
        <f>+SUMIF(SYS_cliente!$F$5:$F$1678,'BCE ABREVIADO'!AA720,SYS_cliente!$I$5:$I$1678)</f>
        <v>0</v>
      </c>
    </row>
    <row r="721" spans="22:28" ht="13.8">
      <c r="V721" s="661">
        <v>3021</v>
      </c>
      <c r="W721" s="662">
        <f>+SUMIF(SYS_cliente!$F$5:$F$1678,'BCE ABREVIADO'!V721,SYS_cliente!$I$5:$I$1678)</f>
        <v>0</v>
      </c>
      <c r="Z721" s="666"/>
      <c r="AA721" s="661">
        <v>5234</v>
      </c>
      <c r="AB721" s="672">
        <f>+SUMIF(SYS_cliente!$F$5:$F$1678,'BCE ABREVIADO'!AA721,SYS_cliente!$I$5:$I$1678)</f>
        <v>0</v>
      </c>
    </row>
    <row r="722" spans="22:28" ht="13.8">
      <c r="V722" s="661">
        <v>3022</v>
      </c>
      <c r="W722" s="662">
        <f>+SUMIF(SYS_cliente!$F$5:$F$1678,'BCE ABREVIADO'!V722,SYS_cliente!$I$5:$I$1678)</f>
        <v>0</v>
      </c>
      <c r="Z722" s="666"/>
      <c r="AA722" s="661">
        <v>5235</v>
      </c>
      <c r="AB722" s="672">
        <f>+SUMIF(SYS_cliente!$F$5:$F$1678,'BCE ABREVIADO'!AA722,SYS_cliente!$I$5:$I$1678)</f>
        <v>0</v>
      </c>
    </row>
    <row r="723" spans="22:28" ht="13.8">
      <c r="V723" s="661">
        <v>3023</v>
      </c>
      <c r="W723" s="662">
        <f>+SUMIF(SYS_cliente!$F$5:$F$1678,'BCE ABREVIADO'!V723,SYS_cliente!$I$5:$I$1678)</f>
        <v>0</v>
      </c>
      <c r="Z723" s="666"/>
      <c r="AA723" s="661">
        <v>5236</v>
      </c>
      <c r="AB723" s="672">
        <f>+SUMIF(SYS_cliente!$F$5:$F$1678,'BCE ABREVIADO'!AA723,SYS_cliente!$I$5:$I$1678)</f>
        <v>0</v>
      </c>
    </row>
    <row r="724" spans="22:28" ht="13.8">
      <c r="V724" s="661">
        <v>3024</v>
      </c>
      <c r="W724" s="662">
        <f>+SUMIF(SYS_cliente!$F$5:$F$1678,'BCE ABREVIADO'!V724,SYS_cliente!$I$5:$I$1678)</f>
        <v>0</v>
      </c>
      <c r="Z724" s="666"/>
      <c r="AA724" s="661">
        <v>5237</v>
      </c>
      <c r="AB724" s="672">
        <f>+SUMIF(SYS_cliente!$F$5:$F$1678,'BCE ABREVIADO'!AA724,SYS_cliente!$I$5:$I$1678)</f>
        <v>0</v>
      </c>
    </row>
    <row r="725" spans="22:28" ht="13.8">
      <c r="V725" s="661">
        <v>3025</v>
      </c>
      <c r="W725" s="662">
        <f>+SUMIF(SYS_cliente!$F$5:$F$1678,'BCE ABREVIADO'!V725,SYS_cliente!$I$5:$I$1678)</f>
        <v>0</v>
      </c>
      <c r="Z725" s="666"/>
      <c r="AA725" s="661">
        <v>5238</v>
      </c>
      <c r="AB725" s="672">
        <f>+SUMIF(SYS_cliente!$F$5:$F$1678,'BCE ABREVIADO'!AA725,SYS_cliente!$I$5:$I$1678)</f>
        <v>0</v>
      </c>
    </row>
    <row r="726" spans="22:28" ht="13.8">
      <c r="V726" s="661">
        <v>3026</v>
      </c>
      <c r="W726" s="662">
        <f>+SUMIF(SYS_cliente!$F$5:$F$1678,'BCE ABREVIADO'!V726,SYS_cliente!$I$5:$I$1678)</f>
        <v>0</v>
      </c>
      <c r="Z726" s="666"/>
      <c r="AA726" s="661">
        <v>5239</v>
      </c>
      <c r="AB726" s="672">
        <f>+SUMIF(SYS_cliente!$F$5:$F$1678,'BCE ABREVIADO'!AA726,SYS_cliente!$I$5:$I$1678)</f>
        <v>0</v>
      </c>
    </row>
    <row r="727" spans="22:28" ht="13.8">
      <c r="V727" s="661">
        <v>3027</v>
      </c>
      <c r="W727" s="662">
        <f>+SUMIF(SYS_cliente!$F$5:$F$1678,'BCE ABREVIADO'!V727,SYS_cliente!$I$5:$I$1678)</f>
        <v>0</v>
      </c>
      <c r="Z727" s="666"/>
      <c r="AA727" s="661">
        <v>5250</v>
      </c>
      <c r="AB727" s="672">
        <f>+SUMIF(SYS_cliente!$F$5:$F$1678,'BCE ABREVIADO'!AA727,SYS_cliente!$I$5:$I$1678)</f>
        <v>0</v>
      </c>
    </row>
    <row r="728" spans="22:28" ht="13.8">
      <c r="V728" s="661">
        <v>3028</v>
      </c>
      <c r="W728" s="662">
        <f>+SUMIF(SYS_cliente!$F$5:$F$1678,'BCE ABREVIADO'!V728,SYS_cliente!$I$5:$I$1678)</f>
        <v>0</v>
      </c>
      <c r="Z728" s="666"/>
      <c r="AA728" s="661">
        <v>5251</v>
      </c>
      <c r="AB728" s="672">
        <f>+SUMIF(SYS_cliente!$F$5:$F$1678,'BCE ABREVIADO'!AA728,SYS_cliente!$I$5:$I$1678)</f>
        <v>0</v>
      </c>
    </row>
    <row r="729" spans="22:28" ht="13.8">
      <c r="V729" s="661">
        <v>3029</v>
      </c>
      <c r="W729" s="662">
        <f>+SUMIF(SYS_cliente!$F$5:$F$1678,'BCE ABREVIADO'!V729,SYS_cliente!$I$5:$I$1678)</f>
        <v>0</v>
      </c>
      <c r="Z729" s="666"/>
      <c r="AA729" s="661">
        <v>5252</v>
      </c>
      <c r="AB729" s="672">
        <f>+SUMIF(SYS_cliente!$F$5:$F$1678,'BCE ABREVIADO'!AA729,SYS_cliente!$I$5:$I$1678)</f>
        <v>0</v>
      </c>
    </row>
    <row r="730" spans="22:28" ht="13.8">
      <c r="V730" s="661">
        <v>3030</v>
      </c>
      <c r="W730" s="662">
        <f>+SUMIF(SYS_cliente!$F$5:$F$1678,'BCE ABREVIADO'!V730,SYS_cliente!$I$5:$I$1678)</f>
        <v>0</v>
      </c>
      <c r="Z730" s="666"/>
      <c r="AA730" s="661">
        <v>5253</v>
      </c>
      <c r="AB730" s="672">
        <f>+SUMIF(SYS_cliente!$F$5:$F$1678,'BCE ABREVIADO'!AA730,SYS_cliente!$I$5:$I$1678)</f>
        <v>0</v>
      </c>
    </row>
    <row r="731" spans="22:28" ht="13.8">
      <c r="V731" s="661">
        <v>3031</v>
      </c>
      <c r="W731" s="662">
        <f>+SUMIF(SYS_cliente!$F$5:$F$1678,'BCE ABREVIADO'!V731,SYS_cliente!$I$5:$I$1678)</f>
        <v>0</v>
      </c>
      <c r="Z731" s="666"/>
      <c r="AA731" s="661">
        <v>5254</v>
      </c>
      <c r="AB731" s="672">
        <f>+SUMIF(SYS_cliente!$F$5:$F$1678,'BCE ABREVIADO'!AA731,SYS_cliente!$I$5:$I$1678)</f>
        <v>0</v>
      </c>
    </row>
    <row r="732" spans="22:28" ht="13.8">
      <c r="V732" s="661">
        <v>3032</v>
      </c>
      <c r="W732" s="662">
        <f>+SUMIF(SYS_cliente!$F$5:$F$1678,'BCE ABREVIADO'!V732,SYS_cliente!$I$5:$I$1678)</f>
        <v>0</v>
      </c>
      <c r="Z732" s="666"/>
      <c r="AA732" s="661">
        <v>5255</v>
      </c>
      <c r="AB732" s="672">
        <f>+SUMIF(SYS_cliente!$F$5:$F$1678,'BCE ABREVIADO'!AA732,SYS_cliente!$I$5:$I$1678)</f>
        <v>0</v>
      </c>
    </row>
    <row r="733" spans="22:28" ht="13.8">
      <c r="V733" s="661">
        <v>3033</v>
      </c>
      <c r="W733" s="662">
        <f>+SUMIF(SYS_cliente!$F$5:$F$1678,'BCE ABREVIADO'!V733,SYS_cliente!$I$5:$I$1678)</f>
        <v>0</v>
      </c>
      <c r="Z733" s="666"/>
      <c r="AA733" s="661">
        <v>5256</v>
      </c>
      <c r="AB733" s="672">
        <f>+SUMIF(SYS_cliente!$F$5:$F$1678,'BCE ABREVIADO'!AA733,SYS_cliente!$I$5:$I$1678)</f>
        <v>0</v>
      </c>
    </row>
    <row r="734" spans="22:28" ht="13.8">
      <c r="V734" s="661">
        <v>3034</v>
      </c>
      <c r="W734" s="662">
        <f>+SUMIF(SYS_cliente!$F$5:$F$1678,'BCE ABREVIADO'!V734,SYS_cliente!$I$5:$I$1678)</f>
        <v>0</v>
      </c>
      <c r="Z734" s="666"/>
      <c r="AA734" s="661">
        <v>5257</v>
      </c>
      <c r="AB734" s="672">
        <f>+SUMIF(SYS_cliente!$F$5:$F$1678,'BCE ABREVIADO'!AA734,SYS_cliente!$I$5:$I$1678)</f>
        <v>0</v>
      </c>
    </row>
    <row r="735" spans="22:28" ht="13.8">
      <c r="V735" s="661">
        <v>3035</v>
      </c>
      <c r="W735" s="662">
        <f>+SUMIF(SYS_cliente!$F$5:$F$1678,'BCE ABREVIADO'!V735,SYS_cliente!$I$5:$I$1678)</f>
        <v>0</v>
      </c>
      <c r="Z735" s="666"/>
      <c r="AA735" s="661">
        <v>5258</v>
      </c>
      <c r="AB735" s="672">
        <f>+SUMIF(SYS_cliente!$F$5:$F$1678,'BCE ABREVIADO'!AA735,SYS_cliente!$I$5:$I$1678)</f>
        <v>0</v>
      </c>
    </row>
    <row r="736" spans="22:28" ht="13.8">
      <c r="V736" s="661">
        <v>3036</v>
      </c>
      <c r="W736" s="662">
        <f>+SUMIF(SYS_cliente!$F$5:$F$1678,'BCE ABREVIADO'!V736,SYS_cliente!$I$5:$I$1678)</f>
        <v>0</v>
      </c>
      <c r="Z736" s="666"/>
      <c r="AA736" s="661">
        <v>5259</v>
      </c>
      <c r="AB736" s="672">
        <f>+SUMIF(SYS_cliente!$F$5:$F$1678,'BCE ABREVIADO'!AA736,SYS_cliente!$I$5:$I$1678)</f>
        <v>0</v>
      </c>
    </row>
    <row r="737" spans="22:28" ht="13.8">
      <c r="V737" s="661">
        <v>3037</v>
      </c>
      <c r="W737" s="662">
        <f>+SUMIF(SYS_cliente!$F$5:$F$1678,'BCE ABREVIADO'!V737,SYS_cliente!$I$5:$I$1678)</f>
        <v>0</v>
      </c>
      <c r="Z737" s="666"/>
      <c r="AA737" s="661">
        <v>5260</v>
      </c>
      <c r="AB737" s="672">
        <f>+SUMIF(SYS_cliente!$F$5:$F$1678,'BCE ABREVIADO'!AA737,SYS_cliente!$I$5:$I$1678)</f>
        <v>0</v>
      </c>
    </row>
    <row r="738" spans="22:28" ht="13.8">
      <c r="V738" s="661">
        <v>3038</v>
      </c>
      <c r="W738" s="662">
        <f>+SUMIF(SYS_cliente!$F$5:$F$1678,'BCE ABREVIADO'!V738,SYS_cliente!$I$5:$I$1678)</f>
        <v>0</v>
      </c>
      <c r="Z738" s="666"/>
      <c r="AA738" s="661">
        <v>5261</v>
      </c>
      <c r="AB738" s="672">
        <f>+SUMIF(SYS_cliente!$F$5:$F$1678,'BCE ABREVIADO'!AA738,SYS_cliente!$I$5:$I$1678)</f>
        <v>0</v>
      </c>
    </row>
    <row r="739" spans="22:28" ht="13.8">
      <c r="V739" s="661">
        <v>3039</v>
      </c>
      <c r="W739" s="662">
        <f>+SUMIF(SYS_cliente!$F$5:$F$1678,'BCE ABREVIADO'!V739,SYS_cliente!$I$5:$I$1678)</f>
        <v>0</v>
      </c>
      <c r="Z739" s="666"/>
      <c r="AA739" s="661">
        <v>5262</v>
      </c>
      <c r="AB739" s="672">
        <f>+SUMIF(SYS_cliente!$F$5:$F$1678,'BCE ABREVIADO'!AA739,SYS_cliente!$I$5:$I$1678)</f>
        <v>0</v>
      </c>
    </row>
    <row r="740" spans="22:28" ht="13.8">
      <c r="V740" s="661">
        <v>3040</v>
      </c>
      <c r="W740" s="662">
        <f>+SUMIF(SYS_cliente!$F$5:$F$1678,'BCE ABREVIADO'!V740,SYS_cliente!$I$5:$I$1678)</f>
        <v>0</v>
      </c>
      <c r="Z740" s="666"/>
      <c r="AA740" s="661">
        <v>5263</v>
      </c>
      <c r="AB740" s="672">
        <f>+SUMIF(SYS_cliente!$F$5:$F$1678,'BCE ABREVIADO'!AA740,SYS_cliente!$I$5:$I$1678)</f>
        <v>0</v>
      </c>
    </row>
    <row r="741" spans="22:28" ht="13.8">
      <c r="V741" s="661">
        <v>3041</v>
      </c>
      <c r="W741" s="662">
        <f>+SUMIF(SYS_cliente!$F$5:$F$1678,'BCE ABREVIADO'!V741,SYS_cliente!$I$5:$I$1678)</f>
        <v>0</v>
      </c>
      <c r="Z741" s="666"/>
      <c r="AA741" s="661">
        <v>5264</v>
      </c>
      <c r="AB741" s="672">
        <f>+SUMIF(SYS_cliente!$F$5:$F$1678,'BCE ABREVIADO'!AA741,SYS_cliente!$I$5:$I$1678)</f>
        <v>0</v>
      </c>
    </row>
    <row r="742" spans="22:28" ht="13.8">
      <c r="V742" s="661">
        <v>3042</v>
      </c>
      <c r="W742" s="662">
        <f>+SUMIF(SYS_cliente!$F$5:$F$1678,'BCE ABREVIADO'!V742,SYS_cliente!$I$5:$I$1678)</f>
        <v>0</v>
      </c>
      <c r="Z742" s="666"/>
      <c r="AA742" s="661">
        <v>5265</v>
      </c>
      <c r="AB742" s="672">
        <f>+SUMIF(SYS_cliente!$F$5:$F$1678,'BCE ABREVIADO'!AA742,SYS_cliente!$I$5:$I$1678)</f>
        <v>0</v>
      </c>
    </row>
    <row r="743" spans="22:28" ht="13.8">
      <c r="V743" s="661">
        <v>3043</v>
      </c>
      <c r="W743" s="662">
        <f>+SUMIF(SYS_cliente!$F$5:$F$1678,'BCE ABREVIADO'!V743,SYS_cliente!$I$5:$I$1678)</f>
        <v>0</v>
      </c>
      <c r="Z743" s="666"/>
      <c r="AA743" s="661">
        <v>5266</v>
      </c>
      <c r="AB743" s="672">
        <f>+SUMIF(SYS_cliente!$F$5:$F$1678,'BCE ABREVIADO'!AA743,SYS_cliente!$I$5:$I$1678)</f>
        <v>0</v>
      </c>
    </row>
    <row r="744" spans="22:28" ht="13.8">
      <c r="V744" s="661">
        <v>3044</v>
      </c>
      <c r="W744" s="662">
        <f>+SUMIF(SYS_cliente!$F$5:$F$1678,'BCE ABREVIADO'!V744,SYS_cliente!$I$5:$I$1678)</f>
        <v>0</v>
      </c>
      <c r="Z744" s="666"/>
      <c r="AA744" s="661">
        <v>5267</v>
      </c>
      <c r="AB744" s="672">
        <f>+SUMIF(SYS_cliente!$F$5:$F$1678,'BCE ABREVIADO'!AA744,SYS_cliente!$I$5:$I$1678)</f>
        <v>0</v>
      </c>
    </row>
    <row r="745" spans="22:28" ht="13.8">
      <c r="V745" s="661">
        <v>3045</v>
      </c>
      <c r="W745" s="662">
        <f>+SUMIF(SYS_cliente!$F$5:$F$1678,'BCE ABREVIADO'!V745,SYS_cliente!$I$5:$I$1678)</f>
        <v>0</v>
      </c>
      <c r="Z745" s="666"/>
      <c r="AA745" s="661">
        <v>5268</v>
      </c>
      <c r="AB745" s="672">
        <f>+SUMIF(SYS_cliente!$F$5:$F$1678,'BCE ABREVIADO'!AA745,SYS_cliente!$I$5:$I$1678)</f>
        <v>0</v>
      </c>
    </row>
    <row r="746" spans="22:28" ht="13.8">
      <c r="V746" s="661">
        <v>3046</v>
      </c>
      <c r="W746" s="662">
        <f>+SUMIF(SYS_cliente!$F$5:$F$1678,'BCE ABREVIADO'!V746,SYS_cliente!$I$5:$I$1678)</f>
        <v>0</v>
      </c>
      <c r="Z746" s="666"/>
      <c r="AA746" s="661">
        <v>5269</v>
      </c>
      <c r="AB746" s="672">
        <f>+SUMIF(SYS_cliente!$F$5:$F$1678,'BCE ABREVIADO'!AA746,SYS_cliente!$I$5:$I$1678)</f>
        <v>0</v>
      </c>
    </row>
    <row r="747" spans="22:28" ht="13.8">
      <c r="V747" s="661">
        <v>3047</v>
      </c>
      <c r="W747" s="662">
        <f>+SUMIF(SYS_cliente!$F$5:$F$1678,'BCE ABREVIADO'!V747,SYS_cliente!$I$5:$I$1678)</f>
        <v>0</v>
      </c>
      <c r="Z747" s="666"/>
      <c r="AA747" s="661">
        <v>5280</v>
      </c>
      <c r="AB747" s="672">
        <f>+SUMIF(SYS_cliente!$F$5:$F$1678,'BCE ABREVIADO'!AA747,SYS_cliente!$I$5:$I$1678)</f>
        <v>0</v>
      </c>
    </row>
    <row r="748" spans="22:28" ht="13.8">
      <c r="V748" s="661">
        <v>3048</v>
      </c>
      <c r="W748" s="662">
        <f>+SUMIF(SYS_cliente!$F$5:$F$1678,'BCE ABREVIADO'!V748,SYS_cliente!$I$5:$I$1678)</f>
        <v>0</v>
      </c>
      <c r="Z748" s="666"/>
      <c r="AA748" s="661">
        <v>5281</v>
      </c>
      <c r="AB748" s="672">
        <f>+SUMIF(SYS_cliente!$F$5:$F$1678,'BCE ABREVIADO'!AA748,SYS_cliente!$I$5:$I$1678)</f>
        <v>0</v>
      </c>
    </row>
    <row r="749" spans="22:28" ht="13.8">
      <c r="V749" s="661">
        <v>3049</v>
      </c>
      <c r="W749" s="662">
        <f>+SUMIF(SYS_cliente!$F$5:$F$1678,'BCE ABREVIADO'!V749,SYS_cliente!$I$5:$I$1678)</f>
        <v>0</v>
      </c>
      <c r="Z749" s="666"/>
      <c r="AA749" s="661">
        <v>5282</v>
      </c>
      <c r="AB749" s="672">
        <f>+SUMIF(SYS_cliente!$F$5:$F$1678,'BCE ABREVIADO'!AA749,SYS_cliente!$I$5:$I$1678)</f>
        <v>0</v>
      </c>
    </row>
    <row r="750" spans="22:28" ht="13.8">
      <c r="V750" s="661">
        <v>3050</v>
      </c>
      <c r="W750" s="662">
        <f>+SUMIF(SYS_cliente!$F$5:$F$1678,'BCE ABREVIADO'!V750,SYS_cliente!$I$5:$I$1678)</f>
        <v>0</v>
      </c>
      <c r="Z750" s="666"/>
      <c r="AA750" s="661">
        <v>5283</v>
      </c>
      <c r="AB750" s="672">
        <f>+SUMIF(SYS_cliente!$F$5:$F$1678,'BCE ABREVIADO'!AA750,SYS_cliente!$I$5:$I$1678)</f>
        <v>0</v>
      </c>
    </row>
    <row r="751" spans="22:28" ht="13.8">
      <c r="V751" s="661">
        <v>3051</v>
      </c>
      <c r="W751" s="662">
        <f>+SUMIF(SYS_cliente!$F$5:$F$1678,'BCE ABREVIADO'!V751,SYS_cliente!$I$5:$I$1678)</f>
        <v>0</v>
      </c>
      <c r="Z751" s="666"/>
      <c r="AA751" s="661">
        <v>5284</v>
      </c>
      <c r="AB751" s="672">
        <f>+SUMIF(SYS_cliente!$F$5:$F$1678,'BCE ABREVIADO'!AA751,SYS_cliente!$I$5:$I$1678)</f>
        <v>0</v>
      </c>
    </row>
    <row r="752" spans="22:28" ht="13.8">
      <c r="V752" s="661">
        <v>3052</v>
      </c>
      <c r="W752" s="662">
        <f>+SUMIF(SYS_cliente!$F$5:$F$1678,'BCE ABREVIADO'!V752,SYS_cliente!$I$5:$I$1678)</f>
        <v>0</v>
      </c>
      <c r="Z752" s="666"/>
      <c r="AA752" s="661">
        <v>5285</v>
      </c>
      <c r="AB752" s="672">
        <f>+SUMIF(SYS_cliente!$F$5:$F$1678,'BCE ABREVIADO'!AA752,SYS_cliente!$I$5:$I$1678)</f>
        <v>0</v>
      </c>
    </row>
    <row r="753" spans="22:28" ht="13.8">
      <c r="V753" s="661">
        <v>3053</v>
      </c>
      <c r="W753" s="662">
        <f>+SUMIF(SYS_cliente!$F$5:$F$1678,'BCE ABREVIADO'!V753,SYS_cliente!$I$5:$I$1678)</f>
        <v>0</v>
      </c>
      <c r="Z753" s="666"/>
      <c r="AA753" s="661">
        <v>5286</v>
      </c>
      <c r="AB753" s="672">
        <f>+SUMIF(SYS_cliente!$F$5:$F$1678,'BCE ABREVIADO'!AA753,SYS_cliente!$I$5:$I$1678)</f>
        <v>0</v>
      </c>
    </row>
    <row r="754" spans="22:28" ht="13.8">
      <c r="V754" s="661">
        <v>3054</v>
      </c>
      <c r="W754" s="662">
        <f>+SUMIF(SYS_cliente!$F$5:$F$1678,'BCE ABREVIADO'!V754,SYS_cliente!$I$5:$I$1678)</f>
        <v>0</v>
      </c>
      <c r="Z754" s="666"/>
      <c r="AA754" s="661">
        <v>5287</v>
      </c>
      <c r="AB754" s="672">
        <f>+SUMIF(SYS_cliente!$F$5:$F$1678,'BCE ABREVIADO'!AA754,SYS_cliente!$I$5:$I$1678)</f>
        <v>0</v>
      </c>
    </row>
    <row r="755" spans="22:28" ht="13.8">
      <c r="V755" s="661">
        <v>3055</v>
      </c>
      <c r="W755" s="662">
        <f>+SUMIF(SYS_cliente!$F$5:$F$1678,'BCE ABREVIADO'!V755,SYS_cliente!$I$5:$I$1678)</f>
        <v>0</v>
      </c>
      <c r="Z755" s="666"/>
      <c r="AA755" s="661">
        <v>5288</v>
      </c>
      <c r="AB755" s="672">
        <f>+SUMIF(SYS_cliente!$F$5:$F$1678,'BCE ABREVIADO'!AA755,SYS_cliente!$I$5:$I$1678)</f>
        <v>0</v>
      </c>
    </row>
    <row r="756" spans="22:28" ht="13.8">
      <c r="V756" s="661">
        <v>3056</v>
      </c>
      <c r="W756" s="662">
        <f>+SUMIF(SYS_cliente!$F$5:$F$1678,'BCE ABREVIADO'!V756,SYS_cliente!$I$5:$I$1678)</f>
        <v>0</v>
      </c>
      <c r="Z756" s="666"/>
      <c r="AA756" s="661">
        <v>5289</v>
      </c>
      <c r="AB756" s="672">
        <f>+SUMIF(SYS_cliente!$F$5:$F$1678,'BCE ABREVIADO'!AA756,SYS_cliente!$I$5:$I$1678)</f>
        <v>0</v>
      </c>
    </row>
    <row r="757" spans="22:28" ht="13.8">
      <c r="V757" s="661">
        <v>3057</v>
      </c>
      <c r="W757" s="662">
        <f>+SUMIF(SYS_cliente!$F$5:$F$1678,'BCE ABREVIADO'!V757,SYS_cliente!$I$5:$I$1678)</f>
        <v>0</v>
      </c>
      <c r="Z757" s="666"/>
      <c r="AA757" s="723">
        <v>5510</v>
      </c>
      <c r="AB757" s="672">
        <f>IF(+SUMIF(SYS_cliente!$F$5:$F$1678,'BCE ABREVIADO'!AA757,SYS_cliente!$I$5:$I$1678)&gt;0,0,+SUMIF(SYS_cliente!$F$5:$F$1678,'BCE ABREVIADO'!AA757,SYS_cliente!$I$5:$I$1678))</f>
        <v>0</v>
      </c>
    </row>
    <row r="758" spans="22:28" ht="13.8">
      <c r="V758" s="661">
        <v>3058</v>
      </c>
      <c r="W758" s="662">
        <f>+SUMIF(SYS_cliente!$F$5:$F$1678,'BCE ABREVIADO'!V758,SYS_cliente!$I$5:$I$1678)</f>
        <v>0</v>
      </c>
      <c r="Z758" s="666"/>
      <c r="AA758" s="723">
        <v>5511</v>
      </c>
      <c r="AB758" s="672">
        <f>IF(+SUMIF(SYS_cliente!$F$5:$F$1678,'BCE ABREVIADO'!AA758,SYS_cliente!$I$5:$I$1678)&gt;0,0,+SUMIF(SYS_cliente!$F$5:$F$1678,'BCE ABREVIADO'!AA758,SYS_cliente!$I$5:$I$1678))</f>
        <v>0</v>
      </c>
    </row>
    <row r="759" spans="22:28" ht="13.8">
      <c r="V759" s="661">
        <v>3059</v>
      </c>
      <c r="W759" s="662">
        <f>+SUMIF(SYS_cliente!$F$5:$F$1678,'BCE ABREVIADO'!V759,SYS_cliente!$I$5:$I$1678)</f>
        <v>0</v>
      </c>
      <c r="Z759" s="666"/>
      <c r="AA759" s="723">
        <v>5512</v>
      </c>
      <c r="AB759" s="672">
        <f>IF(+SUMIF(SYS_cliente!$F$5:$F$1678,'BCE ABREVIADO'!AA759,SYS_cliente!$I$5:$I$1678)&gt;0,0,+SUMIF(SYS_cliente!$F$5:$F$1678,'BCE ABREVIADO'!AA759,SYS_cliente!$I$5:$I$1678))</f>
        <v>0</v>
      </c>
    </row>
    <row r="760" spans="22:28" ht="13.8">
      <c r="V760" s="661">
        <v>3060</v>
      </c>
      <c r="W760" s="662">
        <f>+SUMIF(SYS_cliente!$F$5:$F$1678,'BCE ABREVIADO'!V760,SYS_cliente!$I$5:$I$1678)</f>
        <v>0</v>
      </c>
      <c r="Z760" s="666"/>
      <c r="AA760" s="723">
        <v>5513</v>
      </c>
      <c r="AB760" s="672">
        <f>IF(+SUMIF(SYS_cliente!$F$5:$F$1678,'BCE ABREVIADO'!AA760,SYS_cliente!$I$5:$I$1678)&gt;0,0,+SUMIF(SYS_cliente!$F$5:$F$1678,'BCE ABREVIADO'!AA760,SYS_cliente!$I$5:$I$1678))</f>
        <v>0</v>
      </c>
    </row>
    <row r="761" spans="22:28" ht="13.8">
      <c r="V761" s="661">
        <v>3061</v>
      </c>
      <c r="W761" s="662">
        <f>+SUMIF(SYS_cliente!$F$5:$F$1678,'BCE ABREVIADO'!V761,SYS_cliente!$I$5:$I$1678)</f>
        <v>0</v>
      </c>
      <c r="Z761" s="666"/>
      <c r="AA761" s="723">
        <v>5514</v>
      </c>
      <c r="AB761" s="672">
        <f>IF(+SUMIF(SYS_cliente!$F$5:$F$1678,'BCE ABREVIADO'!AA761,SYS_cliente!$I$5:$I$1678)&gt;0,0,+SUMIF(SYS_cliente!$F$5:$F$1678,'BCE ABREVIADO'!AA761,SYS_cliente!$I$5:$I$1678))</f>
        <v>0</v>
      </c>
    </row>
    <row r="762" spans="22:28" ht="13.8">
      <c r="V762" s="661">
        <v>3062</v>
      </c>
      <c r="W762" s="662">
        <f>+SUMIF(SYS_cliente!$F$5:$F$1678,'BCE ABREVIADO'!V762,SYS_cliente!$I$5:$I$1678)</f>
        <v>0</v>
      </c>
      <c r="Z762" s="666"/>
      <c r="AA762" s="723">
        <v>5515</v>
      </c>
      <c r="AB762" s="672">
        <f>IF(+SUMIF(SYS_cliente!$F$5:$F$1678,'BCE ABREVIADO'!AA762,SYS_cliente!$I$5:$I$1678)&gt;0,0,+SUMIF(SYS_cliente!$F$5:$F$1678,'BCE ABREVIADO'!AA762,SYS_cliente!$I$5:$I$1678))</f>
        <v>0</v>
      </c>
    </row>
    <row r="763" spans="22:28" ht="13.8">
      <c r="V763" s="661">
        <v>3063</v>
      </c>
      <c r="W763" s="662">
        <f>+SUMIF(SYS_cliente!$F$5:$F$1678,'BCE ABREVIADO'!V763,SYS_cliente!$I$5:$I$1678)</f>
        <v>0</v>
      </c>
      <c r="Z763" s="666"/>
      <c r="AA763" s="723">
        <v>5516</v>
      </c>
      <c r="AB763" s="672">
        <f>IF(+SUMIF(SYS_cliente!$F$5:$F$1678,'BCE ABREVIADO'!AA763,SYS_cliente!$I$5:$I$1678)&gt;0,0,+SUMIF(SYS_cliente!$F$5:$F$1678,'BCE ABREVIADO'!AA763,SYS_cliente!$I$5:$I$1678))</f>
        <v>0</v>
      </c>
    </row>
    <row r="764" spans="22:28" ht="13.8">
      <c r="V764" s="661">
        <v>3064</v>
      </c>
      <c r="W764" s="662">
        <f>+SUMIF(SYS_cliente!$F$5:$F$1678,'BCE ABREVIADO'!V764,SYS_cliente!$I$5:$I$1678)</f>
        <v>0</v>
      </c>
      <c r="Z764" s="666"/>
      <c r="AA764" s="723">
        <v>5517</v>
      </c>
      <c r="AB764" s="672">
        <f>IF(+SUMIF(SYS_cliente!$F$5:$F$1678,'BCE ABREVIADO'!AA764,SYS_cliente!$I$5:$I$1678)&gt;0,0,+SUMIF(SYS_cliente!$F$5:$F$1678,'BCE ABREVIADO'!AA764,SYS_cliente!$I$5:$I$1678))</f>
        <v>0</v>
      </c>
    </row>
    <row r="765" spans="22:28" ht="13.8">
      <c r="V765" s="661">
        <v>3065</v>
      </c>
      <c r="W765" s="662">
        <f>+SUMIF(SYS_cliente!$F$5:$F$1678,'BCE ABREVIADO'!V765,SYS_cliente!$I$5:$I$1678)</f>
        <v>0</v>
      </c>
      <c r="Z765" s="666"/>
      <c r="AA765" s="723">
        <v>5518</v>
      </c>
      <c r="AB765" s="672">
        <f>IF(+SUMIF(SYS_cliente!$F$5:$F$1678,'BCE ABREVIADO'!AA765,SYS_cliente!$I$5:$I$1678)&gt;0,0,+SUMIF(SYS_cliente!$F$5:$F$1678,'BCE ABREVIADO'!AA765,SYS_cliente!$I$5:$I$1678))</f>
        <v>0</v>
      </c>
    </row>
    <row r="766" spans="22:28" ht="13.8">
      <c r="V766" s="661">
        <v>3066</v>
      </c>
      <c r="W766" s="662">
        <f>+SUMIF(SYS_cliente!$F$5:$F$1678,'BCE ABREVIADO'!V766,SYS_cliente!$I$5:$I$1678)</f>
        <v>0</v>
      </c>
      <c r="Z766" s="666"/>
      <c r="AA766" s="723">
        <v>5519</v>
      </c>
      <c r="AB766" s="672">
        <f>IF(+SUMIF(SYS_cliente!$F$5:$F$1678,'BCE ABREVIADO'!AA766,SYS_cliente!$I$5:$I$1678)&gt;0,0,+SUMIF(SYS_cliente!$F$5:$F$1678,'BCE ABREVIADO'!AA766,SYS_cliente!$I$5:$I$1678))</f>
        <v>0</v>
      </c>
    </row>
    <row r="767" spans="22:28" ht="13.8">
      <c r="V767" s="661">
        <v>3067</v>
      </c>
      <c r="W767" s="662">
        <f>+SUMIF(SYS_cliente!$F$5:$F$1678,'BCE ABREVIADO'!V767,SYS_cliente!$I$5:$I$1678)</f>
        <v>0</v>
      </c>
      <c r="Z767" s="666"/>
      <c r="AA767" s="723">
        <v>5525</v>
      </c>
      <c r="AB767" s="672">
        <f>IF(+SUMIF(SYS_cliente!$F$5:$F$1678,'BCE ABREVIADO'!AA767,SYS_cliente!$I$5:$I$1678)&gt;0,0,+SUMIF(SYS_cliente!$F$5:$F$1678,'BCE ABREVIADO'!AA767,SYS_cliente!$I$5:$I$1678))</f>
        <v>0</v>
      </c>
    </row>
    <row r="768" spans="22:28" ht="13.8">
      <c r="V768" s="661">
        <v>3068</v>
      </c>
      <c r="W768" s="662">
        <f>+SUMIF(SYS_cliente!$F$5:$F$1678,'BCE ABREVIADO'!V768,SYS_cliente!$I$5:$I$1678)</f>
        <v>0</v>
      </c>
      <c r="Z768" s="666"/>
      <c r="AA768" s="661">
        <v>5530</v>
      </c>
      <c r="AB768" s="672">
        <f>+SUMIF(SYS_cliente!$F$5:$F$1678,'BCE ABREVIADO'!AA768,SYS_cliente!$I$5:$I$1678)</f>
        <v>0</v>
      </c>
    </row>
    <row r="769" spans="22:28" ht="13.8">
      <c r="V769" s="661">
        <v>3069</v>
      </c>
      <c r="W769" s="662">
        <f>+SUMIF(SYS_cliente!$F$5:$F$1678,'BCE ABREVIADO'!V769,SYS_cliente!$I$5:$I$1678)</f>
        <v>0</v>
      </c>
      <c r="Z769" s="666"/>
      <c r="AA769" s="661">
        <v>5532</v>
      </c>
      <c r="AB769" s="672">
        <f>+SUMIF(SYS_cliente!$F$5:$F$1678,'BCE ABREVIADO'!AA769,SYS_cliente!$I$5:$I$1678)</f>
        <v>0</v>
      </c>
    </row>
    <row r="770" spans="22:28" ht="13.8">
      <c r="V770" s="661">
        <v>3070</v>
      </c>
      <c r="W770" s="662">
        <f>+SUMIF(SYS_cliente!$F$5:$F$1678,'BCE ABREVIADO'!V770,SYS_cliente!$I$5:$I$1678)</f>
        <v>0</v>
      </c>
      <c r="Z770" s="666"/>
      <c r="AA770" s="661">
        <v>5550</v>
      </c>
      <c r="AB770" s="672">
        <f>+SUMIF(SYS_cliente!$F$5:$F$1678,'BCE ABREVIADO'!AA770,SYS_cliente!$I$5:$I$1678)</f>
        <v>0</v>
      </c>
    </row>
    <row r="771" spans="22:28" ht="13.8">
      <c r="V771" s="661">
        <v>3071</v>
      </c>
      <c r="W771" s="662">
        <f>+SUMIF(SYS_cliente!$F$5:$F$1678,'BCE ABREVIADO'!V771,SYS_cliente!$I$5:$I$1678)</f>
        <v>0</v>
      </c>
      <c r="Z771" s="666"/>
      <c r="AA771" s="661">
        <v>5551</v>
      </c>
      <c r="AB771" s="672">
        <f>+SUMIF(SYS_cliente!$F$5:$F$1678,'BCE ABREVIADO'!AA771,SYS_cliente!$I$5:$I$1678)</f>
        <v>0</v>
      </c>
    </row>
    <row r="772" spans="22:28" ht="13.8">
      <c r="V772" s="661">
        <v>3072</v>
      </c>
      <c r="W772" s="662">
        <f>+SUMIF(SYS_cliente!$F$5:$F$1678,'BCE ABREVIADO'!V772,SYS_cliente!$I$5:$I$1678)</f>
        <v>0</v>
      </c>
      <c r="Z772" s="666"/>
      <c r="AA772" s="661">
        <v>5552</v>
      </c>
      <c r="AB772" s="672">
        <f>+SUMIF(SYS_cliente!$F$5:$F$1678,'BCE ABREVIADO'!AA772,SYS_cliente!$I$5:$I$1678)</f>
        <v>0</v>
      </c>
    </row>
    <row r="773" spans="22:28" ht="13.8">
      <c r="V773" s="661">
        <v>3073</v>
      </c>
      <c r="W773" s="662">
        <f>+SUMIF(SYS_cliente!$F$5:$F$1678,'BCE ABREVIADO'!V773,SYS_cliente!$I$5:$I$1678)</f>
        <v>0</v>
      </c>
      <c r="Z773" s="666"/>
      <c r="AA773" s="661">
        <v>5553</v>
      </c>
      <c r="AB773" s="672">
        <f>+SUMIF(SYS_cliente!$F$5:$F$1678,'BCE ABREVIADO'!AA773,SYS_cliente!$I$5:$I$1678)</f>
        <v>0</v>
      </c>
    </row>
    <row r="774" spans="22:28" ht="13.8">
      <c r="V774" s="661">
        <v>3074</v>
      </c>
      <c r="W774" s="662">
        <f>+SUMIF(SYS_cliente!$F$5:$F$1678,'BCE ABREVIADO'!V774,SYS_cliente!$I$5:$I$1678)</f>
        <v>0</v>
      </c>
      <c r="Z774" s="666"/>
      <c r="AA774" s="661">
        <v>5554</v>
      </c>
      <c r="AB774" s="672">
        <f>+SUMIF(SYS_cliente!$F$5:$F$1678,'BCE ABREVIADO'!AA774,SYS_cliente!$I$5:$I$1678)</f>
        <v>0</v>
      </c>
    </row>
    <row r="775" spans="22:28" ht="13.8">
      <c r="V775" s="661">
        <v>3075</v>
      </c>
      <c r="W775" s="662">
        <f>+SUMIF(SYS_cliente!$F$5:$F$1678,'BCE ABREVIADO'!V775,SYS_cliente!$I$5:$I$1678)</f>
        <v>0</v>
      </c>
      <c r="Z775" s="666"/>
      <c r="AA775" s="661">
        <v>5555</v>
      </c>
      <c r="AB775" s="672">
        <f>+SUMIF(SYS_cliente!$F$5:$F$1678,'BCE ABREVIADO'!AA775,SYS_cliente!$I$5:$I$1678)</f>
        <v>0</v>
      </c>
    </row>
    <row r="776" spans="22:28" ht="13.8">
      <c r="V776" s="661">
        <v>3076</v>
      </c>
      <c r="W776" s="662">
        <f>+SUMIF(SYS_cliente!$F$5:$F$1678,'BCE ABREVIADO'!V776,SYS_cliente!$I$5:$I$1678)</f>
        <v>0</v>
      </c>
      <c r="Z776" s="666"/>
      <c r="AA776" s="661">
        <v>5556</v>
      </c>
      <c r="AB776" s="672">
        <f>+SUMIF(SYS_cliente!$F$5:$F$1678,'BCE ABREVIADO'!AA776,SYS_cliente!$I$5:$I$1678)</f>
        <v>0</v>
      </c>
    </row>
    <row r="777" spans="22:28" ht="13.8">
      <c r="V777" s="661">
        <v>3077</v>
      </c>
      <c r="W777" s="662">
        <f>+SUMIF(SYS_cliente!$F$5:$F$1678,'BCE ABREVIADO'!V777,SYS_cliente!$I$5:$I$1678)</f>
        <v>0</v>
      </c>
      <c r="Z777" s="666"/>
      <c r="AA777" s="661">
        <v>5557</v>
      </c>
      <c r="AB777" s="672">
        <f>+SUMIF(SYS_cliente!$F$5:$F$1678,'BCE ABREVIADO'!AA777,SYS_cliente!$I$5:$I$1678)</f>
        <v>0</v>
      </c>
    </row>
    <row r="778" spans="22:28" ht="13.8">
      <c r="V778" s="661">
        <v>3078</v>
      </c>
      <c r="W778" s="662">
        <f>+SUMIF(SYS_cliente!$F$5:$F$1678,'BCE ABREVIADO'!V778,SYS_cliente!$I$5:$I$1678)</f>
        <v>0</v>
      </c>
      <c r="Z778" s="666"/>
      <c r="AA778" s="661">
        <v>5558</v>
      </c>
      <c r="AB778" s="672">
        <f>+SUMIF(SYS_cliente!$F$5:$F$1678,'BCE ABREVIADO'!AA778,SYS_cliente!$I$5:$I$1678)</f>
        <v>0</v>
      </c>
    </row>
    <row r="779" spans="22:28" ht="13.8">
      <c r="V779" s="661">
        <v>3079</v>
      </c>
      <c r="W779" s="662">
        <f>+SUMIF(SYS_cliente!$F$5:$F$1678,'BCE ABREVIADO'!V779,SYS_cliente!$I$5:$I$1678)</f>
        <v>0</v>
      </c>
      <c r="Z779" s="666"/>
      <c r="AA779" s="661">
        <v>5559</v>
      </c>
      <c r="AB779" s="672">
        <f>+SUMIF(SYS_cliente!$F$5:$F$1678,'BCE ABREVIADO'!AA779,SYS_cliente!$I$5:$I$1678)</f>
        <v>0</v>
      </c>
    </row>
    <row r="780" spans="22:28" ht="13.8">
      <c r="V780" s="661">
        <v>3080</v>
      </c>
      <c r="W780" s="662">
        <f>+SUMIF(SYS_cliente!$F$5:$F$1678,'BCE ABREVIADO'!V780,SYS_cliente!$I$5:$I$1678)</f>
        <v>0</v>
      </c>
      <c r="Z780" s="666"/>
      <c r="AA780" s="661">
        <v>5565</v>
      </c>
      <c r="AB780" s="672">
        <f>+SUMIF(SYS_cliente!$F$5:$F$1678,'BCE ABREVIADO'!AA780,SYS_cliente!$I$5:$I$1678)</f>
        <v>0</v>
      </c>
    </row>
    <row r="781" spans="22:28" ht="13.8">
      <c r="V781" s="661">
        <v>3081</v>
      </c>
      <c r="W781" s="662">
        <f>+SUMIF(SYS_cliente!$F$5:$F$1678,'BCE ABREVIADO'!V781,SYS_cliente!$I$5:$I$1678)</f>
        <v>0</v>
      </c>
      <c r="Z781" s="666"/>
      <c r="AA781" s="661">
        <v>5566</v>
      </c>
      <c r="AB781" s="672">
        <f>+SUMIF(SYS_cliente!$F$5:$F$1678,'BCE ABREVIADO'!AA781,SYS_cliente!$I$5:$I$1678)</f>
        <v>0</v>
      </c>
    </row>
    <row r="782" spans="22:28" ht="13.8">
      <c r="V782" s="661">
        <v>3082</v>
      </c>
      <c r="W782" s="662">
        <f>+SUMIF(SYS_cliente!$F$5:$F$1678,'BCE ABREVIADO'!V782,SYS_cliente!$I$5:$I$1678)</f>
        <v>0</v>
      </c>
      <c r="Z782" s="666"/>
      <c r="AA782" s="661">
        <v>5600</v>
      </c>
      <c r="AB782" s="672">
        <f>+SUMIF(SYS_cliente!$F$5:$F$1678,'BCE ABREVIADO'!AA782,SYS_cliente!$I$5:$I$1678)</f>
        <v>0</v>
      </c>
    </row>
    <row r="783" spans="22:28" ht="13.8">
      <c r="V783" s="661">
        <v>3083</v>
      </c>
      <c r="W783" s="662">
        <f>+SUMIF(SYS_cliente!$F$5:$F$1678,'BCE ABREVIADO'!V783,SYS_cliente!$I$5:$I$1678)</f>
        <v>0</v>
      </c>
      <c r="Z783" s="666"/>
      <c r="AA783" s="661">
        <v>5601</v>
      </c>
      <c r="AB783" s="672">
        <f>+SUMIF(SYS_cliente!$F$5:$F$1678,'BCE ABREVIADO'!AA783,SYS_cliente!$I$5:$I$1678)</f>
        <v>0</v>
      </c>
    </row>
    <row r="784" spans="22:28" ht="13.8">
      <c r="V784" s="661">
        <v>3084</v>
      </c>
      <c r="W784" s="662">
        <f>+SUMIF(SYS_cliente!$F$5:$F$1678,'BCE ABREVIADO'!V784,SYS_cliente!$I$5:$I$1678)</f>
        <v>0</v>
      </c>
      <c r="Z784" s="666"/>
      <c r="AA784" s="661">
        <v>5602</v>
      </c>
      <c r="AB784" s="672">
        <f>+SUMIF(SYS_cliente!$F$5:$F$1678,'BCE ABREVIADO'!AA784,SYS_cliente!$I$5:$I$1678)</f>
        <v>0</v>
      </c>
    </row>
    <row r="785" spans="22:28" ht="13.8">
      <c r="V785" s="661">
        <v>3085</v>
      </c>
      <c r="W785" s="662">
        <f>+SUMIF(SYS_cliente!$F$5:$F$1678,'BCE ABREVIADO'!V785,SYS_cliente!$I$5:$I$1678)</f>
        <v>0</v>
      </c>
      <c r="Z785" s="666"/>
      <c r="AA785" s="661">
        <v>5603</v>
      </c>
      <c r="AB785" s="672">
        <f>+SUMIF(SYS_cliente!$F$5:$F$1678,'BCE ABREVIADO'!AA785,SYS_cliente!$I$5:$I$1678)</f>
        <v>0</v>
      </c>
    </row>
    <row r="786" spans="22:28" ht="13.8">
      <c r="V786" s="661">
        <v>3086</v>
      </c>
      <c r="W786" s="662">
        <f>+SUMIF(SYS_cliente!$F$5:$F$1678,'BCE ABREVIADO'!V786,SYS_cliente!$I$5:$I$1678)</f>
        <v>0</v>
      </c>
      <c r="Z786" s="666"/>
      <c r="AA786" s="661">
        <v>5604</v>
      </c>
      <c r="AB786" s="672">
        <f>+SUMIF(SYS_cliente!$F$5:$F$1678,'BCE ABREVIADO'!AA786,SYS_cliente!$I$5:$I$1678)</f>
        <v>0</v>
      </c>
    </row>
    <row r="787" spans="22:28" ht="13.8">
      <c r="V787" s="661">
        <v>3087</v>
      </c>
      <c r="W787" s="662">
        <f>+SUMIF(SYS_cliente!$F$5:$F$1678,'BCE ABREVIADO'!V787,SYS_cliente!$I$5:$I$1678)</f>
        <v>0</v>
      </c>
      <c r="Z787" s="666"/>
      <c r="AA787" s="661">
        <v>5605</v>
      </c>
      <c r="AB787" s="672">
        <f>+SUMIF(SYS_cliente!$F$5:$F$1678,'BCE ABREVIADO'!AA787,SYS_cliente!$I$5:$I$1678)</f>
        <v>0</v>
      </c>
    </row>
    <row r="788" spans="22:28" ht="13.8">
      <c r="V788" s="661">
        <v>3088</v>
      </c>
      <c r="W788" s="662">
        <f>+SUMIF(SYS_cliente!$F$5:$F$1678,'BCE ABREVIADO'!V788,SYS_cliente!$I$5:$I$1678)</f>
        <v>0</v>
      </c>
      <c r="Z788" s="666"/>
      <c r="AA788" s="661">
        <v>5606</v>
      </c>
      <c r="AB788" s="672">
        <f>+SUMIF(SYS_cliente!$F$5:$F$1678,'BCE ABREVIADO'!AA788,SYS_cliente!$I$5:$I$1678)</f>
        <v>0</v>
      </c>
    </row>
    <row r="789" spans="22:28" ht="13.8">
      <c r="V789" s="661">
        <v>3089</v>
      </c>
      <c r="W789" s="662">
        <f>+SUMIF(SYS_cliente!$F$5:$F$1678,'BCE ABREVIADO'!V789,SYS_cliente!$I$5:$I$1678)</f>
        <v>0</v>
      </c>
      <c r="Z789" s="666"/>
      <c r="AA789" s="661">
        <v>5607</v>
      </c>
      <c r="AB789" s="672">
        <f>+SUMIF(SYS_cliente!$F$5:$F$1678,'BCE ABREVIADO'!AA789,SYS_cliente!$I$5:$I$1678)</f>
        <v>0</v>
      </c>
    </row>
    <row r="790" spans="22:28" ht="13.8">
      <c r="V790" s="661">
        <v>3090</v>
      </c>
      <c r="W790" s="662">
        <f>+SUMIF(SYS_cliente!$F$5:$F$1678,'BCE ABREVIADO'!V790,SYS_cliente!$I$5:$I$1678)</f>
        <v>0</v>
      </c>
      <c r="Z790" s="666"/>
      <c r="AA790" s="661">
        <v>5608</v>
      </c>
      <c r="AB790" s="672">
        <f>+SUMIF(SYS_cliente!$F$5:$F$1678,'BCE ABREVIADO'!AA790,SYS_cliente!$I$5:$I$1678)</f>
        <v>0</v>
      </c>
    </row>
    <row r="791" spans="22:28" ht="13.8">
      <c r="V791" s="661">
        <v>3091</v>
      </c>
      <c r="W791" s="662">
        <f>+SUMIF(SYS_cliente!$F$5:$F$1678,'BCE ABREVIADO'!V791,SYS_cliente!$I$5:$I$1678)</f>
        <v>0</v>
      </c>
      <c r="Z791" s="666"/>
      <c r="AA791" s="661">
        <v>5609</v>
      </c>
      <c r="AB791" s="672">
        <f>+SUMIF(SYS_cliente!$F$5:$F$1678,'BCE ABREVIADO'!AA791,SYS_cliente!$I$5:$I$1678)</f>
        <v>0</v>
      </c>
    </row>
    <row r="792" spans="22:28" ht="13.8">
      <c r="V792" s="661">
        <v>3092</v>
      </c>
      <c r="W792" s="662">
        <f>+SUMIF(SYS_cliente!$F$5:$F$1678,'BCE ABREVIADO'!V792,SYS_cliente!$I$5:$I$1678)</f>
        <v>0</v>
      </c>
      <c r="Z792" s="666"/>
      <c r="AA792" s="661">
        <v>5610</v>
      </c>
      <c r="AB792" s="672">
        <f>+SUMIF(SYS_cliente!$F$5:$F$1678,'BCE ABREVIADO'!AA792,SYS_cliente!$I$5:$I$1678)</f>
        <v>0</v>
      </c>
    </row>
    <row r="793" spans="22:28" ht="13.8">
      <c r="V793" s="661">
        <v>3093</v>
      </c>
      <c r="W793" s="662">
        <f>+SUMIF(SYS_cliente!$F$5:$F$1678,'BCE ABREVIADO'!V793,SYS_cliente!$I$5:$I$1678)</f>
        <v>0</v>
      </c>
      <c r="Z793" s="666"/>
      <c r="AA793" s="661">
        <v>5611</v>
      </c>
      <c r="AB793" s="672">
        <f>+SUMIF(SYS_cliente!$F$5:$F$1678,'BCE ABREVIADO'!AA793,SYS_cliente!$I$5:$I$1678)</f>
        <v>0</v>
      </c>
    </row>
    <row r="794" spans="22:28" ht="13.8">
      <c r="V794" s="661">
        <v>3094</v>
      </c>
      <c r="W794" s="662">
        <f>+SUMIF(SYS_cliente!$F$5:$F$1678,'BCE ABREVIADO'!V794,SYS_cliente!$I$5:$I$1678)</f>
        <v>0</v>
      </c>
      <c r="Z794" s="666"/>
      <c r="AA794" s="661">
        <v>5612</v>
      </c>
      <c r="AB794" s="672">
        <f>+SUMIF(SYS_cliente!$F$5:$F$1678,'BCE ABREVIADO'!AA794,SYS_cliente!$I$5:$I$1678)</f>
        <v>0</v>
      </c>
    </row>
    <row r="795" spans="22:28" ht="13.8">
      <c r="V795" s="661">
        <v>3095</v>
      </c>
      <c r="W795" s="662">
        <f>+SUMIF(SYS_cliente!$F$5:$F$1678,'BCE ABREVIADO'!V795,SYS_cliente!$I$5:$I$1678)</f>
        <v>0</v>
      </c>
      <c r="Z795" s="666"/>
      <c r="AA795" s="661">
        <v>5613</v>
      </c>
      <c r="AB795" s="672">
        <f>+SUMIF(SYS_cliente!$F$5:$F$1678,'BCE ABREVIADO'!AA795,SYS_cliente!$I$5:$I$1678)</f>
        <v>0</v>
      </c>
    </row>
    <row r="796" spans="22:28" ht="13.8">
      <c r="V796" s="661">
        <v>3096</v>
      </c>
      <c r="W796" s="662">
        <f>+SUMIF(SYS_cliente!$F$5:$F$1678,'BCE ABREVIADO'!V796,SYS_cliente!$I$5:$I$1678)</f>
        <v>0</v>
      </c>
      <c r="Z796" s="666"/>
      <c r="AA796" s="661">
        <v>5614</v>
      </c>
      <c r="AB796" s="672">
        <f>+SUMIF(SYS_cliente!$F$5:$F$1678,'BCE ABREVIADO'!AA796,SYS_cliente!$I$5:$I$1678)</f>
        <v>0</v>
      </c>
    </row>
    <row r="797" spans="22:28" ht="13.8">
      <c r="V797" s="661">
        <v>3097</v>
      </c>
      <c r="W797" s="662">
        <f>+SUMIF(SYS_cliente!$F$5:$F$1678,'BCE ABREVIADO'!V797,SYS_cliente!$I$5:$I$1678)</f>
        <v>0</v>
      </c>
      <c r="Z797" s="666"/>
      <c r="AA797" s="661">
        <v>5615</v>
      </c>
      <c r="AB797" s="672">
        <f>+SUMIF(SYS_cliente!$F$5:$F$1678,'BCE ABREVIADO'!AA797,SYS_cliente!$I$5:$I$1678)</f>
        <v>0</v>
      </c>
    </row>
    <row r="798" spans="22:28" ht="13.8">
      <c r="V798" s="661">
        <v>3098</v>
      </c>
      <c r="W798" s="662">
        <f>+SUMIF(SYS_cliente!$F$5:$F$1678,'BCE ABREVIADO'!V798,SYS_cliente!$I$5:$I$1678)</f>
        <v>0</v>
      </c>
      <c r="Z798" s="666"/>
      <c r="AA798" s="661">
        <v>5616</v>
      </c>
      <c r="AB798" s="672">
        <f>+SUMIF(SYS_cliente!$F$5:$F$1678,'BCE ABREVIADO'!AA798,SYS_cliente!$I$5:$I$1678)</f>
        <v>0</v>
      </c>
    </row>
    <row r="799" spans="22:28" ht="13.8">
      <c r="V799" s="661">
        <v>3099</v>
      </c>
      <c r="W799" s="662">
        <f>+SUMIF(SYS_cliente!$F$5:$F$1678,'BCE ABREVIADO'!V799,SYS_cliente!$I$5:$I$1678)</f>
        <v>0</v>
      </c>
      <c r="Z799" s="666"/>
      <c r="AA799" s="661">
        <v>5617</v>
      </c>
      <c r="AB799" s="672">
        <f>+SUMIF(SYS_cliente!$F$5:$F$1678,'BCE ABREVIADO'!AA799,SYS_cliente!$I$5:$I$1678)</f>
        <v>0</v>
      </c>
    </row>
    <row r="800" spans="22:28" ht="13.8">
      <c r="V800" s="661">
        <v>3900</v>
      </c>
      <c r="W800" s="662">
        <f>+SUMIF(SYS_cliente!$F$5:$F$1678,'BCE ABREVIADO'!V800,SYS_cliente!$I$5:$I$1678)</f>
        <v>0</v>
      </c>
      <c r="Z800" s="666"/>
      <c r="AA800" s="661">
        <v>5618</v>
      </c>
      <c r="AB800" s="672">
        <f>+SUMIF(SYS_cliente!$F$5:$F$1678,'BCE ABREVIADO'!AA800,SYS_cliente!$I$5:$I$1678)</f>
        <v>0</v>
      </c>
    </row>
    <row r="801" spans="21:28" ht="13.8">
      <c r="V801" s="661">
        <v>3901</v>
      </c>
      <c r="W801" s="662">
        <f>+SUMIF(SYS_cliente!$F$5:$F$1678,'BCE ABREVIADO'!V801,SYS_cliente!$I$5:$I$1678)</f>
        <v>0</v>
      </c>
      <c r="Z801" s="666"/>
      <c r="AA801" s="661">
        <v>5619</v>
      </c>
      <c r="AB801" s="672">
        <f>+SUMIF(SYS_cliente!$F$5:$F$1678,'BCE ABREVIADO'!AA801,SYS_cliente!$I$5:$I$1678)</f>
        <v>0</v>
      </c>
    </row>
    <row r="802" spans="21:28" ht="13.8">
      <c r="V802" s="661">
        <v>3902</v>
      </c>
      <c r="W802" s="662">
        <f>+SUMIF(SYS_cliente!$F$5:$F$1678,'BCE ABREVIADO'!V802,SYS_cliente!$I$5:$I$1678)</f>
        <v>0</v>
      </c>
      <c r="Z802" s="666"/>
      <c r="AA802" s="661">
        <v>5690</v>
      </c>
      <c r="AB802" s="672">
        <f>+SUMIF(SYS_cliente!$F$5:$F$1678,'BCE ABREVIADO'!AA802,SYS_cliente!$I$5:$I$1678)</f>
        <v>0</v>
      </c>
    </row>
    <row r="803" spans="21:28" ht="21">
      <c r="V803" s="661">
        <v>3903</v>
      </c>
      <c r="W803" s="662">
        <f>+SUMIF(SYS_cliente!$F$5:$F$1678,'BCE ABREVIADO'!V803,SYS_cliente!$I$5:$I$1678)</f>
        <v>0</v>
      </c>
      <c r="Z803" s="666" t="s">
        <v>1552</v>
      </c>
      <c r="AA803" s="664" t="s">
        <v>97</v>
      </c>
      <c r="AB803" s="642">
        <f>SUM(AB804:AB853)</f>
        <v>0</v>
      </c>
    </row>
    <row r="804" spans="21:28" ht="13.8">
      <c r="V804" s="661">
        <v>3904</v>
      </c>
      <c r="W804" s="662">
        <f>+SUMIF(SYS_cliente!$F$5:$F$1678,'BCE ABREVIADO'!V804,SYS_cliente!$I$5:$I$1678)</f>
        <v>0</v>
      </c>
      <c r="Z804" s="666"/>
      <c r="AA804" s="661">
        <v>5100</v>
      </c>
      <c r="AB804" s="672">
        <f>+SUMIF(SYS_cliente!$F$5:$F$1678,'BCE ABREVIADO'!AA804,SYS_cliente!$I$5:$I$1678)</f>
        <v>0</v>
      </c>
    </row>
    <row r="805" spans="21:28" ht="13.8">
      <c r="V805" s="661">
        <v>3905</v>
      </c>
      <c r="W805" s="662">
        <f>+SUMIF(SYS_cliente!$F$5:$F$1678,'BCE ABREVIADO'!V805,SYS_cliente!$I$5:$I$1678)</f>
        <v>0</v>
      </c>
      <c r="Z805" s="666"/>
      <c r="AA805" s="661">
        <v>5101</v>
      </c>
      <c r="AB805" s="672">
        <f>+SUMIF(SYS_cliente!$F$5:$F$1678,'BCE ABREVIADO'!AA805,SYS_cliente!$I$5:$I$1678)</f>
        <v>0</v>
      </c>
    </row>
    <row r="806" spans="21:28" ht="13.8">
      <c r="V806" s="661">
        <v>3906</v>
      </c>
      <c r="W806" s="662">
        <f>+SUMIF(SYS_cliente!$F$5:$F$1678,'BCE ABREVIADO'!V806,SYS_cliente!$I$5:$I$1678)</f>
        <v>0</v>
      </c>
      <c r="Z806" s="666"/>
      <c r="AA806" s="661">
        <v>5102</v>
      </c>
      <c r="AB806" s="672">
        <f>+SUMIF(SYS_cliente!$F$5:$F$1678,'BCE ABREVIADO'!AA806,SYS_cliente!$I$5:$I$1678)</f>
        <v>0</v>
      </c>
    </row>
    <row r="807" spans="21:28" ht="13.8">
      <c r="V807" s="661">
        <v>3907</v>
      </c>
      <c r="W807" s="662">
        <f>+SUMIF(SYS_cliente!$F$5:$F$1678,'BCE ABREVIADO'!V807,SYS_cliente!$I$5:$I$1678)</f>
        <v>0</v>
      </c>
      <c r="Z807" s="666"/>
      <c r="AA807" s="661">
        <v>5103</v>
      </c>
      <c r="AB807" s="672">
        <f>+SUMIF(SYS_cliente!$F$5:$F$1678,'BCE ABREVIADO'!AA807,SYS_cliente!$I$5:$I$1678)</f>
        <v>0</v>
      </c>
    </row>
    <row r="808" spans="21:28" ht="13.8">
      <c r="V808" s="661">
        <v>3908</v>
      </c>
      <c r="W808" s="662">
        <f>+SUMIF(SYS_cliente!$F$5:$F$1678,'BCE ABREVIADO'!V808,SYS_cliente!$I$5:$I$1678)</f>
        <v>0</v>
      </c>
      <c r="Z808" s="666"/>
      <c r="AA808" s="661">
        <v>5104</v>
      </c>
      <c r="AB808" s="672">
        <f>+SUMIF(SYS_cliente!$F$5:$F$1678,'BCE ABREVIADO'!AA808,SYS_cliente!$I$5:$I$1678)</f>
        <v>0</v>
      </c>
    </row>
    <row r="809" spans="21:28" ht="13.8">
      <c r="V809" s="661">
        <v>3909</v>
      </c>
      <c r="W809" s="662">
        <f>+SUMIF(SYS_cliente!$F$5:$F$1678,'BCE ABREVIADO'!V809,SYS_cliente!$I$5:$I$1678)</f>
        <v>0</v>
      </c>
      <c r="Z809" s="666"/>
      <c r="AA809" s="661">
        <v>5113</v>
      </c>
      <c r="AB809" s="672">
        <f>+SUMIF(SYS_cliente!$F$5:$F$1678,'BCE ABREVIADO'!AA809,SYS_cliente!$I$5:$I$1678)</f>
        <v>0</v>
      </c>
    </row>
    <row r="810" spans="21:28" ht="13.8">
      <c r="U810" s="715" t="s">
        <v>127</v>
      </c>
      <c r="V810" s="653" t="s">
        <v>32</v>
      </c>
      <c r="W810" s="654">
        <f>SUM(W811:W1030)</f>
        <v>33683237.159999996</v>
      </c>
      <c r="Z810" s="666"/>
      <c r="AA810" s="661">
        <v>5114</v>
      </c>
      <c r="AB810" s="672">
        <f>+SUMIF(SYS_cliente!$F$5:$F$1678,'BCE ABREVIADO'!AA810,SYS_cliente!$I$5:$I$1678)</f>
        <v>0</v>
      </c>
    </row>
    <row r="811" spans="21:28" ht="13.8">
      <c r="V811" s="661">
        <v>3100</v>
      </c>
      <c r="W811" s="662">
        <f>+SUMIF(SYS_cliente!$F$5:$F$1678,'BCE ABREVIADO'!V811,SYS_cliente!$I$5:$I$1678)</f>
        <v>33428757.619999997</v>
      </c>
      <c r="Z811" s="666"/>
      <c r="AA811" s="661">
        <v>5123</v>
      </c>
      <c r="AB811" s="672">
        <f>+SUMIF(SYS_cliente!$F$5:$F$1678,'BCE ABREVIADO'!AA811,SYS_cliente!$I$5:$I$1678)</f>
        <v>0</v>
      </c>
    </row>
    <row r="812" spans="21:28" ht="13.8">
      <c r="V812" s="661">
        <v>3101</v>
      </c>
      <c r="W812" s="662">
        <f>+SUMIF(SYS_cliente!$F$5:$F$1678,'BCE ABREVIADO'!V812,SYS_cliente!$I$5:$I$1678)</f>
        <v>0</v>
      </c>
      <c r="Z812" s="666"/>
      <c r="AA812" s="661">
        <v>5124</v>
      </c>
      <c r="AB812" s="672">
        <f>+SUMIF(SYS_cliente!$F$5:$F$1678,'BCE ABREVIADO'!AA812,SYS_cliente!$I$5:$I$1678)</f>
        <v>0</v>
      </c>
    </row>
    <row r="813" spans="21:28" ht="13.8">
      <c r="V813" s="661">
        <v>3102</v>
      </c>
      <c r="W813" s="662">
        <f>+SUMIF(SYS_cliente!$F$5:$F$1678,'BCE ABREVIADO'!V813,SYS_cliente!$I$5:$I$1678)</f>
        <v>0</v>
      </c>
      <c r="Z813" s="666"/>
      <c r="AA813" s="661">
        <v>5133</v>
      </c>
      <c r="AB813" s="672">
        <f>+SUMIF(SYS_cliente!$F$5:$F$1678,'BCE ABREVIADO'!AA813,SYS_cliente!$I$5:$I$1678)</f>
        <v>0</v>
      </c>
    </row>
    <row r="814" spans="21:28" ht="13.8">
      <c r="V814" s="661">
        <v>3103</v>
      </c>
      <c r="W814" s="662">
        <f>+SUMIF(SYS_cliente!$F$5:$F$1678,'BCE ABREVIADO'!V814,SYS_cliente!$I$5:$I$1678)</f>
        <v>0</v>
      </c>
      <c r="Z814" s="666"/>
      <c r="AA814" s="661">
        <v>5134</v>
      </c>
      <c r="AB814" s="672">
        <f>+SUMIF(SYS_cliente!$F$5:$F$1678,'BCE ABREVIADO'!AA814,SYS_cliente!$I$5:$I$1678)</f>
        <v>0</v>
      </c>
    </row>
    <row r="815" spans="21:28" ht="13.8">
      <c r="V815" s="661">
        <v>3104</v>
      </c>
      <c r="W815" s="662">
        <f>+SUMIF(SYS_cliente!$F$5:$F$1678,'BCE ABREVIADO'!V815,SYS_cliente!$I$5:$I$1678)</f>
        <v>0</v>
      </c>
      <c r="Z815" s="666"/>
      <c r="AA815" s="661">
        <v>5143</v>
      </c>
      <c r="AB815" s="672">
        <f>+SUMIF(SYS_cliente!$F$5:$F$1678,'BCE ABREVIADO'!AA815,SYS_cliente!$I$5:$I$1678)</f>
        <v>0</v>
      </c>
    </row>
    <row r="816" spans="21:28" ht="13.8">
      <c r="V816" s="661">
        <v>3105</v>
      </c>
      <c r="W816" s="662">
        <f>+SUMIF(SYS_cliente!$F$5:$F$1678,'BCE ABREVIADO'!V816,SYS_cliente!$I$5:$I$1678)</f>
        <v>0</v>
      </c>
      <c r="Z816" s="666"/>
      <c r="AA816" s="661">
        <v>5144</v>
      </c>
      <c r="AB816" s="672">
        <f>+SUMIF(SYS_cliente!$F$5:$F$1678,'BCE ABREVIADO'!AA816,SYS_cliente!$I$5:$I$1678)</f>
        <v>0</v>
      </c>
    </row>
    <row r="817" spans="22:28" ht="13.8">
      <c r="V817" s="661">
        <v>3106</v>
      </c>
      <c r="W817" s="662">
        <f>+SUMIF(SYS_cliente!$F$5:$F$1678,'BCE ABREVIADO'!V817,SYS_cliente!$I$5:$I$1678)</f>
        <v>0</v>
      </c>
      <c r="Z817" s="666"/>
      <c r="AA817" s="661">
        <v>5150</v>
      </c>
      <c r="AB817" s="672">
        <f>+SUMIF(SYS_cliente!$F$5:$F$1678,'BCE ABREVIADO'!AA817,SYS_cliente!$I$5:$I$1678)</f>
        <v>0</v>
      </c>
    </row>
    <row r="818" spans="22:28" ht="13.8">
      <c r="V818" s="661">
        <v>3107</v>
      </c>
      <c r="W818" s="662">
        <f>+SUMIF(SYS_cliente!$F$5:$F$1678,'BCE ABREVIADO'!V818,SYS_cliente!$I$5:$I$1678)</f>
        <v>0</v>
      </c>
      <c r="Z818" s="666"/>
      <c r="AA818" s="661">
        <v>5151</v>
      </c>
      <c r="AB818" s="672">
        <f>+SUMIF(SYS_cliente!$F$5:$F$1678,'BCE ABREVIADO'!AA818,SYS_cliente!$I$5:$I$1678)</f>
        <v>0</v>
      </c>
    </row>
    <row r="819" spans="22:28" ht="13.8">
      <c r="V819" s="661">
        <v>3108</v>
      </c>
      <c r="W819" s="662">
        <f>+SUMIF(SYS_cliente!$F$5:$F$1678,'BCE ABREVIADO'!V819,SYS_cliente!$I$5:$I$1678)</f>
        <v>0</v>
      </c>
      <c r="Z819" s="666"/>
      <c r="AA819" s="661">
        <v>5152</v>
      </c>
      <c r="AB819" s="672">
        <f>+SUMIF(SYS_cliente!$F$5:$F$1678,'BCE ABREVIADO'!AA819,SYS_cliente!$I$5:$I$1678)</f>
        <v>0</v>
      </c>
    </row>
    <row r="820" spans="22:28" ht="13.8">
      <c r="V820" s="661">
        <v>3109</v>
      </c>
      <c r="W820" s="662">
        <f>+SUMIF(SYS_cliente!$F$5:$F$1678,'BCE ABREVIADO'!V820,SYS_cliente!$I$5:$I$1678)</f>
        <v>0</v>
      </c>
      <c r="Z820" s="666"/>
      <c r="AA820" s="661">
        <v>5153</v>
      </c>
      <c r="AB820" s="672">
        <f>+SUMIF(SYS_cliente!$F$5:$F$1678,'BCE ABREVIADO'!AA820,SYS_cliente!$I$5:$I$1678)</f>
        <v>0</v>
      </c>
    </row>
    <row r="821" spans="22:28" ht="13.8">
      <c r="V821" s="661">
        <v>3110</v>
      </c>
      <c r="W821" s="662">
        <f>+SUMIF(SYS_cliente!$F$5:$F$1678,'BCE ABREVIADO'!V821,SYS_cliente!$I$5:$I$1678)</f>
        <v>0</v>
      </c>
      <c r="Z821" s="666"/>
      <c r="AA821" s="661">
        <v>5154</v>
      </c>
      <c r="AB821" s="672">
        <f>+SUMIF(SYS_cliente!$F$5:$F$1678,'BCE ABREVIADO'!AA821,SYS_cliente!$I$5:$I$1678)</f>
        <v>0</v>
      </c>
    </row>
    <row r="822" spans="22:28" ht="13.8">
      <c r="V822" s="661">
        <v>3111</v>
      </c>
      <c r="W822" s="662">
        <f>+SUMIF(SYS_cliente!$F$5:$F$1678,'BCE ABREVIADO'!V822,SYS_cliente!$I$5:$I$1678)</f>
        <v>0</v>
      </c>
      <c r="Z822" s="666"/>
      <c r="AA822" s="661">
        <v>5155</v>
      </c>
      <c r="AB822" s="672">
        <f>+SUMIF(SYS_cliente!$F$5:$F$1678,'BCE ABREVIADO'!AA822,SYS_cliente!$I$5:$I$1678)</f>
        <v>0</v>
      </c>
    </row>
    <row r="823" spans="22:28" ht="13.8">
      <c r="V823" s="661">
        <v>3112</v>
      </c>
      <c r="W823" s="662">
        <f>+SUMIF(SYS_cliente!$F$5:$F$1678,'BCE ABREVIADO'!V823,SYS_cliente!$I$5:$I$1678)</f>
        <v>0</v>
      </c>
      <c r="Z823" s="666"/>
      <c r="AA823" s="661">
        <v>5156</v>
      </c>
      <c r="AB823" s="672">
        <f>+SUMIF(SYS_cliente!$F$5:$F$1678,'BCE ABREVIADO'!AA823,SYS_cliente!$I$5:$I$1678)</f>
        <v>0</v>
      </c>
    </row>
    <row r="824" spans="22:28" ht="13.8">
      <c r="V824" s="661">
        <v>3113</v>
      </c>
      <c r="W824" s="662">
        <f>+SUMIF(SYS_cliente!$F$5:$F$1678,'BCE ABREVIADO'!V824,SYS_cliente!$I$5:$I$1678)</f>
        <v>0</v>
      </c>
      <c r="Z824" s="666"/>
      <c r="AA824" s="661">
        <v>5157</v>
      </c>
      <c r="AB824" s="672">
        <f>+SUMIF(SYS_cliente!$F$5:$F$1678,'BCE ABREVIADO'!AA824,SYS_cliente!$I$5:$I$1678)</f>
        <v>0</v>
      </c>
    </row>
    <row r="825" spans="22:28" ht="13.8">
      <c r="V825" s="661">
        <v>3114</v>
      </c>
      <c r="W825" s="662">
        <f>+SUMIF(SYS_cliente!$F$5:$F$1678,'BCE ABREVIADO'!V825,SYS_cliente!$I$5:$I$1678)</f>
        <v>0</v>
      </c>
      <c r="Z825" s="666"/>
      <c r="AA825" s="661">
        <v>5158</v>
      </c>
      <c r="AB825" s="672">
        <f>+SUMIF(SYS_cliente!$F$5:$F$1678,'BCE ABREVIADO'!AA825,SYS_cliente!$I$5:$I$1678)</f>
        <v>0</v>
      </c>
    </row>
    <row r="826" spans="22:28" ht="13.8">
      <c r="V826" s="661">
        <v>3115</v>
      </c>
      <c r="W826" s="662">
        <f>+SUMIF(SYS_cliente!$F$5:$F$1678,'BCE ABREVIADO'!V826,SYS_cliente!$I$5:$I$1678)</f>
        <v>0</v>
      </c>
      <c r="Z826" s="666"/>
      <c r="AA826" s="661">
        <v>5159</v>
      </c>
      <c r="AB826" s="672">
        <f>+SUMIF(SYS_cliente!$F$5:$F$1678,'BCE ABREVIADO'!AA826,SYS_cliente!$I$5:$I$1678)</f>
        <v>0</v>
      </c>
    </row>
    <row r="827" spans="22:28" ht="13.8">
      <c r="V827" s="661">
        <v>3116</v>
      </c>
      <c r="W827" s="662">
        <f>+SUMIF(SYS_cliente!$F$5:$F$1678,'BCE ABREVIADO'!V827,SYS_cliente!$I$5:$I$1678)</f>
        <v>0</v>
      </c>
      <c r="Z827" s="666"/>
      <c r="AA827" s="661">
        <v>5160</v>
      </c>
      <c r="AB827" s="672">
        <f>+SUMIF(SYS_cliente!$F$5:$F$1678,'BCE ABREVIADO'!AA827,SYS_cliente!$I$5:$I$1678)</f>
        <v>0</v>
      </c>
    </row>
    <row r="828" spans="22:28" ht="13.8">
      <c r="V828" s="661">
        <v>3117</v>
      </c>
      <c r="W828" s="662">
        <f>+SUMIF(SYS_cliente!$F$5:$F$1678,'BCE ABREVIADO'!V828,SYS_cliente!$I$5:$I$1678)</f>
        <v>0</v>
      </c>
      <c r="Z828" s="666"/>
      <c r="AA828" s="661">
        <v>5161</v>
      </c>
      <c r="AB828" s="672">
        <f>+SUMIF(SYS_cliente!$F$5:$F$1678,'BCE ABREVIADO'!AA828,SYS_cliente!$I$5:$I$1678)</f>
        <v>0</v>
      </c>
    </row>
    <row r="829" spans="22:28" ht="13.8">
      <c r="V829" s="661">
        <v>3118</v>
      </c>
      <c r="W829" s="662">
        <f>+SUMIF(SYS_cliente!$F$5:$F$1678,'BCE ABREVIADO'!V829,SYS_cliente!$I$5:$I$1678)</f>
        <v>0</v>
      </c>
      <c r="Z829" s="666"/>
      <c r="AA829" s="661">
        <v>5162</v>
      </c>
      <c r="AB829" s="672">
        <f>+SUMIF(SYS_cliente!$F$5:$F$1678,'BCE ABREVIADO'!AA829,SYS_cliente!$I$5:$I$1678)</f>
        <v>0</v>
      </c>
    </row>
    <row r="830" spans="22:28" ht="13.8">
      <c r="V830" s="661">
        <v>3119</v>
      </c>
      <c r="W830" s="662">
        <f>+SUMIF(SYS_cliente!$F$5:$F$1678,'BCE ABREVIADO'!V830,SYS_cliente!$I$5:$I$1678)</f>
        <v>0</v>
      </c>
      <c r="Z830" s="666"/>
      <c r="AA830" s="661">
        <v>5163</v>
      </c>
      <c r="AB830" s="672">
        <f>+SUMIF(SYS_cliente!$F$5:$F$1678,'BCE ABREVIADO'!AA830,SYS_cliente!$I$5:$I$1678)</f>
        <v>0</v>
      </c>
    </row>
    <row r="831" spans="22:28" ht="13.8">
      <c r="V831" s="661">
        <v>3120</v>
      </c>
      <c r="W831" s="662">
        <f>+SUMIF(SYS_cliente!$F$5:$F$1678,'BCE ABREVIADO'!V831,SYS_cliente!$I$5:$I$1678)</f>
        <v>0</v>
      </c>
      <c r="Z831" s="666"/>
      <c r="AA831" s="661">
        <v>5164</v>
      </c>
      <c r="AB831" s="672">
        <f>+SUMIF(SYS_cliente!$F$5:$F$1678,'BCE ABREVIADO'!AA831,SYS_cliente!$I$5:$I$1678)</f>
        <v>0</v>
      </c>
    </row>
    <row r="832" spans="22:28" ht="13.8">
      <c r="V832" s="661">
        <v>3121</v>
      </c>
      <c r="W832" s="662">
        <f>+SUMIF(SYS_cliente!$F$5:$F$1678,'BCE ABREVIADO'!V832,SYS_cliente!$I$5:$I$1678)</f>
        <v>0</v>
      </c>
      <c r="Z832" s="666"/>
      <c r="AA832" s="661">
        <v>5165</v>
      </c>
      <c r="AB832" s="672">
        <f>+SUMIF(SYS_cliente!$F$5:$F$1678,'BCE ABREVIADO'!AA832,SYS_cliente!$I$5:$I$1678)</f>
        <v>0</v>
      </c>
    </row>
    <row r="833" spans="22:28" ht="13.8">
      <c r="V833" s="661">
        <v>3122</v>
      </c>
      <c r="W833" s="662">
        <f>+SUMIF(SYS_cliente!$F$5:$F$1678,'BCE ABREVIADO'!V833,SYS_cliente!$I$5:$I$1678)</f>
        <v>0</v>
      </c>
      <c r="Z833" s="666"/>
      <c r="AA833" s="661">
        <v>5166</v>
      </c>
      <c r="AB833" s="672">
        <f>+SUMIF(SYS_cliente!$F$5:$F$1678,'BCE ABREVIADO'!AA833,SYS_cliente!$I$5:$I$1678)</f>
        <v>0</v>
      </c>
    </row>
    <row r="834" spans="22:28" ht="13.8">
      <c r="V834" s="661">
        <v>3123</v>
      </c>
      <c r="W834" s="662">
        <f>+SUMIF(SYS_cliente!$F$5:$F$1678,'BCE ABREVIADO'!V834,SYS_cliente!$I$5:$I$1678)</f>
        <v>0</v>
      </c>
      <c r="Z834" s="666"/>
      <c r="AA834" s="661">
        <v>5167</v>
      </c>
      <c r="AB834" s="672">
        <f>+SUMIF(SYS_cliente!$F$5:$F$1678,'BCE ABREVIADO'!AA834,SYS_cliente!$I$5:$I$1678)</f>
        <v>0</v>
      </c>
    </row>
    <row r="835" spans="22:28" ht="13.8">
      <c r="V835" s="661">
        <v>3124</v>
      </c>
      <c r="W835" s="662">
        <f>+SUMIF(SYS_cliente!$F$5:$F$1678,'BCE ABREVIADO'!V835,SYS_cliente!$I$5:$I$1678)</f>
        <v>0</v>
      </c>
      <c r="Z835" s="666"/>
      <c r="AA835" s="661">
        <v>5168</v>
      </c>
      <c r="AB835" s="672">
        <f>+SUMIF(SYS_cliente!$F$5:$F$1678,'BCE ABREVIADO'!AA835,SYS_cliente!$I$5:$I$1678)</f>
        <v>0</v>
      </c>
    </row>
    <row r="836" spans="22:28" ht="13.8">
      <c r="V836" s="661">
        <v>3125</v>
      </c>
      <c r="W836" s="662">
        <f>+SUMIF(SYS_cliente!$F$5:$F$1678,'BCE ABREVIADO'!V836,SYS_cliente!$I$5:$I$1678)</f>
        <v>0</v>
      </c>
      <c r="Z836" s="666"/>
      <c r="AA836" s="661">
        <v>5169</v>
      </c>
      <c r="AB836" s="672">
        <f>+SUMIF(SYS_cliente!$F$5:$F$1678,'BCE ABREVIADO'!AA836,SYS_cliente!$I$5:$I$1678)</f>
        <v>0</v>
      </c>
    </row>
    <row r="837" spans="22:28" ht="13.8">
      <c r="V837" s="661">
        <v>3126</v>
      </c>
      <c r="W837" s="662">
        <f>+SUMIF(SYS_cliente!$F$5:$F$1678,'BCE ABREVIADO'!V837,SYS_cliente!$I$5:$I$1678)</f>
        <v>0</v>
      </c>
      <c r="Z837" s="666"/>
      <c r="AA837" s="723">
        <v>5520</v>
      </c>
      <c r="AB837" s="672">
        <f>IF(+SUMIF(SYS_cliente!$F$5:$F$1678,'BCE ABREVIADO'!AA837,SYS_cliente!$I$5:$I$1678)&gt;0,0,+SUMIF(SYS_cliente!$F$5:$F$1678,'BCE ABREVIADO'!AA837,SYS_cliente!$I$5:$I$1678))</f>
        <v>0</v>
      </c>
    </row>
    <row r="838" spans="22:28" ht="13.8">
      <c r="V838" s="661">
        <v>3127</v>
      </c>
      <c r="W838" s="662">
        <f>+SUMIF(SYS_cliente!$F$5:$F$1678,'BCE ABREVIADO'!V838,SYS_cliente!$I$5:$I$1678)</f>
        <v>0</v>
      </c>
      <c r="Z838" s="666"/>
      <c r="AA838" s="723">
        <v>5521</v>
      </c>
      <c r="AB838" s="672">
        <f>IF(+SUMIF(SYS_cliente!$F$5:$F$1678,'BCE ABREVIADO'!AA838,SYS_cliente!$I$5:$I$1678)&gt;0,0,+SUMIF(SYS_cliente!$F$5:$F$1678,'BCE ABREVIADO'!AA838,SYS_cliente!$I$5:$I$1678))</f>
        <v>0</v>
      </c>
    </row>
    <row r="839" spans="22:28" ht="13.8">
      <c r="V839" s="661">
        <v>3128</v>
      </c>
      <c r="W839" s="662">
        <f>+SUMIF(SYS_cliente!$F$5:$F$1678,'BCE ABREVIADO'!V839,SYS_cliente!$I$5:$I$1678)</f>
        <v>0</v>
      </c>
      <c r="Z839" s="666"/>
      <c r="AA839" s="723">
        <v>5522</v>
      </c>
      <c r="AB839" s="672">
        <f>IF(+SUMIF(SYS_cliente!$F$5:$F$1678,'BCE ABREVIADO'!AA839,SYS_cliente!$I$5:$I$1678)&gt;0,0,+SUMIF(SYS_cliente!$F$5:$F$1678,'BCE ABREVIADO'!AA839,SYS_cliente!$I$5:$I$1678))</f>
        <v>0</v>
      </c>
    </row>
    <row r="840" spans="22:28" ht="13.8">
      <c r="V840" s="661">
        <v>3129</v>
      </c>
      <c r="W840" s="662">
        <f>+SUMIF(SYS_cliente!$F$5:$F$1678,'BCE ABREVIADO'!V840,SYS_cliente!$I$5:$I$1678)</f>
        <v>0</v>
      </c>
      <c r="Z840" s="666"/>
      <c r="AA840" s="723">
        <v>5523</v>
      </c>
      <c r="AB840" s="672">
        <f>IF(+SUMIF(SYS_cliente!$F$5:$F$1678,'BCE ABREVIADO'!AA840,SYS_cliente!$I$5:$I$1678)&gt;0,0,+SUMIF(SYS_cliente!$F$5:$F$1678,'BCE ABREVIADO'!AA840,SYS_cliente!$I$5:$I$1678))</f>
        <v>0</v>
      </c>
    </row>
    <row r="841" spans="22:28" ht="13.8">
      <c r="V841" s="661">
        <v>3130</v>
      </c>
      <c r="W841" s="662">
        <f>+SUMIF(SYS_cliente!$F$5:$F$1678,'BCE ABREVIADO'!V841,SYS_cliente!$I$5:$I$1678)</f>
        <v>0</v>
      </c>
      <c r="Z841" s="666"/>
      <c r="AA841" s="723">
        <v>5524</v>
      </c>
      <c r="AB841" s="672">
        <f>IF(+SUMIF(SYS_cliente!$F$5:$F$1678,'BCE ABREVIADO'!AA841,SYS_cliente!$I$5:$I$1678)&gt;0,0,+SUMIF(SYS_cliente!$F$5:$F$1678,'BCE ABREVIADO'!AA841,SYS_cliente!$I$5:$I$1678))</f>
        <v>0</v>
      </c>
    </row>
    <row r="842" spans="22:28" ht="13.8">
      <c r="V842" s="661">
        <v>3131</v>
      </c>
      <c r="W842" s="662">
        <f>+SUMIF(SYS_cliente!$F$5:$F$1678,'BCE ABREVIADO'!V842,SYS_cliente!$I$5:$I$1678)</f>
        <v>0</v>
      </c>
      <c r="Z842" s="666"/>
      <c r="AA842" s="723">
        <v>5540</v>
      </c>
      <c r="AB842" s="672">
        <f>IF(+SUMIF(SYS_cliente!$F$5:$F$1678,'BCE ABREVIADO'!AA842,SYS_cliente!$I$5:$I$1678)&gt;0,0,+SUMIF(SYS_cliente!$F$5:$F$1678,'BCE ABREVIADO'!AA842,SYS_cliente!$I$5:$I$1678))</f>
        <v>0</v>
      </c>
    </row>
    <row r="843" spans="22:28" ht="13.8">
      <c r="V843" s="661">
        <v>3132</v>
      </c>
      <c r="W843" s="662">
        <f>+SUMIF(SYS_cliente!$F$5:$F$1678,'BCE ABREVIADO'!V843,SYS_cliente!$I$5:$I$1678)</f>
        <v>0</v>
      </c>
      <c r="Z843" s="666"/>
      <c r="AA843" s="723">
        <v>5541</v>
      </c>
      <c r="AB843" s="672">
        <f>IF(+SUMIF(SYS_cliente!$F$5:$F$1678,'BCE ABREVIADO'!AA843,SYS_cliente!$I$5:$I$1678)&gt;0,0,+SUMIF(SYS_cliente!$F$5:$F$1678,'BCE ABREVIADO'!AA843,SYS_cliente!$I$5:$I$1678))</f>
        <v>0</v>
      </c>
    </row>
    <row r="844" spans="22:28" ht="13.8">
      <c r="V844" s="661">
        <v>3133</v>
      </c>
      <c r="W844" s="662">
        <f>+SUMIF(SYS_cliente!$F$5:$F$1678,'BCE ABREVIADO'!V844,SYS_cliente!$I$5:$I$1678)</f>
        <v>0</v>
      </c>
      <c r="Z844" s="666"/>
      <c r="AA844" s="723">
        <v>5542</v>
      </c>
      <c r="AB844" s="672">
        <f>IF(+SUMIF(SYS_cliente!$F$5:$F$1678,'BCE ABREVIADO'!AA844,SYS_cliente!$I$5:$I$1678)&gt;0,0,+SUMIF(SYS_cliente!$F$5:$F$1678,'BCE ABREVIADO'!AA844,SYS_cliente!$I$5:$I$1678))</f>
        <v>0</v>
      </c>
    </row>
    <row r="845" spans="22:28" ht="13.8">
      <c r="V845" s="661">
        <v>3134</v>
      </c>
      <c r="W845" s="662">
        <f>+SUMIF(SYS_cliente!$F$5:$F$1678,'BCE ABREVIADO'!V845,SYS_cliente!$I$5:$I$1678)</f>
        <v>0</v>
      </c>
      <c r="Z845" s="666"/>
      <c r="AA845" s="723">
        <v>5543</v>
      </c>
      <c r="AB845" s="672">
        <f>IF(+SUMIF(SYS_cliente!$F$5:$F$1678,'BCE ABREVIADO'!AA845,SYS_cliente!$I$5:$I$1678)&gt;0,0,+SUMIF(SYS_cliente!$F$5:$F$1678,'BCE ABREVIADO'!AA845,SYS_cliente!$I$5:$I$1678))</f>
        <v>0</v>
      </c>
    </row>
    <row r="846" spans="22:28" ht="13.8">
      <c r="V846" s="661">
        <v>3135</v>
      </c>
      <c r="W846" s="662">
        <f>+SUMIF(SYS_cliente!$F$5:$F$1678,'BCE ABREVIADO'!V846,SYS_cliente!$I$5:$I$1678)</f>
        <v>0</v>
      </c>
      <c r="Z846" s="666"/>
      <c r="AA846" s="723">
        <v>5544</v>
      </c>
      <c r="AB846" s="672">
        <f>IF(+SUMIF(SYS_cliente!$F$5:$F$1678,'BCE ABREVIADO'!AA846,SYS_cliente!$I$5:$I$1678)&gt;0,0,+SUMIF(SYS_cliente!$F$5:$F$1678,'BCE ABREVIADO'!AA846,SYS_cliente!$I$5:$I$1678))</f>
        <v>0</v>
      </c>
    </row>
    <row r="847" spans="22:28" ht="13.8">
      <c r="V847" s="661">
        <v>3136</v>
      </c>
      <c r="W847" s="662">
        <f>+SUMIF(SYS_cliente!$F$5:$F$1678,'BCE ABREVIADO'!V847,SYS_cliente!$I$5:$I$1678)</f>
        <v>0</v>
      </c>
      <c r="Z847" s="666"/>
      <c r="AA847" s="723">
        <v>5545</v>
      </c>
      <c r="AB847" s="672">
        <f>IF(+SUMIF(SYS_cliente!$F$5:$F$1678,'BCE ABREVIADO'!AA847,SYS_cliente!$I$5:$I$1678)&gt;0,0,+SUMIF(SYS_cliente!$F$5:$F$1678,'BCE ABREVIADO'!AA847,SYS_cliente!$I$5:$I$1678))</f>
        <v>0</v>
      </c>
    </row>
    <row r="848" spans="22:28" ht="13.8">
      <c r="V848" s="661">
        <v>3137</v>
      </c>
      <c r="W848" s="662">
        <f>+SUMIF(SYS_cliente!$F$5:$F$1678,'BCE ABREVIADO'!V848,SYS_cliente!$I$5:$I$1678)</f>
        <v>0</v>
      </c>
      <c r="Z848" s="666"/>
      <c r="AA848" s="723">
        <v>5546</v>
      </c>
      <c r="AB848" s="672">
        <f>IF(+SUMIF(SYS_cliente!$F$5:$F$1678,'BCE ABREVIADO'!AA848,SYS_cliente!$I$5:$I$1678)&gt;0,0,+SUMIF(SYS_cliente!$F$5:$F$1678,'BCE ABREVIADO'!AA848,SYS_cliente!$I$5:$I$1678))</f>
        <v>0</v>
      </c>
    </row>
    <row r="849" spans="22:28" ht="13.8">
      <c r="V849" s="661">
        <v>3138</v>
      </c>
      <c r="W849" s="662">
        <f>+SUMIF(SYS_cliente!$F$5:$F$1678,'BCE ABREVIADO'!V849,SYS_cliente!$I$5:$I$1678)</f>
        <v>0</v>
      </c>
      <c r="Z849" s="666"/>
      <c r="AA849" s="723">
        <v>5547</v>
      </c>
      <c r="AB849" s="672">
        <f>IF(+SUMIF(SYS_cliente!$F$5:$F$1678,'BCE ABREVIADO'!AA849,SYS_cliente!$I$5:$I$1678)&gt;0,0,+SUMIF(SYS_cliente!$F$5:$F$1678,'BCE ABREVIADO'!AA849,SYS_cliente!$I$5:$I$1678))</f>
        <v>0</v>
      </c>
    </row>
    <row r="850" spans="22:28" ht="13.8">
      <c r="V850" s="661">
        <v>3139</v>
      </c>
      <c r="W850" s="662">
        <f>+SUMIF(SYS_cliente!$F$5:$F$1678,'BCE ABREVIADO'!V850,SYS_cliente!$I$5:$I$1678)</f>
        <v>0</v>
      </c>
      <c r="Z850" s="666"/>
      <c r="AA850" s="723">
        <v>5548</v>
      </c>
      <c r="AB850" s="672">
        <f>IF(+SUMIF(SYS_cliente!$F$5:$F$1678,'BCE ABREVIADO'!AA850,SYS_cliente!$I$5:$I$1678)&gt;0,0,+SUMIF(SYS_cliente!$F$5:$F$1678,'BCE ABREVIADO'!AA850,SYS_cliente!$I$5:$I$1678))</f>
        <v>0</v>
      </c>
    </row>
    <row r="851" spans="22:28" ht="13.8">
      <c r="V851" s="661">
        <v>3140</v>
      </c>
      <c r="W851" s="662">
        <f>+SUMIF(SYS_cliente!$F$5:$F$1678,'BCE ABREVIADO'!V851,SYS_cliente!$I$5:$I$1678)</f>
        <v>0</v>
      </c>
      <c r="Z851" s="666"/>
      <c r="AA851" s="723">
        <v>5549</v>
      </c>
      <c r="AB851" s="672">
        <f>IF(+SUMIF(SYS_cliente!$F$5:$F$1678,'BCE ABREVIADO'!AA851,SYS_cliente!$I$5:$I$1678)&gt;0,0,+SUMIF(SYS_cliente!$F$5:$F$1678,'BCE ABREVIADO'!AA851,SYS_cliente!$I$5:$I$1678))</f>
        <v>0</v>
      </c>
    </row>
    <row r="852" spans="22:28" ht="13.8">
      <c r="V852" s="661">
        <v>3141</v>
      </c>
      <c r="W852" s="662">
        <f>+SUMIF(SYS_cliente!$F$5:$F$1678,'BCE ABREVIADO'!V852,SYS_cliente!$I$5:$I$1678)</f>
        <v>0</v>
      </c>
      <c r="Z852" s="666"/>
      <c r="AA852" s="723">
        <v>5108</v>
      </c>
      <c r="AB852" s="672">
        <f>IF(+SUMIF(SYS_cliente!$F$5:$F$1678,'BCE ABREVIADO'!AA852,SYS_cliente!$I$5:$I$1678)&gt;0,0,+SUMIF(SYS_cliente!$F$5:$F$1678,'BCE ABREVIADO'!AA852,SYS_cliente!$I$5:$I$1678))</f>
        <v>0</v>
      </c>
    </row>
    <row r="853" spans="22:28" ht="13.8">
      <c r="V853" s="661">
        <v>3142</v>
      </c>
      <c r="W853" s="662">
        <f>+SUMIF(SYS_cliente!$F$5:$F$1678,'BCE ABREVIADO'!V853,SYS_cliente!$I$5:$I$1678)</f>
        <v>0</v>
      </c>
      <c r="Z853" s="666"/>
      <c r="AA853" s="723">
        <v>5109</v>
      </c>
      <c r="AB853" s="672">
        <f>IF(+SUMIF(SYS_cliente!$F$5:$F$1678,'BCE ABREVIADO'!AA853,SYS_cliente!$I$5:$I$1678)&gt;0,0,+SUMIF(SYS_cliente!$F$5:$F$1678,'BCE ABREVIADO'!AA853,SYS_cliente!$I$5:$I$1678))</f>
        <v>0</v>
      </c>
    </row>
    <row r="854" spans="22:28" ht="13.8">
      <c r="V854" s="661">
        <v>3143</v>
      </c>
      <c r="W854" s="662">
        <f>+SUMIF(SYS_cliente!$F$5:$F$1678,'BCE ABREVIADO'!V854,SYS_cliente!$I$5:$I$1678)</f>
        <v>0</v>
      </c>
      <c r="Z854" s="666"/>
      <c r="AA854" s="664" t="s">
        <v>98</v>
      </c>
      <c r="AB854" s="642"/>
    </row>
    <row r="855" spans="22:28" ht="13.8">
      <c r="V855" s="661">
        <v>3144</v>
      </c>
      <c r="W855" s="662">
        <f>+SUMIF(SYS_cliente!$F$5:$F$1678,'BCE ABREVIADO'!V855,SYS_cliente!$I$5:$I$1678)</f>
        <v>0</v>
      </c>
      <c r="Z855" s="666" t="s">
        <v>270</v>
      </c>
      <c r="AA855" s="653" t="s">
        <v>99</v>
      </c>
      <c r="AB855" s="667">
        <f>SUM(AB856:AB905)</f>
        <v>-159031.70999999996</v>
      </c>
    </row>
    <row r="856" spans="22:28" ht="13.8">
      <c r="V856" s="661">
        <v>3145</v>
      </c>
      <c r="W856" s="662">
        <f>+SUMIF(SYS_cliente!$F$5:$F$1678,'BCE ABREVIADO'!V856,SYS_cliente!$I$5:$I$1678)</f>
        <v>0</v>
      </c>
      <c r="Z856" s="666"/>
      <c r="AA856" s="661">
        <v>4000</v>
      </c>
      <c r="AB856" s="672">
        <f>+SUMIF(SYS_cliente!$F$5:$F$1678,'BCE ABREVIADO'!AA856,SYS_cliente!$I$5:$I$1678)</f>
        <v>47361.599999999999</v>
      </c>
    </row>
    <row r="857" spans="22:28" ht="13.8">
      <c r="V857" s="661">
        <v>3146</v>
      </c>
      <c r="W857" s="662">
        <f>+SUMIF(SYS_cliente!$F$5:$F$1678,'BCE ABREVIADO'!V857,SYS_cliente!$I$5:$I$1678)</f>
        <v>0</v>
      </c>
      <c r="Z857" s="666"/>
      <c r="AA857" s="661">
        <v>4001</v>
      </c>
      <c r="AB857" s="672">
        <f>+SUMIF(SYS_cliente!$F$5:$F$1678,'BCE ABREVIADO'!AA857,SYS_cliente!$I$5:$I$1678)</f>
        <v>1121118.53</v>
      </c>
    </row>
    <row r="858" spans="22:28" ht="13.8">
      <c r="V858" s="661">
        <v>3147</v>
      </c>
      <c r="W858" s="662">
        <f>+SUMIF(SYS_cliente!$F$5:$F$1678,'BCE ABREVIADO'!V858,SYS_cliente!$I$5:$I$1678)</f>
        <v>0</v>
      </c>
      <c r="Z858" s="666"/>
      <c r="AA858" s="661">
        <v>4002</v>
      </c>
      <c r="AB858" s="672">
        <f>+SUMIF(SYS_cliente!$F$5:$F$1678,'BCE ABREVIADO'!AA858,SYS_cliente!$I$5:$I$1678)</f>
        <v>0</v>
      </c>
    </row>
    <row r="859" spans="22:28" ht="13.8">
      <c r="V859" s="661">
        <v>3148</v>
      </c>
      <c r="W859" s="662">
        <f>+SUMIF(SYS_cliente!$F$5:$F$1678,'BCE ABREVIADO'!V859,SYS_cliente!$I$5:$I$1678)</f>
        <v>0</v>
      </c>
      <c r="Z859" s="666"/>
      <c r="AA859" s="661">
        <v>4003</v>
      </c>
      <c r="AB859" s="672">
        <f>+SUMIF(SYS_cliente!$F$5:$F$1678,'BCE ABREVIADO'!AA859,SYS_cliente!$I$5:$I$1678)</f>
        <v>0</v>
      </c>
    </row>
    <row r="860" spans="22:28" ht="13.8">
      <c r="V860" s="661">
        <v>3149</v>
      </c>
      <c r="W860" s="662">
        <f>+SUMIF(SYS_cliente!$F$5:$F$1678,'BCE ABREVIADO'!V860,SYS_cliente!$I$5:$I$1678)</f>
        <v>0</v>
      </c>
      <c r="Z860" s="666"/>
      <c r="AA860" s="661">
        <v>4004</v>
      </c>
      <c r="AB860" s="672">
        <f>+SUMIF(SYS_cliente!$F$5:$F$1678,'BCE ABREVIADO'!AA860,SYS_cliente!$I$5:$I$1678)</f>
        <v>0</v>
      </c>
    </row>
    <row r="861" spans="22:28" ht="13.8">
      <c r="V861" s="661">
        <v>3150</v>
      </c>
      <c r="W861" s="662">
        <f>+SUMIF(SYS_cliente!$F$5:$F$1678,'BCE ABREVIADO'!V861,SYS_cliente!$I$5:$I$1678)</f>
        <v>0</v>
      </c>
      <c r="Z861" s="666"/>
      <c r="AA861" s="661">
        <v>4005</v>
      </c>
      <c r="AB861" s="672">
        <f>+SUMIF(SYS_cliente!$F$5:$F$1678,'BCE ABREVIADO'!AA861,SYS_cliente!$I$5:$I$1678)</f>
        <v>0</v>
      </c>
    </row>
    <row r="862" spans="22:28" ht="13.8">
      <c r="V862" s="661">
        <v>3151</v>
      </c>
      <c r="W862" s="662">
        <f>+SUMIF(SYS_cliente!$F$5:$F$1678,'BCE ABREVIADO'!V862,SYS_cliente!$I$5:$I$1678)</f>
        <v>0</v>
      </c>
      <c r="Z862" s="666"/>
      <c r="AA862" s="661">
        <v>4006</v>
      </c>
      <c r="AB862" s="672">
        <f>+SUMIF(SYS_cliente!$F$5:$F$1678,'BCE ABREVIADO'!AA862,SYS_cliente!$I$5:$I$1678)</f>
        <v>0</v>
      </c>
    </row>
    <row r="863" spans="22:28" ht="13.8">
      <c r="V863" s="661">
        <v>3152</v>
      </c>
      <c r="W863" s="662">
        <f>+SUMIF(SYS_cliente!$F$5:$F$1678,'BCE ABREVIADO'!V863,SYS_cliente!$I$5:$I$1678)</f>
        <v>0</v>
      </c>
      <c r="Z863" s="666"/>
      <c r="AA863" s="661">
        <v>4007</v>
      </c>
      <c r="AB863" s="672">
        <f>+SUMIF(SYS_cliente!$F$5:$F$1678,'BCE ABREVIADO'!AA863,SYS_cliente!$I$5:$I$1678)</f>
        <v>0</v>
      </c>
    </row>
    <row r="864" spans="22:28" ht="13.8">
      <c r="V864" s="661">
        <v>3153</v>
      </c>
      <c r="W864" s="662">
        <f>+SUMIF(SYS_cliente!$F$5:$F$1678,'BCE ABREVIADO'!V864,SYS_cliente!$I$5:$I$1678)</f>
        <v>0</v>
      </c>
      <c r="Z864" s="666"/>
      <c r="AA864" s="661">
        <v>4008</v>
      </c>
      <c r="AB864" s="672">
        <f>+SUMIF(SYS_cliente!$F$5:$F$1678,'BCE ABREVIADO'!AA864,SYS_cliente!$I$5:$I$1678)</f>
        <v>0</v>
      </c>
    </row>
    <row r="865" spans="22:28" ht="13.8">
      <c r="V865" s="661">
        <v>3154</v>
      </c>
      <c r="W865" s="662">
        <f>+SUMIF(SYS_cliente!$F$5:$F$1678,'BCE ABREVIADO'!V865,SYS_cliente!$I$5:$I$1678)</f>
        <v>0</v>
      </c>
      <c r="Z865" s="666"/>
      <c r="AA865" s="661">
        <v>4009</v>
      </c>
      <c r="AB865" s="672">
        <f>+SUMIF(SYS_cliente!$F$5:$F$1678,'BCE ABREVIADO'!AA865,SYS_cliente!$I$5:$I$1678)</f>
        <v>0</v>
      </c>
    </row>
    <row r="866" spans="22:28" ht="13.8">
      <c r="V866" s="661">
        <v>3155</v>
      </c>
      <c r="W866" s="662">
        <f>+SUMIF(SYS_cliente!$F$5:$F$1678,'BCE ABREVIADO'!V866,SYS_cliente!$I$5:$I$1678)</f>
        <v>0</v>
      </c>
      <c r="Z866" s="666"/>
      <c r="AA866" s="661">
        <v>4010</v>
      </c>
      <c r="AB866" s="672">
        <f>+SUMIF(SYS_cliente!$F$5:$F$1678,'BCE ABREVIADO'!AA866,SYS_cliente!$I$5:$I$1678)</f>
        <v>-1327511.8400000001</v>
      </c>
    </row>
    <row r="867" spans="22:28" ht="13.8">
      <c r="V867" s="661">
        <v>3156</v>
      </c>
      <c r="W867" s="662">
        <f>+SUMIF(SYS_cliente!$F$5:$F$1678,'BCE ABREVIADO'!V867,SYS_cliente!$I$5:$I$1678)</f>
        <v>0</v>
      </c>
      <c r="Z867" s="666"/>
      <c r="AA867" s="661">
        <v>4011</v>
      </c>
      <c r="AB867" s="672">
        <f>+SUMIF(SYS_cliente!$F$5:$F$1678,'BCE ABREVIADO'!AA867,SYS_cliente!$I$5:$I$1678)</f>
        <v>0</v>
      </c>
    </row>
    <row r="868" spans="22:28" ht="13.8">
      <c r="V868" s="661">
        <v>3157</v>
      </c>
      <c r="W868" s="662">
        <f>+SUMIF(SYS_cliente!$F$5:$F$1678,'BCE ABREVIADO'!V868,SYS_cliente!$I$5:$I$1678)</f>
        <v>0</v>
      </c>
      <c r="Z868" s="666"/>
      <c r="AA868" s="661">
        <v>4012</v>
      </c>
      <c r="AB868" s="672">
        <f>+SUMIF(SYS_cliente!$F$5:$F$1678,'BCE ABREVIADO'!AA868,SYS_cliente!$I$5:$I$1678)</f>
        <v>0</v>
      </c>
    </row>
    <row r="869" spans="22:28" ht="13.8">
      <c r="V869" s="661">
        <v>3158</v>
      </c>
      <c r="W869" s="662">
        <f>+SUMIF(SYS_cliente!$F$5:$F$1678,'BCE ABREVIADO'!V869,SYS_cliente!$I$5:$I$1678)</f>
        <v>0</v>
      </c>
      <c r="Z869" s="666"/>
      <c r="AA869" s="661">
        <v>4013</v>
      </c>
      <c r="AB869" s="672">
        <f>+SUMIF(SYS_cliente!$F$5:$F$1678,'BCE ABREVIADO'!AA869,SYS_cliente!$I$5:$I$1678)</f>
        <v>0</v>
      </c>
    </row>
    <row r="870" spans="22:28" ht="13.8">
      <c r="V870" s="661">
        <v>3159</v>
      </c>
      <c r="W870" s="662">
        <f>+SUMIF(SYS_cliente!$F$5:$F$1678,'BCE ABREVIADO'!V870,SYS_cliente!$I$5:$I$1678)</f>
        <v>0</v>
      </c>
      <c r="Z870" s="666"/>
      <c r="AA870" s="661">
        <v>4014</v>
      </c>
      <c r="AB870" s="672">
        <f>+SUMIF(SYS_cliente!$F$5:$F$1678,'BCE ABREVIADO'!AA870,SYS_cliente!$I$5:$I$1678)</f>
        <v>0</v>
      </c>
    </row>
    <row r="871" spans="22:28" ht="13.8">
      <c r="V871" s="661">
        <v>3160</v>
      </c>
      <c r="W871" s="662">
        <f>+SUMIF(SYS_cliente!$F$5:$F$1678,'BCE ABREVIADO'!V871,SYS_cliente!$I$5:$I$1678)</f>
        <v>0</v>
      </c>
      <c r="Z871" s="666"/>
      <c r="AA871" s="661">
        <v>4015</v>
      </c>
      <c r="AB871" s="672">
        <f>+SUMIF(SYS_cliente!$F$5:$F$1678,'BCE ABREVIADO'!AA871,SYS_cliente!$I$5:$I$1678)</f>
        <v>0</v>
      </c>
    </row>
    <row r="872" spans="22:28" ht="13.8">
      <c r="V872" s="661">
        <v>3161</v>
      </c>
      <c r="W872" s="662">
        <f>+SUMIF(SYS_cliente!$F$5:$F$1678,'BCE ABREVIADO'!V872,SYS_cliente!$I$5:$I$1678)</f>
        <v>0</v>
      </c>
      <c r="Z872" s="666"/>
      <c r="AA872" s="661">
        <v>4016</v>
      </c>
      <c r="AB872" s="672">
        <f>+SUMIF(SYS_cliente!$F$5:$F$1678,'BCE ABREVIADO'!AA872,SYS_cliente!$I$5:$I$1678)</f>
        <v>0</v>
      </c>
    </row>
    <row r="873" spans="22:28" ht="13.8">
      <c r="V873" s="661">
        <v>3162</v>
      </c>
      <c r="W873" s="662">
        <f>+SUMIF(SYS_cliente!$F$5:$F$1678,'BCE ABREVIADO'!V873,SYS_cliente!$I$5:$I$1678)</f>
        <v>0</v>
      </c>
      <c r="Z873" s="666"/>
      <c r="AA873" s="661">
        <v>4017</v>
      </c>
      <c r="AB873" s="672">
        <f>+SUMIF(SYS_cliente!$F$5:$F$1678,'BCE ABREVIADO'!AA873,SYS_cliente!$I$5:$I$1678)</f>
        <v>0</v>
      </c>
    </row>
    <row r="874" spans="22:28" ht="13.8">
      <c r="V874" s="661">
        <v>3163</v>
      </c>
      <c r="W874" s="662">
        <f>+SUMIF(SYS_cliente!$F$5:$F$1678,'BCE ABREVIADO'!V874,SYS_cliente!$I$5:$I$1678)</f>
        <v>0</v>
      </c>
      <c r="Z874" s="666"/>
      <c r="AA874" s="661">
        <v>4018</v>
      </c>
      <c r="AB874" s="672">
        <f>+SUMIF(SYS_cliente!$F$5:$F$1678,'BCE ABREVIADO'!AA874,SYS_cliente!$I$5:$I$1678)</f>
        <v>0</v>
      </c>
    </row>
    <row r="875" spans="22:28" ht="13.8">
      <c r="V875" s="661">
        <v>3164</v>
      </c>
      <c r="W875" s="662">
        <f>+SUMIF(SYS_cliente!$F$5:$F$1678,'BCE ABREVIADO'!V875,SYS_cliente!$I$5:$I$1678)</f>
        <v>0</v>
      </c>
      <c r="Z875" s="666"/>
      <c r="AA875" s="661">
        <v>4019</v>
      </c>
      <c r="AB875" s="672">
        <f>+SUMIF(SYS_cliente!$F$5:$F$1678,'BCE ABREVIADO'!AA875,SYS_cliente!$I$5:$I$1678)</f>
        <v>0</v>
      </c>
    </row>
    <row r="876" spans="22:28" ht="13.8">
      <c r="V876" s="661">
        <v>3165</v>
      </c>
      <c r="W876" s="662">
        <f>+SUMIF(SYS_cliente!$F$5:$F$1678,'BCE ABREVIADO'!V876,SYS_cliente!$I$5:$I$1678)</f>
        <v>0</v>
      </c>
      <c r="Z876" s="666"/>
      <c r="AA876" s="661">
        <v>4050</v>
      </c>
      <c r="AB876" s="672">
        <f>+SUMIF(SYS_cliente!$F$5:$F$1678,'BCE ABREVIADO'!AA876,SYS_cliente!$I$5:$I$1678)</f>
        <v>0</v>
      </c>
    </row>
    <row r="877" spans="22:28" ht="13.8">
      <c r="V877" s="661">
        <v>3166</v>
      </c>
      <c r="W877" s="662">
        <f>+SUMIF(SYS_cliente!$F$5:$F$1678,'BCE ABREVIADO'!V877,SYS_cliente!$I$5:$I$1678)</f>
        <v>0</v>
      </c>
      <c r="Z877" s="666"/>
      <c r="AA877" s="661">
        <v>4051</v>
      </c>
      <c r="AB877" s="672">
        <f>+SUMIF(SYS_cliente!$F$5:$F$1678,'BCE ABREVIADO'!AA877,SYS_cliente!$I$5:$I$1678)</f>
        <v>0</v>
      </c>
    </row>
    <row r="878" spans="22:28" ht="13.8">
      <c r="V878" s="661">
        <v>3167</v>
      </c>
      <c r="W878" s="662">
        <f>+SUMIF(SYS_cliente!$F$5:$F$1678,'BCE ABREVIADO'!V878,SYS_cliente!$I$5:$I$1678)</f>
        <v>0</v>
      </c>
      <c r="Z878" s="666"/>
      <c r="AA878" s="661">
        <v>4052</v>
      </c>
      <c r="AB878" s="672">
        <f>+SUMIF(SYS_cliente!$F$5:$F$1678,'BCE ABREVIADO'!AA878,SYS_cliente!$I$5:$I$1678)</f>
        <v>0</v>
      </c>
    </row>
    <row r="879" spans="22:28" ht="13.8">
      <c r="V879" s="661">
        <v>3168</v>
      </c>
      <c r="W879" s="662">
        <f>+SUMIF(SYS_cliente!$F$5:$F$1678,'BCE ABREVIADO'!V879,SYS_cliente!$I$5:$I$1678)</f>
        <v>0</v>
      </c>
      <c r="Z879" s="666"/>
      <c r="AA879" s="661">
        <v>4053</v>
      </c>
      <c r="AB879" s="672">
        <f>+SUMIF(SYS_cliente!$F$5:$F$1678,'BCE ABREVIADO'!AA879,SYS_cliente!$I$5:$I$1678)</f>
        <v>0</v>
      </c>
    </row>
    <row r="880" spans="22:28" ht="13.8">
      <c r="V880" s="661">
        <v>3169</v>
      </c>
      <c r="W880" s="662">
        <f>+SUMIF(SYS_cliente!$F$5:$F$1678,'BCE ABREVIADO'!V880,SYS_cliente!$I$5:$I$1678)</f>
        <v>0</v>
      </c>
      <c r="Z880" s="666"/>
      <c r="AA880" s="661">
        <v>4054</v>
      </c>
      <c r="AB880" s="672">
        <f>+SUMIF(SYS_cliente!$F$5:$F$1678,'BCE ABREVIADO'!AA880,SYS_cliente!$I$5:$I$1678)</f>
        <v>0</v>
      </c>
    </row>
    <row r="881" spans="22:28" ht="13.8">
      <c r="V881" s="661">
        <v>3170</v>
      </c>
      <c r="W881" s="662">
        <f>+SUMIF(SYS_cliente!$F$5:$F$1678,'BCE ABREVIADO'!V881,SYS_cliente!$I$5:$I$1678)</f>
        <v>0</v>
      </c>
      <c r="Z881" s="666"/>
      <c r="AA881" s="661">
        <v>4055</v>
      </c>
      <c r="AB881" s="672">
        <f>+SUMIF(SYS_cliente!$F$5:$F$1678,'BCE ABREVIADO'!AA881,SYS_cliente!$I$5:$I$1678)</f>
        <v>0</v>
      </c>
    </row>
    <row r="882" spans="22:28" ht="13.8">
      <c r="V882" s="661">
        <v>3171</v>
      </c>
      <c r="W882" s="662">
        <f>+SUMIF(SYS_cliente!$F$5:$F$1678,'BCE ABREVIADO'!V882,SYS_cliente!$I$5:$I$1678)</f>
        <v>0</v>
      </c>
      <c r="Z882" s="666"/>
      <c r="AA882" s="661">
        <v>4056</v>
      </c>
      <c r="AB882" s="672">
        <f>+SUMIF(SYS_cliente!$F$5:$F$1678,'BCE ABREVIADO'!AA882,SYS_cliente!$I$5:$I$1678)</f>
        <v>0</v>
      </c>
    </row>
    <row r="883" spans="22:28" ht="13.8">
      <c r="V883" s="661">
        <v>3172</v>
      </c>
      <c r="W883" s="662">
        <f>+SUMIF(SYS_cliente!$F$5:$F$1678,'BCE ABREVIADO'!V883,SYS_cliente!$I$5:$I$1678)</f>
        <v>0</v>
      </c>
      <c r="Z883" s="666"/>
      <c r="AA883" s="661">
        <v>4057</v>
      </c>
      <c r="AB883" s="672">
        <f>+SUMIF(SYS_cliente!$F$5:$F$1678,'BCE ABREVIADO'!AA883,SYS_cliente!$I$5:$I$1678)</f>
        <v>0</v>
      </c>
    </row>
    <row r="884" spans="22:28" ht="13.8">
      <c r="V884" s="661">
        <v>3173</v>
      </c>
      <c r="W884" s="662">
        <f>+SUMIF(SYS_cliente!$F$5:$F$1678,'BCE ABREVIADO'!V884,SYS_cliente!$I$5:$I$1678)</f>
        <v>0</v>
      </c>
      <c r="Z884" s="666"/>
      <c r="AA884" s="661">
        <v>4058</v>
      </c>
      <c r="AB884" s="672">
        <f>+SUMIF(SYS_cliente!$F$5:$F$1678,'BCE ABREVIADO'!AA884,SYS_cliente!$I$5:$I$1678)</f>
        <v>0</v>
      </c>
    </row>
    <row r="885" spans="22:28" ht="13.8">
      <c r="V885" s="661">
        <v>3174</v>
      </c>
      <c r="W885" s="662">
        <f>+SUMIF(SYS_cliente!$F$5:$F$1678,'BCE ABREVIADO'!V885,SYS_cliente!$I$5:$I$1678)</f>
        <v>0</v>
      </c>
      <c r="Z885" s="666"/>
      <c r="AA885" s="661">
        <v>4059</v>
      </c>
      <c r="AB885" s="672">
        <f>+SUMIF(SYS_cliente!$F$5:$F$1678,'BCE ABREVIADO'!AA885,SYS_cliente!$I$5:$I$1678)</f>
        <v>0</v>
      </c>
    </row>
    <row r="886" spans="22:28" ht="13.8">
      <c r="V886" s="661">
        <v>3175</v>
      </c>
      <c r="W886" s="662">
        <f>+SUMIF(SYS_cliente!$F$5:$F$1678,'BCE ABREVIADO'!V886,SYS_cliente!$I$5:$I$1678)</f>
        <v>0</v>
      </c>
      <c r="Z886" s="666"/>
      <c r="AA886" s="661">
        <v>4060</v>
      </c>
      <c r="AB886" s="672">
        <f>+SUMIF(SYS_cliente!$F$5:$F$1678,'BCE ABREVIADO'!AA886,SYS_cliente!$I$5:$I$1678)</f>
        <v>0</v>
      </c>
    </row>
    <row r="887" spans="22:28" ht="13.8">
      <c r="V887" s="661">
        <v>3176</v>
      </c>
      <c r="W887" s="662">
        <f>+SUMIF(SYS_cliente!$F$5:$F$1678,'BCE ABREVIADO'!V887,SYS_cliente!$I$5:$I$1678)</f>
        <v>0</v>
      </c>
      <c r="Z887" s="666"/>
      <c r="AA887" s="661">
        <v>4061</v>
      </c>
      <c r="AB887" s="672">
        <f>+SUMIF(SYS_cliente!$F$5:$F$1678,'BCE ABREVIADO'!AA887,SYS_cliente!$I$5:$I$1678)</f>
        <v>0</v>
      </c>
    </row>
    <row r="888" spans="22:28" ht="13.8">
      <c r="V888" s="661">
        <v>3177</v>
      </c>
      <c r="W888" s="662">
        <f>+SUMIF(SYS_cliente!$F$5:$F$1678,'BCE ABREVIADO'!V888,SYS_cliente!$I$5:$I$1678)</f>
        <v>0</v>
      </c>
      <c r="Z888" s="666"/>
      <c r="AA888" s="661">
        <v>4062</v>
      </c>
      <c r="AB888" s="672">
        <f>+SUMIF(SYS_cliente!$F$5:$F$1678,'BCE ABREVIADO'!AA888,SYS_cliente!$I$5:$I$1678)</f>
        <v>0</v>
      </c>
    </row>
    <row r="889" spans="22:28" ht="13.8">
      <c r="V889" s="661">
        <v>3178</v>
      </c>
      <c r="W889" s="662">
        <f>+SUMIF(SYS_cliente!$F$5:$F$1678,'BCE ABREVIADO'!V889,SYS_cliente!$I$5:$I$1678)</f>
        <v>0</v>
      </c>
      <c r="Z889" s="666"/>
      <c r="AA889" s="661">
        <v>4063</v>
      </c>
      <c r="AB889" s="672">
        <f>+SUMIF(SYS_cliente!$F$5:$F$1678,'BCE ABREVIADO'!AA889,SYS_cliente!$I$5:$I$1678)</f>
        <v>0</v>
      </c>
    </row>
    <row r="890" spans="22:28" ht="13.8">
      <c r="V890" s="661">
        <v>3179</v>
      </c>
      <c r="W890" s="662">
        <f>+SUMIF(SYS_cliente!$F$5:$F$1678,'BCE ABREVIADO'!V890,SYS_cliente!$I$5:$I$1678)</f>
        <v>0</v>
      </c>
      <c r="Z890" s="666"/>
      <c r="AA890" s="661">
        <v>4064</v>
      </c>
      <c r="AB890" s="672">
        <f>+SUMIF(SYS_cliente!$F$5:$F$1678,'BCE ABREVIADO'!AA890,SYS_cliente!$I$5:$I$1678)</f>
        <v>0</v>
      </c>
    </row>
    <row r="891" spans="22:28" ht="13.8">
      <c r="V891" s="661">
        <v>3180</v>
      </c>
      <c r="W891" s="662">
        <f>+SUMIF(SYS_cliente!$F$5:$F$1678,'BCE ABREVIADO'!V891,SYS_cliente!$I$5:$I$1678)</f>
        <v>0</v>
      </c>
      <c r="Z891" s="666"/>
      <c r="AA891" s="661">
        <v>4065</v>
      </c>
      <c r="AB891" s="672">
        <f>+SUMIF(SYS_cliente!$F$5:$F$1678,'BCE ABREVIADO'!AA891,SYS_cliente!$I$5:$I$1678)</f>
        <v>0</v>
      </c>
    </row>
    <row r="892" spans="22:28" ht="13.8">
      <c r="V892" s="661">
        <v>3181</v>
      </c>
      <c r="W892" s="662">
        <f>+SUMIF(SYS_cliente!$F$5:$F$1678,'BCE ABREVIADO'!V892,SYS_cliente!$I$5:$I$1678)</f>
        <v>0</v>
      </c>
      <c r="Z892" s="666"/>
      <c r="AA892" s="661">
        <v>4066</v>
      </c>
      <c r="AB892" s="672">
        <f>+SUMIF(SYS_cliente!$F$5:$F$1678,'BCE ABREVIADO'!AA892,SYS_cliente!$I$5:$I$1678)</f>
        <v>0</v>
      </c>
    </row>
    <row r="893" spans="22:28" ht="13.8">
      <c r="V893" s="661">
        <v>3182</v>
      </c>
      <c r="W893" s="662">
        <f>+SUMIF(SYS_cliente!$F$5:$F$1678,'BCE ABREVIADO'!V893,SYS_cliente!$I$5:$I$1678)</f>
        <v>0</v>
      </c>
      <c r="Z893" s="666"/>
      <c r="AA893" s="661">
        <v>4067</v>
      </c>
      <c r="AB893" s="672">
        <f>+SUMIF(SYS_cliente!$F$5:$F$1678,'BCE ABREVIADO'!AA893,SYS_cliente!$I$5:$I$1678)</f>
        <v>0</v>
      </c>
    </row>
    <row r="894" spans="22:28" ht="13.8">
      <c r="V894" s="661">
        <v>3183</v>
      </c>
      <c r="W894" s="662">
        <f>+SUMIF(SYS_cliente!$F$5:$F$1678,'BCE ABREVIADO'!V894,SYS_cliente!$I$5:$I$1678)</f>
        <v>0</v>
      </c>
      <c r="Z894" s="666"/>
      <c r="AA894" s="661">
        <v>4068</v>
      </c>
      <c r="AB894" s="672">
        <f>+SUMIF(SYS_cliente!$F$5:$F$1678,'BCE ABREVIADO'!AA894,SYS_cliente!$I$5:$I$1678)</f>
        <v>0</v>
      </c>
    </row>
    <row r="895" spans="22:28" ht="13.8">
      <c r="V895" s="661">
        <v>3184</v>
      </c>
      <c r="W895" s="662">
        <f>+SUMIF(SYS_cliente!$F$5:$F$1678,'BCE ABREVIADO'!V895,SYS_cliente!$I$5:$I$1678)</f>
        <v>0</v>
      </c>
      <c r="Z895" s="666"/>
      <c r="AA895" s="661">
        <v>4069</v>
      </c>
      <c r="AB895" s="672">
        <f>+SUMIF(SYS_cliente!$F$5:$F$1678,'BCE ABREVIADO'!AA895,SYS_cliente!$I$5:$I$1678)</f>
        <v>0</v>
      </c>
    </row>
    <row r="896" spans="22:28" ht="13.8">
      <c r="V896" s="661">
        <v>3185</v>
      </c>
      <c r="W896" s="662">
        <f>+SUMIF(SYS_cliente!$F$5:$F$1678,'BCE ABREVIADO'!V896,SYS_cliente!$I$5:$I$1678)</f>
        <v>0</v>
      </c>
      <c r="Z896" s="666"/>
      <c r="AA896" s="723">
        <v>4090</v>
      </c>
      <c r="AB896" s="672">
        <f>+SUMIF(SYS_cliente!$F$5:$F$1678,'BCE ABREVIADO'!AA896,SYS_cliente!$I$5:$I$1678)</f>
        <v>0</v>
      </c>
    </row>
    <row r="897" spans="22:28" ht="13.8">
      <c r="V897" s="661">
        <v>3186</v>
      </c>
      <c r="W897" s="662">
        <f>+SUMIF(SYS_cliente!$F$5:$F$1678,'BCE ABREVIADO'!V897,SYS_cliente!$I$5:$I$1678)</f>
        <v>0</v>
      </c>
      <c r="Z897" s="666"/>
      <c r="AA897" s="723">
        <v>4091</v>
      </c>
      <c r="AB897" s="672">
        <f>+SUMIF(SYS_cliente!$F$5:$F$1678,'BCE ABREVIADO'!AA897,SYS_cliente!$I$5:$I$1678)</f>
        <v>0</v>
      </c>
    </row>
    <row r="898" spans="22:28" ht="13.8">
      <c r="V898" s="661">
        <v>3187</v>
      </c>
      <c r="W898" s="662">
        <f>+SUMIF(SYS_cliente!$F$5:$F$1678,'BCE ABREVIADO'!V898,SYS_cliente!$I$5:$I$1678)</f>
        <v>0</v>
      </c>
      <c r="Z898" s="666"/>
      <c r="AA898" s="723">
        <v>4092</v>
      </c>
      <c r="AB898" s="672">
        <f>+SUMIF(SYS_cliente!$F$5:$F$1678,'BCE ABREVIADO'!AA898,SYS_cliente!$I$5:$I$1678)</f>
        <v>0</v>
      </c>
    </row>
    <row r="899" spans="22:28" ht="13.8">
      <c r="V899" s="661">
        <v>3188</v>
      </c>
      <c r="W899" s="662">
        <f>+SUMIF(SYS_cliente!$F$5:$F$1678,'BCE ABREVIADO'!V899,SYS_cliente!$I$5:$I$1678)</f>
        <v>0</v>
      </c>
      <c r="Z899" s="666"/>
      <c r="AA899" s="723">
        <v>4093</v>
      </c>
      <c r="AB899" s="672">
        <f>+SUMIF(SYS_cliente!$F$5:$F$1678,'BCE ABREVIADO'!AA899,SYS_cliente!$I$5:$I$1678)</f>
        <v>0</v>
      </c>
    </row>
    <row r="900" spans="22:28" ht="13.8">
      <c r="V900" s="661">
        <v>3189</v>
      </c>
      <c r="W900" s="662">
        <f>+SUMIF(SYS_cliente!$F$5:$F$1678,'BCE ABREVIADO'!V900,SYS_cliente!$I$5:$I$1678)</f>
        <v>0</v>
      </c>
      <c r="Z900" s="666"/>
      <c r="AA900" s="723">
        <v>4094</v>
      </c>
      <c r="AB900" s="672">
        <f>+SUMIF(SYS_cliente!$F$5:$F$1678,'BCE ABREVIADO'!AA900,SYS_cliente!$I$5:$I$1678)</f>
        <v>0</v>
      </c>
    </row>
    <row r="901" spans="22:28" ht="13.8">
      <c r="V901" s="661">
        <v>3190</v>
      </c>
      <c r="W901" s="662">
        <f>+SUMIF(SYS_cliente!$F$5:$F$1678,'BCE ABREVIADO'!V901,SYS_cliente!$I$5:$I$1678)</f>
        <v>0</v>
      </c>
      <c r="Z901" s="666"/>
      <c r="AA901" s="723">
        <v>4095</v>
      </c>
      <c r="AB901" s="672">
        <f>+SUMIF(SYS_cliente!$F$5:$F$1678,'BCE ABREVIADO'!AA901,SYS_cliente!$I$5:$I$1678)</f>
        <v>0</v>
      </c>
    </row>
    <row r="902" spans="22:28" ht="13.8">
      <c r="V902" s="661">
        <v>3191</v>
      </c>
      <c r="W902" s="662">
        <f>+SUMIF(SYS_cliente!$F$5:$F$1678,'BCE ABREVIADO'!V902,SYS_cliente!$I$5:$I$1678)</f>
        <v>0</v>
      </c>
      <c r="Z902" s="666"/>
      <c r="AA902" s="723">
        <v>4096</v>
      </c>
      <c r="AB902" s="672">
        <f>+SUMIF(SYS_cliente!$F$5:$F$1678,'BCE ABREVIADO'!AA902,SYS_cliente!$I$5:$I$1678)</f>
        <v>0</v>
      </c>
    </row>
    <row r="903" spans="22:28" ht="13.8">
      <c r="V903" s="661">
        <v>3192</v>
      </c>
      <c r="W903" s="662">
        <f>+SUMIF(SYS_cliente!$F$5:$F$1678,'BCE ABREVIADO'!V903,SYS_cliente!$I$5:$I$1678)</f>
        <v>0</v>
      </c>
      <c r="Z903" s="666"/>
      <c r="AA903" s="723">
        <v>4097</v>
      </c>
      <c r="AB903" s="672">
        <f>+SUMIF(SYS_cliente!$F$5:$F$1678,'BCE ABREVIADO'!AA903,SYS_cliente!$I$5:$I$1678)</f>
        <v>0</v>
      </c>
    </row>
    <row r="904" spans="22:28" ht="13.8">
      <c r="V904" s="661">
        <v>3193</v>
      </c>
      <c r="W904" s="662">
        <f>+SUMIF(SYS_cliente!$F$5:$F$1678,'BCE ABREVIADO'!V904,SYS_cliente!$I$5:$I$1678)</f>
        <v>0</v>
      </c>
      <c r="Z904" s="666"/>
      <c r="AA904" s="723">
        <v>4098</v>
      </c>
      <c r="AB904" s="672">
        <f>+SUMIF(SYS_cliente!$F$5:$F$1678,'BCE ABREVIADO'!AA904,SYS_cliente!$I$5:$I$1678)</f>
        <v>0</v>
      </c>
    </row>
    <row r="905" spans="22:28" ht="13.8">
      <c r="V905" s="661">
        <v>3194</v>
      </c>
      <c r="W905" s="662">
        <f>+SUMIF(SYS_cliente!$F$5:$F$1678,'BCE ABREVIADO'!V905,SYS_cliente!$I$5:$I$1678)</f>
        <v>0</v>
      </c>
      <c r="Z905" s="666"/>
      <c r="AA905" s="723">
        <v>4099</v>
      </c>
      <c r="AB905" s="672">
        <f>+SUMIF(SYS_cliente!$F$5:$F$1678,'BCE ABREVIADO'!AA905,SYS_cliente!$I$5:$I$1678)</f>
        <v>0</v>
      </c>
    </row>
    <row r="906" spans="22:28" ht="13.8">
      <c r="V906" s="661">
        <v>3195</v>
      </c>
      <c r="W906" s="662">
        <f>+SUMIF(SYS_cliente!$F$5:$F$1678,'BCE ABREVIADO'!V906,SYS_cliente!$I$5:$I$1678)</f>
        <v>0</v>
      </c>
      <c r="Z906" s="666" t="s">
        <v>163</v>
      </c>
      <c r="AA906" s="653" t="s">
        <v>100</v>
      </c>
      <c r="AB906" s="667">
        <f>SUM(AB907:AB926)</f>
        <v>0</v>
      </c>
    </row>
    <row r="907" spans="22:28" ht="13.8">
      <c r="V907" s="661">
        <v>3196</v>
      </c>
      <c r="W907" s="662">
        <f>+SUMIF(SYS_cliente!$F$5:$F$1678,'BCE ABREVIADO'!V907,SYS_cliente!$I$5:$I$1678)</f>
        <v>0</v>
      </c>
      <c r="Z907" s="666"/>
      <c r="AA907" s="661">
        <v>4030</v>
      </c>
      <c r="AB907" s="672">
        <f>+SUMIF(SYS_cliente!$F$5:$F$1678,'BCE ABREVIADO'!AA907,SYS_cliente!$I$5:$I$1678)</f>
        <v>0</v>
      </c>
    </row>
    <row r="908" spans="22:28" ht="13.8">
      <c r="V908" s="661">
        <v>3197</v>
      </c>
      <c r="W908" s="662">
        <f>+SUMIF(SYS_cliente!$F$5:$F$1678,'BCE ABREVIADO'!V908,SYS_cliente!$I$5:$I$1678)</f>
        <v>0</v>
      </c>
      <c r="Z908" s="666"/>
      <c r="AA908" s="661">
        <v>4031</v>
      </c>
      <c r="AB908" s="672">
        <f>+SUMIF(SYS_cliente!$F$5:$F$1678,'BCE ABREVIADO'!AA908,SYS_cliente!$I$5:$I$1678)</f>
        <v>0</v>
      </c>
    </row>
    <row r="909" spans="22:28" ht="13.8">
      <c r="V909" s="661">
        <v>3198</v>
      </c>
      <c r="W909" s="662">
        <f>+SUMIF(SYS_cliente!$F$5:$F$1678,'BCE ABREVIADO'!V909,SYS_cliente!$I$5:$I$1678)</f>
        <v>0</v>
      </c>
      <c r="Z909" s="666"/>
      <c r="AA909" s="661">
        <v>4032</v>
      </c>
      <c r="AB909" s="672">
        <f>+SUMIF(SYS_cliente!$F$5:$F$1678,'BCE ABREVIADO'!AA909,SYS_cliente!$I$5:$I$1678)</f>
        <v>0</v>
      </c>
    </row>
    <row r="910" spans="22:28" ht="13.8">
      <c r="V910" s="661">
        <v>3199</v>
      </c>
      <c r="W910" s="662">
        <f>+SUMIF(SYS_cliente!$F$5:$F$1678,'BCE ABREVIADO'!V910,SYS_cliente!$I$5:$I$1678)</f>
        <v>0</v>
      </c>
      <c r="Z910" s="666"/>
      <c r="AA910" s="661">
        <v>4033</v>
      </c>
      <c r="AB910" s="672">
        <f>+SUMIF(SYS_cliente!$F$5:$F$1678,'BCE ABREVIADO'!AA910,SYS_cliente!$I$5:$I$1678)</f>
        <v>0</v>
      </c>
    </row>
    <row r="911" spans="22:28" ht="13.8">
      <c r="V911" s="661">
        <v>3200</v>
      </c>
      <c r="W911" s="662">
        <f>+SUMIF(SYS_cliente!$F$5:$F$1678,'BCE ABREVIADO'!V911,SYS_cliente!$I$5:$I$1678)</f>
        <v>50030.78</v>
      </c>
      <c r="Z911" s="666"/>
      <c r="AA911" s="661">
        <v>4034</v>
      </c>
      <c r="AB911" s="672">
        <f>+SUMIF(SYS_cliente!$F$5:$F$1678,'BCE ABREVIADO'!AA911,SYS_cliente!$I$5:$I$1678)</f>
        <v>0</v>
      </c>
    </row>
    <row r="912" spans="22:28" ht="13.8">
      <c r="V912" s="661">
        <v>3201</v>
      </c>
      <c r="W912" s="662">
        <f>+SUMIF(SYS_cliente!$F$5:$F$1678,'BCE ABREVIADO'!V912,SYS_cliente!$I$5:$I$1678)</f>
        <v>0</v>
      </c>
      <c r="Z912" s="666"/>
      <c r="AA912" s="661">
        <v>4035</v>
      </c>
      <c r="AB912" s="672">
        <f>+SUMIF(SYS_cliente!$F$5:$F$1678,'BCE ABREVIADO'!AA912,SYS_cliente!$I$5:$I$1678)</f>
        <v>0</v>
      </c>
    </row>
    <row r="913" spans="22:28" ht="13.8">
      <c r="V913" s="661">
        <v>3202</v>
      </c>
      <c r="W913" s="662">
        <f>+SUMIF(SYS_cliente!$F$5:$F$1678,'BCE ABREVIADO'!V913,SYS_cliente!$I$5:$I$1678)</f>
        <v>0</v>
      </c>
      <c r="Z913" s="666"/>
      <c r="AA913" s="661">
        <v>4036</v>
      </c>
      <c r="AB913" s="672">
        <f>+SUMIF(SYS_cliente!$F$5:$F$1678,'BCE ABREVIADO'!AA913,SYS_cliente!$I$5:$I$1678)</f>
        <v>0</v>
      </c>
    </row>
    <row r="914" spans="22:28" ht="13.8">
      <c r="V914" s="661">
        <v>3203</v>
      </c>
      <c r="W914" s="662">
        <f>+SUMIF(SYS_cliente!$F$5:$F$1678,'BCE ABREVIADO'!V914,SYS_cliente!$I$5:$I$1678)</f>
        <v>0</v>
      </c>
      <c r="Z914" s="666"/>
      <c r="AA914" s="661">
        <v>4037</v>
      </c>
      <c r="AB914" s="672">
        <f>+SUMIF(SYS_cliente!$F$5:$F$1678,'BCE ABREVIADO'!AA914,SYS_cliente!$I$5:$I$1678)</f>
        <v>0</v>
      </c>
    </row>
    <row r="915" spans="22:28" ht="13.8">
      <c r="V915" s="661">
        <v>3204</v>
      </c>
      <c r="W915" s="662">
        <f>+SUMIF(SYS_cliente!$F$5:$F$1678,'BCE ABREVIADO'!V915,SYS_cliente!$I$5:$I$1678)</f>
        <v>0</v>
      </c>
      <c r="Z915" s="666"/>
      <c r="AA915" s="661">
        <v>4038</v>
      </c>
      <c r="AB915" s="672">
        <f>+SUMIF(SYS_cliente!$F$5:$F$1678,'BCE ABREVIADO'!AA915,SYS_cliente!$I$5:$I$1678)</f>
        <v>0</v>
      </c>
    </row>
    <row r="916" spans="22:28" ht="13.8">
      <c r="V916" s="661">
        <v>3205</v>
      </c>
      <c r="W916" s="662">
        <f>+SUMIF(SYS_cliente!$F$5:$F$1678,'BCE ABREVIADO'!V916,SYS_cliente!$I$5:$I$1678)</f>
        <v>0</v>
      </c>
      <c r="Z916" s="666"/>
      <c r="AA916" s="661">
        <v>4039</v>
      </c>
      <c r="AB916" s="672">
        <f>+SUMIF(SYS_cliente!$F$5:$F$1678,'BCE ABREVIADO'!AA916,SYS_cliente!$I$5:$I$1678)</f>
        <v>0</v>
      </c>
    </row>
    <row r="917" spans="22:28" ht="13.8">
      <c r="V917" s="661">
        <v>3206</v>
      </c>
      <c r="W917" s="662">
        <f>+SUMIF(SYS_cliente!$F$5:$F$1678,'BCE ABREVIADO'!V917,SYS_cliente!$I$5:$I$1678)</f>
        <v>0</v>
      </c>
      <c r="Z917" s="666"/>
      <c r="AA917" s="661">
        <v>4040</v>
      </c>
      <c r="AB917" s="672">
        <f>+SUMIF(SYS_cliente!$F$5:$F$1678,'BCE ABREVIADO'!AA917,SYS_cliente!$I$5:$I$1678)</f>
        <v>0</v>
      </c>
    </row>
    <row r="918" spans="22:28" ht="13.8">
      <c r="V918" s="661">
        <v>3207</v>
      </c>
      <c r="W918" s="662">
        <f>+SUMIF(SYS_cliente!$F$5:$F$1678,'BCE ABREVIADO'!V918,SYS_cliente!$I$5:$I$1678)</f>
        <v>0</v>
      </c>
      <c r="Z918" s="666"/>
      <c r="AA918" s="661">
        <v>4041</v>
      </c>
      <c r="AB918" s="672">
        <f>+SUMIF(SYS_cliente!$F$5:$F$1678,'BCE ABREVIADO'!AA918,SYS_cliente!$I$5:$I$1678)</f>
        <v>0</v>
      </c>
    </row>
    <row r="919" spans="22:28" ht="13.8">
      <c r="V919" s="661">
        <v>3208</v>
      </c>
      <c r="W919" s="662">
        <f>+SUMIF(SYS_cliente!$F$5:$F$1678,'BCE ABREVIADO'!V919,SYS_cliente!$I$5:$I$1678)</f>
        <v>0</v>
      </c>
      <c r="Z919" s="666"/>
      <c r="AA919" s="661">
        <v>4042</v>
      </c>
      <c r="AB919" s="672">
        <f>+SUMIF(SYS_cliente!$F$5:$F$1678,'BCE ABREVIADO'!AA919,SYS_cliente!$I$5:$I$1678)</f>
        <v>0</v>
      </c>
    </row>
    <row r="920" spans="22:28" ht="13.8">
      <c r="V920" s="661">
        <v>3209</v>
      </c>
      <c r="W920" s="662">
        <f>+SUMIF(SYS_cliente!$F$5:$F$1678,'BCE ABREVIADO'!V920,SYS_cliente!$I$5:$I$1678)</f>
        <v>0</v>
      </c>
      <c r="Z920" s="666"/>
      <c r="AA920" s="661">
        <v>4043</v>
      </c>
      <c r="AB920" s="672">
        <f>+SUMIF(SYS_cliente!$F$5:$F$1678,'BCE ABREVIADO'!AA920,SYS_cliente!$I$5:$I$1678)</f>
        <v>0</v>
      </c>
    </row>
    <row r="921" spans="22:28" ht="13.8">
      <c r="V921" s="661">
        <v>3210</v>
      </c>
      <c r="W921" s="662">
        <f>+SUMIF(SYS_cliente!$F$5:$F$1678,'BCE ABREVIADO'!V921,SYS_cliente!$I$5:$I$1678)</f>
        <v>0</v>
      </c>
      <c r="Z921" s="666"/>
      <c r="AA921" s="661">
        <v>4044</v>
      </c>
      <c r="AB921" s="672">
        <f>+SUMIF(SYS_cliente!$F$5:$F$1678,'BCE ABREVIADO'!AA921,SYS_cliente!$I$5:$I$1678)</f>
        <v>0</v>
      </c>
    </row>
    <row r="922" spans="22:28" ht="13.8">
      <c r="V922" s="661">
        <v>3211</v>
      </c>
      <c r="W922" s="662">
        <f>+SUMIF(SYS_cliente!$F$5:$F$1678,'BCE ABREVIADO'!V922,SYS_cliente!$I$5:$I$1678)</f>
        <v>0</v>
      </c>
      <c r="Z922" s="666"/>
      <c r="AA922" s="661">
        <v>4045</v>
      </c>
      <c r="AB922" s="672">
        <f>+SUMIF(SYS_cliente!$F$5:$F$1678,'BCE ABREVIADO'!AA922,SYS_cliente!$I$5:$I$1678)</f>
        <v>0</v>
      </c>
    </row>
    <row r="923" spans="22:28" ht="13.8">
      <c r="V923" s="661">
        <v>3212</v>
      </c>
      <c r="W923" s="662">
        <f>+SUMIF(SYS_cliente!$F$5:$F$1678,'BCE ABREVIADO'!V923,SYS_cliente!$I$5:$I$1678)</f>
        <v>0</v>
      </c>
      <c r="Z923" s="666"/>
      <c r="AA923" s="661">
        <v>4046</v>
      </c>
      <c r="AB923" s="672">
        <f>+SUMIF(SYS_cliente!$F$5:$F$1678,'BCE ABREVIADO'!AA923,SYS_cliente!$I$5:$I$1678)</f>
        <v>0</v>
      </c>
    </row>
    <row r="924" spans="22:28" ht="13.8">
      <c r="V924" s="661">
        <v>3213</v>
      </c>
      <c r="W924" s="662">
        <f>+SUMIF(SYS_cliente!$F$5:$F$1678,'BCE ABREVIADO'!V924,SYS_cliente!$I$5:$I$1678)</f>
        <v>0</v>
      </c>
      <c r="Z924" s="666"/>
      <c r="AA924" s="661">
        <v>4047</v>
      </c>
      <c r="AB924" s="672">
        <f>+SUMIF(SYS_cliente!$F$5:$F$1678,'BCE ABREVIADO'!AA924,SYS_cliente!$I$5:$I$1678)</f>
        <v>0</v>
      </c>
    </row>
    <row r="925" spans="22:28" ht="13.8">
      <c r="V925" s="661">
        <v>3214</v>
      </c>
      <c r="W925" s="662">
        <f>+SUMIF(SYS_cliente!$F$5:$F$1678,'BCE ABREVIADO'!V925,SYS_cliente!$I$5:$I$1678)</f>
        <v>0</v>
      </c>
      <c r="Z925" s="666"/>
      <c r="AA925" s="661">
        <v>4048</v>
      </c>
      <c r="AB925" s="672">
        <f>+SUMIF(SYS_cliente!$F$5:$F$1678,'BCE ABREVIADO'!AA925,SYS_cliente!$I$5:$I$1678)</f>
        <v>0</v>
      </c>
    </row>
    <row r="926" spans="22:28" ht="13.8">
      <c r="V926" s="661">
        <v>3215</v>
      </c>
      <c r="W926" s="662">
        <f>+SUMIF(SYS_cliente!$F$5:$F$1678,'BCE ABREVIADO'!V926,SYS_cliente!$I$5:$I$1678)</f>
        <v>0</v>
      </c>
      <c r="Z926" s="666"/>
      <c r="AA926" s="661">
        <v>4049</v>
      </c>
      <c r="AB926" s="672">
        <f>+SUMIF(SYS_cliente!$F$5:$F$1678,'BCE ABREVIADO'!AA926,SYS_cliente!$I$5:$I$1678)</f>
        <v>0</v>
      </c>
    </row>
    <row r="927" spans="22:28" ht="13.8">
      <c r="V927" s="661">
        <v>3216</v>
      </c>
      <c r="W927" s="662">
        <f>+SUMIF(SYS_cliente!$F$5:$F$1678,'BCE ABREVIADO'!V927,SYS_cliente!$I$5:$I$1678)</f>
        <v>0</v>
      </c>
      <c r="Z927" s="666">
        <v>41</v>
      </c>
      <c r="AA927" s="653" t="s">
        <v>101</v>
      </c>
      <c r="AB927" s="667">
        <f>SUM(AB928:AB1027)</f>
        <v>-277515.75</v>
      </c>
    </row>
    <row r="928" spans="22:28" ht="13.8">
      <c r="V928" s="661">
        <v>3217</v>
      </c>
      <c r="W928" s="662">
        <f>+SUMIF(SYS_cliente!$F$5:$F$1678,'BCE ABREVIADO'!V928,SYS_cliente!$I$5:$I$1678)</f>
        <v>0</v>
      </c>
      <c r="Z928" s="666"/>
      <c r="AA928" s="661">
        <v>4100</v>
      </c>
      <c r="AB928" s="672">
        <f>+SUMIF(SYS_cliente!$F$5:$F$1678,'BCE ABREVIADO'!AA928,SYS_cliente!$I$5:$I$1678)</f>
        <v>-47236.639999999999</v>
      </c>
    </row>
    <row r="929" spans="22:28" ht="13.8">
      <c r="V929" s="661">
        <v>3218</v>
      </c>
      <c r="W929" s="662">
        <f>+SUMIF(SYS_cliente!$F$5:$F$1678,'BCE ABREVIADO'!V929,SYS_cliente!$I$5:$I$1678)</f>
        <v>0</v>
      </c>
      <c r="Z929" s="666"/>
      <c r="AA929" s="661">
        <v>4101</v>
      </c>
      <c r="AB929" s="672">
        <f>+SUMIF(SYS_cliente!$F$5:$F$1678,'BCE ABREVIADO'!AA929,SYS_cliente!$I$5:$I$1678)</f>
        <v>14.5</v>
      </c>
    </row>
    <row r="930" spans="22:28" ht="13.8">
      <c r="V930" s="661">
        <v>3219</v>
      </c>
      <c r="W930" s="662">
        <f>+SUMIF(SYS_cliente!$F$5:$F$1678,'BCE ABREVIADO'!V930,SYS_cliente!$I$5:$I$1678)</f>
        <v>0</v>
      </c>
      <c r="Z930" s="666"/>
      <c r="AA930" s="661">
        <v>4102</v>
      </c>
      <c r="AB930" s="672">
        <f>+SUMIF(SYS_cliente!$F$5:$F$1678,'BCE ABREVIADO'!AA930,SYS_cliente!$I$5:$I$1678)</f>
        <v>0</v>
      </c>
    </row>
    <row r="931" spans="22:28" ht="13.8">
      <c r="V931" s="661">
        <v>3220</v>
      </c>
      <c r="W931" s="662">
        <f>+SUMIF(SYS_cliente!$F$5:$F$1678,'BCE ABREVIADO'!V931,SYS_cliente!$I$5:$I$1678)</f>
        <v>0</v>
      </c>
      <c r="Z931" s="666"/>
      <c r="AA931" s="661">
        <v>4103</v>
      </c>
      <c r="AB931" s="672">
        <f>+SUMIF(SYS_cliente!$F$5:$F$1678,'BCE ABREVIADO'!AA931,SYS_cliente!$I$5:$I$1678)</f>
        <v>0</v>
      </c>
    </row>
    <row r="932" spans="22:28" ht="13.8">
      <c r="V932" s="661">
        <v>3221</v>
      </c>
      <c r="W932" s="662">
        <f>+SUMIF(SYS_cliente!$F$5:$F$1678,'BCE ABREVIADO'!V932,SYS_cliente!$I$5:$I$1678)</f>
        <v>0</v>
      </c>
      <c r="Z932" s="666"/>
      <c r="AA932" s="661">
        <v>4104</v>
      </c>
      <c r="AB932" s="672">
        <f>+SUMIF(SYS_cliente!$F$5:$F$1678,'BCE ABREVIADO'!AA932,SYS_cliente!$I$5:$I$1678)</f>
        <v>0</v>
      </c>
    </row>
    <row r="933" spans="22:28" ht="13.8">
      <c r="V933" s="661">
        <v>3222</v>
      </c>
      <c r="W933" s="662">
        <f>+SUMIF(SYS_cliente!$F$5:$F$1678,'BCE ABREVIADO'!V933,SYS_cliente!$I$5:$I$1678)</f>
        <v>0</v>
      </c>
      <c r="Z933" s="666"/>
      <c r="AA933" s="661">
        <v>4105</v>
      </c>
      <c r="AB933" s="672">
        <f>+SUMIF(SYS_cliente!$F$5:$F$1678,'BCE ABREVIADO'!AA933,SYS_cliente!$I$5:$I$1678)</f>
        <v>0</v>
      </c>
    </row>
    <row r="934" spans="22:28" ht="13.8">
      <c r="V934" s="661">
        <v>3223</v>
      </c>
      <c r="W934" s="662">
        <f>+SUMIF(SYS_cliente!$F$5:$F$1678,'BCE ABREVIADO'!V934,SYS_cliente!$I$5:$I$1678)</f>
        <v>0</v>
      </c>
      <c r="Z934" s="666"/>
      <c r="AA934" s="661">
        <v>4106</v>
      </c>
      <c r="AB934" s="672">
        <f>+SUMIF(SYS_cliente!$F$5:$F$1678,'BCE ABREVIADO'!AA934,SYS_cliente!$I$5:$I$1678)</f>
        <v>0</v>
      </c>
    </row>
    <row r="935" spans="22:28" ht="13.8">
      <c r="V935" s="661">
        <v>3224</v>
      </c>
      <c r="W935" s="662">
        <f>+SUMIF(SYS_cliente!$F$5:$F$1678,'BCE ABREVIADO'!V935,SYS_cliente!$I$5:$I$1678)</f>
        <v>0</v>
      </c>
      <c r="Z935" s="666"/>
      <c r="AA935" s="661">
        <v>4107</v>
      </c>
      <c r="AB935" s="672">
        <f>+SUMIF(SYS_cliente!$F$5:$F$1678,'BCE ABREVIADO'!AA935,SYS_cliente!$I$5:$I$1678)</f>
        <v>0</v>
      </c>
    </row>
    <row r="936" spans="22:28" ht="13.8">
      <c r="V936" s="661">
        <v>3225</v>
      </c>
      <c r="W936" s="662">
        <f>+SUMIF(SYS_cliente!$F$5:$F$1678,'BCE ABREVIADO'!V936,SYS_cliente!$I$5:$I$1678)</f>
        <v>0</v>
      </c>
      <c r="Z936" s="666"/>
      <c r="AA936" s="661">
        <v>4108</v>
      </c>
      <c r="AB936" s="672">
        <f>+SUMIF(SYS_cliente!$F$5:$F$1678,'BCE ABREVIADO'!AA936,SYS_cliente!$I$5:$I$1678)</f>
        <v>0</v>
      </c>
    </row>
    <row r="937" spans="22:28" ht="13.8">
      <c r="V937" s="661">
        <v>3226</v>
      </c>
      <c r="W937" s="662">
        <f>+SUMIF(SYS_cliente!$F$5:$F$1678,'BCE ABREVIADO'!V937,SYS_cliente!$I$5:$I$1678)</f>
        <v>0</v>
      </c>
      <c r="Z937" s="666"/>
      <c r="AA937" s="661">
        <v>4109</v>
      </c>
      <c r="AB937" s="672">
        <f>+SUMIF(SYS_cliente!$F$5:$F$1678,'BCE ABREVIADO'!AA937,SYS_cliente!$I$5:$I$1678)</f>
        <v>0</v>
      </c>
    </row>
    <row r="938" spans="22:28" ht="13.8">
      <c r="V938" s="661">
        <v>3227</v>
      </c>
      <c r="W938" s="662">
        <f>+SUMIF(SYS_cliente!$F$5:$F$1678,'BCE ABREVIADO'!V938,SYS_cliente!$I$5:$I$1678)</f>
        <v>0</v>
      </c>
      <c r="Z938" s="666"/>
      <c r="AA938" s="661">
        <v>4110</v>
      </c>
      <c r="AB938" s="672">
        <f>+SUMIF(SYS_cliente!$F$5:$F$1678,'BCE ABREVIADO'!AA938,SYS_cliente!$I$5:$I$1678)</f>
        <v>-230293.61000000002</v>
      </c>
    </row>
    <row r="939" spans="22:28" ht="13.8">
      <c r="V939" s="661">
        <v>3228</v>
      </c>
      <c r="W939" s="662">
        <f>+SUMIF(SYS_cliente!$F$5:$F$1678,'BCE ABREVIADO'!V939,SYS_cliente!$I$5:$I$1678)</f>
        <v>0</v>
      </c>
      <c r="Z939" s="666"/>
      <c r="AA939" s="661">
        <v>4111</v>
      </c>
      <c r="AB939" s="672">
        <f>+SUMIF(SYS_cliente!$F$5:$F$1678,'BCE ABREVIADO'!AA939,SYS_cliente!$I$5:$I$1678)</f>
        <v>0</v>
      </c>
    </row>
    <row r="940" spans="22:28" ht="13.8">
      <c r="V940" s="661">
        <v>3229</v>
      </c>
      <c r="W940" s="662">
        <f>+SUMIF(SYS_cliente!$F$5:$F$1678,'BCE ABREVIADO'!V940,SYS_cliente!$I$5:$I$1678)</f>
        <v>0</v>
      </c>
      <c r="Z940" s="666"/>
      <c r="AA940" s="661">
        <v>4112</v>
      </c>
      <c r="AB940" s="672">
        <f>+SUMIF(SYS_cliente!$F$5:$F$1678,'BCE ABREVIADO'!AA940,SYS_cliente!$I$5:$I$1678)</f>
        <v>0</v>
      </c>
    </row>
    <row r="941" spans="22:28" ht="13.8">
      <c r="V941" s="661">
        <v>3230</v>
      </c>
      <c r="W941" s="662">
        <f>+SUMIF(SYS_cliente!$F$5:$F$1678,'BCE ABREVIADO'!V941,SYS_cliente!$I$5:$I$1678)</f>
        <v>0</v>
      </c>
      <c r="Z941" s="666"/>
      <c r="AA941" s="661">
        <v>4113</v>
      </c>
      <c r="AB941" s="672">
        <f>+SUMIF(SYS_cliente!$F$5:$F$1678,'BCE ABREVIADO'!AA941,SYS_cliente!$I$5:$I$1678)</f>
        <v>0</v>
      </c>
    </row>
    <row r="942" spans="22:28" ht="13.8">
      <c r="V942" s="661">
        <v>3231</v>
      </c>
      <c r="W942" s="662">
        <f>+SUMIF(SYS_cliente!$F$5:$F$1678,'BCE ABREVIADO'!V942,SYS_cliente!$I$5:$I$1678)</f>
        <v>0</v>
      </c>
      <c r="Z942" s="666"/>
      <c r="AA942" s="661">
        <v>4114</v>
      </c>
      <c r="AB942" s="672">
        <f>+SUMIF(SYS_cliente!$F$5:$F$1678,'BCE ABREVIADO'!AA942,SYS_cliente!$I$5:$I$1678)</f>
        <v>0</v>
      </c>
    </row>
    <row r="943" spans="22:28" ht="13.8">
      <c r="V943" s="661">
        <v>3232</v>
      </c>
      <c r="W943" s="662">
        <f>+SUMIF(SYS_cliente!$F$5:$F$1678,'BCE ABREVIADO'!V943,SYS_cliente!$I$5:$I$1678)</f>
        <v>0</v>
      </c>
      <c r="Z943" s="666"/>
      <c r="AA943" s="661">
        <v>4115</v>
      </c>
      <c r="AB943" s="672">
        <f>+SUMIF(SYS_cliente!$F$5:$F$1678,'BCE ABREVIADO'!AA943,SYS_cliente!$I$5:$I$1678)</f>
        <v>0</v>
      </c>
    </row>
    <row r="944" spans="22:28" ht="13.8">
      <c r="V944" s="661">
        <v>3233</v>
      </c>
      <c r="W944" s="662">
        <f>+SUMIF(SYS_cliente!$F$5:$F$1678,'BCE ABREVIADO'!V944,SYS_cliente!$I$5:$I$1678)</f>
        <v>0</v>
      </c>
      <c r="Z944" s="666"/>
      <c r="AA944" s="661">
        <v>4116</v>
      </c>
      <c r="AB944" s="672">
        <f>+SUMIF(SYS_cliente!$F$5:$F$1678,'BCE ABREVIADO'!AA944,SYS_cliente!$I$5:$I$1678)</f>
        <v>0</v>
      </c>
    </row>
    <row r="945" spans="22:28" ht="13.8">
      <c r="V945" s="661">
        <v>3234</v>
      </c>
      <c r="W945" s="662">
        <f>+SUMIF(SYS_cliente!$F$5:$F$1678,'BCE ABREVIADO'!V945,SYS_cliente!$I$5:$I$1678)</f>
        <v>0</v>
      </c>
      <c r="Z945" s="666"/>
      <c r="AA945" s="661">
        <v>4117</v>
      </c>
      <c r="AB945" s="672">
        <f>+SUMIF(SYS_cliente!$F$5:$F$1678,'BCE ABREVIADO'!AA945,SYS_cliente!$I$5:$I$1678)</f>
        <v>0</v>
      </c>
    </row>
    <row r="946" spans="22:28" ht="13.8">
      <c r="V946" s="661">
        <v>3235</v>
      </c>
      <c r="W946" s="662">
        <f>+SUMIF(SYS_cliente!$F$5:$F$1678,'BCE ABREVIADO'!V946,SYS_cliente!$I$5:$I$1678)</f>
        <v>0</v>
      </c>
      <c r="Z946" s="666"/>
      <c r="AA946" s="661">
        <v>4118</v>
      </c>
      <c r="AB946" s="672">
        <f>+SUMIF(SYS_cliente!$F$5:$F$1678,'BCE ABREVIADO'!AA946,SYS_cliente!$I$5:$I$1678)</f>
        <v>0</v>
      </c>
    </row>
    <row r="947" spans="22:28" ht="13.8">
      <c r="V947" s="661">
        <v>3236</v>
      </c>
      <c r="W947" s="662">
        <f>+SUMIF(SYS_cliente!$F$5:$F$1678,'BCE ABREVIADO'!V947,SYS_cliente!$I$5:$I$1678)</f>
        <v>0</v>
      </c>
      <c r="Z947" s="666"/>
      <c r="AA947" s="661">
        <v>4119</v>
      </c>
      <c r="AB947" s="672">
        <f>+SUMIF(SYS_cliente!$F$5:$F$1678,'BCE ABREVIADO'!AA947,SYS_cliente!$I$5:$I$1678)</f>
        <v>0</v>
      </c>
    </row>
    <row r="948" spans="22:28" ht="13.8">
      <c r="V948" s="661">
        <v>3237</v>
      </c>
      <c r="W948" s="662">
        <f>+SUMIF(SYS_cliente!$F$5:$F$1678,'BCE ABREVIADO'!V948,SYS_cliente!$I$5:$I$1678)</f>
        <v>0</v>
      </c>
      <c r="Z948" s="666"/>
      <c r="AA948" s="661">
        <v>4120</v>
      </c>
      <c r="AB948" s="672">
        <f>+SUMIF(SYS_cliente!$F$5:$F$1678,'BCE ABREVIADO'!AA948,SYS_cliente!$I$5:$I$1678)</f>
        <v>0</v>
      </c>
    </row>
    <row r="949" spans="22:28" ht="13.8">
      <c r="V949" s="661">
        <v>3238</v>
      </c>
      <c r="W949" s="662">
        <f>+SUMIF(SYS_cliente!$F$5:$F$1678,'BCE ABREVIADO'!V949,SYS_cliente!$I$5:$I$1678)</f>
        <v>0</v>
      </c>
      <c r="Z949" s="666"/>
      <c r="AA949" s="661">
        <v>4121</v>
      </c>
      <c r="AB949" s="672">
        <f>+SUMIF(SYS_cliente!$F$5:$F$1678,'BCE ABREVIADO'!AA949,SYS_cliente!$I$5:$I$1678)</f>
        <v>0</v>
      </c>
    </row>
    <row r="950" spans="22:28" ht="13.8">
      <c r="V950" s="661">
        <v>3239</v>
      </c>
      <c r="W950" s="662">
        <f>+SUMIF(SYS_cliente!$F$5:$F$1678,'BCE ABREVIADO'!V950,SYS_cliente!$I$5:$I$1678)</f>
        <v>0</v>
      </c>
      <c r="Z950" s="666"/>
      <c r="AA950" s="661">
        <v>4122</v>
      </c>
      <c r="AB950" s="672">
        <f>+SUMIF(SYS_cliente!$F$5:$F$1678,'BCE ABREVIADO'!AA950,SYS_cliente!$I$5:$I$1678)</f>
        <v>0</v>
      </c>
    </row>
    <row r="951" spans="22:28" ht="13.8">
      <c r="V951" s="661">
        <v>3240</v>
      </c>
      <c r="W951" s="662">
        <f>+SUMIF(SYS_cliente!$F$5:$F$1678,'BCE ABREVIADO'!V951,SYS_cliente!$I$5:$I$1678)</f>
        <v>0</v>
      </c>
      <c r="Z951" s="666"/>
      <c r="AA951" s="661">
        <v>4123</v>
      </c>
      <c r="AB951" s="672">
        <f>+SUMIF(SYS_cliente!$F$5:$F$1678,'BCE ABREVIADO'!AA951,SYS_cliente!$I$5:$I$1678)</f>
        <v>0</v>
      </c>
    </row>
    <row r="952" spans="22:28" ht="13.8">
      <c r="V952" s="661">
        <v>3241</v>
      </c>
      <c r="W952" s="662">
        <f>+SUMIF(SYS_cliente!$F$5:$F$1678,'BCE ABREVIADO'!V952,SYS_cliente!$I$5:$I$1678)</f>
        <v>0</v>
      </c>
      <c r="Z952" s="666"/>
      <c r="AA952" s="661">
        <v>4124</v>
      </c>
      <c r="AB952" s="672">
        <f>+SUMIF(SYS_cliente!$F$5:$F$1678,'BCE ABREVIADO'!AA952,SYS_cliente!$I$5:$I$1678)</f>
        <v>0</v>
      </c>
    </row>
    <row r="953" spans="22:28" ht="13.8">
      <c r="V953" s="661">
        <v>3242</v>
      </c>
      <c r="W953" s="662">
        <f>+SUMIF(SYS_cliente!$F$5:$F$1678,'BCE ABREVIADO'!V953,SYS_cliente!$I$5:$I$1678)</f>
        <v>0</v>
      </c>
      <c r="Z953" s="666"/>
      <c r="AA953" s="661">
        <v>4125</v>
      </c>
      <c r="AB953" s="672">
        <f>+SUMIF(SYS_cliente!$F$5:$F$1678,'BCE ABREVIADO'!AA953,SYS_cliente!$I$5:$I$1678)</f>
        <v>0</v>
      </c>
    </row>
    <row r="954" spans="22:28" ht="13.8">
      <c r="V954" s="661">
        <v>3243</v>
      </c>
      <c r="W954" s="662">
        <f>+SUMIF(SYS_cliente!$F$5:$F$1678,'BCE ABREVIADO'!V954,SYS_cliente!$I$5:$I$1678)</f>
        <v>0</v>
      </c>
      <c r="Z954" s="666"/>
      <c r="AA954" s="661">
        <v>4126</v>
      </c>
      <c r="AB954" s="672">
        <f>+SUMIF(SYS_cliente!$F$5:$F$1678,'BCE ABREVIADO'!AA954,SYS_cliente!$I$5:$I$1678)</f>
        <v>0</v>
      </c>
    </row>
    <row r="955" spans="22:28" ht="13.8">
      <c r="V955" s="661">
        <v>3244</v>
      </c>
      <c r="W955" s="662">
        <f>+SUMIF(SYS_cliente!$F$5:$F$1678,'BCE ABREVIADO'!V955,SYS_cliente!$I$5:$I$1678)</f>
        <v>0</v>
      </c>
      <c r="Z955" s="666"/>
      <c r="AA955" s="661">
        <v>4127</v>
      </c>
      <c r="AB955" s="672">
        <f>+SUMIF(SYS_cliente!$F$5:$F$1678,'BCE ABREVIADO'!AA955,SYS_cliente!$I$5:$I$1678)</f>
        <v>0</v>
      </c>
    </row>
    <row r="956" spans="22:28" ht="13.8">
      <c r="V956" s="661">
        <v>3245</v>
      </c>
      <c r="W956" s="662">
        <f>+SUMIF(SYS_cliente!$F$5:$F$1678,'BCE ABREVIADO'!V956,SYS_cliente!$I$5:$I$1678)</f>
        <v>0</v>
      </c>
      <c r="Z956" s="666"/>
      <c r="AA956" s="661">
        <v>4128</v>
      </c>
      <c r="AB956" s="672">
        <f>+SUMIF(SYS_cliente!$F$5:$F$1678,'BCE ABREVIADO'!AA956,SYS_cliente!$I$5:$I$1678)</f>
        <v>0</v>
      </c>
    </row>
    <row r="957" spans="22:28" ht="13.8">
      <c r="V957" s="661">
        <v>3246</v>
      </c>
      <c r="W957" s="662">
        <f>+SUMIF(SYS_cliente!$F$5:$F$1678,'BCE ABREVIADO'!V957,SYS_cliente!$I$5:$I$1678)</f>
        <v>0</v>
      </c>
      <c r="Z957" s="666"/>
      <c r="AA957" s="661">
        <v>4129</v>
      </c>
      <c r="AB957" s="672">
        <f>+SUMIF(SYS_cliente!$F$5:$F$1678,'BCE ABREVIADO'!AA957,SYS_cliente!$I$5:$I$1678)</f>
        <v>0</v>
      </c>
    </row>
    <row r="958" spans="22:28" ht="13.8">
      <c r="V958" s="661">
        <v>3247</v>
      </c>
      <c r="W958" s="662">
        <f>+SUMIF(SYS_cliente!$F$5:$F$1678,'BCE ABREVIADO'!V958,SYS_cliente!$I$5:$I$1678)</f>
        <v>0</v>
      </c>
      <c r="Z958" s="666"/>
      <c r="AA958" s="661">
        <v>4130</v>
      </c>
      <c r="AB958" s="672">
        <f>+SUMIF(SYS_cliente!$F$5:$F$1678,'BCE ABREVIADO'!AA958,SYS_cliente!$I$5:$I$1678)</f>
        <v>0</v>
      </c>
    </row>
    <row r="959" spans="22:28" ht="13.8">
      <c r="V959" s="661">
        <v>3248</v>
      </c>
      <c r="W959" s="662">
        <f>+SUMIF(SYS_cliente!$F$5:$F$1678,'BCE ABREVIADO'!V959,SYS_cliente!$I$5:$I$1678)</f>
        <v>0</v>
      </c>
      <c r="Z959" s="666"/>
      <c r="AA959" s="661">
        <v>4131</v>
      </c>
      <c r="AB959" s="672">
        <f>+SUMIF(SYS_cliente!$F$5:$F$1678,'BCE ABREVIADO'!AA959,SYS_cliente!$I$5:$I$1678)</f>
        <v>0</v>
      </c>
    </row>
    <row r="960" spans="22:28" ht="13.8">
      <c r="V960" s="661">
        <v>3249</v>
      </c>
      <c r="W960" s="662">
        <f>+SUMIF(SYS_cliente!$F$5:$F$1678,'BCE ABREVIADO'!V960,SYS_cliente!$I$5:$I$1678)</f>
        <v>0</v>
      </c>
      <c r="Z960" s="666"/>
      <c r="AA960" s="661">
        <v>4132</v>
      </c>
      <c r="AB960" s="672">
        <f>+SUMIF(SYS_cliente!$F$5:$F$1678,'BCE ABREVIADO'!AA960,SYS_cliente!$I$5:$I$1678)</f>
        <v>0</v>
      </c>
    </row>
    <row r="961" spans="22:28" ht="13.8">
      <c r="V961" s="661">
        <v>3250</v>
      </c>
      <c r="W961" s="662">
        <f>+SUMIF(SYS_cliente!$F$5:$F$1678,'BCE ABREVIADO'!V961,SYS_cliente!$I$5:$I$1678)</f>
        <v>0</v>
      </c>
      <c r="Z961" s="666"/>
      <c r="AA961" s="661">
        <v>4133</v>
      </c>
      <c r="AB961" s="672">
        <f>+SUMIF(SYS_cliente!$F$5:$F$1678,'BCE ABREVIADO'!AA961,SYS_cliente!$I$5:$I$1678)</f>
        <v>0</v>
      </c>
    </row>
    <row r="962" spans="22:28" ht="13.8">
      <c r="V962" s="661">
        <v>3251</v>
      </c>
      <c r="W962" s="662">
        <f>+SUMIF(SYS_cliente!$F$5:$F$1678,'BCE ABREVIADO'!V962,SYS_cliente!$I$5:$I$1678)</f>
        <v>0</v>
      </c>
      <c r="Z962" s="666"/>
      <c r="AA962" s="661">
        <v>4134</v>
      </c>
      <c r="AB962" s="672">
        <f>+SUMIF(SYS_cliente!$F$5:$F$1678,'BCE ABREVIADO'!AA962,SYS_cliente!$I$5:$I$1678)</f>
        <v>0</v>
      </c>
    </row>
    <row r="963" spans="22:28" ht="13.8">
      <c r="V963" s="661">
        <v>3252</v>
      </c>
      <c r="W963" s="662">
        <f>+SUMIF(SYS_cliente!$F$5:$F$1678,'BCE ABREVIADO'!V963,SYS_cliente!$I$5:$I$1678)</f>
        <v>0</v>
      </c>
      <c r="Z963" s="666"/>
      <c r="AA963" s="661">
        <v>4135</v>
      </c>
      <c r="AB963" s="672">
        <f>+SUMIF(SYS_cliente!$F$5:$F$1678,'BCE ABREVIADO'!AA963,SYS_cliente!$I$5:$I$1678)</f>
        <v>0</v>
      </c>
    </row>
    <row r="964" spans="22:28" ht="13.8">
      <c r="V964" s="661">
        <v>3253</v>
      </c>
      <c r="W964" s="662">
        <f>+SUMIF(SYS_cliente!$F$5:$F$1678,'BCE ABREVIADO'!V964,SYS_cliente!$I$5:$I$1678)</f>
        <v>0</v>
      </c>
      <c r="Z964" s="666"/>
      <c r="AA964" s="661">
        <v>4136</v>
      </c>
      <c r="AB964" s="672">
        <f>+SUMIF(SYS_cliente!$F$5:$F$1678,'BCE ABREVIADO'!AA964,SYS_cliente!$I$5:$I$1678)</f>
        <v>0</v>
      </c>
    </row>
    <row r="965" spans="22:28" ht="13.8">
      <c r="V965" s="661">
        <v>3254</v>
      </c>
      <c r="W965" s="662">
        <f>+SUMIF(SYS_cliente!$F$5:$F$1678,'BCE ABREVIADO'!V965,SYS_cliente!$I$5:$I$1678)</f>
        <v>0</v>
      </c>
      <c r="Z965" s="666"/>
      <c r="AA965" s="661">
        <v>4137</v>
      </c>
      <c r="AB965" s="672">
        <f>+SUMIF(SYS_cliente!$F$5:$F$1678,'BCE ABREVIADO'!AA965,SYS_cliente!$I$5:$I$1678)</f>
        <v>0</v>
      </c>
    </row>
    <row r="966" spans="22:28" ht="13.8">
      <c r="V966" s="661">
        <v>3255</v>
      </c>
      <c r="W966" s="662">
        <f>+SUMIF(SYS_cliente!$F$5:$F$1678,'BCE ABREVIADO'!V966,SYS_cliente!$I$5:$I$1678)</f>
        <v>0</v>
      </c>
      <c r="Z966" s="666"/>
      <c r="AA966" s="661">
        <v>4138</v>
      </c>
      <c r="AB966" s="672">
        <f>+SUMIF(SYS_cliente!$F$5:$F$1678,'BCE ABREVIADO'!AA966,SYS_cliente!$I$5:$I$1678)</f>
        <v>0</v>
      </c>
    </row>
    <row r="967" spans="22:28" ht="13.8">
      <c r="V967" s="661">
        <v>3256</v>
      </c>
      <c r="W967" s="662">
        <f>+SUMIF(SYS_cliente!$F$5:$F$1678,'BCE ABREVIADO'!V967,SYS_cliente!$I$5:$I$1678)</f>
        <v>0</v>
      </c>
      <c r="Z967" s="666"/>
      <c r="AA967" s="661">
        <v>4139</v>
      </c>
      <c r="AB967" s="672">
        <f>+SUMIF(SYS_cliente!$F$5:$F$1678,'BCE ABREVIADO'!AA967,SYS_cliente!$I$5:$I$1678)</f>
        <v>0</v>
      </c>
    </row>
    <row r="968" spans="22:28" ht="13.8">
      <c r="V968" s="661">
        <v>3257</v>
      </c>
      <c r="W968" s="662">
        <f>+SUMIF(SYS_cliente!$F$5:$F$1678,'BCE ABREVIADO'!V968,SYS_cliente!$I$5:$I$1678)</f>
        <v>0</v>
      </c>
      <c r="Z968" s="666"/>
      <c r="AA968" s="661">
        <v>4140</v>
      </c>
      <c r="AB968" s="672">
        <f>+SUMIF(SYS_cliente!$F$5:$F$1678,'BCE ABREVIADO'!AA968,SYS_cliente!$I$5:$I$1678)</f>
        <v>0</v>
      </c>
    </row>
    <row r="969" spans="22:28" ht="13.8">
      <c r="V969" s="661">
        <v>3258</v>
      </c>
      <c r="W969" s="662">
        <f>+SUMIF(SYS_cliente!$F$5:$F$1678,'BCE ABREVIADO'!V969,SYS_cliente!$I$5:$I$1678)</f>
        <v>0</v>
      </c>
      <c r="Z969" s="666"/>
      <c r="AA969" s="661">
        <v>4141</v>
      </c>
      <c r="AB969" s="672">
        <f>+SUMIF(SYS_cliente!$F$5:$F$1678,'BCE ABREVIADO'!AA969,SYS_cliente!$I$5:$I$1678)</f>
        <v>0</v>
      </c>
    </row>
    <row r="970" spans="22:28" ht="13.8">
      <c r="V970" s="661">
        <v>3259</v>
      </c>
      <c r="W970" s="662">
        <f>+SUMIF(SYS_cliente!$F$5:$F$1678,'BCE ABREVIADO'!V970,SYS_cliente!$I$5:$I$1678)</f>
        <v>0</v>
      </c>
      <c r="Z970" s="666"/>
      <c r="AA970" s="661">
        <v>4142</v>
      </c>
      <c r="AB970" s="672">
        <f>+SUMIF(SYS_cliente!$F$5:$F$1678,'BCE ABREVIADO'!AA970,SYS_cliente!$I$5:$I$1678)</f>
        <v>0</v>
      </c>
    </row>
    <row r="971" spans="22:28" ht="13.8">
      <c r="V971" s="661">
        <v>3260</v>
      </c>
      <c r="W971" s="662">
        <f>+SUMIF(SYS_cliente!$F$5:$F$1678,'BCE ABREVIADO'!V971,SYS_cliente!$I$5:$I$1678)</f>
        <v>0</v>
      </c>
      <c r="Z971" s="666"/>
      <c r="AA971" s="661">
        <v>4143</v>
      </c>
      <c r="AB971" s="672">
        <f>+SUMIF(SYS_cliente!$F$5:$F$1678,'BCE ABREVIADO'!AA971,SYS_cliente!$I$5:$I$1678)</f>
        <v>0</v>
      </c>
    </row>
    <row r="972" spans="22:28" ht="13.8">
      <c r="V972" s="661">
        <v>3261</v>
      </c>
      <c r="W972" s="662">
        <f>+SUMIF(SYS_cliente!$F$5:$F$1678,'BCE ABREVIADO'!V972,SYS_cliente!$I$5:$I$1678)</f>
        <v>0</v>
      </c>
      <c r="Z972" s="666"/>
      <c r="AA972" s="661">
        <v>4144</v>
      </c>
      <c r="AB972" s="672">
        <f>+SUMIF(SYS_cliente!$F$5:$F$1678,'BCE ABREVIADO'!AA972,SYS_cliente!$I$5:$I$1678)</f>
        <v>0</v>
      </c>
    </row>
    <row r="973" spans="22:28" ht="13.8">
      <c r="V973" s="661">
        <v>3262</v>
      </c>
      <c r="W973" s="662">
        <f>+SUMIF(SYS_cliente!$F$5:$F$1678,'BCE ABREVIADO'!V973,SYS_cliente!$I$5:$I$1678)</f>
        <v>0</v>
      </c>
      <c r="Z973" s="666"/>
      <c r="AA973" s="661">
        <v>4145</v>
      </c>
      <c r="AB973" s="672">
        <f>+SUMIF(SYS_cliente!$F$5:$F$1678,'BCE ABREVIADO'!AA973,SYS_cliente!$I$5:$I$1678)</f>
        <v>0</v>
      </c>
    </row>
    <row r="974" spans="22:28" ht="13.8">
      <c r="V974" s="661">
        <v>3263</v>
      </c>
      <c r="W974" s="662">
        <f>+SUMIF(SYS_cliente!$F$5:$F$1678,'BCE ABREVIADO'!V974,SYS_cliente!$I$5:$I$1678)</f>
        <v>0</v>
      </c>
      <c r="Z974" s="666"/>
      <c r="AA974" s="661">
        <v>4146</v>
      </c>
      <c r="AB974" s="672">
        <f>+SUMIF(SYS_cliente!$F$5:$F$1678,'BCE ABREVIADO'!AA974,SYS_cliente!$I$5:$I$1678)</f>
        <v>0</v>
      </c>
    </row>
    <row r="975" spans="22:28" ht="13.8">
      <c r="V975" s="661">
        <v>3264</v>
      </c>
      <c r="W975" s="662">
        <f>+SUMIF(SYS_cliente!$F$5:$F$1678,'BCE ABREVIADO'!V975,SYS_cliente!$I$5:$I$1678)</f>
        <v>0</v>
      </c>
      <c r="Z975" s="666"/>
      <c r="AA975" s="661">
        <v>4147</v>
      </c>
      <c r="AB975" s="672">
        <f>+SUMIF(SYS_cliente!$F$5:$F$1678,'BCE ABREVIADO'!AA975,SYS_cliente!$I$5:$I$1678)</f>
        <v>0</v>
      </c>
    </row>
    <row r="976" spans="22:28" ht="13.8">
      <c r="V976" s="661">
        <v>3265</v>
      </c>
      <c r="W976" s="662">
        <f>+SUMIF(SYS_cliente!$F$5:$F$1678,'BCE ABREVIADO'!V976,SYS_cliente!$I$5:$I$1678)</f>
        <v>0</v>
      </c>
      <c r="Z976" s="666"/>
      <c r="AA976" s="661">
        <v>4148</v>
      </c>
      <c r="AB976" s="672">
        <f>+SUMIF(SYS_cliente!$F$5:$F$1678,'BCE ABREVIADO'!AA976,SYS_cliente!$I$5:$I$1678)</f>
        <v>0</v>
      </c>
    </row>
    <row r="977" spans="22:28" ht="13.8">
      <c r="V977" s="661">
        <v>3266</v>
      </c>
      <c r="W977" s="662">
        <f>+SUMIF(SYS_cliente!$F$5:$F$1678,'BCE ABREVIADO'!V977,SYS_cliente!$I$5:$I$1678)</f>
        <v>0</v>
      </c>
      <c r="Z977" s="666"/>
      <c r="AA977" s="661">
        <v>4149</v>
      </c>
      <c r="AB977" s="672">
        <f>+SUMIF(SYS_cliente!$F$5:$F$1678,'BCE ABREVIADO'!AA977,SYS_cliente!$I$5:$I$1678)</f>
        <v>0</v>
      </c>
    </row>
    <row r="978" spans="22:28" ht="13.8">
      <c r="V978" s="661">
        <v>3267</v>
      </c>
      <c r="W978" s="662">
        <f>+SUMIF(SYS_cliente!$F$5:$F$1678,'BCE ABREVIADO'!V978,SYS_cliente!$I$5:$I$1678)</f>
        <v>0</v>
      </c>
      <c r="Z978" s="666"/>
      <c r="AA978" s="661">
        <v>4150</v>
      </c>
      <c r="AB978" s="672">
        <f>+SUMIF(SYS_cliente!$F$5:$F$1678,'BCE ABREVIADO'!AA978,SYS_cliente!$I$5:$I$1678)</f>
        <v>0</v>
      </c>
    </row>
    <row r="979" spans="22:28" ht="13.8">
      <c r="V979" s="661">
        <v>3268</v>
      </c>
      <c r="W979" s="662">
        <f>+SUMIF(SYS_cliente!$F$5:$F$1678,'BCE ABREVIADO'!V979,SYS_cliente!$I$5:$I$1678)</f>
        <v>0</v>
      </c>
      <c r="Z979" s="666"/>
      <c r="AA979" s="661">
        <v>4151</v>
      </c>
      <c r="AB979" s="672">
        <f>+SUMIF(SYS_cliente!$F$5:$F$1678,'BCE ABREVIADO'!AA979,SYS_cliente!$I$5:$I$1678)</f>
        <v>0</v>
      </c>
    </row>
    <row r="980" spans="22:28" ht="13.8">
      <c r="V980" s="661">
        <v>3269</v>
      </c>
      <c r="W980" s="662">
        <f>+SUMIF(SYS_cliente!$F$5:$F$1678,'BCE ABREVIADO'!V980,SYS_cliente!$I$5:$I$1678)</f>
        <v>0</v>
      </c>
      <c r="Z980" s="666"/>
      <c r="AA980" s="661">
        <v>4152</v>
      </c>
      <c r="AB980" s="672">
        <f>+SUMIF(SYS_cliente!$F$5:$F$1678,'BCE ABREVIADO'!AA980,SYS_cliente!$I$5:$I$1678)</f>
        <v>0</v>
      </c>
    </row>
    <row r="981" spans="22:28" ht="13.8">
      <c r="V981" s="661">
        <v>3270</v>
      </c>
      <c r="W981" s="662">
        <f>+SUMIF(SYS_cliente!$F$5:$F$1678,'BCE ABREVIADO'!V981,SYS_cliente!$I$5:$I$1678)</f>
        <v>204448.76</v>
      </c>
      <c r="Z981" s="666"/>
      <c r="AA981" s="661">
        <v>4153</v>
      </c>
      <c r="AB981" s="672">
        <f>+SUMIF(SYS_cliente!$F$5:$F$1678,'BCE ABREVIADO'!AA981,SYS_cliente!$I$5:$I$1678)</f>
        <v>0</v>
      </c>
    </row>
    <row r="982" spans="22:28" ht="13.8">
      <c r="V982" s="661">
        <v>3271</v>
      </c>
      <c r="W982" s="662">
        <f>+SUMIF(SYS_cliente!$F$5:$F$1678,'BCE ABREVIADO'!V982,SYS_cliente!$I$5:$I$1678)</f>
        <v>0</v>
      </c>
      <c r="Z982" s="666"/>
      <c r="AA982" s="661">
        <v>4154</v>
      </c>
      <c r="AB982" s="672">
        <f>+SUMIF(SYS_cliente!$F$5:$F$1678,'BCE ABREVIADO'!AA982,SYS_cliente!$I$5:$I$1678)</f>
        <v>0</v>
      </c>
    </row>
    <row r="983" spans="22:28" ht="13.8">
      <c r="V983" s="661">
        <v>3272</v>
      </c>
      <c r="W983" s="662">
        <f>+SUMIF(SYS_cliente!$F$5:$F$1678,'BCE ABREVIADO'!V983,SYS_cliente!$I$5:$I$1678)</f>
        <v>0</v>
      </c>
      <c r="Z983" s="666"/>
      <c r="AA983" s="661">
        <v>4155</v>
      </c>
      <c r="AB983" s="672">
        <f>+SUMIF(SYS_cliente!$F$5:$F$1678,'BCE ABREVIADO'!AA983,SYS_cliente!$I$5:$I$1678)</f>
        <v>0</v>
      </c>
    </row>
    <row r="984" spans="22:28" ht="13.8">
      <c r="V984" s="661">
        <v>3273</v>
      </c>
      <c r="W984" s="662">
        <f>+SUMIF(SYS_cliente!$F$5:$F$1678,'BCE ABREVIADO'!V984,SYS_cliente!$I$5:$I$1678)</f>
        <v>0</v>
      </c>
      <c r="Z984" s="666"/>
      <c r="AA984" s="661">
        <v>4156</v>
      </c>
      <c r="AB984" s="672">
        <f>+SUMIF(SYS_cliente!$F$5:$F$1678,'BCE ABREVIADO'!AA984,SYS_cliente!$I$5:$I$1678)</f>
        <v>0</v>
      </c>
    </row>
    <row r="985" spans="22:28" ht="13.8">
      <c r="V985" s="661">
        <v>3274</v>
      </c>
      <c r="W985" s="662">
        <f>+SUMIF(SYS_cliente!$F$5:$F$1678,'BCE ABREVIADO'!V985,SYS_cliente!$I$5:$I$1678)</f>
        <v>0</v>
      </c>
      <c r="Z985" s="666"/>
      <c r="AA985" s="661">
        <v>4157</v>
      </c>
      <c r="AB985" s="672">
        <f>+SUMIF(SYS_cliente!$F$5:$F$1678,'BCE ABREVIADO'!AA985,SYS_cliente!$I$5:$I$1678)</f>
        <v>0</v>
      </c>
    </row>
    <row r="986" spans="22:28" ht="13.8">
      <c r="V986" s="661">
        <v>3275</v>
      </c>
      <c r="W986" s="662">
        <f>+SUMIF(SYS_cliente!$F$5:$F$1678,'BCE ABREVIADO'!V986,SYS_cliente!$I$5:$I$1678)</f>
        <v>0</v>
      </c>
      <c r="Z986" s="666"/>
      <c r="AA986" s="661">
        <v>4158</v>
      </c>
      <c r="AB986" s="672">
        <f>+SUMIF(SYS_cliente!$F$5:$F$1678,'BCE ABREVIADO'!AA986,SYS_cliente!$I$5:$I$1678)</f>
        <v>0</v>
      </c>
    </row>
    <row r="987" spans="22:28" ht="13.8">
      <c r="V987" s="661">
        <v>3276</v>
      </c>
      <c r="W987" s="662">
        <f>+SUMIF(SYS_cliente!$F$5:$F$1678,'BCE ABREVIADO'!V987,SYS_cliente!$I$5:$I$1678)</f>
        <v>0</v>
      </c>
      <c r="Z987" s="666"/>
      <c r="AA987" s="661">
        <v>4159</v>
      </c>
      <c r="AB987" s="672">
        <f>+SUMIF(SYS_cliente!$F$5:$F$1678,'BCE ABREVIADO'!AA987,SYS_cliente!$I$5:$I$1678)</f>
        <v>0</v>
      </c>
    </row>
    <row r="988" spans="22:28" ht="13.8">
      <c r="V988" s="661">
        <v>3277</v>
      </c>
      <c r="W988" s="662">
        <f>+SUMIF(SYS_cliente!$F$5:$F$1678,'BCE ABREVIADO'!V988,SYS_cliente!$I$5:$I$1678)</f>
        <v>0</v>
      </c>
      <c r="Z988" s="666"/>
      <c r="AA988" s="661">
        <v>4160</v>
      </c>
      <c r="AB988" s="672">
        <f>+SUMIF(SYS_cliente!$F$5:$F$1678,'BCE ABREVIADO'!AA988,SYS_cliente!$I$5:$I$1678)</f>
        <v>0</v>
      </c>
    </row>
    <row r="989" spans="22:28" ht="13.8">
      <c r="V989" s="661">
        <v>3278</v>
      </c>
      <c r="W989" s="662">
        <f>+SUMIF(SYS_cliente!$F$5:$F$1678,'BCE ABREVIADO'!V989,SYS_cliente!$I$5:$I$1678)</f>
        <v>0</v>
      </c>
      <c r="Z989" s="666"/>
      <c r="AA989" s="661">
        <v>4161</v>
      </c>
      <c r="AB989" s="672">
        <f>+SUMIF(SYS_cliente!$F$5:$F$1678,'BCE ABREVIADO'!AA989,SYS_cliente!$I$5:$I$1678)</f>
        <v>0</v>
      </c>
    </row>
    <row r="990" spans="22:28" ht="13.8">
      <c r="V990" s="661">
        <v>3279</v>
      </c>
      <c r="W990" s="662">
        <f>+SUMIF(SYS_cliente!$F$5:$F$1678,'BCE ABREVIADO'!V990,SYS_cliente!$I$5:$I$1678)</f>
        <v>0</v>
      </c>
      <c r="Z990" s="666"/>
      <c r="AA990" s="661">
        <v>4162</v>
      </c>
      <c r="AB990" s="672">
        <f>+SUMIF(SYS_cliente!$F$5:$F$1678,'BCE ABREVIADO'!AA990,SYS_cliente!$I$5:$I$1678)</f>
        <v>0</v>
      </c>
    </row>
    <row r="991" spans="22:28" ht="13.8">
      <c r="V991" s="661">
        <v>3280</v>
      </c>
      <c r="W991" s="662">
        <f>+SUMIF(SYS_cliente!$F$5:$F$1678,'BCE ABREVIADO'!V991,SYS_cliente!$I$5:$I$1678)</f>
        <v>0</v>
      </c>
      <c r="Z991" s="666"/>
      <c r="AA991" s="661">
        <v>4163</v>
      </c>
      <c r="AB991" s="672">
        <f>+SUMIF(SYS_cliente!$F$5:$F$1678,'BCE ABREVIADO'!AA991,SYS_cliente!$I$5:$I$1678)</f>
        <v>0</v>
      </c>
    </row>
    <row r="992" spans="22:28" ht="13.8">
      <c r="V992" s="661">
        <v>3281</v>
      </c>
      <c r="W992" s="662">
        <f>+SUMIF(SYS_cliente!$F$5:$F$1678,'BCE ABREVIADO'!V992,SYS_cliente!$I$5:$I$1678)</f>
        <v>0</v>
      </c>
      <c r="Z992" s="666"/>
      <c r="AA992" s="661">
        <v>4164</v>
      </c>
      <c r="AB992" s="672">
        <f>+SUMIF(SYS_cliente!$F$5:$F$1678,'BCE ABREVIADO'!AA992,SYS_cliente!$I$5:$I$1678)</f>
        <v>0</v>
      </c>
    </row>
    <row r="993" spans="22:28" ht="13.8">
      <c r="V993" s="661">
        <v>3282</v>
      </c>
      <c r="W993" s="662">
        <f>+SUMIF(SYS_cliente!$F$5:$F$1678,'BCE ABREVIADO'!V993,SYS_cliente!$I$5:$I$1678)</f>
        <v>0</v>
      </c>
      <c r="Z993" s="666"/>
      <c r="AA993" s="661">
        <v>4165</v>
      </c>
      <c r="AB993" s="672">
        <f>+SUMIF(SYS_cliente!$F$5:$F$1678,'BCE ABREVIADO'!AA993,SYS_cliente!$I$5:$I$1678)</f>
        <v>0</v>
      </c>
    </row>
    <row r="994" spans="22:28" ht="13.8">
      <c r="V994" s="661">
        <v>3283</v>
      </c>
      <c r="W994" s="662">
        <f>+SUMIF(SYS_cliente!$F$5:$F$1678,'BCE ABREVIADO'!V994,SYS_cliente!$I$5:$I$1678)</f>
        <v>0</v>
      </c>
      <c r="Z994" s="666"/>
      <c r="AA994" s="661">
        <v>4166</v>
      </c>
      <c r="AB994" s="672">
        <f>+SUMIF(SYS_cliente!$F$5:$F$1678,'BCE ABREVIADO'!AA994,SYS_cliente!$I$5:$I$1678)</f>
        <v>0</v>
      </c>
    </row>
    <row r="995" spans="22:28" ht="13.8">
      <c r="V995" s="661">
        <v>3284</v>
      </c>
      <c r="W995" s="662">
        <f>+SUMIF(SYS_cliente!$F$5:$F$1678,'BCE ABREVIADO'!V995,SYS_cliente!$I$5:$I$1678)</f>
        <v>0</v>
      </c>
      <c r="Z995" s="666"/>
      <c r="AA995" s="661">
        <v>4167</v>
      </c>
      <c r="AB995" s="672">
        <f>+SUMIF(SYS_cliente!$F$5:$F$1678,'BCE ABREVIADO'!AA995,SYS_cliente!$I$5:$I$1678)</f>
        <v>0</v>
      </c>
    </row>
    <row r="996" spans="22:28" ht="13.8">
      <c r="V996" s="661">
        <v>3285</v>
      </c>
      <c r="W996" s="662">
        <f>+SUMIF(SYS_cliente!$F$5:$F$1678,'BCE ABREVIADO'!V996,SYS_cliente!$I$5:$I$1678)</f>
        <v>0</v>
      </c>
      <c r="Z996" s="666"/>
      <c r="AA996" s="661">
        <v>4168</v>
      </c>
      <c r="AB996" s="672">
        <f>+SUMIF(SYS_cliente!$F$5:$F$1678,'BCE ABREVIADO'!AA996,SYS_cliente!$I$5:$I$1678)</f>
        <v>0</v>
      </c>
    </row>
    <row r="997" spans="22:28" ht="13.8">
      <c r="V997" s="661">
        <v>3286</v>
      </c>
      <c r="W997" s="662">
        <f>+SUMIF(SYS_cliente!$F$5:$F$1678,'BCE ABREVIADO'!V997,SYS_cliente!$I$5:$I$1678)</f>
        <v>0</v>
      </c>
      <c r="Z997" s="666"/>
      <c r="AA997" s="661">
        <v>4169</v>
      </c>
      <c r="AB997" s="672">
        <f>+SUMIF(SYS_cliente!$F$5:$F$1678,'BCE ABREVIADO'!AA997,SYS_cliente!$I$5:$I$1678)</f>
        <v>0</v>
      </c>
    </row>
    <row r="998" spans="22:28" ht="13.8">
      <c r="V998" s="661">
        <v>3287</v>
      </c>
      <c r="W998" s="662">
        <f>+SUMIF(SYS_cliente!$F$5:$F$1678,'BCE ABREVIADO'!V998,SYS_cliente!$I$5:$I$1678)</f>
        <v>0</v>
      </c>
      <c r="Z998" s="666"/>
      <c r="AA998" s="661">
        <v>4170</v>
      </c>
      <c r="AB998" s="672">
        <f>+SUMIF(SYS_cliente!$F$5:$F$1678,'BCE ABREVIADO'!AA998,SYS_cliente!$I$5:$I$1678)</f>
        <v>0</v>
      </c>
    </row>
    <row r="999" spans="22:28" ht="13.8">
      <c r="V999" s="661">
        <v>3288</v>
      </c>
      <c r="W999" s="662">
        <f>+SUMIF(SYS_cliente!$F$5:$F$1678,'BCE ABREVIADO'!V999,SYS_cliente!$I$5:$I$1678)</f>
        <v>0</v>
      </c>
      <c r="Z999" s="666"/>
      <c r="AA999" s="661">
        <v>4171</v>
      </c>
      <c r="AB999" s="672">
        <f>+SUMIF(SYS_cliente!$F$5:$F$1678,'BCE ABREVIADO'!AA999,SYS_cliente!$I$5:$I$1678)</f>
        <v>0</v>
      </c>
    </row>
    <row r="1000" spans="22:28" ht="13.8">
      <c r="V1000" s="661">
        <v>3289</v>
      </c>
      <c r="W1000" s="662">
        <f>+SUMIF(SYS_cliente!$F$5:$F$1678,'BCE ABREVIADO'!V1000,SYS_cliente!$I$5:$I$1678)</f>
        <v>0</v>
      </c>
      <c r="Z1000" s="666"/>
      <c r="AA1000" s="661">
        <v>4172</v>
      </c>
      <c r="AB1000" s="672">
        <f>+SUMIF(SYS_cliente!$F$5:$F$1678,'BCE ABREVIADO'!AA1000,SYS_cliente!$I$5:$I$1678)</f>
        <v>0</v>
      </c>
    </row>
    <row r="1001" spans="22:28" ht="13.8">
      <c r="V1001" s="661">
        <v>3290</v>
      </c>
      <c r="W1001" s="662">
        <f>+SUMIF(SYS_cliente!$F$5:$F$1678,'BCE ABREVIADO'!V1001,SYS_cliente!$I$5:$I$1678)</f>
        <v>0</v>
      </c>
      <c r="Z1001" s="666"/>
      <c r="AA1001" s="661">
        <v>4173</v>
      </c>
      <c r="AB1001" s="672">
        <f>+SUMIF(SYS_cliente!$F$5:$F$1678,'BCE ABREVIADO'!AA1001,SYS_cliente!$I$5:$I$1678)</f>
        <v>0</v>
      </c>
    </row>
    <row r="1002" spans="22:28" ht="13.8">
      <c r="V1002" s="661">
        <v>3291</v>
      </c>
      <c r="W1002" s="662">
        <f>+SUMIF(SYS_cliente!$F$5:$F$1678,'BCE ABREVIADO'!V1002,SYS_cliente!$I$5:$I$1678)</f>
        <v>0</v>
      </c>
      <c r="Z1002" s="666"/>
      <c r="AA1002" s="661">
        <v>4174</v>
      </c>
      <c r="AB1002" s="672">
        <f>+SUMIF(SYS_cliente!$F$5:$F$1678,'BCE ABREVIADO'!AA1002,SYS_cliente!$I$5:$I$1678)</f>
        <v>0</v>
      </c>
    </row>
    <row r="1003" spans="22:28" ht="13.8">
      <c r="V1003" s="661">
        <v>3292</v>
      </c>
      <c r="W1003" s="662">
        <f>+SUMIF(SYS_cliente!$F$5:$F$1678,'BCE ABREVIADO'!V1003,SYS_cliente!$I$5:$I$1678)</f>
        <v>0</v>
      </c>
      <c r="Z1003" s="666"/>
      <c r="AA1003" s="661">
        <v>4175</v>
      </c>
      <c r="AB1003" s="672">
        <f>+SUMIF(SYS_cliente!$F$5:$F$1678,'BCE ABREVIADO'!AA1003,SYS_cliente!$I$5:$I$1678)</f>
        <v>0</v>
      </c>
    </row>
    <row r="1004" spans="22:28" ht="13.8">
      <c r="V1004" s="661">
        <v>3293</v>
      </c>
      <c r="W1004" s="662">
        <f>+SUMIF(SYS_cliente!$F$5:$F$1678,'BCE ABREVIADO'!V1004,SYS_cliente!$I$5:$I$1678)</f>
        <v>0</v>
      </c>
      <c r="Z1004" s="666"/>
      <c r="AA1004" s="661">
        <v>4176</v>
      </c>
      <c r="AB1004" s="672">
        <f>+SUMIF(SYS_cliente!$F$5:$F$1678,'BCE ABREVIADO'!AA1004,SYS_cliente!$I$5:$I$1678)</f>
        <v>0</v>
      </c>
    </row>
    <row r="1005" spans="22:28" ht="13.8">
      <c r="V1005" s="661">
        <v>3294</v>
      </c>
      <c r="W1005" s="662">
        <f>+SUMIF(SYS_cliente!$F$5:$F$1678,'BCE ABREVIADO'!V1005,SYS_cliente!$I$5:$I$1678)</f>
        <v>0</v>
      </c>
      <c r="Z1005" s="666"/>
      <c r="AA1005" s="661">
        <v>4177</v>
      </c>
      <c r="AB1005" s="672">
        <f>+SUMIF(SYS_cliente!$F$5:$F$1678,'BCE ABREVIADO'!AA1005,SYS_cliente!$I$5:$I$1678)</f>
        <v>0</v>
      </c>
    </row>
    <row r="1006" spans="22:28" ht="13.8">
      <c r="V1006" s="661">
        <v>3295</v>
      </c>
      <c r="W1006" s="662">
        <f>+SUMIF(SYS_cliente!$F$5:$F$1678,'BCE ABREVIADO'!V1006,SYS_cliente!$I$5:$I$1678)</f>
        <v>0</v>
      </c>
      <c r="Z1006" s="666"/>
      <c r="AA1006" s="661">
        <v>4178</v>
      </c>
      <c r="AB1006" s="672">
        <f>+SUMIF(SYS_cliente!$F$5:$F$1678,'BCE ABREVIADO'!AA1006,SYS_cliente!$I$5:$I$1678)</f>
        <v>0</v>
      </c>
    </row>
    <row r="1007" spans="22:28" ht="13.8">
      <c r="V1007" s="661">
        <v>3296</v>
      </c>
      <c r="W1007" s="662">
        <f>+SUMIF(SYS_cliente!$F$5:$F$1678,'BCE ABREVIADO'!V1007,SYS_cliente!$I$5:$I$1678)</f>
        <v>0</v>
      </c>
      <c r="Z1007" s="666"/>
      <c r="AA1007" s="661">
        <v>4179</v>
      </c>
      <c r="AB1007" s="672">
        <f>+SUMIF(SYS_cliente!$F$5:$F$1678,'BCE ABREVIADO'!AA1007,SYS_cliente!$I$5:$I$1678)</f>
        <v>0</v>
      </c>
    </row>
    <row r="1008" spans="22:28" ht="13.8">
      <c r="V1008" s="661">
        <v>3297</v>
      </c>
      <c r="W1008" s="662">
        <f>+SUMIF(SYS_cliente!$F$5:$F$1678,'BCE ABREVIADO'!V1008,SYS_cliente!$I$5:$I$1678)</f>
        <v>0</v>
      </c>
      <c r="Z1008" s="666"/>
      <c r="AA1008" s="661">
        <v>4180</v>
      </c>
      <c r="AB1008" s="672">
        <f>+SUMIF(SYS_cliente!$F$5:$F$1678,'BCE ABREVIADO'!AA1008,SYS_cliente!$I$5:$I$1678)</f>
        <v>0</v>
      </c>
    </row>
    <row r="1009" spans="22:28" ht="13.8">
      <c r="V1009" s="661">
        <v>3298</v>
      </c>
      <c r="W1009" s="662">
        <f>+SUMIF(SYS_cliente!$F$5:$F$1678,'BCE ABREVIADO'!V1009,SYS_cliente!$I$5:$I$1678)</f>
        <v>0</v>
      </c>
      <c r="Z1009" s="666"/>
      <c r="AA1009" s="661">
        <v>4181</v>
      </c>
      <c r="AB1009" s="672">
        <f>+SUMIF(SYS_cliente!$F$5:$F$1678,'BCE ABREVIADO'!AA1009,SYS_cliente!$I$5:$I$1678)</f>
        <v>0</v>
      </c>
    </row>
    <row r="1010" spans="22:28" ht="13.8">
      <c r="V1010" s="661">
        <v>3299</v>
      </c>
      <c r="W1010" s="662">
        <f>+SUMIF(SYS_cliente!$F$5:$F$1678,'BCE ABREVIADO'!V1010,SYS_cliente!$I$5:$I$1678)</f>
        <v>0</v>
      </c>
      <c r="Z1010" s="666"/>
      <c r="AA1010" s="661">
        <v>4182</v>
      </c>
      <c r="AB1010" s="672">
        <f>+SUMIF(SYS_cliente!$F$5:$F$1678,'BCE ABREVIADO'!AA1010,SYS_cliente!$I$5:$I$1678)</f>
        <v>0</v>
      </c>
    </row>
    <row r="1011" spans="22:28" ht="13.8">
      <c r="V1011" s="661">
        <v>3910</v>
      </c>
      <c r="W1011" s="662">
        <f>+SUMIF(SYS_cliente!$F$5:$F$1678,'BCE ABREVIADO'!V1011,SYS_cliente!$I$5:$I$1678)</f>
        <v>0</v>
      </c>
      <c r="Z1011" s="666"/>
      <c r="AA1011" s="661">
        <v>4183</v>
      </c>
      <c r="AB1011" s="672">
        <f>+SUMIF(SYS_cliente!$F$5:$F$1678,'BCE ABREVIADO'!AA1011,SYS_cliente!$I$5:$I$1678)</f>
        <v>0</v>
      </c>
    </row>
    <row r="1012" spans="22:28" ht="13.8">
      <c r="V1012" s="661">
        <v>3911</v>
      </c>
      <c r="W1012" s="662">
        <f>+SUMIF(SYS_cliente!$F$5:$F$1678,'BCE ABREVIADO'!V1012,SYS_cliente!$I$5:$I$1678)</f>
        <v>0</v>
      </c>
      <c r="Z1012" s="666"/>
      <c r="AA1012" s="661">
        <v>4184</v>
      </c>
      <c r="AB1012" s="672">
        <f>+SUMIF(SYS_cliente!$F$5:$F$1678,'BCE ABREVIADO'!AA1012,SYS_cliente!$I$5:$I$1678)</f>
        <v>0</v>
      </c>
    </row>
    <row r="1013" spans="22:28" ht="13.8">
      <c r="V1013" s="661">
        <v>3912</v>
      </c>
      <c r="W1013" s="662">
        <f>+SUMIF(SYS_cliente!$F$5:$F$1678,'BCE ABREVIADO'!V1013,SYS_cliente!$I$5:$I$1678)</f>
        <v>0</v>
      </c>
      <c r="Z1013" s="666"/>
      <c r="AA1013" s="661">
        <v>4185</v>
      </c>
      <c r="AB1013" s="672">
        <f>+SUMIF(SYS_cliente!$F$5:$F$1678,'BCE ABREVIADO'!AA1013,SYS_cliente!$I$5:$I$1678)</f>
        <v>0</v>
      </c>
    </row>
    <row r="1014" spans="22:28" ht="13.8">
      <c r="V1014" s="661">
        <v>3913</v>
      </c>
      <c r="W1014" s="662">
        <f>+SUMIF(SYS_cliente!$F$5:$F$1678,'BCE ABREVIADO'!V1014,SYS_cliente!$I$5:$I$1678)</f>
        <v>0</v>
      </c>
      <c r="Z1014" s="666"/>
      <c r="AA1014" s="661">
        <v>4186</v>
      </c>
      <c r="AB1014" s="672">
        <f>+SUMIF(SYS_cliente!$F$5:$F$1678,'BCE ABREVIADO'!AA1014,SYS_cliente!$I$5:$I$1678)</f>
        <v>0</v>
      </c>
    </row>
    <row r="1015" spans="22:28" ht="13.8">
      <c r="V1015" s="661">
        <v>3914</v>
      </c>
      <c r="W1015" s="662">
        <f>+SUMIF(SYS_cliente!$F$5:$F$1678,'BCE ABREVIADO'!V1015,SYS_cliente!$I$5:$I$1678)</f>
        <v>0</v>
      </c>
      <c r="Z1015" s="666"/>
      <c r="AA1015" s="661">
        <v>4187</v>
      </c>
      <c r="AB1015" s="672">
        <f>+SUMIF(SYS_cliente!$F$5:$F$1678,'BCE ABREVIADO'!AA1015,SYS_cliente!$I$5:$I$1678)</f>
        <v>0</v>
      </c>
    </row>
    <row r="1016" spans="22:28" ht="13.8">
      <c r="V1016" s="661">
        <v>3915</v>
      </c>
      <c r="W1016" s="662">
        <f>+SUMIF(SYS_cliente!$F$5:$F$1678,'BCE ABREVIADO'!V1016,SYS_cliente!$I$5:$I$1678)</f>
        <v>0</v>
      </c>
      <c r="Z1016" s="666"/>
      <c r="AA1016" s="661">
        <v>4188</v>
      </c>
      <c r="AB1016" s="672">
        <f>+SUMIF(SYS_cliente!$F$5:$F$1678,'BCE ABREVIADO'!AA1016,SYS_cliente!$I$5:$I$1678)</f>
        <v>0</v>
      </c>
    </row>
    <row r="1017" spans="22:28" ht="13.8">
      <c r="V1017" s="661">
        <v>3916</v>
      </c>
      <c r="W1017" s="662">
        <f>+SUMIF(SYS_cliente!$F$5:$F$1678,'BCE ABREVIADO'!V1017,SYS_cliente!$I$5:$I$1678)</f>
        <v>0</v>
      </c>
      <c r="Z1017" s="666"/>
      <c r="AA1017" s="661">
        <v>4189</v>
      </c>
      <c r="AB1017" s="672">
        <f>+SUMIF(SYS_cliente!$F$5:$F$1678,'BCE ABREVIADO'!AA1017,SYS_cliente!$I$5:$I$1678)</f>
        <v>0</v>
      </c>
    </row>
    <row r="1018" spans="22:28" ht="13.8">
      <c r="V1018" s="661">
        <v>3917</v>
      </c>
      <c r="W1018" s="662">
        <f>+SUMIF(SYS_cliente!$F$5:$F$1678,'BCE ABREVIADO'!V1018,SYS_cliente!$I$5:$I$1678)</f>
        <v>0</v>
      </c>
      <c r="Z1018" s="666"/>
      <c r="AA1018" s="661">
        <v>4190</v>
      </c>
      <c r="AB1018" s="672">
        <f>+SUMIF(SYS_cliente!$F$5:$F$1678,'BCE ABREVIADO'!AA1018,SYS_cliente!$I$5:$I$1678)</f>
        <v>0</v>
      </c>
    </row>
    <row r="1019" spans="22:28" ht="13.8">
      <c r="V1019" s="661">
        <v>3918</v>
      </c>
      <c r="W1019" s="662">
        <f>+SUMIF(SYS_cliente!$F$5:$F$1678,'BCE ABREVIADO'!V1019,SYS_cliente!$I$5:$I$1678)</f>
        <v>0</v>
      </c>
      <c r="Z1019" s="666"/>
      <c r="AA1019" s="661">
        <v>4191</v>
      </c>
      <c r="AB1019" s="672">
        <f>+SUMIF(SYS_cliente!$F$5:$F$1678,'BCE ABREVIADO'!AA1019,SYS_cliente!$I$5:$I$1678)</f>
        <v>0</v>
      </c>
    </row>
    <row r="1020" spans="22:28" ht="13.8">
      <c r="V1020" s="661">
        <v>3919</v>
      </c>
      <c r="W1020" s="662">
        <f>+SUMIF(SYS_cliente!$F$5:$F$1678,'BCE ABREVIADO'!V1020,SYS_cliente!$I$5:$I$1678)</f>
        <v>0</v>
      </c>
      <c r="Z1020" s="666"/>
      <c r="AA1020" s="661">
        <v>4192</v>
      </c>
      <c r="AB1020" s="672">
        <f>+SUMIF(SYS_cliente!$F$5:$F$1678,'BCE ABREVIADO'!AA1020,SYS_cliente!$I$5:$I$1678)</f>
        <v>0</v>
      </c>
    </row>
    <row r="1021" spans="22:28" ht="13.8">
      <c r="V1021" s="661">
        <v>3920</v>
      </c>
      <c r="W1021" s="662">
        <f>+SUMIF(SYS_cliente!$F$5:$F$1678,'BCE ABREVIADO'!V1021,SYS_cliente!$I$5:$I$1678)</f>
        <v>0</v>
      </c>
      <c r="Z1021" s="666"/>
      <c r="AA1021" s="661">
        <v>4193</v>
      </c>
      <c r="AB1021" s="672">
        <f>+SUMIF(SYS_cliente!$F$5:$F$1678,'BCE ABREVIADO'!AA1021,SYS_cliente!$I$5:$I$1678)</f>
        <v>0</v>
      </c>
    </row>
    <row r="1022" spans="22:28" ht="13.8">
      <c r="V1022" s="661">
        <v>3921</v>
      </c>
      <c r="W1022" s="662">
        <f>+SUMIF(SYS_cliente!$F$5:$F$1678,'BCE ABREVIADO'!V1022,SYS_cliente!$I$5:$I$1678)</f>
        <v>0</v>
      </c>
      <c r="Z1022" s="666"/>
      <c r="AA1022" s="661">
        <v>4194</v>
      </c>
      <c r="AB1022" s="672">
        <f>+SUMIF(SYS_cliente!$F$5:$F$1678,'BCE ABREVIADO'!AA1022,SYS_cliente!$I$5:$I$1678)</f>
        <v>0</v>
      </c>
    </row>
    <row r="1023" spans="22:28" ht="13.8">
      <c r="V1023" s="661">
        <v>3922</v>
      </c>
      <c r="W1023" s="662">
        <f>+SUMIF(SYS_cliente!$F$5:$F$1678,'BCE ABREVIADO'!V1023,SYS_cliente!$I$5:$I$1678)</f>
        <v>0</v>
      </c>
      <c r="Z1023" s="666"/>
      <c r="AA1023" s="661">
        <v>4195</v>
      </c>
      <c r="AB1023" s="672">
        <f>+SUMIF(SYS_cliente!$F$5:$F$1678,'BCE ABREVIADO'!AA1023,SYS_cliente!$I$5:$I$1678)</f>
        <v>0</v>
      </c>
    </row>
    <row r="1024" spans="22:28" ht="13.8">
      <c r="V1024" s="661">
        <v>3923</v>
      </c>
      <c r="W1024" s="662">
        <f>+SUMIF(SYS_cliente!$F$5:$F$1678,'BCE ABREVIADO'!V1024,SYS_cliente!$I$5:$I$1678)</f>
        <v>0</v>
      </c>
      <c r="Z1024" s="666"/>
      <c r="AA1024" s="661">
        <v>4196</v>
      </c>
      <c r="AB1024" s="672">
        <f>+SUMIF(SYS_cliente!$F$5:$F$1678,'BCE ABREVIADO'!AA1024,SYS_cliente!$I$5:$I$1678)</f>
        <v>0</v>
      </c>
    </row>
    <row r="1025" spans="21:28" ht="13.8">
      <c r="V1025" s="661">
        <v>3924</v>
      </c>
      <c r="W1025" s="662">
        <f>+SUMIF(SYS_cliente!$F$5:$F$1678,'BCE ABREVIADO'!V1025,SYS_cliente!$I$5:$I$1678)</f>
        <v>0</v>
      </c>
      <c r="Z1025" s="666"/>
      <c r="AA1025" s="661">
        <v>4197</v>
      </c>
      <c r="AB1025" s="672">
        <f>+SUMIF(SYS_cliente!$F$5:$F$1678,'BCE ABREVIADO'!AA1025,SYS_cliente!$I$5:$I$1678)</f>
        <v>0</v>
      </c>
    </row>
    <row r="1026" spans="21:28" ht="13.8">
      <c r="V1026" s="661">
        <v>3925</v>
      </c>
      <c r="W1026" s="662">
        <f>+SUMIF(SYS_cliente!$F$5:$F$1678,'BCE ABREVIADO'!V1026,SYS_cliente!$I$5:$I$1678)</f>
        <v>0</v>
      </c>
      <c r="Z1026" s="666"/>
      <c r="AA1026" s="661">
        <v>4198</v>
      </c>
      <c r="AB1026" s="672">
        <f>+SUMIF(SYS_cliente!$F$5:$F$1678,'BCE ABREVIADO'!AA1026,SYS_cliente!$I$5:$I$1678)</f>
        <v>0</v>
      </c>
    </row>
    <row r="1027" spans="21:28" ht="13.8">
      <c r="V1027" s="661">
        <v>3926</v>
      </c>
      <c r="W1027" s="662">
        <f>+SUMIF(SYS_cliente!$F$5:$F$1678,'BCE ABREVIADO'!V1027,SYS_cliente!$I$5:$I$1678)</f>
        <v>0</v>
      </c>
      <c r="Z1027" s="666" t="s">
        <v>164</v>
      </c>
      <c r="AA1027" s="661">
        <v>4199</v>
      </c>
      <c r="AB1027" s="672">
        <f>+SUMIF(SYS_cliente!$F$5:$F$1678,'BCE ABREVIADO'!AA1027,SYS_cliente!$I$5:$I$1678)</f>
        <v>0</v>
      </c>
    </row>
    <row r="1028" spans="21:28" ht="13.8">
      <c r="V1028" s="661">
        <v>3927</v>
      </c>
      <c r="W1028" s="662">
        <f>+SUMIF(SYS_cliente!$F$5:$F$1678,'BCE ABREVIADO'!V1028,SYS_cliente!$I$5:$I$1678)</f>
        <v>0</v>
      </c>
      <c r="Z1028" s="666"/>
      <c r="AA1028" s="653" t="s">
        <v>102</v>
      </c>
      <c r="AB1028" s="667">
        <f>SUM(AB1029:AB1048)</f>
        <v>155.01</v>
      </c>
    </row>
    <row r="1029" spans="21:28" ht="13.8">
      <c r="V1029" s="661">
        <v>3928</v>
      </c>
      <c r="W1029" s="662">
        <f>+SUMIF(SYS_cliente!$F$5:$F$1678,'BCE ABREVIADO'!V1029,SYS_cliente!$I$5:$I$1678)</f>
        <v>0</v>
      </c>
      <c r="Z1029" s="666"/>
      <c r="AA1029" s="661">
        <v>4650</v>
      </c>
      <c r="AB1029" s="672">
        <f>+SUMIF(SYS_cliente!$F$5:$F$1678,'BCE ABREVIADO'!AA1029,SYS_cliente!$I$5:$I$1678)</f>
        <v>155.01</v>
      </c>
    </row>
    <row r="1030" spans="21:28" ht="13.8">
      <c r="V1030" s="661">
        <v>3929</v>
      </c>
      <c r="W1030" s="662">
        <f>+SUMIF(SYS_cliente!$F$5:$F$1678,'BCE ABREVIADO'!V1030,SYS_cliente!$I$5:$I$1678)</f>
        <v>0</v>
      </c>
      <c r="Z1030" s="666"/>
      <c r="AA1030" s="661">
        <v>4651</v>
      </c>
      <c r="AB1030" s="672">
        <f>+SUMIF(SYS_cliente!$F$5:$F$1678,'BCE ABREVIADO'!AA1030,SYS_cliente!$I$5:$I$1678)</f>
        <v>0</v>
      </c>
    </row>
    <row r="1031" spans="21:28" ht="13.8">
      <c r="U1031" s="715" t="s">
        <v>128</v>
      </c>
      <c r="V1031" s="653" t="s">
        <v>33</v>
      </c>
      <c r="W1031" s="654">
        <f>SUM(W1032:W1141)</f>
        <v>4499319.3600000003</v>
      </c>
      <c r="Z1031" s="666"/>
      <c r="AA1031" s="661">
        <v>4652</v>
      </c>
      <c r="AB1031" s="672">
        <f>+SUMIF(SYS_cliente!$F$5:$F$1678,'BCE ABREVIADO'!AA1031,SYS_cliente!$I$5:$I$1678)</f>
        <v>0</v>
      </c>
    </row>
    <row r="1032" spans="21:28" ht="13.8">
      <c r="V1032" s="661">
        <v>3500</v>
      </c>
      <c r="W1032" s="662">
        <f>+SUMIF(SYS_cliente!$F$5:$F$1678,'BCE ABREVIADO'!V1032,SYS_cliente!$I$5:$I$1678)</f>
        <v>4499319.3600000003</v>
      </c>
      <c r="Z1032" s="666"/>
      <c r="AA1032" s="661">
        <v>4653</v>
      </c>
      <c r="AB1032" s="672">
        <f>+SUMIF(SYS_cliente!$F$5:$F$1678,'BCE ABREVIADO'!AA1032,SYS_cliente!$I$5:$I$1678)</f>
        <v>0</v>
      </c>
    </row>
    <row r="1033" spans="21:28" ht="13.8">
      <c r="V1033" s="661">
        <v>3501</v>
      </c>
      <c r="W1033" s="662">
        <f>+SUMIF(SYS_cliente!$F$5:$F$1678,'BCE ABREVIADO'!V1033,SYS_cliente!$I$5:$I$1678)</f>
        <v>0</v>
      </c>
      <c r="Z1033" s="666"/>
      <c r="AA1033" s="661">
        <v>4654</v>
      </c>
      <c r="AB1033" s="672">
        <f>+SUMIF(SYS_cliente!$F$5:$F$1678,'BCE ABREVIADO'!AA1033,SYS_cliente!$I$5:$I$1678)</f>
        <v>0</v>
      </c>
    </row>
    <row r="1034" spans="21:28" ht="13.8">
      <c r="V1034" s="661">
        <v>3502</v>
      </c>
      <c r="W1034" s="662">
        <f>+SUMIF(SYS_cliente!$F$5:$F$1678,'BCE ABREVIADO'!V1034,SYS_cliente!$I$5:$I$1678)</f>
        <v>0</v>
      </c>
      <c r="Z1034" s="666"/>
      <c r="AA1034" s="661">
        <v>4655</v>
      </c>
      <c r="AB1034" s="672">
        <f>+SUMIF(SYS_cliente!$F$5:$F$1678,'BCE ABREVIADO'!AA1034,SYS_cliente!$I$5:$I$1678)</f>
        <v>0</v>
      </c>
    </row>
    <row r="1035" spans="21:28" ht="13.8">
      <c r="V1035" s="661">
        <v>3503</v>
      </c>
      <c r="W1035" s="662">
        <f>+SUMIF(SYS_cliente!$F$5:$F$1678,'BCE ABREVIADO'!V1035,SYS_cliente!$I$5:$I$1678)</f>
        <v>0</v>
      </c>
      <c r="Z1035" s="666"/>
      <c r="AA1035" s="661">
        <v>4656</v>
      </c>
      <c r="AB1035" s="672">
        <f>+SUMIF(SYS_cliente!$F$5:$F$1678,'BCE ABREVIADO'!AA1035,SYS_cliente!$I$5:$I$1678)</f>
        <v>0</v>
      </c>
    </row>
    <row r="1036" spans="21:28" ht="13.8">
      <c r="V1036" s="661">
        <v>3504</v>
      </c>
      <c r="W1036" s="662">
        <f>+SUMIF(SYS_cliente!$F$5:$F$1678,'BCE ABREVIADO'!V1036,SYS_cliente!$I$5:$I$1678)</f>
        <v>0</v>
      </c>
      <c r="Z1036" s="666"/>
      <c r="AA1036" s="661">
        <v>4657</v>
      </c>
      <c r="AB1036" s="672">
        <f>+SUMIF(SYS_cliente!$F$5:$F$1678,'BCE ABREVIADO'!AA1036,SYS_cliente!$I$5:$I$1678)</f>
        <v>0</v>
      </c>
    </row>
    <row r="1037" spans="21:28" ht="13.8">
      <c r="V1037" s="661">
        <v>3505</v>
      </c>
      <c r="W1037" s="662">
        <f>+SUMIF(SYS_cliente!$F$5:$F$1678,'BCE ABREVIADO'!V1037,SYS_cliente!$I$5:$I$1678)</f>
        <v>0</v>
      </c>
      <c r="Z1037" s="666"/>
      <c r="AA1037" s="661">
        <v>4658</v>
      </c>
      <c r="AB1037" s="672">
        <f>+SUMIF(SYS_cliente!$F$5:$F$1678,'BCE ABREVIADO'!AA1037,SYS_cliente!$I$5:$I$1678)</f>
        <v>0</v>
      </c>
    </row>
    <row r="1038" spans="21:28" ht="13.8">
      <c r="V1038" s="661">
        <v>3506</v>
      </c>
      <c r="W1038" s="662">
        <f>+SUMIF(SYS_cliente!$F$5:$F$1678,'BCE ABREVIADO'!V1038,SYS_cliente!$I$5:$I$1678)</f>
        <v>0</v>
      </c>
      <c r="Z1038" s="666"/>
      <c r="AA1038" s="661">
        <v>4659</v>
      </c>
      <c r="AB1038" s="672">
        <f>+SUMIF(SYS_cliente!$F$5:$F$1678,'BCE ABREVIADO'!AA1038,SYS_cliente!$I$5:$I$1678)</f>
        <v>0</v>
      </c>
    </row>
    <row r="1039" spans="21:28" ht="13.8">
      <c r="V1039" s="661">
        <v>3507</v>
      </c>
      <c r="W1039" s="662">
        <f>+SUMIF(SYS_cliente!$F$5:$F$1678,'BCE ABREVIADO'!V1039,SYS_cliente!$I$5:$I$1678)</f>
        <v>0</v>
      </c>
      <c r="Z1039" s="666"/>
      <c r="AA1039" s="661">
        <v>4660</v>
      </c>
      <c r="AB1039" s="672">
        <f>+SUMIF(SYS_cliente!$F$5:$F$1678,'BCE ABREVIADO'!AA1039,SYS_cliente!$I$5:$I$1678)</f>
        <v>0</v>
      </c>
    </row>
    <row r="1040" spans="21:28" ht="13.8">
      <c r="V1040" s="661">
        <v>3508</v>
      </c>
      <c r="W1040" s="662">
        <f>+SUMIF(SYS_cliente!$F$5:$F$1678,'BCE ABREVIADO'!V1040,SYS_cliente!$I$5:$I$1678)</f>
        <v>0</v>
      </c>
      <c r="Z1040" s="666"/>
      <c r="AA1040" s="661">
        <v>4661</v>
      </c>
      <c r="AB1040" s="672">
        <f>+SUMIF(SYS_cliente!$F$5:$F$1678,'BCE ABREVIADO'!AA1040,SYS_cliente!$I$5:$I$1678)</f>
        <v>0</v>
      </c>
    </row>
    <row r="1041" spans="22:28" ht="13.8">
      <c r="V1041" s="661">
        <v>3509</v>
      </c>
      <c r="W1041" s="662">
        <f>+SUMIF(SYS_cliente!$F$5:$F$1678,'BCE ABREVIADO'!V1041,SYS_cliente!$I$5:$I$1678)</f>
        <v>0</v>
      </c>
      <c r="Z1041" s="666"/>
      <c r="AA1041" s="661">
        <v>4662</v>
      </c>
      <c r="AB1041" s="672">
        <f>+SUMIF(SYS_cliente!$F$5:$F$1678,'BCE ABREVIADO'!AA1041,SYS_cliente!$I$5:$I$1678)</f>
        <v>0</v>
      </c>
    </row>
    <row r="1042" spans="22:28" ht="13.8">
      <c r="V1042" s="661">
        <v>3510</v>
      </c>
      <c r="W1042" s="662">
        <f>+SUMIF(SYS_cliente!$F$5:$F$1678,'BCE ABREVIADO'!V1042,SYS_cliente!$I$5:$I$1678)</f>
        <v>0</v>
      </c>
      <c r="Z1042" s="666"/>
      <c r="AA1042" s="661">
        <v>4663</v>
      </c>
      <c r="AB1042" s="672">
        <f>+SUMIF(SYS_cliente!$F$5:$F$1678,'BCE ABREVIADO'!AA1042,SYS_cliente!$I$5:$I$1678)</f>
        <v>0</v>
      </c>
    </row>
    <row r="1043" spans="22:28" ht="13.8">
      <c r="V1043" s="661">
        <v>3511</v>
      </c>
      <c r="W1043" s="662">
        <f>+SUMIF(SYS_cliente!$F$5:$F$1678,'BCE ABREVIADO'!V1043,SYS_cliente!$I$5:$I$1678)</f>
        <v>0</v>
      </c>
      <c r="Z1043" s="666"/>
      <c r="AA1043" s="661">
        <v>4664</v>
      </c>
      <c r="AB1043" s="672">
        <f>+SUMIF(SYS_cliente!$F$5:$F$1678,'BCE ABREVIADO'!AA1043,SYS_cliente!$I$5:$I$1678)</f>
        <v>0</v>
      </c>
    </row>
    <row r="1044" spans="22:28" ht="13.8">
      <c r="V1044" s="661">
        <v>3512</v>
      </c>
      <c r="W1044" s="662">
        <f>+SUMIF(SYS_cliente!$F$5:$F$1678,'BCE ABREVIADO'!V1044,SYS_cliente!$I$5:$I$1678)</f>
        <v>0</v>
      </c>
      <c r="Z1044" s="666"/>
      <c r="AA1044" s="661">
        <v>4665</v>
      </c>
      <c r="AB1044" s="672">
        <f>+SUMIF(SYS_cliente!$F$5:$F$1678,'BCE ABREVIADO'!AA1044,SYS_cliente!$I$5:$I$1678)</f>
        <v>0</v>
      </c>
    </row>
    <row r="1045" spans="22:28" ht="13.8">
      <c r="V1045" s="661">
        <v>3513</v>
      </c>
      <c r="W1045" s="662">
        <f>+SUMIF(SYS_cliente!$F$5:$F$1678,'BCE ABREVIADO'!V1045,SYS_cliente!$I$5:$I$1678)</f>
        <v>0</v>
      </c>
      <c r="Z1045" s="666"/>
      <c r="AA1045" s="661">
        <v>4666</v>
      </c>
      <c r="AB1045" s="672">
        <f>+SUMIF(SYS_cliente!$F$5:$F$1678,'BCE ABREVIADO'!AA1045,SYS_cliente!$I$5:$I$1678)</f>
        <v>0</v>
      </c>
    </row>
    <row r="1046" spans="22:28" ht="13.8">
      <c r="V1046" s="661">
        <v>3514</v>
      </c>
      <c r="W1046" s="662">
        <f>+SUMIF(SYS_cliente!$F$5:$F$1678,'BCE ABREVIADO'!V1046,SYS_cliente!$I$5:$I$1678)</f>
        <v>0</v>
      </c>
      <c r="Z1046" s="666"/>
      <c r="AA1046" s="661">
        <v>4667</v>
      </c>
      <c r="AB1046" s="672">
        <f>+SUMIF(SYS_cliente!$F$5:$F$1678,'BCE ABREVIADO'!AA1046,SYS_cliente!$I$5:$I$1678)</f>
        <v>0</v>
      </c>
    </row>
    <row r="1047" spans="22:28" ht="13.8">
      <c r="V1047" s="661">
        <v>3515</v>
      </c>
      <c r="W1047" s="662">
        <f>+SUMIF(SYS_cliente!$F$5:$F$1678,'BCE ABREVIADO'!V1047,SYS_cliente!$I$5:$I$1678)</f>
        <v>0</v>
      </c>
      <c r="Z1047" s="666"/>
      <c r="AA1047" s="661">
        <v>4668</v>
      </c>
      <c r="AB1047" s="672">
        <f>+SUMIF(SYS_cliente!$F$5:$F$1678,'BCE ABREVIADO'!AA1047,SYS_cliente!$I$5:$I$1678)</f>
        <v>0</v>
      </c>
    </row>
    <row r="1048" spans="22:28" ht="13.8">
      <c r="V1048" s="661">
        <v>3516</v>
      </c>
      <c r="W1048" s="662">
        <f>+SUMIF(SYS_cliente!$F$5:$F$1678,'BCE ABREVIADO'!V1048,SYS_cliente!$I$5:$I$1678)</f>
        <v>0</v>
      </c>
      <c r="Z1048" s="666">
        <v>4752</v>
      </c>
      <c r="AA1048" s="661">
        <v>4669</v>
      </c>
      <c r="AB1048" s="672">
        <f>+SUMIF(SYS_cliente!$F$5:$F$1678,'BCE ABREVIADO'!AA1048,SYS_cliente!$I$5:$I$1678)</f>
        <v>0</v>
      </c>
    </row>
    <row r="1049" spans="22:28" ht="13.8">
      <c r="V1049" s="661">
        <v>3517</v>
      </c>
      <c r="W1049" s="662">
        <f>+SUMIF(SYS_cliente!$F$5:$F$1678,'BCE ABREVIADO'!V1049,SYS_cliente!$I$5:$I$1678)</f>
        <v>0</v>
      </c>
      <c r="Z1049" s="666"/>
      <c r="AA1049" s="653" t="s">
        <v>103</v>
      </c>
      <c r="AB1049" s="667">
        <f>+AB1050</f>
        <v>0</v>
      </c>
    </row>
    <row r="1050" spans="22:28" ht="13.8">
      <c r="V1050" s="661">
        <v>3518</v>
      </c>
      <c r="W1050" s="662">
        <f>+SUMIF(SYS_cliente!$F$5:$F$1678,'BCE ABREVIADO'!V1050,SYS_cliente!$I$5:$I$1678)</f>
        <v>0</v>
      </c>
      <c r="Z1050" s="666" t="s">
        <v>165</v>
      </c>
      <c r="AA1050" s="661">
        <v>4752</v>
      </c>
      <c r="AB1050" s="672">
        <f>+SUMIF(SYS_cliente!$F$5:$F$1678,'BCE ABREVIADO'!AA1050,SYS_cliente!$I$5:$I$1678)</f>
        <v>0</v>
      </c>
    </row>
    <row r="1051" spans="22:28" ht="13.8">
      <c r="V1051" s="661">
        <v>3519</v>
      </c>
      <c r="W1051" s="662">
        <f>+SUMIF(SYS_cliente!$F$5:$F$1678,'BCE ABREVIADO'!V1051,SYS_cliente!$I$5:$I$1678)</f>
        <v>0</v>
      </c>
      <c r="Z1051" s="666"/>
      <c r="AA1051" s="653" t="s">
        <v>104</v>
      </c>
      <c r="AB1051" s="667">
        <f>SUM(AB1052:AB1065)</f>
        <v>-896717.19</v>
      </c>
    </row>
    <row r="1052" spans="22:28" ht="13.8">
      <c r="V1052" s="661">
        <v>3520</v>
      </c>
      <c r="W1052" s="662">
        <f>+SUMIF(SYS_cliente!$F$5:$F$1678,'BCE ABREVIADO'!V1052,SYS_cliente!$I$5:$I$1678)</f>
        <v>0</v>
      </c>
      <c r="Z1052" s="666"/>
      <c r="AA1052" s="661">
        <v>4750</v>
      </c>
      <c r="AB1052" s="672">
        <f>+SUMIF(SYS_cliente!$F$5:$F$1678,'BCE ABREVIADO'!AA1052,SYS_cliente!$I$5:$I$1678)</f>
        <v>-674546.61</v>
      </c>
    </row>
    <row r="1053" spans="22:28" ht="13.8">
      <c r="V1053" s="661">
        <v>3521</v>
      </c>
      <c r="W1053" s="662">
        <f>+SUMIF(SYS_cliente!$F$5:$F$1678,'BCE ABREVIADO'!V1053,SYS_cliente!$I$5:$I$1678)</f>
        <v>0</v>
      </c>
      <c r="Z1053" s="666"/>
      <c r="AA1053" s="661">
        <v>4751</v>
      </c>
      <c r="AB1053" s="672">
        <f>+SUMIF(SYS_cliente!$F$5:$F$1678,'BCE ABREVIADO'!AA1053,SYS_cliente!$I$5:$I$1678)</f>
        <v>-170101.03999999998</v>
      </c>
    </row>
    <row r="1054" spans="22:28" ht="13.8">
      <c r="V1054" s="661">
        <v>3522</v>
      </c>
      <c r="W1054" s="662">
        <f>+SUMIF(SYS_cliente!$F$5:$F$1678,'BCE ABREVIADO'!V1054,SYS_cliente!$I$5:$I$1678)</f>
        <v>0</v>
      </c>
      <c r="Z1054" s="666"/>
      <c r="AA1054" s="661">
        <v>4758</v>
      </c>
      <c r="AB1054" s="672">
        <f>+SUMIF(SYS_cliente!$F$5:$F$1678,'BCE ABREVIADO'!AA1054,SYS_cliente!$I$5:$I$1678)</f>
        <v>0</v>
      </c>
    </row>
    <row r="1055" spans="22:28" ht="13.8">
      <c r="V1055" s="661">
        <v>3523</v>
      </c>
      <c r="W1055" s="662">
        <f>+SUMIF(SYS_cliente!$F$5:$F$1678,'BCE ABREVIADO'!V1055,SYS_cliente!$I$5:$I$1678)</f>
        <v>0</v>
      </c>
      <c r="Z1055" s="666"/>
      <c r="AA1055" s="661">
        <v>4760</v>
      </c>
      <c r="AB1055" s="672">
        <f>+SUMIF(SYS_cliente!$F$5:$F$1678,'BCE ABREVIADO'!AA1055,SYS_cliente!$I$5:$I$1678)</f>
        <v>-52069.54</v>
      </c>
    </row>
    <row r="1056" spans="22:28" ht="13.8">
      <c r="V1056" s="661">
        <v>3524</v>
      </c>
      <c r="W1056" s="662">
        <f>+SUMIF(SYS_cliente!$F$5:$F$1678,'BCE ABREVIADO'!V1056,SYS_cliente!$I$5:$I$1678)</f>
        <v>0</v>
      </c>
      <c r="Z1056" s="666"/>
      <c r="AA1056" s="661">
        <v>4770</v>
      </c>
      <c r="AB1056" s="672">
        <f>+SUMIF(SYS_cliente!$F$5:$F$1678,'BCE ABREVIADO'!AA1056,SYS_cliente!$I$5:$I$1678)</f>
        <v>0</v>
      </c>
    </row>
    <row r="1057" spans="22:28" ht="13.8">
      <c r="V1057" s="661">
        <v>3525</v>
      </c>
      <c r="W1057" s="662">
        <f>+SUMIF(SYS_cliente!$F$5:$F$1678,'BCE ABREVIADO'!V1057,SYS_cliente!$I$5:$I$1678)</f>
        <v>0</v>
      </c>
      <c r="Z1057" s="666"/>
      <c r="AA1057" s="661">
        <v>4771</v>
      </c>
      <c r="AB1057" s="672">
        <f>+SUMIF(SYS_cliente!$F$5:$F$1678,'BCE ABREVIADO'!AA1057,SYS_cliente!$I$5:$I$1678)</f>
        <v>0</v>
      </c>
    </row>
    <row r="1058" spans="22:28" ht="13.8">
      <c r="V1058" s="661">
        <v>3526</v>
      </c>
      <c r="W1058" s="662">
        <f>+SUMIF(SYS_cliente!$F$5:$F$1678,'BCE ABREVIADO'!V1058,SYS_cliente!$I$5:$I$1678)</f>
        <v>0</v>
      </c>
      <c r="Z1058" s="666"/>
      <c r="AA1058" s="661">
        <v>4772</v>
      </c>
      <c r="AB1058" s="672">
        <f>+SUMIF(SYS_cliente!$F$5:$F$1678,'BCE ABREVIADO'!AA1058,SYS_cliente!$I$5:$I$1678)</f>
        <v>0</v>
      </c>
    </row>
    <row r="1059" spans="22:28" ht="13.8">
      <c r="V1059" s="661">
        <v>3527</v>
      </c>
      <c r="W1059" s="662">
        <f>+SUMIF(SYS_cliente!$F$5:$F$1678,'BCE ABREVIADO'!V1059,SYS_cliente!$I$5:$I$1678)</f>
        <v>0</v>
      </c>
      <c r="Z1059" s="666"/>
      <c r="AA1059" s="661">
        <v>4773</v>
      </c>
      <c r="AB1059" s="672">
        <f>+SUMIF(SYS_cliente!$F$5:$F$1678,'BCE ABREVIADO'!AA1059,SYS_cliente!$I$5:$I$1678)</f>
        <v>0</v>
      </c>
    </row>
    <row r="1060" spans="22:28" ht="13.8">
      <c r="V1060" s="661">
        <v>3528</v>
      </c>
      <c r="W1060" s="662">
        <f>+SUMIF(SYS_cliente!$F$5:$F$1678,'BCE ABREVIADO'!V1060,SYS_cliente!$I$5:$I$1678)</f>
        <v>0</v>
      </c>
      <c r="Z1060" s="666"/>
      <c r="AA1060" s="661">
        <v>4774</v>
      </c>
      <c r="AB1060" s="672">
        <f>+SUMIF(SYS_cliente!$F$5:$F$1678,'BCE ABREVIADO'!AA1060,SYS_cliente!$I$5:$I$1678)</f>
        <v>0</v>
      </c>
    </row>
    <row r="1061" spans="22:28" ht="13.8">
      <c r="V1061" s="661">
        <v>3529</v>
      </c>
      <c r="W1061" s="662">
        <f>+SUMIF(SYS_cliente!$F$5:$F$1678,'BCE ABREVIADO'!V1061,SYS_cliente!$I$5:$I$1678)</f>
        <v>0</v>
      </c>
      <c r="Z1061" s="666"/>
      <c r="AA1061" s="661">
        <v>4775</v>
      </c>
      <c r="AB1061" s="672">
        <f>+SUMIF(SYS_cliente!$F$5:$F$1678,'BCE ABREVIADO'!AA1061,SYS_cliente!$I$5:$I$1678)</f>
        <v>0</v>
      </c>
    </row>
    <row r="1062" spans="22:28" ht="13.8">
      <c r="V1062" s="661">
        <v>3530</v>
      </c>
      <c r="W1062" s="662">
        <f>+SUMIF(SYS_cliente!$F$5:$F$1678,'BCE ABREVIADO'!V1062,SYS_cliente!$I$5:$I$1678)</f>
        <v>0</v>
      </c>
      <c r="Z1062" s="666"/>
      <c r="AA1062" s="661">
        <v>4776</v>
      </c>
      <c r="AB1062" s="672">
        <f>+SUMIF(SYS_cliente!$F$5:$F$1678,'BCE ABREVIADO'!AA1062,SYS_cliente!$I$5:$I$1678)</f>
        <v>0</v>
      </c>
    </row>
    <row r="1063" spans="22:28" ht="13.8">
      <c r="V1063" s="661">
        <v>3531</v>
      </c>
      <c r="W1063" s="662">
        <f>+SUMIF(SYS_cliente!$F$5:$F$1678,'BCE ABREVIADO'!V1063,SYS_cliente!$I$5:$I$1678)</f>
        <v>0</v>
      </c>
      <c r="Z1063" s="666"/>
      <c r="AA1063" s="661">
        <v>4777</v>
      </c>
      <c r="AB1063" s="672">
        <f>+SUMIF(SYS_cliente!$F$5:$F$1678,'BCE ABREVIADO'!AA1063,SYS_cliente!$I$5:$I$1678)</f>
        <v>0</v>
      </c>
    </row>
    <row r="1064" spans="22:28" ht="13.8">
      <c r="V1064" s="661">
        <v>3532</v>
      </c>
      <c r="W1064" s="662">
        <f>+SUMIF(SYS_cliente!$F$5:$F$1678,'BCE ABREVIADO'!V1064,SYS_cliente!$I$5:$I$1678)</f>
        <v>0</v>
      </c>
      <c r="Z1064" s="666"/>
      <c r="AA1064" s="661">
        <v>4778</v>
      </c>
      <c r="AB1064" s="672">
        <f>+SUMIF(SYS_cliente!$F$5:$F$1678,'BCE ABREVIADO'!AA1064,SYS_cliente!$I$5:$I$1678)</f>
        <v>0</v>
      </c>
    </row>
    <row r="1065" spans="22:28" ht="13.8">
      <c r="V1065" s="661">
        <v>3533</v>
      </c>
      <c r="W1065" s="662">
        <f>+SUMIF(SYS_cliente!$F$5:$F$1678,'BCE ABREVIADO'!V1065,SYS_cliente!$I$5:$I$1678)</f>
        <v>0</v>
      </c>
      <c r="Z1065" s="666">
        <v>438</v>
      </c>
      <c r="AA1065" s="661">
        <v>4779</v>
      </c>
      <c r="AB1065" s="672">
        <f>+SUMIF(SYS_cliente!$F$5:$F$1678,'BCE ABREVIADO'!AA1065,SYS_cliente!$I$5:$I$1678)</f>
        <v>0</v>
      </c>
    </row>
    <row r="1066" spans="22:28" ht="13.8">
      <c r="V1066" s="661">
        <v>3534</v>
      </c>
      <c r="W1066" s="662">
        <f>+SUMIF(SYS_cliente!$F$5:$F$1678,'BCE ABREVIADO'!V1066,SYS_cliente!$I$5:$I$1678)</f>
        <v>0</v>
      </c>
      <c r="Z1066" s="666"/>
      <c r="AA1066" s="653" t="s">
        <v>105</v>
      </c>
      <c r="AB1066" s="667">
        <f>SUM(AB1067:AB1076)</f>
        <v>0</v>
      </c>
    </row>
    <row r="1067" spans="22:28" ht="13.8">
      <c r="V1067" s="661">
        <v>3535</v>
      </c>
      <c r="W1067" s="662">
        <f>+SUMIF(SYS_cliente!$F$5:$F$1678,'BCE ABREVIADO'!V1067,SYS_cliente!$I$5:$I$1678)</f>
        <v>0</v>
      </c>
      <c r="Z1067" s="666"/>
      <c r="AA1067" s="661">
        <v>4380</v>
      </c>
      <c r="AB1067" s="672">
        <f>+SUMIF(SYS_cliente!$F$5:$F$1678,'BCE ABREVIADO'!AA1067,SYS_cliente!$I$5:$I$1678)</f>
        <v>0</v>
      </c>
    </row>
    <row r="1068" spans="22:28" ht="13.8">
      <c r="V1068" s="661">
        <v>3536</v>
      </c>
      <c r="W1068" s="662">
        <f>+SUMIF(SYS_cliente!$F$5:$F$1678,'BCE ABREVIADO'!V1068,SYS_cliente!$I$5:$I$1678)</f>
        <v>0</v>
      </c>
      <c r="Z1068" s="666"/>
      <c r="AA1068" s="661">
        <v>4381</v>
      </c>
      <c r="AB1068" s="672">
        <f>+SUMIF(SYS_cliente!$F$5:$F$1678,'BCE ABREVIADO'!AA1068,SYS_cliente!$I$5:$I$1678)</f>
        <v>0</v>
      </c>
    </row>
    <row r="1069" spans="22:28" ht="13.8">
      <c r="V1069" s="661">
        <v>3537</v>
      </c>
      <c r="W1069" s="662">
        <f>+SUMIF(SYS_cliente!$F$5:$F$1678,'BCE ABREVIADO'!V1069,SYS_cliente!$I$5:$I$1678)</f>
        <v>0</v>
      </c>
      <c r="Z1069" s="666"/>
      <c r="AA1069" s="661">
        <v>4382</v>
      </c>
      <c r="AB1069" s="672">
        <f>+SUMIF(SYS_cliente!$F$5:$F$1678,'BCE ABREVIADO'!AA1069,SYS_cliente!$I$5:$I$1678)</f>
        <v>0</v>
      </c>
    </row>
    <row r="1070" spans="22:28" ht="13.8">
      <c r="V1070" s="661">
        <v>3538</v>
      </c>
      <c r="W1070" s="662">
        <f>+SUMIF(SYS_cliente!$F$5:$F$1678,'BCE ABREVIADO'!V1070,SYS_cliente!$I$5:$I$1678)</f>
        <v>0</v>
      </c>
      <c r="Z1070" s="666"/>
      <c r="AA1070" s="661">
        <v>4383</v>
      </c>
      <c r="AB1070" s="672">
        <f>+SUMIF(SYS_cliente!$F$5:$F$1678,'BCE ABREVIADO'!AA1070,SYS_cliente!$I$5:$I$1678)</f>
        <v>0</v>
      </c>
    </row>
    <row r="1071" spans="22:28" ht="13.8">
      <c r="V1071" s="661">
        <v>3539</v>
      </c>
      <c r="W1071" s="662">
        <f>+SUMIF(SYS_cliente!$F$5:$F$1678,'BCE ABREVIADO'!V1071,SYS_cliente!$I$5:$I$1678)</f>
        <v>0</v>
      </c>
      <c r="Z1071" s="666"/>
      <c r="AA1071" s="661">
        <v>4384</v>
      </c>
      <c r="AB1071" s="672">
        <f>+SUMIF(SYS_cliente!$F$5:$F$1678,'BCE ABREVIADO'!AA1071,SYS_cliente!$I$5:$I$1678)</f>
        <v>0</v>
      </c>
    </row>
    <row r="1072" spans="22:28" ht="13.8">
      <c r="V1072" s="661">
        <v>3540</v>
      </c>
      <c r="W1072" s="662">
        <f>+SUMIF(SYS_cliente!$F$5:$F$1678,'BCE ABREVIADO'!V1072,SYS_cliente!$I$5:$I$1678)</f>
        <v>0</v>
      </c>
      <c r="Z1072" s="666"/>
      <c r="AA1072" s="661">
        <v>4385</v>
      </c>
      <c r="AB1072" s="672">
        <f>+SUMIF(SYS_cliente!$F$5:$F$1678,'BCE ABREVIADO'!AA1072,SYS_cliente!$I$5:$I$1678)</f>
        <v>0</v>
      </c>
    </row>
    <row r="1073" spans="22:28" ht="13.8">
      <c r="V1073" s="661">
        <v>3541</v>
      </c>
      <c r="W1073" s="662">
        <f>+SUMIF(SYS_cliente!$F$5:$F$1678,'BCE ABREVIADO'!V1073,SYS_cliente!$I$5:$I$1678)</f>
        <v>0</v>
      </c>
      <c r="Z1073" s="666"/>
      <c r="AA1073" s="661">
        <v>4386</v>
      </c>
      <c r="AB1073" s="672">
        <f>+SUMIF(SYS_cliente!$F$5:$F$1678,'BCE ABREVIADO'!AA1073,SYS_cliente!$I$5:$I$1678)</f>
        <v>0</v>
      </c>
    </row>
    <row r="1074" spans="22:28" ht="13.8">
      <c r="V1074" s="661">
        <v>3542</v>
      </c>
      <c r="W1074" s="662">
        <f>+SUMIF(SYS_cliente!$F$5:$F$1678,'BCE ABREVIADO'!V1074,SYS_cliente!$I$5:$I$1678)</f>
        <v>0</v>
      </c>
      <c r="Z1074" s="666"/>
      <c r="AA1074" s="661">
        <v>4387</v>
      </c>
      <c r="AB1074" s="672">
        <f>+SUMIF(SYS_cliente!$F$5:$F$1678,'BCE ABREVIADO'!AA1074,SYS_cliente!$I$5:$I$1678)</f>
        <v>0</v>
      </c>
    </row>
    <row r="1075" spans="22:28" ht="13.8">
      <c r="V1075" s="661">
        <v>3543</v>
      </c>
      <c r="W1075" s="662">
        <f>+SUMIF(SYS_cliente!$F$5:$F$1678,'BCE ABREVIADO'!V1075,SYS_cliente!$I$5:$I$1678)</f>
        <v>0</v>
      </c>
      <c r="Z1075" s="666"/>
      <c r="AA1075" s="661">
        <v>4388</v>
      </c>
      <c r="AB1075" s="672">
        <f>+SUMIF(SYS_cliente!$F$5:$F$1678,'BCE ABREVIADO'!AA1075,SYS_cliente!$I$5:$I$1678)</f>
        <v>0</v>
      </c>
    </row>
    <row r="1076" spans="22:28" ht="13.8">
      <c r="V1076" s="661">
        <v>3544</v>
      </c>
      <c r="W1076" s="662">
        <f>+SUMIF(SYS_cliente!$F$5:$F$1678,'BCE ABREVIADO'!V1076,SYS_cliente!$I$5:$I$1678)</f>
        <v>0</v>
      </c>
      <c r="Z1076" s="666" t="s">
        <v>166</v>
      </c>
      <c r="AA1076" s="661">
        <v>4389</v>
      </c>
      <c r="AB1076" s="672">
        <f>+SUMIF(SYS_cliente!$F$5:$F$1678,'BCE ABREVIADO'!AA1076,SYS_cliente!$I$5:$I$1678)</f>
        <v>0</v>
      </c>
    </row>
    <row r="1077" spans="22:28" ht="13.8">
      <c r="V1077" s="661">
        <v>3545</v>
      </c>
      <c r="W1077" s="662">
        <f>+SUMIF(SYS_cliente!$F$5:$F$1678,'BCE ABREVIADO'!V1077,SYS_cliente!$I$5:$I$1678)</f>
        <v>0</v>
      </c>
      <c r="Z1077" s="666"/>
      <c r="AA1077" s="664" t="s">
        <v>106</v>
      </c>
      <c r="AB1077" s="642">
        <f>+AB1078+AB1088</f>
        <v>0</v>
      </c>
    </row>
    <row r="1078" spans="22:28" ht="13.8">
      <c r="V1078" s="661">
        <v>3546</v>
      </c>
      <c r="W1078" s="662">
        <f>+SUMIF(SYS_cliente!$F$5:$F$1678,'BCE ABREVIADO'!V1078,SYS_cliente!$I$5:$I$1678)</f>
        <v>0</v>
      </c>
      <c r="Z1078" s="666"/>
      <c r="AA1078" s="661">
        <v>4850</v>
      </c>
      <c r="AB1078" s="672">
        <f>+SUMIF(SYS_cliente!$F$5:$F$1678,'BCE ABREVIADO'!AA1078,SYS_cliente!$I$5:$I$1678)</f>
        <v>0</v>
      </c>
    </row>
    <row r="1079" spans="22:28" ht="13.8">
      <c r="V1079" s="661">
        <v>3547</v>
      </c>
      <c r="W1079" s="662">
        <f>+SUMIF(SYS_cliente!$F$5:$F$1678,'BCE ABREVIADO'!V1079,SYS_cliente!$I$5:$I$1678)</f>
        <v>0</v>
      </c>
      <c r="Z1079" s="666"/>
      <c r="AA1079" s="661">
        <v>4851</v>
      </c>
      <c r="AB1079" s="672">
        <f>+SUMIF(SYS_cliente!$F$5:$F$1678,'BCE ABREVIADO'!AA1079,SYS_cliente!$I$5:$I$1678)</f>
        <v>0</v>
      </c>
    </row>
    <row r="1080" spans="22:28" ht="13.8">
      <c r="V1080" s="661">
        <v>3548</v>
      </c>
      <c r="W1080" s="662">
        <f>+SUMIF(SYS_cliente!$F$5:$F$1678,'BCE ABREVIADO'!V1080,SYS_cliente!$I$5:$I$1678)</f>
        <v>0</v>
      </c>
      <c r="Z1080" s="666"/>
      <c r="AA1080" s="661">
        <v>4852</v>
      </c>
      <c r="AB1080" s="672">
        <f>+SUMIF(SYS_cliente!$F$5:$F$1678,'BCE ABREVIADO'!AA1080,SYS_cliente!$I$5:$I$1678)</f>
        <v>0</v>
      </c>
    </row>
    <row r="1081" spans="22:28" ht="13.8">
      <c r="V1081" s="661">
        <v>3549</v>
      </c>
      <c r="W1081" s="662">
        <f>+SUMIF(SYS_cliente!$F$5:$F$1678,'BCE ABREVIADO'!V1081,SYS_cliente!$I$5:$I$1678)</f>
        <v>0</v>
      </c>
      <c r="Z1081" s="666"/>
      <c r="AA1081" s="661">
        <v>4853</v>
      </c>
      <c r="AB1081" s="672">
        <f>+SUMIF(SYS_cliente!$F$5:$F$1678,'BCE ABREVIADO'!AA1081,SYS_cliente!$I$5:$I$1678)</f>
        <v>0</v>
      </c>
    </row>
    <row r="1082" spans="22:28" ht="13.8">
      <c r="V1082" s="661">
        <v>3550</v>
      </c>
      <c r="W1082" s="662">
        <f>+SUMIF(SYS_cliente!$F$5:$F$1678,'BCE ABREVIADO'!V1082,SYS_cliente!$I$5:$I$1678)</f>
        <v>0</v>
      </c>
      <c r="Z1082" s="666"/>
      <c r="AA1082" s="661">
        <v>4854</v>
      </c>
      <c r="AB1082" s="672">
        <f>+SUMIF(SYS_cliente!$F$5:$F$1678,'BCE ABREVIADO'!AA1082,SYS_cliente!$I$5:$I$1678)</f>
        <v>0</v>
      </c>
    </row>
    <row r="1083" spans="22:28" ht="13.8">
      <c r="V1083" s="661">
        <v>3551</v>
      </c>
      <c r="W1083" s="662">
        <f>+SUMIF(SYS_cliente!$F$5:$F$1678,'BCE ABREVIADO'!V1083,SYS_cliente!$I$5:$I$1678)</f>
        <v>0</v>
      </c>
      <c r="Z1083" s="666"/>
      <c r="AA1083" s="661">
        <v>4855</v>
      </c>
      <c r="AB1083" s="672">
        <f>+SUMIF(SYS_cliente!$F$5:$F$1678,'BCE ABREVIADO'!AA1083,SYS_cliente!$I$5:$I$1678)</f>
        <v>0</v>
      </c>
    </row>
    <row r="1084" spans="22:28" ht="13.8">
      <c r="V1084" s="661">
        <v>3552</v>
      </c>
      <c r="W1084" s="662">
        <f>+SUMIF(SYS_cliente!$F$5:$F$1678,'BCE ABREVIADO'!V1084,SYS_cliente!$I$5:$I$1678)</f>
        <v>0</v>
      </c>
      <c r="Z1084" s="666"/>
      <c r="AA1084" s="661">
        <v>4856</v>
      </c>
      <c r="AB1084" s="672">
        <f>+SUMIF(SYS_cliente!$F$5:$F$1678,'BCE ABREVIADO'!AA1084,SYS_cliente!$I$5:$I$1678)</f>
        <v>0</v>
      </c>
    </row>
    <row r="1085" spans="22:28" ht="13.8">
      <c r="V1085" s="661">
        <v>3553</v>
      </c>
      <c r="W1085" s="662">
        <f>+SUMIF(SYS_cliente!$F$5:$F$1678,'BCE ABREVIADO'!V1085,SYS_cliente!$I$5:$I$1678)</f>
        <v>0</v>
      </c>
      <c r="Z1085" s="666"/>
      <c r="AA1085" s="661">
        <v>4857</v>
      </c>
      <c r="AB1085" s="672">
        <f>+SUMIF(SYS_cliente!$F$5:$F$1678,'BCE ABREVIADO'!AA1085,SYS_cliente!$I$5:$I$1678)</f>
        <v>0</v>
      </c>
    </row>
    <row r="1086" spans="22:28" ht="13.8">
      <c r="V1086" s="661">
        <v>3554</v>
      </c>
      <c r="W1086" s="662">
        <f>+SUMIF(SYS_cliente!$F$5:$F$1678,'BCE ABREVIADO'!V1086,SYS_cliente!$I$5:$I$1678)</f>
        <v>0</v>
      </c>
      <c r="Z1086" s="666"/>
      <c r="AA1086" s="661">
        <v>4858</v>
      </c>
      <c r="AB1086" s="672">
        <f>+SUMIF(SYS_cliente!$F$5:$F$1678,'BCE ABREVIADO'!AA1086,SYS_cliente!$I$5:$I$1678)</f>
        <v>0</v>
      </c>
    </row>
    <row r="1087" spans="22:28" ht="13.8">
      <c r="V1087" s="661">
        <v>3555</v>
      </c>
      <c r="W1087" s="662">
        <f>+SUMIF(SYS_cliente!$F$5:$F$1678,'BCE ABREVIADO'!V1087,SYS_cliente!$I$5:$I$1678)</f>
        <v>0</v>
      </c>
      <c r="Z1087" s="666"/>
      <c r="AA1087" s="661">
        <v>4859</v>
      </c>
      <c r="AB1087" s="672">
        <f>+SUMIF(SYS_cliente!$F$5:$F$1678,'BCE ABREVIADO'!AA1087,SYS_cliente!$I$5:$I$1678)</f>
        <v>0</v>
      </c>
    </row>
    <row r="1088" spans="22:28" ht="13.8">
      <c r="V1088" s="661">
        <v>3556</v>
      </c>
      <c r="W1088" s="662">
        <f>+SUMIF(SYS_cliente!$F$5:$F$1678,'BCE ABREVIADO'!V1088,SYS_cliente!$I$5:$I$1678)</f>
        <v>0</v>
      </c>
      <c r="Z1088" s="666"/>
      <c r="AA1088" s="661">
        <v>5680</v>
      </c>
      <c r="AB1088" s="672">
        <f>+SUMIF(SYS_cliente!$F$5:$F$1678,'BCE ABREVIADO'!AA1088,SYS_cliente!$I$5:$I$1678)</f>
        <v>0</v>
      </c>
    </row>
    <row r="1089" spans="22:28" ht="13.8">
      <c r="V1089" s="661">
        <v>3557</v>
      </c>
      <c r="W1089" s="662">
        <f>+SUMIF(SYS_cliente!$F$5:$F$1678,'BCE ABREVIADO'!V1089,SYS_cliente!$I$5:$I$1678)</f>
        <v>0</v>
      </c>
      <c r="Z1089" s="666"/>
      <c r="AA1089" s="661">
        <v>5681</v>
      </c>
      <c r="AB1089" s="672">
        <f>+SUMIF(SYS_cliente!$F$5:$F$1678,'BCE ABREVIADO'!AA1089,SYS_cliente!$I$5:$I$1678)</f>
        <v>0</v>
      </c>
    </row>
    <row r="1090" spans="22:28" ht="13.8">
      <c r="V1090" s="661">
        <v>3558</v>
      </c>
      <c r="W1090" s="662">
        <f>+SUMIF(SYS_cliente!$F$5:$F$1678,'BCE ABREVIADO'!V1090,SYS_cliente!$I$5:$I$1678)</f>
        <v>0</v>
      </c>
      <c r="Z1090" s="666"/>
      <c r="AA1090" s="661">
        <v>5682</v>
      </c>
      <c r="AB1090" s="672">
        <f>+SUMIF(SYS_cliente!$F$5:$F$1678,'BCE ABREVIADO'!AA1090,SYS_cliente!$I$5:$I$1678)</f>
        <v>0</v>
      </c>
    </row>
    <row r="1091" spans="22:28" ht="13.8">
      <c r="V1091" s="661">
        <v>3559</v>
      </c>
      <c r="W1091" s="662">
        <f>+SUMIF(SYS_cliente!$F$5:$F$1678,'BCE ABREVIADO'!V1091,SYS_cliente!$I$5:$I$1678)</f>
        <v>0</v>
      </c>
      <c r="Z1091" s="666"/>
      <c r="AA1091" s="661">
        <v>5683</v>
      </c>
      <c r="AB1091" s="672">
        <f>+SUMIF(SYS_cliente!$F$5:$F$1678,'BCE ABREVIADO'!AA1091,SYS_cliente!$I$5:$I$1678)</f>
        <v>0</v>
      </c>
    </row>
    <row r="1092" spans="22:28" ht="13.8">
      <c r="V1092" s="661">
        <v>3560</v>
      </c>
      <c r="W1092" s="662">
        <f>+SUMIF(SYS_cliente!$F$5:$F$1678,'BCE ABREVIADO'!V1092,SYS_cliente!$I$5:$I$1678)</f>
        <v>0</v>
      </c>
      <c r="Z1092" s="666"/>
      <c r="AA1092" s="661">
        <v>5684</v>
      </c>
      <c r="AB1092" s="672">
        <f>+SUMIF(SYS_cliente!$F$5:$F$1678,'BCE ABREVIADO'!AA1092,SYS_cliente!$I$5:$I$1678)</f>
        <v>0</v>
      </c>
    </row>
    <row r="1093" spans="22:28" ht="13.8">
      <c r="V1093" s="661">
        <v>3561</v>
      </c>
      <c r="W1093" s="662">
        <f>+SUMIF(SYS_cliente!$F$5:$F$1678,'BCE ABREVIADO'!V1093,SYS_cliente!$I$5:$I$1678)</f>
        <v>0</v>
      </c>
      <c r="Z1093" s="666"/>
      <c r="AA1093" s="661">
        <v>5685</v>
      </c>
      <c r="AB1093" s="672">
        <f>+SUMIF(SYS_cliente!$F$5:$F$1678,'BCE ABREVIADO'!AA1093,SYS_cliente!$I$5:$I$1678)</f>
        <v>0</v>
      </c>
    </row>
    <row r="1094" spans="22:28" ht="13.8">
      <c r="V1094" s="661">
        <v>3562</v>
      </c>
      <c r="W1094" s="662">
        <f>+SUMIF(SYS_cliente!$F$5:$F$1678,'BCE ABREVIADO'!V1094,SYS_cliente!$I$5:$I$1678)</f>
        <v>0</v>
      </c>
      <c r="Z1094" s="666"/>
      <c r="AA1094" s="661">
        <v>5686</v>
      </c>
      <c r="AB1094" s="672">
        <f>+SUMIF(SYS_cliente!$F$5:$F$1678,'BCE ABREVIADO'!AA1094,SYS_cliente!$I$5:$I$1678)</f>
        <v>0</v>
      </c>
    </row>
    <row r="1095" spans="22:28" ht="13.8">
      <c r="V1095" s="661">
        <v>3563</v>
      </c>
      <c r="W1095" s="662">
        <f>+SUMIF(SYS_cliente!$F$5:$F$1678,'BCE ABREVIADO'!V1095,SYS_cliente!$I$5:$I$1678)</f>
        <v>0</v>
      </c>
      <c r="Z1095" s="666"/>
      <c r="AA1095" s="661">
        <v>5687</v>
      </c>
      <c r="AB1095" s="672">
        <f>+SUMIF(SYS_cliente!$F$5:$F$1678,'BCE ABREVIADO'!AA1095,SYS_cliente!$I$5:$I$1678)</f>
        <v>0</v>
      </c>
    </row>
    <row r="1096" spans="22:28" ht="13.8">
      <c r="V1096" s="661">
        <v>3564</v>
      </c>
      <c r="W1096" s="662">
        <f>+SUMIF(SYS_cliente!$F$5:$F$1678,'BCE ABREVIADO'!V1096,SYS_cliente!$I$5:$I$1678)</f>
        <v>0</v>
      </c>
      <c r="Z1096" s="666"/>
      <c r="AA1096" s="661">
        <v>5688</v>
      </c>
      <c r="AB1096" s="672">
        <f>+SUMIF(SYS_cliente!$F$5:$F$1678,'BCE ABREVIADO'!AA1096,SYS_cliente!$I$5:$I$1678)</f>
        <v>0</v>
      </c>
    </row>
    <row r="1097" spans="22:28" ht="13.8">
      <c r="V1097" s="661">
        <v>3565</v>
      </c>
      <c r="W1097" s="662">
        <f>+SUMIF(SYS_cliente!$F$5:$F$1678,'BCE ABREVIADO'!V1097,SYS_cliente!$I$5:$I$1678)</f>
        <v>0</v>
      </c>
      <c r="Z1097" s="666" t="s">
        <v>167</v>
      </c>
      <c r="AA1097" s="661">
        <v>5689</v>
      </c>
      <c r="AB1097" s="672">
        <f>+SUMIF(SYS_cliente!$F$5:$F$1678,'BCE ABREVIADO'!AA1097,SYS_cliente!$I$5:$I$1678)</f>
        <v>0</v>
      </c>
    </row>
    <row r="1098" spans="22:28" ht="13.8">
      <c r="V1098" s="661">
        <v>3566</v>
      </c>
      <c r="W1098" s="662">
        <f>+SUMIF(SYS_cliente!$F$5:$F$1678,'BCE ABREVIADO'!V1098,SYS_cliente!$I$5:$I$1678)</f>
        <v>0</v>
      </c>
      <c r="Z1098" s="666"/>
      <c r="AA1098" s="664" t="s">
        <v>107</v>
      </c>
      <c r="AB1098" s="642">
        <f>SUM(AB1099:AB1128)</f>
        <v>0</v>
      </c>
    </row>
    <row r="1099" spans="22:28" ht="13.8">
      <c r="V1099" s="661">
        <v>3567</v>
      </c>
      <c r="W1099" s="662">
        <f>+SUMIF(SYS_cliente!$F$5:$F$1678,'BCE ABREVIADO'!V1099,SYS_cliente!$I$5:$I$1678)</f>
        <v>0</v>
      </c>
      <c r="Z1099" s="666"/>
      <c r="AA1099" s="661">
        <v>1950</v>
      </c>
      <c r="AB1099" s="672">
        <f>+SUMIF(SYS_cliente!$F$5:$F$1678,'BCE ABREVIADO'!AA1099,SYS_cliente!$I$5:$I$1678)</f>
        <v>0</v>
      </c>
    </row>
    <row r="1100" spans="22:28" ht="13.8">
      <c r="V1100" s="661">
        <v>3568</v>
      </c>
      <c r="W1100" s="662">
        <f>+SUMIF(SYS_cliente!$F$5:$F$1678,'BCE ABREVIADO'!V1100,SYS_cliente!$I$5:$I$1678)</f>
        <v>0</v>
      </c>
      <c r="Z1100" s="666"/>
      <c r="AA1100" s="661">
        <v>1951</v>
      </c>
      <c r="AB1100" s="672">
        <f>+SUMIF(SYS_cliente!$F$5:$F$1678,'BCE ABREVIADO'!AA1100,SYS_cliente!$I$5:$I$1678)</f>
        <v>0</v>
      </c>
    </row>
    <row r="1101" spans="22:28" ht="13.8">
      <c r="V1101" s="661">
        <v>3569</v>
      </c>
      <c r="W1101" s="662">
        <f>+SUMIF(SYS_cliente!$F$5:$F$1678,'BCE ABREVIADO'!V1101,SYS_cliente!$I$5:$I$1678)</f>
        <v>0</v>
      </c>
      <c r="Z1101" s="666"/>
      <c r="AA1101" s="661">
        <v>1952</v>
      </c>
      <c r="AB1101" s="672">
        <f>+SUMIF(SYS_cliente!$F$5:$F$1678,'BCE ABREVIADO'!AA1101,SYS_cliente!$I$5:$I$1678)</f>
        <v>0</v>
      </c>
    </row>
    <row r="1102" spans="22:28" ht="13.8">
      <c r="V1102" s="661">
        <v>3570</v>
      </c>
      <c r="W1102" s="662">
        <f>+SUMIF(SYS_cliente!$F$5:$F$1678,'BCE ABREVIADO'!V1102,SYS_cliente!$I$5:$I$1678)</f>
        <v>0</v>
      </c>
      <c r="Z1102" s="666"/>
      <c r="AA1102" s="661">
        <v>1953</v>
      </c>
      <c r="AB1102" s="672">
        <f>+SUMIF(SYS_cliente!$F$5:$F$1678,'BCE ABREVIADO'!AA1102,SYS_cliente!$I$5:$I$1678)</f>
        <v>0</v>
      </c>
    </row>
    <row r="1103" spans="22:28" ht="13.8">
      <c r="V1103" s="661">
        <v>3571</v>
      </c>
      <c r="W1103" s="662">
        <f>+SUMIF(SYS_cliente!$F$5:$F$1678,'BCE ABREVIADO'!V1103,SYS_cliente!$I$5:$I$1678)</f>
        <v>0</v>
      </c>
      <c r="Z1103" s="666"/>
      <c r="AA1103" s="661">
        <v>1954</v>
      </c>
      <c r="AB1103" s="672">
        <f>+SUMIF(SYS_cliente!$F$5:$F$1678,'BCE ABREVIADO'!AA1103,SYS_cliente!$I$5:$I$1678)</f>
        <v>0</v>
      </c>
    </row>
    <row r="1104" spans="22:28" ht="13.8">
      <c r="V1104" s="661">
        <v>3572</v>
      </c>
      <c r="W1104" s="662">
        <f>+SUMIF(SYS_cliente!$F$5:$F$1678,'BCE ABREVIADO'!V1104,SYS_cliente!$I$5:$I$1678)</f>
        <v>0</v>
      </c>
      <c r="Z1104" s="666"/>
      <c r="AA1104" s="661">
        <v>1955</v>
      </c>
      <c r="AB1104" s="672">
        <f>+SUMIF(SYS_cliente!$F$5:$F$1678,'BCE ABREVIADO'!AA1104,SYS_cliente!$I$5:$I$1678)</f>
        <v>0</v>
      </c>
    </row>
    <row r="1105" spans="22:28" ht="13.8">
      <c r="V1105" s="661">
        <v>3573</v>
      </c>
      <c r="W1105" s="662">
        <f>+SUMIF(SYS_cliente!$F$5:$F$1678,'BCE ABREVIADO'!V1105,SYS_cliente!$I$5:$I$1678)</f>
        <v>0</v>
      </c>
      <c r="Z1105" s="666"/>
      <c r="AA1105" s="661">
        <v>1956</v>
      </c>
      <c r="AB1105" s="672">
        <f>+SUMIF(SYS_cliente!$F$5:$F$1678,'BCE ABREVIADO'!AA1105,SYS_cliente!$I$5:$I$1678)</f>
        <v>0</v>
      </c>
    </row>
    <row r="1106" spans="22:28" ht="13.8">
      <c r="V1106" s="661">
        <v>3574</v>
      </c>
      <c r="W1106" s="662">
        <f>+SUMIF(SYS_cliente!$F$5:$F$1678,'BCE ABREVIADO'!V1106,SYS_cliente!$I$5:$I$1678)</f>
        <v>0</v>
      </c>
      <c r="Z1106" s="666"/>
      <c r="AA1106" s="661">
        <v>1957</v>
      </c>
      <c r="AB1106" s="672">
        <f>+SUMIF(SYS_cliente!$F$5:$F$1678,'BCE ABREVIADO'!AA1106,SYS_cliente!$I$5:$I$1678)</f>
        <v>0</v>
      </c>
    </row>
    <row r="1107" spans="22:28" ht="13.8">
      <c r="V1107" s="661">
        <v>3575</v>
      </c>
      <c r="W1107" s="662">
        <f>+SUMIF(SYS_cliente!$F$5:$F$1678,'BCE ABREVIADO'!V1107,SYS_cliente!$I$5:$I$1678)</f>
        <v>0</v>
      </c>
      <c r="Z1107" s="666"/>
      <c r="AA1107" s="661">
        <v>1958</v>
      </c>
      <c r="AB1107" s="672">
        <f>+SUMIF(SYS_cliente!$F$5:$F$1678,'BCE ABREVIADO'!AA1107,SYS_cliente!$I$5:$I$1678)</f>
        <v>0</v>
      </c>
    </row>
    <row r="1108" spans="22:28" ht="13.8">
      <c r="V1108" s="661">
        <v>3576</v>
      </c>
      <c r="W1108" s="662">
        <f>+SUMIF(SYS_cliente!$F$5:$F$1678,'BCE ABREVIADO'!V1108,SYS_cliente!$I$5:$I$1678)</f>
        <v>0</v>
      </c>
      <c r="Z1108" s="666"/>
      <c r="AA1108" s="661">
        <v>1959</v>
      </c>
      <c r="AB1108" s="672">
        <f>+SUMIF(SYS_cliente!$F$5:$F$1678,'BCE ABREVIADO'!AA1108,SYS_cliente!$I$5:$I$1678)</f>
        <v>0</v>
      </c>
    </row>
    <row r="1109" spans="22:28" ht="13.8">
      <c r="V1109" s="661">
        <v>3577</v>
      </c>
      <c r="W1109" s="662">
        <f>+SUMIF(SYS_cliente!$F$5:$F$1678,'BCE ABREVIADO'!V1109,SYS_cliente!$I$5:$I$1678)</f>
        <v>0</v>
      </c>
      <c r="Z1109" s="666"/>
      <c r="AA1109" s="661">
        <v>1970</v>
      </c>
      <c r="AB1109" s="672">
        <f>+SUMIF(SYS_cliente!$F$5:$F$1678,'BCE ABREVIADO'!AA1109,SYS_cliente!$I$5:$I$1678)</f>
        <v>0</v>
      </c>
    </row>
    <row r="1110" spans="22:28" ht="13.8">
      <c r="V1110" s="661">
        <v>3578</v>
      </c>
      <c r="W1110" s="662">
        <f>+SUMIF(SYS_cliente!$F$5:$F$1678,'BCE ABREVIADO'!V1110,SYS_cliente!$I$5:$I$1678)</f>
        <v>0</v>
      </c>
      <c r="Z1110" s="666"/>
      <c r="AA1110" s="661">
        <v>1971</v>
      </c>
      <c r="AB1110" s="672">
        <f>+SUMIF(SYS_cliente!$F$5:$F$1678,'BCE ABREVIADO'!AA1110,SYS_cliente!$I$5:$I$1678)</f>
        <v>0</v>
      </c>
    </row>
    <row r="1111" spans="22:28" ht="13.8">
      <c r="V1111" s="661">
        <v>3579</v>
      </c>
      <c r="W1111" s="662">
        <f>+SUMIF(SYS_cliente!$F$5:$F$1678,'BCE ABREVIADO'!V1111,SYS_cliente!$I$5:$I$1678)</f>
        <v>0</v>
      </c>
      <c r="Z1111" s="666"/>
      <c r="AA1111" s="661">
        <v>1972</v>
      </c>
      <c r="AB1111" s="672">
        <f>+SUMIF(SYS_cliente!$F$5:$F$1678,'BCE ABREVIADO'!AA1111,SYS_cliente!$I$5:$I$1678)</f>
        <v>0</v>
      </c>
    </row>
    <row r="1112" spans="22:28" ht="13.8">
      <c r="V1112" s="661">
        <v>3580</v>
      </c>
      <c r="W1112" s="662">
        <f>+SUMIF(SYS_cliente!$F$5:$F$1678,'BCE ABREVIADO'!V1112,SYS_cliente!$I$5:$I$1678)</f>
        <v>0</v>
      </c>
      <c r="Z1112" s="666"/>
      <c r="AA1112" s="661">
        <v>1973</v>
      </c>
      <c r="AB1112" s="672">
        <f>+SUMIF(SYS_cliente!$F$5:$F$1678,'BCE ABREVIADO'!AA1112,SYS_cliente!$I$5:$I$1678)</f>
        <v>0</v>
      </c>
    </row>
    <row r="1113" spans="22:28" ht="13.8">
      <c r="V1113" s="661">
        <v>3581</v>
      </c>
      <c r="W1113" s="662">
        <f>+SUMIF(SYS_cliente!$F$5:$F$1678,'BCE ABREVIADO'!V1113,SYS_cliente!$I$5:$I$1678)</f>
        <v>0</v>
      </c>
      <c r="Z1113" s="666"/>
      <c r="AA1113" s="661">
        <v>1974</v>
      </c>
      <c r="AB1113" s="672">
        <f>+SUMIF(SYS_cliente!$F$5:$F$1678,'BCE ABREVIADO'!AA1113,SYS_cliente!$I$5:$I$1678)</f>
        <v>0</v>
      </c>
    </row>
    <row r="1114" spans="22:28" ht="13.8">
      <c r="V1114" s="661">
        <v>3582</v>
      </c>
      <c r="W1114" s="662">
        <f>+SUMIF(SYS_cliente!$F$5:$F$1678,'BCE ABREVIADO'!V1114,SYS_cliente!$I$5:$I$1678)</f>
        <v>0</v>
      </c>
      <c r="Z1114" s="666"/>
      <c r="AA1114" s="661">
        <v>1975</v>
      </c>
      <c r="AB1114" s="672">
        <f>+SUMIF(SYS_cliente!$F$5:$F$1678,'BCE ABREVIADO'!AA1114,SYS_cliente!$I$5:$I$1678)</f>
        <v>0</v>
      </c>
    </row>
    <row r="1115" spans="22:28" ht="13.8">
      <c r="V1115" s="661">
        <v>3583</v>
      </c>
      <c r="W1115" s="662">
        <f>+SUMIF(SYS_cliente!$F$5:$F$1678,'BCE ABREVIADO'!V1115,SYS_cliente!$I$5:$I$1678)</f>
        <v>0</v>
      </c>
      <c r="Z1115" s="666"/>
      <c r="AA1115" s="661">
        <v>1976</v>
      </c>
      <c r="AB1115" s="672">
        <f>+SUMIF(SYS_cliente!$F$5:$F$1678,'BCE ABREVIADO'!AA1115,SYS_cliente!$I$5:$I$1678)</f>
        <v>0</v>
      </c>
    </row>
    <row r="1116" spans="22:28" ht="13.8">
      <c r="V1116" s="661">
        <v>3584</v>
      </c>
      <c r="W1116" s="662">
        <f>+SUMIF(SYS_cliente!$F$5:$F$1678,'BCE ABREVIADO'!V1116,SYS_cliente!$I$5:$I$1678)</f>
        <v>0</v>
      </c>
      <c r="Z1116" s="666"/>
      <c r="AA1116" s="661">
        <v>1977</v>
      </c>
      <c r="AB1116" s="672">
        <f>+SUMIF(SYS_cliente!$F$5:$F$1678,'BCE ABREVIADO'!AA1116,SYS_cliente!$I$5:$I$1678)</f>
        <v>0</v>
      </c>
    </row>
    <row r="1117" spans="22:28" ht="13.8">
      <c r="V1117" s="661">
        <v>3585</v>
      </c>
      <c r="W1117" s="662">
        <f>+SUMIF(SYS_cliente!$F$5:$F$1678,'BCE ABREVIADO'!V1117,SYS_cliente!$I$5:$I$1678)</f>
        <v>0</v>
      </c>
      <c r="Z1117" s="666"/>
      <c r="AA1117" s="661">
        <v>1978</v>
      </c>
      <c r="AB1117" s="672">
        <f>+SUMIF(SYS_cliente!$F$5:$F$1678,'BCE ABREVIADO'!AA1117,SYS_cliente!$I$5:$I$1678)</f>
        <v>0</v>
      </c>
    </row>
    <row r="1118" spans="22:28" ht="13.8">
      <c r="V1118" s="661">
        <v>3586</v>
      </c>
      <c r="W1118" s="662">
        <f>+SUMIF(SYS_cliente!$F$5:$F$1678,'BCE ABREVIADO'!V1118,SYS_cliente!$I$5:$I$1678)</f>
        <v>0</v>
      </c>
      <c r="Z1118" s="666"/>
      <c r="AA1118" s="661">
        <v>1979</v>
      </c>
      <c r="AB1118" s="672">
        <f>+SUMIF(SYS_cliente!$F$5:$F$1678,'BCE ABREVIADO'!AA1118,SYS_cliente!$I$5:$I$1678)</f>
        <v>0</v>
      </c>
    </row>
    <row r="1119" spans="22:28" ht="13.8">
      <c r="V1119" s="661">
        <v>3587</v>
      </c>
      <c r="W1119" s="662">
        <f>+SUMIF(SYS_cliente!$F$5:$F$1678,'BCE ABREVIADO'!V1119,SYS_cliente!$I$5:$I$1678)</f>
        <v>0</v>
      </c>
      <c r="Z1119" s="666"/>
      <c r="AA1119" s="661">
        <v>1990</v>
      </c>
      <c r="AB1119" s="672">
        <f>+SUMIF(SYS_cliente!$F$5:$F$1678,'BCE ABREVIADO'!AA1119,SYS_cliente!$I$5:$I$1678)</f>
        <v>0</v>
      </c>
    </row>
    <row r="1120" spans="22:28" ht="13.8">
      <c r="V1120" s="661">
        <v>3588</v>
      </c>
      <c r="W1120" s="662">
        <f>+SUMIF(SYS_cliente!$F$5:$F$1678,'BCE ABREVIADO'!V1120,SYS_cliente!$I$5:$I$1678)</f>
        <v>0</v>
      </c>
      <c r="Z1120" s="666"/>
      <c r="AA1120" s="661">
        <v>1991</v>
      </c>
      <c r="AB1120" s="672">
        <f>+SUMIF(SYS_cliente!$F$5:$F$1678,'BCE ABREVIADO'!AA1120,SYS_cliente!$I$5:$I$1678)</f>
        <v>0</v>
      </c>
    </row>
    <row r="1121" spans="22:28" ht="13.8">
      <c r="V1121" s="661">
        <v>3589</v>
      </c>
      <c r="W1121" s="662">
        <f>+SUMIF(SYS_cliente!$F$5:$F$1678,'BCE ABREVIADO'!V1121,SYS_cliente!$I$5:$I$1678)</f>
        <v>0</v>
      </c>
      <c r="Z1121" s="666"/>
      <c r="AA1121" s="661">
        <v>1992</v>
      </c>
      <c r="AB1121" s="672">
        <f>+SUMIF(SYS_cliente!$F$5:$F$1678,'BCE ABREVIADO'!AA1121,SYS_cliente!$I$5:$I$1678)</f>
        <v>0</v>
      </c>
    </row>
    <row r="1122" spans="22:28" ht="13.8">
      <c r="V1122" s="661">
        <v>3590</v>
      </c>
      <c r="W1122" s="662">
        <f>+SUMIF(SYS_cliente!$F$5:$F$1678,'BCE ABREVIADO'!V1122,SYS_cliente!$I$5:$I$1678)</f>
        <v>0</v>
      </c>
      <c r="Z1122" s="666"/>
      <c r="AA1122" s="661">
        <v>1993</v>
      </c>
      <c r="AB1122" s="672">
        <f>+SUMIF(SYS_cliente!$F$5:$F$1678,'BCE ABREVIADO'!AA1122,SYS_cliente!$I$5:$I$1678)</f>
        <v>0</v>
      </c>
    </row>
    <row r="1123" spans="22:28" ht="13.8">
      <c r="V1123" s="661">
        <v>3591</v>
      </c>
      <c r="W1123" s="662">
        <f>+SUMIF(SYS_cliente!$F$5:$F$1678,'BCE ABREVIADO'!V1123,SYS_cliente!$I$5:$I$1678)</f>
        <v>0</v>
      </c>
      <c r="Z1123" s="666"/>
      <c r="AA1123" s="661">
        <v>1994</v>
      </c>
      <c r="AB1123" s="672">
        <f>+SUMIF(SYS_cliente!$F$5:$F$1678,'BCE ABREVIADO'!AA1123,SYS_cliente!$I$5:$I$1678)</f>
        <v>0</v>
      </c>
    </row>
    <row r="1124" spans="22:28" ht="13.8">
      <c r="V1124" s="661">
        <v>3592</v>
      </c>
      <c r="W1124" s="662">
        <f>+SUMIF(SYS_cliente!$F$5:$F$1678,'BCE ABREVIADO'!V1124,SYS_cliente!$I$5:$I$1678)</f>
        <v>0</v>
      </c>
      <c r="Z1124" s="666"/>
      <c r="AA1124" s="661">
        <v>1995</v>
      </c>
      <c r="AB1124" s="672">
        <f>+SUMIF(SYS_cliente!$F$5:$F$1678,'BCE ABREVIADO'!AA1124,SYS_cliente!$I$5:$I$1678)</f>
        <v>0</v>
      </c>
    </row>
    <row r="1125" spans="22:28" ht="13.8">
      <c r="V1125" s="661">
        <v>3593</v>
      </c>
      <c r="W1125" s="662">
        <f>+SUMIF(SYS_cliente!$F$5:$F$1678,'BCE ABREVIADO'!V1125,SYS_cliente!$I$5:$I$1678)</f>
        <v>0</v>
      </c>
      <c r="Z1125" s="666"/>
      <c r="AA1125" s="661">
        <v>1996</v>
      </c>
      <c r="AB1125" s="672">
        <f>+SUMIF(SYS_cliente!$F$5:$F$1678,'BCE ABREVIADO'!AA1125,SYS_cliente!$I$5:$I$1678)</f>
        <v>0</v>
      </c>
    </row>
    <row r="1126" spans="22:28" ht="13.8">
      <c r="V1126" s="661">
        <v>3594</v>
      </c>
      <c r="W1126" s="662">
        <f>+SUMIF(SYS_cliente!$F$5:$F$1678,'BCE ABREVIADO'!V1126,SYS_cliente!$I$5:$I$1678)</f>
        <v>0</v>
      </c>
      <c r="Z1126" s="666"/>
      <c r="AA1126" s="661">
        <v>1997</v>
      </c>
      <c r="AB1126" s="672">
        <f>+SUMIF(SYS_cliente!$F$5:$F$1678,'BCE ABREVIADO'!AA1126,SYS_cliente!$I$5:$I$1678)</f>
        <v>0</v>
      </c>
    </row>
    <row r="1127" spans="22:28" ht="13.8">
      <c r="V1127" s="661">
        <v>3595</v>
      </c>
      <c r="W1127" s="662">
        <f>+SUMIF(SYS_cliente!$F$5:$F$1678,'BCE ABREVIADO'!V1127,SYS_cliente!$I$5:$I$1678)</f>
        <v>0</v>
      </c>
      <c r="AA1127" s="661">
        <v>1998</v>
      </c>
      <c r="AB1127" s="672">
        <f>+SUMIF(SYS_cliente!$F$5:$F$1678,'BCE ABREVIADO'!AA1127,SYS_cliente!$I$5:$I$1678)</f>
        <v>0</v>
      </c>
    </row>
    <row r="1128" spans="22:28" ht="13.8">
      <c r="V1128" s="661">
        <v>3596</v>
      </c>
      <c r="W1128" s="662">
        <f>+SUMIF(SYS_cliente!$F$5:$F$1678,'BCE ABREVIADO'!V1128,SYS_cliente!$I$5:$I$1678)</f>
        <v>0</v>
      </c>
      <c r="AA1128" s="661">
        <v>1999</v>
      </c>
      <c r="AB1128" s="672">
        <f>+SUMIF(SYS_cliente!$F$5:$F$1678,'BCE ABREVIADO'!AA1128,SYS_cliente!$I$5:$I$1678)</f>
        <v>0</v>
      </c>
    </row>
    <row r="1129" spans="22:28" ht="17.399999999999999">
      <c r="V1129" s="661">
        <v>3597</v>
      </c>
      <c r="W1129" s="662">
        <f>+SUMIF(SYS_cliente!$F$5:$F$1678,'BCE ABREVIADO'!V1129,SYS_cliente!$I$5:$I$1678)</f>
        <v>0</v>
      </c>
      <c r="AA1129" s="620" t="s">
        <v>108</v>
      </c>
      <c r="AB1129" s="623"/>
    </row>
    <row r="1130" spans="22:28" ht="13.8">
      <c r="V1130" s="661">
        <v>3598</v>
      </c>
      <c r="W1130" s="662">
        <f>+SUMIF(SYS_cliente!$F$5:$F$1678,'BCE ABREVIADO'!V1130,SYS_cliente!$I$5:$I$1678)</f>
        <v>0</v>
      </c>
    </row>
    <row r="1131" spans="22:28" ht="13.8">
      <c r="V1131" s="661">
        <v>3599</v>
      </c>
      <c r="W1131" s="662">
        <f>+SUMIF(SYS_cliente!$F$5:$F$1678,'BCE ABREVIADO'!V1131,SYS_cliente!$I$5:$I$1678)</f>
        <v>0</v>
      </c>
    </row>
    <row r="1132" spans="22:28" ht="13.8">
      <c r="V1132" s="661">
        <v>3950</v>
      </c>
      <c r="W1132" s="662">
        <f>+SUMIF(SYS_cliente!$F$5:$F$1678,'BCE ABREVIADO'!V1132,SYS_cliente!$I$5:$I$1678)</f>
        <v>0</v>
      </c>
    </row>
    <row r="1133" spans="22:28" ht="13.8">
      <c r="V1133" s="661">
        <v>3951</v>
      </c>
      <c r="W1133" s="662">
        <f>+SUMIF(SYS_cliente!$F$5:$F$1678,'BCE ABREVIADO'!V1133,SYS_cliente!$I$5:$I$1678)</f>
        <v>0</v>
      </c>
    </row>
    <row r="1134" spans="22:28" ht="13.8">
      <c r="V1134" s="661">
        <v>3952</v>
      </c>
      <c r="W1134" s="662">
        <f>+SUMIF(SYS_cliente!$F$5:$F$1678,'BCE ABREVIADO'!V1134,SYS_cliente!$I$5:$I$1678)</f>
        <v>0</v>
      </c>
    </row>
    <row r="1135" spans="22:28" ht="13.8">
      <c r="V1135" s="661">
        <v>3953</v>
      </c>
      <c r="W1135" s="662">
        <f>+SUMIF(SYS_cliente!$F$5:$F$1678,'BCE ABREVIADO'!V1135,SYS_cliente!$I$5:$I$1678)</f>
        <v>0</v>
      </c>
    </row>
    <row r="1136" spans="22:28" ht="13.8">
      <c r="V1136" s="661">
        <v>3954</v>
      </c>
      <c r="W1136" s="662">
        <f>+SUMIF(SYS_cliente!$F$5:$F$1678,'BCE ABREVIADO'!V1136,SYS_cliente!$I$5:$I$1678)</f>
        <v>0</v>
      </c>
    </row>
    <row r="1137" spans="21:23" ht="13.8">
      <c r="V1137" s="661">
        <v>3955</v>
      </c>
      <c r="W1137" s="662">
        <f>+SUMIF(SYS_cliente!$F$5:$F$1678,'BCE ABREVIADO'!V1137,SYS_cliente!$I$5:$I$1678)</f>
        <v>0</v>
      </c>
    </row>
    <row r="1138" spans="21:23" ht="13.8">
      <c r="V1138" s="661">
        <v>3956</v>
      </c>
      <c r="W1138" s="662">
        <f>+SUMIF(SYS_cliente!$F$5:$F$1678,'BCE ABREVIADO'!V1138,SYS_cliente!$I$5:$I$1678)</f>
        <v>0</v>
      </c>
    </row>
    <row r="1139" spans="21:23" ht="13.8">
      <c r="V1139" s="661">
        <v>3957</v>
      </c>
      <c r="W1139" s="662">
        <f>+SUMIF(SYS_cliente!$F$5:$F$1678,'BCE ABREVIADO'!V1139,SYS_cliente!$I$5:$I$1678)</f>
        <v>0</v>
      </c>
    </row>
    <row r="1140" spans="21:23" ht="13.8">
      <c r="V1140" s="661">
        <v>3958</v>
      </c>
      <c r="W1140" s="662">
        <f>+SUMIF(SYS_cliente!$F$5:$F$1678,'BCE ABREVIADO'!V1140,SYS_cliente!$I$5:$I$1678)</f>
        <v>0</v>
      </c>
    </row>
    <row r="1141" spans="21:23" ht="13.8">
      <c r="V1141" s="661">
        <v>3959</v>
      </c>
      <c r="W1141" s="662">
        <f>+SUMIF(SYS_cliente!$F$5:$F$1678,'BCE ABREVIADO'!V1141,SYS_cliente!$I$5:$I$1678)</f>
        <v>0</v>
      </c>
    </row>
    <row r="1142" spans="21:23" ht="13.8">
      <c r="U1142" s="715" t="s">
        <v>129</v>
      </c>
      <c r="V1142" s="653" t="s">
        <v>34</v>
      </c>
      <c r="W1142" s="654">
        <f>SUM(W1143:W1472)</f>
        <v>0</v>
      </c>
    </row>
    <row r="1143" spans="21:23" ht="13.8">
      <c r="V1143" s="661">
        <v>3300</v>
      </c>
      <c r="W1143" s="662">
        <f>+SUMIF(SYS_cliente!$F$5:$F$1678,'BCE ABREVIADO'!V1143,SYS_cliente!$I$5:$I$1678)</f>
        <v>0</v>
      </c>
    </row>
    <row r="1144" spans="21:23" ht="13.8">
      <c r="V1144" s="661">
        <v>3301</v>
      </c>
      <c r="W1144" s="662">
        <f>+SUMIF(SYS_cliente!$F$5:$F$1678,'BCE ABREVIADO'!V1144,SYS_cliente!$I$5:$I$1678)</f>
        <v>0</v>
      </c>
    </row>
    <row r="1145" spans="21:23" ht="13.8">
      <c r="V1145" s="661">
        <v>3302</v>
      </c>
      <c r="W1145" s="662">
        <f>+SUMIF(SYS_cliente!$F$5:$F$1678,'BCE ABREVIADO'!V1145,SYS_cliente!$I$5:$I$1678)</f>
        <v>0</v>
      </c>
    </row>
    <row r="1146" spans="21:23" ht="13.8">
      <c r="V1146" s="661">
        <v>3303</v>
      </c>
      <c r="W1146" s="662">
        <f>+SUMIF(SYS_cliente!$F$5:$F$1678,'BCE ABREVIADO'!V1146,SYS_cliente!$I$5:$I$1678)</f>
        <v>0</v>
      </c>
    </row>
    <row r="1147" spans="21:23" ht="13.8">
      <c r="V1147" s="661">
        <v>3304</v>
      </c>
      <c r="W1147" s="662">
        <f>+SUMIF(SYS_cliente!$F$5:$F$1678,'BCE ABREVIADO'!V1147,SYS_cliente!$I$5:$I$1678)</f>
        <v>0</v>
      </c>
    </row>
    <row r="1148" spans="21:23" ht="13.8">
      <c r="V1148" s="661">
        <v>3305</v>
      </c>
      <c r="W1148" s="662">
        <f>+SUMIF(SYS_cliente!$F$5:$F$1678,'BCE ABREVIADO'!V1148,SYS_cliente!$I$5:$I$1678)</f>
        <v>0</v>
      </c>
    </row>
    <row r="1149" spans="21:23" ht="13.8">
      <c r="V1149" s="661">
        <v>3306</v>
      </c>
      <c r="W1149" s="662">
        <f>+SUMIF(SYS_cliente!$F$5:$F$1678,'BCE ABREVIADO'!V1149,SYS_cliente!$I$5:$I$1678)</f>
        <v>0</v>
      </c>
    </row>
    <row r="1150" spans="21:23" ht="13.8">
      <c r="V1150" s="661">
        <v>3307</v>
      </c>
      <c r="W1150" s="662">
        <f>+SUMIF(SYS_cliente!$F$5:$F$1678,'BCE ABREVIADO'!V1150,SYS_cliente!$I$5:$I$1678)</f>
        <v>0</v>
      </c>
    </row>
    <row r="1151" spans="21:23" ht="13.8">
      <c r="V1151" s="661">
        <v>3308</v>
      </c>
      <c r="W1151" s="662">
        <f>+SUMIF(SYS_cliente!$F$5:$F$1678,'BCE ABREVIADO'!V1151,SYS_cliente!$I$5:$I$1678)</f>
        <v>0</v>
      </c>
    </row>
    <row r="1152" spans="21:23" ht="13.8">
      <c r="V1152" s="661">
        <v>3309</v>
      </c>
      <c r="W1152" s="662">
        <f>+SUMIF(SYS_cliente!$F$5:$F$1678,'BCE ABREVIADO'!V1152,SYS_cliente!$I$5:$I$1678)</f>
        <v>0</v>
      </c>
    </row>
    <row r="1153" spans="22:23" ht="13.8">
      <c r="V1153" s="661">
        <v>3310</v>
      </c>
      <c r="W1153" s="662">
        <f>+SUMIF(SYS_cliente!$F$5:$F$1678,'BCE ABREVIADO'!V1153,SYS_cliente!$I$5:$I$1678)</f>
        <v>0</v>
      </c>
    </row>
    <row r="1154" spans="22:23" ht="13.8">
      <c r="V1154" s="661">
        <v>3311</v>
      </c>
      <c r="W1154" s="662">
        <f>+SUMIF(SYS_cliente!$F$5:$F$1678,'BCE ABREVIADO'!V1154,SYS_cliente!$I$5:$I$1678)</f>
        <v>0</v>
      </c>
    </row>
    <row r="1155" spans="22:23" ht="13.8">
      <c r="V1155" s="661">
        <v>3312</v>
      </c>
      <c r="W1155" s="662">
        <f>+SUMIF(SYS_cliente!$F$5:$F$1678,'BCE ABREVIADO'!V1155,SYS_cliente!$I$5:$I$1678)</f>
        <v>0</v>
      </c>
    </row>
    <row r="1156" spans="22:23" ht="13.8">
      <c r="V1156" s="661">
        <v>3313</v>
      </c>
      <c r="W1156" s="662">
        <f>+SUMIF(SYS_cliente!$F$5:$F$1678,'BCE ABREVIADO'!V1156,SYS_cliente!$I$5:$I$1678)</f>
        <v>0</v>
      </c>
    </row>
    <row r="1157" spans="22:23" ht="13.8">
      <c r="V1157" s="661">
        <v>3314</v>
      </c>
      <c r="W1157" s="662">
        <f>+SUMIF(SYS_cliente!$F$5:$F$1678,'BCE ABREVIADO'!V1157,SYS_cliente!$I$5:$I$1678)</f>
        <v>0</v>
      </c>
    </row>
    <row r="1158" spans="22:23" ht="13.8">
      <c r="V1158" s="661">
        <v>3315</v>
      </c>
      <c r="W1158" s="662">
        <f>+SUMIF(SYS_cliente!$F$5:$F$1678,'BCE ABREVIADO'!V1158,SYS_cliente!$I$5:$I$1678)</f>
        <v>0</v>
      </c>
    </row>
    <row r="1159" spans="22:23" ht="13.8">
      <c r="V1159" s="661">
        <v>3316</v>
      </c>
      <c r="W1159" s="662">
        <f>+SUMIF(SYS_cliente!$F$5:$F$1678,'BCE ABREVIADO'!V1159,SYS_cliente!$I$5:$I$1678)</f>
        <v>0</v>
      </c>
    </row>
    <row r="1160" spans="22:23" ht="13.8">
      <c r="V1160" s="661">
        <v>3317</v>
      </c>
      <c r="W1160" s="662">
        <f>+SUMIF(SYS_cliente!$F$5:$F$1678,'BCE ABREVIADO'!V1160,SYS_cliente!$I$5:$I$1678)</f>
        <v>0</v>
      </c>
    </row>
    <row r="1161" spans="22:23" ht="13.8">
      <c r="V1161" s="661">
        <v>3318</v>
      </c>
      <c r="W1161" s="662">
        <f>+SUMIF(SYS_cliente!$F$5:$F$1678,'BCE ABREVIADO'!V1161,SYS_cliente!$I$5:$I$1678)</f>
        <v>0</v>
      </c>
    </row>
    <row r="1162" spans="22:23" ht="13.8">
      <c r="V1162" s="661">
        <v>3319</v>
      </c>
      <c r="W1162" s="662">
        <f>+SUMIF(SYS_cliente!$F$5:$F$1678,'BCE ABREVIADO'!V1162,SYS_cliente!$I$5:$I$1678)</f>
        <v>0</v>
      </c>
    </row>
    <row r="1163" spans="22:23" ht="13.8">
      <c r="V1163" s="661">
        <v>3320</v>
      </c>
      <c r="W1163" s="662">
        <f>+SUMIF(SYS_cliente!$F$5:$F$1678,'BCE ABREVIADO'!V1163,SYS_cliente!$I$5:$I$1678)</f>
        <v>0</v>
      </c>
    </row>
    <row r="1164" spans="22:23" ht="13.8">
      <c r="V1164" s="661">
        <v>3321</v>
      </c>
      <c r="W1164" s="662">
        <f>+SUMIF(SYS_cliente!$F$5:$F$1678,'BCE ABREVIADO'!V1164,SYS_cliente!$I$5:$I$1678)</f>
        <v>0</v>
      </c>
    </row>
    <row r="1165" spans="22:23" ht="13.8">
      <c r="V1165" s="661">
        <v>3322</v>
      </c>
      <c r="W1165" s="662">
        <f>+SUMIF(SYS_cliente!$F$5:$F$1678,'BCE ABREVIADO'!V1165,SYS_cliente!$I$5:$I$1678)</f>
        <v>0</v>
      </c>
    </row>
    <row r="1166" spans="22:23" ht="13.8">
      <c r="V1166" s="661">
        <v>3323</v>
      </c>
      <c r="W1166" s="662">
        <f>+SUMIF(SYS_cliente!$F$5:$F$1678,'BCE ABREVIADO'!V1166,SYS_cliente!$I$5:$I$1678)</f>
        <v>0</v>
      </c>
    </row>
    <row r="1167" spans="22:23" ht="13.8">
      <c r="V1167" s="661">
        <v>3324</v>
      </c>
      <c r="W1167" s="662">
        <f>+SUMIF(SYS_cliente!$F$5:$F$1678,'BCE ABREVIADO'!V1167,SYS_cliente!$I$5:$I$1678)</f>
        <v>0</v>
      </c>
    </row>
    <row r="1168" spans="22:23" ht="13.8">
      <c r="V1168" s="661">
        <v>3325</v>
      </c>
      <c r="W1168" s="662">
        <f>+SUMIF(SYS_cliente!$F$5:$F$1678,'BCE ABREVIADO'!V1168,SYS_cliente!$I$5:$I$1678)</f>
        <v>0</v>
      </c>
    </row>
    <row r="1169" spans="22:23" ht="13.8">
      <c r="V1169" s="661">
        <v>3326</v>
      </c>
      <c r="W1169" s="662">
        <f>+SUMIF(SYS_cliente!$F$5:$F$1678,'BCE ABREVIADO'!V1169,SYS_cliente!$I$5:$I$1678)</f>
        <v>0</v>
      </c>
    </row>
    <row r="1170" spans="22:23" ht="13.8">
      <c r="V1170" s="661">
        <v>3327</v>
      </c>
      <c r="W1170" s="662">
        <f>+SUMIF(SYS_cliente!$F$5:$F$1678,'BCE ABREVIADO'!V1170,SYS_cliente!$I$5:$I$1678)</f>
        <v>0</v>
      </c>
    </row>
    <row r="1171" spans="22:23" ht="13.8">
      <c r="V1171" s="661">
        <v>3328</v>
      </c>
      <c r="W1171" s="662">
        <f>+SUMIF(SYS_cliente!$F$5:$F$1678,'BCE ABREVIADO'!V1171,SYS_cliente!$I$5:$I$1678)</f>
        <v>0</v>
      </c>
    </row>
    <row r="1172" spans="22:23" ht="13.8">
      <c r="V1172" s="661">
        <v>3329</v>
      </c>
      <c r="W1172" s="662">
        <f>+SUMIF(SYS_cliente!$F$5:$F$1678,'BCE ABREVIADO'!V1172,SYS_cliente!$I$5:$I$1678)</f>
        <v>0</v>
      </c>
    </row>
    <row r="1173" spans="22:23" ht="13.8">
      <c r="V1173" s="661">
        <v>3330</v>
      </c>
      <c r="W1173" s="662">
        <f>+SUMIF(SYS_cliente!$F$5:$F$1678,'BCE ABREVIADO'!V1173,SYS_cliente!$I$5:$I$1678)</f>
        <v>0</v>
      </c>
    </row>
    <row r="1174" spans="22:23" ht="13.8">
      <c r="V1174" s="661">
        <v>3331</v>
      </c>
      <c r="W1174" s="662">
        <f>+SUMIF(SYS_cliente!$F$5:$F$1678,'BCE ABREVIADO'!V1174,SYS_cliente!$I$5:$I$1678)</f>
        <v>0</v>
      </c>
    </row>
    <row r="1175" spans="22:23" ht="13.8">
      <c r="V1175" s="661">
        <v>3332</v>
      </c>
      <c r="W1175" s="662">
        <f>+SUMIF(SYS_cliente!$F$5:$F$1678,'BCE ABREVIADO'!V1175,SYS_cliente!$I$5:$I$1678)</f>
        <v>0</v>
      </c>
    </row>
    <row r="1176" spans="22:23" ht="13.8">
      <c r="V1176" s="661">
        <v>3333</v>
      </c>
      <c r="W1176" s="662">
        <f>+SUMIF(SYS_cliente!$F$5:$F$1678,'BCE ABREVIADO'!V1176,SYS_cliente!$I$5:$I$1678)</f>
        <v>0</v>
      </c>
    </row>
    <row r="1177" spans="22:23" ht="13.8">
      <c r="V1177" s="661">
        <v>3334</v>
      </c>
      <c r="W1177" s="662">
        <f>+SUMIF(SYS_cliente!$F$5:$F$1678,'BCE ABREVIADO'!V1177,SYS_cliente!$I$5:$I$1678)</f>
        <v>0</v>
      </c>
    </row>
    <row r="1178" spans="22:23" ht="13.8">
      <c r="V1178" s="661">
        <v>3335</v>
      </c>
      <c r="W1178" s="662">
        <f>+SUMIF(SYS_cliente!$F$5:$F$1678,'BCE ABREVIADO'!V1178,SYS_cliente!$I$5:$I$1678)</f>
        <v>0</v>
      </c>
    </row>
    <row r="1179" spans="22:23" ht="13.8">
      <c r="V1179" s="661">
        <v>3336</v>
      </c>
      <c r="W1179" s="662">
        <f>+SUMIF(SYS_cliente!$F$5:$F$1678,'BCE ABREVIADO'!V1179,SYS_cliente!$I$5:$I$1678)</f>
        <v>0</v>
      </c>
    </row>
    <row r="1180" spans="22:23" ht="13.8">
      <c r="V1180" s="661">
        <v>3337</v>
      </c>
      <c r="W1180" s="662">
        <f>+SUMIF(SYS_cliente!$F$5:$F$1678,'BCE ABREVIADO'!V1180,SYS_cliente!$I$5:$I$1678)</f>
        <v>0</v>
      </c>
    </row>
    <row r="1181" spans="22:23" ht="13.8">
      <c r="V1181" s="661">
        <v>3338</v>
      </c>
      <c r="W1181" s="662">
        <f>+SUMIF(SYS_cliente!$F$5:$F$1678,'BCE ABREVIADO'!V1181,SYS_cliente!$I$5:$I$1678)</f>
        <v>0</v>
      </c>
    </row>
    <row r="1182" spans="22:23" ht="13.8">
      <c r="V1182" s="661">
        <v>3339</v>
      </c>
      <c r="W1182" s="662">
        <f>+SUMIF(SYS_cliente!$F$5:$F$1678,'BCE ABREVIADO'!V1182,SYS_cliente!$I$5:$I$1678)</f>
        <v>0</v>
      </c>
    </row>
    <row r="1183" spans="22:23" ht="13.8">
      <c r="V1183" s="661">
        <v>3340</v>
      </c>
      <c r="W1183" s="662">
        <f>+SUMIF(SYS_cliente!$F$5:$F$1678,'BCE ABREVIADO'!V1183,SYS_cliente!$I$5:$I$1678)</f>
        <v>0</v>
      </c>
    </row>
    <row r="1184" spans="22:23" ht="13.8">
      <c r="V1184" s="661">
        <v>3341</v>
      </c>
      <c r="W1184" s="662">
        <f>+SUMIF(SYS_cliente!$F$5:$F$1678,'BCE ABREVIADO'!V1184,SYS_cliente!$I$5:$I$1678)</f>
        <v>0</v>
      </c>
    </row>
    <row r="1185" spans="22:23" ht="13.8">
      <c r="V1185" s="661">
        <v>3342</v>
      </c>
      <c r="W1185" s="662">
        <f>+SUMIF(SYS_cliente!$F$5:$F$1678,'BCE ABREVIADO'!V1185,SYS_cliente!$I$5:$I$1678)</f>
        <v>0</v>
      </c>
    </row>
    <row r="1186" spans="22:23" ht="13.8">
      <c r="V1186" s="661">
        <v>3343</v>
      </c>
      <c r="W1186" s="662">
        <f>+SUMIF(SYS_cliente!$F$5:$F$1678,'BCE ABREVIADO'!V1186,SYS_cliente!$I$5:$I$1678)</f>
        <v>0</v>
      </c>
    </row>
    <row r="1187" spans="22:23" ht="13.8">
      <c r="V1187" s="661">
        <v>3344</v>
      </c>
      <c r="W1187" s="662">
        <f>+SUMIF(SYS_cliente!$F$5:$F$1678,'BCE ABREVIADO'!V1187,SYS_cliente!$I$5:$I$1678)</f>
        <v>0</v>
      </c>
    </row>
    <row r="1188" spans="22:23" ht="13.8">
      <c r="V1188" s="661">
        <v>3345</v>
      </c>
      <c r="W1188" s="662">
        <f>+SUMIF(SYS_cliente!$F$5:$F$1678,'BCE ABREVIADO'!V1188,SYS_cliente!$I$5:$I$1678)</f>
        <v>0</v>
      </c>
    </row>
    <row r="1189" spans="22:23" ht="13.8">
      <c r="V1189" s="661">
        <v>3346</v>
      </c>
      <c r="W1189" s="662">
        <f>+SUMIF(SYS_cliente!$F$5:$F$1678,'BCE ABREVIADO'!V1189,SYS_cliente!$I$5:$I$1678)</f>
        <v>0</v>
      </c>
    </row>
    <row r="1190" spans="22:23" ht="13.8">
      <c r="V1190" s="661">
        <v>3347</v>
      </c>
      <c r="W1190" s="662">
        <f>+SUMIF(SYS_cliente!$F$5:$F$1678,'BCE ABREVIADO'!V1190,SYS_cliente!$I$5:$I$1678)</f>
        <v>0</v>
      </c>
    </row>
    <row r="1191" spans="22:23" ht="13.8">
      <c r="V1191" s="661">
        <v>3348</v>
      </c>
      <c r="W1191" s="662">
        <f>+SUMIF(SYS_cliente!$F$5:$F$1678,'BCE ABREVIADO'!V1191,SYS_cliente!$I$5:$I$1678)</f>
        <v>0</v>
      </c>
    </row>
    <row r="1192" spans="22:23" ht="13.8">
      <c r="V1192" s="661">
        <v>3349</v>
      </c>
      <c r="W1192" s="662">
        <f>+SUMIF(SYS_cliente!$F$5:$F$1678,'BCE ABREVIADO'!V1192,SYS_cliente!$I$5:$I$1678)</f>
        <v>0</v>
      </c>
    </row>
    <row r="1193" spans="22:23" ht="13.8">
      <c r="V1193" s="661">
        <v>3350</v>
      </c>
      <c r="W1193" s="662">
        <f>+SUMIF(SYS_cliente!$F$5:$F$1678,'BCE ABREVIADO'!V1193,SYS_cliente!$I$5:$I$1678)</f>
        <v>0</v>
      </c>
    </row>
    <row r="1194" spans="22:23" ht="13.8">
      <c r="V1194" s="661">
        <v>3351</v>
      </c>
      <c r="W1194" s="662">
        <f>+SUMIF(SYS_cliente!$F$5:$F$1678,'BCE ABREVIADO'!V1194,SYS_cliente!$I$5:$I$1678)</f>
        <v>0</v>
      </c>
    </row>
    <row r="1195" spans="22:23" ht="13.8">
      <c r="V1195" s="661">
        <v>3352</v>
      </c>
      <c r="W1195" s="662">
        <f>+SUMIF(SYS_cliente!$F$5:$F$1678,'BCE ABREVIADO'!V1195,SYS_cliente!$I$5:$I$1678)</f>
        <v>0</v>
      </c>
    </row>
    <row r="1196" spans="22:23" ht="13.8">
      <c r="V1196" s="661">
        <v>3353</v>
      </c>
      <c r="W1196" s="662">
        <f>+SUMIF(SYS_cliente!$F$5:$F$1678,'BCE ABREVIADO'!V1196,SYS_cliente!$I$5:$I$1678)</f>
        <v>0</v>
      </c>
    </row>
    <row r="1197" spans="22:23" ht="13.8">
      <c r="V1197" s="661">
        <v>3354</v>
      </c>
      <c r="W1197" s="662">
        <f>+SUMIF(SYS_cliente!$F$5:$F$1678,'BCE ABREVIADO'!V1197,SYS_cliente!$I$5:$I$1678)</f>
        <v>0</v>
      </c>
    </row>
    <row r="1198" spans="22:23" ht="13.8">
      <c r="V1198" s="661">
        <v>3355</v>
      </c>
      <c r="W1198" s="662">
        <f>+SUMIF(SYS_cliente!$F$5:$F$1678,'BCE ABREVIADO'!V1198,SYS_cliente!$I$5:$I$1678)</f>
        <v>0</v>
      </c>
    </row>
    <row r="1199" spans="22:23" ht="13.8">
      <c r="V1199" s="661">
        <v>3356</v>
      </c>
      <c r="W1199" s="662">
        <f>+SUMIF(SYS_cliente!$F$5:$F$1678,'BCE ABREVIADO'!V1199,SYS_cliente!$I$5:$I$1678)</f>
        <v>0</v>
      </c>
    </row>
    <row r="1200" spans="22:23" ht="13.8">
      <c r="V1200" s="661">
        <v>3357</v>
      </c>
      <c r="W1200" s="662">
        <f>+SUMIF(SYS_cliente!$F$5:$F$1678,'BCE ABREVIADO'!V1200,SYS_cliente!$I$5:$I$1678)</f>
        <v>0</v>
      </c>
    </row>
    <row r="1201" spans="22:23" ht="13.8">
      <c r="V1201" s="661">
        <v>3358</v>
      </c>
      <c r="W1201" s="662">
        <f>+SUMIF(SYS_cliente!$F$5:$F$1678,'BCE ABREVIADO'!V1201,SYS_cliente!$I$5:$I$1678)</f>
        <v>0</v>
      </c>
    </row>
    <row r="1202" spans="22:23" ht="13.8">
      <c r="V1202" s="661">
        <v>3359</v>
      </c>
      <c r="W1202" s="662">
        <f>+SUMIF(SYS_cliente!$F$5:$F$1678,'BCE ABREVIADO'!V1202,SYS_cliente!$I$5:$I$1678)</f>
        <v>0</v>
      </c>
    </row>
    <row r="1203" spans="22:23" ht="13.8">
      <c r="V1203" s="661">
        <v>3360</v>
      </c>
      <c r="W1203" s="662">
        <f>+SUMIF(SYS_cliente!$F$5:$F$1678,'BCE ABREVIADO'!V1203,SYS_cliente!$I$5:$I$1678)</f>
        <v>0</v>
      </c>
    </row>
    <row r="1204" spans="22:23" ht="13.8">
      <c r="V1204" s="661">
        <v>3361</v>
      </c>
      <c r="W1204" s="662">
        <f>+SUMIF(SYS_cliente!$F$5:$F$1678,'BCE ABREVIADO'!V1204,SYS_cliente!$I$5:$I$1678)</f>
        <v>0</v>
      </c>
    </row>
    <row r="1205" spans="22:23" ht="13.8">
      <c r="V1205" s="661">
        <v>3362</v>
      </c>
      <c r="W1205" s="662">
        <f>+SUMIF(SYS_cliente!$F$5:$F$1678,'BCE ABREVIADO'!V1205,SYS_cliente!$I$5:$I$1678)</f>
        <v>0</v>
      </c>
    </row>
    <row r="1206" spans="22:23" ht="13.8">
      <c r="V1206" s="661">
        <v>3363</v>
      </c>
      <c r="W1206" s="662">
        <f>+SUMIF(SYS_cliente!$F$5:$F$1678,'BCE ABREVIADO'!V1206,SYS_cliente!$I$5:$I$1678)</f>
        <v>0</v>
      </c>
    </row>
    <row r="1207" spans="22:23" ht="13.8">
      <c r="V1207" s="661">
        <v>3364</v>
      </c>
      <c r="W1207" s="662">
        <f>+SUMIF(SYS_cliente!$F$5:$F$1678,'BCE ABREVIADO'!V1207,SYS_cliente!$I$5:$I$1678)</f>
        <v>0</v>
      </c>
    </row>
    <row r="1208" spans="22:23" ht="13.8">
      <c r="V1208" s="661">
        <v>3365</v>
      </c>
      <c r="W1208" s="662">
        <f>+SUMIF(SYS_cliente!$F$5:$F$1678,'BCE ABREVIADO'!V1208,SYS_cliente!$I$5:$I$1678)</f>
        <v>0</v>
      </c>
    </row>
    <row r="1209" spans="22:23" ht="13.8">
      <c r="V1209" s="661">
        <v>3366</v>
      </c>
      <c r="W1209" s="662">
        <f>+SUMIF(SYS_cliente!$F$5:$F$1678,'BCE ABREVIADO'!V1209,SYS_cliente!$I$5:$I$1678)</f>
        <v>0</v>
      </c>
    </row>
    <row r="1210" spans="22:23" ht="13.8">
      <c r="V1210" s="661">
        <v>3367</v>
      </c>
      <c r="W1210" s="662">
        <f>+SUMIF(SYS_cliente!$F$5:$F$1678,'BCE ABREVIADO'!V1210,SYS_cliente!$I$5:$I$1678)</f>
        <v>0</v>
      </c>
    </row>
    <row r="1211" spans="22:23" ht="13.8">
      <c r="V1211" s="661">
        <v>3368</v>
      </c>
      <c r="W1211" s="662">
        <f>+SUMIF(SYS_cliente!$F$5:$F$1678,'BCE ABREVIADO'!V1211,SYS_cliente!$I$5:$I$1678)</f>
        <v>0</v>
      </c>
    </row>
    <row r="1212" spans="22:23" ht="13.8">
      <c r="V1212" s="661">
        <v>3369</v>
      </c>
      <c r="W1212" s="662">
        <f>+SUMIF(SYS_cliente!$F$5:$F$1678,'BCE ABREVIADO'!V1212,SYS_cliente!$I$5:$I$1678)</f>
        <v>0</v>
      </c>
    </row>
    <row r="1213" spans="22:23" ht="13.8">
      <c r="V1213" s="661">
        <v>3370</v>
      </c>
      <c r="W1213" s="662">
        <f>+SUMIF(SYS_cliente!$F$5:$F$1678,'BCE ABREVIADO'!V1213,SYS_cliente!$I$5:$I$1678)</f>
        <v>0</v>
      </c>
    </row>
    <row r="1214" spans="22:23" ht="13.8">
      <c r="V1214" s="661">
        <v>3371</v>
      </c>
      <c r="W1214" s="662">
        <f>+SUMIF(SYS_cliente!$F$5:$F$1678,'BCE ABREVIADO'!V1214,SYS_cliente!$I$5:$I$1678)</f>
        <v>0</v>
      </c>
    </row>
    <row r="1215" spans="22:23" ht="13.8">
      <c r="V1215" s="661">
        <v>3372</v>
      </c>
      <c r="W1215" s="662">
        <f>+SUMIF(SYS_cliente!$F$5:$F$1678,'BCE ABREVIADO'!V1215,SYS_cliente!$I$5:$I$1678)</f>
        <v>0</v>
      </c>
    </row>
    <row r="1216" spans="22:23" ht="13.8">
      <c r="V1216" s="661">
        <v>3373</v>
      </c>
      <c r="W1216" s="662">
        <f>+SUMIF(SYS_cliente!$F$5:$F$1678,'BCE ABREVIADO'!V1216,SYS_cliente!$I$5:$I$1678)</f>
        <v>0</v>
      </c>
    </row>
    <row r="1217" spans="22:23" ht="13.8">
      <c r="V1217" s="661">
        <v>3374</v>
      </c>
      <c r="W1217" s="662">
        <f>+SUMIF(SYS_cliente!$F$5:$F$1678,'BCE ABREVIADO'!V1217,SYS_cliente!$I$5:$I$1678)</f>
        <v>0</v>
      </c>
    </row>
    <row r="1218" spans="22:23" ht="13.8">
      <c r="V1218" s="661">
        <v>3375</v>
      </c>
      <c r="W1218" s="662">
        <f>+SUMIF(SYS_cliente!$F$5:$F$1678,'BCE ABREVIADO'!V1218,SYS_cliente!$I$5:$I$1678)</f>
        <v>0</v>
      </c>
    </row>
    <row r="1219" spans="22:23" ht="13.8">
      <c r="V1219" s="661">
        <v>3376</v>
      </c>
      <c r="W1219" s="662">
        <f>+SUMIF(SYS_cliente!$F$5:$F$1678,'BCE ABREVIADO'!V1219,SYS_cliente!$I$5:$I$1678)</f>
        <v>0</v>
      </c>
    </row>
    <row r="1220" spans="22:23" ht="13.8">
      <c r="V1220" s="661">
        <v>3377</v>
      </c>
      <c r="W1220" s="662">
        <f>+SUMIF(SYS_cliente!$F$5:$F$1678,'BCE ABREVIADO'!V1220,SYS_cliente!$I$5:$I$1678)</f>
        <v>0</v>
      </c>
    </row>
    <row r="1221" spans="22:23" ht="13.8">
      <c r="V1221" s="661">
        <v>3378</v>
      </c>
      <c r="W1221" s="662">
        <f>+SUMIF(SYS_cliente!$F$5:$F$1678,'BCE ABREVIADO'!V1221,SYS_cliente!$I$5:$I$1678)</f>
        <v>0</v>
      </c>
    </row>
    <row r="1222" spans="22:23" ht="13.8">
      <c r="V1222" s="661">
        <v>3379</v>
      </c>
      <c r="W1222" s="662">
        <f>+SUMIF(SYS_cliente!$F$5:$F$1678,'BCE ABREVIADO'!V1222,SYS_cliente!$I$5:$I$1678)</f>
        <v>0</v>
      </c>
    </row>
    <row r="1223" spans="22:23" ht="13.8">
      <c r="V1223" s="661">
        <v>3380</v>
      </c>
      <c r="W1223" s="662">
        <f>+SUMIF(SYS_cliente!$F$5:$F$1678,'BCE ABREVIADO'!V1223,SYS_cliente!$I$5:$I$1678)</f>
        <v>0</v>
      </c>
    </row>
    <row r="1224" spans="22:23" ht="13.8">
      <c r="V1224" s="661">
        <v>3381</v>
      </c>
      <c r="W1224" s="662">
        <f>+SUMIF(SYS_cliente!$F$5:$F$1678,'BCE ABREVIADO'!V1224,SYS_cliente!$I$5:$I$1678)</f>
        <v>0</v>
      </c>
    </row>
    <row r="1225" spans="22:23" ht="13.8">
      <c r="V1225" s="661">
        <v>3382</v>
      </c>
      <c r="W1225" s="662">
        <f>+SUMIF(SYS_cliente!$F$5:$F$1678,'BCE ABREVIADO'!V1225,SYS_cliente!$I$5:$I$1678)</f>
        <v>0</v>
      </c>
    </row>
    <row r="1226" spans="22:23" ht="13.8">
      <c r="V1226" s="661">
        <v>3383</v>
      </c>
      <c r="W1226" s="662">
        <f>+SUMIF(SYS_cliente!$F$5:$F$1678,'BCE ABREVIADO'!V1226,SYS_cliente!$I$5:$I$1678)</f>
        <v>0</v>
      </c>
    </row>
    <row r="1227" spans="22:23" ht="13.8">
      <c r="V1227" s="661">
        <v>3384</v>
      </c>
      <c r="W1227" s="662">
        <f>+SUMIF(SYS_cliente!$F$5:$F$1678,'BCE ABREVIADO'!V1227,SYS_cliente!$I$5:$I$1678)</f>
        <v>0</v>
      </c>
    </row>
    <row r="1228" spans="22:23" ht="13.8">
      <c r="V1228" s="661">
        <v>3385</v>
      </c>
      <c r="W1228" s="662">
        <f>+SUMIF(SYS_cliente!$F$5:$F$1678,'BCE ABREVIADO'!V1228,SYS_cliente!$I$5:$I$1678)</f>
        <v>0</v>
      </c>
    </row>
    <row r="1229" spans="22:23" ht="13.8">
      <c r="V1229" s="661">
        <v>3386</v>
      </c>
      <c r="W1229" s="662">
        <f>+SUMIF(SYS_cliente!$F$5:$F$1678,'BCE ABREVIADO'!V1229,SYS_cliente!$I$5:$I$1678)</f>
        <v>0</v>
      </c>
    </row>
    <row r="1230" spans="22:23" ht="13.8">
      <c r="V1230" s="661">
        <v>3387</v>
      </c>
      <c r="W1230" s="662">
        <f>+SUMIF(SYS_cliente!$F$5:$F$1678,'BCE ABREVIADO'!V1230,SYS_cliente!$I$5:$I$1678)</f>
        <v>0</v>
      </c>
    </row>
    <row r="1231" spans="22:23" ht="13.8">
      <c r="V1231" s="661">
        <v>3388</v>
      </c>
      <c r="W1231" s="662">
        <f>+SUMIF(SYS_cliente!$F$5:$F$1678,'BCE ABREVIADO'!V1231,SYS_cliente!$I$5:$I$1678)</f>
        <v>0</v>
      </c>
    </row>
    <row r="1232" spans="22:23" ht="13.8">
      <c r="V1232" s="661">
        <v>3389</v>
      </c>
      <c r="W1232" s="662">
        <f>+SUMIF(SYS_cliente!$F$5:$F$1678,'BCE ABREVIADO'!V1232,SYS_cliente!$I$5:$I$1678)</f>
        <v>0</v>
      </c>
    </row>
    <row r="1233" spans="22:23" ht="13.8">
      <c r="V1233" s="661">
        <v>3390</v>
      </c>
      <c r="W1233" s="662">
        <f>+SUMIF(SYS_cliente!$F$5:$F$1678,'BCE ABREVIADO'!V1233,SYS_cliente!$I$5:$I$1678)</f>
        <v>0</v>
      </c>
    </row>
    <row r="1234" spans="22:23" ht="13.8">
      <c r="V1234" s="661">
        <v>3391</v>
      </c>
      <c r="W1234" s="662">
        <f>+SUMIF(SYS_cliente!$F$5:$F$1678,'BCE ABREVIADO'!V1234,SYS_cliente!$I$5:$I$1678)</f>
        <v>0</v>
      </c>
    </row>
    <row r="1235" spans="22:23" ht="13.8">
      <c r="V1235" s="661">
        <v>3392</v>
      </c>
      <c r="W1235" s="662">
        <f>+SUMIF(SYS_cliente!$F$5:$F$1678,'BCE ABREVIADO'!V1235,SYS_cliente!$I$5:$I$1678)</f>
        <v>0</v>
      </c>
    </row>
    <row r="1236" spans="22:23" ht="13.8">
      <c r="V1236" s="661">
        <v>3393</v>
      </c>
      <c r="W1236" s="662">
        <f>+SUMIF(SYS_cliente!$F$5:$F$1678,'BCE ABREVIADO'!V1236,SYS_cliente!$I$5:$I$1678)</f>
        <v>0</v>
      </c>
    </row>
    <row r="1237" spans="22:23" ht="13.8">
      <c r="V1237" s="661">
        <v>3394</v>
      </c>
      <c r="W1237" s="662">
        <f>+SUMIF(SYS_cliente!$F$5:$F$1678,'BCE ABREVIADO'!V1237,SYS_cliente!$I$5:$I$1678)</f>
        <v>0</v>
      </c>
    </row>
    <row r="1238" spans="22:23" ht="13.8">
      <c r="V1238" s="661">
        <v>3395</v>
      </c>
      <c r="W1238" s="662">
        <f>+SUMIF(SYS_cliente!$F$5:$F$1678,'BCE ABREVIADO'!V1238,SYS_cliente!$I$5:$I$1678)</f>
        <v>0</v>
      </c>
    </row>
    <row r="1239" spans="22:23" ht="13.8">
      <c r="V1239" s="661">
        <v>3396</v>
      </c>
      <c r="W1239" s="662">
        <f>+SUMIF(SYS_cliente!$F$5:$F$1678,'BCE ABREVIADO'!V1239,SYS_cliente!$I$5:$I$1678)</f>
        <v>0</v>
      </c>
    </row>
    <row r="1240" spans="22:23" ht="13.8">
      <c r="V1240" s="661">
        <v>3397</v>
      </c>
      <c r="W1240" s="662">
        <f>+SUMIF(SYS_cliente!$F$5:$F$1678,'BCE ABREVIADO'!V1240,SYS_cliente!$I$5:$I$1678)</f>
        <v>0</v>
      </c>
    </row>
    <row r="1241" spans="22:23" ht="13.8">
      <c r="V1241" s="661">
        <v>3398</v>
      </c>
      <c r="W1241" s="662">
        <f>+SUMIF(SYS_cliente!$F$5:$F$1678,'BCE ABREVIADO'!V1241,SYS_cliente!$I$5:$I$1678)</f>
        <v>0</v>
      </c>
    </row>
    <row r="1242" spans="22:23" ht="13.8">
      <c r="V1242" s="661">
        <v>3399</v>
      </c>
      <c r="W1242" s="662">
        <f>+SUMIF(SYS_cliente!$F$5:$F$1678,'BCE ABREVIADO'!V1242,SYS_cliente!$I$5:$I$1678)</f>
        <v>0</v>
      </c>
    </row>
    <row r="1243" spans="22:23" ht="13.8">
      <c r="V1243" s="661">
        <v>3400</v>
      </c>
      <c r="W1243" s="662">
        <f>+SUMIF(SYS_cliente!$F$5:$F$1678,'BCE ABREVIADO'!V1243,SYS_cliente!$I$5:$I$1678)</f>
        <v>0</v>
      </c>
    </row>
    <row r="1244" spans="22:23" ht="13.8">
      <c r="V1244" s="661">
        <v>3401</v>
      </c>
      <c r="W1244" s="662">
        <f>+SUMIF(SYS_cliente!$F$5:$F$1678,'BCE ABREVIADO'!V1244,SYS_cliente!$I$5:$I$1678)</f>
        <v>0</v>
      </c>
    </row>
    <row r="1245" spans="22:23" ht="13.8">
      <c r="V1245" s="661">
        <v>3402</v>
      </c>
      <c r="W1245" s="662">
        <f>+SUMIF(SYS_cliente!$F$5:$F$1678,'BCE ABREVIADO'!V1245,SYS_cliente!$I$5:$I$1678)</f>
        <v>0</v>
      </c>
    </row>
    <row r="1246" spans="22:23" ht="13.8">
      <c r="V1246" s="661">
        <v>3403</v>
      </c>
      <c r="W1246" s="662">
        <f>+SUMIF(SYS_cliente!$F$5:$F$1678,'BCE ABREVIADO'!V1246,SYS_cliente!$I$5:$I$1678)</f>
        <v>0</v>
      </c>
    </row>
    <row r="1247" spans="22:23" ht="13.8">
      <c r="V1247" s="661">
        <v>3404</v>
      </c>
      <c r="W1247" s="662">
        <f>+SUMIF(SYS_cliente!$F$5:$F$1678,'BCE ABREVIADO'!V1247,SYS_cliente!$I$5:$I$1678)</f>
        <v>0</v>
      </c>
    </row>
    <row r="1248" spans="22:23" ht="13.8">
      <c r="V1248" s="661">
        <v>3405</v>
      </c>
      <c r="W1248" s="662">
        <f>+SUMIF(SYS_cliente!$F$5:$F$1678,'BCE ABREVIADO'!V1248,SYS_cliente!$I$5:$I$1678)</f>
        <v>0</v>
      </c>
    </row>
    <row r="1249" spans="22:23" ht="13.8">
      <c r="V1249" s="661">
        <v>3406</v>
      </c>
      <c r="W1249" s="662">
        <f>+SUMIF(SYS_cliente!$F$5:$F$1678,'BCE ABREVIADO'!V1249,SYS_cliente!$I$5:$I$1678)</f>
        <v>0</v>
      </c>
    </row>
    <row r="1250" spans="22:23" ht="13.8">
      <c r="V1250" s="661">
        <v>3407</v>
      </c>
      <c r="W1250" s="662">
        <f>+SUMIF(SYS_cliente!$F$5:$F$1678,'BCE ABREVIADO'!V1250,SYS_cliente!$I$5:$I$1678)</f>
        <v>0</v>
      </c>
    </row>
    <row r="1251" spans="22:23" ht="13.8">
      <c r="V1251" s="661">
        <v>3408</v>
      </c>
      <c r="W1251" s="662">
        <f>+SUMIF(SYS_cliente!$F$5:$F$1678,'BCE ABREVIADO'!V1251,SYS_cliente!$I$5:$I$1678)</f>
        <v>0</v>
      </c>
    </row>
    <row r="1252" spans="22:23" ht="13.8">
      <c r="V1252" s="661">
        <v>3409</v>
      </c>
      <c r="W1252" s="662">
        <f>+SUMIF(SYS_cliente!$F$5:$F$1678,'BCE ABREVIADO'!V1252,SYS_cliente!$I$5:$I$1678)</f>
        <v>0</v>
      </c>
    </row>
    <row r="1253" spans="22:23" ht="13.8">
      <c r="V1253" s="661">
        <v>3410</v>
      </c>
      <c r="W1253" s="662">
        <f>+SUMIF(SYS_cliente!$F$5:$F$1678,'BCE ABREVIADO'!V1253,SYS_cliente!$I$5:$I$1678)</f>
        <v>0</v>
      </c>
    </row>
    <row r="1254" spans="22:23" ht="13.8">
      <c r="V1254" s="661">
        <v>3411</v>
      </c>
      <c r="W1254" s="662">
        <f>+SUMIF(SYS_cliente!$F$5:$F$1678,'BCE ABREVIADO'!V1254,SYS_cliente!$I$5:$I$1678)</f>
        <v>0</v>
      </c>
    </row>
    <row r="1255" spans="22:23" ht="13.8">
      <c r="V1255" s="661">
        <v>3412</v>
      </c>
      <c r="W1255" s="662">
        <f>+SUMIF(SYS_cliente!$F$5:$F$1678,'BCE ABREVIADO'!V1255,SYS_cliente!$I$5:$I$1678)</f>
        <v>0</v>
      </c>
    </row>
    <row r="1256" spans="22:23" ht="13.8">
      <c r="V1256" s="661">
        <v>3413</v>
      </c>
      <c r="W1256" s="662">
        <f>+SUMIF(SYS_cliente!$F$5:$F$1678,'BCE ABREVIADO'!V1256,SYS_cliente!$I$5:$I$1678)</f>
        <v>0</v>
      </c>
    </row>
    <row r="1257" spans="22:23" ht="13.8">
      <c r="V1257" s="661">
        <v>3414</v>
      </c>
      <c r="W1257" s="662">
        <f>+SUMIF(SYS_cliente!$F$5:$F$1678,'BCE ABREVIADO'!V1257,SYS_cliente!$I$5:$I$1678)</f>
        <v>0</v>
      </c>
    </row>
    <row r="1258" spans="22:23" ht="13.8">
      <c r="V1258" s="661">
        <v>3415</v>
      </c>
      <c r="W1258" s="662">
        <f>+SUMIF(SYS_cliente!$F$5:$F$1678,'BCE ABREVIADO'!V1258,SYS_cliente!$I$5:$I$1678)</f>
        <v>0</v>
      </c>
    </row>
    <row r="1259" spans="22:23" ht="13.8">
      <c r="V1259" s="661">
        <v>3416</v>
      </c>
      <c r="W1259" s="662">
        <f>+SUMIF(SYS_cliente!$F$5:$F$1678,'BCE ABREVIADO'!V1259,SYS_cliente!$I$5:$I$1678)</f>
        <v>0</v>
      </c>
    </row>
    <row r="1260" spans="22:23" ht="13.8">
      <c r="V1260" s="661">
        <v>3417</v>
      </c>
      <c r="W1260" s="662">
        <f>+SUMIF(SYS_cliente!$F$5:$F$1678,'BCE ABREVIADO'!V1260,SYS_cliente!$I$5:$I$1678)</f>
        <v>0</v>
      </c>
    </row>
    <row r="1261" spans="22:23" ht="13.8">
      <c r="V1261" s="661">
        <v>3418</v>
      </c>
      <c r="W1261" s="662">
        <f>+SUMIF(SYS_cliente!$F$5:$F$1678,'BCE ABREVIADO'!V1261,SYS_cliente!$I$5:$I$1678)</f>
        <v>0</v>
      </c>
    </row>
    <row r="1262" spans="22:23" ht="13.8">
      <c r="V1262" s="661">
        <v>3419</v>
      </c>
      <c r="W1262" s="662">
        <f>+SUMIF(SYS_cliente!$F$5:$F$1678,'BCE ABREVIADO'!V1262,SYS_cliente!$I$5:$I$1678)</f>
        <v>0</v>
      </c>
    </row>
    <row r="1263" spans="22:23" ht="13.8">
      <c r="V1263" s="661">
        <v>3420</v>
      </c>
      <c r="W1263" s="662">
        <f>+SUMIF(SYS_cliente!$F$5:$F$1678,'BCE ABREVIADO'!V1263,SYS_cliente!$I$5:$I$1678)</f>
        <v>0</v>
      </c>
    </row>
    <row r="1264" spans="22:23" ht="13.8">
      <c r="V1264" s="661">
        <v>3421</v>
      </c>
      <c r="W1264" s="662">
        <f>+SUMIF(SYS_cliente!$F$5:$F$1678,'BCE ABREVIADO'!V1264,SYS_cliente!$I$5:$I$1678)</f>
        <v>0</v>
      </c>
    </row>
    <row r="1265" spans="22:23" ht="13.8">
      <c r="V1265" s="661">
        <v>3422</v>
      </c>
      <c r="W1265" s="662">
        <f>+SUMIF(SYS_cliente!$F$5:$F$1678,'BCE ABREVIADO'!V1265,SYS_cliente!$I$5:$I$1678)</f>
        <v>0</v>
      </c>
    </row>
    <row r="1266" spans="22:23" ht="13.8">
      <c r="V1266" s="661">
        <v>3423</v>
      </c>
      <c r="W1266" s="662">
        <f>+SUMIF(SYS_cliente!$F$5:$F$1678,'BCE ABREVIADO'!V1266,SYS_cliente!$I$5:$I$1678)</f>
        <v>0</v>
      </c>
    </row>
    <row r="1267" spans="22:23" ht="13.8">
      <c r="V1267" s="661">
        <v>3424</v>
      </c>
      <c r="W1267" s="662">
        <f>+SUMIF(SYS_cliente!$F$5:$F$1678,'BCE ABREVIADO'!V1267,SYS_cliente!$I$5:$I$1678)</f>
        <v>0</v>
      </c>
    </row>
    <row r="1268" spans="22:23" ht="13.8">
      <c r="V1268" s="661">
        <v>3425</v>
      </c>
      <c r="W1268" s="662">
        <f>+SUMIF(SYS_cliente!$F$5:$F$1678,'BCE ABREVIADO'!V1268,SYS_cliente!$I$5:$I$1678)</f>
        <v>0</v>
      </c>
    </row>
    <row r="1269" spans="22:23" ht="13.8">
      <c r="V1269" s="661">
        <v>3426</v>
      </c>
      <c r="W1269" s="662">
        <f>+SUMIF(SYS_cliente!$F$5:$F$1678,'BCE ABREVIADO'!V1269,SYS_cliente!$I$5:$I$1678)</f>
        <v>0</v>
      </c>
    </row>
    <row r="1270" spans="22:23" ht="13.8">
      <c r="V1270" s="661">
        <v>3427</v>
      </c>
      <c r="W1270" s="662">
        <f>+SUMIF(SYS_cliente!$F$5:$F$1678,'BCE ABREVIADO'!V1270,SYS_cliente!$I$5:$I$1678)</f>
        <v>0</v>
      </c>
    </row>
    <row r="1271" spans="22:23" ht="13.8">
      <c r="V1271" s="661">
        <v>3428</v>
      </c>
      <c r="W1271" s="662">
        <f>+SUMIF(SYS_cliente!$F$5:$F$1678,'BCE ABREVIADO'!V1271,SYS_cliente!$I$5:$I$1678)</f>
        <v>0</v>
      </c>
    </row>
    <row r="1272" spans="22:23" ht="13.8">
      <c r="V1272" s="661">
        <v>3429</v>
      </c>
      <c r="W1272" s="662">
        <f>+SUMIF(SYS_cliente!$F$5:$F$1678,'BCE ABREVIADO'!V1272,SYS_cliente!$I$5:$I$1678)</f>
        <v>0</v>
      </c>
    </row>
    <row r="1273" spans="22:23" ht="13.8">
      <c r="V1273" s="661">
        <v>3430</v>
      </c>
      <c r="W1273" s="662">
        <f>+SUMIF(SYS_cliente!$F$5:$F$1678,'BCE ABREVIADO'!V1273,SYS_cliente!$I$5:$I$1678)</f>
        <v>0</v>
      </c>
    </row>
    <row r="1274" spans="22:23" ht="13.8">
      <c r="V1274" s="661">
        <v>3431</v>
      </c>
      <c r="W1274" s="662">
        <f>+SUMIF(SYS_cliente!$F$5:$F$1678,'BCE ABREVIADO'!V1274,SYS_cliente!$I$5:$I$1678)</f>
        <v>0</v>
      </c>
    </row>
    <row r="1275" spans="22:23" ht="13.8">
      <c r="V1275" s="661">
        <v>3432</v>
      </c>
      <c r="W1275" s="662">
        <f>+SUMIF(SYS_cliente!$F$5:$F$1678,'BCE ABREVIADO'!V1275,SYS_cliente!$I$5:$I$1678)</f>
        <v>0</v>
      </c>
    </row>
    <row r="1276" spans="22:23" ht="13.8">
      <c r="V1276" s="661">
        <v>3433</v>
      </c>
      <c r="W1276" s="662">
        <f>+SUMIF(SYS_cliente!$F$5:$F$1678,'BCE ABREVIADO'!V1276,SYS_cliente!$I$5:$I$1678)</f>
        <v>0</v>
      </c>
    </row>
    <row r="1277" spans="22:23" ht="13.8">
      <c r="V1277" s="661">
        <v>3434</v>
      </c>
      <c r="W1277" s="662">
        <f>+SUMIF(SYS_cliente!$F$5:$F$1678,'BCE ABREVIADO'!V1277,SYS_cliente!$I$5:$I$1678)</f>
        <v>0</v>
      </c>
    </row>
    <row r="1278" spans="22:23" ht="13.8">
      <c r="V1278" s="661">
        <v>3435</v>
      </c>
      <c r="W1278" s="662">
        <f>+SUMIF(SYS_cliente!$F$5:$F$1678,'BCE ABREVIADO'!V1278,SYS_cliente!$I$5:$I$1678)</f>
        <v>0</v>
      </c>
    </row>
    <row r="1279" spans="22:23" ht="13.8">
      <c r="V1279" s="661">
        <v>3436</v>
      </c>
      <c r="W1279" s="662">
        <f>+SUMIF(SYS_cliente!$F$5:$F$1678,'BCE ABREVIADO'!V1279,SYS_cliente!$I$5:$I$1678)</f>
        <v>0</v>
      </c>
    </row>
    <row r="1280" spans="22:23" ht="13.8">
      <c r="V1280" s="661">
        <v>3437</v>
      </c>
      <c r="W1280" s="662">
        <f>+SUMIF(SYS_cliente!$F$5:$F$1678,'BCE ABREVIADO'!V1280,SYS_cliente!$I$5:$I$1678)</f>
        <v>0</v>
      </c>
    </row>
    <row r="1281" spans="22:23" ht="13.8">
      <c r="V1281" s="661">
        <v>3438</v>
      </c>
      <c r="W1281" s="662">
        <f>+SUMIF(SYS_cliente!$F$5:$F$1678,'BCE ABREVIADO'!V1281,SYS_cliente!$I$5:$I$1678)</f>
        <v>0</v>
      </c>
    </row>
    <row r="1282" spans="22:23" ht="13.8">
      <c r="V1282" s="661">
        <v>3439</v>
      </c>
      <c r="W1282" s="662">
        <f>+SUMIF(SYS_cliente!$F$5:$F$1678,'BCE ABREVIADO'!V1282,SYS_cliente!$I$5:$I$1678)</f>
        <v>0</v>
      </c>
    </row>
    <row r="1283" spans="22:23" ht="13.8">
      <c r="V1283" s="661">
        <v>3440</v>
      </c>
      <c r="W1283" s="662">
        <f>+SUMIF(SYS_cliente!$F$5:$F$1678,'BCE ABREVIADO'!V1283,SYS_cliente!$I$5:$I$1678)</f>
        <v>0</v>
      </c>
    </row>
    <row r="1284" spans="22:23" ht="13.8">
      <c r="V1284" s="661">
        <v>3441</v>
      </c>
      <c r="W1284" s="662">
        <f>+SUMIF(SYS_cliente!$F$5:$F$1678,'BCE ABREVIADO'!V1284,SYS_cliente!$I$5:$I$1678)</f>
        <v>0</v>
      </c>
    </row>
    <row r="1285" spans="22:23" ht="13.8">
      <c r="V1285" s="661">
        <v>3442</v>
      </c>
      <c r="W1285" s="662">
        <f>+SUMIF(SYS_cliente!$F$5:$F$1678,'BCE ABREVIADO'!V1285,SYS_cliente!$I$5:$I$1678)</f>
        <v>0</v>
      </c>
    </row>
    <row r="1286" spans="22:23" ht="13.8">
      <c r="V1286" s="661">
        <v>3443</v>
      </c>
      <c r="W1286" s="662">
        <f>+SUMIF(SYS_cliente!$F$5:$F$1678,'BCE ABREVIADO'!V1286,SYS_cliente!$I$5:$I$1678)</f>
        <v>0</v>
      </c>
    </row>
    <row r="1287" spans="22:23" ht="13.8">
      <c r="V1287" s="661">
        <v>3444</v>
      </c>
      <c r="W1287" s="662">
        <f>+SUMIF(SYS_cliente!$F$5:$F$1678,'BCE ABREVIADO'!V1287,SYS_cliente!$I$5:$I$1678)</f>
        <v>0</v>
      </c>
    </row>
    <row r="1288" spans="22:23" ht="13.8">
      <c r="V1288" s="661">
        <v>3445</v>
      </c>
      <c r="W1288" s="662">
        <f>+SUMIF(SYS_cliente!$F$5:$F$1678,'BCE ABREVIADO'!V1288,SYS_cliente!$I$5:$I$1678)</f>
        <v>0</v>
      </c>
    </row>
    <row r="1289" spans="22:23" ht="13.8">
      <c r="V1289" s="661">
        <v>3446</v>
      </c>
      <c r="W1289" s="662">
        <f>+SUMIF(SYS_cliente!$F$5:$F$1678,'BCE ABREVIADO'!V1289,SYS_cliente!$I$5:$I$1678)</f>
        <v>0</v>
      </c>
    </row>
    <row r="1290" spans="22:23" ht="13.8">
      <c r="V1290" s="661">
        <v>3447</v>
      </c>
      <c r="W1290" s="662">
        <f>+SUMIF(SYS_cliente!$F$5:$F$1678,'BCE ABREVIADO'!V1290,SYS_cliente!$I$5:$I$1678)</f>
        <v>0</v>
      </c>
    </row>
    <row r="1291" spans="22:23" ht="13.8">
      <c r="V1291" s="661">
        <v>3448</v>
      </c>
      <c r="W1291" s="662">
        <f>+SUMIF(SYS_cliente!$F$5:$F$1678,'BCE ABREVIADO'!V1291,SYS_cliente!$I$5:$I$1678)</f>
        <v>0</v>
      </c>
    </row>
    <row r="1292" spans="22:23" ht="13.8">
      <c r="V1292" s="661">
        <v>3449</v>
      </c>
      <c r="W1292" s="662">
        <f>+SUMIF(SYS_cliente!$F$5:$F$1678,'BCE ABREVIADO'!V1292,SYS_cliente!$I$5:$I$1678)</f>
        <v>0</v>
      </c>
    </row>
    <row r="1293" spans="22:23" ht="13.8">
      <c r="V1293" s="661">
        <v>3450</v>
      </c>
      <c r="W1293" s="662">
        <f>+SUMIF(SYS_cliente!$F$5:$F$1678,'BCE ABREVIADO'!V1293,SYS_cliente!$I$5:$I$1678)</f>
        <v>0</v>
      </c>
    </row>
    <row r="1294" spans="22:23" ht="13.8">
      <c r="V1294" s="661">
        <v>3451</v>
      </c>
      <c r="W1294" s="662">
        <f>+SUMIF(SYS_cliente!$F$5:$F$1678,'BCE ABREVIADO'!V1294,SYS_cliente!$I$5:$I$1678)</f>
        <v>0</v>
      </c>
    </row>
    <row r="1295" spans="22:23" ht="13.8">
      <c r="V1295" s="661">
        <v>3452</v>
      </c>
      <c r="W1295" s="662">
        <f>+SUMIF(SYS_cliente!$F$5:$F$1678,'BCE ABREVIADO'!V1295,SYS_cliente!$I$5:$I$1678)</f>
        <v>0</v>
      </c>
    </row>
    <row r="1296" spans="22:23" ht="13.8">
      <c r="V1296" s="661">
        <v>3453</v>
      </c>
      <c r="W1296" s="662">
        <f>+SUMIF(SYS_cliente!$F$5:$F$1678,'BCE ABREVIADO'!V1296,SYS_cliente!$I$5:$I$1678)</f>
        <v>0</v>
      </c>
    </row>
    <row r="1297" spans="22:23" ht="13.8">
      <c r="V1297" s="661">
        <v>3454</v>
      </c>
      <c r="W1297" s="662">
        <f>+SUMIF(SYS_cliente!$F$5:$F$1678,'BCE ABREVIADO'!V1297,SYS_cliente!$I$5:$I$1678)</f>
        <v>0</v>
      </c>
    </row>
    <row r="1298" spans="22:23" ht="13.8">
      <c r="V1298" s="661">
        <v>3455</v>
      </c>
      <c r="W1298" s="662">
        <f>+SUMIF(SYS_cliente!$F$5:$F$1678,'BCE ABREVIADO'!V1298,SYS_cliente!$I$5:$I$1678)</f>
        <v>0</v>
      </c>
    </row>
    <row r="1299" spans="22:23" ht="13.8">
      <c r="V1299" s="661">
        <v>3456</v>
      </c>
      <c r="W1299" s="662">
        <f>+SUMIF(SYS_cliente!$F$5:$F$1678,'BCE ABREVIADO'!V1299,SYS_cliente!$I$5:$I$1678)</f>
        <v>0</v>
      </c>
    </row>
    <row r="1300" spans="22:23" ht="13.8">
      <c r="V1300" s="661">
        <v>3457</v>
      </c>
      <c r="W1300" s="662">
        <f>+SUMIF(SYS_cliente!$F$5:$F$1678,'BCE ABREVIADO'!V1300,SYS_cliente!$I$5:$I$1678)</f>
        <v>0</v>
      </c>
    </row>
    <row r="1301" spans="22:23" ht="13.8">
      <c r="V1301" s="661">
        <v>3458</v>
      </c>
      <c r="W1301" s="662">
        <f>+SUMIF(SYS_cliente!$F$5:$F$1678,'BCE ABREVIADO'!V1301,SYS_cliente!$I$5:$I$1678)</f>
        <v>0</v>
      </c>
    </row>
    <row r="1302" spans="22:23" ht="13.8">
      <c r="V1302" s="661">
        <v>3459</v>
      </c>
      <c r="W1302" s="662">
        <f>+SUMIF(SYS_cliente!$F$5:$F$1678,'BCE ABREVIADO'!V1302,SYS_cliente!$I$5:$I$1678)</f>
        <v>0</v>
      </c>
    </row>
    <row r="1303" spans="22:23" ht="13.8">
      <c r="V1303" s="661">
        <v>3460</v>
      </c>
      <c r="W1303" s="662">
        <f>+SUMIF(SYS_cliente!$F$5:$F$1678,'BCE ABREVIADO'!V1303,SYS_cliente!$I$5:$I$1678)</f>
        <v>0</v>
      </c>
    </row>
    <row r="1304" spans="22:23" ht="13.8">
      <c r="V1304" s="661">
        <v>3461</v>
      </c>
      <c r="W1304" s="662">
        <f>+SUMIF(SYS_cliente!$F$5:$F$1678,'BCE ABREVIADO'!V1304,SYS_cliente!$I$5:$I$1678)</f>
        <v>0</v>
      </c>
    </row>
    <row r="1305" spans="22:23" ht="13.8">
      <c r="V1305" s="661">
        <v>3462</v>
      </c>
      <c r="W1305" s="662">
        <f>+SUMIF(SYS_cliente!$F$5:$F$1678,'BCE ABREVIADO'!V1305,SYS_cliente!$I$5:$I$1678)</f>
        <v>0</v>
      </c>
    </row>
    <row r="1306" spans="22:23" ht="13.8">
      <c r="V1306" s="661">
        <v>3463</v>
      </c>
      <c r="W1306" s="662">
        <f>+SUMIF(SYS_cliente!$F$5:$F$1678,'BCE ABREVIADO'!V1306,SYS_cliente!$I$5:$I$1678)</f>
        <v>0</v>
      </c>
    </row>
    <row r="1307" spans="22:23" ht="13.8">
      <c r="V1307" s="661">
        <v>3464</v>
      </c>
      <c r="W1307" s="662">
        <f>+SUMIF(SYS_cliente!$F$5:$F$1678,'BCE ABREVIADO'!V1307,SYS_cliente!$I$5:$I$1678)</f>
        <v>0</v>
      </c>
    </row>
    <row r="1308" spans="22:23" ht="13.8">
      <c r="V1308" s="661">
        <v>3465</v>
      </c>
      <c r="W1308" s="662">
        <f>+SUMIF(SYS_cliente!$F$5:$F$1678,'BCE ABREVIADO'!V1308,SYS_cliente!$I$5:$I$1678)</f>
        <v>0</v>
      </c>
    </row>
    <row r="1309" spans="22:23" ht="13.8">
      <c r="V1309" s="661">
        <v>3466</v>
      </c>
      <c r="W1309" s="662">
        <f>+SUMIF(SYS_cliente!$F$5:$F$1678,'BCE ABREVIADO'!V1309,SYS_cliente!$I$5:$I$1678)</f>
        <v>0</v>
      </c>
    </row>
    <row r="1310" spans="22:23" ht="13.8">
      <c r="V1310" s="661">
        <v>3467</v>
      </c>
      <c r="W1310" s="662">
        <f>+SUMIF(SYS_cliente!$F$5:$F$1678,'BCE ABREVIADO'!V1310,SYS_cliente!$I$5:$I$1678)</f>
        <v>0</v>
      </c>
    </row>
    <row r="1311" spans="22:23" ht="13.8">
      <c r="V1311" s="661">
        <v>3468</v>
      </c>
      <c r="W1311" s="662">
        <f>+SUMIF(SYS_cliente!$F$5:$F$1678,'BCE ABREVIADO'!V1311,SYS_cliente!$I$5:$I$1678)</f>
        <v>0</v>
      </c>
    </row>
    <row r="1312" spans="22:23" ht="13.8">
      <c r="V1312" s="661">
        <v>3469</v>
      </c>
      <c r="W1312" s="662">
        <f>+SUMIF(SYS_cliente!$F$5:$F$1678,'BCE ABREVIADO'!V1312,SYS_cliente!$I$5:$I$1678)</f>
        <v>0</v>
      </c>
    </row>
    <row r="1313" spans="22:23" ht="13.8">
      <c r="V1313" s="661">
        <v>3470</v>
      </c>
      <c r="W1313" s="662">
        <f>+SUMIF(SYS_cliente!$F$5:$F$1678,'BCE ABREVIADO'!V1313,SYS_cliente!$I$5:$I$1678)</f>
        <v>0</v>
      </c>
    </row>
    <row r="1314" spans="22:23" ht="13.8">
      <c r="V1314" s="661">
        <v>3471</v>
      </c>
      <c r="W1314" s="662">
        <f>+SUMIF(SYS_cliente!$F$5:$F$1678,'BCE ABREVIADO'!V1314,SYS_cliente!$I$5:$I$1678)</f>
        <v>0</v>
      </c>
    </row>
    <row r="1315" spans="22:23" ht="13.8">
      <c r="V1315" s="661">
        <v>3472</v>
      </c>
      <c r="W1315" s="662">
        <f>+SUMIF(SYS_cliente!$F$5:$F$1678,'BCE ABREVIADO'!V1315,SYS_cliente!$I$5:$I$1678)</f>
        <v>0</v>
      </c>
    </row>
    <row r="1316" spans="22:23" ht="13.8">
      <c r="V1316" s="661">
        <v>3473</v>
      </c>
      <c r="W1316" s="662">
        <f>+SUMIF(SYS_cliente!$F$5:$F$1678,'BCE ABREVIADO'!V1316,SYS_cliente!$I$5:$I$1678)</f>
        <v>0</v>
      </c>
    </row>
    <row r="1317" spans="22:23" ht="13.8">
      <c r="V1317" s="661">
        <v>3474</v>
      </c>
      <c r="W1317" s="662">
        <f>+SUMIF(SYS_cliente!$F$5:$F$1678,'BCE ABREVIADO'!V1317,SYS_cliente!$I$5:$I$1678)</f>
        <v>0</v>
      </c>
    </row>
    <row r="1318" spans="22:23" ht="13.8">
      <c r="V1318" s="661">
        <v>3475</v>
      </c>
      <c r="W1318" s="662">
        <f>+SUMIF(SYS_cliente!$F$5:$F$1678,'BCE ABREVIADO'!V1318,SYS_cliente!$I$5:$I$1678)</f>
        <v>0</v>
      </c>
    </row>
    <row r="1319" spans="22:23" ht="13.8">
      <c r="V1319" s="661">
        <v>3476</v>
      </c>
      <c r="W1319" s="662">
        <f>+SUMIF(SYS_cliente!$F$5:$F$1678,'BCE ABREVIADO'!V1319,SYS_cliente!$I$5:$I$1678)</f>
        <v>0</v>
      </c>
    </row>
    <row r="1320" spans="22:23" ht="13.8">
      <c r="V1320" s="661">
        <v>3477</v>
      </c>
      <c r="W1320" s="662">
        <f>+SUMIF(SYS_cliente!$F$5:$F$1678,'BCE ABREVIADO'!V1320,SYS_cliente!$I$5:$I$1678)</f>
        <v>0</v>
      </c>
    </row>
    <row r="1321" spans="22:23" ht="13.8">
      <c r="V1321" s="661">
        <v>3478</v>
      </c>
      <c r="W1321" s="662">
        <f>+SUMIF(SYS_cliente!$F$5:$F$1678,'BCE ABREVIADO'!V1321,SYS_cliente!$I$5:$I$1678)</f>
        <v>0</v>
      </c>
    </row>
    <row r="1322" spans="22:23" ht="13.8">
      <c r="V1322" s="661">
        <v>3479</v>
      </c>
      <c r="W1322" s="662">
        <f>+SUMIF(SYS_cliente!$F$5:$F$1678,'BCE ABREVIADO'!V1322,SYS_cliente!$I$5:$I$1678)</f>
        <v>0</v>
      </c>
    </row>
    <row r="1323" spans="22:23" ht="13.8">
      <c r="V1323" s="661">
        <v>3480</v>
      </c>
      <c r="W1323" s="662">
        <f>+SUMIF(SYS_cliente!$F$5:$F$1678,'BCE ABREVIADO'!V1323,SYS_cliente!$I$5:$I$1678)</f>
        <v>0</v>
      </c>
    </row>
    <row r="1324" spans="22:23" ht="13.8">
      <c r="V1324" s="661">
        <v>3481</v>
      </c>
      <c r="W1324" s="662">
        <f>+SUMIF(SYS_cliente!$F$5:$F$1678,'BCE ABREVIADO'!V1324,SYS_cliente!$I$5:$I$1678)</f>
        <v>0</v>
      </c>
    </row>
    <row r="1325" spans="22:23" ht="13.8">
      <c r="V1325" s="661">
        <v>3482</v>
      </c>
      <c r="W1325" s="662">
        <f>+SUMIF(SYS_cliente!$F$5:$F$1678,'BCE ABREVIADO'!V1325,SYS_cliente!$I$5:$I$1678)</f>
        <v>0</v>
      </c>
    </row>
    <row r="1326" spans="22:23" ht="13.8">
      <c r="V1326" s="661">
        <v>3483</v>
      </c>
      <c r="W1326" s="662">
        <f>+SUMIF(SYS_cliente!$F$5:$F$1678,'BCE ABREVIADO'!V1326,SYS_cliente!$I$5:$I$1678)</f>
        <v>0</v>
      </c>
    </row>
    <row r="1327" spans="22:23" ht="13.8">
      <c r="V1327" s="661">
        <v>3484</v>
      </c>
      <c r="W1327" s="662">
        <f>+SUMIF(SYS_cliente!$F$5:$F$1678,'BCE ABREVIADO'!V1327,SYS_cliente!$I$5:$I$1678)</f>
        <v>0</v>
      </c>
    </row>
    <row r="1328" spans="22:23" ht="13.8">
      <c r="V1328" s="661">
        <v>3485</v>
      </c>
      <c r="W1328" s="662">
        <f>+SUMIF(SYS_cliente!$F$5:$F$1678,'BCE ABREVIADO'!V1328,SYS_cliente!$I$5:$I$1678)</f>
        <v>0</v>
      </c>
    </row>
    <row r="1329" spans="22:23" ht="13.8">
      <c r="V1329" s="661">
        <v>3486</v>
      </c>
      <c r="W1329" s="662">
        <f>+SUMIF(SYS_cliente!$F$5:$F$1678,'BCE ABREVIADO'!V1329,SYS_cliente!$I$5:$I$1678)</f>
        <v>0</v>
      </c>
    </row>
    <row r="1330" spans="22:23" ht="13.8">
      <c r="V1330" s="661">
        <v>3487</v>
      </c>
      <c r="W1330" s="662">
        <f>+SUMIF(SYS_cliente!$F$5:$F$1678,'BCE ABREVIADO'!V1330,SYS_cliente!$I$5:$I$1678)</f>
        <v>0</v>
      </c>
    </row>
    <row r="1331" spans="22:23" ht="13.8">
      <c r="V1331" s="661">
        <v>3488</v>
      </c>
      <c r="W1331" s="662">
        <f>+SUMIF(SYS_cliente!$F$5:$F$1678,'BCE ABREVIADO'!V1331,SYS_cliente!$I$5:$I$1678)</f>
        <v>0</v>
      </c>
    </row>
    <row r="1332" spans="22:23" ht="13.8">
      <c r="V1332" s="661">
        <v>3489</v>
      </c>
      <c r="W1332" s="662">
        <f>+SUMIF(SYS_cliente!$F$5:$F$1678,'BCE ABREVIADO'!V1332,SYS_cliente!$I$5:$I$1678)</f>
        <v>0</v>
      </c>
    </row>
    <row r="1333" spans="22:23" ht="13.8">
      <c r="V1333" s="661">
        <v>3490</v>
      </c>
      <c r="W1333" s="662">
        <f>+SUMIF(SYS_cliente!$F$5:$F$1678,'BCE ABREVIADO'!V1333,SYS_cliente!$I$5:$I$1678)</f>
        <v>0</v>
      </c>
    </row>
    <row r="1334" spans="22:23" ht="13.8">
      <c r="V1334" s="661">
        <v>3491</v>
      </c>
      <c r="W1334" s="662">
        <f>+SUMIF(SYS_cliente!$F$5:$F$1678,'BCE ABREVIADO'!V1334,SYS_cliente!$I$5:$I$1678)</f>
        <v>0</v>
      </c>
    </row>
    <row r="1335" spans="22:23" ht="13.8">
      <c r="V1335" s="661">
        <v>3492</v>
      </c>
      <c r="W1335" s="662">
        <f>+SUMIF(SYS_cliente!$F$5:$F$1678,'BCE ABREVIADO'!V1335,SYS_cliente!$I$5:$I$1678)</f>
        <v>0</v>
      </c>
    </row>
    <row r="1336" spans="22:23" ht="13.8">
      <c r="V1336" s="661">
        <v>3493</v>
      </c>
      <c r="W1336" s="662">
        <f>+SUMIF(SYS_cliente!$F$5:$F$1678,'BCE ABREVIADO'!V1336,SYS_cliente!$I$5:$I$1678)</f>
        <v>0</v>
      </c>
    </row>
    <row r="1337" spans="22:23" ht="13.8">
      <c r="V1337" s="661">
        <v>3494</v>
      </c>
      <c r="W1337" s="662">
        <f>+SUMIF(SYS_cliente!$F$5:$F$1678,'BCE ABREVIADO'!V1337,SYS_cliente!$I$5:$I$1678)</f>
        <v>0</v>
      </c>
    </row>
    <row r="1338" spans="22:23" ht="13.8">
      <c r="V1338" s="661">
        <v>3495</v>
      </c>
      <c r="W1338" s="662">
        <f>+SUMIF(SYS_cliente!$F$5:$F$1678,'BCE ABREVIADO'!V1338,SYS_cliente!$I$5:$I$1678)</f>
        <v>0</v>
      </c>
    </row>
    <row r="1339" spans="22:23" ht="13.8">
      <c r="V1339" s="661">
        <v>3496</v>
      </c>
      <c r="W1339" s="662">
        <f>+SUMIF(SYS_cliente!$F$5:$F$1678,'BCE ABREVIADO'!V1339,SYS_cliente!$I$5:$I$1678)</f>
        <v>0</v>
      </c>
    </row>
    <row r="1340" spans="22:23" ht="13.8">
      <c r="V1340" s="661">
        <v>3497</v>
      </c>
      <c r="W1340" s="662">
        <f>+SUMIF(SYS_cliente!$F$5:$F$1678,'BCE ABREVIADO'!V1340,SYS_cliente!$I$5:$I$1678)</f>
        <v>0</v>
      </c>
    </row>
    <row r="1341" spans="22:23" ht="13.8">
      <c r="V1341" s="661">
        <v>3498</v>
      </c>
      <c r="W1341" s="662">
        <f>+SUMIF(SYS_cliente!$F$5:$F$1678,'BCE ABREVIADO'!V1341,SYS_cliente!$I$5:$I$1678)</f>
        <v>0</v>
      </c>
    </row>
    <row r="1342" spans="22:23" ht="13.8">
      <c r="V1342" s="661">
        <v>3499</v>
      </c>
      <c r="W1342" s="662">
        <f>+SUMIF(SYS_cliente!$F$5:$F$1678,'BCE ABREVIADO'!V1342,SYS_cliente!$I$5:$I$1678)</f>
        <v>0</v>
      </c>
    </row>
    <row r="1343" spans="22:23" ht="13.8">
      <c r="V1343" s="661">
        <v>3600</v>
      </c>
      <c r="W1343" s="662">
        <f>+SUMIF(SYS_cliente!$F$5:$F$1678,'BCE ABREVIADO'!V1343,SYS_cliente!$I$5:$I$1678)</f>
        <v>0</v>
      </c>
    </row>
    <row r="1344" spans="22:23" ht="13.8">
      <c r="V1344" s="661">
        <v>3601</v>
      </c>
      <c r="W1344" s="662">
        <f>+SUMIF(SYS_cliente!$F$5:$F$1678,'BCE ABREVIADO'!V1344,SYS_cliente!$I$5:$I$1678)</f>
        <v>0</v>
      </c>
    </row>
    <row r="1345" spans="22:23" ht="13.8">
      <c r="V1345" s="661">
        <v>3602</v>
      </c>
      <c r="W1345" s="662">
        <f>+SUMIF(SYS_cliente!$F$5:$F$1678,'BCE ABREVIADO'!V1345,SYS_cliente!$I$5:$I$1678)</f>
        <v>0</v>
      </c>
    </row>
    <row r="1346" spans="22:23" ht="13.8">
      <c r="V1346" s="661">
        <v>3603</v>
      </c>
      <c r="W1346" s="662">
        <f>+SUMIF(SYS_cliente!$F$5:$F$1678,'BCE ABREVIADO'!V1346,SYS_cliente!$I$5:$I$1678)</f>
        <v>0</v>
      </c>
    </row>
    <row r="1347" spans="22:23" ht="13.8">
      <c r="V1347" s="661">
        <v>3604</v>
      </c>
      <c r="W1347" s="662">
        <f>+SUMIF(SYS_cliente!$F$5:$F$1678,'BCE ABREVIADO'!V1347,SYS_cliente!$I$5:$I$1678)</f>
        <v>0</v>
      </c>
    </row>
    <row r="1348" spans="22:23" ht="13.8">
      <c r="V1348" s="661">
        <v>3605</v>
      </c>
      <c r="W1348" s="662">
        <f>+SUMIF(SYS_cliente!$F$5:$F$1678,'BCE ABREVIADO'!V1348,SYS_cliente!$I$5:$I$1678)</f>
        <v>0</v>
      </c>
    </row>
    <row r="1349" spans="22:23" ht="13.8">
      <c r="V1349" s="661">
        <v>3606</v>
      </c>
      <c r="W1349" s="662">
        <f>+SUMIF(SYS_cliente!$F$5:$F$1678,'BCE ABREVIADO'!V1349,SYS_cliente!$I$5:$I$1678)</f>
        <v>0</v>
      </c>
    </row>
    <row r="1350" spans="22:23" ht="13.8">
      <c r="V1350" s="661">
        <v>3607</v>
      </c>
      <c r="W1350" s="662">
        <f>+SUMIF(SYS_cliente!$F$5:$F$1678,'BCE ABREVIADO'!V1350,SYS_cliente!$I$5:$I$1678)</f>
        <v>0</v>
      </c>
    </row>
    <row r="1351" spans="22:23" ht="13.8">
      <c r="V1351" s="661">
        <v>3608</v>
      </c>
      <c r="W1351" s="662">
        <f>+SUMIF(SYS_cliente!$F$5:$F$1678,'BCE ABREVIADO'!V1351,SYS_cliente!$I$5:$I$1678)</f>
        <v>0</v>
      </c>
    </row>
    <row r="1352" spans="22:23" ht="13.8">
      <c r="V1352" s="661">
        <v>3609</v>
      </c>
      <c r="W1352" s="662">
        <f>+SUMIF(SYS_cliente!$F$5:$F$1678,'BCE ABREVIADO'!V1352,SYS_cliente!$I$5:$I$1678)</f>
        <v>0</v>
      </c>
    </row>
    <row r="1353" spans="22:23" ht="13.8">
      <c r="V1353" s="661">
        <v>3610</v>
      </c>
      <c r="W1353" s="662">
        <f>+SUMIF(SYS_cliente!$F$5:$F$1678,'BCE ABREVIADO'!V1353,SYS_cliente!$I$5:$I$1678)</f>
        <v>0</v>
      </c>
    </row>
    <row r="1354" spans="22:23" ht="13.8">
      <c r="V1354" s="661">
        <v>3611</v>
      </c>
      <c r="W1354" s="662">
        <f>+SUMIF(SYS_cliente!$F$5:$F$1678,'BCE ABREVIADO'!V1354,SYS_cliente!$I$5:$I$1678)</f>
        <v>0</v>
      </c>
    </row>
    <row r="1355" spans="22:23" ht="13.8">
      <c r="V1355" s="661">
        <v>3612</v>
      </c>
      <c r="W1355" s="662">
        <f>+SUMIF(SYS_cliente!$F$5:$F$1678,'BCE ABREVIADO'!V1355,SYS_cliente!$I$5:$I$1678)</f>
        <v>0</v>
      </c>
    </row>
    <row r="1356" spans="22:23" ht="13.8">
      <c r="V1356" s="661">
        <v>3613</v>
      </c>
      <c r="W1356" s="662">
        <f>+SUMIF(SYS_cliente!$F$5:$F$1678,'BCE ABREVIADO'!V1356,SYS_cliente!$I$5:$I$1678)</f>
        <v>0</v>
      </c>
    </row>
    <row r="1357" spans="22:23" ht="13.8">
      <c r="V1357" s="661">
        <v>3614</v>
      </c>
      <c r="W1357" s="662">
        <f>+SUMIF(SYS_cliente!$F$5:$F$1678,'BCE ABREVIADO'!V1357,SYS_cliente!$I$5:$I$1678)</f>
        <v>0</v>
      </c>
    </row>
    <row r="1358" spans="22:23" ht="13.8">
      <c r="V1358" s="661">
        <v>3615</v>
      </c>
      <c r="W1358" s="662">
        <f>+SUMIF(SYS_cliente!$F$5:$F$1678,'BCE ABREVIADO'!V1358,SYS_cliente!$I$5:$I$1678)</f>
        <v>0</v>
      </c>
    </row>
    <row r="1359" spans="22:23" ht="13.8">
      <c r="V1359" s="661">
        <v>3616</v>
      </c>
      <c r="W1359" s="662">
        <f>+SUMIF(SYS_cliente!$F$5:$F$1678,'BCE ABREVIADO'!V1359,SYS_cliente!$I$5:$I$1678)</f>
        <v>0</v>
      </c>
    </row>
    <row r="1360" spans="22:23" ht="13.8">
      <c r="V1360" s="661">
        <v>3617</v>
      </c>
      <c r="W1360" s="662">
        <f>+SUMIF(SYS_cliente!$F$5:$F$1678,'BCE ABREVIADO'!V1360,SYS_cliente!$I$5:$I$1678)</f>
        <v>0</v>
      </c>
    </row>
    <row r="1361" spans="22:23" ht="13.8">
      <c r="V1361" s="661">
        <v>3618</v>
      </c>
      <c r="W1361" s="662">
        <f>+SUMIF(SYS_cliente!$F$5:$F$1678,'BCE ABREVIADO'!V1361,SYS_cliente!$I$5:$I$1678)</f>
        <v>0</v>
      </c>
    </row>
    <row r="1362" spans="22:23" ht="13.8">
      <c r="V1362" s="661">
        <v>3619</v>
      </c>
      <c r="W1362" s="662">
        <f>+SUMIF(SYS_cliente!$F$5:$F$1678,'BCE ABREVIADO'!V1362,SYS_cliente!$I$5:$I$1678)</f>
        <v>0</v>
      </c>
    </row>
    <row r="1363" spans="22:23" ht="13.8">
      <c r="V1363" s="661">
        <v>3620</v>
      </c>
      <c r="W1363" s="662">
        <f>+SUMIF(SYS_cliente!$F$5:$F$1678,'BCE ABREVIADO'!V1363,SYS_cliente!$I$5:$I$1678)</f>
        <v>0</v>
      </c>
    </row>
    <row r="1364" spans="22:23" ht="13.8">
      <c r="V1364" s="661">
        <v>3621</v>
      </c>
      <c r="W1364" s="662">
        <f>+SUMIF(SYS_cliente!$F$5:$F$1678,'BCE ABREVIADO'!V1364,SYS_cliente!$I$5:$I$1678)</f>
        <v>0</v>
      </c>
    </row>
    <row r="1365" spans="22:23" ht="13.8">
      <c r="V1365" s="661">
        <v>3622</v>
      </c>
      <c r="W1365" s="662">
        <f>+SUMIF(SYS_cliente!$F$5:$F$1678,'BCE ABREVIADO'!V1365,SYS_cliente!$I$5:$I$1678)</f>
        <v>0</v>
      </c>
    </row>
    <row r="1366" spans="22:23" ht="13.8">
      <c r="V1366" s="661">
        <v>3623</v>
      </c>
      <c r="W1366" s="662">
        <f>+SUMIF(SYS_cliente!$F$5:$F$1678,'BCE ABREVIADO'!V1366,SYS_cliente!$I$5:$I$1678)</f>
        <v>0</v>
      </c>
    </row>
    <row r="1367" spans="22:23" ht="13.8">
      <c r="V1367" s="661">
        <v>3624</v>
      </c>
      <c r="W1367" s="662">
        <f>+SUMIF(SYS_cliente!$F$5:$F$1678,'BCE ABREVIADO'!V1367,SYS_cliente!$I$5:$I$1678)</f>
        <v>0</v>
      </c>
    </row>
    <row r="1368" spans="22:23" ht="13.8">
      <c r="V1368" s="661">
        <v>3625</v>
      </c>
      <c r="W1368" s="662">
        <f>+SUMIF(SYS_cliente!$F$5:$F$1678,'BCE ABREVIADO'!V1368,SYS_cliente!$I$5:$I$1678)</f>
        <v>0</v>
      </c>
    </row>
    <row r="1369" spans="22:23" ht="13.8">
      <c r="V1369" s="661">
        <v>3626</v>
      </c>
      <c r="W1369" s="662">
        <f>+SUMIF(SYS_cliente!$F$5:$F$1678,'BCE ABREVIADO'!V1369,SYS_cliente!$I$5:$I$1678)</f>
        <v>0</v>
      </c>
    </row>
    <row r="1370" spans="22:23" ht="13.8">
      <c r="V1370" s="661">
        <v>3627</v>
      </c>
      <c r="W1370" s="662">
        <f>+SUMIF(SYS_cliente!$F$5:$F$1678,'BCE ABREVIADO'!V1370,SYS_cliente!$I$5:$I$1678)</f>
        <v>0</v>
      </c>
    </row>
    <row r="1371" spans="22:23" ht="13.8">
      <c r="V1371" s="661">
        <v>3628</v>
      </c>
      <c r="W1371" s="662">
        <f>+SUMIF(SYS_cliente!$F$5:$F$1678,'BCE ABREVIADO'!V1371,SYS_cliente!$I$5:$I$1678)</f>
        <v>0</v>
      </c>
    </row>
    <row r="1372" spans="22:23" ht="13.8">
      <c r="V1372" s="661">
        <v>3629</v>
      </c>
      <c r="W1372" s="662">
        <f>+SUMIF(SYS_cliente!$F$5:$F$1678,'BCE ABREVIADO'!V1372,SYS_cliente!$I$5:$I$1678)</f>
        <v>0</v>
      </c>
    </row>
    <row r="1373" spans="22:23" ht="13.8">
      <c r="V1373" s="661">
        <v>3630</v>
      </c>
      <c r="W1373" s="662">
        <f>+SUMIF(SYS_cliente!$F$5:$F$1678,'BCE ABREVIADO'!V1373,SYS_cliente!$I$5:$I$1678)</f>
        <v>0</v>
      </c>
    </row>
    <row r="1374" spans="22:23" ht="13.8">
      <c r="V1374" s="661">
        <v>3631</v>
      </c>
      <c r="W1374" s="662">
        <f>+SUMIF(SYS_cliente!$F$5:$F$1678,'BCE ABREVIADO'!V1374,SYS_cliente!$I$5:$I$1678)</f>
        <v>0</v>
      </c>
    </row>
    <row r="1375" spans="22:23" ht="13.8">
      <c r="V1375" s="661">
        <v>3632</v>
      </c>
      <c r="W1375" s="662">
        <f>+SUMIF(SYS_cliente!$F$5:$F$1678,'BCE ABREVIADO'!V1375,SYS_cliente!$I$5:$I$1678)</f>
        <v>0</v>
      </c>
    </row>
    <row r="1376" spans="22:23" ht="13.8">
      <c r="V1376" s="661">
        <v>3633</v>
      </c>
      <c r="W1376" s="662">
        <f>+SUMIF(SYS_cliente!$F$5:$F$1678,'BCE ABREVIADO'!V1376,SYS_cliente!$I$5:$I$1678)</f>
        <v>0</v>
      </c>
    </row>
    <row r="1377" spans="22:23" ht="13.8">
      <c r="V1377" s="661">
        <v>3634</v>
      </c>
      <c r="W1377" s="662">
        <f>+SUMIF(SYS_cliente!$F$5:$F$1678,'BCE ABREVIADO'!V1377,SYS_cliente!$I$5:$I$1678)</f>
        <v>0</v>
      </c>
    </row>
    <row r="1378" spans="22:23" ht="13.8">
      <c r="V1378" s="661">
        <v>3635</v>
      </c>
      <c r="W1378" s="662">
        <f>+SUMIF(SYS_cliente!$F$5:$F$1678,'BCE ABREVIADO'!V1378,SYS_cliente!$I$5:$I$1678)</f>
        <v>0</v>
      </c>
    </row>
    <row r="1379" spans="22:23" ht="13.8">
      <c r="V1379" s="661">
        <v>3636</v>
      </c>
      <c r="W1379" s="662">
        <f>+SUMIF(SYS_cliente!$F$5:$F$1678,'BCE ABREVIADO'!V1379,SYS_cliente!$I$5:$I$1678)</f>
        <v>0</v>
      </c>
    </row>
    <row r="1380" spans="22:23" ht="13.8">
      <c r="V1380" s="661">
        <v>3637</v>
      </c>
      <c r="W1380" s="662">
        <f>+SUMIF(SYS_cliente!$F$5:$F$1678,'BCE ABREVIADO'!V1380,SYS_cliente!$I$5:$I$1678)</f>
        <v>0</v>
      </c>
    </row>
    <row r="1381" spans="22:23" ht="13.8">
      <c r="V1381" s="661">
        <v>3638</v>
      </c>
      <c r="W1381" s="662">
        <f>+SUMIF(SYS_cliente!$F$5:$F$1678,'BCE ABREVIADO'!V1381,SYS_cliente!$I$5:$I$1678)</f>
        <v>0</v>
      </c>
    </row>
    <row r="1382" spans="22:23" ht="13.8">
      <c r="V1382" s="661">
        <v>3639</v>
      </c>
      <c r="W1382" s="662">
        <f>+SUMIF(SYS_cliente!$F$5:$F$1678,'BCE ABREVIADO'!V1382,SYS_cliente!$I$5:$I$1678)</f>
        <v>0</v>
      </c>
    </row>
    <row r="1383" spans="22:23" ht="13.8">
      <c r="V1383" s="661">
        <v>3640</v>
      </c>
      <c r="W1383" s="662">
        <f>+SUMIF(SYS_cliente!$F$5:$F$1678,'BCE ABREVIADO'!V1383,SYS_cliente!$I$5:$I$1678)</f>
        <v>0</v>
      </c>
    </row>
    <row r="1384" spans="22:23" ht="13.8">
      <c r="V1384" s="661">
        <v>3641</v>
      </c>
      <c r="W1384" s="662">
        <f>+SUMIF(SYS_cliente!$F$5:$F$1678,'BCE ABREVIADO'!V1384,SYS_cliente!$I$5:$I$1678)</f>
        <v>0</v>
      </c>
    </row>
    <row r="1385" spans="22:23" ht="13.8">
      <c r="V1385" s="661">
        <v>3642</v>
      </c>
      <c r="W1385" s="662">
        <f>+SUMIF(SYS_cliente!$F$5:$F$1678,'BCE ABREVIADO'!V1385,SYS_cliente!$I$5:$I$1678)</f>
        <v>0</v>
      </c>
    </row>
    <row r="1386" spans="22:23" ht="13.8">
      <c r="V1386" s="661">
        <v>3643</v>
      </c>
      <c r="W1386" s="662">
        <f>+SUMIF(SYS_cliente!$F$5:$F$1678,'BCE ABREVIADO'!V1386,SYS_cliente!$I$5:$I$1678)</f>
        <v>0</v>
      </c>
    </row>
    <row r="1387" spans="22:23" ht="13.8">
      <c r="V1387" s="661">
        <v>3644</v>
      </c>
      <c r="W1387" s="662">
        <f>+SUMIF(SYS_cliente!$F$5:$F$1678,'BCE ABREVIADO'!V1387,SYS_cliente!$I$5:$I$1678)</f>
        <v>0</v>
      </c>
    </row>
    <row r="1388" spans="22:23" ht="13.8">
      <c r="V1388" s="661">
        <v>3645</v>
      </c>
      <c r="W1388" s="662">
        <f>+SUMIF(SYS_cliente!$F$5:$F$1678,'BCE ABREVIADO'!V1388,SYS_cliente!$I$5:$I$1678)</f>
        <v>0</v>
      </c>
    </row>
    <row r="1389" spans="22:23" ht="13.8">
      <c r="V1389" s="661">
        <v>3646</v>
      </c>
      <c r="W1389" s="662">
        <f>+SUMIF(SYS_cliente!$F$5:$F$1678,'BCE ABREVIADO'!V1389,SYS_cliente!$I$5:$I$1678)</f>
        <v>0</v>
      </c>
    </row>
    <row r="1390" spans="22:23" ht="13.8">
      <c r="V1390" s="661">
        <v>3647</v>
      </c>
      <c r="W1390" s="662">
        <f>+SUMIF(SYS_cliente!$F$5:$F$1678,'BCE ABREVIADO'!V1390,SYS_cliente!$I$5:$I$1678)</f>
        <v>0</v>
      </c>
    </row>
    <row r="1391" spans="22:23" ht="13.8">
      <c r="V1391" s="661">
        <v>3648</v>
      </c>
      <c r="W1391" s="662">
        <f>+SUMIF(SYS_cliente!$F$5:$F$1678,'BCE ABREVIADO'!V1391,SYS_cliente!$I$5:$I$1678)</f>
        <v>0</v>
      </c>
    </row>
    <row r="1392" spans="22:23" ht="13.8">
      <c r="V1392" s="661">
        <v>3649</v>
      </c>
      <c r="W1392" s="662">
        <f>+SUMIF(SYS_cliente!$F$5:$F$1678,'BCE ABREVIADO'!V1392,SYS_cliente!$I$5:$I$1678)</f>
        <v>0</v>
      </c>
    </row>
    <row r="1393" spans="22:23" ht="13.8">
      <c r="V1393" s="661">
        <v>3650</v>
      </c>
      <c r="W1393" s="662">
        <f>+SUMIF(SYS_cliente!$F$5:$F$1678,'BCE ABREVIADO'!V1393,SYS_cliente!$I$5:$I$1678)</f>
        <v>0</v>
      </c>
    </row>
    <row r="1394" spans="22:23" ht="13.8">
      <c r="V1394" s="661">
        <v>3651</v>
      </c>
      <c r="W1394" s="662">
        <f>+SUMIF(SYS_cliente!$F$5:$F$1678,'BCE ABREVIADO'!V1394,SYS_cliente!$I$5:$I$1678)</f>
        <v>0</v>
      </c>
    </row>
    <row r="1395" spans="22:23" ht="13.8">
      <c r="V1395" s="661">
        <v>3652</v>
      </c>
      <c r="W1395" s="662">
        <f>+SUMIF(SYS_cliente!$F$5:$F$1678,'BCE ABREVIADO'!V1395,SYS_cliente!$I$5:$I$1678)</f>
        <v>0</v>
      </c>
    </row>
    <row r="1396" spans="22:23" ht="13.8">
      <c r="V1396" s="661">
        <v>3653</v>
      </c>
      <c r="W1396" s="662">
        <f>+SUMIF(SYS_cliente!$F$5:$F$1678,'BCE ABREVIADO'!V1396,SYS_cliente!$I$5:$I$1678)</f>
        <v>0</v>
      </c>
    </row>
    <row r="1397" spans="22:23" ht="13.8">
      <c r="V1397" s="661">
        <v>3654</v>
      </c>
      <c r="W1397" s="662">
        <f>+SUMIF(SYS_cliente!$F$5:$F$1678,'BCE ABREVIADO'!V1397,SYS_cliente!$I$5:$I$1678)</f>
        <v>0</v>
      </c>
    </row>
    <row r="1398" spans="22:23" ht="13.8">
      <c r="V1398" s="661">
        <v>3655</v>
      </c>
      <c r="W1398" s="662">
        <f>+SUMIF(SYS_cliente!$F$5:$F$1678,'BCE ABREVIADO'!V1398,SYS_cliente!$I$5:$I$1678)</f>
        <v>0</v>
      </c>
    </row>
    <row r="1399" spans="22:23" ht="13.8">
      <c r="V1399" s="661">
        <v>3656</v>
      </c>
      <c r="W1399" s="662">
        <f>+SUMIF(SYS_cliente!$F$5:$F$1678,'BCE ABREVIADO'!V1399,SYS_cliente!$I$5:$I$1678)</f>
        <v>0</v>
      </c>
    </row>
    <row r="1400" spans="22:23" ht="13.8">
      <c r="V1400" s="661">
        <v>3657</v>
      </c>
      <c r="W1400" s="662">
        <f>+SUMIF(SYS_cliente!$F$5:$F$1678,'BCE ABREVIADO'!V1400,SYS_cliente!$I$5:$I$1678)</f>
        <v>0</v>
      </c>
    </row>
    <row r="1401" spans="22:23" ht="13.8">
      <c r="V1401" s="661">
        <v>3658</v>
      </c>
      <c r="W1401" s="662">
        <f>+SUMIF(SYS_cliente!$F$5:$F$1678,'BCE ABREVIADO'!V1401,SYS_cliente!$I$5:$I$1678)</f>
        <v>0</v>
      </c>
    </row>
    <row r="1402" spans="22:23" ht="13.8">
      <c r="V1402" s="661">
        <v>3659</v>
      </c>
      <c r="W1402" s="662">
        <f>+SUMIF(SYS_cliente!$F$5:$F$1678,'BCE ABREVIADO'!V1402,SYS_cliente!$I$5:$I$1678)</f>
        <v>0</v>
      </c>
    </row>
    <row r="1403" spans="22:23" ht="13.8">
      <c r="V1403" s="661">
        <v>3660</v>
      </c>
      <c r="W1403" s="662">
        <f>+SUMIF(SYS_cliente!$F$5:$F$1678,'BCE ABREVIADO'!V1403,SYS_cliente!$I$5:$I$1678)</f>
        <v>0</v>
      </c>
    </row>
    <row r="1404" spans="22:23" ht="13.8">
      <c r="V1404" s="661">
        <v>3661</v>
      </c>
      <c r="W1404" s="662">
        <f>+SUMIF(SYS_cliente!$F$5:$F$1678,'BCE ABREVIADO'!V1404,SYS_cliente!$I$5:$I$1678)</f>
        <v>0</v>
      </c>
    </row>
    <row r="1405" spans="22:23" ht="13.8">
      <c r="V1405" s="661">
        <v>3662</v>
      </c>
      <c r="W1405" s="662">
        <f>+SUMIF(SYS_cliente!$F$5:$F$1678,'BCE ABREVIADO'!V1405,SYS_cliente!$I$5:$I$1678)</f>
        <v>0</v>
      </c>
    </row>
    <row r="1406" spans="22:23" ht="13.8">
      <c r="V1406" s="661">
        <v>3663</v>
      </c>
      <c r="W1406" s="662">
        <f>+SUMIF(SYS_cliente!$F$5:$F$1678,'BCE ABREVIADO'!V1406,SYS_cliente!$I$5:$I$1678)</f>
        <v>0</v>
      </c>
    </row>
    <row r="1407" spans="22:23" ht="13.8">
      <c r="V1407" s="661">
        <v>3664</v>
      </c>
      <c r="W1407" s="662">
        <f>+SUMIF(SYS_cliente!$F$5:$F$1678,'BCE ABREVIADO'!V1407,SYS_cliente!$I$5:$I$1678)</f>
        <v>0</v>
      </c>
    </row>
    <row r="1408" spans="22:23" ht="13.8">
      <c r="V1408" s="661">
        <v>3665</v>
      </c>
      <c r="W1408" s="662">
        <f>+SUMIF(SYS_cliente!$F$5:$F$1678,'BCE ABREVIADO'!V1408,SYS_cliente!$I$5:$I$1678)</f>
        <v>0</v>
      </c>
    </row>
    <row r="1409" spans="22:23" ht="13.8">
      <c r="V1409" s="661">
        <v>3666</v>
      </c>
      <c r="W1409" s="662">
        <f>+SUMIF(SYS_cliente!$F$5:$F$1678,'BCE ABREVIADO'!V1409,SYS_cliente!$I$5:$I$1678)</f>
        <v>0</v>
      </c>
    </row>
    <row r="1410" spans="22:23" ht="13.8">
      <c r="V1410" s="661">
        <v>3667</v>
      </c>
      <c r="W1410" s="662">
        <f>+SUMIF(SYS_cliente!$F$5:$F$1678,'BCE ABREVIADO'!V1410,SYS_cliente!$I$5:$I$1678)</f>
        <v>0</v>
      </c>
    </row>
    <row r="1411" spans="22:23" ht="13.8">
      <c r="V1411" s="661">
        <v>3668</v>
      </c>
      <c r="W1411" s="662">
        <f>+SUMIF(SYS_cliente!$F$5:$F$1678,'BCE ABREVIADO'!V1411,SYS_cliente!$I$5:$I$1678)</f>
        <v>0</v>
      </c>
    </row>
    <row r="1412" spans="22:23" ht="13.8">
      <c r="V1412" s="661">
        <v>3669</v>
      </c>
      <c r="W1412" s="662">
        <f>+SUMIF(SYS_cliente!$F$5:$F$1678,'BCE ABREVIADO'!V1412,SYS_cliente!$I$5:$I$1678)</f>
        <v>0</v>
      </c>
    </row>
    <row r="1413" spans="22:23" ht="13.8">
      <c r="V1413" s="661">
        <v>3670</v>
      </c>
      <c r="W1413" s="662">
        <f>+SUMIF(SYS_cliente!$F$5:$F$1678,'BCE ABREVIADO'!V1413,SYS_cliente!$I$5:$I$1678)</f>
        <v>0</v>
      </c>
    </row>
    <row r="1414" spans="22:23" ht="13.8">
      <c r="V1414" s="661">
        <v>3671</v>
      </c>
      <c r="W1414" s="662">
        <f>+SUMIF(SYS_cliente!$F$5:$F$1678,'BCE ABREVIADO'!V1414,SYS_cliente!$I$5:$I$1678)</f>
        <v>0</v>
      </c>
    </row>
    <row r="1415" spans="22:23" ht="13.8">
      <c r="V1415" s="661">
        <v>3672</v>
      </c>
      <c r="W1415" s="662">
        <f>+SUMIF(SYS_cliente!$F$5:$F$1678,'BCE ABREVIADO'!V1415,SYS_cliente!$I$5:$I$1678)</f>
        <v>0</v>
      </c>
    </row>
    <row r="1416" spans="22:23" ht="13.8">
      <c r="V1416" s="661">
        <v>3673</v>
      </c>
      <c r="W1416" s="662">
        <f>+SUMIF(SYS_cliente!$F$5:$F$1678,'BCE ABREVIADO'!V1416,SYS_cliente!$I$5:$I$1678)</f>
        <v>0</v>
      </c>
    </row>
    <row r="1417" spans="22:23" ht="13.8">
      <c r="V1417" s="661">
        <v>3674</v>
      </c>
      <c r="W1417" s="662">
        <f>+SUMIF(SYS_cliente!$F$5:$F$1678,'BCE ABREVIADO'!V1417,SYS_cliente!$I$5:$I$1678)</f>
        <v>0</v>
      </c>
    </row>
    <row r="1418" spans="22:23" ht="13.8">
      <c r="V1418" s="661">
        <v>3675</v>
      </c>
      <c r="W1418" s="662">
        <f>+SUMIF(SYS_cliente!$F$5:$F$1678,'BCE ABREVIADO'!V1418,SYS_cliente!$I$5:$I$1678)</f>
        <v>0</v>
      </c>
    </row>
    <row r="1419" spans="22:23" ht="13.8">
      <c r="V1419" s="661">
        <v>3676</v>
      </c>
      <c r="W1419" s="662">
        <f>+SUMIF(SYS_cliente!$F$5:$F$1678,'BCE ABREVIADO'!V1419,SYS_cliente!$I$5:$I$1678)</f>
        <v>0</v>
      </c>
    </row>
    <row r="1420" spans="22:23" ht="13.8">
      <c r="V1420" s="661">
        <v>3677</v>
      </c>
      <c r="W1420" s="662">
        <f>+SUMIF(SYS_cliente!$F$5:$F$1678,'BCE ABREVIADO'!V1420,SYS_cliente!$I$5:$I$1678)</f>
        <v>0</v>
      </c>
    </row>
    <row r="1421" spans="22:23" ht="13.8">
      <c r="V1421" s="661">
        <v>3678</v>
      </c>
      <c r="W1421" s="662">
        <f>+SUMIF(SYS_cliente!$F$5:$F$1678,'BCE ABREVIADO'!V1421,SYS_cliente!$I$5:$I$1678)</f>
        <v>0</v>
      </c>
    </row>
    <row r="1422" spans="22:23" ht="13.8">
      <c r="V1422" s="661">
        <v>3679</v>
      </c>
      <c r="W1422" s="662">
        <f>+SUMIF(SYS_cliente!$F$5:$F$1678,'BCE ABREVIADO'!V1422,SYS_cliente!$I$5:$I$1678)</f>
        <v>0</v>
      </c>
    </row>
    <row r="1423" spans="22:23" ht="13.8">
      <c r="V1423" s="661">
        <v>3680</v>
      </c>
      <c r="W1423" s="662">
        <f>+SUMIF(SYS_cliente!$F$5:$F$1678,'BCE ABREVIADO'!V1423,SYS_cliente!$I$5:$I$1678)</f>
        <v>0</v>
      </c>
    </row>
    <row r="1424" spans="22:23" ht="13.8">
      <c r="V1424" s="661">
        <v>3681</v>
      </c>
      <c r="W1424" s="662">
        <f>+SUMIF(SYS_cliente!$F$5:$F$1678,'BCE ABREVIADO'!V1424,SYS_cliente!$I$5:$I$1678)</f>
        <v>0</v>
      </c>
    </row>
    <row r="1425" spans="22:23" ht="13.8">
      <c r="V1425" s="661">
        <v>3682</v>
      </c>
      <c r="W1425" s="662">
        <f>+SUMIF(SYS_cliente!$F$5:$F$1678,'BCE ABREVIADO'!V1425,SYS_cliente!$I$5:$I$1678)</f>
        <v>0</v>
      </c>
    </row>
    <row r="1426" spans="22:23" ht="13.8">
      <c r="V1426" s="661">
        <v>3683</v>
      </c>
      <c r="W1426" s="662">
        <f>+SUMIF(SYS_cliente!$F$5:$F$1678,'BCE ABREVIADO'!V1426,SYS_cliente!$I$5:$I$1678)</f>
        <v>0</v>
      </c>
    </row>
    <row r="1427" spans="22:23" ht="13.8">
      <c r="V1427" s="661">
        <v>3684</v>
      </c>
      <c r="W1427" s="662">
        <f>+SUMIF(SYS_cliente!$F$5:$F$1678,'BCE ABREVIADO'!V1427,SYS_cliente!$I$5:$I$1678)</f>
        <v>0</v>
      </c>
    </row>
    <row r="1428" spans="22:23" ht="13.8">
      <c r="V1428" s="661">
        <v>3685</v>
      </c>
      <c r="W1428" s="662">
        <f>+SUMIF(SYS_cliente!$F$5:$F$1678,'BCE ABREVIADO'!V1428,SYS_cliente!$I$5:$I$1678)</f>
        <v>0</v>
      </c>
    </row>
    <row r="1429" spans="22:23" ht="13.8">
      <c r="V1429" s="661">
        <v>3686</v>
      </c>
      <c r="W1429" s="662">
        <f>+SUMIF(SYS_cliente!$F$5:$F$1678,'BCE ABREVIADO'!V1429,SYS_cliente!$I$5:$I$1678)</f>
        <v>0</v>
      </c>
    </row>
    <row r="1430" spans="22:23" ht="13.8">
      <c r="V1430" s="661">
        <v>3687</v>
      </c>
      <c r="W1430" s="662">
        <f>+SUMIF(SYS_cliente!$F$5:$F$1678,'BCE ABREVIADO'!V1430,SYS_cliente!$I$5:$I$1678)</f>
        <v>0</v>
      </c>
    </row>
    <row r="1431" spans="22:23" ht="13.8">
      <c r="V1431" s="661">
        <v>3688</v>
      </c>
      <c r="W1431" s="662">
        <f>+SUMIF(SYS_cliente!$F$5:$F$1678,'BCE ABREVIADO'!V1431,SYS_cliente!$I$5:$I$1678)</f>
        <v>0</v>
      </c>
    </row>
    <row r="1432" spans="22:23" ht="13.8">
      <c r="V1432" s="661">
        <v>3689</v>
      </c>
      <c r="W1432" s="662">
        <f>+SUMIF(SYS_cliente!$F$5:$F$1678,'BCE ABREVIADO'!V1432,SYS_cliente!$I$5:$I$1678)</f>
        <v>0</v>
      </c>
    </row>
    <row r="1433" spans="22:23" ht="13.8">
      <c r="V1433" s="661">
        <v>3690</v>
      </c>
      <c r="W1433" s="662">
        <f>+SUMIF(SYS_cliente!$F$5:$F$1678,'BCE ABREVIADO'!V1433,SYS_cliente!$I$5:$I$1678)</f>
        <v>0</v>
      </c>
    </row>
    <row r="1434" spans="22:23" ht="13.8">
      <c r="V1434" s="661">
        <v>3691</v>
      </c>
      <c r="W1434" s="662">
        <f>+SUMIF(SYS_cliente!$F$5:$F$1678,'BCE ABREVIADO'!V1434,SYS_cliente!$I$5:$I$1678)</f>
        <v>0</v>
      </c>
    </row>
    <row r="1435" spans="22:23" ht="13.8">
      <c r="V1435" s="661">
        <v>3692</v>
      </c>
      <c r="W1435" s="662">
        <f>+SUMIF(SYS_cliente!$F$5:$F$1678,'BCE ABREVIADO'!V1435,SYS_cliente!$I$5:$I$1678)</f>
        <v>0</v>
      </c>
    </row>
    <row r="1436" spans="22:23" ht="13.8">
      <c r="V1436" s="661">
        <v>3693</v>
      </c>
      <c r="W1436" s="662">
        <f>+SUMIF(SYS_cliente!$F$5:$F$1678,'BCE ABREVIADO'!V1436,SYS_cliente!$I$5:$I$1678)</f>
        <v>0</v>
      </c>
    </row>
    <row r="1437" spans="22:23" ht="13.8">
      <c r="V1437" s="661">
        <v>3694</v>
      </c>
      <c r="W1437" s="662">
        <f>+SUMIF(SYS_cliente!$F$5:$F$1678,'BCE ABREVIADO'!V1437,SYS_cliente!$I$5:$I$1678)</f>
        <v>0</v>
      </c>
    </row>
    <row r="1438" spans="22:23" ht="13.8">
      <c r="V1438" s="661">
        <v>3695</v>
      </c>
      <c r="W1438" s="662">
        <f>+SUMIF(SYS_cliente!$F$5:$F$1678,'BCE ABREVIADO'!V1438,SYS_cliente!$I$5:$I$1678)</f>
        <v>0</v>
      </c>
    </row>
    <row r="1439" spans="22:23" ht="13.8">
      <c r="V1439" s="661">
        <v>3696</v>
      </c>
      <c r="W1439" s="662">
        <f>+SUMIF(SYS_cliente!$F$5:$F$1678,'BCE ABREVIADO'!V1439,SYS_cliente!$I$5:$I$1678)</f>
        <v>0</v>
      </c>
    </row>
    <row r="1440" spans="22:23" ht="13.8">
      <c r="V1440" s="661">
        <v>3697</v>
      </c>
      <c r="W1440" s="662">
        <f>+SUMIF(SYS_cliente!$F$5:$F$1678,'BCE ABREVIADO'!V1440,SYS_cliente!$I$5:$I$1678)</f>
        <v>0</v>
      </c>
    </row>
    <row r="1441" spans="22:23" ht="13.8">
      <c r="V1441" s="661">
        <v>3698</v>
      </c>
      <c r="W1441" s="662">
        <f>+SUMIF(SYS_cliente!$F$5:$F$1678,'BCE ABREVIADO'!V1441,SYS_cliente!$I$5:$I$1678)</f>
        <v>0</v>
      </c>
    </row>
    <row r="1442" spans="22:23" ht="13.8">
      <c r="V1442" s="661">
        <v>3699</v>
      </c>
      <c r="W1442" s="662">
        <f>+SUMIF(SYS_cliente!$F$5:$F$1678,'BCE ABREVIADO'!V1442,SYS_cliente!$I$5:$I$1678)</f>
        <v>0</v>
      </c>
    </row>
    <row r="1443" spans="22:23" ht="13.8">
      <c r="V1443" s="661">
        <v>3930</v>
      </c>
      <c r="W1443" s="662">
        <f>+SUMIF(SYS_cliente!$F$5:$F$1678,'BCE ABREVIADO'!V1443,SYS_cliente!$I$5:$I$1678)</f>
        <v>0</v>
      </c>
    </row>
    <row r="1444" spans="22:23" ht="13.8">
      <c r="V1444" s="661">
        <v>3931</v>
      </c>
      <c r="W1444" s="662">
        <f>+SUMIF(SYS_cliente!$F$5:$F$1678,'BCE ABREVIADO'!V1444,SYS_cliente!$I$5:$I$1678)</f>
        <v>0</v>
      </c>
    </row>
    <row r="1445" spans="22:23" ht="13.8">
      <c r="V1445" s="661">
        <v>3932</v>
      </c>
      <c r="W1445" s="662">
        <f>+SUMIF(SYS_cliente!$F$5:$F$1678,'BCE ABREVIADO'!V1445,SYS_cliente!$I$5:$I$1678)</f>
        <v>0</v>
      </c>
    </row>
    <row r="1446" spans="22:23" ht="13.8">
      <c r="V1446" s="661">
        <v>3933</v>
      </c>
      <c r="W1446" s="662">
        <f>+SUMIF(SYS_cliente!$F$5:$F$1678,'BCE ABREVIADO'!V1446,SYS_cliente!$I$5:$I$1678)</f>
        <v>0</v>
      </c>
    </row>
    <row r="1447" spans="22:23" ht="13.8">
      <c r="V1447" s="661">
        <v>3934</v>
      </c>
      <c r="W1447" s="662">
        <f>+SUMIF(SYS_cliente!$F$5:$F$1678,'BCE ABREVIADO'!V1447,SYS_cliente!$I$5:$I$1678)</f>
        <v>0</v>
      </c>
    </row>
    <row r="1448" spans="22:23" ht="13.8">
      <c r="V1448" s="661">
        <v>3935</v>
      </c>
      <c r="W1448" s="662">
        <f>+SUMIF(SYS_cliente!$F$5:$F$1678,'BCE ABREVIADO'!V1448,SYS_cliente!$I$5:$I$1678)</f>
        <v>0</v>
      </c>
    </row>
    <row r="1449" spans="22:23" ht="13.8">
      <c r="V1449" s="661">
        <v>3936</v>
      </c>
      <c r="W1449" s="662">
        <f>+SUMIF(SYS_cliente!$F$5:$F$1678,'BCE ABREVIADO'!V1449,SYS_cliente!$I$5:$I$1678)</f>
        <v>0</v>
      </c>
    </row>
    <row r="1450" spans="22:23" ht="13.8">
      <c r="V1450" s="661">
        <v>3937</v>
      </c>
      <c r="W1450" s="662">
        <f>+SUMIF(SYS_cliente!$F$5:$F$1678,'BCE ABREVIADO'!V1450,SYS_cliente!$I$5:$I$1678)</f>
        <v>0</v>
      </c>
    </row>
    <row r="1451" spans="22:23" ht="13.8">
      <c r="V1451" s="661">
        <v>3938</v>
      </c>
      <c r="W1451" s="662">
        <f>+SUMIF(SYS_cliente!$F$5:$F$1678,'BCE ABREVIADO'!V1451,SYS_cliente!$I$5:$I$1678)</f>
        <v>0</v>
      </c>
    </row>
    <row r="1452" spans="22:23" ht="13.8">
      <c r="V1452" s="661">
        <v>3939</v>
      </c>
      <c r="W1452" s="662">
        <f>+SUMIF(SYS_cliente!$F$5:$F$1678,'BCE ABREVIADO'!V1452,SYS_cliente!$I$5:$I$1678)</f>
        <v>0</v>
      </c>
    </row>
    <row r="1453" spans="22:23" ht="13.8">
      <c r="V1453" s="661">
        <v>3940</v>
      </c>
      <c r="W1453" s="662">
        <f>+SUMIF(SYS_cliente!$F$5:$F$1678,'BCE ABREVIADO'!V1453,SYS_cliente!$I$5:$I$1678)</f>
        <v>0</v>
      </c>
    </row>
    <row r="1454" spans="22:23" ht="13.8">
      <c r="V1454" s="661">
        <v>3941</v>
      </c>
      <c r="W1454" s="662">
        <f>+SUMIF(SYS_cliente!$F$5:$F$1678,'BCE ABREVIADO'!V1454,SYS_cliente!$I$5:$I$1678)</f>
        <v>0</v>
      </c>
    </row>
    <row r="1455" spans="22:23" ht="13.8">
      <c r="V1455" s="661">
        <v>3942</v>
      </c>
      <c r="W1455" s="662">
        <f>+SUMIF(SYS_cliente!$F$5:$F$1678,'BCE ABREVIADO'!V1455,SYS_cliente!$I$5:$I$1678)</f>
        <v>0</v>
      </c>
    </row>
    <row r="1456" spans="22:23" ht="13.8">
      <c r="V1456" s="661">
        <v>3943</v>
      </c>
      <c r="W1456" s="662">
        <f>+SUMIF(SYS_cliente!$F$5:$F$1678,'BCE ABREVIADO'!V1456,SYS_cliente!$I$5:$I$1678)</f>
        <v>0</v>
      </c>
    </row>
    <row r="1457" spans="22:23" ht="13.8">
      <c r="V1457" s="661">
        <v>3944</v>
      </c>
      <c r="W1457" s="662">
        <f>+SUMIF(SYS_cliente!$F$5:$F$1678,'BCE ABREVIADO'!V1457,SYS_cliente!$I$5:$I$1678)</f>
        <v>0</v>
      </c>
    </row>
    <row r="1458" spans="22:23" ht="13.8">
      <c r="V1458" s="661">
        <v>3945</v>
      </c>
      <c r="W1458" s="662">
        <f>+SUMIF(SYS_cliente!$F$5:$F$1678,'BCE ABREVIADO'!V1458,SYS_cliente!$I$5:$I$1678)</f>
        <v>0</v>
      </c>
    </row>
    <row r="1459" spans="22:23" ht="13.8">
      <c r="V1459" s="661">
        <v>3946</v>
      </c>
      <c r="W1459" s="662">
        <f>+SUMIF(SYS_cliente!$F$5:$F$1678,'BCE ABREVIADO'!V1459,SYS_cliente!$I$5:$I$1678)</f>
        <v>0</v>
      </c>
    </row>
    <row r="1460" spans="22:23" ht="13.8">
      <c r="V1460" s="661">
        <v>3947</v>
      </c>
      <c r="W1460" s="662">
        <f>+SUMIF(SYS_cliente!$F$5:$F$1678,'BCE ABREVIADO'!V1460,SYS_cliente!$I$5:$I$1678)</f>
        <v>0</v>
      </c>
    </row>
    <row r="1461" spans="22:23" ht="13.8">
      <c r="V1461" s="661">
        <v>3948</v>
      </c>
      <c r="W1461" s="662">
        <f>+SUMIF(SYS_cliente!$F$5:$F$1678,'BCE ABREVIADO'!V1461,SYS_cliente!$I$5:$I$1678)</f>
        <v>0</v>
      </c>
    </row>
    <row r="1462" spans="22:23" ht="13.8">
      <c r="V1462" s="661">
        <v>3949</v>
      </c>
      <c r="W1462" s="662">
        <f>+SUMIF(SYS_cliente!$F$5:$F$1678,'BCE ABREVIADO'!V1462,SYS_cliente!$I$5:$I$1678)</f>
        <v>0</v>
      </c>
    </row>
    <row r="1463" spans="22:23" ht="13.8">
      <c r="V1463" s="661">
        <v>3960</v>
      </c>
      <c r="W1463" s="662">
        <f>+SUMIF(SYS_cliente!$F$5:$F$1678,'BCE ABREVIADO'!V1463,SYS_cliente!$I$5:$I$1678)</f>
        <v>0</v>
      </c>
    </row>
    <row r="1464" spans="22:23" ht="13.8">
      <c r="V1464" s="661">
        <v>3961</v>
      </c>
      <c r="W1464" s="662">
        <f>+SUMIF(SYS_cliente!$F$5:$F$1678,'BCE ABREVIADO'!V1464,SYS_cliente!$I$5:$I$1678)</f>
        <v>0</v>
      </c>
    </row>
    <row r="1465" spans="22:23" ht="13.8">
      <c r="V1465" s="661">
        <v>3962</v>
      </c>
      <c r="W1465" s="662">
        <f>+SUMIF(SYS_cliente!$F$5:$F$1678,'BCE ABREVIADO'!V1465,SYS_cliente!$I$5:$I$1678)</f>
        <v>0</v>
      </c>
    </row>
    <row r="1466" spans="22:23" ht="13.8">
      <c r="V1466" s="661">
        <v>3963</v>
      </c>
      <c r="W1466" s="662">
        <f>+SUMIF(SYS_cliente!$F$5:$F$1678,'BCE ABREVIADO'!V1466,SYS_cliente!$I$5:$I$1678)</f>
        <v>0</v>
      </c>
    </row>
    <row r="1467" spans="22:23" ht="13.8">
      <c r="V1467" s="661">
        <v>3964</v>
      </c>
      <c r="W1467" s="662">
        <f>+SUMIF(SYS_cliente!$F$5:$F$1678,'BCE ABREVIADO'!V1467,SYS_cliente!$I$5:$I$1678)</f>
        <v>0</v>
      </c>
    </row>
    <row r="1468" spans="22:23" ht="13.8">
      <c r="V1468" s="661">
        <v>3965</v>
      </c>
      <c r="W1468" s="662">
        <f>+SUMIF(SYS_cliente!$F$5:$F$1678,'BCE ABREVIADO'!V1468,SYS_cliente!$I$5:$I$1678)</f>
        <v>0</v>
      </c>
    </row>
    <row r="1469" spans="22:23" ht="13.8">
      <c r="V1469" s="661">
        <v>3966</v>
      </c>
      <c r="W1469" s="662">
        <f>+SUMIF(SYS_cliente!$F$5:$F$1678,'BCE ABREVIADO'!V1469,SYS_cliente!$I$5:$I$1678)</f>
        <v>0</v>
      </c>
    </row>
    <row r="1470" spans="22:23" ht="13.8">
      <c r="V1470" s="661">
        <v>3967</v>
      </c>
      <c r="W1470" s="662">
        <f>+SUMIF(SYS_cliente!$F$5:$F$1678,'BCE ABREVIADO'!V1470,SYS_cliente!$I$5:$I$1678)</f>
        <v>0</v>
      </c>
    </row>
    <row r="1471" spans="22:23" ht="13.8">
      <c r="V1471" s="661">
        <v>3968</v>
      </c>
      <c r="W1471" s="662">
        <f>+SUMIF(SYS_cliente!$F$5:$F$1678,'BCE ABREVIADO'!V1471,SYS_cliente!$I$5:$I$1678)</f>
        <v>0</v>
      </c>
    </row>
    <row r="1472" spans="22:23" ht="13.8">
      <c r="V1472" s="661">
        <v>3969</v>
      </c>
      <c r="W1472" s="662">
        <f>+SUMIF(SYS_cliente!$F$5:$F$1678,'BCE ABREVIADO'!V1472,SYS_cliente!$I$5:$I$1678)</f>
        <v>0</v>
      </c>
    </row>
    <row r="1473" spans="21:23" ht="13.8">
      <c r="U1473" s="715">
        <v>39</v>
      </c>
      <c r="V1473" s="653" t="s">
        <v>35</v>
      </c>
      <c r="W1473" s="654"/>
    </row>
    <row r="1474" spans="21:23" ht="13.8">
      <c r="V1474" s="726" t="s">
        <v>174</v>
      </c>
      <c r="W1474" s="722"/>
    </row>
    <row r="1475" spans="21:23" ht="13.8">
      <c r="U1475" s="715">
        <v>407</v>
      </c>
      <c r="V1475" s="653" t="s">
        <v>36</v>
      </c>
      <c r="W1475" s="654">
        <f>SUM(W1476:W1485)</f>
        <v>0</v>
      </c>
    </row>
    <row r="1476" spans="21:23" ht="13.8">
      <c r="V1476" s="661">
        <v>4070</v>
      </c>
      <c r="W1476" s="662">
        <f>+SUMIF(SYS_cliente!$F$5:$F$1678,'BCE ABREVIADO'!V1476,SYS_cliente!$I$5:$I$1678)</f>
        <v>0</v>
      </c>
    </row>
    <row r="1477" spans="21:23" ht="13.8">
      <c r="V1477" s="661">
        <v>4071</v>
      </c>
      <c r="W1477" s="662">
        <f>+SUMIF(SYS_cliente!$F$5:$F$1678,'BCE ABREVIADO'!V1477,SYS_cliente!$I$5:$I$1678)</f>
        <v>0</v>
      </c>
    </row>
    <row r="1478" spans="21:23" ht="13.8">
      <c r="V1478" s="661">
        <v>4072</v>
      </c>
      <c r="W1478" s="662">
        <f>+SUMIF(SYS_cliente!$F$5:$F$1678,'BCE ABREVIADO'!V1478,SYS_cliente!$I$5:$I$1678)</f>
        <v>0</v>
      </c>
    </row>
    <row r="1479" spans="21:23" ht="13.8">
      <c r="V1479" s="661">
        <v>4073</v>
      </c>
      <c r="W1479" s="662">
        <f>+SUMIF(SYS_cliente!$F$5:$F$1678,'BCE ABREVIADO'!V1479,SYS_cliente!$I$5:$I$1678)</f>
        <v>0</v>
      </c>
    </row>
    <row r="1480" spans="21:23" ht="13.8">
      <c r="V1480" s="661">
        <v>4074</v>
      </c>
      <c r="W1480" s="662">
        <f>+SUMIF(SYS_cliente!$F$5:$F$1678,'BCE ABREVIADO'!V1480,SYS_cliente!$I$5:$I$1678)</f>
        <v>0</v>
      </c>
    </row>
    <row r="1481" spans="21:23" ht="13.8">
      <c r="V1481" s="661">
        <v>4075</v>
      </c>
      <c r="W1481" s="662">
        <f>+SUMIF(SYS_cliente!$F$5:$F$1678,'BCE ABREVIADO'!V1481,SYS_cliente!$I$5:$I$1678)</f>
        <v>0</v>
      </c>
    </row>
    <row r="1482" spans="21:23" ht="13.8">
      <c r="V1482" s="661">
        <v>4076</v>
      </c>
      <c r="W1482" s="662">
        <f>+SUMIF(SYS_cliente!$F$5:$F$1678,'BCE ABREVIADO'!V1482,SYS_cliente!$I$5:$I$1678)</f>
        <v>0</v>
      </c>
    </row>
    <row r="1483" spans="21:23" ht="13.8">
      <c r="V1483" s="661">
        <v>4077</v>
      </c>
      <c r="W1483" s="662">
        <f>+SUMIF(SYS_cliente!$F$5:$F$1678,'BCE ABREVIADO'!V1483,SYS_cliente!$I$5:$I$1678)</f>
        <v>0</v>
      </c>
    </row>
    <row r="1484" spans="21:23" ht="13.8">
      <c r="V1484" s="661">
        <v>4078</v>
      </c>
      <c r="W1484" s="662">
        <f>+SUMIF(SYS_cliente!$F$5:$F$1678,'BCE ABREVIADO'!V1484,SYS_cliente!$I$5:$I$1678)</f>
        <v>0</v>
      </c>
    </row>
    <row r="1485" spans="21:23" ht="13.8">
      <c r="V1485" s="661">
        <v>4079</v>
      </c>
      <c r="W1485" s="662">
        <f>+SUMIF(SYS_cliente!$F$5:$F$1678,'BCE ABREVIADO'!V1485,SYS_cliente!$I$5:$I$1678)</f>
        <v>0</v>
      </c>
    </row>
    <row r="1486" spans="21:23" ht="13.8">
      <c r="V1486" s="706"/>
      <c r="W1486" s="722"/>
    </row>
    <row r="1487" spans="21:23" ht="13.8">
      <c r="V1487" s="664" t="s">
        <v>37</v>
      </c>
      <c r="W1487" s="722"/>
    </row>
    <row r="1488" spans="21:23" ht="13.8">
      <c r="U1488" s="722" t="s">
        <v>130</v>
      </c>
      <c r="V1488" s="653" t="s">
        <v>38</v>
      </c>
      <c r="W1488" s="654">
        <f>SUM(W1489:W1559)</f>
        <v>24337588.380000003</v>
      </c>
    </row>
    <row r="1489" spans="22:23" ht="13.8">
      <c r="V1489" s="661">
        <v>4300</v>
      </c>
      <c r="W1489" s="662">
        <f>+SUMIF(SYS_cliente!$F$5:$F$1678,'BCE ABREVIADO'!V1489,SYS_cliente!$I$5:$I$1678)</f>
        <v>-1228574.92</v>
      </c>
    </row>
    <row r="1490" spans="22:23" ht="13.8">
      <c r="V1490" s="661">
        <v>4301</v>
      </c>
      <c r="W1490" s="662">
        <f>+SUMIF(SYS_cliente!$F$5:$F$1678,'BCE ABREVIADO'!V1490,SYS_cliente!$I$5:$I$1678)</f>
        <v>0</v>
      </c>
    </row>
    <row r="1491" spans="22:23" ht="13.8">
      <c r="V1491" s="661">
        <v>4302</v>
      </c>
      <c r="W1491" s="662">
        <f>+SUMIF(SYS_cliente!$F$5:$F$1678,'BCE ABREVIADO'!V1491,SYS_cliente!$I$5:$I$1678)</f>
        <v>-3056.38</v>
      </c>
    </row>
    <row r="1492" spans="22:23" ht="13.8">
      <c r="V1492" s="661">
        <v>4303</v>
      </c>
      <c r="W1492" s="662">
        <f>+SUMIF(SYS_cliente!$F$5:$F$1678,'BCE ABREVIADO'!V1492,SYS_cliente!$I$5:$I$1678)</f>
        <v>0</v>
      </c>
    </row>
    <row r="1493" spans="22:23" ht="13.8">
      <c r="V1493" s="661">
        <v>4304</v>
      </c>
      <c r="W1493" s="662">
        <f>+SUMIF(SYS_cliente!$F$5:$F$1678,'BCE ABREVIADO'!V1493,SYS_cliente!$I$5:$I$1678)</f>
        <v>-199725.01</v>
      </c>
    </row>
    <row r="1494" spans="22:23" ht="13.8">
      <c r="V1494" s="661">
        <v>4305</v>
      </c>
      <c r="W1494" s="662">
        <f>+SUMIF(SYS_cliente!$F$5:$F$1678,'BCE ABREVIADO'!V1494,SYS_cliente!$I$5:$I$1678)</f>
        <v>0</v>
      </c>
    </row>
    <row r="1495" spans="22:23" ht="13.8">
      <c r="V1495" s="661">
        <v>4306</v>
      </c>
      <c r="W1495" s="662">
        <f>+SUMIF(SYS_cliente!$F$5:$F$1678,'BCE ABREVIADO'!V1495,SYS_cliente!$I$5:$I$1678)</f>
        <v>0</v>
      </c>
    </row>
    <row r="1496" spans="22:23" ht="13.8">
      <c r="V1496" s="661">
        <v>4307</v>
      </c>
      <c r="W1496" s="662">
        <f>+SUMIF(SYS_cliente!$F$5:$F$1678,'BCE ABREVIADO'!V1496,SYS_cliente!$I$5:$I$1678)</f>
        <v>0</v>
      </c>
    </row>
    <row r="1497" spans="22:23" ht="13.8">
      <c r="V1497" s="661">
        <v>4308</v>
      </c>
      <c r="W1497" s="662">
        <f>+SUMIF(SYS_cliente!$F$5:$F$1678,'BCE ABREVIADO'!V1497,SYS_cliente!$I$5:$I$1678)</f>
        <v>0</v>
      </c>
    </row>
    <row r="1498" spans="22:23" ht="13.8">
      <c r="V1498" s="661">
        <v>4309</v>
      </c>
      <c r="W1498" s="662">
        <f>+SUMIF(SYS_cliente!$F$5:$F$1678,'BCE ABREVIADO'!V1498,SYS_cliente!$I$5:$I$1678)</f>
        <v>0</v>
      </c>
    </row>
    <row r="1499" spans="22:23" ht="13.8">
      <c r="V1499" s="661">
        <v>4310</v>
      </c>
      <c r="W1499" s="662">
        <f>+SUMIF(SYS_cliente!$F$5:$F$1678,'BCE ABREVIADO'!V1499,SYS_cliente!$I$5:$I$1678)</f>
        <v>25768944.690000001</v>
      </c>
    </row>
    <row r="1500" spans="22:23" ht="13.8">
      <c r="V1500" s="661">
        <v>4311</v>
      </c>
      <c r="W1500" s="662">
        <f>+SUMIF(SYS_cliente!$F$5:$F$1678,'BCE ABREVIADO'!V1500,SYS_cliente!$I$5:$I$1678)</f>
        <v>0</v>
      </c>
    </row>
    <row r="1501" spans="22:23" ht="13.8">
      <c r="V1501" s="661">
        <v>4312</v>
      </c>
      <c r="W1501" s="662">
        <f>+SUMIF(SYS_cliente!$F$5:$F$1678,'BCE ABREVIADO'!V1501,SYS_cliente!$I$5:$I$1678)</f>
        <v>0</v>
      </c>
    </row>
    <row r="1502" spans="22:23" ht="13.8">
      <c r="V1502" s="661">
        <v>4313</v>
      </c>
      <c r="W1502" s="662">
        <f>+SUMIF(SYS_cliente!$F$5:$F$1678,'BCE ABREVIADO'!V1502,SYS_cliente!$I$5:$I$1678)</f>
        <v>0</v>
      </c>
    </row>
    <row r="1503" spans="22:23" ht="13.8">
      <c r="V1503" s="661">
        <v>4314</v>
      </c>
      <c r="W1503" s="662">
        <f>+SUMIF(SYS_cliente!$F$5:$F$1678,'BCE ABREVIADO'!V1503,SYS_cliente!$I$5:$I$1678)</f>
        <v>0</v>
      </c>
    </row>
    <row r="1504" spans="22:23" ht="13.8">
      <c r="V1504" s="661">
        <v>4315</v>
      </c>
      <c r="W1504" s="662">
        <f>+SUMIF(SYS_cliente!$F$5:$F$1678,'BCE ABREVIADO'!V1504,SYS_cliente!$I$5:$I$1678)</f>
        <v>0</v>
      </c>
    </row>
    <row r="1505" spans="22:23" ht="13.8">
      <c r="V1505" s="661">
        <v>4316</v>
      </c>
      <c r="W1505" s="662">
        <f>+SUMIF(SYS_cliente!$F$5:$F$1678,'BCE ABREVIADO'!V1505,SYS_cliente!$I$5:$I$1678)</f>
        <v>0</v>
      </c>
    </row>
    <row r="1506" spans="22:23" ht="13.8">
      <c r="V1506" s="661">
        <v>4317</v>
      </c>
      <c r="W1506" s="662">
        <f>+SUMIF(SYS_cliente!$F$5:$F$1678,'BCE ABREVIADO'!V1506,SYS_cliente!$I$5:$I$1678)</f>
        <v>0</v>
      </c>
    </row>
    <row r="1507" spans="22:23" ht="13.8">
      <c r="V1507" s="661">
        <v>4318</v>
      </c>
      <c r="W1507" s="662">
        <f>+SUMIF(SYS_cliente!$F$5:$F$1678,'BCE ABREVIADO'!V1507,SYS_cliente!$I$5:$I$1678)</f>
        <v>0</v>
      </c>
    </row>
    <row r="1508" spans="22:23" ht="13.8">
      <c r="V1508" s="661">
        <v>4319</v>
      </c>
      <c r="W1508" s="662">
        <f>+SUMIF(SYS_cliente!$F$5:$F$1678,'BCE ABREVIADO'!V1508,SYS_cliente!$I$5:$I$1678)</f>
        <v>0</v>
      </c>
    </row>
    <row r="1509" spans="22:23" ht="13.8">
      <c r="V1509" s="661">
        <v>4320</v>
      </c>
      <c r="W1509" s="662">
        <f>+SUMIF(SYS_cliente!$F$5:$F$1678,'BCE ABREVIADO'!V1509,SYS_cliente!$I$5:$I$1678)</f>
        <v>0</v>
      </c>
    </row>
    <row r="1510" spans="22:23" ht="13.8">
      <c r="V1510" s="661">
        <v>4321</v>
      </c>
      <c r="W1510" s="662">
        <f>+SUMIF(SYS_cliente!$F$5:$F$1678,'BCE ABREVIADO'!V1510,SYS_cliente!$I$5:$I$1678)</f>
        <v>0</v>
      </c>
    </row>
    <row r="1511" spans="22:23" ht="13.8">
      <c r="V1511" s="661">
        <v>4322</v>
      </c>
      <c r="W1511" s="662">
        <f>+SUMIF(SYS_cliente!$F$5:$F$1678,'BCE ABREVIADO'!V1511,SYS_cliente!$I$5:$I$1678)</f>
        <v>0</v>
      </c>
    </row>
    <row r="1512" spans="22:23" ht="13.8">
      <c r="V1512" s="661">
        <v>4323</v>
      </c>
      <c r="W1512" s="662">
        <f>+SUMIF(SYS_cliente!$F$5:$F$1678,'BCE ABREVIADO'!V1512,SYS_cliente!$I$5:$I$1678)</f>
        <v>0</v>
      </c>
    </row>
    <row r="1513" spans="22:23" ht="13.8">
      <c r="V1513" s="661">
        <v>4324</v>
      </c>
      <c r="W1513" s="662">
        <f>+SUMIF(SYS_cliente!$F$5:$F$1678,'BCE ABREVIADO'!V1513,SYS_cliente!$I$5:$I$1678)</f>
        <v>0</v>
      </c>
    </row>
    <row r="1514" spans="22:23" ht="13.8">
      <c r="V1514" s="661">
        <v>4325</v>
      </c>
      <c r="W1514" s="662">
        <f>+SUMIF(SYS_cliente!$F$5:$F$1678,'BCE ABREVIADO'!V1514,SYS_cliente!$I$5:$I$1678)</f>
        <v>0</v>
      </c>
    </row>
    <row r="1515" spans="22:23" ht="13.8">
      <c r="V1515" s="661">
        <v>4326</v>
      </c>
      <c r="W1515" s="662">
        <f>+SUMIF(SYS_cliente!$F$5:$F$1678,'BCE ABREVIADO'!V1515,SYS_cliente!$I$5:$I$1678)</f>
        <v>0</v>
      </c>
    </row>
    <row r="1516" spans="22:23" ht="13.8">
      <c r="V1516" s="661">
        <v>4327</v>
      </c>
      <c r="W1516" s="662">
        <f>+SUMIF(SYS_cliente!$F$5:$F$1678,'BCE ABREVIADO'!V1516,SYS_cliente!$I$5:$I$1678)</f>
        <v>0</v>
      </c>
    </row>
    <row r="1517" spans="22:23" ht="13.8">
      <c r="V1517" s="661">
        <v>4328</v>
      </c>
      <c r="W1517" s="662">
        <f>+SUMIF(SYS_cliente!$F$5:$F$1678,'BCE ABREVIADO'!V1517,SYS_cliente!$I$5:$I$1678)</f>
        <v>0</v>
      </c>
    </row>
    <row r="1518" spans="22:23" ht="13.8">
      <c r="V1518" s="661">
        <v>4329</v>
      </c>
      <c r="W1518" s="662">
        <f>+SUMIF(SYS_cliente!$F$5:$F$1678,'BCE ABREVIADO'!V1518,SYS_cliente!$I$5:$I$1678)</f>
        <v>0</v>
      </c>
    </row>
    <row r="1519" spans="22:23" ht="13.8">
      <c r="V1519" s="661">
        <v>4350</v>
      </c>
      <c r="W1519" s="662">
        <f>+SUMIF(SYS_cliente!$F$5:$F$1678,'BCE ABREVIADO'!V1519,SYS_cliente!$I$5:$I$1678)</f>
        <v>0</v>
      </c>
    </row>
    <row r="1520" spans="22:23" ht="13.8">
      <c r="V1520" s="661">
        <v>4351</v>
      </c>
      <c r="W1520" s="662">
        <f>+SUMIF(SYS_cliente!$F$5:$F$1678,'BCE ABREVIADO'!V1520,SYS_cliente!$I$5:$I$1678)</f>
        <v>0</v>
      </c>
    </row>
    <row r="1521" spans="22:23" ht="13.8">
      <c r="V1521" s="661">
        <v>4352</v>
      </c>
      <c r="W1521" s="662">
        <f>+SUMIF(SYS_cliente!$F$5:$F$1678,'BCE ABREVIADO'!V1521,SYS_cliente!$I$5:$I$1678)</f>
        <v>0</v>
      </c>
    </row>
    <row r="1522" spans="22:23" ht="13.8">
      <c r="V1522" s="661">
        <v>4353</v>
      </c>
      <c r="W1522" s="662">
        <f>+SUMIF(SYS_cliente!$F$5:$F$1678,'BCE ABREVIADO'!V1522,SYS_cliente!$I$5:$I$1678)</f>
        <v>0</v>
      </c>
    </row>
    <row r="1523" spans="22:23" ht="13.8">
      <c r="V1523" s="661">
        <v>4354</v>
      </c>
      <c r="W1523" s="662">
        <f>+SUMIF(SYS_cliente!$F$5:$F$1678,'BCE ABREVIADO'!V1523,SYS_cliente!$I$5:$I$1678)</f>
        <v>0</v>
      </c>
    </row>
    <row r="1524" spans="22:23" ht="13.8">
      <c r="V1524" s="661">
        <v>4355</v>
      </c>
      <c r="W1524" s="662">
        <f>+SUMIF(SYS_cliente!$F$5:$F$1678,'BCE ABREVIADO'!V1524,SYS_cliente!$I$5:$I$1678)</f>
        <v>0</v>
      </c>
    </row>
    <row r="1525" spans="22:23" ht="13.8">
      <c r="V1525" s="661">
        <v>4356</v>
      </c>
      <c r="W1525" s="662">
        <f>+SUMIF(SYS_cliente!$F$5:$F$1678,'BCE ABREVIADO'!V1525,SYS_cliente!$I$5:$I$1678)</f>
        <v>0</v>
      </c>
    </row>
    <row r="1526" spans="22:23" ht="13.8">
      <c r="V1526" s="661">
        <v>4357</v>
      </c>
      <c r="W1526" s="662">
        <f>+SUMIF(SYS_cliente!$F$5:$F$1678,'BCE ABREVIADO'!V1526,SYS_cliente!$I$5:$I$1678)</f>
        <v>0</v>
      </c>
    </row>
    <row r="1527" spans="22:23" ht="13.8">
      <c r="V1527" s="661">
        <v>4358</v>
      </c>
      <c r="W1527" s="662">
        <f>+SUMIF(SYS_cliente!$F$5:$F$1678,'BCE ABREVIADO'!V1527,SYS_cliente!$I$5:$I$1678)</f>
        <v>0</v>
      </c>
    </row>
    <row r="1528" spans="22:23" ht="13.8">
      <c r="V1528" s="661">
        <v>4359</v>
      </c>
      <c r="W1528" s="662">
        <f>+SUMIF(SYS_cliente!$F$5:$F$1678,'BCE ABREVIADO'!V1528,SYS_cliente!$I$5:$I$1678)</f>
        <v>0</v>
      </c>
    </row>
    <row r="1529" spans="22:23" ht="13.8">
      <c r="V1529" s="661">
        <v>4360</v>
      </c>
      <c r="W1529" s="662">
        <f>+SUMIF(SYS_cliente!$F$5:$F$1678,'BCE ABREVIADO'!V1529,SYS_cliente!$I$5:$I$1678)</f>
        <v>0</v>
      </c>
    </row>
    <row r="1530" spans="22:23" ht="13.8">
      <c r="V1530" s="661">
        <v>4361</v>
      </c>
      <c r="W1530" s="662">
        <f>+SUMIF(SYS_cliente!$F$5:$F$1678,'BCE ABREVIADO'!V1530,SYS_cliente!$I$5:$I$1678)</f>
        <v>110160</v>
      </c>
    </row>
    <row r="1531" spans="22:23" ht="13.8">
      <c r="V1531" s="661">
        <v>4362</v>
      </c>
      <c r="W1531" s="662">
        <f>+SUMIF(SYS_cliente!$F$5:$F$1678,'BCE ABREVIADO'!V1531,SYS_cliente!$I$5:$I$1678)</f>
        <v>0</v>
      </c>
    </row>
    <row r="1532" spans="22:23" ht="13.8">
      <c r="V1532" s="661">
        <v>4363</v>
      </c>
      <c r="W1532" s="662">
        <f>+SUMIF(SYS_cliente!$F$5:$F$1678,'BCE ABREVIADO'!V1532,SYS_cliente!$I$5:$I$1678)</f>
        <v>0</v>
      </c>
    </row>
    <row r="1533" spans="22:23" ht="13.8">
      <c r="V1533" s="661">
        <v>4364</v>
      </c>
      <c r="W1533" s="662">
        <f>+SUMIF(SYS_cliente!$F$5:$F$1678,'BCE ABREVIADO'!V1533,SYS_cliente!$I$5:$I$1678)</f>
        <v>0</v>
      </c>
    </row>
    <row r="1534" spans="22:23" ht="13.8">
      <c r="V1534" s="661">
        <v>4365</v>
      </c>
      <c r="W1534" s="662">
        <f>+SUMIF(SYS_cliente!$F$5:$F$1678,'BCE ABREVIADO'!V1534,SYS_cliente!$I$5:$I$1678)</f>
        <v>0</v>
      </c>
    </row>
    <row r="1535" spans="22:23" ht="13.8">
      <c r="V1535" s="661">
        <v>4366</v>
      </c>
      <c r="W1535" s="662">
        <f>+SUMIF(SYS_cliente!$F$5:$F$1678,'BCE ABREVIADO'!V1535,SYS_cliente!$I$5:$I$1678)</f>
        <v>0</v>
      </c>
    </row>
    <row r="1536" spans="22:23" ht="13.8">
      <c r="V1536" s="661">
        <v>4367</v>
      </c>
      <c r="W1536" s="662">
        <f>+SUMIF(SYS_cliente!$F$5:$F$1678,'BCE ABREVIADO'!V1536,SYS_cliente!$I$5:$I$1678)</f>
        <v>0</v>
      </c>
    </row>
    <row r="1537" spans="22:23" ht="13.8">
      <c r="V1537" s="661">
        <v>4368</v>
      </c>
      <c r="W1537" s="662">
        <f>+SUMIF(SYS_cliente!$F$5:$F$1678,'BCE ABREVIADO'!V1537,SYS_cliente!$I$5:$I$1678)</f>
        <v>0</v>
      </c>
    </row>
    <row r="1538" spans="22:23" ht="13.8">
      <c r="V1538" s="661">
        <v>4369</v>
      </c>
      <c r="W1538" s="662">
        <f>+SUMIF(SYS_cliente!$F$5:$F$1678,'BCE ABREVIADO'!V1538,SYS_cliente!$I$5:$I$1678)</f>
        <v>0</v>
      </c>
    </row>
    <row r="1539" spans="22:23" ht="13.8">
      <c r="V1539" s="661">
        <v>4370</v>
      </c>
      <c r="W1539" s="662">
        <f>+SUMIF(SYS_cliente!$F$5:$F$1678,'BCE ABREVIADO'!V1539,SYS_cliente!$I$5:$I$1678)</f>
        <v>0</v>
      </c>
    </row>
    <row r="1540" spans="22:23" ht="13.8">
      <c r="V1540" s="661">
        <v>4371</v>
      </c>
      <c r="W1540" s="662">
        <f>+SUMIF(SYS_cliente!$F$5:$F$1678,'BCE ABREVIADO'!V1540,SYS_cliente!$I$5:$I$1678)</f>
        <v>0</v>
      </c>
    </row>
    <row r="1541" spans="22:23" ht="13.8">
      <c r="V1541" s="661">
        <v>4372</v>
      </c>
      <c r="W1541" s="662">
        <f>+SUMIF(SYS_cliente!$F$5:$F$1678,'BCE ABREVIADO'!V1541,SYS_cliente!$I$5:$I$1678)</f>
        <v>0</v>
      </c>
    </row>
    <row r="1542" spans="22:23" ht="13.8">
      <c r="V1542" s="661">
        <v>4373</v>
      </c>
      <c r="W1542" s="662">
        <f>+SUMIF(SYS_cliente!$F$5:$F$1678,'BCE ABREVIADO'!V1542,SYS_cliente!$I$5:$I$1678)</f>
        <v>0</v>
      </c>
    </row>
    <row r="1543" spans="22:23" ht="13.8">
      <c r="V1543" s="661">
        <v>4374</v>
      </c>
      <c r="W1543" s="662">
        <f>+SUMIF(SYS_cliente!$F$5:$F$1678,'BCE ABREVIADO'!V1543,SYS_cliente!$I$5:$I$1678)</f>
        <v>0</v>
      </c>
    </row>
    <row r="1544" spans="22:23" ht="13.8">
      <c r="V1544" s="661">
        <v>4375</v>
      </c>
      <c r="W1544" s="662">
        <f>+SUMIF(SYS_cliente!$F$5:$F$1678,'BCE ABREVIADO'!V1544,SYS_cliente!$I$5:$I$1678)</f>
        <v>0</v>
      </c>
    </row>
    <row r="1545" spans="22:23" ht="13.8">
      <c r="V1545" s="661">
        <v>4376</v>
      </c>
      <c r="W1545" s="662">
        <f>+SUMIF(SYS_cliente!$F$5:$F$1678,'BCE ABREVIADO'!V1545,SYS_cliente!$I$5:$I$1678)</f>
        <v>0</v>
      </c>
    </row>
    <row r="1546" spans="22:23" ht="13.8">
      <c r="V1546" s="661">
        <v>4377</v>
      </c>
      <c r="W1546" s="662">
        <f>+SUMIF(SYS_cliente!$F$5:$F$1678,'BCE ABREVIADO'!V1546,SYS_cliente!$I$5:$I$1678)</f>
        <v>0</v>
      </c>
    </row>
    <row r="1547" spans="22:23" ht="13.8">
      <c r="V1547" s="661">
        <v>4378</v>
      </c>
      <c r="W1547" s="662">
        <f>+SUMIF(SYS_cliente!$F$5:$F$1678,'BCE ABREVIADO'!V1547,SYS_cliente!$I$5:$I$1678)</f>
        <v>0</v>
      </c>
    </row>
    <row r="1548" spans="22:23" ht="13.8">
      <c r="V1548" s="661">
        <v>4379</v>
      </c>
      <c r="W1548" s="662">
        <f>+SUMIF(SYS_cliente!$F$5:$F$1678,'BCE ABREVIADO'!V1548,SYS_cliente!$I$5:$I$1678)</f>
        <v>0</v>
      </c>
    </row>
    <row r="1549" spans="22:23" ht="13.8">
      <c r="V1549" s="661">
        <v>4900</v>
      </c>
      <c r="W1549" s="662">
        <f>+SUMIF(SYS_cliente!$F$5:$F$1678,'BCE ABREVIADO'!V1549,SYS_cliente!$I$5:$I$1678)</f>
        <v>-110160</v>
      </c>
    </row>
    <row r="1550" spans="22:23" ht="13.8">
      <c r="V1550" s="661">
        <v>4901</v>
      </c>
      <c r="W1550" s="662">
        <f>+SUMIF(SYS_cliente!$F$5:$F$1678,'BCE ABREVIADO'!V1550,SYS_cliente!$I$5:$I$1678)</f>
        <v>0</v>
      </c>
    </row>
    <row r="1551" spans="22:23" ht="13.8">
      <c r="V1551" s="661">
        <v>4902</v>
      </c>
      <c r="W1551" s="662">
        <f>+SUMIF(SYS_cliente!$F$5:$F$1678,'BCE ABREVIADO'!V1551,SYS_cliente!$I$5:$I$1678)</f>
        <v>0</v>
      </c>
    </row>
    <row r="1552" spans="22:23" ht="13.8">
      <c r="V1552" s="661">
        <v>4903</v>
      </c>
      <c r="W1552" s="662">
        <f>+SUMIF(SYS_cliente!$F$5:$F$1678,'BCE ABREVIADO'!V1552,SYS_cliente!$I$5:$I$1678)</f>
        <v>0</v>
      </c>
    </row>
    <row r="1553" spans="21:23" ht="13.8">
      <c r="V1553" s="661">
        <v>4904</v>
      </c>
      <c r="W1553" s="662">
        <f>+SUMIF(SYS_cliente!$F$5:$F$1678,'BCE ABREVIADO'!V1553,SYS_cliente!$I$5:$I$1678)</f>
        <v>0</v>
      </c>
    </row>
    <row r="1554" spans="21:23" ht="13.8">
      <c r="V1554" s="661">
        <v>4905</v>
      </c>
      <c r="W1554" s="662">
        <f>+SUMIF(SYS_cliente!$F$5:$F$1678,'BCE ABREVIADO'!V1554,SYS_cliente!$I$5:$I$1678)</f>
        <v>0</v>
      </c>
    </row>
    <row r="1555" spans="21:23" ht="13.8">
      <c r="V1555" s="661">
        <v>4906</v>
      </c>
      <c r="W1555" s="662">
        <f>+SUMIF(SYS_cliente!$F$5:$F$1678,'BCE ABREVIADO'!V1555,SYS_cliente!$I$5:$I$1678)</f>
        <v>0</v>
      </c>
    </row>
    <row r="1556" spans="21:23" ht="13.8">
      <c r="V1556" s="661">
        <v>4907</v>
      </c>
      <c r="W1556" s="662">
        <f>+SUMIF(SYS_cliente!$F$5:$F$1678,'BCE ABREVIADO'!V1556,SYS_cliente!$I$5:$I$1678)</f>
        <v>0</v>
      </c>
    </row>
    <row r="1557" spans="21:23" ht="13.8">
      <c r="V1557" s="661">
        <v>4908</v>
      </c>
      <c r="W1557" s="662">
        <f>+SUMIF(SYS_cliente!$F$5:$F$1678,'BCE ABREVIADO'!V1557,SYS_cliente!$I$5:$I$1678)</f>
        <v>0</v>
      </c>
    </row>
    <row r="1558" spans="21:23" ht="13.8">
      <c r="V1558" s="661">
        <v>4909</v>
      </c>
      <c r="W1558" s="662">
        <f>+SUMIF(SYS_cliente!$F$5:$F$1678,'BCE ABREVIADO'!V1558,SYS_cliente!$I$5:$I$1678)</f>
        <v>0</v>
      </c>
    </row>
    <row r="1559" spans="21:23" ht="13.8">
      <c r="V1559" s="661">
        <v>4935</v>
      </c>
      <c r="W1559" s="662">
        <f>+SUMIF(SYS_cliente!$F$5:$F$1678,'BCE ABREVIADO'!V1559,SYS_cliente!$I$5:$I$1678)</f>
        <v>0</v>
      </c>
    </row>
    <row r="1560" spans="21:23" ht="13.8">
      <c r="U1560" s="722" t="s">
        <v>131</v>
      </c>
      <c r="V1560" s="653" t="s">
        <v>39</v>
      </c>
      <c r="W1560" s="654">
        <f>SUM(W1561:W1582)</f>
        <v>0</v>
      </c>
    </row>
    <row r="1561" spans="21:23" ht="13.8">
      <c r="V1561" s="661">
        <v>4330</v>
      </c>
      <c r="W1561" s="662">
        <f>+SUMIF(SYS_cliente!$F$5:$F$1678,'BCE ABREVIADO'!V1561,SYS_cliente!$I$5:$I$1678)</f>
        <v>0</v>
      </c>
    </row>
    <row r="1562" spans="21:23" ht="13.8">
      <c r="V1562" s="661">
        <v>4331</v>
      </c>
      <c r="W1562" s="662">
        <f>+SUMIF(SYS_cliente!$F$5:$F$1678,'BCE ABREVIADO'!V1562,SYS_cliente!$I$5:$I$1678)</f>
        <v>0</v>
      </c>
    </row>
    <row r="1563" spans="21:23" ht="13.8">
      <c r="V1563" s="661">
        <v>4332</v>
      </c>
      <c r="W1563" s="662">
        <f>+SUMIF(SYS_cliente!$F$5:$F$1678,'BCE ABREVIADO'!V1563,SYS_cliente!$I$5:$I$1678)</f>
        <v>0</v>
      </c>
    </row>
    <row r="1564" spans="21:23" ht="13.8">
      <c r="V1564" s="661">
        <v>4333</v>
      </c>
      <c r="W1564" s="662">
        <f>+SUMIF(SYS_cliente!$F$5:$F$1678,'BCE ABREVIADO'!V1564,SYS_cliente!$I$5:$I$1678)</f>
        <v>0</v>
      </c>
    </row>
    <row r="1565" spans="21:23" ht="13.8">
      <c r="V1565" s="661">
        <v>4334</v>
      </c>
      <c r="W1565" s="662">
        <f>+SUMIF(SYS_cliente!$F$5:$F$1678,'BCE ABREVIADO'!V1565,SYS_cliente!$I$5:$I$1678)</f>
        <v>0</v>
      </c>
    </row>
    <row r="1566" spans="21:23" ht="13.8">
      <c r="V1566" s="661">
        <v>4335</v>
      </c>
      <c r="W1566" s="662">
        <f>+SUMIF(SYS_cliente!$F$5:$F$1678,'BCE ABREVIADO'!V1566,SYS_cliente!$I$5:$I$1678)</f>
        <v>0</v>
      </c>
    </row>
    <row r="1567" spans="21:23" ht="13.8">
      <c r="V1567" s="661">
        <v>4336</v>
      </c>
      <c r="W1567" s="662">
        <f>+SUMIF(SYS_cliente!$F$5:$F$1678,'BCE ABREVIADO'!V1567,SYS_cliente!$I$5:$I$1678)</f>
        <v>0</v>
      </c>
    </row>
    <row r="1568" spans="21:23" ht="13.8">
      <c r="V1568" s="661">
        <v>4337</v>
      </c>
      <c r="W1568" s="662">
        <f>+SUMIF(SYS_cliente!$F$5:$F$1678,'BCE ABREVIADO'!V1568,SYS_cliente!$I$5:$I$1678)</f>
        <v>0</v>
      </c>
    </row>
    <row r="1569" spans="21:23" ht="13.8">
      <c r="V1569" s="661">
        <v>4338</v>
      </c>
      <c r="W1569" s="662">
        <f>+SUMIF(SYS_cliente!$F$5:$F$1678,'BCE ABREVIADO'!V1569,SYS_cliente!$I$5:$I$1678)</f>
        <v>0</v>
      </c>
    </row>
    <row r="1570" spans="21:23" ht="13.8">
      <c r="V1570" s="661">
        <v>4339</v>
      </c>
      <c r="W1570" s="662">
        <f>+SUMIF(SYS_cliente!$F$5:$F$1678,'BCE ABREVIADO'!V1570,SYS_cliente!$I$5:$I$1678)</f>
        <v>0</v>
      </c>
    </row>
    <row r="1571" spans="21:23" ht="13.8">
      <c r="V1571" s="661">
        <v>4340</v>
      </c>
      <c r="W1571" s="662">
        <f>+SUMIF(SYS_cliente!$F$5:$F$1678,'BCE ABREVIADO'!V1571,SYS_cliente!$I$5:$I$1678)</f>
        <v>0</v>
      </c>
    </row>
    <row r="1572" spans="21:23" ht="13.8">
      <c r="V1572" s="661">
        <v>4341</v>
      </c>
      <c r="W1572" s="662">
        <f>+SUMIF(SYS_cliente!$F$5:$F$1678,'BCE ABREVIADO'!V1572,SYS_cliente!$I$5:$I$1678)</f>
        <v>0</v>
      </c>
    </row>
    <row r="1573" spans="21:23" ht="13.8">
      <c r="V1573" s="661">
        <v>4342</v>
      </c>
      <c r="W1573" s="662">
        <f>+SUMIF(SYS_cliente!$F$5:$F$1678,'BCE ABREVIADO'!V1573,SYS_cliente!$I$5:$I$1678)</f>
        <v>0</v>
      </c>
    </row>
    <row r="1574" spans="21:23" ht="13.8">
      <c r="V1574" s="661">
        <v>4343</v>
      </c>
      <c r="W1574" s="662">
        <f>+SUMIF(SYS_cliente!$F$5:$F$1678,'BCE ABREVIADO'!V1574,SYS_cliente!$I$5:$I$1678)</f>
        <v>0</v>
      </c>
    </row>
    <row r="1575" spans="21:23" ht="13.8">
      <c r="V1575" s="661">
        <v>4344</v>
      </c>
      <c r="W1575" s="662">
        <f>+SUMIF(SYS_cliente!$F$5:$F$1678,'BCE ABREVIADO'!V1575,SYS_cliente!$I$5:$I$1678)</f>
        <v>0</v>
      </c>
    </row>
    <row r="1576" spans="21:23" ht="13.8">
      <c r="V1576" s="661">
        <v>4345</v>
      </c>
      <c r="W1576" s="662">
        <f>+SUMIF(SYS_cliente!$F$5:$F$1678,'BCE ABREVIADO'!V1576,SYS_cliente!$I$5:$I$1678)</f>
        <v>0</v>
      </c>
    </row>
    <row r="1577" spans="21:23" ht="13.8">
      <c r="V1577" s="661">
        <v>4346</v>
      </c>
      <c r="W1577" s="662">
        <f>+SUMIF(SYS_cliente!$F$5:$F$1678,'BCE ABREVIADO'!V1577,SYS_cliente!$I$5:$I$1678)</f>
        <v>0</v>
      </c>
    </row>
    <row r="1578" spans="21:23" ht="13.8">
      <c r="V1578" s="661">
        <v>4347</v>
      </c>
      <c r="W1578" s="662">
        <f>+SUMIF(SYS_cliente!$F$5:$F$1678,'BCE ABREVIADO'!V1578,SYS_cliente!$I$5:$I$1678)</f>
        <v>0</v>
      </c>
    </row>
    <row r="1579" spans="21:23" ht="13.8">
      <c r="V1579" s="661">
        <v>4348</v>
      </c>
      <c r="W1579" s="662">
        <f>+SUMIF(SYS_cliente!$F$5:$F$1678,'BCE ABREVIADO'!V1579,SYS_cliente!$I$5:$I$1678)</f>
        <v>0</v>
      </c>
    </row>
    <row r="1580" spans="21:23" ht="13.8">
      <c r="V1580" s="661">
        <v>4349</v>
      </c>
      <c r="W1580" s="662">
        <f>+SUMIF(SYS_cliente!$F$5:$F$1678,'BCE ABREVIADO'!V1580,SYS_cliente!$I$5:$I$1678)</f>
        <v>0</v>
      </c>
    </row>
    <row r="1581" spans="21:23" ht="13.8">
      <c r="V1581" s="661">
        <v>4933</v>
      </c>
      <c r="W1581" s="662">
        <f>+SUMIF(SYS_cliente!$F$5:$F$1678,'BCE ABREVIADO'!V1581,SYS_cliente!$I$5:$I$1678)</f>
        <v>0</v>
      </c>
    </row>
    <row r="1582" spans="21:23" ht="13.8">
      <c r="V1582" s="661">
        <v>4934</v>
      </c>
      <c r="W1582" s="662">
        <f>+SUMIF(SYS_cliente!$F$5:$F$1678,'BCE ABREVIADO'!V1582,SYS_cliente!$I$5:$I$1678)</f>
        <v>0</v>
      </c>
    </row>
    <row r="1583" spans="21:23" ht="13.8">
      <c r="U1583" s="722" t="s">
        <v>132</v>
      </c>
      <c r="V1583" s="653" t="s">
        <v>40</v>
      </c>
      <c r="W1583" s="654">
        <f>SUM(W1584:W1685)</f>
        <v>808.16000000000008</v>
      </c>
    </row>
    <row r="1584" spans="21:23" ht="13.8">
      <c r="V1584" s="661">
        <v>4400</v>
      </c>
      <c r="W1584" s="662">
        <f>+SUMIF(SYS_cliente!$F$5:$F$1678,'BCE ABREVIADO'!V1584,SYS_cliente!$I$5:$I$1678)</f>
        <v>652.07000000000005</v>
      </c>
    </row>
    <row r="1585" spans="22:23" ht="13.8">
      <c r="V1585" s="661">
        <v>4401</v>
      </c>
      <c r="W1585" s="662">
        <f>+SUMIF(SYS_cliente!$F$5:$F$1678,'BCE ABREVIADO'!V1585,SYS_cliente!$I$5:$I$1678)</f>
        <v>0</v>
      </c>
    </row>
    <row r="1586" spans="22:23" ht="13.8">
      <c r="V1586" s="661">
        <v>4402</v>
      </c>
      <c r="W1586" s="662">
        <f>+SUMIF(SYS_cliente!$F$5:$F$1678,'BCE ABREVIADO'!V1586,SYS_cliente!$I$5:$I$1678)</f>
        <v>0</v>
      </c>
    </row>
    <row r="1587" spans="22:23" ht="13.8">
      <c r="V1587" s="661">
        <v>4403</v>
      </c>
      <c r="W1587" s="662">
        <f>+SUMIF(SYS_cliente!$F$5:$F$1678,'BCE ABREVIADO'!V1587,SYS_cliente!$I$5:$I$1678)</f>
        <v>0</v>
      </c>
    </row>
    <row r="1588" spans="22:23" ht="13.8">
      <c r="V1588" s="661">
        <v>4404</v>
      </c>
      <c r="W1588" s="662">
        <f>+SUMIF(SYS_cliente!$F$5:$F$1678,'BCE ABREVIADO'!V1588,SYS_cliente!$I$5:$I$1678)</f>
        <v>0</v>
      </c>
    </row>
    <row r="1589" spans="22:23" ht="13.8">
      <c r="V1589" s="661">
        <v>4405</v>
      </c>
      <c r="W1589" s="662">
        <f>+SUMIF(SYS_cliente!$F$5:$F$1678,'BCE ABREVIADO'!V1589,SYS_cliente!$I$5:$I$1678)</f>
        <v>0</v>
      </c>
    </row>
    <row r="1590" spans="22:23" ht="13.8">
      <c r="V1590" s="661">
        <v>4406</v>
      </c>
      <c r="W1590" s="662">
        <f>+SUMIF(SYS_cliente!$F$5:$F$1678,'BCE ABREVIADO'!V1590,SYS_cliente!$I$5:$I$1678)</f>
        <v>0</v>
      </c>
    </row>
    <row r="1591" spans="22:23" ht="13.8">
      <c r="V1591" s="661">
        <v>4407</v>
      </c>
      <c r="W1591" s="662">
        <f>+SUMIF(SYS_cliente!$F$5:$F$1678,'BCE ABREVIADO'!V1591,SYS_cliente!$I$5:$I$1678)</f>
        <v>0</v>
      </c>
    </row>
    <row r="1592" spans="22:23" ht="13.8">
      <c r="V1592" s="661">
        <v>4408</v>
      </c>
      <c r="W1592" s="662">
        <f>+SUMIF(SYS_cliente!$F$5:$F$1678,'BCE ABREVIADO'!V1592,SYS_cliente!$I$5:$I$1678)</f>
        <v>0</v>
      </c>
    </row>
    <row r="1593" spans="22:23" ht="13.8">
      <c r="V1593" s="661">
        <v>4409</v>
      </c>
      <c r="W1593" s="662">
        <f>+SUMIF(SYS_cliente!$F$5:$F$1678,'BCE ABREVIADO'!V1593,SYS_cliente!$I$5:$I$1678)</f>
        <v>0</v>
      </c>
    </row>
    <row r="1594" spans="22:23" ht="13.8">
      <c r="V1594" s="661">
        <v>4410</v>
      </c>
      <c r="W1594" s="662">
        <f>+SUMIF(SYS_cliente!$F$5:$F$1678,'BCE ABREVIADO'!V1594,SYS_cliente!$I$5:$I$1678)</f>
        <v>156.09</v>
      </c>
    </row>
    <row r="1595" spans="22:23" ht="13.8">
      <c r="V1595" s="661">
        <v>4411</v>
      </c>
      <c r="W1595" s="662">
        <f>+SUMIF(SYS_cliente!$F$5:$F$1678,'BCE ABREVIADO'!V1595,SYS_cliente!$I$5:$I$1678)</f>
        <v>0</v>
      </c>
    </row>
    <row r="1596" spans="22:23" ht="13.8">
      <c r="V1596" s="661">
        <v>4412</v>
      </c>
      <c r="W1596" s="662">
        <f>+SUMIF(SYS_cliente!$F$5:$F$1678,'BCE ABREVIADO'!V1596,SYS_cliente!$I$5:$I$1678)</f>
        <v>0</v>
      </c>
    </row>
    <row r="1597" spans="22:23" ht="13.8">
      <c r="V1597" s="661">
        <v>4413</v>
      </c>
      <c r="W1597" s="662">
        <f>+SUMIF(SYS_cliente!$F$5:$F$1678,'BCE ABREVIADO'!V1597,SYS_cliente!$I$5:$I$1678)</f>
        <v>0</v>
      </c>
    </row>
    <row r="1598" spans="22:23" ht="13.8">
      <c r="V1598" s="661">
        <v>4414</v>
      </c>
      <c r="W1598" s="662">
        <f>+SUMIF(SYS_cliente!$F$5:$F$1678,'BCE ABREVIADO'!V1598,SYS_cliente!$I$5:$I$1678)</f>
        <v>0</v>
      </c>
    </row>
    <row r="1599" spans="22:23" ht="13.8">
      <c r="V1599" s="661">
        <v>4415</v>
      </c>
      <c r="W1599" s="662">
        <f>+SUMIF(SYS_cliente!$F$5:$F$1678,'BCE ABREVIADO'!V1599,SYS_cliente!$I$5:$I$1678)</f>
        <v>0</v>
      </c>
    </row>
    <row r="1600" spans="22:23" ht="13.8">
      <c r="V1600" s="661">
        <v>4416</v>
      </c>
      <c r="W1600" s="662">
        <f>+SUMIF(SYS_cliente!$F$5:$F$1678,'BCE ABREVIADO'!V1600,SYS_cliente!$I$5:$I$1678)</f>
        <v>0</v>
      </c>
    </row>
    <row r="1601" spans="22:23" ht="13.8">
      <c r="V1601" s="661">
        <v>4417</v>
      </c>
      <c r="W1601" s="662">
        <f>+SUMIF(SYS_cliente!$F$5:$F$1678,'BCE ABREVIADO'!V1601,SYS_cliente!$I$5:$I$1678)</f>
        <v>0</v>
      </c>
    </row>
    <row r="1602" spans="22:23" ht="13.8">
      <c r="V1602" s="661">
        <v>4418</v>
      </c>
      <c r="W1602" s="662">
        <f>+SUMIF(SYS_cliente!$F$5:$F$1678,'BCE ABREVIADO'!V1602,SYS_cliente!$I$5:$I$1678)</f>
        <v>0</v>
      </c>
    </row>
    <row r="1603" spans="22:23" ht="13.8">
      <c r="V1603" s="661">
        <v>4419</v>
      </c>
      <c r="W1603" s="662">
        <f>+SUMIF(SYS_cliente!$F$5:$F$1678,'BCE ABREVIADO'!V1603,SYS_cliente!$I$5:$I$1678)</f>
        <v>0</v>
      </c>
    </row>
    <row r="1604" spans="22:23" ht="13.8">
      <c r="V1604" s="661">
        <v>4420</v>
      </c>
      <c r="W1604" s="662">
        <f>+SUMIF(SYS_cliente!$F$5:$F$1678,'BCE ABREVIADO'!V1604,SYS_cliente!$I$5:$I$1678)</f>
        <v>0</v>
      </c>
    </row>
    <row r="1605" spans="22:23" ht="13.8">
      <c r="V1605" s="661">
        <v>4421</v>
      </c>
      <c r="W1605" s="662">
        <f>+SUMIF(SYS_cliente!$F$5:$F$1678,'BCE ABREVIADO'!V1605,SYS_cliente!$I$5:$I$1678)</f>
        <v>0</v>
      </c>
    </row>
    <row r="1606" spans="22:23" ht="13.8">
      <c r="V1606" s="661">
        <v>4422</v>
      </c>
      <c r="W1606" s="662">
        <f>+SUMIF(SYS_cliente!$F$5:$F$1678,'BCE ABREVIADO'!V1606,SYS_cliente!$I$5:$I$1678)</f>
        <v>0</v>
      </c>
    </row>
    <row r="1607" spans="22:23" ht="13.8">
      <c r="V1607" s="661">
        <v>4423</v>
      </c>
      <c r="W1607" s="662">
        <f>+SUMIF(SYS_cliente!$F$5:$F$1678,'BCE ABREVIADO'!V1607,SYS_cliente!$I$5:$I$1678)</f>
        <v>0</v>
      </c>
    </row>
    <row r="1608" spans="22:23" ht="13.8">
      <c r="V1608" s="661">
        <v>4424</v>
      </c>
      <c r="W1608" s="662">
        <f>+SUMIF(SYS_cliente!$F$5:$F$1678,'BCE ABREVIADO'!V1608,SYS_cliente!$I$5:$I$1678)</f>
        <v>0</v>
      </c>
    </row>
    <row r="1609" spans="22:23" ht="13.8">
      <c r="V1609" s="661">
        <v>4425</v>
      </c>
      <c r="W1609" s="662">
        <f>+SUMIF(SYS_cliente!$F$5:$F$1678,'BCE ABREVIADO'!V1609,SYS_cliente!$I$5:$I$1678)</f>
        <v>0</v>
      </c>
    </row>
    <row r="1610" spans="22:23" ht="13.8">
      <c r="V1610" s="661">
        <v>4426</v>
      </c>
      <c r="W1610" s="662">
        <f>+SUMIF(SYS_cliente!$F$5:$F$1678,'BCE ABREVIADO'!V1610,SYS_cliente!$I$5:$I$1678)</f>
        <v>0</v>
      </c>
    </row>
    <row r="1611" spans="22:23" ht="13.8">
      <c r="V1611" s="661">
        <v>4427</v>
      </c>
      <c r="W1611" s="662">
        <f>+SUMIF(SYS_cliente!$F$5:$F$1678,'BCE ABREVIADO'!V1611,SYS_cliente!$I$5:$I$1678)</f>
        <v>0</v>
      </c>
    </row>
    <row r="1612" spans="22:23" ht="13.8">
      <c r="V1612" s="661">
        <v>4428</v>
      </c>
      <c r="W1612" s="662">
        <f>+SUMIF(SYS_cliente!$F$5:$F$1678,'BCE ABREVIADO'!V1612,SYS_cliente!$I$5:$I$1678)</f>
        <v>0</v>
      </c>
    </row>
    <row r="1613" spans="22:23" ht="13.8">
      <c r="V1613" s="661">
        <v>4429</v>
      </c>
      <c r="W1613" s="662">
        <f>+SUMIF(SYS_cliente!$F$5:$F$1678,'BCE ABREVIADO'!V1613,SYS_cliente!$I$5:$I$1678)</f>
        <v>0</v>
      </c>
    </row>
    <row r="1614" spans="22:23" ht="13.8">
      <c r="V1614" s="661">
        <v>4430</v>
      </c>
      <c r="W1614" s="662">
        <f>+SUMIF(SYS_cliente!$F$5:$F$1678,'BCE ABREVIADO'!V1614,SYS_cliente!$I$5:$I$1678)</f>
        <v>0</v>
      </c>
    </row>
    <row r="1615" spans="22:23" ht="13.8">
      <c r="V1615" s="661">
        <v>4431</v>
      </c>
      <c r="W1615" s="662">
        <f>+SUMIF(SYS_cliente!$F$5:$F$1678,'BCE ABREVIADO'!V1615,SYS_cliente!$I$5:$I$1678)</f>
        <v>0</v>
      </c>
    </row>
    <row r="1616" spans="22:23" ht="13.8">
      <c r="V1616" s="661">
        <v>4432</v>
      </c>
      <c r="W1616" s="662">
        <f>+SUMIF(SYS_cliente!$F$5:$F$1678,'BCE ABREVIADO'!V1616,SYS_cliente!$I$5:$I$1678)</f>
        <v>0</v>
      </c>
    </row>
    <row r="1617" spans="22:23" ht="13.8">
      <c r="V1617" s="661">
        <v>4433</v>
      </c>
      <c r="W1617" s="662">
        <f>+SUMIF(SYS_cliente!$F$5:$F$1678,'BCE ABREVIADO'!V1617,SYS_cliente!$I$5:$I$1678)</f>
        <v>0</v>
      </c>
    </row>
    <row r="1618" spans="22:23" ht="13.8">
      <c r="V1618" s="661">
        <v>4434</v>
      </c>
      <c r="W1618" s="662">
        <f>+SUMIF(SYS_cliente!$F$5:$F$1678,'BCE ABREVIADO'!V1618,SYS_cliente!$I$5:$I$1678)</f>
        <v>0</v>
      </c>
    </row>
    <row r="1619" spans="22:23" ht="13.8">
      <c r="V1619" s="661">
        <v>4435</v>
      </c>
      <c r="W1619" s="662">
        <f>+SUMIF(SYS_cliente!$F$5:$F$1678,'BCE ABREVIADO'!V1619,SYS_cliente!$I$5:$I$1678)</f>
        <v>0</v>
      </c>
    </row>
    <row r="1620" spans="22:23" ht="13.8">
      <c r="V1620" s="661">
        <v>4436</v>
      </c>
      <c r="W1620" s="662">
        <f>+SUMIF(SYS_cliente!$F$5:$F$1678,'BCE ABREVIADO'!V1620,SYS_cliente!$I$5:$I$1678)</f>
        <v>0</v>
      </c>
    </row>
    <row r="1621" spans="22:23" ht="13.8">
      <c r="V1621" s="661">
        <v>4437</v>
      </c>
      <c r="W1621" s="662">
        <f>+SUMIF(SYS_cliente!$F$5:$F$1678,'BCE ABREVIADO'!V1621,SYS_cliente!$I$5:$I$1678)</f>
        <v>0</v>
      </c>
    </row>
    <row r="1622" spans="22:23" ht="13.8">
      <c r="V1622" s="661">
        <v>4438</v>
      </c>
      <c r="W1622" s="662">
        <f>+SUMIF(SYS_cliente!$F$5:$F$1678,'BCE ABREVIADO'!V1622,SYS_cliente!$I$5:$I$1678)</f>
        <v>0</v>
      </c>
    </row>
    <row r="1623" spans="22:23" ht="13.8">
      <c r="V1623" s="661">
        <v>4439</v>
      </c>
      <c r="W1623" s="662">
        <f>+SUMIF(SYS_cliente!$F$5:$F$1678,'BCE ABREVIADO'!V1623,SYS_cliente!$I$5:$I$1678)</f>
        <v>0</v>
      </c>
    </row>
    <row r="1624" spans="22:23" ht="13.8">
      <c r="V1624" s="661">
        <v>4440</v>
      </c>
      <c r="W1624" s="662">
        <f>+SUMIF(SYS_cliente!$F$5:$F$1678,'BCE ABREVIADO'!V1624,SYS_cliente!$I$5:$I$1678)</f>
        <v>0</v>
      </c>
    </row>
    <row r="1625" spans="22:23" ht="13.8">
      <c r="V1625" s="661">
        <v>4441</v>
      </c>
      <c r="W1625" s="662">
        <f>+SUMIF(SYS_cliente!$F$5:$F$1678,'BCE ABREVIADO'!V1625,SYS_cliente!$I$5:$I$1678)</f>
        <v>0</v>
      </c>
    </row>
    <row r="1626" spans="22:23" ht="13.8">
      <c r="V1626" s="661">
        <v>4442</v>
      </c>
      <c r="W1626" s="662">
        <f>+SUMIF(SYS_cliente!$F$5:$F$1678,'BCE ABREVIADO'!V1626,SYS_cliente!$I$5:$I$1678)</f>
        <v>0</v>
      </c>
    </row>
    <row r="1627" spans="22:23" ht="13.8">
      <c r="V1627" s="661">
        <v>4443</v>
      </c>
      <c r="W1627" s="662">
        <f>+SUMIF(SYS_cliente!$F$5:$F$1678,'BCE ABREVIADO'!V1627,SYS_cliente!$I$5:$I$1678)</f>
        <v>0</v>
      </c>
    </row>
    <row r="1628" spans="22:23" ht="13.8">
      <c r="V1628" s="661">
        <v>4444</v>
      </c>
      <c r="W1628" s="662">
        <f>+SUMIF(SYS_cliente!$F$5:$F$1678,'BCE ABREVIADO'!V1628,SYS_cliente!$I$5:$I$1678)</f>
        <v>0</v>
      </c>
    </row>
    <row r="1629" spans="22:23" ht="13.8">
      <c r="V1629" s="661">
        <v>4445</v>
      </c>
      <c r="W1629" s="662">
        <f>+SUMIF(SYS_cliente!$F$5:$F$1678,'BCE ABREVIADO'!V1629,SYS_cliente!$I$5:$I$1678)</f>
        <v>0</v>
      </c>
    </row>
    <row r="1630" spans="22:23" ht="13.8">
      <c r="V1630" s="661">
        <v>4446</v>
      </c>
      <c r="W1630" s="662">
        <f>+SUMIF(SYS_cliente!$F$5:$F$1678,'BCE ABREVIADO'!V1630,SYS_cliente!$I$5:$I$1678)</f>
        <v>0</v>
      </c>
    </row>
    <row r="1631" spans="22:23" ht="13.8">
      <c r="V1631" s="661">
        <v>4447</v>
      </c>
      <c r="W1631" s="662">
        <f>+SUMIF(SYS_cliente!$F$5:$F$1678,'BCE ABREVIADO'!V1631,SYS_cliente!$I$5:$I$1678)</f>
        <v>0</v>
      </c>
    </row>
    <row r="1632" spans="22:23" ht="13.8">
      <c r="V1632" s="661">
        <v>4448</v>
      </c>
      <c r="W1632" s="662">
        <f>+SUMIF(SYS_cliente!$F$5:$F$1678,'BCE ABREVIADO'!V1632,SYS_cliente!$I$5:$I$1678)</f>
        <v>0</v>
      </c>
    </row>
    <row r="1633" spans="22:23" ht="13.8">
      <c r="V1633" s="661">
        <v>4449</v>
      </c>
      <c r="W1633" s="662">
        <f>+SUMIF(SYS_cliente!$F$5:$F$1678,'BCE ABREVIADO'!V1633,SYS_cliente!$I$5:$I$1678)</f>
        <v>0</v>
      </c>
    </row>
    <row r="1634" spans="22:23" ht="13.8">
      <c r="V1634" s="661">
        <v>4450</v>
      </c>
      <c r="W1634" s="662">
        <f>+SUMIF(SYS_cliente!$F$5:$F$1678,'BCE ABREVIADO'!V1634,SYS_cliente!$I$5:$I$1678)</f>
        <v>0</v>
      </c>
    </row>
    <row r="1635" spans="22:23" ht="13.8">
      <c r="V1635" s="661">
        <v>4451</v>
      </c>
      <c r="W1635" s="662">
        <f>+SUMIF(SYS_cliente!$F$5:$F$1678,'BCE ABREVIADO'!V1635,SYS_cliente!$I$5:$I$1678)</f>
        <v>0</v>
      </c>
    </row>
    <row r="1636" spans="22:23" ht="13.8">
      <c r="V1636" s="661">
        <v>4452</v>
      </c>
      <c r="W1636" s="662">
        <f>+SUMIF(SYS_cliente!$F$5:$F$1678,'BCE ABREVIADO'!V1636,SYS_cliente!$I$5:$I$1678)</f>
        <v>0</v>
      </c>
    </row>
    <row r="1637" spans="22:23" ht="13.8">
      <c r="V1637" s="661">
        <v>4453</v>
      </c>
      <c r="W1637" s="662">
        <f>+SUMIF(SYS_cliente!$F$5:$F$1678,'BCE ABREVIADO'!V1637,SYS_cliente!$I$5:$I$1678)</f>
        <v>0</v>
      </c>
    </row>
    <row r="1638" spans="22:23" ht="13.8">
      <c r="V1638" s="661">
        <v>4454</v>
      </c>
      <c r="W1638" s="662">
        <f>+SUMIF(SYS_cliente!$F$5:$F$1678,'BCE ABREVIADO'!V1638,SYS_cliente!$I$5:$I$1678)</f>
        <v>0</v>
      </c>
    </row>
    <row r="1639" spans="22:23" ht="13.8">
      <c r="V1639" s="661">
        <v>4455</v>
      </c>
      <c r="W1639" s="662">
        <f>+SUMIF(SYS_cliente!$F$5:$F$1678,'BCE ABREVIADO'!V1639,SYS_cliente!$I$5:$I$1678)</f>
        <v>0</v>
      </c>
    </row>
    <row r="1640" spans="22:23" ht="13.8">
      <c r="V1640" s="661">
        <v>4456</v>
      </c>
      <c r="W1640" s="662">
        <f>+SUMIF(SYS_cliente!$F$5:$F$1678,'BCE ABREVIADO'!V1640,SYS_cliente!$I$5:$I$1678)</f>
        <v>0</v>
      </c>
    </row>
    <row r="1641" spans="22:23" ht="13.8">
      <c r="V1641" s="661">
        <v>4457</v>
      </c>
      <c r="W1641" s="662">
        <f>+SUMIF(SYS_cliente!$F$5:$F$1678,'BCE ABREVIADO'!V1641,SYS_cliente!$I$5:$I$1678)</f>
        <v>0</v>
      </c>
    </row>
    <row r="1642" spans="22:23" ht="13.8">
      <c r="V1642" s="661">
        <v>4458</v>
      </c>
      <c r="W1642" s="662">
        <f>+SUMIF(SYS_cliente!$F$5:$F$1678,'BCE ABREVIADO'!V1642,SYS_cliente!$I$5:$I$1678)</f>
        <v>0</v>
      </c>
    </row>
    <row r="1643" spans="22:23" ht="13.8">
      <c r="V1643" s="661">
        <v>4459</v>
      </c>
      <c r="W1643" s="662">
        <f>+SUMIF(SYS_cliente!$F$5:$F$1678,'BCE ABREVIADO'!V1643,SYS_cliente!$I$5:$I$1678)</f>
        <v>0</v>
      </c>
    </row>
    <row r="1644" spans="22:23" ht="13.8">
      <c r="V1644" s="661">
        <v>4460</v>
      </c>
      <c r="W1644" s="662">
        <f>+SUMIF(SYS_cliente!$F$5:$F$1678,'BCE ABREVIADO'!V1644,SYS_cliente!$I$5:$I$1678)</f>
        <v>0</v>
      </c>
    </row>
    <row r="1645" spans="22:23" ht="13.8">
      <c r="V1645" s="661">
        <v>4461</v>
      </c>
      <c r="W1645" s="662">
        <f>+SUMIF(SYS_cliente!$F$5:$F$1678,'BCE ABREVIADO'!V1645,SYS_cliente!$I$5:$I$1678)</f>
        <v>0</v>
      </c>
    </row>
    <row r="1646" spans="22:23" ht="13.8">
      <c r="V1646" s="661">
        <v>4462</v>
      </c>
      <c r="W1646" s="662">
        <f>+SUMIF(SYS_cliente!$F$5:$F$1678,'BCE ABREVIADO'!V1646,SYS_cliente!$I$5:$I$1678)</f>
        <v>0</v>
      </c>
    </row>
    <row r="1647" spans="22:23" ht="13.8">
      <c r="V1647" s="661">
        <v>4463</v>
      </c>
      <c r="W1647" s="662">
        <f>+SUMIF(SYS_cliente!$F$5:$F$1678,'BCE ABREVIADO'!V1647,SYS_cliente!$I$5:$I$1678)</f>
        <v>0</v>
      </c>
    </row>
    <row r="1648" spans="22:23" ht="13.8">
      <c r="V1648" s="661">
        <v>4464</v>
      </c>
      <c r="W1648" s="662">
        <f>+SUMIF(SYS_cliente!$F$5:$F$1678,'BCE ABREVIADO'!V1648,SYS_cliente!$I$5:$I$1678)</f>
        <v>0</v>
      </c>
    </row>
    <row r="1649" spans="22:23" ht="13.8">
      <c r="V1649" s="661">
        <v>4465</v>
      </c>
      <c r="W1649" s="662">
        <f>+SUMIF(SYS_cliente!$F$5:$F$1678,'BCE ABREVIADO'!V1649,SYS_cliente!$I$5:$I$1678)</f>
        <v>0</v>
      </c>
    </row>
    <row r="1650" spans="22:23" ht="13.8">
      <c r="V1650" s="661">
        <v>4466</v>
      </c>
      <c r="W1650" s="662">
        <f>+SUMIF(SYS_cliente!$F$5:$F$1678,'BCE ABREVIADO'!V1650,SYS_cliente!$I$5:$I$1678)</f>
        <v>0</v>
      </c>
    </row>
    <row r="1651" spans="22:23" ht="13.8">
      <c r="V1651" s="661">
        <v>4467</v>
      </c>
      <c r="W1651" s="662">
        <f>+SUMIF(SYS_cliente!$F$5:$F$1678,'BCE ABREVIADO'!V1651,SYS_cliente!$I$5:$I$1678)</f>
        <v>0</v>
      </c>
    </row>
    <row r="1652" spans="22:23" ht="13.8">
      <c r="V1652" s="661">
        <v>4468</v>
      </c>
      <c r="W1652" s="662">
        <f>+SUMIF(SYS_cliente!$F$5:$F$1678,'BCE ABREVIADO'!V1652,SYS_cliente!$I$5:$I$1678)</f>
        <v>0</v>
      </c>
    </row>
    <row r="1653" spans="22:23" ht="13.8">
      <c r="V1653" s="661">
        <v>4469</v>
      </c>
      <c r="W1653" s="662">
        <f>+SUMIF(SYS_cliente!$F$5:$F$1678,'BCE ABREVIADO'!V1653,SYS_cliente!$I$5:$I$1678)</f>
        <v>0</v>
      </c>
    </row>
    <row r="1654" spans="22:23" ht="13.8">
      <c r="V1654" s="661">
        <v>4470</v>
      </c>
      <c r="W1654" s="662">
        <f>+SUMIF(SYS_cliente!$F$5:$F$1678,'BCE ABREVIADO'!V1654,SYS_cliente!$I$5:$I$1678)</f>
        <v>0</v>
      </c>
    </row>
    <row r="1655" spans="22:23" ht="13.8">
      <c r="V1655" s="661">
        <v>4471</v>
      </c>
      <c r="W1655" s="662">
        <f>+SUMIF(SYS_cliente!$F$5:$F$1678,'BCE ABREVIADO'!V1655,SYS_cliente!$I$5:$I$1678)</f>
        <v>0</v>
      </c>
    </row>
    <row r="1656" spans="22:23" ht="13.8">
      <c r="V1656" s="661">
        <v>4472</v>
      </c>
      <c r="W1656" s="662">
        <f>+SUMIF(SYS_cliente!$F$5:$F$1678,'BCE ABREVIADO'!V1656,SYS_cliente!$I$5:$I$1678)</f>
        <v>0</v>
      </c>
    </row>
    <row r="1657" spans="22:23" ht="13.8">
      <c r="V1657" s="661">
        <v>4473</v>
      </c>
      <c r="W1657" s="662">
        <f>+SUMIF(SYS_cliente!$F$5:$F$1678,'BCE ABREVIADO'!V1657,SYS_cliente!$I$5:$I$1678)</f>
        <v>0</v>
      </c>
    </row>
    <row r="1658" spans="22:23" ht="13.8">
      <c r="V1658" s="661">
        <v>4474</v>
      </c>
      <c r="W1658" s="662">
        <f>+SUMIF(SYS_cliente!$F$5:$F$1678,'BCE ABREVIADO'!V1658,SYS_cliente!$I$5:$I$1678)</f>
        <v>0</v>
      </c>
    </row>
    <row r="1659" spans="22:23" ht="13.8">
      <c r="V1659" s="661">
        <v>4475</v>
      </c>
      <c r="W1659" s="662">
        <f>+SUMIF(SYS_cliente!$F$5:$F$1678,'BCE ABREVIADO'!V1659,SYS_cliente!$I$5:$I$1678)</f>
        <v>0</v>
      </c>
    </row>
    <row r="1660" spans="22:23" ht="13.8">
      <c r="V1660" s="661">
        <v>4476</v>
      </c>
      <c r="W1660" s="662">
        <f>+SUMIF(SYS_cliente!$F$5:$F$1678,'BCE ABREVIADO'!V1660,SYS_cliente!$I$5:$I$1678)</f>
        <v>0</v>
      </c>
    </row>
    <row r="1661" spans="22:23" ht="13.8">
      <c r="V1661" s="661">
        <v>4477</v>
      </c>
      <c r="W1661" s="662">
        <f>+SUMIF(SYS_cliente!$F$5:$F$1678,'BCE ABREVIADO'!V1661,SYS_cliente!$I$5:$I$1678)</f>
        <v>0</v>
      </c>
    </row>
    <row r="1662" spans="22:23" ht="13.8">
      <c r="V1662" s="661">
        <v>4478</v>
      </c>
      <c r="W1662" s="662">
        <f>+SUMIF(SYS_cliente!$F$5:$F$1678,'BCE ABREVIADO'!V1662,SYS_cliente!$I$5:$I$1678)</f>
        <v>0</v>
      </c>
    </row>
    <row r="1663" spans="22:23" ht="13.8">
      <c r="V1663" s="661">
        <v>4479</v>
      </c>
      <c r="W1663" s="662">
        <f>+SUMIF(SYS_cliente!$F$5:$F$1678,'BCE ABREVIADO'!V1663,SYS_cliente!$I$5:$I$1678)</f>
        <v>0</v>
      </c>
    </row>
    <row r="1664" spans="22:23" ht="13.8">
      <c r="V1664" s="661">
        <v>4480</v>
      </c>
      <c r="W1664" s="662">
        <f>+SUMIF(SYS_cliente!$F$5:$F$1678,'BCE ABREVIADO'!V1664,SYS_cliente!$I$5:$I$1678)</f>
        <v>0</v>
      </c>
    </row>
    <row r="1665" spans="22:23" ht="13.8">
      <c r="V1665" s="661">
        <v>4481</v>
      </c>
      <c r="W1665" s="662">
        <f>+SUMIF(SYS_cliente!$F$5:$F$1678,'BCE ABREVIADO'!V1665,SYS_cliente!$I$5:$I$1678)</f>
        <v>0</v>
      </c>
    </row>
    <row r="1666" spans="22:23" ht="13.8">
      <c r="V1666" s="661">
        <v>4482</v>
      </c>
      <c r="W1666" s="662">
        <f>+SUMIF(SYS_cliente!$F$5:$F$1678,'BCE ABREVIADO'!V1666,SYS_cliente!$I$5:$I$1678)</f>
        <v>0</v>
      </c>
    </row>
    <row r="1667" spans="22:23" ht="13.8">
      <c r="V1667" s="661">
        <v>4483</v>
      </c>
      <c r="W1667" s="662">
        <f>+SUMIF(SYS_cliente!$F$5:$F$1678,'BCE ABREVIADO'!V1667,SYS_cliente!$I$5:$I$1678)</f>
        <v>0</v>
      </c>
    </row>
    <row r="1668" spans="22:23" ht="13.8">
      <c r="V1668" s="661">
        <v>4484</v>
      </c>
      <c r="W1668" s="662">
        <f>+SUMIF(SYS_cliente!$F$5:$F$1678,'BCE ABREVIADO'!V1668,SYS_cliente!$I$5:$I$1678)</f>
        <v>0</v>
      </c>
    </row>
    <row r="1669" spans="22:23" ht="13.8">
      <c r="V1669" s="661">
        <v>4485</v>
      </c>
      <c r="W1669" s="662">
        <f>+SUMIF(SYS_cliente!$F$5:$F$1678,'BCE ABREVIADO'!V1669,SYS_cliente!$I$5:$I$1678)</f>
        <v>0</v>
      </c>
    </row>
    <row r="1670" spans="22:23" ht="13.8">
      <c r="V1670" s="661">
        <v>4486</v>
      </c>
      <c r="W1670" s="662">
        <f>+SUMIF(SYS_cliente!$F$5:$F$1678,'BCE ABREVIADO'!V1670,SYS_cliente!$I$5:$I$1678)</f>
        <v>0</v>
      </c>
    </row>
    <row r="1671" spans="22:23" ht="13.8">
      <c r="V1671" s="661">
        <v>4487</v>
      </c>
      <c r="W1671" s="662">
        <f>+SUMIF(SYS_cliente!$F$5:$F$1678,'BCE ABREVIADO'!V1671,SYS_cliente!$I$5:$I$1678)</f>
        <v>0</v>
      </c>
    </row>
    <row r="1672" spans="22:23" ht="13.8">
      <c r="V1672" s="661">
        <v>4488</v>
      </c>
      <c r="W1672" s="662">
        <f>+SUMIF(SYS_cliente!$F$5:$F$1678,'BCE ABREVIADO'!V1672,SYS_cliente!$I$5:$I$1678)</f>
        <v>0</v>
      </c>
    </row>
    <row r="1673" spans="22:23" ht="13.8">
      <c r="V1673" s="661">
        <v>4489</v>
      </c>
      <c r="W1673" s="662">
        <f>+SUMIF(SYS_cliente!$F$5:$F$1678,'BCE ABREVIADO'!V1673,SYS_cliente!$I$5:$I$1678)</f>
        <v>0</v>
      </c>
    </row>
    <row r="1674" spans="22:23" ht="13.8">
      <c r="V1674" s="661">
        <v>4490</v>
      </c>
      <c r="W1674" s="662">
        <f>+SUMIF(SYS_cliente!$F$5:$F$1678,'BCE ABREVIADO'!V1674,SYS_cliente!$I$5:$I$1678)</f>
        <v>0</v>
      </c>
    </row>
    <row r="1675" spans="22:23" ht="13.8">
      <c r="V1675" s="661">
        <v>4491</v>
      </c>
      <c r="W1675" s="662">
        <f>+SUMIF(SYS_cliente!$F$5:$F$1678,'BCE ABREVIADO'!V1675,SYS_cliente!$I$5:$I$1678)</f>
        <v>0</v>
      </c>
    </row>
    <row r="1676" spans="22:23" ht="13.8">
      <c r="V1676" s="661">
        <v>4492</v>
      </c>
      <c r="W1676" s="662">
        <f>+SUMIF(SYS_cliente!$F$5:$F$1678,'BCE ABREVIADO'!V1676,SYS_cliente!$I$5:$I$1678)</f>
        <v>0</v>
      </c>
    </row>
    <row r="1677" spans="22:23" ht="13.8">
      <c r="V1677" s="661">
        <v>4493</v>
      </c>
      <c r="W1677" s="662">
        <f>+SUMIF(SYS_cliente!$F$5:$F$1678,'BCE ABREVIADO'!V1677,SYS_cliente!$I$5:$I$1678)</f>
        <v>0</v>
      </c>
    </row>
    <row r="1678" spans="22:23" ht="13.8">
      <c r="V1678" s="661">
        <v>4494</v>
      </c>
      <c r="W1678" s="662">
        <f>+SUMIF(SYS_cliente!$F$5:$F$1678,'BCE ABREVIADO'!V1678,SYS_cliente!$I$5:$I$1678)</f>
        <v>0</v>
      </c>
    </row>
    <row r="1679" spans="22:23" ht="13.8">
      <c r="V1679" s="661">
        <v>4495</v>
      </c>
      <c r="W1679" s="662">
        <f>+SUMIF(SYS_cliente!$F$5:$F$1678,'BCE ABREVIADO'!V1679,SYS_cliente!$I$5:$I$1678)</f>
        <v>0</v>
      </c>
    </row>
    <row r="1680" spans="22:23" ht="13.8">
      <c r="V1680" s="661">
        <v>4496</v>
      </c>
      <c r="W1680" s="662">
        <f>+SUMIF(SYS_cliente!$F$5:$F$1678,'BCE ABREVIADO'!V1680,SYS_cliente!$I$5:$I$1678)</f>
        <v>0</v>
      </c>
    </row>
    <row r="1681" spans="21:23" ht="13.8">
      <c r="V1681" s="661">
        <v>4497</v>
      </c>
      <c r="W1681" s="662">
        <f>+SUMIF(SYS_cliente!$F$5:$F$1678,'BCE ABREVIADO'!V1681,SYS_cliente!$I$5:$I$1678)</f>
        <v>0</v>
      </c>
    </row>
    <row r="1682" spans="21:23" ht="13.8">
      <c r="V1682" s="661">
        <v>4498</v>
      </c>
      <c r="W1682" s="662">
        <f>+SUMIF(SYS_cliente!$F$5:$F$1678,'BCE ABREVIADO'!V1682,SYS_cliente!$I$5:$I$1678)</f>
        <v>0</v>
      </c>
    </row>
    <row r="1683" spans="21:23" ht="13.8">
      <c r="V1683" s="661">
        <v>4499</v>
      </c>
      <c r="W1683" s="662">
        <f>+SUMIF(SYS_cliente!$F$5:$F$1678,'BCE ABREVIADO'!V1683,SYS_cliente!$I$5:$I$1678)</f>
        <v>0</v>
      </c>
    </row>
    <row r="1684" spans="21:23" ht="13.8">
      <c r="V1684" s="661">
        <v>5531</v>
      </c>
      <c r="W1684" s="662">
        <f>+SUMIF(SYS_cliente!$F$5:$F$1678,'BCE ABREVIADO'!V1684,SYS_cliente!$I$5:$I$1678)</f>
        <v>0</v>
      </c>
    </row>
    <row r="1685" spans="21:23" ht="13.8">
      <c r="V1685" s="661">
        <v>5533</v>
      </c>
      <c r="W1685" s="662">
        <f>+SUMIF(SYS_cliente!$F$5:$F$1678,'BCE ABREVIADO'!V1685,SYS_cliente!$I$5:$I$1678)</f>
        <v>0</v>
      </c>
    </row>
    <row r="1686" spans="21:23" ht="13.8">
      <c r="U1686" s="722" t="s">
        <v>133</v>
      </c>
      <c r="V1686" s="653" t="s">
        <v>41</v>
      </c>
      <c r="W1686" s="654">
        <f>SUM(W1687:W1706)</f>
        <v>3429.58</v>
      </c>
    </row>
    <row r="1687" spans="21:23" ht="13.8">
      <c r="V1687" s="661">
        <v>4600</v>
      </c>
      <c r="W1687" s="662">
        <f>+SUMIF(SYS_cliente!$F$5:$F$1678,'BCE ABREVIADO'!V1687,SYS_cliente!$I$5:$I$1678)</f>
        <v>525</v>
      </c>
    </row>
    <row r="1688" spans="21:23" ht="13.8">
      <c r="V1688" s="661">
        <v>4601</v>
      </c>
      <c r="W1688" s="662">
        <f>+SUMIF(SYS_cliente!$F$5:$F$1678,'BCE ABREVIADO'!V1688,SYS_cliente!$I$5:$I$1678)</f>
        <v>0</v>
      </c>
    </row>
    <row r="1689" spans="21:23" ht="13.8">
      <c r="V1689" s="661">
        <v>4602</v>
      </c>
      <c r="W1689" s="662">
        <f>+SUMIF(SYS_cliente!$F$5:$F$1678,'BCE ABREVIADO'!V1689,SYS_cliente!$I$5:$I$1678)</f>
        <v>0</v>
      </c>
    </row>
    <row r="1690" spans="21:23" ht="13.8">
      <c r="V1690" s="661">
        <v>4603</v>
      </c>
      <c r="W1690" s="662">
        <f>+SUMIF(SYS_cliente!$F$5:$F$1678,'BCE ABREVIADO'!V1690,SYS_cliente!$I$5:$I$1678)</f>
        <v>0</v>
      </c>
    </row>
    <row r="1691" spans="21:23" ht="13.8">
      <c r="V1691" s="661">
        <v>4604</v>
      </c>
      <c r="W1691" s="662">
        <f>+SUMIF(SYS_cliente!$F$5:$F$1678,'BCE ABREVIADO'!V1691,SYS_cliente!$I$5:$I$1678)</f>
        <v>0</v>
      </c>
    </row>
    <row r="1692" spans="21:23" ht="13.8">
      <c r="V1692" s="661">
        <v>4605</v>
      </c>
      <c r="W1692" s="662">
        <f>+SUMIF(SYS_cliente!$F$5:$F$1678,'BCE ABREVIADO'!V1692,SYS_cliente!$I$5:$I$1678)</f>
        <v>0</v>
      </c>
    </row>
    <row r="1693" spans="21:23" ht="13.8">
      <c r="V1693" s="661">
        <v>4606</v>
      </c>
      <c r="W1693" s="662">
        <f>+SUMIF(SYS_cliente!$F$5:$F$1678,'BCE ABREVIADO'!V1693,SYS_cliente!$I$5:$I$1678)</f>
        <v>0</v>
      </c>
    </row>
    <row r="1694" spans="21:23" ht="13.8">
      <c r="V1694" s="661">
        <v>4607</v>
      </c>
      <c r="W1694" s="662">
        <f>+SUMIF(SYS_cliente!$F$5:$F$1678,'BCE ABREVIADO'!V1694,SYS_cliente!$I$5:$I$1678)</f>
        <v>0</v>
      </c>
    </row>
    <row r="1695" spans="21:23" ht="13.8">
      <c r="V1695" s="661">
        <v>4608</v>
      </c>
      <c r="W1695" s="662">
        <f>+SUMIF(SYS_cliente!$F$5:$F$1678,'BCE ABREVIADO'!V1695,SYS_cliente!$I$5:$I$1678)</f>
        <v>0</v>
      </c>
    </row>
    <row r="1696" spans="21:23" ht="13.8">
      <c r="V1696" s="661">
        <v>4609</v>
      </c>
      <c r="W1696" s="662">
        <f>+SUMIF(SYS_cliente!$F$5:$F$1678,'BCE ABREVIADO'!V1696,SYS_cliente!$I$5:$I$1678)</f>
        <v>0</v>
      </c>
    </row>
    <row r="1697" spans="21:23" ht="13.8">
      <c r="V1697" s="661">
        <v>5440</v>
      </c>
      <c r="W1697" s="662">
        <f>+SUMIF(SYS_cliente!$F$5:$F$1678,'BCE ABREVIADO'!V1697,SYS_cliente!$I$5:$I$1678)</f>
        <v>2904.58</v>
      </c>
    </row>
    <row r="1698" spans="21:23" ht="13.8">
      <c r="V1698" s="661">
        <v>5441</v>
      </c>
      <c r="W1698" s="662">
        <f>+SUMIF(SYS_cliente!$F$5:$F$1678,'BCE ABREVIADO'!V1698,SYS_cliente!$I$5:$I$1678)</f>
        <v>0</v>
      </c>
    </row>
    <row r="1699" spans="21:23" ht="13.8">
      <c r="V1699" s="661">
        <v>5442</v>
      </c>
      <c r="W1699" s="662">
        <f>+SUMIF(SYS_cliente!$F$5:$F$1678,'BCE ABREVIADO'!V1699,SYS_cliente!$I$5:$I$1678)</f>
        <v>0</v>
      </c>
    </row>
    <row r="1700" spans="21:23" ht="13.8">
      <c r="V1700" s="661">
        <v>5443</v>
      </c>
      <c r="W1700" s="662">
        <f>+SUMIF(SYS_cliente!$F$5:$F$1678,'BCE ABREVIADO'!V1700,SYS_cliente!$I$5:$I$1678)</f>
        <v>0</v>
      </c>
    </row>
    <row r="1701" spans="21:23" ht="13.8">
      <c r="V1701" s="661">
        <v>5444</v>
      </c>
      <c r="W1701" s="662">
        <f>+SUMIF(SYS_cliente!$F$5:$F$1678,'BCE ABREVIADO'!V1701,SYS_cliente!$I$5:$I$1678)</f>
        <v>0</v>
      </c>
    </row>
    <row r="1702" spans="21:23" ht="13.8">
      <c r="V1702" s="661">
        <v>5445</v>
      </c>
      <c r="W1702" s="662">
        <f>+SUMIF(SYS_cliente!$F$5:$F$1678,'BCE ABREVIADO'!V1702,SYS_cliente!$I$5:$I$1678)</f>
        <v>0</v>
      </c>
    </row>
    <row r="1703" spans="21:23" ht="13.8">
      <c r="V1703" s="661">
        <v>5446</v>
      </c>
      <c r="W1703" s="662">
        <f>+SUMIF(SYS_cliente!$F$5:$F$1678,'BCE ABREVIADO'!V1703,SYS_cliente!$I$5:$I$1678)</f>
        <v>0</v>
      </c>
    </row>
    <row r="1704" spans="21:23" ht="13.8">
      <c r="V1704" s="661">
        <v>5447</v>
      </c>
      <c r="W1704" s="662">
        <f>+SUMIF(SYS_cliente!$F$5:$F$1678,'BCE ABREVIADO'!V1704,SYS_cliente!$I$5:$I$1678)</f>
        <v>0</v>
      </c>
    </row>
    <row r="1705" spans="21:23" ht="13.8">
      <c r="V1705" s="661">
        <v>5448</v>
      </c>
      <c r="W1705" s="662">
        <f>+SUMIF(SYS_cliente!$F$5:$F$1678,'BCE ABREVIADO'!V1705,SYS_cliente!$I$5:$I$1678)</f>
        <v>0</v>
      </c>
    </row>
    <row r="1706" spans="21:23" ht="13.8">
      <c r="V1706" s="661">
        <v>5449</v>
      </c>
      <c r="W1706" s="662">
        <f>+SUMIF(SYS_cliente!$F$5:$F$1678,'BCE ABREVIADO'!V1706,SYS_cliente!$I$5:$I$1678)</f>
        <v>0</v>
      </c>
    </row>
    <row r="1707" spans="21:23" ht="13.8">
      <c r="U1707" s="722">
        <v>4709</v>
      </c>
      <c r="V1707" s="653" t="s">
        <v>42</v>
      </c>
      <c r="W1707" s="654">
        <f>SUM(W1708)</f>
        <v>1119251.58</v>
      </c>
    </row>
    <row r="1708" spans="21:23" ht="13.8">
      <c r="U1708" s="722"/>
      <c r="V1708" s="661">
        <v>4709</v>
      </c>
      <c r="W1708" s="662">
        <f>+SUMIF(SYS_cliente!$F$5:$F$1678,'BCE ABREVIADO'!V1708,SYS_cliente!$I$5:$I$1678)</f>
        <v>1119251.58</v>
      </c>
    </row>
    <row r="1709" spans="21:23" ht="13.8">
      <c r="U1709" s="722" t="s">
        <v>1553</v>
      </c>
      <c r="V1709" s="653" t="s">
        <v>43</v>
      </c>
      <c r="W1709" s="654">
        <f>SUM(W1710:W1741)</f>
        <v>4509891.3</v>
      </c>
    </row>
    <row r="1710" spans="21:23" ht="13.8">
      <c r="U1710" s="722"/>
      <c r="V1710" s="661">
        <v>4700</v>
      </c>
      <c r="W1710" s="662">
        <f>+SUMIF(SYS_cliente!$F$5:$F$1678,'BCE ABREVIADO'!V1710,SYS_cliente!$I$5:$I$1678)</f>
        <v>0</v>
      </c>
    </row>
    <row r="1711" spans="21:23" ht="13.8">
      <c r="U1711" s="722"/>
      <c r="V1711" s="661">
        <v>4708</v>
      </c>
      <c r="W1711" s="662">
        <f>+SUMIF(SYS_cliente!$F$5:$F$1678,'BCE ABREVIADO'!V1711,SYS_cliente!$I$5:$I$1678)</f>
        <v>0</v>
      </c>
    </row>
    <row r="1712" spans="21:23" ht="13.8">
      <c r="U1712" s="722"/>
      <c r="V1712" s="661">
        <v>4710</v>
      </c>
      <c r="W1712" s="662">
        <f>+SUMIF(SYS_cliente!$F$5:$F$1678,'BCE ABREVIADO'!V1712,SYS_cliente!$I$5:$I$1678)</f>
        <v>0</v>
      </c>
    </row>
    <row r="1713" spans="21:23" ht="13.8">
      <c r="U1713" s="722"/>
      <c r="V1713" s="661">
        <v>4711</v>
      </c>
      <c r="W1713" s="662">
        <f>+SUMIF(SYS_cliente!$F$5:$F$1678,'BCE ABREVIADO'!V1713,SYS_cliente!$I$5:$I$1678)</f>
        <v>0</v>
      </c>
    </row>
    <row r="1714" spans="21:23" ht="13.8">
      <c r="U1714" s="722"/>
      <c r="V1714" s="661">
        <v>4712</v>
      </c>
      <c r="W1714" s="662">
        <f>+SUMIF(SYS_cliente!$F$5:$F$1678,'BCE ABREVIADO'!V1714,SYS_cliente!$I$5:$I$1678)</f>
        <v>0</v>
      </c>
    </row>
    <row r="1715" spans="21:23" ht="13.8">
      <c r="U1715" s="722"/>
      <c r="V1715" s="661">
        <v>4713</v>
      </c>
      <c r="W1715" s="662">
        <f>+SUMIF(SYS_cliente!$F$5:$F$1678,'BCE ABREVIADO'!V1715,SYS_cliente!$I$5:$I$1678)</f>
        <v>0</v>
      </c>
    </row>
    <row r="1716" spans="21:23" ht="13.8">
      <c r="U1716" s="722"/>
      <c r="V1716" s="661">
        <v>4714</v>
      </c>
      <c r="W1716" s="662">
        <f>+SUMIF(SYS_cliente!$F$5:$F$1678,'BCE ABREVIADO'!V1716,SYS_cliente!$I$5:$I$1678)</f>
        <v>0</v>
      </c>
    </row>
    <row r="1717" spans="21:23" ht="13.8">
      <c r="U1717" s="722"/>
      <c r="V1717" s="661">
        <v>4715</v>
      </c>
      <c r="W1717" s="662">
        <f>+SUMIF(SYS_cliente!$F$5:$F$1678,'BCE ABREVIADO'!V1717,SYS_cliente!$I$5:$I$1678)</f>
        <v>0</v>
      </c>
    </row>
    <row r="1718" spans="21:23" ht="13.8">
      <c r="U1718" s="722"/>
      <c r="V1718" s="661">
        <v>4716</v>
      </c>
      <c r="W1718" s="662">
        <f>+SUMIF(SYS_cliente!$F$5:$F$1678,'BCE ABREVIADO'!V1718,SYS_cliente!$I$5:$I$1678)</f>
        <v>0</v>
      </c>
    </row>
    <row r="1719" spans="21:23" ht="13.8">
      <c r="U1719" s="722"/>
      <c r="V1719" s="661">
        <v>4717</v>
      </c>
      <c r="W1719" s="662">
        <f>+SUMIF(SYS_cliente!$F$5:$F$1678,'BCE ABREVIADO'!V1719,SYS_cliente!$I$5:$I$1678)</f>
        <v>0</v>
      </c>
    </row>
    <row r="1720" spans="21:23" ht="13.8">
      <c r="U1720" s="722"/>
      <c r="V1720" s="661">
        <v>4718</v>
      </c>
      <c r="W1720" s="662">
        <f>+SUMIF(SYS_cliente!$F$5:$F$1678,'BCE ABREVIADO'!V1720,SYS_cliente!$I$5:$I$1678)</f>
        <v>0</v>
      </c>
    </row>
    <row r="1721" spans="21:23" ht="13.8">
      <c r="U1721" s="722"/>
      <c r="V1721" s="661">
        <v>4719</v>
      </c>
      <c r="W1721" s="662">
        <f>+SUMIF(SYS_cliente!$F$5:$F$1678,'BCE ABREVIADO'!V1721,SYS_cliente!$I$5:$I$1678)</f>
        <v>0</v>
      </c>
    </row>
    <row r="1722" spans="21:23" ht="13.8">
      <c r="U1722" s="722"/>
      <c r="V1722" s="661">
        <v>4720</v>
      </c>
      <c r="W1722" s="662">
        <f>+SUMIF(SYS_cliente!$F$5:$F$1678,'BCE ABREVIADO'!V1722,SYS_cliente!$I$5:$I$1678)</f>
        <v>0</v>
      </c>
    </row>
    <row r="1723" spans="21:23" ht="13.8">
      <c r="U1723" s="722"/>
      <c r="V1723" s="661">
        <v>4721</v>
      </c>
      <c r="W1723" s="662">
        <f>+SUMIF(SYS_cliente!$F$5:$F$1678,'BCE ABREVIADO'!V1723,SYS_cliente!$I$5:$I$1678)</f>
        <v>0</v>
      </c>
    </row>
    <row r="1724" spans="21:23" ht="13.8">
      <c r="U1724" s="722"/>
      <c r="V1724" s="661">
        <v>4722</v>
      </c>
      <c r="W1724" s="662">
        <f>+SUMIF(SYS_cliente!$F$5:$F$1678,'BCE ABREVIADO'!V1724,SYS_cliente!$I$5:$I$1678)</f>
        <v>0</v>
      </c>
    </row>
    <row r="1725" spans="21:23" ht="13.8">
      <c r="U1725" s="722"/>
      <c r="V1725" s="661">
        <v>4723</v>
      </c>
      <c r="W1725" s="662">
        <f>+SUMIF(SYS_cliente!$F$5:$F$1678,'BCE ABREVIADO'!V1725,SYS_cliente!$I$5:$I$1678)</f>
        <v>0</v>
      </c>
    </row>
    <row r="1726" spans="21:23" ht="13.8">
      <c r="U1726" s="722"/>
      <c r="V1726" s="661">
        <v>4724</v>
      </c>
      <c r="W1726" s="662">
        <f>+SUMIF(SYS_cliente!$F$5:$F$1678,'BCE ABREVIADO'!V1726,SYS_cliente!$I$5:$I$1678)</f>
        <v>0</v>
      </c>
    </row>
    <row r="1727" spans="21:23" ht="13.8">
      <c r="U1727" s="722"/>
      <c r="V1727" s="661">
        <v>4725</v>
      </c>
      <c r="W1727" s="662">
        <f>+SUMIF(SYS_cliente!$F$5:$F$1678,'BCE ABREVIADO'!V1727,SYS_cliente!$I$5:$I$1678)</f>
        <v>0</v>
      </c>
    </row>
    <row r="1728" spans="21:23" ht="13.8">
      <c r="U1728" s="722"/>
      <c r="V1728" s="661">
        <v>4726</v>
      </c>
      <c r="W1728" s="662">
        <f>+SUMIF(SYS_cliente!$F$5:$F$1678,'BCE ABREVIADO'!V1728,SYS_cliente!$I$5:$I$1678)</f>
        <v>0</v>
      </c>
    </row>
    <row r="1729" spans="21:23" ht="13.8">
      <c r="U1729" s="722"/>
      <c r="V1729" s="661">
        <v>4727</v>
      </c>
      <c r="W1729" s="662">
        <f>+SUMIF(SYS_cliente!$F$5:$F$1678,'BCE ABREVIADO'!V1729,SYS_cliente!$I$5:$I$1678)</f>
        <v>0</v>
      </c>
    </row>
    <row r="1730" spans="21:23" ht="13.8">
      <c r="U1730" s="722"/>
      <c r="V1730" s="661">
        <v>4728</v>
      </c>
      <c r="W1730" s="662">
        <f>+SUMIF(SYS_cliente!$F$5:$F$1678,'BCE ABREVIADO'!V1730,SYS_cliente!$I$5:$I$1678)</f>
        <v>0</v>
      </c>
    </row>
    <row r="1731" spans="21:23" ht="13.8">
      <c r="U1731" s="722"/>
      <c r="V1731" s="661">
        <v>4729</v>
      </c>
      <c r="W1731" s="662">
        <f>+SUMIF(SYS_cliente!$F$5:$F$1678,'BCE ABREVIADO'!V1731,SYS_cliente!$I$5:$I$1678)</f>
        <v>0</v>
      </c>
    </row>
    <row r="1732" spans="21:23" ht="13.8">
      <c r="U1732" s="722"/>
      <c r="V1732" s="661">
        <v>4730</v>
      </c>
      <c r="W1732" s="662">
        <f>+SUMIF(SYS_cliente!$F$5:$F$1678,'BCE ABREVIADO'!V1732,SYS_cliente!$I$5:$I$1678)</f>
        <v>434743.87</v>
      </c>
    </row>
    <row r="1733" spans="21:23" ht="13.8">
      <c r="U1733" s="722"/>
      <c r="V1733" s="661">
        <v>4731</v>
      </c>
      <c r="W1733" s="662">
        <f>+SUMIF(SYS_cliente!$F$5:$F$1678,'BCE ABREVIADO'!V1733,SYS_cliente!$I$5:$I$1678)</f>
        <v>4088.9399999999996</v>
      </c>
    </row>
    <row r="1734" spans="21:23" ht="13.8">
      <c r="U1734" s="722"/>
      <c r="V1734" s="661">
        <v>4732</v>
      </c>
      <c r="W1734" s="662">
        <f>+SUMIF(SYS_cliente!$F$5:$F$1678,'BCE ABREVIADO'!V1734,SYS_cliente!$I$5:$I$1678)</f>
        <v>826496.48999999987</v>
      </c>
    </row>
    <row r="1735" spans="21:23" ht="13.8">
      <c r="U1735" s="722"/>
      <c r="V1735" s="661">
        <v>4733</v>
      </c>
      <c r="W1735" s="662">
        <f>+SUMIF(SYS_cliente!$F$5:$F$1678,'BCE ABREVIADO'!V1735,SYS_cliente!$I$5:$I$1678)</f>
        <v>0</v>
      </c>
    </row>
    <row r="1736" spans="21:23" ht="13.8">
      <c r="U1736" s="722"/>
      <c r="V1736" s="661">
        <v>4734</v>
      </c>
      <c r="W1736" s="662">
        <f>+SUMIF(SYS_cliente!$F$5:$F$1678,'BCE ABREVIADO'!V1736,SYS_cliente!$I$5:$I$1678)</f>
        <v>0</v>
      </c>
    </row>
    <row r="1737" spans="21:23" ht="13.8">
      <c r="U1737" s="722"/>
      <c r="V1737" s="661">
        <v>4735</v>
      </c>
      <c r="W1737" s="662">
        <f>+SUMIF(SYS_cliente!$F$5:$F$1678,'BCE ABREVIADO'!V1737,SYS_cliente!$I$5:$I$1678)</f>
        <v>3244562</v>
      </c>
    </row>
    <row r="1738" spans="21:23" ht="13.8">
      <c r="U1738" s="722"/>
      <c r="V1738" s="661">
        <v>4736</v>
      </c>
      <c r="W1738" s="662">
        <f>+SUMIF(SYS_cliente!$F$5:$F$1678,'BCE ABREVIADO'!V1738,SYS_cliente!$I$5:$I$1678)</f>
        <v>0</v>
      </c>
    </row>
    <row r="1739" spans="21:23" ht="13.8">
      <c r="U1739" s="722"/>
      <c r="V1739" s="661">
        <v>4737</v>
      </c>
      <c r="W1739" s="662">
        <f>+SUMIF(SYS_cliente!$F$5:$F$1678,'BCE ABREVIADO'!V1739,SYS_cliente!$I$5:$I$1678)</f>
        <v>0</v>
      </c>
    </row>
    <row r="1740" spans="21:23" ht="13.8">
      <c r="U1740" s="722"/>
      <c r="V1740" s="661">
        <v>4738</v>
      </c>
      <c r="W1740" s="662">
        <f>+SUMIF(SYS_cliente!$F$5:$F$1678,'BCE ABREVIADO'!V1740,SYS_cliente!$I$5:$I$1678)</f>
        <v>0</v>
      </c>
    </row>
    <row r="1741" spans="21:23" ht="13.8">
      <c r="U1741" s="722"/>
      <c r="V1741" s="661">
        <v>4739</v>
      </c>
      <c r="W1741" s="662">
        <f>+SUMIF(SYS_cliente!$F$5:$F$1678,'BCE ABREVIADO'!V1741,SYS_cliente!$I$5:$I$1678)</f>
        <v>0</v>
      </c>
    </row>
    <row r="1742" spans="21:23" ht="13.8">
      <c r="U1742" s="722">
        <v>5580</v>
      </c>
      <c r="V1742" s="653" t="s">
        <v>44</v>
      </c>
      <c r="W1742" s="654">
        <f>SUM(W1743)</f>
        <v>0</v>
      </c>
    </row>
    <row r="1743" spans="21:23" ht="13.8">
      <c r="U1743" s="722"/>
      <c r="V1743" s="661">
        <v>5580</v>
      </c>
      <c r="W1743" s="662">
        <f>+SUMIF(SYS_cliente!$F$5:$F$1678,'BCE ABREVIADO'!V1743,SYS_cliente!$I$5:$I$1678)</f>
        <v>0</v>
      </c>
    </row>
    <row r="1744" spans="21:23" ht="13.8">
      <c r="U1744" s="699"/>
      <c r="V1744" s="664" t="s">
        <v>45</v>
      </c>
    </row>
    <row r="1745" spans="21:23" ht="13.8">
      <c r="U1745" s="722" t="s">
        <v>134</v>
      </c>
      <c r="V1745" s="653" t="s">
        <v>20</v>
      </c>
      <c r="W1745" s="654">
        <f>SUM(W1746:W1759)</f>
        <v>0</v>
      </c>
    </row>
    <row r="1746" spans="21:23" ht="13.8">
      <c r="U1746" s="722"/>
      <c r="V1746" s="661">
        <v>5303</v>
      </c>
      <c r="W1746" s="662">
        <f>+SUMIF(SYS_cliente!$F$5:$F$1678,'BCE ABREVIADO'!V1746,SYS_cliente!$I$5:$I$1678)</f>
        <v>0</v>
      </c>
    </row>
    <row r="1747" spans="21:23" ht="13.8">
      <c r="U1747" s="722"/>
      <c r="V1747" s="661">
        <v>5304</v>
      </c>
      <c r="W1747" s="662">
        <f>+SUMIF(SYS_cliente!$F$5:$F$1678,'BCE ABREVIADO'!V1747,SYS_cliente!$I$5:$I$1678)</f>
        <v>0</v>
      </c>
    </row>
    <row r="1748" spans="21:23" ht="13.8">
      <c r="U1748" s="722"/>
      <c r="V1748" s="661">
        <v>5393</v>
      </c>
      <c r="W1748" s="662">
        <f>+SUMIF(SYS_cliente!$F$5:$F$1678,'BCE ABREVIADO'!V1748,SYS_cliente!$I$5:$I$1678)</f>
        <v>0</v>
      </c>
    </row>
    <row r="1749" spans="21:23" ht="13.8">
      <c r="U1749" s="722"/>
      <c r="V1749" s="661">
        <v>5394</v>
      </c>
      <c r="W1749" s="662">
        <f>+SUMIF(SYS_cliente!$F$5:$F$1678,'BCE ABREVIADO'!V1749,SYS_cliente!$I$5:$I$1678)</f>
        <v>0</v>
      </c>
    </row>
    <row r="1750" spans="21:23" ht="13.8">
      <c r="U1750" s="722"/>
      <c r="V1750" s="661">
        <v>5930</v>
      </c>
      <c r="W1750" s="662">
        <f>+SUMIF(SYS_cliente!$F$5:$F$1678,'BCE ABREVIADO'!V1750,SYS_cliente!$I$5:$I$1678)</f>
        <v>0</v>
      </c>
    </row>
    <row r="1751" spans="21:23" ht="13.8">
      <c r="U1751" s="722"/>
      <c r="V1751" s="661">
        <v>5931</v>
      </c>
      <c r="W1751" s="662">
        <f>+SUMIF(SYS_cliente!$F$5:$F$1678,'BCE ABREVIADO'!V1751,SYS_cliente!$I$5:$I$1678)</f>
        <v>0</v>
      </c>
    </row>
    <row r="1752" spans="21:23" ht="13.8">
      <c r="U1752" s="722"/>
      <c r="V1752" s="661">
        <v>5932</v>
      </c>
      <c r="W1752" s="662">
        <f>+SUMIF(SYS_cliente!$F$5:$F$1678,'BCE ABREVIADO'!V1752,SYS_cliente!$I$5:$I$1678)</f>
        <v>0</v>
      </c>
    </row>
    <row r="1753" spans="21:23" ht="13.8">
      <c r="U1753" s="722"/>
      <c r="V1753" s="661">
        <v>5933</v>
      </c>
      <c r="W1753" s="662">
        <f>+SUMIF(SYS_cliente!$F$5:$F$1678,'BCE ABREVIADO'!V1753,SYS_cliente!$I$5:$I$1678)</f>
        <v>0</v>
      </c>
    </row>
    <row r="1754" spans="21:23" ht="13.8">
      <c r="U1754" s="722"/>
      <c r="V1754" s="661">
        <v>5934</v>
      </c>
      <c r="W1754" s="662">
        <f>+SUMIF(SYS_cliente!$F$5:$F$1678,'BCE ABREVIADO'!V1754,SYS_cliente!$I$5:$I$1678)</f>
        <v>0</v>
      </c>
    </row>
    <row r="1755" spans="21:23" ht="13.8">
      <c r="U1755" s="722"/>
      <c r="V1755" s="661">
        <v>5935</v>
      </c>
      <c r="W1755" s="662">
        <f>+SUMIF(SYS_cliente!$F$5:$F$1678,'BCE ABREVIADO'!V1755,SYS_cliente!$I$5:$I$1678)</f>
        <v>0</v>
      </c>
    </row>
    <row r="1756" spans="21:23" ht="13.8">
      <c r="U1756" s="722"/>
      <c r="V1756" s="661">
        <v>5936</v>
      </c>
      <c r="W1756" s="662">
        <f>+SUMIF(SYS_cliente!$F$5:$F$1678,'BCE ABREVIADO'!V1756,SYS_cliente!$I$5:$I$1678)</f>
        <v>0</v>
      </c>
    </row>
    <row r="1757" spans="21:23" ht="13.8">
      <c r="U1757" s="722"/>
      <c r="V1757" s="661">
        <v>5937</v>
      </c>
      <c r="W1757" s="662">
        <f>+SUMIF(SYS_cliente!$F$5:$F$1678,'BCE ABREVIADO'!V1757,SYS_cliente!$I$5:$I$1678)</f>
        <v>0</v>
      </c>
    </row>
    <row r="1758" spans="21:23" ht="13.8">
      <c r="U1758" s="722"/>
      <c r="V1758" s="661">
        <v>5938</v>
      </c>
      <c r="W1758" s="662">
        <f>+SUMIF(SYS_cliente!$F$5:$F$1678,'BCE ABREVIADO'!V1758,SYS_cliente!$I$5:$I$1678)</f>
        <v>0</v>
      </c>
    </row>
    <row r="1759" spans="21:23" ht="13.8">
      <c r="U1759" s="722"/>
      <c r="V1759" s="661">
        <v>5939</v>
      </c>
      <c r="W1759" s="662">
        <f>+SUMIF(SYS_cliente!$F$5:$F$1678,'BCE ABREVIADO'!V1759,SYS_cliente!$I$5:$I$1678)</f>
        <v>0</v>
      </c>
    </row>
    <row r="1760" spans="21:23" ht="13.8">
      <c r="U1760" s="722" t="s">
        <v>135</v>
      </c>
      <c r="V1760" s="653" t="s">
        <v>21</v>
      </c>
      <c r="W1760" s="654">
        <f>SUM(W1761:W1766)</f>
        <v>0</v>
      </c>
    </row>
    <row r="1761" spans="21:23" ht="13.8">
      <c r="U1761" s="722"/>
      <c r="V1761" s="661">
        <v>5323</v>
      </c>
      <c r="W1761" s="662">
        <f>+SUMIF(SYS_cliente!$F$5:$F$1678,'BCE ABREVIADO'!V1761,SYS_cliente!$I$5:$I$1678)</f>
        <v>0</v>
      </c>
    </row>
    <row r="1762" spans="21:23" ht="13.8">
      <c r="U1762" s="722"/>
      <c r="V1762" s="661">
        <v>5324</v>
      </c>
      <c r="W1762" s="662">
        <f>+SUMIF(SYS_cliente!$F$5:$F$1678,'BCE ABREVIADO'!V1762,SYS_cliente!$I$5:$I$1678)</f>
        <v>0</v>
      </c>
    </row>
    <row r="1763" spans="21:23" ht="13.8">
      <c r="U1763" s="722"/>
      <c r="V1763" s="661">
        <v>5343</v>
      </c>
      <c r="W1763" s="662">
        <f>+SUMIF(SYS_cliente!$F$5:$F$1678,'BCE ABREVIADO'!V1763,SYS_cliente!$I$5:$I$1678)</f>
        <v>0</v>
      </c>
    </row>
    <row r="1764" spans="21:23" ht="13.8">
      <c r="U1764" s="722"/>
      <c r="V1764" s="661">
        <v>5344</v>
      </c>
      <c r="W1764" s="662">
        <f>+SUMIF(SYS_cliente!$F$5:$F$1678,'BCE ABREVIADO'!V1764,SYS_cliente!$I$5:$I$1678)</f>
        <v>0</v>
      </c>
    </row>
    <row r="1765" spans="21:23" ht="13.8">
      <c r="U1765" s="722"/>
      <c r="V1765" s="661">
        <v>5953</v>
      </c>
      <c r="W1765" s="662">
        <f>+SUMIF(SYS_cliente!$F$5:$F$1678,'BCE ABREVIADO'!V1765,SYS_cliente!$I$5:$I$1678)</f>
        <v>0</v>
      </c>
    </row>
    <row r="1766" spans="21:23" ht="13.8">
      <c r="U1766" s="722"/>
      <c r="V1766" s="661">
        <v>5954</v>
      </c>
      <c r="W1766" s="662">
        <f>+SUMIF(SYS_cliente!$F$5:$F$1678,'BCE ABREVIADO'!V1766,SYS_cliente!$I$5:$I$1678)</f>
        <v>0</v>
      </c>
    </row>
    <row r="1767" spans="21:23" ht="13.8">
      <c r="U1767" s="722" t="s">
        <v>136</v>
      </c>
      <c r="V1767" s="653" t="s">
        <v>22</v>
      </c>
      <c r="W1767" s="654">
        <f>SUM(W1768:W1773)</f>
        <v>0</v>
      </c>
    </row>
    <row r="1768" spans="21:23" ht="13.8">
      <c r="U1768" s="722"/>
      <c r="V1768" s="661">
        <v>5313</v>
      </c>
      <c r="W1768" s="662">
        <f>+SUMIF(SYS_cliente!$F$5:$F$1678,'BCE ABREVIADO'!V1768,SYS_cliente!$I$5:$I$1678)</f>
        <v>0</v>
      </c>
    </row>
    <row r="1769" spans="21:23" ht="13.8">
      <c r="U1769" s="722"/>
      <c r="V1769" s="661">
        <v>5314</v>
      </c>
      <c r="W1769" s="662">
        <f>+SUMIF(SYS_cliente!$F$5:$F$1678,'BCE ABREVIADO'!V1769,SYS_cliente!$I$5:$I$1678)</f>
        <v>0</v>
      </c>
    </row>
    <row r="1770" spans="21:23" ht="13.8">
      <c r="U1770" s="722"/>
      <c r="V1770" s="661">
        <v>5333</v>
      </c>
      <c r="W1770" s="662">
        <f>+SUMIF(SYS_cliente!$F$5:$F$1678,'BCE ABREVIADO'!V1770,SYS_cliente!$I$5:$I$1678)</f>
        <v>0</v>
      </c>
    </row>
    <row r="1771" spans="21:23" ht="13.8">
      <c r="U1771" s="722"/>
      <c r="V1771" s="661">
        <v>5334</v>
      </c>
      <c r="W1771" s="662">
        <f>+SUMIF(SYS_cliente!$F$5:$F$1678,'BCE ABREVIADO'!V1771,SYS_cliente!$I$5:$I$1678)</f>
        <v>0</v>
      </c>
    </row>
    <row r="1772" spans="21:23" ht="13.8">
      <c r="U1772" s="722"/>
      <c r="V1772" s="661">
        <v>5943</v>
      </c>
      <c r="W1772" s="662">
        <f>+SUMIF(SYS_cliente!$F$5:$F$1678,'BCE ABREVIADO'!V1772,SYS_cliente!$I$5:$I$1678)</f>
        <v>0</v>
      </c>
    </row>
    <row r="1773" spans="21:23" ht="13.8">
      <c r="U1773" s="722"/>
      <c r="V1773" s="661">
        <v>5944</v>
      </c>
      <c r="W1773" s="662">
        <f>+SUMIF(SYS_cliente!$F$5:$F$1678,'BCE ABREVIADO'!V1773,SYS_cliente!$I$5:$I$1678)</f>
        <v>0</v>
      </c>
    </row>
    <row r="1774" spans="21:23" ht="13.8">
      <c r="U1774" s="722"/>
      <c r="V1774" s="653" t="s">
        <v>23</v>
      </c>
      <c r="W1774" s="654"/>
    </row>
    <row r="1775" spans="21:23" ht="13.8">
      <c r="U1775" s="722"/>
      <c r="V1775" s="706"/>
    </row>
    <row r="1776" spans="21:23" ht="13.8">
      <c r="U1776" s="722" t="s">
        <v>274</v>
      </c>
      <c r="V1776" s="653" t="s">
        <v>24</v>
      </c>
      <c r="W1776" s="654">
        <f>SUM(W1777:W1795)</f>
        <v>0</v>
      </c>
    </row>
    <row r="1777" spans="22:23" ht="13.8">
      <c r="V1777" s="661">
        <v>5353</v>
      </c>
      <c r="W1777" s="662">
        <f>+SUMIF(SYS_cliente!$F$5:$F$1678,'BCE ABREVIADO'!V1777,SYS_cliente!$I$5:$I$1678)</f>
        <v>0</v>
      </c>
    </row>
    <row r="1778" spans="22:23" ht="13.8">
      <c r="V1778" s="661">
        <v>5354</v>
      </c>
      <c r="W1778" s="662">
        <f>+SUMIF(SYS_cliente!$F$5:$F$1678,'BCE ABREVIADO'!V1778,SYS_cliente!$I$5:$I$1678)</f>
        <v>0</v>
      </c>
    </row>
    <row r="1779" spans="22:23" ht="13.8">
      <c r="V1779" s="723">
        <v>5520</v>
      </c>
      <c r="W1779" s="662">
        <f>IF(+SUMIF(SYS_cliente!$F$5:$F$1678,'BCE ABREVIADO'!V1779,SYS_cliente!$I$5:$I$1678)&gt;0,+SUMIF(SYS_cliente!$F$5:$F$1678,'BCE ABREVIADO'!V1779,SYS_cliente!$I$5:$I$1678),0)</f>
        <v>0</v>
      </c>
    </row>
    <row r="1780" spans="22:23" ht="13.8">
      <c r="V1780" s="723">
        <v>5521</v>
      </c>
      <c r="W1780" s="662">
        <f>IF(+SUMIF(SYS_cliente!$F$5:$F$1678,'BCE ABREVIADO'!V1780,SYS_cliente!$I$5:$I$1678)&gt;0,+SUMIF(SYS_cliente!$F$5:$F$1678,'BCE ABREVIADO'!V1780,SYS_cliente!$I$5:$I$1678),0)</f>
        <v>0</v>
      </c>
    </row>
    <row r="1781" spans="22:23" ht="13.8">
      <c r="V1781" s="723">
        <v>5522</v>
      </c>
      <c r="W1781" s="662">
        <f>IF(+SUMIF(SYS_cliente!$F$5:$F$1678,'BCE ABREVIADO'!V1781,SYS_cliente!$I$5:$I$1678)&gt;0,+SUMIF(SYS_cliente!$F$5:$F$1678,'BCE ABREVIADO'!V1781,SYS_cliente!$I$5:$I$1678),0)</f>
        <v>0</v>
      </c>
    </row>
    <row r="1782" spans="22:23" ht="13.8">
      <c r="V1782" s="723">
        <v>5523</v>
      </c>
      <c r="W1782" s="662">
        <f>IF(+SUMIF(SYS_cliente!$F$5:$F$1678,'BCE ABREVIADO'!V1782,SYS_cliente!$I$5:$I$1678)&gt;0,+SUMIF(SYS_cliente!$F$5:$F$1678,'BCE ABREVIADO'!V1782,SYS_cliente!$I$5:$I$1678),0)</f>
        <v>0</v>
      </c>
    </row>
    <row r="1783" spans="22:23" ht="13.8">
      <c r="V1783" s="723">
        <v>5524</v>
      </c>
      <c r="W1783" s="662">
        <f>IF(+SUMIF(SYS_cliente!$F$5:$F$1678,'BCE ABREVIADO'!V1783,SYS_cliente!$I$5:$I$1678)&gt;0,+SUMIF(SYS_cliente!$F$5:$F$1678,'BCE ABREVIADO'!V1783,SYS_cliente!$I$5:$I$1678),0)</f>
        <v>0</v>
      </c>
    </row>
    <row r="1784" spans="22:23" ht="13.8">
      <c r="V1784" s="723">
        <v>5540</v>
      </c>
      <c r="W1784" s="662">
        <f>IF(+SUMIF(SYS_cliente!$F$5:$F$1678,'BCE ABREVIADO'!V1784,SYS_cliente!$I$5:$I$1678)&gt;0,+SUMIF(SYS_cliente!$F$5:$F$1678,'BCE ABREVIADO'!V1784,SYS_cliente!$I$5:$I$1678),0)</f>
        <v>0</v>
      </c>
    </row>
    <row r="1785" spans="22:23" ht="13.8">
      <c r="V1785" s="723">
        <v>5541</v>
      </c>
      <c r="W1785" s="662">
        <f>IF(+SUMIF(SYS_cliente!$F$5:$F$1678,'BCE ABREVIADO'!V1785,SYS_cliente!$I$5:$I$1678)&gt;0,+SUMIF(SYS_cliente!$F$5:$F$1678,'BCE ABREVIADO'!V1785,SYS_cliente!$I$5:$I$1678),0)</f>
        <v>0</v>
      </c>
    </row>
    <row r="1786" spans="22:23" ht="13.8">
      <c r="V1786" s="723">
        <v>5542</v>
      </c>
      <c r="W1786" s="662">
        <f>IF(+SUMIF(SYS_cliente!$F$5:$F$1678,'BCE ABREVIADO'!V1786,SYS_cliente!$I$5:$I$1678)&gt;0,+SUMIF(SYS_cliente!$F$5:$F$1678,'BCE ABREVIADO'!V1786,SYS_cliente!$I$5:$I$1678),0)</f>
        <v>0</v>
      </c>
    </row>
    <row r="1787" spans="22:23" ht="13.8">
      <c r="V1787" s="723">
        <v>5543</v>
      </c>
      <c r="W1787" s="662">
        <f>IF(+SUMIF(SYS_cliente!$F$5:$F$1678,'BCE ABREVIADO'!V1787,SYS_cliente!$I$5:$I$1678)&gt;0,+SUMIF(SYS_cliente!$F$5:$F$1678,'BCE ABREVIADO'!V1787,SYS_cliente!$I$5:$I$1678),0)</f>
        <v>0</v>
      </c>
    </row>
    <row r="1788" spans="22:23" ht="13.8">
      <c r="V1788" s="723">
        <v>5544</v>
      </c>
      <c r="W1788" s="662">
        <f>IF(+SUMIF(SYS_cliente!$F$5:$F$1678,'BCE ABREVIADO'!V1788,SYS_cliente!$I$5:$I$1678)&gt;0,+SUMIF(SYS_cliente!$F$5:$F$1678,'BCE ABREVIADO'!V1788,SYS_cliente!$I$5:$I$1678),0)</f>
        <v>0</v>
      </c>
    </row>
    <row r="1789" spans="22:23" ht="13.8">
      <c r="V1789" s="723">
        <v>5545</v>
      </c>
      <c r="W1789" s="662">
        <f>IF(+SUMIF(SYS_cliente!$F$5:$F$1678,'BCE ABREVIADO'!V1789,SYS_cliente!$I$5:$I$1678)&gt;0,+SUMIF(SYS_cliente!$F$5:$F$1678,'BCE ABREVIADO'!V1789,SYS_cliente!$I$5:$I$1678),0)</f>
        <v>0</v>
      </c>
    </row>
    <row r="1790" spans="22:23" ht="13.8">
      <c r="V1790" s="723">
        <v>5546</v>
      </c>
      <c r="W1790" s="662">
        <f>IF(+SUMIF(SYS_cliente!$F$5:$F$1678,'BCE ABREVIADO'!V1790,SYS_cliente!$I$5:$I$1678)&gt;0,+SUMIF(SYS_cliente!$F$5:$F$1678,'BCE ABREVIADO'!V1790,SYS_cliente!$I$5:$I$1678),0)</f>
        <v>0</v>
      </c>
    </row>
    <row r="1791" spans="22:23" ht="13.8">
      <c r="V1791" s="723">
        <v>5547</v>
      </c>
      <c r="W1791" s="662">
        <f>IF(+SUMIF(SYS_cliente!$F$5:$F$1678,'BCE ABREVIADO'!V1791,SYS_cliente!$I$5:$I$1678)&gt;0,+SUMIF(SYS_cliente!$F$5:$F$1678,'BCE ABREVIADO'!V1791,SYS_cliente!$I$5:$I$1678),0)</f>
        <v>0</v>
      </c>
    </row>
    <row r="1792" spans="22:23" ht="13.8">
      <c r="V1792" s="723">
        <v>5548</v>
      </c>
      <c r="W1792" s="662">
        <f>IF(+SUMIF(SYS_cliente!$F$5:$F$1678,'BCE ABREVIADO'!V1792,SYS_cliente!$I$5:$I$1678)&gt;0,+SUMIF(SYS_cliente!$F$5:$F$1678,'BCE ABREVIADO'!V1792,SYS_cliente!$I$5:$I$1678),0)</f>
        <v>0</v>
      </c>
    </row>
    <row r="1793" spans="21:23" ht="13.8">
      <c r="V1793" s="723">
        <v>5549</v>
      </c>
      <c r="W1793" s="662">
        <f>IF(+SUMIF(SYS_cliente!$F$5:$F$1678,'BCE ABREVIADO'!V1793,SYS_cliente!$I$5:$I$1678)&gt;0,+SUMIF(SYS_cliente!$F$5:$F$1678,'BCE ABREVIADO'!V1793,SYS_cliente!$I$5:$I$1678),0)</f>
        <v>0</v>
      </c>
    </row>
    <row r="1794" spans="21:23" ht="13.8">
      <c r="V1794" s="723">
        <v>5108</v>
      </c>
      <c r="W1794" s="662">
        <f>IF(+SUMIF(SYS_cliente!$F$5:$F$1678,'BCE ABREVIADO'!V1794,SYS_cliente!$I$5:$I$1678)&gt;0,+SUMIF(SYS_cliente!$F$5:$F$1678,'BCE ABREVIADO'!V1794,SYS_cliente!$I$5:$I$1678),0)</f>
        <v>0</v>
      </c>
    </row>
    <row r="1795" spans="21:23" ht="13.8">
      <c r="V1795" s="723">
        <v>5109</v>
      </c>
      <c r="W1795" s="662">
        <f>IF(+SUMIF(SYS_cliente!$F$5:$F$1678,'BCE ABREVIADO'!V1795,SYS_cliente!$I$5:$I$1678)&gt;0,+SUMIF(SYS_cliente!$F$5:$F$1678,'BCE ABREVIADO'!V1795,SYS_cliente!$I$5:$I$1678),0)</f>
        <v>0</v>
      </c>
    </row>
    <row r="1796" spans="21:23" ht="13.8">
      <c r="V1796" s="664" t="s">
        <v>46</v>
      </c>
      <c r="W1796" s="722"/>
    </row>
    <row r="1797" spans="21:23" ht="13.8">
      <c r="U1797" s="722" t="s">
        <v>137</v>
      </c>
      <c r="V1797" s="653" t="s">
        <v>47</v>
      </c>
      <c r="W1797" s="654">
        <f>SUM(W1798:W1819)</f>
        <v>0</v>
      </c>
    </row>
    <row r="1798" spans="21:23" ht="13.8">
      <c r="U1798" s="722"/>
      <c r="V1798" s="661">
        <v>5305</v>
      </c>
      <c r="W1798" s="662">
        <f>+SUMIF(SYS_cliente!$F$5:$F$1678,'BCE ABREVIADO'!V1798,SYS_cliente!$I$5:$I$1678)</f>
        <v>0</v>
      </c>
    </row>
    <row r="1799" spans="21:23" ht="13.8">
      <c r="U1799" s="722"/>
      <c r="V1799" s="661">
        <v>5400</v>
      </c>
      <c r="W1799" s="662">
        <f>+SUMIF(SYS_cliente!$F$5:$F$1678,'BCE ABREVIADO'!V1799,SYS_cliente!$I$5:$I$1678)</f>
        <v>0</v>
      </c>
    </row>
    <row r="1800" spans="21:23" ht="13.8">
      <c r="U1800" s="722"/>
      <c r="V1800" s="661">
        <v>5401</v>
      </c>
      <c r="W1800" s="662">
        <f>+SUMIF(SYS_cliente!$F$5:$F$1678,'BCE ABREVIADO'!V1800,SYS_cliente!$I$5:$I$1678)</f>
        <v>0</v>
      </c>
    </row>
    <row r="1801" spans="21:23" ht="13.8">
      <c r="U1801" s="722"/>
      <c r="V1801" s="661">
        <v>5402</v>
      </c>
      <c r="W1801" s="662">
        <f>+SUMIF(SYS_cliente!$F$5:$F$1678,'BCE ABREVIADO'!V1801,SYS_cliente!$I$5:$I$1678)</f>
        <v>0</v>
      </c>
    </row>
    <row r="1802" spans="21:23" ht="13.8">
      <c r="U1802" s="722"/>
      <c r="V1802" s="661">
        <v>5403</v>
      </c>
      <c r="W1802" s="662">
        <f>+SUMIF(SYS_cliente!$F$5:$F$1678,'BCE ABREVIADO'!V1802,SYS_cliente!$I$5:$I$1678)</f>
        <v>0</v>
      </c>
    </row>
    <row r="1803" spans="21:23" ht="13.8">
      <c r="U1803" s="722"/>
      <c r="V1803" s="661">
        <v>5404</v>
      </c>
      <c r="W1803" s="662">
        <f>+SUMIF(SYS_cliente!$F$5:$F$1678,'BCE ABREVIADO'!V1803,SYS_cliente!$I$5:$I$1678)</f>
        <v>0</v>
      </c>
    </row>
    <row r="1804" spans="21:23" ht="13.8">
      <c r="U1804" s="722"/>
      <c r="V1804" s="661">
        <v>5405</v>
      </c>
      <c r="W1804" s="662">
        <f>+SUMIF(SYS_cliente!$F$5:$F$1678,'BCE ABREVIADO'!V1804,SYS_cliente!$I$5:$I$1678)</f>
        <v>0</v>
      </c>
    </row>
    <row r="1805" spans="21:23" ht="13.8">
      <c r="U1805" s="722"/>
      <c r="V1805" s="661">
        <v>5406</v>
      </c>
      <c r="W1805" s="662">
        <f>+SUMIF(SYS_cliente!$F$5:$F$1678,'BCE ABREVIADO'!V1805,SYS_cliente!$I$5:$I$1678)</f>
        <v>0</v>
      </c>
    </row>
    <row r="1806" spans="21:23" ht="13.8">
      <c r="U1806" s="722"/>
      <c r="V1806" s="661">
        <v>5407</v>
      </c>
      <c r="W1806" s="662">
        <f>+SUMIF(SYS_cliente!$F$5:$F$1678,'BCE ABREVIADO'!V1806,SYS_cliente!$I$5:$I$1678)</f>
        <v>0</v>
      </c>
    </row>
    <row r="1807" spans="21:23" ht="13.8">
      <c r="U1807" s="722"/>
      <c r="V1807" s="661">
        <v>5408</v>
      </c>
      <c r="W1807" s="662">
        <f>+SUMIF(SYS_cliente!$F$5:$F$1678,'BCE ABREVIADO'!V1807,SYS_cliente!$I$5:$I$1678)</f>
        <v>0</v>
      </c>
    </row>
    <row r="1808" spans="21:23" ht="13.8">
      <c r="U1808" s="722"/>
      <c r="V1808" s="661">
        <v>5409</v>
      </c>
      <c r="W1808" s="662">
        <f>+SUMIF(SYS_cliente!$F$5:$F$1678,'BCE ABREVIADO'!V1808,SYS_cliente!$I$5:$I$1678)</f>
        <v>0</v>
      </c>
    </row>
    <row r="1809" spans="21:23" ht="13.8">
      <c r="U1809" s="722"/>
      <c r="V1809" s="661">
        <v>5395</v>
      </c>
      <c r="W1809" s="662">
        <f>+SUMIF(SYS_cliente!$F$5:$F$1678,'BCE ABREVIADO'!V1809,SYS_cliente!$I$5:$I$1678)</f>
        <v>0</v>
      </c>
    </row>
    <row r="1810" spans="21:23" ht="13.8">
      <c r="U1810" s="722"/>
      <c r="V1810" s="661">
        <v>5490</v>
      </c>
      <c r="W1810" s="662">
        <f>+SUMIF(SYS_cliente!$F$5:$F$1678,'BCE ABREVIADO'!V1810,SYS_cliente!$I$5:$I$1678)</f>
        <v>0</v>
      </c>
    </row>
    <row r="1811" spans="21:23" ht="13.8">
      <c r="U1811" s="722"/>
      <c r="V1811" s="661">
        <v>5491</v>
      </c>
      <c r="W1811" s="662">
        <f>+SUMIF(SYS_cliente!$F$5:$F$1678,'BCE ABREVIADO'!V1811,SYS_cliente!$I$5:$I$1678)</f>
        <v>0</v>
      </c>
    </row>
    <row r="1812" spans="21:23" ht="13.8">
      <c r="U1812" s="722"/>
      <c r="V1812" s="661">
        <v>5492</v>
      </c>
      <c r="W1812" s="662">
        <f>+SUMIF(SYS_cliente!$F$5:$F$1678,'BCE ABREVIADO'!V1812,SYS_cliente!$I$5:$I$1678)</f>
        <v>0</v>
      </c>
    </row>
    <row r="1813" spans="21:23" ht="13.8">
      <c r="U1813" s="722"/>
      <c r="V1813" s="661">
        <v>5493</v>
      </c>
      <c r="W1813" s="662">
        <f>+SUMIF(SYS_cliente!$F$5:$F$1678,'BCE ABREVIADO'!V1813,SYS_cliente!$I$5:$I$1678)</f>
        <v>0</v>
      </c>
    </row>
    <row r="1814" spans="21:23" ht="13.8">
      <c r="U1814" s="722"/>
      <c r="V1814" s="661">
        <v>5494</v>
      </c>
      <c r="W1814" s="662">
        <f>+SUMIF(SYS_cliente!$F$5:$F$1678,'BCE ABREVIADO'!V1814,SYS_cliente!$I$5:$I$1678)</f>
        <v>0</v>
      </c>
    </row>
    <row r="1815" spans="21:23" ht="13.8">
      <c r="U1815" s="722"/>
      <c r="V1815" s="661">
        <v>5495</v>
      </c>
      <c r="W1815" s="662">
        <f>+SUMIF(SYS_cliente!$F$5:$F$1678,'BCE ABREVIADO'!V1815,SYS_cliente!$I$5:$I$1678)</f>
        <v>0</v>
      </c>
    </row>
    <row r="1816" spans="21:23" ht="13.8">
      <c r="U1816" s="722"/>
      <c r="V1816" s="661">
        <v>5496</v>
      </c>
      <c r="W1816" s="662">
        <f>+SUMIF(SYS_cliente!$F$5:$F$1678,'BCE ABREVIADO'!V1816,SYS_cliente!$I$5:$I$1678)</f>
        <v>0</v>
      </c>
    </row>
    <row r="1817" spans="21:23" ht="13.8">
      <c r="U1817" s="722"/>
      <c r="V1817" s="661">
        <v>5497</v>
      </c>
      <c r="W1817" s="662">
        <f>+SUMIF(SYS_cliente!$F$5:$F$1678,'BCE ABREVIADO'!V1817,SYS_cliente!$I$5:$I$1678)</f>
        <v>0</v>
      </c>
    </row>
    <row r="1818" spans="21:23" ht="13.8">
      <c r="U1818" s="722"/>
      <c r="V1818" s="661">
        <v>5498</v>
      </c>
      <c r="W1818" s="662">
        <f>+SUMIF(SYS_cliente!$F$5:$F$1678,'BCE ABREVIADO'!V1818,SYS_cliente!$I$5:$I$1678)</f>
        <v>0</v>
      </c>
    </row>
    <row r="1819" spans="21:23" ht="13.8">
      <c r="U1819" s="722"/>
      <c r="V1819" s="661">
        <v>5499</v>
      </c>
      <c r="W1819" s="662">
        <f>+SUMIF(SYS_cliente!$F$5:$F$1678,'BCE ABREVIADO'!V1819,SYS_cliente!$I$5:$I$1678)</f>
        <v>0</v>
      </c>
    </row>
    <row r="1820" spans="21:23" ht="13.8">
      <c r="U1820" s="722" t="s">
        <v>138</v>
      </c>
      <c r="V1820" s="653" t="s">
        <v>21</v>
      </c>
      <c r="W1820" s="654">
        <f>SUM(W1821:W1863)</f>
        <v>0</v>
      </c>
    </row>
    <row r="1821" spans="21:23" ht="13.8">
      <c r="U1821" s="722"/>
      <c r="V1821" s="661">
        <v>5325</v>
      </c>
      <c r="W1821" s="662">
        <f>+SUMIF(SYS_cliente!$F$5:$F$1678,'BCE ABREVIADO'!V1821,SYS_cliente!$I$5:$I$1678)</f>
        <v>0</v>
      </c>
    </row>
    <row r="1822" spans="21:23" ht="13.8">
      <c r="U1822" s="722"/>
      <c r="V1822" s="661">
        <v>5345</v>
      </c>
      <c r="W1822" s="662">
        <f>+SUMIF(SYS_cliente!$F$5:$F$1678,'BCE ABREVIADO'!V1822,SYS_cliente!$I$5:$I$1678)</f>
        <v>0</v>
      </c>
    </row>
    <row r="1823" spans="21:23" ht="13.8">
      <c r="U1823" s="722"/>
      <c r="V1823" s="661">
        <v>5420</v>
      </c>
      <c r="W1823" s="662">
        <f>+SUMIF(SYS_cliente!$F$5:$F$1678,'BCE ABREVIADO'!V1823,SYS_cliente!$I$5:$I$1678)</f>
        <v>0</v>
      </c>
    </row>
    <row r="1824" spans="21:23" ht="13.8">
      <c r="U1824" s="722"/>
      <c r="V1824" s="661">
        <v>5421</v>
      </c>
      <c r="W1824" s="662">
        <f>+SUMIF(SYS_cliente!$F$5:$F$1678,'BCE ABREVIADO'!V1824,SYS_cliente!$I$5:$I$1678)</f>
        <v>0</v>
      </c>
    </row>
    <row r="1825" spans="21:23" ht="13.8">
      <c r="U1825" s="722"/>
      <c r="V1825" s="661">
        <v>5422</v>
      </c>
      <c r="W1825" s="662">
        <f>+SUMIF(SYS_cliente!$F$5:$F$1678,'BCE ABREVIADO'!V1825,SYS_cliente!$I$5:$I$1678)</f>
        <v>0</v>
      </c>
    </row>
    <row r="1826" spans="21:23" ht="13.8">
      <c r="U1826" s="722"/>
      <c r="V1826" s="661">
        <v>5423</v>
      </c>
      <c r="W1826" s="662">
        <f>+SUMIF(SYS_cliente!$F$5:$F$1678,'BCE ABREVIADO'!V1826,SYS_cliente!$I$5:$I$1678)</f>
        <v>0</v>
      </c>
    </row>
    <row r="1827" spans="21:23" ht="13.8">
      <c r="U1827" s="722"/>
      <c r="V1827" s="661">
        <v>5424</v>
      </c>
      <c r="W1827" s="662">
        <f>+SUMIF(SYS_cliente!$F$5:$F$1678,'BCE ABREVIADO'!V1827,SYS_cliente!$I$5:$I$1678)</f>
        <v>0</v>
      </c>
    </row>
    <row r="1828" spans="21:23" ht="13.8">
      <c r="U1828" s="722"/>
      <c r="V1828" s="661">
        <v>5425</v>
      </c>
      <c r="W1828" s="662">
        <f>+SUMIF(SYS_cliente!$F$5:$F$1678,'BCE ABREVIADO'!V1828,SYS_cliente!$I$5:$I$1678)</f>
        <v>0</v>
      </c>
    </row>
    <row r="1829" spans="21:23" ht="13.8">
      <c r="U1829" s="722"/>
      <c r="V1829" s="661">
        <v>5426</v>
      </c>
      <c r="W1829" s="662">
        <f>+SUMIF(SYS_cliente!$F$5:$F$1678,'BCE ABREVIADO'!V1829,SYS_cliente!$I$5:$I$1678)</f>
        <v>0</v>
      </c>
    </row>
    <row r="1830" spans="21:23" ht="13.8">
      <c r="U1830" s="722"/>
      <c r="V1830" s="661">
        <v>5427</v>
      </c>
      <c r="W1830" s="662">
        <f>+SUMIF(SYS_cliente!$F$5:$F$1678,'BCE ABREVIADO'!V1830,SYS_cliente!$I$5:$I$1678)</f>
        <v>0</v>
      </c>
    </row>
    <row r="1831" spans="21:23" ht="13.8">
      <c r="U1831" s="722"/>
      <c r="V1831" s="661">
        <v>5428</v>
      </c>
      <c r="W1831" s="662">
        <f>+SUMIF(SYS_cliente!$F$5:$F$1678,'BCE ABREVIADO'!V1831,SYS_cliente!$I$5:$I$1678)</f>
        <v>0</v>
      </c>
    </row>
    <row r="1832" spans="21:23" ht="13.8">
      <c r="U1832" s="722"/>
      <c r="V1832" s="661">
        <v>5429</v>
      </c>
      <c r="W1832" s="662">
        <f>+SUMIF(SYS_cliente!$F$5:$F$1678,'BCE ABREVIADO'!V1832,SYS_cliente!$I$5:$I$1678)</f>
        <v>0</v>
      </c>
    </row>
    <row r="1833" spans="21:23" ht="13.8">
      <c r="U1833" s="722"/>
      <c r="V1833" s="661">
        <v>5430</v>
      </c>
      <c r="W1833" s="662">
        <f>+SUMIF(SYS_cliente!$F$5:$F$1678,'BCE ABREVIADO'!V1833,SYS_cliente!$I$5:$I$1678)</f>
        <v>0</v>
      </c>
    </row>
    <row r="1834" spans="21:23" ht="13.8">
      <c r="U1834" s="722"/>
      <c r="V1834" s="661">
        <v>5431</v>
      </c>
      <c r="W1834" s="662">
        <f>+SUMIF(SYS_cliente!$F$5:$F$1678,'BCE ABREVIADO'!V1834,SYS_cliente!$I$5:$I$1678)</f>
        <v>0</v>
      </c>
    </row>
    <row r="1835" spans="21:23" ht="13.8">
      <c r="U1835" s="722"/>
      <c r="V1835" s="661">
        <v>5432</v>
      </c>
      <c r="W1835" s="662">
        <f>+SUMIF(SYS_cliente!$F$5:$F$1678,'BCE ABREVIADO'!V1835,SYS_cliente!$I$5:$I$1678)</f>
        <v>0</v>
      </c>
    </row>
    <row r="1836" spans="21:23" ht="13.8">
      <c r="U1836" s="722"/>
      <c r="V1836" s="661">
        <v>5433</v>
      </c>
      <c r="W1836" s="662">
        <f>+SUMIF(SYS_cliente!$F$5:$F$1678,'BCE ABREVIADO'!V1836,SYS_cliente!$I$5:$I$1678)</f>
        <v>0</v>
      </c>
    </row>
    <row r="1837" spans="21:23" ht="13.8">
      <c r="U1837" s="722"/>
      <c r="V1837" s="661">
        <v>5434</v>
      </c>
      <c r="W1837" s="662">
        <f>+SUMIF(SYS_cliente!$F$5:$F$1678,'BCE ABREVIADO'!V1837,SYS_cliente!$I$5:$I$1678)</f>
        <v>0</v>
      </c>
    </row>
    <row r="1838" spans="21:23" ht="13.8">
      <c r="U1838" s="722"/>
      <c r="V1838" s="661">
        <v>5435</v>
      </c>
      <c r="W1838" s="662">
        <f>+SUMIF(SYS_cliente!$F$5:$F$1678,'BCE ABREVIADO'!V1838,SYS_cliente!$I$5:$I$1678)</f>
        <v>0</v>
      </c>
    </row>
    <row r="1839" spans="21:23" ht="13.8">
      <c r="U1839" s="722"/>
      <c r="V1839" s="661">
        <v>5436</v>
      </c>
      <c r="W1839" s="662">
        <f>+SUMIF(SYS_cliente!$F$5:$F$1678,'BCE ABREVIADO'!V1839,SYS_cliente!$I$5:$I$1678)</f>
        <v>0</v>
      </c>
    </row>
    <row r="1840" spans="21:23" ht="13.8">
      <c r="U1840" s="722"/>
      <c r="V1840" s="661">
        <v>5437</v>
      </c>
      <c r="W1840" s="662">
        <f>+SUMIF(SYS_cliente!$F$5:$F$1678,'BCE ABREVIADO'!V1840,SYS_cliente!$I$5:$I$1678)</f>
        <v>0</v>
      </c>
    </row>
    <row r="1841" spans="21:23" ht="13.8">
      <c r="U1841" s="722"/>
      <c r="V1841" s="661">
        <v>5438</v>
      </c>
      <c r="W1841" s="662">
        <f>+SUMIF(SYS_cliente!$F$5:$F$1678,'BCE ABREVIADO'!V1841,SYS_cliente!$I$5:$I$1678)</f>
        <v>0</v>
      </c>
    </row>
    <row r="1842" spans="21:23" ht="13.8">
      <c r="U1842" s="722"/>
      <c r="V1842" s="661">
        <v>5439</v>
      </c>
      <c r="W1842" s="662">
        <f>+SUMIF(SYS_cliente!$F$5:$F$1678,'BCE ABREVIADO'!V1842,SYS_cliente!$I$5:$I$1678)</f>
        <v>0</v>
      </c>
    </row>
    <row r="1843" spans="21:23" ht="13.8">
      <c r="U1843" s="722"/>
      <c r="V1843" s="661">
        <v>5470</v>
      </c>
      <c r="W1843" s="662">
        <f>+SUMIF(SYS_cliente!$F$5:$F$1678,'BCE ABREVIADO'!V1843,SYS_cliente!$I$5:$I$1678)</f>
        <v>0</v>
      </c>
    </row>
    <row r="1844" spans="21:23" ht="13.8">
      <c r="U1844" s="722"/>
      <c r="V1844" s="661">
        <v>5471</v>
      </c>
      <c r="W1844" s="662">
        <f>+SUMIF(SYS_cliente!$F$5:$F$1678,'BCE ABREVIADO'!V1844,SYS_cliente!$I$5:$I$1678)</f>
        <v>0</v>
      </c>
    </row>
    <row r="1845" spans="21:23" ht="13.8">
      <c r="U1845" s="722"/>
      <c r="V1845" s="661">
        <v>5472</v>
      </c>
      <c r="W1845" s="662">
        <f>+SUMIF(SYS_cliente!$F$5:$F$1678,'BCE ABREVIADO'!V1845,SYS_cliente!$I$5:$I$1678)</f>
        <v>0</v>
      </c>
    </row>
    <row r="1846" spans="21:23" ht="13.8">
      <c r="U1846" s="722"/>
      <c r="V1846" s="661">
        <v>5473</v>
      </c>
      <c r="W1846" s="662">
        <f>+SUMIF(SYS_cliente!$F$5:$F$1678,'BCE ABREVIADO'!V1846,SYS_cliente!$I$5:$I$1678)</f>
        <v>0</v>
      </c>
    </row>
    <row r="1847" spans="21:23" ht="13.8">
      <c r="U1847" s="722"/>
      <c r="V1847" s="661">
        <v>5474</v>
      </c>
      <c r="W1847" s="662">
        <f>+SUMIF(SYS_cliente!$F$5:$F$1678,'BCE ABREVIADO'!V1847,SYS_cliente!$I$5:$I$1678)</f>
        <v>0</v>
      </c>
    </row>
    <row r="1848" spans="21:23" ht="13.8">
      <c r="U1848" s="722"/>
      <c r="V1848" s="661">
        <v>5475</v>
      </c>
      <c r="W1848" s="662">
        <f>+SUMIF(SYS_cliente!$F$5:$F$1678,'BCE ABREVIADO'!V1848,SYS_cliente!$I$5:$I$1678)</f>
        <v>0</v>
      </c>
    </row>
    <row r="1849" spans="21:23" ht="13.8">
      <c r="U1849" s="722"/>
      <c r="V1849" s="661">
        <v>5476</v>
      </c>
      <c r="W1849" s="662">
        <f>+SUMIF(SYS_cliente!$F$5:$F$1678,'BCE ABREVIADO'!V1849,SYS_cliente!$I$5:$I$1678)</f>
        <v>0</v>
      </c>
    </row>
    <row r="1850" spans="21:23" ht="13.8">
      <c r="U1850" s="722"/>
      <c r="V1850" s="661">
        <v>5477</v>
      </c>
      <c r="W1850" s="662">
        <f>+SUMIF(SYS_cliente!$F$5:$F$1678,'BCE ABREVIADO'!V1850,SYS_cliente!$I$5:$I$1678)</f>
        <v>0</v>
      </c>
    </row>
    <row r="1851" spans="21:23" ht="13.8">
      <c r="U1851" s="722"/>
      <c r="V1851" s="661">
        <v>5478</v>
      </c>
      <c r="W1851" s="662">
        <f>+SUMIF(SYS_cliente!$F$5:$F$1678,'BCE ABREVIADO'!V1851,SYS_cliente!$I$5:$I$1678)</f>
        <v>0</v>
      </c>
    </row>
    <row r="1852" spans="21:23" ht="13.8">
      <c r="U1852" s="722"/>
      <c r="V1852" s="661">
        <v>5479</v>
      </c>
      <c r="W1852" s="662">
        <f>+SUMIF(SYS_cliente!$F$5:$F$1678,'BCE ABREVIADO'!V1852,SYS_cliente!$I$5:$I$1678)</f>
        <v>0</v>
      </c>
    </row>
    <row r="1853" spans="21:23" ht="13.8">
      <c r="U1853" s="722"/>
      <c r="V1853" s="661">
        <v>5955</v>
      </c>
      <c r="W1853" s="662">
        <f>+SUMIF(SYS_cliente!$F$5:$F$1678,'BCE ABREVIADO'!V1853,SYS_cliente!$I$5:$I$1678)</f>
        <v>0</v>
      </c>
    </row>
    <row r="1854" spans="21:23" ht="13.8">
      <c r="U1854" s="722"/>
      <c r="V1854" s="661">
        <v>5980</v>
      </c>
      <c r="W1854" s="662">
        <f>+SUMIF(SYS_cliente!$F$5:$F$1678,'BCE ABREVIADO'!V1854,SYS_cliente!$I$5:$I$1678)</f>
        <v>0</v>
      </c>
    </row>
    <row r="1855" spans="21:23" ht="13.8">
      <c r="U1855" s="722"/>
      <c r="V1855" s="661">
        <v>5981</v>
      </c>
      <c r="W1855" s="662">
        <f>+SUMIF(SYS_cliente!$F$5:$F$1678,'BCE ABREVIADO'!V1855,SYS_cliente!$I$5:$I$1678)</f>
        <v>0</v>
      </c>
    </row>
    <row r="1856" spans="21:23" ht="13.8">
      <c r="U1856" s="722"/>
      <c r="V1856" s="661">
        <v>5982</v>
      </c>
      <c r="W1856" s="662">
        <f>+SUMIF(SYS_cliente!$F$5:$F$1678,'BCE ABREVIADO'!V1856,SYS_cliente!$I$5:$I$1678)</f>
        <v>0</v>
      </c>
    </row>
    <row r="1857" spans="21:23" ht="13.8">
      <c r="U1857" s="722"/>
      <c r="V1857" s="661">
        <v>5983</v>
      </c>
      <c r="W1857" s="662">
        <f>+SUMIF(SYS_cliente!$F$5:$F$1678,'BCE ABREVIADO'!V1857,SYS_cliente!$I$5:$I$1678)</f>
        <v>0</v>
      </c>
    </row>
    <row r="1858" spans="21:23" ht="13.8">
      <c r="U1858" s="722"/>
      <c r="V1858" s="661">
        <v>5984</v>
      </c>
      <c r="W1858" s="662">
        <f>+SUMIF(SYS_cliente!$F$5:$F$1678,'BCE ABREVIADO'!V1858,SYS_cliente!$I$5:$I$1678)</f>
        <v>0</v>
      </c>
    </row>
    <row r="1859" spans="21:23" ht="13.8">
      <c r="U1859" s="722"/>
      <c r="V1859" s="661">
        <v>5985</v>
      </c>
      <c r="W1859" s="662">
        <f>+SUMIF(SYS_cliente!$F$5:$F$1678,'BCE ABREVIADO'!V1859,SYS_cliente!$I$5:$I$1678)</f>
        <v>0</v>
      </c>
    </row>
    <row r="1860" spans="21:23" ht="13.8">
      <c r="U1860" s="722"/>
      <c r="V1860" s="661">
        <v>5986</v>
      </c>
      <c r="W1860" s="662">
        <f>+SUMIF(SYS_cliente!$F$5:$F$1678,'BCE ABREVIADO'!V1860,SYS_cliente!$I$5:$I$1678)</f>
        <v>0</v>
      </c>
    </row>
    <row r="1861" spans="21:23" ht="13.8">
      <c r="U1861" s="722"/>
      <c r="V1861" s="661">
        <v>5987</v>
      </c>
      <c r="W1861" s="662">
        <f>+SUMIF(SYS_cliente!$F$5:$F$1678,'BCE ABREVIADO'!V1861,SYS_cliente!$I$5:$I$1678)</f>
        <v>0</v>
      </c>
    </row>
    <row r="1862" spans="21:23" ht="13.8">
      <c r="U1862" s="722"/>
      <c r="V1862" s="661">
        <v>5988</v>
      </c>
      <c r="W1862" s="662">
        <f>+SUMIF(SYS_cliente!$F$5:$F$1678,'BCE ABREVIADO'!V1862,SYS_cliente!$I$5:$I$1678)</f>
        <v>0</v>
      </c>
    </row>
    <row r="1863" spans="21:23" ht="13.8">
      <c r="U1863" s="722"/>
      <c r="V1863" s="661">
        <v>5989</v>
      </c>
      <c r="W1863" s="662">
        <f>+SUMIF(SYS_cliente!$F$5:$F$1678,'BCE ABREVIADO'!V1863,SYS_cliente!$I$5:$I$1678)</f>
        <v>0</v>
      </c>
    </row>
    <row r="1864" spans="21:23" ht="13.8">
      <c r="U1864" s="722" t="s">
        <v>139</v>
      </c>
      <c r="V1864" s="653" t="s">
        <v>22</v>
      </c>
      <c r="W1864" s="654">
        <f>SUM(W1865:W1897)</f>
        <v>0</v>
      </c>
    </row>
    <row r="1865" spans="21:23" ht="13.8">
      <c r="U1865" s="722"/>
      <c r="V1865" s="661">
        <v>5315</v>
      </c>
      <c r="W1865" s="662">
        <f>+SUMIF(SYS_cliente!$F$5:$F$1678,'BCE ABREVIADO'!V1865,SYS_cliente!$I$5:$I$1678)</f>
        <v>0</v>
      </c>
    </row>
    <row r="1866" spans="21:23" ht="13.8">
      <c r="U1866" s="722"/>
      <c r="V1866" s="661">
        <v>5335</v>
      </c>
      <c r="W1866" s="662">
        <f>+SUMIF(SYS_cliente!$F$5:$F$1678,'BCE ABREVIADO'!V1866,SYS_cliente!$I$5:$I$1678)</f>
        <v>0</v>
      </c>
    </row>
    <row r="1867" spans="21:23" ht="13.8">
      <c r="U1867" s="722"/>
      <c r="V1867" s="661">
        <v>5410</v>
      </c>
      <c r="W1867" s="662">
        <f>+SUMIF(SYS_cliente!$F$5:$F$1678,'BCE ABREVIADO'!V1867,SYS_cliente!$I$5:$I$1678)</f>
        <v>0</v>
      </c>
    </row>
    <row r="1868" spans="21:23" ht="13.8">
      <c r="U1868" s="722"/>
      <c r="V1868" s="661">
        <v>5411</v>
      </c>
      <c r="W1868" s="662">
        <f>+SUMIF(SYS_cliente!$F$5:$F$1678,'BCE ABREVIADO'!V1868,SYS_cliente!$I$5:$I$1678)</f>
        <v>0</v>
      </c>
    </row>
    <row r="1869" spans="21:23" ht="13.8">
      <c r="U1869" s="722"/>
      <c r="V1869" s="661">
        <v>5412</v>
      </c>
      <c r="W1869" s="662">
        <f>+SUMIF(SYS_cliente!$F$5:$F$1678,'BCE ABREVIADO'!V1869,SYS_cliente!$I$5:$I$1678)</f>
        <v>0</v>
      </c>
    </row>
    <row r="1870" spans="21:23" ht="13.8">
      <c r="U1870" s="722"/>
      <c r="V1870" s="661">
        <v>5413</v>
      </c>
      <c r="W1870" s="662">
        <f>+SUMIF(SYS_cliente!$F$5:$F$1678,'BCE ABREVIADO'!V1870,SYS_cliente!$I$5:$I$1678)</f>
        <v>0</v>
      </c>
    </row>
    <row r="1871" spans="21:23" ht="13.8">
      <c r="U1871" s="722"/>
      <c r="V1871" s="661">
        <v>5414</v>
      </c>
      <c r="W1871" s="662">
        <f>+SUMIF(SYS_cliente!$F$5:$F$1678,'BCE ABREVIADO'!V1871,SYS_cliente!$I$5:$I$1678)</f>
        <v>0</v>
      </c>
    </row>
    <row r="1872" spans="21:23" ht="13.8">
      <c r="U1872" s="722"/>
      <c r="V1872" s="661">
        <v>5415</v>
      </c>
      <c r="W1872" s="662">
        <f>+SUMIF(SYS_cliente!$F$5:$F$1678,'BCE ABREVIADO'!V1872,SYS_cliente!$I$5:$I$1678)</f>
        <v>0</v>
      </c>
    </row>
    <row r="1873" spans="21:23" ht="13.8">
      <c r="U1873" s="722"/>
      <c r="V1873" s="661">
        <v>5416</v>
      </c>
      <c r="W1873" s="662">
        <f>+SUMIF(SYS_cliente!$F$5:$F$1678,'BCE ABREVIADO'!V1873,SYS_cliente!$I$5:$I$1678)</f>
        <v>0</v>
      </c>
    </row>
    <row r="1874" spans="21:23" ht="13.8">
      <c r="U1874" s="722"/>
      <c r="V1874" s="661">
        <v>5417</v>
      </c>
      <c r="W1874" s="662">
        <f>+SUMIF(SYS_cliente!$F$5:$F$1678,'BCE ABREVIADO'!V1874,SYS_cliente!$I$5:$I$1678)</f>
        <v>0</v>
      </c>
    </row>
    <row r="1875" spans="21:23" ht="13.8">
      <c r="U1875" s="722"/>
      <c r="V1875" s="661">
        <v>5418</v>
      </c>
      <c r="W1875" s="662">
        <f>+SUMIF(SYS_cliente!$F$5:$F$1678,'BCE ABREVIADO'!V1875,SYS_cliente!$I$5:$I$1678)</f>
        <v>0</v>
      </c>
    </row>
    <row r="1876" spans="21:23" ht="13.8">
      <c r="U1876" s="722"/>
      <c r="V1876" s="661">
        <v>5419</v>
      </c>
      <c r="W1876" s="662">
        <f>+SUMIF(SYS_cliente!$F$5:$F$1678,'BCE ABREVIADO'!V1876,SYS_cliente!$I$5:$I$1678)</f>
        <v>0</v>
      </c>
    </row>
    <row r="1877" spans="21:23" ht="13.8">
      <c r="U1877" s="722"/>
      <c r="V1877" s="661">
        <v>5460</v>
      </c>
      <c r="W1877" s="662">
        <f>+SUMIF(SYS_cliente!$F$5:$F$1678,'BCE ABREVIADO'!V1877,SYS_cliente!$I$5:$I$1678)</f>
        <v>0</v>
      </c>
    </row>
    <row r="1878" spans="21:23" ht="13.8">
      <c r="U1878" s="722"/>
      <c r="V1878" s="661">
        <v>5461</v>
      </c>
      <c r="W1878" s="662">
        <f>+SUMIF(SYS_cliente!$F$5:$F$1678,'BCE ABREVIADO'!V1878,SYS_cliente!$I$5:$I$1678)</f>
        <v>0</v>
      </c>
    </row>
    <row r="1879" spans="21:23" ht="13.8">
      <c r="U1879" s="722"/>
      <c r="V1879" s="661">
        <v>5462</v>
      </c>
      <c r="W1879" s="662">
        <f>+SUMIF(SYS_cliente!$F$5:$F$1678,'BCE ABREVIADO'!V1879,SYS_cliente!$I$5:$I$1678)</f>
        <v>0</v>
      </c>
    </row>
    <row r="1880" spans="21:23" ht="13.8">
      <c r="U1880" s="722"/>
      <c r="V1880" s="661">
        <v>5463</v>
      </c>
      <c r="W1880" s="662">
        <f>+SUMIF(SYS_cliente!$F$5:$F$1678,'BCE ABREVIADO'!V1880,SYS_cliente!$I$5:$I$1678)</f>
        <v>0</v>
      </c>
    </row>
    <row r="1881" spans="21:23" ht="13.8">
      <c r="U1881" s="722"/>
      <c r="V1881" s="661">
        <v>5464</v>
      </c>
      <c r="W1881" s="662">
        <f>+SUMIF(SYS_cliente!$F$5:$F$1678,'BCE ABREVIADO'!V1881,SYS_cliente!$I$5:$I$1678)</f>
        <v>0</v>
      </c>
    </row>
    <row r="1882" spans="21:23" ht="13.8">
      <c r="U1882" s="722"/>
      <c r="V1882" s="661">
        <v>5465</v>
      </c>
      <c r="W1882" s="662">
        <f>+SUMIF(SYS_cliente!$F$5:$F$1678,'BCE ABREVIADO'!V1882,SYS_cliente!$I$5:$I$1678)</f>
        <v>0</v>
      </c>
    </row>
    <row r="1883" spans="21:23" ht="13.8">
      <c r="U1883" s="722"/>
      <c r="V1883" s="661">
        <v>5466</v>
      </c>
      <c r="W1883" s="662">
        <f>+SUMIF(SYS_cliente!$F$5:$F$1678,'BCE ABREVIADO'!V1883,SYS_cliente!$I$5:$I$1678)</f>
        <v>0</v>
      </c>
    </row>
    <row r="1884" spans="21:23" ht="13.8">
      <c r="U1884" s="722"/>
      <c r="V1884" s="661">
        <v>5467</v>
      </c>
      <c r="W1884" s="662">
        <f>+SUMIF(SYS_cliente!$F$5:$F$1678,'BCE ABREVIADO'!V1884,SYS_cliente!$I$5:$I$1678)</f>
        <v>0</v>
      </c>
    </row>
    <row r="1885" spans="21:23" ht="13.8">
      <c r="U1885" s="722"/>
      <c r="V1885" s="661">
        <v>5468</v>
      </c>
      <c r="W1885" s="662">
        <f>+SUMIF(SYS_cliente!$F$5:$F$1678,'BCE ABREVIADO'!V1885,SYS_cliente!$I$5:$I$1678)</f>
        <v>0</v>
      </c>
    </row>
    <row r="1886" spans="21:23" ht="13.8">
      <c r="U1886" s="722"/>
      <c r="V1886" s="661">
        <v>5469</v>
      </c>
      <c r="W1886" s="662">
        <f>+SUMIF(SYS_cliente!$F$5:$F$1678,'BCE ABREVIADO'!V1886,SYS_cliente!$I$5:$I$1678)</f>
        <v>0</v>
      </c>
    </row>
    <row r="1887" spans="21:23" ht="13.8">
      <c r="U1887" s="722"/>
      <c r="V1887" s="661">
        <v>5945</v>
      </c>
      <c r="W1887" s="662">
        <f>+SUMIF(SYS_cliente!$F$5:$F$1678,'BCE ABREVIADO'!V1887,SYS_cliente!$I$5:$I$1678)</f>
        <v>0</v>
      </c>
    </row>
    <row r="1888" spans="21:23" ht="13.8">
      <c r="U1888" s="722"/>
      <c r="V1888" s="661">
        <v>5970</v>
      </c>
      <c r="W1888" s="662">
        <f>+SUMIF(SYS_cliente!$F$5:$F$1678,'BCE ABREVIADO'!V1888,SYS_cliente!$I$5:$I$1678)</f>
        <v>0</v>
      </c>
    </row>
    <row r="1889" spans="21:23" ht="13.8">
      <c r="U1889" s="722"/>
      <c r="V1889" s="661">
        <v>5971</v>
      </c>
      <c r="W1889" s="662">
        <f>+SUMIF(SYS_cliente!$F$5:$F$1678,'BCE ABREVIADO'!V1889,SYS_cliente!$I$5:$I$1678)</f>
        <v>0</v>
      </c>
    </row>
    <row r="1890" spans="21:23" ht="13.8">
      <c r="U1890" s="722"/>
      <c r="V1890" s="661">
        <v>5972</v>
      </c>
      <c r="W1890" s="662">
        <f>+SUMIF(SYS_cliente!$F$5:$F$1678,'BCE ABREVIADO'!V1890,SYS_cliente!$I$5:$I$1678)</f>
        <v>0</v>
      </c>
    </row>
    <row r="1891" spans="21:23" ht="13.8">
      <c r="U1891" s="722"/>
      <c r="V1891" s="661">
        <v>5973</v>
      </c>
      <c r="W1891" s="662">
        <f>+SUMIF(SYS_cliente!$F$5:$F$1678,'BCE ABREVIADO'!V1891,SYS_cliente!$I$5:$I$1678)</f>
        <v>0</v>
      </c>
    </row>
    <row r="1892" spans="21:23" ht="13.8">
      <c r="U1892" s="722"/>
      <c r="V1892" s="661">
        <v>5974</v>
      </c>
      <c r="W1892" s="662">
        <f>+SUMIF(SYS_cliente!$F$5:$F$1678,'BCE ABREVIADO'!V1892,SYS_cliente!$I$5:$I$1678)</f>
        <v>0</v>
      </c>
    </row>
    <row r="1893" spans="21:23" ht="13.8">
      <c r="U1893" s="722"/>
      <c r="V1893" s="661">
        <v>5975</v>
      </c>
      <c r="W1893" s="662">
        <f>+SUMIF(SYS_cliente!$F$5:$F$1678,'BCE ABREVIADO'!V1893,SYS_cliente!$I$5:$I$1678)</f>
        <v>0</v>
      </c>
    </row>
    <row r="1894" spans="21:23" ht="13.8">
      <c r="U1894" s="722"/>
      <c r="V1894" s="661">
        <v>5976</v>
      </c>
      <c r="W1894" s="662">
        <f>+SUMIF(SYS_cliente!$F$5:$F$1678,'BCE ABREVIADO'!V1894,SYS_cliente!$I$5:$I$1678)</f>
        <v>0</v>
      </c>
    </row>
    <row r="1895" spans="21:23" ht="13.8">
      <c r="U1895" s="722"/>
      <c r="V1895" s="661">
        <v>5977</v>
      </c>
      <c r="W1895" s="662">
        <f>+SUMIF(SYS_cliente!$F$5:$F$1678,'BCE ABREVIADO'!V1895,SYS_cliente!$I$5:$I$1678)</f>
        <v>0</v>
      </c>
    </row>
    <row r="1896" spans="21:23" ht="13.8">
      <c r="U1896" s="722"/>
      <c r="V1896" s="661">
        <v>5978</v>
      </c>
      <c r="W1896" s="662">
        <f>+SUMIF(SYS_cliente!$F$5:$F$1678,'BCE ABREVIADO'!V1896,SYS_cliente!$I$5:$I$1678)</f>
        <v>0</v>
      </c>
    </row>
    <row r="1897" spans="21:23" ht="13.8">
      <c r="U1897" s="722"/>
      <c r="V1897" s="661">
        <v>5979</v>
      </c>
      <c r="W1897" s="662">
        <f>+SUMIF(SYS_cliente!$F$5:$F$1678,'BCE ABREVIADO'!V1897,SYS_cliente!$I$5:$I$1678)</f>
        <v>0</v>
      </c>
    </row>
    <row r="1898" spans="21:23" ht="13.8">
      <c r="U1898" s="722" t="s">
        <v>140</v>
      </c>
      <c r="V1898" s="653" t="s">
        <v>23</v>
      </c>
      <c r="W1898" s="654">
        <f>SUM(W1899:W1900)</f>
        <v>0</v>
      </c>
    </row>
    <row r="1899" spans="21:23" ht="13.8">
      <c r="U1899" s="722"/>
      <c r="V1899" s="661">
        <v>5590</v>
      </c>
      <c r="W1899" s="662">
        <f>+SUMIF(SYS_cliente!$F$5:$F$1678,'BCE ABREVIADO'!V1899,SYS_cliente!$I$5:$I$1678)</f>
        <v>0</v>
      </c>
    </row>
    <row r="1900" spans="21:23" ht="13.8">
      <c r="U1900" s="722"/>
      <c r="V1900" s="661">
        <v>5593</v>
      </c>
      <c r="W1900" s="662">
        <f>+SUMIF(SYS_cliente!$F$5:$F$1678,'BCE ABREVIADO'!V1900,SYS_cliente!$I$5:$I$1678)</f>
        <v>0</v>
      </c>
    </row>
    <row r="1901" spans="21:23" ht="13.8">
      <c r="U1901" s="722" t="s">
        <v>141</v>
      </c>
      <c r="V1901" s="653" t="s">
        <v>24</v>
      </c>
      <c r="W1901" s="654">
        <f>SUM(W1902:W1953)</f>
        <v>103027.25</v>
      </c>
    </row>
    <row r="1902" spans="21:23" ht="13.8">
      <c r="V1902" s="661">
        <v>5355</v>
      </c>
      <c r="W1902" s="662">
        <f>+SUMIF(SYS_cliente!$F$5:$F$1678,'BCE ABREVIADO'!V1902,SYS_cliente!$I$5:$I$1678)</f>
        <v>0</v>
      </c>
    </row>
    <row r="1903" spans="21:23" ht="13.8">
      <c r="V1903" s="661">
        <v>5450</v>
      </c>
      <c r="W1903" s="662">
        <f>+SUMIF(SYS_cliente!$F$5:$F$1678,'BCE ABREVIADO'!V1903,SYS_cliente!$I$5:$I$1678)</f>
        <v>0</v>
      </c>
    </row>
    <row r="1904" spans="21:23" ht="13.8">
      <c r="V1904" s="661">
        <v>5451</v>
      </c>
      <c r="W1904" s="662">
        <f>+SUMIF(SYS_cliente!$F$5:$F$1678,'BCE ABREVIADO'!V1904,SYS_cliente!$I$5:$I$1678)</f>
        <v>0</v>
      </c>
    </row>
    <row r="1905" spans="22:23" ht="13.8">
      <c r="V1905" s="661">
        <v>5452</v>
      </c>
      <c r="W1905" s="662">
        <f>+SUMIF(SYS_cliente!$F$5:$F$1678,'BCE ABREVIADO'!V1905,SYS_cliente!$I$5:$I$1678)</f>
        <v>0</v>
      </c>
    </row>
    <row r="1906" spans="22:23" ht="13.8">
      <c r="V1906" s="661">
        <v>5453</v>
      </c>
      <c r="W1906" s="662">
        <f>+SUMIF(SYS_cliente!$F$5:$F$1678,'BCE ABREVIADO'!V1906,SYS_cliente!$I$5:$I$1678)</f>
        <v>0</v>
      </c>
    </row>
    <row r="1907" spans="22:23" ht="13.8">
      <c r="V1907" s="661">
        <v>5454</v>
      </c>
      <c r="W1907" s="662">
        <f>+SUMIF(SYS_cliente!$F$5:$F$1678,'BCE ABREVIADO'!V1907,SYS_cliente!$I$5:$I$1678)</f>
        <v>0</v>
      </c>
    </row>
    <row r="1908" spans="22:23" ht="13.8">
      <c r="V1908" s="661">
        <v>5455</v>
      </c>
      <c r="W1908" s="662">
        <f>+SUMIF(SYS_cliente!$F$5:$F$1678,'BCE ABREVIADO'!V1908,SYS_cliente!$I$5:$I$1678)</f>
        <v>0</v>
      </c>
    </row>
    <row r="1909" spans="22:23" ht="13.8">
      <c r="V1909" s="661">
        <v>5456</v>
      </c>
      <c r="W1909" s="662">
        <f>+SUMIF(SYS_cliente!$F$5:$F$1678,'BCE ABREVIADO'!V1909,SYS_cliente!$I$5:$I$1678)</f>
        <v>0</v>
      </c>
    </row>
    <row r="1910" spans="22:23" ht="13.8">
      <c r="V1910" s="661">
        <v>5457</v>
      </c>
      <c r="W1910" s="662">
        <f>+SUMIF(SYS_cliente!$F$5:$F$1678,'BCE ABREVIADO'!V1910,SYS_cliente!$I$5:$I$1678)</f>
        <v>0</v>
      </c>
    </row>
    <row r="1911" spans="22:23" ht="13.8">
      <c r="V1911" s="661">
        <v>5458</v>
      </c>
      <c r="W1911" s="662">
        <f>+SUMIF(SYS_cliente!$F$5:$F$1678,'BCE ABREVIADO'!V1911,SYS_cliente!$I$5:$I$1678)</f>
        <v>0</v>
      </c>
    </row>
    <row r="1912" spans="22:23" ht="13.8">
      <c r="V1912" s="661">
        <v>5459</v>
      </c>
      <c r="W1912" s="662">
        <f>+SUMIF(SYS_cliente!$F$5:$F$1678,'BCE ABREVIADO'!V1912,SYS_cliente!$I$5:$I$1678)</f>
        <v>0</v>
      </c>
    </row>
    <row r="1913" spans="22:23" ht="13.8">
      <c r="V1913" s="661">
        <v>5480</v>
      </c>
      <c r="W1913" s="662">
        <f>+SUMIF(SYS_cliente!$F$5:$F$1678,'BCE ABREVIADO'!V1913,SYS_cliente!$I$5:$I$1678)</f>
        <v>0</v>
      </c>
    </row>
    <row r="1914" spans="22:23" ht="13.8">
      <c r="V1914" s="661">
        <v>5481</v>
      </c>
      <c r="W1914" s="662">
        <f>+SUMIF(SYS_cliente!$F$5:$F$1678,'BCE ABREVIADO'!V1914,SYS_cliente!$I$5:$I$1678)</f>
        <v>0</v>
      </c>
    </row>
    <row r="1915" spans="22:23" ht="13.8">
      <c r="V1915" s="661">
        <v>5482</v>
      </c>
      <c r="W1915" s="662">
        <f>+SUMIF(SYS_cliente!$F$5:$F$1678,'BCE ABREVIADO'!V1915,SYS_cliente!$I$5:$I$1678)</f>
        <v>0</v>
      </c>
    </row>
    <row r="1916" spans="22:23" ht="13.8">
      <c r="V1916" s="661">
        <v>5483</v>
      </c>
      <c r="W1916" s="662">
        <f>+SUMIF(SYS_cliente!$F$5:$F$1678,'BCE ABREVIADO'!V1916,SYS_cliente!$I$5:$I$1678)</f>
        <v>0</v>
      </c>
    </row>
    <row r="1917" spans="22:23" ht="13.8">
      <c r="V1917" s="661">
        <v>5484</v>
      </c>
      <c r="W1917" s="662">
        <f>+SUMIF(SYS_cliente!$F$5:$F$1678,'BCE ABREVIADO'!V1917,SYS_cliente!$I$5:$I$1678)</f>
        <v>0</v>
      </c>
    </row>
    <row r="1918" spans="22:23" ht="13.8">
      <c r="V1918" s="661">
        <v>5485</v>
      </c>
      <c r="W1918" s="662">
        <f>+SUMIF(SYS_cliente!$F$5:$F$1678,'BCE ABREVIADO'!V1918,SYS_cliente!$I$5:$I$1678)</f>
        <v>0</v>
      </c>
    </row>
    <row r="1919" spans="22:23" ht="13.8">
      <c r="V1919" s="661">
        <v>5486</v>
      </c>
      <c r="W1919" s="662">
        <f>+SUMIF(SYS_cliente!$F$5:$F$1678,'BCE ABREVIADO'!V1919,SYS_cliente!$I$5:$I$1678)</f>
        <v>0</v>
      </c>
    </row>
    <row r="1920" spans="22:23" ht="13.8">
      <c r="V1920" s="661">
        <v>5487</v>
      </c>
      <c r="W1920" s="662">
        <f>+SUMIF(SYS_cliente!$F$5:$F$1678,'BCE ABREVIADO'!V1920,SYS_cliente!$I$5:$I$1678)</f>
        <v>0</v>
      </c>
    </row>
    <row r="1921" spans="22:23" ht="13.8">
      <c r="V1921" s="661">
        <v>5488</v>
      </c>
      <c r="W1921" s="662">
        <f>+SUMIF(SYS_cliente!$F$5:$F$1678,'BCE ABREVIADO'!V1921,SYS_cliente!$I$5:$I$1678)</f>
        <v>0</v>
      </c>
    </row>
    <row r="1922" spans="22:23" ht="13.8">
      <c r="V1922" s="661">
        <v>5489</v>
      </c>
      <c r="W1922" s="662">
        <f>+SUMIF(SYS_cliente!$F$5:$F$1678,'BCE ABREVIADO'!V1922,SYS_cliente!$I$5:$I$1678)</f>
        <v>0</v>
      </c>
    </row>
    <row r="1923" spans="22:23" ht="13.8">
      <c r="V1923" s="723">
        <v>5510</v>
      </c>
      <c r="W1923" s="662">
        <f>IF(+SUMIF(SYS_cliente!$F$5:$F$1678,'BCE ABREVIADO'!V1923,SYS_cliente!$I$5:$I$1678)&gt;0,+SUMIF(SYS_cliente!$F$5:$F$1678,'BCE ABREVIADO'!V1923,SYS_cliente!$I$5:$I$1678),0)</f>
        <v>0</v>
      </c>
    </row>
    <row r="1924" spans="22:23" ht="13.8">
      <c r="V1924" s="723">
        <v>5511</v>
      </c>
      <c r="W1924" s="662">
        <f>IF(+SUMIF(SYS_cliente!$F$5:$F$1678,'BCE ABREVIADO'!V1924,SYS_cliente!$I$5:$I$1678)&gt;0,+SUMIF(SYS_cliente!$F$5:$F$1678,'BCE ABREVIADO'!V1924,SYS_cliente!$I$5:$I$1678),0)</f>
        <v>0</v>
      </c>
    </row>
    <row r="1925" spans="22:23" ht="13.8">
      <c r="V1925" s="723">
        <v>5512</v>
      </c>
      <c r="W1925" s="662">
        <f>IF(+SUMIF(SYS_cliente!$F$5:$F$1678,'BCE ABREVIADO'!V1925,SYS_cliente!$I$5:$I$1678)&gt;0,+SUMIF(SYS_cliente!$F$5:$F$1678,'BCE ABREVIADO'!V1925,SYS_cliente!$I$5:$I$1678),0)</f>
        <v>0</v>
      </c>
    </row>
    <row r="1926" spans="22:23" ht="13.8">
      <c r="V1926" s="723">
        <v>5513</v>
      </c>
      <c r="W1926" s="662">
        <f>IF(+SUMIF(SYS_cliente!$F$5:$F$1678,'BCE ABREVIADO'!V1926,SYS_cliente!$I$5:$I$1678)&gt;0,+SUMIF(SYS_cliente!$F$5:$F$1678,'BCE ABREVIADO'!V1926,SYS_cliente!$I$5:$I$1678),0)</f>
        <v>0</v>
      </c>
    </row>
    <row r="1927" spans="22:23" ht="13.8">
      <c r="V1927" s="723">
        <v>5514</v>
      </c>
      <c r="W1927" s="662">
        <f>IF(+SUMIF(SYS_cliente!$F$5:$F$1678,'BCE ABREVIADO'!V1927,SYS_cliente!$I$5:$I$1678)&gt;0,+SUMIF(SYS_cliente!$F$5:$F$1678,'BCE ABREVIADO'!V1927,SYS_cliente!$I$5:$I$1678),0)</f>
        <v>0</v>
      </c>
    </row>
    <row r="1928" spans="22:23" ht="13.8">
      <c r="V1928" s="723">
        <v>5515</v>
      </c>
      <c r="W1928" s="662">
        <f>IF(+SUMIF(SYS_cliente!$F$5:$F$1678,'BCE ABREVIADO'!V1928,SYS_cliente!$I$5:$I$1678)&gt;0,+SUMIF(SYS_cliente!$F$5:$F$1678,'BCE ABREVIADO'!V1928,SYS_cliente!$I$5:$I$1678),0)</f>
        <v>0</v>
      </c>
    </row>
    <row r="1929" spans="22:23" ht="13.8">
      <c r="V1929" s="723">
        <v>5516</v>
      </c>
      <c r="W1929" s="662">
        <f>IF(+SUMIF(SYS_cliente!$F$5:$F$1678,'BCE ABREVIADO'!V1929,SYS_cliente!$I$5:$I$1678)&gt;0,+SUMIF(SYS_cliente!$F$5:$F$1678,'BCE ABREVIADO'!V1929,SYS_cliente!$I$5:$I$1678),0)</f>
        <v>0</v>
      </c>
    </row>
    <row r="1930" spans="22:23" ht="13.8">
      <c r="V1930" s="723">
        <v>5517</v>
      </c>
      <c r="W1930" s="662">
        <f>IF(+SUMIF(SYS_cliente!$F$5:$F$1678,'BCE ABREVIADO'!V1930,SYS_cliente!$I$5:$I$1678)&gt;0,+SUMIF(SYS_cliente!$F$5:$F$1678,'BCE ABREVIADO'!V1930,SYS_cliente!$I$5:$I$1678),0)</f>
        <v>0</v>
      </c>
    </row>
    <row r="1931" spans="22:23" ht="13.8">
      <c r="V1931" s="723">
        <v>5518</v>
      </c>
      <c r="W1931" s="662">
        <f>IF(+SUMIF(SYS_cliente!$F$5:$F$1678,'BCE ABREVIADO'!V1931,SYS_cliente!$I$5:$I$1678)&gt;0,+SUMIF(SYS_cliente!$F$5:$F$1678,'BCE ABREVIADO'!V1931,SYS_cliente!$I$5:$I$1678),0)</f>
        <v>0</v>
      </c>
    </row>
    <row r="1932" spans="22:23" ht="13.8">
      <c r="V1932" s="723">
        <v>5519</v>
      </c>
      <c r="W1932" s="662">
        <f>IF(+SUMIF(SYS_cliente!$F$5:$F$1678,'BCE ABREVIADO'!V1932,SYS_cliente!$I$5:$I$1678)&gt;0,+SUMIF(SYS_cliente!$F$5:$F$1678,'BCE ABREVIADO'!V1932,SYS_cliente!$I$5:$I$1678),0)</f>
        <v>0</v>
      </c>
    </row>
    <row r="1933" spans="22:23" ht="13.8">
      <c r="V1933" s="723">
        <v>5525</v>
      </c>
      <c r="W1933" s="662">
        <f>IF(+SUMIF(SYS_cliente!$F$5:$F$1678,'BCE ABREVIADO'!V1933,SYS_cliente!$I$5:$I$1678)&gt;0,+SUMIF(SYS_cliente!$F$5:$F$1678,'BCE ABREVIADO'!V1933,SYS_cliente!$I$5:$I$1678),0)</f>
        <v>0</v>
      </c>
    </row>
    <row r="1934" spans="22:23" ht="13.8">
      <c r="V1934" s="661">
        <v>5650</v>
      </c>
      <c r="W1934" s="662">
        <f>+SUMIF(SYS_cliente!$F$5:$F$1678,'BCE ABREVIADO'!V1934,SYS_cliente!$I$5:$I$1678)</f>
        <v>0</v>
      </c>
    </row>
    <row r="1935" spans="22:23" ht="13.8">
      <c r="V1935" s="661">
        <v>5651</v>
      </c>
      <c r="W1935" s="662">
        <f>+SUMIF(SYS_cliente!$F$5:$F$1678,'BCE ABREVIADO'!V1935,SYS_cliente!$I$5:$I$1678)</f>
        <v>0</v>
      </c>
    </row>
    <row r="1936" spans="22:23" ht="13.8">
      <c r="V1936" s="661">
        <v>5652</v>
      </c>
      <c r="W1936" s="662">
        <f>+SUMIF(SYS_cliente!$F$5:$F$1678,'BCE ABREVIADO'!V1936,SYS_cliente!$I$5:$I$1678)</f>
        <v>0</v>
      </c>
    </row>
    <row r="1937" spans="22:23" ht="13.8">
      <c r="V1937" s="661">
        <v>5653</v>
      </c>
      <c r="W1937" s="662">
        <f>+SUMIF(SYS_cliente!$F$5:$F$1678,'BCE ABREVIADO'!V1937,SYS_cliente!$I$5:$I$1678)</f>
        <v>0</v>
      </c>
    </row>
    <row r="1938" spans="22:23" ht="13.8">
      <c r="V1938" s="661">
        <v>5654</v>
      </c>
      <c r="W1938" s="662">
        <f>+SUMIF(SYS_cliente!$F$5:$F$1678,'BCE ABREVIADO'!V1938,SYS_cliente!$I$5:$I$1678)</f>
        <v>0</v>
      </c>
    </row>
    <row r="1939" spans="22:23" ht="13.8">
      <c r="V1939" s="661">
        <v>5655</v>
      </c>
      <c r="W1939" s="662">
        <f>+SUMIF(SYS_cliente!$F$5:$F$1678,'BCE ABREVIADO'!V1939,SYS_cliente!$I$5:$I$1678)</f>
        <v>0</v>
      </c>
    </row>
    <row r="1940" spans="22:23" ht="13.8">
      <c r="V1940" s="661">
        <v>5656</v>
      </c>
      <c r="W1940" s="662">
        <f>+SUMIF(SYS_cliente!$F$5:$F$1678,'BCE ABREVIADO'!V1940,SYS_cliente!$I$5:$I$1678)</f>
        <v>0</v>
      </c>
    </row>
    <row r="1941" spans="22:23" ht="13.8">
      <c r="V1941" s="661">
        <v>5657</v>
      </c>
      <c r="W1941" s="662">
        <f>+SUMIF(SYS_cliente!$F$5:$F$1678,'BCE ABREVIADO'!V1941,SYS_cliente!$I$5:$I$1678)</f>
        <v>0</v>
      </c>
    </row>
    <row r="1942" spans="22:23" ht="13.8">
      <c r="V1942" s="661">
        <v>5658</v>
      </c>
      <c r="W1942" s="662">
        <f>+SUMIF(SYS_cliente!$F$5:$F$1678,'BCE ABREVIADO'!V1942,SYS_cliente!$I$5:$I$1678)</f>
        <v>0</v>
      </c>
    </row>
    <row r="1943" spans="22:23" ht="13.8">
      <c r="V1943" s="661">
        <v>5659</v>
      </c>
      <c r="W1943" s="662">
        <f>+SUMIF(SYS_cliente!$F$5:$F$1678,'BCE ABREVIADO'!V1943,SYS_cliente!$I$5:$I$1678)</f>
        <v>0</v>
      </c>
    </row>
    <row r="1944" spans="22:23" ht="13.8">
      <c r="V1944" s="661">
        <v>5660</v>
      </c>
      <c r="W1944" s="662">
        <f>+SUMIF(SYS_cliente!$F$5:$F$1678,'BCE ABREVIADO'!V1944,SYS_cliente!$I$5:$I$1678)</f>
        <v>103027.25</v>
      </c>
    </row>
    <row r="1945" spans="22:23" ht="13.8">
      <c r="V1945" s="661">
        <v>5661</v>
      </c>
      <c r="W1945" s="662">
        <f>+SUMIF(SYS_cliente!$F$5:$F$1678,'BCE ABREVIADO'!V1945,SYS_cliente!$I$5:$I$1678)</f>
        <v>0</v>
      </c>
    </row>
    <row r="1946" spans="22:23" ht="13.8">
      <c r="V1946" s="661">
        <v>5662</v>
      </c>
      <c r="W1946" s="662">
        <f>+SUMIF(SYS_cliente!$F$5:$F$1678,'BCE ABREVIADO'!V1946,SYS_cliente!$I$5:$I$1678)</f>
        <v>0</v>
      </c>
    </row>
    <row r="1947" spans="22:23" ht="13.8">
      <c r="V1947" s="661">
        <v>5663</v>
      </c>
      <c r="W1947" s="662">
        <f>+SUMIF(SYS_cliente!$F$5:$F$1678,'BCE ABREVIADO'!V1947,SYS_cliente!$I$5:$I$1678)</f>
        <v>0</v>
      </c>
    </row>
    <row r="1948" spans="22:23" ht="13.8">
      <c r="V1948" s="661">
        <v>5664</v>
      </c>
      <c r="W1948" s="662">
        <f>+SUMIF(SYS_cliente!$F$5:$F$1678,'BCE ABREVIADO'!V1948,SYS_cliente!$I$5:$I$1678)</f>
        <v>0</v>
      </c>
    </row>
    <row r="1949" spans="22:23" ht="13.8">
      <c r="V1949" s="661">
        <v>5665</v>
      </c>
      <c r="W1949" s="662">
        <f>+SUMIF(SYS_cliente!$F$5:$F$1678,'BCE ABREVIADO'!V1949,SYS_cliente!$I$5:$I$1678)</f>
        <v>0</v>
      </c>
    </row>
    <row r="1950" spans="22:23" ht="13.8">
      <c r="V1950" s="661">
        <v>5666</v>
      </c>
      <c r="W1950" s="662">
        <f>+SUMIF(SYS_cliente!$F$5:$F$1678,'BCE ABREVIADO'!V1950,SYS_cliente!$I$5:$I$1678)</f>
        <v>0</v>
      </c>
    </row>
    <row r="1951" spans="22:23" ht="13.8">
      <c r="V1951" s="661">
        <v>5667</v>
      </c>
      <c r="W1951" s="662">
        <f>+SUMIF(SYS_cliente!$F$5:$F$1678,'BCE ABREVIADO'!V1951,SYS_cliente!$I$5:$I$1678)</f>
        <v>0</v>
      </c>
    </row>
    <row r="1952" spans="22:23" ht="13.8">
      <c r="V1952" s="661">
        <v>5668</v>
      </c>
      <c r="W1952" s="662">
        <f>+SUMIF(SYS_cliente!$F$5:$F$1678,'BCE ABREVIADO'!V1952,SYS_cliente!$I$5:$I$1678)</f>
        <v>0</v>
      </c>
    </row>
    <row r="1953" spans="21:23" ht="13.8">
      <c r="V1953" s="661">
        <v>5669</v>
      </c>
      <c r="W1953" s="662">
        <f>+SUMIF(SYS_cliente!$F$5:$F$1678,'BCE ABREVIADO'!V1953,SYS_cliente!$I$5:$I$1678)</f>
        <v>0</v>
      </c>
    </row>
    <row r="1954" spans="21:23" ht="13.8">
      <c r="U1954" s="722" t="s">
        <v>142</v>
      </c>
      <c r="V1954" s="664" t="s">
        <v>48</v>
      </c>
      <c r="W1954" s="719">
        <f>SUM(W1955:W1974)</f>
        <v>18505.640000000003</v>
      </c>
    </row>
    <row r="1955" spans="21:23" ht="13.8">
      <c r="V1955" s="661">
        <v>4800</v>
      </c>
      <c r="W1955" s="662">
        <f>+SUMIF(SYS_cliente!$F$5:$F$1678,'BCE ABREVIADO'!V1955,SYS_cliente!$I$5:$I$1678)</f>
        <v>18505.640000000003</v>
      </c>
    </row>
    <row r="1956" spans="21:23" ht="13.8">
      <c r="V1956" s="661">
        <v>4801</v>
      </c>
      <c r="W1956" s="662">
        <f>+SUMIF(SYS_cliente!$F$5:$F$1678,'BCE ABREVIADO'!V1956,SYS_cliente!$I$5:$I$1678)</f>
        <v>0</v>
      </c>
    </row>
    <row r="1957" spans="21:23" ht="13.8">
      <c r="V1957" s="661">
        <v>4802</v>
      </c>
      <c r="W1957" s="662">
        <f>+SUMIF(SYS_cliente!$F$5:$F$1678,'BCE ABREVIADO'!V1957,SYS_cliente!$I$5:$I$1678)</f>
        <v>0</v>
      </c>
    </row>
    <row r="1958" spans="21:23" ht="13.8">
      <c r="V1958" s="661">
        <v>4803</v>
      </c>
      <c r="W1958" s="662">
        <f>+SUMIF(SYS_cliente!$F$5:$F$1678,'BCE ABREVIADO'!V1958,SYS_cliente!$I$5:$I$1678)</f>
        <v>0</v>
      </c>
    </row>
    <row r="1959" spans="21:23" ht="13.8">
      <c r="V1959" s="661">
        <v>4804</v>
      </c>
      <c r="W1959" s="662">
        <f>+SUMIF(SYS_cliente!$F$5:$F$1678,'BCE ABREVIADO'!V1959,SYS_cliente!$I$5:$I$1678)</f>
        <v>0</v>
      </c>
    </row>
    <row r="1960" spans="21:23" ht="13.8">
      <c r="V1960" s="661">
        <v>4805</v>
      </c>
      <c r="W1960" s="662">
        <f>+SUMIF(SYS_cliente!$F$5:$F$1678,'BCE ABREVIADO'!V1960,SYS_cliente!$I$5:$I$1678)</f>
        <v>0</v>
      </c>
    </row>
    <row r="1961" spans="21:23" ht="13.8">
      <c r="V1961" s="661">
        <v>4806</v>
      </c>
      <c r="W1961" s="662">
        <f>+SUMIF(SYS_cliente!$F$5:$F$1678,'BCE ABREVIADO'!V1961,SYS_cliente!$I$5:$I$1678)</f>
        <v>0</v>
      </c>
    </row>
    <row r="1962" spans="21:23" ht="13.8">
      <c r="V1962" s="661">
        <v>4807</v>
      </c>
      <c r="W1962" s="662">
        <f>+SUMIF(SYS_cliente!$F$5:$F$1678,'BCE ABREVIADO'!V1962,SYS_cliente!$I$5:$I$1678)</f>
        <v>0</v>
      </c>
    </row>
    <row r="1963" spans="21:23" ht="13.8">
      <c r="V1963" s="661">
        <v>4808</v>
      </c>
      <c r="W1963" s="662">
        <f>+SUMIF(SYS_cliente!$F$5:$F$1678,'BCE ABREVIADO'!V1963,SYS_cliente!$I$5:$I$1678)</f>
        <v>0</v>
      </c>
    </row>
    <row r="1964" spans="21:23" ht="13.8">
      <c r="V1964" s="661">
        <v>4809</v>
      </c>
      <c r="W1964" s="662">
        <f>+SUMIF(SYS_cliente!$F$5:$F$1678,'BCE ABREVIADO'!V1964,SYS_cliente!$I$5:$I$1678)</f>
        <v>0</v>
      </c>
    </row>
    <row r="1965" spans="21:23" ht="13.8">
      <c r="V1965" s="661">
        <v>5670</v>
      </c>
      <c r="W1965" s="662">
        <f>+SUMIF(SYS_cliente!$F$5:$F$1678,'BCE ABREVIADO'!V1965,SYS_cliente!$I$5:$I$1678)</f>
        <v>0</v>
      </c>
    </row>
    <row r="1966" spans="21:23" ht="13.8">
      <c r="V1966" s="661">
        <v>5671</v>
      </c>
      <c r="W1966" s="662">
        <f>+SUMIF(SYS_cliente!$F$5:$F$1678,'BCE ABREVIADO'!V1966,SYS_cliente!$I$5:$I$1678)</f>
        <v>0</v>
      </c>
    </row>
    <row r="1967" spans="21:23" ht="13.8">
      <c r="V1967" s="661">
        <v>5672</v>
      </c>
      <c r="W1967" s="662">
        <f>+SUMIF(SYS_cliente!$F$5:$F$1678,'BCE ABREVIADO'!V1967,SYS_cliente!$I$5:$I$1678)</f>
        <v>0</v>
      </c>
    </row>
    <row r="1968" spans="21:23" ht="13.8">
      <c r="V1968" s="661">
        <v>5673</v>
      </c>
      <c r="W1968" s="662">
        <f>+SUMIF(SYS_cliente!$F$5:$F$1678,'BCE ABREVIADO'!V1968,SYS_cliente!$I$5:$I$1678)</f>
        <v>0</v>
      </c>
    </row>
    <row r="1969" spans="21:23" ht="13.8">
      <c r="V1969" s="661">
        <v>5674</v>
      </c>
      <c r="W1969" s="662">
        <f>+SUMIF(SYS_cliente!$F$5:$F$1678,'BCE ABREVIADO'!V1969,SYS_cliente!$I$5:$I$1678)</f>
        <v>0</v>
      </c>
    </row>
    <row r="1970" spans="21:23" ht="13.8">
      <c r="V1970" s="661">
        <v>5675</v>
      </c>
      <c r="W1970" s="662">
        <f>+SUMIF(SYS_cliente!$F$5:$F$1678,'BCE ABREVIADO'!V1970,SYS_cliente!$I$5:$I$1678)</f>
        <v>0</v>
      </c>
    </row>
    <row r="1971" spans="21:23" ht="13.8">
      <c r="V1971" s="661">
        <v>5676</v>
      </c>
      <c r="W1971" s="662">
        <f>+SUMIF(SYS_cliente!$F$5:$F$1678,'BCE ABREVIADO'!V1971,SYS_cliente!$I$5:$I$1678)</f>
        <v>0</v>
      </c>
    </row>
    <row r="1972" spans="21:23" ht="13.8">
      <c r="V1972" s="661">
        <v>5677</v>
      </c>
      <c r="W1972" s="662">
        <f>+SUMIF(SYS_cliente!$F$5:$F$1678,'BCE ABREVIADO'!V1972,SYS_cliente!$I$5:$I$1678)</f>
        <v>0</v>
      </c>
    </row>
    <row r="1973" spans="21:23" ht="13.8">
      <c r="V1973" s="661">
        <v>5678</v>
      </c>
      <c r="W1973" s="662">
        <f>+SUMIF(SYS_cliente!$F$5:$F$1678,'BCE ABREVIADO'!V1973,SYS_cliente!$I$5:$I$1678)</f>
        <v>0</v>
      </c>
    </row>
    <row r="1974" spans="21:23" ht="13.8">
      <c r="V1974" s="661">
        <v>5679</v>
      </c>
      <c r="W1974" s="662">
        <f>+SUMIF(SYS_cliente!$F$5:$F$1678,'BCE ABREVIADO'!V1974,SYS_cliente!$I$5:$I$1678)</f>
        <v>0</v>
      </c>
    </row>
    <row r="1975" spans="21:23" ht="13.8">
      <c r="V1975" s="664" t="s">
        <v>49</v>
      </c>
      <c r="W1975" s="722"/>
    </row>
    <row r="1976" spans="21:23" ht="13.8">
      <c r="U1976" s="722" t="s">
        <v>143</v>
      </c>
      <c r="V1976" s="653" t="s">
        <v>50</v>
      </c>
      <c r="W1976" s="654">
        <f>SUM(W1977:W2036)</f>
        <v>85577158.699999988</v>
      </c>
    </row>
    <row r="1977" spans="21:23" ht="13.8">
      <c r="V1977" s="661">
        <v>5700</v>
      </c>
      <c r="W1977" s="662">
        <f>+SUMIF(SYS_cliente!$F$5:$F$1678,'BCE ABREVIADO'!V1977,SYS_cliente!$I$5:$I$1678)</f>
        <v>793.1</v>
      </c>
    </row>
    <row r="1978" spans="21:23" ht="13.8">
      <c r="V1978" s="661">
        <v>5701</v>
      </c>
      <c r="W1978" s="662">
        <f>+SUMIF(SYS_cliente!$F$5:$F$1678,'BCE ABREVIADO'!V1978,SYS_cliente!$I$5:$I$1678)</f>
        <v>0</v>
      </c>
    </row>
    <row r="1979" spans="21:23" ht="13.8">
      <c r="V1979" s="661">
        <v>5702</v>
      </c>
      <c r="W1979" s="662">
        <f>+SUMIF(SYS_cliente!$F$5:$F$1678,'BCE ABREVIADO'!V1979,SYS_cliente!$I$5:$I$1678)</f>
        <v>0</v>
      </c>
    </row>
    <row r="1980" spans="21:23" ht="13.8">
      <c r="V1980" s="661">
        <v>5703</v>
      </c>
      <c r="W1980" s="662">
        <f>+SUMIF(SYS_cliente!$F$5:$F$1678,'BCE ABREVIADO'!V1980,SYS_cliente!$I$5:$I$1678)</f>
        <v>0</v>
      </c>
    </row>
    <row r="1981" spans="21:23" ht="13.8">
      <c r="V1981" s="661">
        <v>5704</v>
      </c>
      <c r="W1981" s="662">
        <f>+SUMIF(SYS_cliente!$F$5:$F$1678,'BCE ABREVIADO'!V1981,SYS_cliente!$I$5:$I$1678)</f>
        <v>0</v>
      </c>
    </row>
    <row r="1982" spans="21:23" ht="13.8">
      <c r="V1982" s="661">
        <v>5705</v>
      </c>
      <c r="W1982" s="662">
        <f>+SUMIF(SYS_cliente!$F$5:$F$1678,'BCE ABREVIADO'!V1982,SYS_cliente!$I$5:$I$1678)</f>
        <v>0</v>
      </c>
    </row>
    <row r="1983" spans="21:23" ht="13.8">
      <c r="V1983" s="661">
        <v>5706</v>
      </c>
      <c r="W1983" s="662">
        <f>+SUMIF(SYS_cliente!$F$5:$F$1678,'BCE ABREVIADO'!V1983,SYS_cliente!$I$5:$I$1678)</f>
        <v>0</v>
      </c>
    </row>
    <row r="1984" spans="21:23" ht="13.8">
      <c r="V1984" s="661">
        <v>5707</v>
      </c>
      <c r="W1984" s="662">
        <f>+SUMIF(SYS_cliente!$F$5:$F$1678,'BCE ABREVIADO'!V1984,SYS_cliente!$I$5:$I$1678)</f>
        <v>0</v>
      </c>
    </row>
    <row r="1985" spans="22:23" ht="13.8">
      <c r="V1985" s="661">
        <v>5708</v>
      </c>
      <c r="W1985" s="662">
        <f>+SUMIF(SYS_cliente!$F$5:$F$1678,'BCE ABREVIADO'!V1985,SYS_cliente!$I$5:$I$1678)</f>
        <v>0</v>
      </c>
    </row>
    <row r="1986" spans="22:23" ht="13.8">
      <c r="V1986" s="661">
        <v>5709</v>
      </c>
      <c r="W1986" s="662">
        <f>+SUMIF(SYS_cliente!$F$5:$F$1678,'BCE ABREVIADO'!V1986,SYS_cliente!$I$5:$I$1678)</f>
        <v>0</v>
      </c>
    </row>
    <row r="1987" spans="22:23" ht="13.8">
      <c r="V1987" s="661">
        <v>5710</v>
      </c>
      <c r="W1987" s="662">
        <f>+SUMIF(SYS_cliente!$F$5:$F$1678,'BCE ABREVIADO'!V1987,SYS_cliente!$I$5:$I$1678)</f>
        <v>0</v>
      </c>
    </row>
    <row r="1988" spans="22:23" ht="13.8">
      <c r="V1988" s="661">
        <v>5711</v>
      </c>
      <c r="W1988" s="662">
        <f>+SUMIF(SYS_cliente!$F$5:$F$1678,'BCE ABREVIADO'!V1988,SYS_cliente!$I$5:$I$1678)</f>
        <v>0</v>
      </c>
    </row>
    <row r="1989" spans="22:23" ht="13.8">
      <c r="V1989" s="661">
        <v>5712</v>
      </c>
      <c r="W1989" s="662">
        <f>+SUMIF(SYS_cliente!$F$5:$F$1678,'BCE ABREVIADO'!V1989,SYS_cliente!$I$5:$I$1678)</f>
        <v>0</v>
      </c>
    </row>
    <row r="1990" spans="22:23" ht="13.8">
      <c r="V1990" s="661">
        <v>5713</v>
      </c>
      <c r="W1990" s="662">
        <f>+SUMIF(SYS_cliente!$F$5:$F$1678,'BCE ABREVIADO'!V1990,SYS_cliente!$I$5:$I$1678)</f>
        <v>0</v>
      </c>
    </row>
    <row r="1991" spans="22:23" ht="13.8">
      <c r="V1991" s="661">
        <v>5714</v>
      </c>
      <c r="W1991" s="662">
        <f>+SUMIF(SYS_cliente!$F$5:$F$1678,'BCE ABREVIADO'!V1991,SYS_cliente!$I$5:$I$1678)</f>
        <v>0</v>
      </c>
    </row>
    <row r="1992" spans="22:23" ht="13.8">
      <c r="V1992" s="661">
        <v>5715</v>
      </c>
      <c r="W1992" s="662">
        <f>+SUMIF(SYS_cliente!$F$5:$F$1678,'BCE ABREVIADO'!V1992,SYS_cliente!$I$5:$I$1678)</f>
        <v>0</v>
      </c>
    </row>
    <row r="1993" spans="22:23" ht="13.8">
      <c r="V1993" s="661">
        <v>5716</v>
      </c>
      <c r="W1993" s="662">
        <f>+SUMIF(SYS_cliente!$F$5:$F$1678,'BCE ABREVIADO'!V1993,SYS_cliente!$I$5:$I$1678)</f>
        <v>0</v>
      </c>
    </row>
    <row r="1994" spans="22:23" ht="13.8">
      <c r="V1994" s="661">
        <v>5717</v>
      </c>
      <c r="W1994" s="662">
        <f>+SUMIF(SYS_cliente!$F$5:$F$1678,'BCE ABREVIADO'!V1994,SYS_cliente!$I$5:$I$1678)</f>
        <v>0</v>
      </c>
    </row>
    <row r="1995" spans="22:23" ht="13.8">
      <c r="V1995" s="661">
        <v>5718</v>
      </c>
      <c r="W1995" s="662">
        <f>+SUMIF(SYS_cliente!$F$5:$F$1678,'BCE ABREVIADO'!V1995,SYS_cliente!$I$5:$I$1678)</f>
        <v>0</v>
      </c>
    </row>
    <row r="1996" spans="22:23" ht="13.8">
      <c r="V1996" s="661">
        <v>5719</v>
      </c>
      <c r="W1996" s="662">
        <f>+SUMIF(SYS_cliente!$F$5:$F$1678,'BCE ABREVIADO'!V1996,SYS_cliente!$I$5:$I$1678)</f>
        <v>0</v>
      </c>
    </row>
    <row r="1997" spans="22:23" ht="13.8">
      <c r="V1997" s="661">
        <v>5720</v>
      </c>
      <c r="W1997" s="662">
        <f>+SUMIF(SYS_cliente!$F$5:$F$1678,'BCE ABREVIADO'!V1997,SYS_cliente!$I$5:$I$1678)</f>
        <v>85566358.589999989</v>
      </c>
    </row>
    <row r="1998" spans="22:23" ht="13.8">
      <c r="V1998" s="661">
        <v>5721</v>
      </c>
      <c r="W1998" s="662">
        <f>+SUMIF(SYS_cliente!$F$5:$F$1678,'BCE ABREVIADO'!V1998,SYS_cliente!$I$5:$I$1678)</f>
        <v>0</v>
      </c>
    </row>
    <row r="1999" spans="22:23" ht="13.8">
      <c r="V1999" s="661">
        <v>5722</v>
      </c>
      <c r="W1999" s="662">
        <f>+SUMIF(SYS_cliente!$F$5:$F$1678,'BCE ABREVIADO'!V1999,SYS_cliente!$I$5:$I$1678)</f>
        <v>0</v>
      </c>
    </row>
    <row r="2000" spans="22:23" ht="13.8">
      <c r="V2000" s="661">
        <v>5723</v>
      </c>
      <c r="W2000" s="662">
        <f>+SUMIF(SYS_cliente!$F$5:$F$1678,'BCE ABREVIADO'!V2000,SYS_cliente!$I$5:$I$1678)</f>
        <v>0</v>
      </c>
    </row>
    <row r="2001" spans="22:23" ht="13.8">
      <c r="V2001" s="661">
        <v>5724</v>
      </c>
      <c r="W2001" s="662">
        <f>+SUMIF(SYS_cliente!$F$5:$F$1678,'BCE ABREVIADO'!V2001,SYS_cliente!$I$5:$I$1678)</f>
        <v>0</v>
      </c>
    </row>
    <row r="2002" spans="22:23" ht="13.8">
      <c r="V2002" s="661">
        <v>5725</v>
      </c>
      <c r="W2002" s="662">
        <f>+SUMIF(SYS_cliente!$F$5:$F$1678,'BCE ABREVIADO'!V2002,SYS_cliente!$I$5:$I$1678)</f>
        <v>0</v>
      </c>
    </row>
    <row r="2003" spans="22:23" ht="13.8">
      <c r="V2003" s="661">
        <v>5726</v>
      </c>
      <c r="W2003" s="662">
        <f>+SUMIF(SYS_cliente!$F$5:$F$1678,'BCE ABREVIADO'!V2003,SYS_cliente!$I$5:$I$1678)</f>
        <v>0</v>
      </c>
    </row>
    <row r="2004" spans="22:23" ht="13.8">
      <c r="V2004" s="661">
        <v>5727</v>
      </c>
      <c r="W2004" s="662">
        <f>+SUMIF(SYS_cliente!$F$5:$F$1678,'BCE ABREVIADO'!V2004,SYS_cliente!$I$5:$I$1678)</f>
        <v>0</v>
      </c>
    </row>
    <row r="2005" spans="22:23" ht="13.8">
      <c r="V2005" s="661">
        <v>5728</v>
      </c>
      <c r="W2005" s="662">
        <f>+SUMIF(SYS_cliente!$F$5:$F$1678,'BCE ABREVIADO'!V2005,SYS_cliente!$I$5:$I$1678)</f>
        <v>0</v>
      </c>
    </row>
    <row r="2006" spans="22:23" ht="13.8">
      <c r="V2006" s="661">
        <v>5729</v>
      </c>
      <c r="W2006" s="662">
        <f>+SUMIF(SYS_cliente!$F$5:$F$1678,'BCE ABREVIADO'!V2006,SYS_cliente!$I$5:$I$1678)</f>
        <v>0</v>
      </c>
    </row>
    <row r="2007" spans="22:23" ht="13.8">
      <c r="V2007" s="661">
        <v>5730</v>
      </c>
      <c r="W2007" s="662">
        <f>+SUMIF(SYS_cliente!$F$5:$F$1678,'BCE ABREVIADO'!V2007,SYS_cliente!$I$5:$I$1678)</f>
        <v>10007.01</v>
      </c>
    </row>
    <row r="2008" spans="22:23" ht="13.8">
      <c r="V2008" s="661">
        <v>5731</v>
      </c>
      <c r="W2008" s="662">
        <f>+SUMIF(SYS_cliente!$F$5:$F$1678,'BCE ABREVIADO'!V2008,SYS_cliente!$I$5:$I$1678)</f>
        <v>0</v>
      </c>
    </row>
    <row r="2009" spans="22:23" ht="13.8">
      <c r="V2009" s="661">
        <v>5732</v>
      </c>
      <c r="W2009" s="662">
        <f>+SUMIF(SYS_cliente!$F$5:$F$1678,'BCE ABREVIADO'!V2009,SYS_cliente!$I$5:$I$1678)</f>
        <v>0</v>
      </c>
    </row>
    <row r="2010" spans="22:23" ht="13.8">
      <c r="V2010" s="661">
        <v>5733</v>
      </c>
      <c r="W2010" s="662">
        <f>+SUMIF(SYS_cliente!$F$5:$F$1678,'BCE ABREVIADO'!V2010,SYS_cliente!$I$5:$I$1678)</f>
        <v>0</v>
      </c>
    </row>
    <row r="2011" spans="22:23" ht="13.8">
      <c r="V2011" s="661">
        <v>5734</v>
      </c>
      <c r="W2011" s="662">
        <f>+SUMIF(SYS_cliente!$F$5:$F$1678,'BCE ABREVIADO'!V2011,SYS_cliente!$I$5:$I$1678)</f>
        <v>0</v>
      </c>
    </row>
    <row r="2012" spans="22:23" ht="13.8">
      <c r="V2012" s="661">
        <v>5735</v>
      </c>
      <c r="W2012" s="662">
        <f>+SUMIF(SYS_cliente!$F$5:$F$1678,'BCE ABREVIADO'!V2012,SYS_cliente!$I$5:$I$1678)</f>
        <v>0</v>
      </c>
    </row>
    <row r="2013" spans="22:23" ht="13.8">
      <c r="V2013" s="661">
        <v>5736</v>
      </c>
      <c r="W2013" s="662">
        <f>+SUMIF(SYS_cliente!$F$5:$F$1678,'BCE ABREVIADO'!V2013,SYS_cliente!$I$5:$I$1678)</f>
        <v>0</v>
      </c>
    </row>
    <row r="2014" spans="22:23" ht="13.8">
      <c r="V2014" s="661">
        <v>5737</v>
      </c>
      <c r="W2014" s="662">
        <f>+SUMIF(SYS_cliente!$F$5:$F$1678,'BCE ABREVIADO'!V2014,SYS_cliente!$I$5:$I$1678)</f>
        <v>0</v>
      </c>
    </row>
    <row r="2015" spans="22:23" ht="13.8">
      <c r="V2015" s="661">
        <v>5738</v>
      </c>
      <c r="W2015" s="662">
        <f>+SUMIF(SYS_cliente!$F$5:$F$1678,'BCE ABREVIADO'!V2015,SYS_cliente!$I$5:$I$1678)</f>
        <v>0</v>
      </c>
    </row>
    <row r="2016" spans="22:23" ht="13.8">
      <c r="V2016" s="661">
        <v>5739</v>
      </c>
      <c r="W2016" s="662">
        <f>+SUMIF(SYS_cliente!$F$5:$F$1678,'BCE ABREVIADO'!V2016,SYS_cliente!$I$5:$I$1678)</f>
        <v>0</v>
      </c>
    </row>
    <row r="2017" spans="22:23" ht="13.8">
      <c r="V2017" s="661">
        <v>5740</v>
      </c>
      <c r="W2017" s="662">
        <f>+SUMIF(SYS_cliente!$F$5:$F$1678,'BCE ABREVIADO'!V2017,SYS_cliente!$I$5:$I$1678)</f>
        <v>0</v>
      </c>
    </row>
    <row r="2018" spans="22:23" ht="13.8">
      <c r="V2018" s="661">
        <v>5741</v>
      </c>
      <c r="W2018" s="662">
        <f>+SUMIF(SYS_cliente!$F$5:$F$1678,'BCE ABREVIADO'!V2018,SYS_cliente!$I$5:$I$1678)</f>
        <v>0</v>
      </c>
    </row>
    <row r="2019" spans="22:23" ht="13.8">
      <c r="V2019" s="661">
        <v>5742</v>
      </c>
      <c r="W2019" s="662">
        <f>+SUMIF(SYS_cliente!$F$5:$F$1678,'BCE ABREVIADO'!V2019,SYS_cliente!$I$5:$I$1678)</f>
        <v>0</v>
      </c>
    </row>
    <row r="2020" spans="22:23" ht="13.8">
      <c r="V2020" s="661">
        <v>5743</v>
      </c>
      <c r="W2020" s="662">
        <f>+SUMIF(SYS_cliente!$F$5:$F$1678,'BCE ABREVIADO'!V2020,SYS_cliente!$I$5:$I$1678)</f>
        <v>0</v>
      </c>
    </row>
    <row r="2021" spans="22:23" ht="13.8">
      <c r="V2021" s="661">
        <v>5744</v>
      </c>
      <c r="W2021" s="662">
        <f>+SUMIF(SYS_cliente!$F$5:$F$1678,'BCE ABREVIADO'!V2021,SYS_cliente!$I$5:$I$1678)</f>
        <v>0</v>
      </c>
    </row>
    <row r="2022" spans="22:23" ht="13.8">
      <c r="V2022" s="661">
        <v>5745</v>
      </c>
      <c r="W2022" s="662">
        <f>+SUMIF(SYS_cliente!$F$5:$F$1678,'BCE ABREVIADO'!V2022,SYS_cliente!$I$5:$I$1678)</f>
        <v>0</v>
      </c>
    </row>
    <row r="2023" spans="22:23" ht="13.8">
      <c r="V2023" s="661">
        <v>5746</v>
      </c>
      <c r="W2023" s="662">
        <f>+SUMIF(SYS_cliente!$F$5:$F$1678,'BCE ABREVIADO'!V2023,SYS_cliente!$I$5:$I$1678)</f>
        <v>0</v>
      </c>
    </row>
    <row r="2024" spans="22:23" ht="13.8">
      <c r="V2024" s="661">
        <v>5747</v>
      </c>
      <c r="W2024" s="662">
        <f>+SUMIF(SYS_cliente!$F$5:$F$1678,'BCE ABREVIADO'!V2024,SYS_cliente!$I$5:$I$1678)</f>
        <v>0</v>
      </c>
    </row>
    <row r="2025" spans="22:23" ht="13.8">
      <c r="V2025" s="661">
        <v>5748</v>
      </c>
      <c r="W2025" s="662">
        <f>+SUMIF(SYS_cliente!$F$5:$F$1678,'BCE ABREVIADO'!V2025,SYS_cliente!$I$5:$I$1678)</f>
        <v>0</v>
      </c>
    </row>
    <row r="2026" spans="22:23" ht="13.8">
      <c r="V2026" s="661">
        <v>5749</v>
      </c>
      <c r="W2026" s="662">
        <f>+SUMIF(SYS_cliente!$F$5:$F$1678,'BCE ABREVIADO'!V2026,SYS_cliente!$I$5:$I$1678)</f>
        <v>0</v>
      </c>
    </row>
    <row r="2027" spans="22:23" ht="13.8">
      <c r="V2027" s="661">
        <v>5750</v>
      </c>
      <c r="W2027" s="662">
        <f>+SUMIF(SYS_cliente!$F$5:$F$1678,'BCE ABREVIADO'!V2027,SYS_cliente!$I$5:$I$1678)</f>
        <v>0</v>
      </c>
    </row>
    <row r="2028" spans="22:23" ht="13.8">
      <c r="V2028" s="661">
        <v>5751</v>
      </c>
      <c r="W2028" s="662">
        <f>+SUMIF(SYS_cliente!$F$5:$F$1678,'BCE ABREVIADO'!V2028,SYS_cliente!$I$5:$I$1678)</f>
        <v>0</v>
      </c>
    </row>
    <row r="2029" spans="22:23" ht="13.8">
      <c r="V2029" s="661">
        <v>5752</v>
      </c>
      <c r="W2029" s="662">
        <f>+SUMIF(SYS_cliente!$F$5:$F$1678,'BCE ABREVIADO'!V2029,SYS_cliente!$I$5:$I$1678)</f>
        <v>0</v>
      </c>
    </row>
    <row r="2030" spans="22:23" ht="13.8">
      <c r="V2030" s="661">
        <v>5753</v>
      </c>
      <c r="W2030" s="662">
        <f>+SUMIF(SYS_cliente!$F$5:$F$1678,'BCE ABREVIADO'!V2030,SYS_cliente!$I$5:$I$1678)</f>
        <v>0</v>
      </c>
    </row>
    <row r="2031" spans="22:23" ht="13.8">
      <c r="V2031" s="661">
        <v>5754</v>
      </c>
      <c r="W2031" s="662">
        <f>+SUMIF(SYS_cliente!$F$5:$F$1678,'BCE ABREVIADO'!V2031,SYS_cliente!$I$5:$I$1678)</f>
        <v>0</v>
      </c>
    </row>
    <row r="2032" spans="22:23" ht="13.8">
      <c r="V2032" s="661">
        <v>5755</v>
      </c>
      <c r="W2032" s="662">
        <f>+SUMIF(SYS_cliente!$F$5:$F$1678,'BCE ABREVIADO'!V2032,SYS_cliente!$I$5:$I$1678)</f>
        <v>0</v>
      </c>
    </row>
    <row r="2033" spans="21:23" ht="13.8">
      <c r="V2033" s="661">
        <v>5756</v>
      </c>
      <c r="W2033" s="662">
        <f>+SUMIF(SYS_cliente!$F$5:$F$1678,'BCE ABREVIADO'!V2033,SYS_cliente!$I$5:$I$1678)</f>
        <v>0</v>
      </c>
    </row>
    <row r="2034" spans="21:23" ht="13.8">
      <c r="V2034" s="661">
        <v>5757</v>
      </c>
      <c r="W2034" s="662">
        <f>+SUMIF(SYS_cliente!$F$5:$F$1678,'BCE ABREVIADO'!V2034,SYS_cliente!$I$5:$I$1678)</f>
        <v>0</v>
      </c>
    </row>
    <row r="2035" spans="21:23" ht="13.8">
      <c r="V2035" s="661">
        <v>5758</v>
      </c>
      <c r="W2035" s="662">
        <f>+SUMIF(SYS_cliente!$F$5:$F$1678,'BCE ABREVIADO'!V2035,SYS_cliente!$I$5:$I$1678)</f>
        <v>0</v>
      </c>
    </row>
    <row r="2036" spans="21:23" ht="13.8">
      <c r="V2036" s="661">
        <v>5759</v>
      </c>
      <c r="W2036" s="662">
        <f>+SUMIF(SYS_cliente!$F$5:$F$1678,'BCE ABREVIADO'!V2036,SYS_cliente!$I$5:$I$1678)</f>
        <v>0</v>
      </c>
    </row>
    <row r="2037" spans="21:23" ht="13.8">
      <c r="U2037" s="722">
        <v>576</v>
      </c>
      <c r="V2037" s="653" t="s">
        <v>51</v>
      </c>
      <c r="W2037" s="654">
        <f>SUM(W2038:W2047)</f>
        <v>0</v>
      </c>
    </row>
    <row r="2038" spans="21:23" ht="13.8">
      <c r="U2038" s="722"/>
      <c r="V2038" s="661">
        <v>5760</v>
      </c>
      <c r="W2038" s="662">
        <f>+SUMIF(SYS_cliente!$F$5:$F$1678,'BCE ABREVIADO'!V2038,SYS_cliente!$I$5:$I$1678)</f>
        <v>0</v>
      </c>
    </row>
    <row r="2039" spans="21:23" ht="13.8">
      <c r="U2039" s="722"/>
      <c r="V2039" s="661">
        <v>5761</v>
      </c>
      <c r="W2039" s="662">
        <f>+SUMIF(SYS_cliente!$F$5:$F$1678,'BCE ABREVIADO'!V2039,SYS_cliente!$I$5:$I$1678)</f>
        <v>0</v>
      </c>
    </row>
    <row r="2040" spans="21:23" ht="13.8">
      <c r="U2040" s="722"/>
      <c r="V2040" s="661">
        <v>5762</v>
      </c>
      <c r="W2040" s="662">
        <f>+SUMIF(SYS_cliente!$F$5:$F$1678,'BCE ABREVIADO'!V2040,SYS_cliente!$I$5:$I$1678)</f>
        <v>0</v>
      </c>
    </row>
    <row r="2041" spans="21:23" ht="13.8">
      <c r="U2041" s="722"/>
      <c r="V2041" s="661">
        <v>5763</v>
      </c>
      <c r="W2041" s="662">
        <f>+SUMIF(SYS_cliente!$F$5:$F$1678,'BCE ABREVIADO'!V2041,SYS_cliente!$I$5:$I$1678)</f>
        <v>0</v>
      </c>
    </row>
    <row r="2042" spans="21:23" ht="13.8">
      <c r="U2042" s="722"/>
      <c r="V2042" s="661">
        <v>5764</v>
      </c>
      <c r="W2042" s="662">
        <f>+SUMIF(SYS_cliente!$F$5:$F$1678,'BCE ABREVIADO'!V2042,SYS_cliente!$I$5:$I$1678)</f>
        <v>0</v>
      </c>
    </row>
    <row r="2043" spans="21:23" ht="13.8">
      <c r="U2043" s="722"/>
      <c r="V2043" s="661">
        <v>5765</v>
      </c>
      <c r="W2043" s="662">
        <f>+SUMIF(SYS_cliente!$F$5:$F$1678,'BCE ABREVIADO'!V2043,SYS_cliente!$I$5:$I$1678)</f>
        <v>0</v>
      </c>
    </row>
    <row r="2044" spans="21:23" ht="13.8">
      <c r="U2044" s="722"/>
      <c r="V2044" s="661">
        <v>5766</v>
      </c>
      <c r="W2044" s="662">
        <f>+SUMIF(SYS_cliente!$F$5:$F$1678,'BCE ABREVIADO'!V2044,SYS_cliente!$I$5:$I$1678)</f>
        <v>0</v>
      </c>
    </row>
    <row r="2045" spans="21:23" ht="13.8">
      <c r="U2045" s="722"/>
      <c r="V2045" s="661">
        <v>5767</v>
      </c>
      <c r="W2045" s="662">
        <f>+SUMIF(SYS_cliente!$F$5:$F$1678,'BCE ABREVIADO'!V2045,SYS_cliente!$I$5:$I$1678)</f>
        <v>0</v>
      </c>
    </row>
    <row r="2046" spans="21:23" ht="13.8">
      <c r="U2046" s="722"/>
      <c r="V2046" s="661">
        <v>5768</v>
      </c>
      <c r="W2046" s="662">
        <f>+SUMIF(SYS_cliente!$F$5:$F$1678,'BCE ABREVIADO'!V2046,SYS_cliente!$I$5:$I$1678)</f>
        <v>0</v>
      </c>
    </row>
    <row r="2047" spans="21:23" ht="13.8">
      <c r="V2047" s="661">
        <v>5769</v>
      </c>
      <c r="W2047" s="662">
        <f>+SUMIF(SYS_cliente!$F$5:$F$1678,'BCE ABREVIADO'!V2047,SYS_cliente!$I$5:$I$1678)</f>
        <v>0</v>
      </c>
    </row>
    <row r="2048" spans="21:23" ht="13.8">
      <c r="W2048" s="668"/>
    </row>
    <row r="2049" spans="22:23" ht="17.399999999999999">
      <c r="V2049" s="620" t="s">
        <v>52</v>
      </c>
      <c r="W2049" s="727"/>
    </row>
    <row r="2050" spans="22:23" ht="13.8"/>
    <row r="2051" spans="22:23" ht="13.8"/>
    <row r="2052" spans="22:23" ht="13.8"/>
    <row r="2053" spans="22:23" ht="13.8"/>
    <row r="2054" spans="22:23" ht="13.8"/>
    <row r="2055" spans="22:23" ht="13.8"/>
    <row r="2056" spans="22:23" ht="13.8"/>
    <row r="2057" spans="22:23" ht="13.8"/>
    <row r="2058" spans="22:23" ht="13.8"/>
    <row r="2059" spans="22:23" ht="13.8"/>
    <row r="2060" spans="22:23" ht="13.8"/>
    <row r="2061" spans="22:23" ht="13.8"/>
  </sheetData>
  <sheetProtection sheet="1" objects="1" scenarios="1"/>
  <mergeCells count="1">
    <mergeCell ref="E7:F7"/>
  </mergeCells>
  <conditionalFormatting sqref="E61:E70 H61:H70 E13:E18 H13:H18 E20 H20 E22 H22 E24 H24 H54:H55 E54:E55 E26:E34 H26:H34 E75:E103 H75:H103 H36 E36 E38:E41 H38:H41 H43 E43 E45 H45 H47 E47 E49:E52 H49:H52">
    <cfRule type="cellIs" dxfId="539" priority="23" operator="lessThan">
      <formula>0</formula>
    </cfRule>
  </conditionalFormatting>
  <conditionalFormatting sqref="E19">
    <cfRule type="cellIs" dxfId="538" priority="18" operator="lessThan">
      <formula>0</formula>
    </cfRule>
  </conditionalFormatting>
  <conditionalFormatting sqref="H19">
    <cfRule type="cellIs" dxfId="537" priority="17" operator="lessThan">
      <formula>0</formula>
    </cfRule>
  </conditionalFormatting>
  <conditionalFormatting sqref="E21">
    <cfRule type="cellIs" dxfId="536" priority="16" operator="lessThan">
      <formula>0</formula>
    </cfRule>
  </conditionalFormatting>
  <conditionalFormatting sqref="H21">
    <cfRule type="cellIs" dxfId="535" priority="15" operator="lessThan">
      <formula>0</formula>
    </cfRule>
  </conditionalFormatting>
  <conditionalFormatting sqref="E23">
    <cfRule type="cellIs" dxfId="534" priority="14" operator="lessThan">
      <formula>0</formula>
    </cfRule>
  </conditionalFormatting>
  <conditionalFormatting sqref="H23">
    <cfRule type="cellIs" dxfId="533" priority="13" operator="lessThan">
      <formula>0</formula>
    </cfRule>
  </conditionalFormatting>
  <conditionalFormatting sqref="E25">
    <cfRule type="cellIs" dxfId="532" priority="12" operator="lessThan">
      <formula>0</formula>
    </cfRule>
  </conditionalFormatting>
  <conditionalFormatting sqref="H25">
    <cfRule type="cellIs" dxfId="531" priority="11" operator="lessThan">
      <formula>0</formula>
    </cfRule>
  </conditionalFormatting>
  <conditionalFormatting sqref="E53 H53">
    <cfRule type="cellIs" dxfId="530" priority="9" operator="lessThan">
      <formula>0</formula>
    </cfRule>
  </conditionalFormatting>
  <conditionalFormatting sqref="E59">
    <cfRule type="expression" dxfId="529" priority="115">
      <formula>INT($E$105)&lt;&gt;0</formula>
    </cfRule>
  </conditionalFormatting>
  <conditionalFormatting sqref="H59">
    <cfRule type="expression" dxfId="528" priority="117">
      <formula>INT($H$105)&lt;&gt;0</formula>
    </cfRule>
  </conditionalFormatting>
  <conditionalFormatting sqref="E35 H35">
    <cfRule type="cellIs" dxfId="527" priority="8" operator="lessThan">
      <formula>0</formula>
    </cfRule>
  </conditionalFormatting>
  <conditionalFormatting sqref="E37 H37">
    <cfRule type="cellIs" dxfId="526" priority="7" operator="lessThan">
      <formula>0</formula>
    </cfRule>
  </conditionalFormatting>
  <conditionalFormatting sqref="E42 H42">
    <cfRule type="cellIs" dxfId="525" priority="6" operator="lessThan">
      <formula>0</formula>
    </cfRule>
  </conditionalFormatting>
  <conditionalFormatting sqref="E44 H44">
    <cfRule type="cellIs" dxfId="524" priority="5" operator="lessThan">
      <formula>0</formula>
    </cfRule>
  </conditionalFormatting>
  <conditionalFormatting sqref="E46 H46">
    <cfRule type="cellIs" dxfId="523" priority="4" operator="lessThan">
      <formula>0</formula>
    </cfRule>
  </conditionalFormatting>
  <conditionalFormatting sqref="E48 H48">
    <cfRule type="cellIs" dxfId="522" priority="3" operator="lessThan">
      <formula>0</formula>
    </cfRule>
  </conditionalFormatting>
  <conditionalFormatting sqref="E11">
    <cfRule type="expression" dxfId="521" priority="2">
      <formula>INT($E$84)&lt;&gt;0</formula>
    </cfRule>
  </conditionalFormatting>
  <conditionalFormatting sqref="H11">
    <cfRule type="expression" dxfId="520" priority="1">
      <formula>INT($E$84)&lt;&gt;0</formula>
    </cfRule>
  </conditionalFormatting>
  <pageMargins left="0.62992125984251968" right="0.23622047244094491" top="0.55118110236220474" bottom="0.35433070866141736" header="0.31496062992125984" footer="0.31496062992125984"/>
  <pageSetup paperSize="9" scale="51" orientation="portrait" r:id="rId1"/>
  <headerFooter>
    <oddFooter>&amp;C&amp;"Arial,Normal"&amp;12&amp;K03-024Balance de Situación Abreviado</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4">
    <tabColor rgb="FFFFC000"/>
    <pageSetUpPr fitToPage="1"/>
  </sheetPr>
  <dimension ref="A1:KVP1374"/>
  <sheetViews>
    <sheetView showGridLines="0" showRowColHeaders="0" view="pageBreakPreview" zoomScale="90" zoomScaleNormal="90" zoomScaleSheetLayoutView="90" workbookViewId="0">
      <pane xSplit="3" ySplit="11" topLeftCell="D66" activePane="bottomRight" state="frozen"/>
      <selection activeCell="H58" sqref="H58"/>
      <selection pane="topRight" activeCell="H58" sqref="H58"/>
      <selection pane="bottomLeft" activeCell="H58" sqref="H58"/>
      <selection pane="bottomRight" activeCell="H58" sqref="H58"/>
    </sheetView>
  </sheetViews>
  <sheetFormatPr baseColWidth="10" defaultColWidth="0" defaultRowHeight="13.8" outlineLevelRow="3"/>
  <cols>
    <col min="1" max="2" width="2" style="553" customWidth="1"/>
    <col min="3" max="3" width="91.44140625" style="553" bestFit="1" customWidth="1"/>
    <col min="4" max="4" width="1" style="553" customWidth="1"/>
    <col min="5" max="5" width="29" style="553" customWidth="1"/>
    <col min="6" max="6" width="16" style="553" customWidth="1"/>
    <col min="7" max="7" width="5" style="553" customWidth="1"/>
    <col min="8" max="8" width="29" style="553" customWidth="1"/>
    <col min="9" max="9" width="16" style="553" customWidth="1"/>
    <col min="10" max="10" width="7" style="553" customWidth="1"/>
    <col min="11" max="11" width="1.44140625" style="553" customWidth="1"/>
    <col min="12" max="12" width="2" style="553" customWidth="1"/>
    <col min="13" max="13" width="2" style="553" hidden="1" customWidth="1"/>
    <col min="14" max="14" width="73" style="766" hidden="1" customWidth="1"/>
    <col min="15" max="15" width="15" style="553" hidden="1" customWidth="1"/>
    <col min="16" max="16" width="11.44140625" style="767" hidden="1" customWidth="1"/>
    <col min="17" max="8024" width="0" style="553" hidden="1" customWidth="1"/>
    <col min="8025" max="16384" width="11.44140625" style="553" hidden="1"/>
  </cols>
  <sheetData>
    <row r="1" spans="3:26" ht="20.25" customHeight="1">
      <c r="N1" s="553"/>
      <c r="P1" s="553"/>
      <c r="Q1" s="605"/>
      <c r="U1" s="606"/>
      <c r="Z1" s="607"/>
    </row>
    <row r="2" spans="3:26" ht="9" customHeight="1">
      <c r="N2" s="553"/>
      <c r="P2" s="553"/>
      <c r="Q2" s="605"/>
      <c r="U2" s="606"/>
      <c r="Z2" s="607"/>
    </row>
    <row r="3" spans="3:26" ht="15" customHeight="1">
      <c r="N3" s="553"/>
      <c r="P3" s="553"/>
      <c r="Q3" s="605"/>
      <c r="U3" s="606"/>
      <c r="Z3" s="607"/>
    </row>
    <row r="4" spans="3:26" ht="15" customHeight="1">
      <c r="N4" s="553"/>
      <c r="P4" s="553"/>
      <c r="Q4" s="605"/>
      <c r="U4" s="606"/>
      <c r="Z4" s="607"/>
    </row>
    <row r="5" spans="3:26" ht="30">
      <c r="C5" s="563" t="str">
        <f>+MENU!C5</f>
        <v>Sociedad:</v>
      </c>
      <c r="E5" s="1098" t="str">
        <f>+MENU!E5</f>
        <v>MARIO PILATO BLAT, S.A.</v>
      </c>
      <c r="F5" s="1098"/>
      <c r="G5" s="1098"/>
      <c r="H5" s="1098"/>
      <c r="J5" s="555"/>
    </row>
    <row r="7" spans="3:26" ht="17.399999999999999">
      <c r="C7" s="604" t="s">
        <v>181</v>
      </c>
      <c r="E7" s="2250">
        <f>+MENU!D7</f>
        <v>45657</v>
      </c>
      <c r="F7" s="2250"/>
      <c r="J7" s="610"/>
    </row>
    <row r="8" spans="3:26" ht="6" customHeight="1">
      <c r="C8" s="612"/>
      <c r="E8" s="613"/>
      <c r="F8" s="613"/>
      <c r="G8" s="613"/>
      <c r="H8" s="613"/>
      <c r="I8" s="613"/>
      <c r="J8" s="613"/>
      <c r="N8" s="553"/>
      <c r="P8" s="553"/>
      <c r="Q8" s="605"/>
      <c r="U8" s="606"/>
      <c r="Z8" s="607"/>
    </row>
    <row r="9" spans="3:26" ht="6" customHeight="1">
      <c r="N9" s="553"/>
      <c r="P9" s="553"/>
      <c r="Q9" s="605"/>
      <c r="U9" s="606"/>
      <c r="Z9" s="607"/>
    </row>
    <row r="10" spans="3:26" ht="6" customHeight="1">
      <c r="N10" s="553"/>
      <c r="P10" s="553"/>
      <c r="Q10" s="605"/>
      <c r="U10" s="606"/>
      <c r="Z10" s="607"/>
    </row>
    <row r="11" spans="3:26" ht="15.6">
      <c r="E11" s="730">
        <f>+E7</f>
        <v>45657</v>
      </c>
      <c r="F11" s="733" t="s">
        <v>180</v>
      </c>
      <c r="H11" s="730">
        <v>45291</v>
      </c>
      <c r="I11" s="733" t="s">
        <v>180</v>
      </c>
    </row>
    <row r="12" spans="3:26" ht="15.6">
      <c r="E12" s="615"/>
      <c r="F12" s="615"/>
      <c r="H12" s="615"/>
      <c r="I12" s="615"/>
    </row>
    <row r="13" spans="3:26" ht="15.6">
      <c r="C13" s="768" t="s">
        <v>182</v>
      </c>
      <c r="E13" s="769"/>
      <c r="F13" s="1128" t="str">
        <f ca="1">IF($E$15=0,"",IF(E13=0,"",E13/$E$15))</f>
        <v/>
      </c>
      <c r="H13" s="769"/>
      <c r="I13" s="1128" t="s">
        <v>1392</v>
      </c>
      <c r="N13" s="770" t="s">
        <v>182</v>
      </c>
      <c r="O13" s="771"/>
      <c r="P13" s="772"/>
      <c r="Q13" s="771"/>
    </row>
    <row r="14" spans="3:26">
      <c r="C14" s="773"/>
      <c r="E14" s="773"/>
      <c r="F14" s="1129" t="str">
        <f ca="1">IF($E$15=0,"",IF(E14=0,"",E14/$E$15))</f>
        <v/>
      </c>
      <c r="H14" s="773"/>
      <c r="I14" s="1129" t="s">
        <v>1392</v>
      </c>
      <c r="N14" s="553"/>
      <c r="P14" s="553"/>
    </row>
    <row r="15" spans="3:26" outlineLevel="1">
      <c r="C15" s="774" t="s">
        <v>193</v>
      </c>
      <c r="E15" s="775">
        <f ca="1">SUM(E16:E17)</f>
        <v>73783040.270000011</v>
      </c>
      <c r="F15" s="1130">
        <f ca="1">IF($E$15=0,"",IF(E15=0,"",E15/$E$15))</f>
        <v>1</v>
      </c>
      <c r="H15" s="775">
        <v>64662452.839999996</v>
      </c>
      <c r="I15" s="1130">
        <v>1</v>
      </c>
      <c r="N15" s="776" t="s">
        <v>193</v>
      </c>
      <c r="O15" s="771"/>
      <c r="P15" s="772"/>
      <c r="Q15" s="771"/>
    </row>
    <row r="16" spans="3:26" ht="18" customHeight="1" outlineLevel="2">
      <c r="C16" s="777" t="s">
        <v>183</v>
      </c>
      <c r="E16" s="778">
        <f ca="1">-+SUMIF($N$16:$N$1704,C16,$O$16:$O$1704)</f>
        <v>72105843.13000001</v>
      </c>
      <c r="F16" s="1131">
        <f t="shared" ref="F16:F81" ca="1" si="0">IF($E$15=0,"",IF(E16=0,"",E16/$E$15))</f>
        <v>0.97726852764724115</v>
      </c>
      <c r="G16" s="707"/>
      <c r="H16" s="778">
        <v>63450595.639999993</v>
      </c>
      <c r="I16" s="1131">
        <v>0.98125871898180839</v>
      </c>
      <c r="N16" s="779" t="s">
        <v>183</v>
      </c>
      <c r="O16" s="780">
        <f ca="1">SUM(O17:O99)</f>
        <v>-72105843.13000001</v>
      </c>
      <c r="P16" s="772" t="s">
        <v>230</v>
      </c>
      <c r="Q16" s="771"/>
    </row>
    <row r="17" spans="3:17" ht="18" customHeight="1" outlineLevel="2">
      <c r="C17" s="777" t="s">
        <v>184</v>
      </c>
      <c r="E17" s="778">
        <f ca="1">-+SUMIF($N$16:$N$1704,C17,$O$16:$O$1704)</f>
        <v>1677197.1400000001</v>
      </c>
      <c r="F17" s="1131">
        <f t="shared" ca="1" si="0"/>
        <v>2.2731472352758877E-2</v>
      </c>
      <c r="G17" s="707"/>
      <c r="H17" s="778">
        <v>1211857.2</v>
      </c>
      <c r="I17" s="1131">
        <v>1.8741281018191575E-2</v>
      </c>
      <c r="N17" s="781">
        <v>7000</v>
      </c>
      <c r="O17" s="662">
        <f ca="1">+SUMIF(SYS_4_3_Digitos!$M$5:$M$1682,N17,SYS_4_3_Digitos!$N$5:$N$1682)</f>
        <v>-23781582.580000002</v>
      </c>
      <c r="P17" s="772"/>
      <c r="Q17" s="771"/>
    </row>
    <row r="18" spans="3:17" outlineLevel="1">
      <c r="C18" s="774" t="s">
        <v>192</v>
      </c>
      <c r="E18" s="775">
        <f ca="1">-+SUMIF($N$16:$N$1704,C18,$O$16:$O$1704)</f>
        <v>-2581878.4300000002</v>
      </c>
      <c r="F18" s="1131">
        <f t="shared" ca="1" si="0"/>
        <v>-3.4992844162451589E-2</v>
      </c>
      <c r="G18" s="707"/>
      <c r="H18" s="775">
        <v>875442.74</v>
      </c>
      <c r="I18" s="1131">
        <v>1.3538656539463251E-2</v>
      </c>
      <c r="N18" s="781">
        <v>7001</v>
      </c>
      <c r="O18" s="662">
        <f>+SUMIF(SYS_4_3_Digitos!$M$5:$M$1682,N18,SYS_4_3_Digitos!$N$5:$N$1682)</f>
        <v>0</v>
      </c>
      <c r="P18" s="772"/>
      <c r="Q18" s="771"/>
    </row>
    <row r="19" spans="3:17" outlineLevel="1">
      <c r="C19" s="774" t="s">
        <v>185</v>
      </c>
      <c r="E19" s="775">
        <f ca="1">-+SUMIF($N$16:$N$1704,C19,$O$16:$O$1704)</f>
        <v>0</v>
      </c>
      <c r="F19" s="1131" t="str">
        <f t="shared" ca="1" si="0"/>
        <v/>
      </c>
      <c r="G19" s="707"/>
      <c r="H19" s="775">
        <v>0</v>
      </c>
      <c r="I19" s="1131" t="s">
        <v>1392</v>
      </c>
      <c r="N19" s="781">
        <v>7002</v>
      </c>
      <c r="O19" s="662">
        <f>+SUMIF(SYS_4_3_Digitos!$M$5:$M$1682,N19,SYS_4_3_Digitos!$N$5:$N$1682)</f>
        <v>0</v>
      </c>
      <c r="P19" s="772"/>
      <c r="Q19" s="771"/>
    </row>
    <row r="20" spans="3:17" outlineLevel="1">
      <c r="C20" s="774" t="s">
        <v>186</v>
      </c>
      <c r="E20" s="775">
        <f ca="1">SUM(E21:E24)</f>
        <v>-56934408.459999993</v>
      </c>
      <c r="F20" s="1130">
        <f t="shared" ca="1" si="0"/>
        <v>-0.77164627876074898</v>
      </c>
      <c r="G20" s="707"/>
      <c r="H20" s="775">
        <v>-50758502.209999993</v>
      </c>
      <c r="I20" s="1130">
        <v>-0.78497644275258516</v>
      </c>
      <c r="N20" s="781">
        <v>7003</v>
      </c>
      <c r="O20" s="662">
        <f>+SUMIF(SYS_4_3_Digitos!$M$5:$M$1682,N20,SYS_4_3_Digitos!$N$5:$N$1682)</f>
        <v>0</v>
      </c>
      <c r="P20" s="772"/>
      <c r="Q20" s="771"/>
    </row>
    <row r="21" spans="3:17" ht="18" customHeight="1" outlineLevel="2">
      <c r="C21" s="777" t="s">
        <v>188</v>
      </c>
      <c r="E21" s="700">
        <f ca="1">-+SUMIF($N$16:$N$1704,C21,$O$16:$O$1704)</f>
        <v>-20447396.180000003</v>
      </c>
      <c r="F21" s="1131">
        <f t="shared" ca="1" si="0"/>
        <v>-0.27712867489839477</v>
      </c>
      <c r="G21" s="707"/>
      <c r="H21" s="700">
        <v>-19882472.609999999</v>
      </c>
      <c r="I21" s="1131">
        <v>-0.30748095280574883</v>
      </c>
      <c r="N21" s="781">
        <v>7004</v>
      </c>
      <c r="O21" s="662">
        <f>+SUMIF(SYS_4_3_Digitos!$M$5:$M$1682,N21,SYS_4_3_Digitos!$N$5:$N$1682)</f>
        <v>0</v>
      </c>
      <c r="P21" s="772"/>
      <c r="Q21" s="771"/>
    </row>
    <row r="22" spans="3:17" ht="18" customHeight="1" outlineLevel="2">
      <c r="C22" s="777" t="s">
        <v>187</v>
      </c>
      <c r="E22" s="700">
        <f ca="1">-+SUMIF($N$16:$N$1704,C22,$O$16:$O$1704)</f>
        <v>-36487012.279999986</v>
      </c>
      <c r="F22" s="1131">
        <f t="shared" ca="1" si="0"/>
        <v>-0.4945176038623541</v>
      </c>
      <c r="G22" s="707"/>
      <c r="H22" s="700">
        <v>-30876029.599999994</v>
      </c>
      <c r="I22" s="1131">
        <v>-0.47749548994683627</v>
      </c>
      <c r="N22" s="781">
        <v>7005</v>
      </c>
      <c r="O22" s="662">
        <f>+SUMIF(SYS_4_3_Digitos!$M$5:$M$1682,N22,SYS_4_3_Digitos!$N$5:$N$1682)</f>
        <v>0</v>
      </c>
      <c r="P22" s="772"/>
      <c r="Q22" s="771"/>
    </row>
    <row r="23" spans="3:17" ht="18" customHeight="1" outlineLevel="2">
      <c r="C23" s="777" t="s">
        <v>189</v>
      </c>
      <c r="E23" s="700">
        <f ca="1">-+SUMIF($N$16:$N$1704,C23,$O$16:$O$1704)</f>
        <v>0</v>
      </c>
      <c r="F23" s="1131" t="str">
        <f ca="1">IF($E$15=0,"",IF(E23=0,"",E23/$E$15))</f>
        <v/>
      </c>
      <c r="G23" s="707"/>
      <c r="H23" s="700">
        <v>0</v>
      </c>
      <c r="I23" s="1131" t="s">
        <v>1392</v>
      </c>
      <c r="N23" s="781">
        <v>7006</v>
      </c>
      <c r="O23" s="662">
        <f>+SUMIF(SYS_4_3_Digitos!$M$5:$M$1682,N23,SYS_4_3_Digitos!$N$5:$N$1682)</f>
        <v>0</v>
      </c>
      <c r="P23" s="772"/>
      <c r="Q23" s="771"/>
    </row>
    <row r="24" spans="3:17" ht="18" customHeight="1" outlineLevel="2">
      <c r="C24" s="777" t="s">
        <v>190</v>
      </c>
      <c r="E24" s="700">
        <f>-+SUMIF($N$16:$N$1704,C24,$O$16:$O$1704)</f>
        <v>0</v>
      </c>
      <c r="F24" s="1131" t="str">
        <f t="shared" ca="1" si="0"/>
        <v/>
      </c>
      <c r="G24" s="707"/>
      <c r="H24" s="700">
        <v>0</v>
      </c>
      <c r="I24" s="1131" t="s">
        <v>1392</v>
      </c>
      <c r="N24" s="781">
        <v>7007</v>
      </c>
      <c r="O24" s="662">
        <f>+SUMIF(SYS_4_3_Digitos!$M$5:$M$1682,N24,SYS_4_3_Digitos!$N$5:$N$1682)</f>
        <v>0</v>
      </c>
      <c r="P24" s="772"/>
      <c r="Q24" s="771"/>
    </row>
    <row r="25" spans="3:17" ht="18" customHeight="1" outlineLevel="1">
      <c r="C25" s="777"/>
      <c r="E25" s="700"/>
      <c r="F25" s="1131"/>
      <c r="G25" s="707"/>
      <c r="H25" s="700"/>
      <c r="I25" s="1131"/>
      <c r="N25" s="781"/>
      <c r="O25" s="662"/>
      <c r="P25" s="772"/>
      <c r="Q25" s="771"/>
    </row>
    <row r="26" spans="3:17" ht="15.6">
      <c r="C26" s="1083" t="s">
        <v>1574</v>
      </c>
      <c r="E26" s="1084">
        <f ca="1">+E15+E18+E19+E20</f>
        <v>14266753.38000001</v>
      </c>
      <c r="F26" s="1132">
        <f ca="1">IF($E$15=0,"",IF(E26=0,"",E26/$E$15))</f>
        <v>0.19336087707679939</v>
      </c>
      <c r="H26" s="1084">
        <v>14779393.370000005</v>
      </c>
      <c r="I26" s="1132">
        <v>0.22856221378687813</v>
      </c>
      <c r="N26" s="770"/>
      <c r="O26" s="771"/>
      <c r="P26" s="772"/>
      <c r="Q26" s="771"/>
    </row>
    <row r="27" spans="3:17" ht="18" customHeight="1" outlineLevel="1">
      <c r="C27" s="777"/>
      <c r="E27" s="700"/>
      <c r="F27" s="1131"/>
      <c r="G27" s="707"/>
      <c r="H27" s="700"/>
      <c r="I27" s="1131"/>
      <c r="N27" s="781"/>
      <c r="O27" s="662"/>
      <c r="P27" s="772"/>
      <c r="Q27" s="771"/>
    </row>
    <row r="28" spans="3:17" outlineLevel="1">
      <c r="C28" s="774" t="s">
        <v>191</v>
      </c>
      <c r="E28" s="775">
        <f ca="1">SUM(E29:E30)</f>
        <v>20153.129999999997</v>
      </c>
      <c r="F28" s="1130">
        <f t="shared" ca="1" si="0"/>
        <v>2.7314041175657827E-4</v>
      </c>
      <c r="G28" s="707"/>
      <c r="H28" s="775">
        <v>144475.58000000002</v>
      </c>
      <c r="I28" s="1130">
        <v>2.2343040459273742E-3</v>
      </c>
      <c r="N28" s="781">
        <v>7008</v>
      </c>
      <c r="O28" s="662">
        <f>+SUMIF(SYS_4_3_Digitos!$M$5:$M$1682,N28,SYS_4_3_Digitos!$N$5:$N$1682)</f>
        <v>0</v>
      </c>
      <c r="P28" s="772"/>
      <c r="Q28" s="771"/>
    </row>
    <row r="29" spans="3:17" ht="18" customHeight="1" outlineLevel="2">
      <c r="C29" s="777" t="s">
        <v>194</v>
      </c>
      <c r="E29" s="700">
        <f ca="1">-+SUMIF($N$16:$N$1704,C29,$O$16:$O$1704)</f>
        <v>5048.42</v>
      </c>
      <c r="F29" s="1131">
        <f t="shared" ca="1" si="0"/>
        <v>6.8422499012319425E-5</v>
      </c>
      <c r="G29" s="707"/>
      <c r="H29" s="700">
        <v>2915.4</v>
      </c>
      <c r="I29" s="1131">
        <v>4.5086443089528808E-5</v>
      </c>
      <c r="N29" s="781">
        <v>7009</v>
      </c>
      <c r="O29" s="662">
        <f>+SUMIF(SYS_4_3_Digitos!$M$5:$M$1682,N29,SYS_4_3_Digitos!$N$5:$N$1682)</f>
        <v>0</v>
      </c>
      <c r="P29" s="772"/>
      <c r="Q29" s="771"/>
    </row>
    <row r="30" spans="3:17" ht="18" customHeight="1" outlineLevel="2">
      <c r="C30" s="777" t="s">
        <v>195</v>
      </c>
      <c r="E30" s="700">
        <f ca="1">-+SUMIF($N$16:$N$1704,C30,$O$16:$O$1704)</f>
        <v>15104.71</v>
      </c>
      <c r="F30" s="1131">
        <f t="shared" ca="1" si="0"/>
        <v>2.0471791274425885E-4</v>
      </c>
      <c r="G30" s="707"/>
      <c r="H30" s="700">
        <v>141560.18000000002</v>
      </c>
      <c r="I30" s="1131">
        <v>2.1892176028378454E-3</v>
      </c>
      <c r="N30" s="781">
        <v>7010</v>
      </c>
      <c r="O30" s="662">
        <f ca="1">+SUMIF(SYS_4_3_Digitos!$M$5:$M$1682,N30,SYS_4_3_Digitos!$N$5:$N$1682)</f>
        <v>-48356916.410000004</v>
      </c>
      <c r="P30" s="772"/>
      <c r="Q30" s="771"/>
    </row>
    <row r="31" spans="3:17" outlineLevel="1">
      <c r="C31" s="774" t="s">
        <v>196</v>
      </c>
      <c r="E31" s="775">
        <f ca="1">SUM(E32:E34)</f>
        <v>-4023844.96</v>
      </c>
      <c r="F31" s="1130">
        <f t="shared" ca="1" si="0"/>
        <v>-5.4536177220066179E-2</v>
      </c>
      <c r="G31" s="707"/>
      <c r="H31" s="775">
        <v>-3806847.7600000002</v>
      </c>
      <c r="I31" s="1130">
        <v>-5.8872616067002885E-2</v>
      </c>
      <c r="N31" s="781">
        <v>7011</v>
      </c>
      <c r="O31" s="662">
        <f>+SUMIF(SYS_4_3_Digitos!$M$5:$M$1682,N31,SYS_4_3_Digitos!$N$5:$N$1682)</f>
        <v>0</v>
      </c>
      <c r="P31" s="772"/>
      <c r="Q31" s="771"/>
    </row>
    <row r="32" spans="3:17" ht="18" customHeight="1" outlineLevel="2">
      <c r="C32" s="777" t="s">
        <v>197</v>
      </c>
      <c r="E32" s="700">
        <f ca="1">-+SUMIF($N$16:$N$1704,C32,$O$16:$O$1704)</f>
        <v>-3389614.36</v>
      </c>
      <c r="F32" s="1131">
        <f t="shared" ca="1" si="0"/>
        <v>-4.5940291259293747E-2</v>
      </c>
      <c r="G32" s="707"/>
      <c r="H32" s="700">
        <v>-3197444.2600000002</v>
      </c>
      <c r="I32" s="1131">
        <v>-4.9448236489137189E-2</v>
      </c>
      <c r="N32" s="781">
        <v>7012</v>
      </c>
      <c r="O32" s="662">
        <f>+SUMIF(SYS_4_3_Digitos!$M$5:$M$1682,N32,SYS_4_3_Digitos!$N$5:$N$1682)</f>
        <v>0</v>
      </c>
      <c r="P32" s="772"/>
      <c r="Q32" s="771"/>
    </row>
    <row r="33" spans="3:17" ht="18" customHeight="1" outlineLevel="2">
      <c r="C33" s="777" t="s">
        <v>198</v>
      </c>
      <c r="E33" s="700">
        <f ca="1">-+SUMIF($N$16:$N$1704,C33,$O$16:$O$1704)</f>
        <v>-634230.60000000009</v>
      </c>
      <c r="F33" s="1131">
        <f t="shared" ca="1" si="0"/>
        <v>-8.5958859607724314E-3</v>
      </c>
      <c r="G33" s="707"/>
      <c r="H33" s="700">
        <v>-609403.5</v>
      </c>
      <c r="I33" s="1131">
        <v>-9.4243795778657016E-3</v>
      </c>
      <c r="N33" s="781">
        <v>7013</v>
      </c>
      <c r="O33" s="662">
        <f>+SUMIF(SYS_4_3_Digitos!$M$5:$M$1682,N33,SYS_4_3_Digitos!$N$5:$N$1682)</f>
        <v>0</v>
      </c>
      <c r="P33" s="772"/>
      <c r="Q33" s="771"/>
    </row>
    <row r="34" spans="3:17" ht="18" customHeight="1" outlineLevel="2">
      <c r="C34" s="777" t="s">
        <v>199</v>
      </c>
      <c r="E34" s="700">
        <f ca="1">-+SUMIF($N$16:$N$1704,C34,$O$16:$O$1704)</f>
        <v>0</v>
      </c>
      <c r="F34" s="1131" t="str">
        <f t="shared" ca="1" si="0"/>
        <v/>
      </c>
      <c r="G34" s="707"/>
      <c r="H34" s="700">
        <v>0</v>
      </c>
      <c r="I34" s="1131" t="s">
        <v>1392</v>
      </c>
      <c r="N34" s="781">
        <v>7014</v>
      </c>
      <c r="O34" s="662">
        <f>+SUMIF(SYS_4_3_Digitos!$M$5:$M$1682,N34,SYS_4_3_Digitos!$N$5:$N$1682)</f>
        <v>0</v>
      </c>
      <c r="P34" s="772"/>
      <c r="Q34" s="771"/>
    </row>
    <row r="35" spans="3:17" outlineLevel="1">
      <c r="C35" s="774" t="s">
        <v>200</v>
      </c>
      <c r="E35" s="775">
        <f ca="1">SUM(E36:E39)</f>
        <v>-5007702.5199999996</v>
      </c>
      <c r="F35" s="1130">
        <f t="shared" ca="1" si="0"/>
        <v>-6.7870644821288531E-2</v>
      </c>
      <c r="G35" s="707"/>
      <c r="H35" s="775">
        <v>-4390163.2600000007</v>
      </c>
      <c r="I35" s="1130">
        <v>-6.7893546674806293E-2</v>
      </c>
      <c r="N35" s="781">
        <v>7015</v>
      </c>
      <c r="O35" s="662">
        <f>+SUMIF(SYS_4_3_Digitos!$M$5:$M$1682,N35,SYS_4_3_Digitos!$N$5:$N$1682)</f>
        <v>0</v>
      </c>
      <c r="P35" s="772"/>
      <c r="Q35" s="771"/>
    </row>
    <row r="36" spans="3:17" ht="18" customHeight="1" outlineLevel="2">
      <c r="C36" s="777" t="s">
        <v>201</v>
      </c>
      <c r="E36" s="700">
        <f t="shared" ref="E36:E42" ca="1" si="1">-+SUMIF($N$16:$N$1704,C36,$O$16:$O$1704)</f>
        <v>-4679720.6499999994</v>
      </c>
      <c r="F36" s="1131">
        <f t="shared" ca="1" si="0"/>
        <v>-6.3425424499656477E-2</v>
      </c>
      <c r="G36" s="707"/>
      <c r="H36" s="700">
        <v>-4249668.3800000008</v>
      </c>
      <c r="I36" s="1131">
        <v>-6.5720803856843008E-2</v>
      </c>
      <c r="N36" s="781">
        <v>7016</v>
      </c>
      <c r="O36" s="662">
        <f>+SUMIF(SYS_4_3_Digitos!$M$5:$M$1682,N36,SYS_4_3_Digitos!$N$5:$N$1682)</f>
        <v>0</v>
      </c>
      <c r="P36" s="772"/>
      <c r="Q36" s="771"/>
    </row>
    <row r="37" spans="3:17" ht="18" customHeight="1" outlineLevel="2">
      <c r="C37" s="777" t="s">
        <v>202</v>
      </c>
      <c r="E37" s="700">
        <f t="shared" ca="1" si="1"/>
        <v>-217821.86999999997</v>
      </c>
      <c r="F37" s="1131">
        <f t="shared" ca="1" si="0"/>
        <v>-2.952194287507095E-3</v>
      </c>
      <c r="G37" s="707"/>
      <c r="H37" s="700">
        <v>-139793.38</v>
      </c>
      <c r="I37" s="1131">
        <v>-2.1618941728966433E-3</v>
      </c>
      <c r="N37" s="781">
        <v>7017</v>
      </c>
      <c r="O37" s="662">
        <f>+SUMIF(SYS_4_3_Digitos!$M$5:$M$1682,N37,SYS_4_3_Digitos!$N$5:$N$1682)</f>
        <v>0</v>
      </c>
      <c r="P37" s="772"/>
      <c r="Q37" s="771"/>
    </row>
    <row r="38" spans="3:17" ht="18" customHeight="1" outlineLevel="2">
      <c r="C38" s="777" t="s">
        <v>203</v>
      </c>
      <c r="E38" s="700">
        <f t="shared" ca="1" si="1"/>
        <v>-110160</v>
      </c>
      <c r="F38" s="1131">
        <f t="shared" ca="1" si="0"/>
        <v>-1.4930260341249554E-3</v>
      </c>
      <c r="G38" s="707"/>
      <c r="H38" s="700">
        <v>-701.5</v>
      </c>
      <c r="I38" s="1131">
        <v>-1.0848645066647615E-5</v>
      </c>
      <c r="N38" s="781">
        <v>7018</v>
      </c>
      <c r="O38" s="662">
        <f>+SUMIF(SYS_4_3_Digitos!$M$5:$M$1682,N38,SYS_4_3_Digitos!$N$5:$N$1682)</f>
        <v>0</v>
      </c>
      <c r="P38" s="772"/>
      <c r="Q38" s="771"/>
    </row>
    <row r="39" spans="3:17" ht="18" customHeight="1" outlineLevel="2">
      <c r="C39" s="777" t="s">
        <v>204</v>
      </c>
      <c r="E39" s="700">
        <f t="shared" ca="1" si="1"/>
        <v>0</v>
      </c>
      <c r="F39" s="1131" t="str">
        <f t="shared" ca="1" si="0"/>
        <v/>
      </c>
      <c r="G39" s="707"/>
      <c r="H39" s="700">
        <v>0</v>
      </c>
      <c r="I39" s="1131" t="s">
        <v>1392</v>
      </c>
      <c r="N39" s="781">
        <v>7019</v>
      </c>
      <c r="O39" s="662">
        <f>+SUMIF(SYS_4_3_Digitos!$M$5:$M$1682,N39,SYS_4_3_Digitos!$N$5:$N$1682)</f>
        <v>0</v>
      </c>
      <c r="P39" s="772"/>
      <c r="Q39" s="771"/>
    </row>
    <row r="40" spans="3:17" outlineLevel="1">
      <c r="C40" s="774" t="s">
        <v>205</v>
      </c>
      <c r="E40" s="775">
        <f t="shared" ca="1" si="1"/>
        <v>-911037.11</v>
      </c>
      <c r="F40" s="1130">
        <f t="shared" ca="1" si="0"/>
        <v>-1.2347513827922665E-2</v>
      </c>
      <c r="G40" s="707"/>
      <c r="H40" s="775">
        <v>-836801.21</v>
      </c>
      <c r="I40" s="1130">
        <v>-1.2941068166259806E-2</v>
      </c>
      <c r="N40" s="781">
        <v>7020</v>
      </c>
      <c r="O40" s="662">
        <f ca="1">+SUMIF(SYS_4_3_Digitos!$M$5:$M$1682,N40,SYS_4_3_Digitos!$N$5:$N$1682)</f>
        <v>0</v>
      </c>
      <c r="P40" s="772"/>
      <c r="Q40" s="771"/>
    </row>
    <row r="41" spans="3:17" outlineLevel="1">
      <c r="C41" s="774" t="s">
        <v>206</v>
      </c>
      <c r="E41" s="775">
        <f t="shared" ca="1" si="1"/>
        <v>0</v>
      </c>
      <c r="F41" s="1131" t="str">
        <f t="shared" ca="1" si="0"/>
        <v/>
      </c>
      <c r="G41" s="707"/>
      <c r="H41" s="775">
        <v>0</v>
      </c>
      <c r="I41" s="1131" t="s">
        <v>1392</v>
      </c>
      <c r="N41" s="781">
        <v>7021</v>
      </c>
      <c r="O41" s="662">
        <f>+SUMIF(SYS_4_3_Digitos!$M$5:$M$1682,N41,SYS_4_3_Digitos!$N$5:$N$1682)</f>
        <v>0</v>
      </c>
      <c r="P41" s="772"/>
      <c r="Q41" s="771"/>
    </row>
    <row r="42" spans="3:17" outlineLevel="1">
      <c r="C42" s="774" t="s">
        <v>207</v>
      </c>
      <c r="E42" s="775">
        <f t="shared" si="1"/>
        <v>0</v>
      </c>
      <c r="F42" s="1131" t="str">
        <f t="shared" ca="1" si="0"/>
        <v/>
      </c>
      <c r="G42" s="707"/>
      <c r="H42" s="775">
        <v>0</v>
      </c>
      <c r="I42" s="1131" t="s">
        <v>1392</v>
      </c>
      <c r="N42" s="781">
        <v>7022</v>
      </c>
      <c r="O42" s="662">
        <f>+SUMIF(SYS_4_3_Digitos!$M$5:$M$1682,N42,SYS_4_3_Digitos!$N$5:$N$1682)</f>
        <v>0</v>
      </c>
      <c r="P42" s="772"/>
      <c r="Q42" s="771"/>
    </row>
    <row r="43" spans="3:17" outlineLevel="1">
      <c r="C43" s="774" t="s">
        <v>208</v>
      </c>
      <c r="E43" s="775">
        <f ca="1">SUM(E44:E45)</f>
        <v>4500</v>
      </c>
      <c r="F43" s="1130">
        <f t="shared" ca="1" si="0"/>
        <v>6.0989625576999817E-5</v>
      </c>
      <c r="G43" s="707"/>
      <c r="H43" s="775">
        <v>-23119</v>
      </c>
      <c r="I43" s="1130">
        <v>-3.5753360697908228E-4</v>
      </c>
      <c r="N43" s="781">
        <v>7023</v>
      </c>
      <c r="O43" s="662">
        <f>+SUMIF(SYS_4_3_Digitos!$M$5:$M$1682,N43,SYS_4_3_Digitos!$N$5:$N$1682)</f>
        <v>0</v>
      </c>
      <c r="P43" s="772"/>
      <c r="Q43" s="771"/>
    </row>
    <row r="44" spans="3:17" ht="18" customHeight="1" outlineLevel="2">
      <c r="C44" s="777" t="s">
        <v>209</v>
      </c>
      <c r="E44" s="700">
        <f ca="1">-+SUMIF($N$16:$N$1704,C44,$O$16:$O$1704)</f>
        <v>0</v>
      </c>
      <c r="F44" s="1131" t="str">
        <f t="shared" ca="1" si="0"/>
        <v/>
      </c>
      <c r="G44" s="707"/>
      <c r="H44" s="700">
        <v>0</v>
      </c>
      <c r="I44" s="1131" t="s">
        <v>1392</v>
      </c>
      <c r="N44" s="781">
        <v>7024</v>
      </c>
      <c r="O44" s="662">
        <f>+SUMIF(SYS_4_3_Digitos!$M$5:$M$1682,N44,SYS_4_3_Digitos!$N$5:$N$1682)</f>
        <v>0</v>
      </c>
      <c r="P44" s="772"/>
      <c r="Q44" s="771"/>
    </row>
    <row r="45" spans="3:17" ht="18" customHeight="1" outlineLevel="2">
      <c r="C45" s="777" t="s">
        <v>210</v>
      </c>
      <c r="E45" s="700">
        <f ca="1">-+SUMIF($N$16:$N$1704,C45,$O$16:$O$1704)</f>
        <v>4500</v>
      </c>
      <c r="F45" s="1131">
        <f t="shared" ca="1" si="0"/>
        <v>6.0989625576999817E-5</v>
      </c>
      <c r="G45" s="707"/>
      <c r="H45" s="700">
        <v>-23119</v>
      </c>
      <c r="I45" s="1131">
        <v>-3.5753360697908228E-4</v>
      </c>
      <c r="N45" s="781">
        <v>7025</v>
      </c>
      <c r="O45" s="662">
        <f>+SUMIF(SYS_4_3_Digitos!$M$5:$M$1682,N45,SYS_4_3_Digitos!$N$5:$N$1682)</f>
        <v>0</v>
      </c>
      <c r="P45" s="772"/>
      <c r="Q45" s="771"/>
    </row>
    <row r="46" spans="3:17" outlineLevel="1">
      <c r="C46" s="774" t="s">
        <v>1525</v>
      </c>
      <c r="E46" s="700">
        <f ca="1">-+SUMIF($N$16:$N$1704,C46,$O$16:$O$1704)</f>
        <v>0</v>
      </c>
      <c r="F46" s="1133" t="str">
        <f t="shared" ca="1" si="0"/>
        <v/>
      </c>
      <c r="G46" s="707"/>
      <c r="H46" s="700">
        <v>0</v>
      </c>
      <c r="I46" s="1133" t="s">
        <v>1392</v>
      </c>
      <c r="N46" s="781">
        <v>7026</v>
      </c>
      <c r="O46" s="662">
        <f>+SUMIF(SYS_4_3_Digitos!$M$5:$M$1682,N46,SYS_4_3_Digitos!$N$5:$N$1682)</f>
        <v>0</v>
      </c>
      <c r="P46" s="772"/>
      <c r="Q46" s="771"/>
    </row>
    <row r="47" spans="3:17" outlineLevel="1">
      <c r="C47" s="774" t="s">
        <v>1526</v>
      </c>
      <c r="E47" s="700">
        <f ca="1">-+SUMIF($N$16:$N$1704,C47,$O$16:$O$1704)</f>
        <v>265.43</v>
      </c>
      <c r="F47" s="1131">
        <f t="shared" ref="F47" ca="1" si="2">IF($E$15=0,"",IF(E47=0,"",E47/$E$15))</f>
        <v>3.5974391815340138E-6</v>
      </c>
      <c r="G47" s="707"/>
      <c r="H47" s="775">
        <v>1868.68</v>
      </c>
      <c r="I47" s="1131">
        <v>2.8898996526219623E-5</v>
      </c>
      <c r="N47" s="781">
        <v>7027</v>
      </c>
      <c r="O47" s="662">
        <f>+SUMIF(SYS_4_3_Digitos!$M$5:$M$1682,N47,SYS_4_3_Digitos!$N$5:$N$1682)</f>
        <v>0</v>
      </c>
      <c r="P47" s="772"/>
      <c r="Q47" s="771"/>
    </row>
    <row r="48" spans="3:17" outlineLevel="1">
      <c r="C48" s="774"/>
      <c r="E48" s="775"/>
      <c r="F48" s="1134"/>
      <c r="G48" s="707"/>
      <c r="H48" s="775"/>
      <c r="I48" s="1134"/>
      <c r="N48" s="781">
        <v>7028</v>
      </c>
      <c r="O48" s="662">
        <f>+SUMIF(SYS_4_3_Digitos!$M$5:$M$1682,N48,SYS_4_3_Digitos!$N$5:$N$1682)</f>
        <v>0</v>
      </c>
      <c r="P48" s="772"/>
      <c r="Q48" s="771"/>
    </row>
    <row r="49" spans="3:17" ht="15.6">
      <c r="C49" s="782" t="s">
        <v>211</v>
      </c>
      <c r="E49" s="769">
        <f ca="1">+E15+E18+E19+E20+E28+E31+E35+E40+E41+E42+E43+E46+E47</f>
        <v>4349087.3500000117</v>
      </c>
      <c r="F49" s="1135">
        <f ca="1">IF($E$15=0,"",IF(E49=0,"",E49/$E$15))</f>
        <v>5.8944268684037127E-2</v>
      </c>
      <c r="H49" s="769">
        <v>5868806.4000000041</v>
      </c>
      <c r="I49" s="1135">
        <v>9.0760652314283666E-2</v>
      </c>
      <c r="N49" s="781">
        <v>7029</v>
      </c>
      <c r="O49" s="662">
        <f>+SUMIF(SYS_4_3_Digitos!$M$5:$M$1682,N49,SYS_4_3_Digitos!$N$5:$N$1682)</f>
        <v>0</v>
      </c>
      <c r="P49" s="772"/>
      <c r="Q49" s="771"/>
    </row>
    <row r="50" spans="3:17">
      <c r="C50" s="783"/>
      <c r="E50" s="700"/>
      <c r="F50" s="1136" t="str">
        <f t="shared" ca="1" si="0"/>
        <v/>
      </c>
      <c r="G50" s="707"/>
      <c r="H50" s="700"/>
      <c r="I50" s="1136" t="s">
        <v>1392</v>
      </c>
      <c r="N50" s="781">
        <v>7030</v>
      </c>
      <c r="O50" s="662">
        <f ca="1">+SUMIF(SYS_4_3_Digitos!$M$5:$M$1682,N50,SYS_4_3_Digitos!$N$5:$N$1682)</f>
        <v>0</v>
      </c>
      <c r="P50" s="772"/>
      <c r="Q50" s="771"/>
    </row>
    <row r="51" spans="3:17" outlineLevel="1">
      <c r="C51" s="774" t="s">
        <v>1527</v>
      </c>
      <c r="E51" s="775">
        <f ca="1">+E52+E55</f>
        <v>8833666.9800000004</v>
      </c>
      <c r="F51" s="1137">
        <f t="shared" ca="1" si="0"/>
        <v>0.11972489812935705</v>
      </c>
      <c r="G51" s="707"/>
      <c r="H51" s="775">
        <v>6675954.0500000007</v>
      </c>
      <c r="I51" s="1137">
        <v>0.10324313039158756</v>
      </c>
      <c r="N51" s="781">
        <v>7031</v>
      </c>
      <c r="O51" s="662">
        <f>+SUMIF(SYS_4_3_Digitos!$M$5:$M$1682,N51,SYS_4_3_Digitos!$N$5:$N$1682)</f>
        <v>0</v>
      </c>
      <c r="P51" s="772"/>
      <c r="Q51" s="771"/>
    </row>
    <row r="52" spans="3:17" ht="18" customHeight="1" outlineLevel="2">
      <c r="C52" s="777" t="s">
        <v>213</v>
      </c>
      <c r="E52" s="700">
        <f ca="1">SUM(E53:E54)</f>
        <v>6524020.6900000004</v>
      </c>
      <c r="F52" s="1134">
        <f t="shared" ca="1" si="0"/>
        <v>8.8421684253266672E-2</v>
      </c>
      <c r="G52" s="707"/>
      <c r="H52" s="700">
        <v>5639886.1000000006</v>
      </c>
      <c r="I52" s="1134">
        <v>8.7220416985344926E-2</v>
      </c>
      <c r="N52" s="781">
        <v>7032</v>
      </c>
      <c r="O52" s="662">
        <f>+SUMIF(SYS_4_3_Digitos!$M$5:$M$1682,N52,SYS_4_3_Digitos!$N$5:$N$1682)</f>
        <v>0</v>
      </c>
      <c r="P52" s="772"/>
      <c r="Q52" s="771"/>
    </row>
    <row r="53" spans="3:17" ht="18" customHeight="1" outlineLevel="3">
      <c r="C53" s="784" t="s">
        <v>1554</v>
      </c>
      <c r="E53" s="700">
        <f ca="1">-+SUMIF($N$16:$N$1704,C53,$O$16:$O$1704)</f>
        <v>6524020.6900000004</v>
      </c>
      <c r="F53" s="1134">
        <f t="shared" ca="1" si="0"/>
        <v>8.8421684253266672E-2</v>
      </c>
      <c r="G53" s="707"/>
      <c r="H53" s="700">
        <v>5639886.1000000006</v>
      </c>
      <c r="I53" s="1134">
        <v>8.7220416985344926E-2</v>
      </c>
      <c r="N53" s="781">
        <v>7033</v>
      </c>
      <c r="O53" s="662">
        <f>+SUMIF(SYS_4_3_Digitos!$M$5:$M$1682,N53,SYS_4_3_Digitos!$N$5:$N$1682)</f>
        <v>0</v>
      </c>
      <c r="P53" s="772"/>
      <c r="Q53" s="771"/>
    </row>
    <row r="54" spans="3:17" ht="18" customHeight="1" outlineLevel="3">
      <c r="C54" s="784" t="s">
        <v>1555</v>
      </c>
      <c r="E54" s="700">
        <f>-+SUMIF($N$16:$N$1704,C54,$O$16:$O$1704)</f>
        <v>0</v>
      </c>
      <c r="F54" s="1134" t="str">
        <f t="shared" ca="1" si="0"/>
        <v/>
      </c>
      <c r="G54" s="707"/>
      <c r="H54" s="700">
        <v>0</v>
      </c>
      <c r="I54" s="1134" t="s">
        <v>1392</v>
      </c>
      <c r="N54" s="781">
        <v>7034</v>
      </c>
      <c r="O54" s="662">
        <f>+SUMIF(SYS_4_3_Digitos!$M$5:$M$1682,N54,SYS_4_3_Digitos!$N$5:$N$1682)</f>
        <v>0</v>
      </c>
      <c r="P54" s="772"/>
      <c r="Q54" s="771"/>
    </row>
    <row r="55" spans="3:17" ht="18" customHeight="1" outlineLevel="2">
      <c r="C55" s="777" t="s">
        <v>214</v>
      </c>
      <c r="E55" s="700">
        <f ca="1">SUM(E56:E57)</f>
        <v>2309646.29</v>
      </c>
      <c r="F55" s="1134">
        <f t="shared" ca="1" si="0"/>
        <v>3.1303213876090384E-2</v>
      </c>
      <c r="G55" s="707"/>
      <c r="H55" s="700">
        <v>1036067.9500000001</v>
      </c>
      <c r="I55" s="1134">
        <v>1.6022713406242634E-2</v>
      </c>
      <c r="N55" s="781">
        <v>7035</v>
      </c>
      <c r="O55" s="662">
        <f>+SUMIF(SYS_4_3_Digitos!$M$5:$M$1682,N55,SYS_4_3_Digitos!$N$5:$N$1682)</f>
        <v>0</v>
      </c>
      <c r="P55" s="772"/>
      <c r="Q55" s="771"/>
    </row>
    <row r="56" spans="3:17" ht="18" customHeight="1" outlineLevel="3">
      <c r="C56" s="784" t="s">
        <v>1556</v>
      </c>
      <c r="E56" s="700">
        <f ca="1">-+SUMIF($N$16:$N$1704,C56,$O$16:$O$1704)</f>
        <v>0</v>
      </c>
      <c r="F56" s="1134" t="str">
        <f t="shared" ca="1" si="0"/>
        <v/>
      </c>
      <c r="G56" s="707"/>
      <c r="H56" s="700">
        <v>0</v>
      </c>
      <c r="I56" s="1134" t="s">
        <v>1392</v>
      </c>
      <c r="N56" s="781">
        <v>7036</v>
      </c>
      <c r="O56" s="662">
        <f>+SUMIF(SYS_4_3_Digitos!$M$5:$M$1682,N56,SYS_4_3_Digitos!$N$5:$N$1682)</f>
        <v>0</v>
      </c>
      <c r="P56" s="772"/>
      <c r="Q56" s="771"/>
    </row>
    <row r="57" spans="3:17" ht="18" customHeight="1" outlineLevel="3">
      <c r="C57" s="784" t="s">
        <v>1557</v>
      </c>
      <c r="E57" s="700">
        <f ca="1">-+SUMIF($N$16:$N$1704,C57,$O$16:$O$1704)</f>
        <v>2309646.29</v>
      </c>
      <c r="F57" s="1134">
        <f t="shared" ca="1" si="0"/>
        <v>3.1303213876090384E-2</v>
      </c>
      <c r="G57" s="707"/>
      <c r="H57" s="700">
        <v>1036067.9500000001</v>
      </c>
      <c r="I57" s="1134">
        <v>1.6022713406242634E-2</v>
      </c>
      <c r="N57" s="781">
        <v>7037</v>
      </c>
      <c r="O57" s="662">
        <f>+SUMIF(SYS_4_3_Digitos!$M$5:$M$1682,N57,SYS_4_3_Digitos!$N$5:$N$1682)</f>
        <v>0</v>
      </c>
      <c r="P57" s="772"/>
      <c r="Q57" s="771"/>
    </row>
    <row r="58" spans="3:17" outlineLevel="1">
      <c r="C58" s="774" t="s">
        <v>1528</v>
      </c>
      <c r="E58" s="775">
        <f ca="1">SUM(E59:E61)</f>
        <v>-138283.04</v>
      </c>
      <c r="F58" s="1137">
        <f t="shared" ca="1" si="0"/>
        <v>-1.8741846296109531E-3</v>
      </c>
      <c r="G58" s="707"/>
      <c r="H58" s="775">
        <v>-175961.48</v>
      </c>
      <c r="I58" s="1137">
        <v>-2.7212311360256779E-3</v>
      </c>
      <c r="N58" s="781">
        <v>7038</v>
      </c>
      <c r="O58" s="662">
        <f>+SUMIF(SYS_4_3_Digitos!$M$5:$M$1682,N58,SYS_4_3_Digitos!$N$5:$N$1682)</f>
        <v>0</v>
      </c>
      <c r="P58" s="772"/>
      <c r="Q58" s="771"/>
    </row>
    <row r="59" spans="3:17" ht="18" customHeight="1" outlineLevel="2">
      <c r="C59" s="777" t="s">
        <v>216</v>
      </c>
      <c r="E59" s="700">
        <f ca="1">-+SUMIF($N$16:$N$1704,C59,$O$16:$O$1704)</f>
        <v>0</v>
      </c>
      <c r="F59" s="1134" t="str">
        <f t="shared" ca="1" si="0"/>
        <v/>
      </c>
      <c r="G59" s="707"/>
      <c r="H59" s="700">
        <v>0</v>
      </c>
      <c r="I59" s="1134" t="s">
        <v>1392</v>
      </c>
      <c r="N59" s="781">
        <v>7039</v>
      </c>
      <c r="O59" s="662">
        <f>+SUMIF(SYS_4_3_Digitos!$M$5:$M$1682,N59,SYS_4_3_Digitos!$N$5:$N$1682)</f>
        <v>0</v>
      </c>
      <c r="P59" s="772"/>
      <c r="Q59" s="771"/>
    </row>
    <row r="60" spans="3:17" ht="18" customHeight="1" outlineLevel="2">
      <c r="C60" s="777" t="s">
        <v>217</v>
      </c>
      <c r="E60" s="700">
        <f ca="1">-+SUMIF($N$16:$N$1704,C60,$O$16:$O$1704)</f>
        <v>-138283.04</v>
      </c>
      <c r="F60" s="1134">
        <f t="shared" ca="1" si="0"/>
        <v>-1.8741846296109531E-3</v>
      </c>
      <c r="G60" s="707"/>
      <c r="H60" s="700">
        <v>-175961.48</v>
      </c>
      <c r="I60" s="1134">
        <v>-2.7212311360256779E-3</v>
      </c>
      <c r="N60" s="781">
        <v>7040</v>
      </c>
      <c r="O60" s="662">
        <f ca="1">+SUMIF(SYS_4_3_Digitos!$M$5:$M$1682,N60,SYS_4_3_Digitos!$N$5:$N$1682)</f>
        <v>0</v>
      </c>
      <c r="P60" s="772"/>
      <c r="Q60" s="771"/>
    </row>
    <row r="61" spans="3:17" ht="18" customHeight="1" outlineLevel="2">
      <c r="C61" s="777" t="s">
        <v>218</v>
      </c>
      <c r="E61" s="700">
        <f ca="1">-+SUMIF($N$16:$N$1704,C61,$O$16:$O$1704)</f>
        <v>0</v>
      </c>
      <c r="F61" s="1134" t="str">
        <f t="shared" ca="1" si="0"/>
        <v/>
      </c>
      <c r="G61" s="707"/>
      <c r="H61" s="700">
        <v>0</v>
      </c>
      <c r="I61" s="1134" t="s">
        <v>1392</v>
      </c>
      <c r="N61" s="781">
        <v>7041</v>
      </c>
      <c r="O61" s="662">
        <f>+SUMIF(SYS_4_3_Digitos!$M$5:$M$1682,N61,SYS_4_3_Digitos!$N$5:$N$1682)</f>
        <v>0</v>
      </c>
      <c r="P61" s="772"/>
      <c r="Q61" s="771"/>
    </row>
    <row r="62" spans="3:17" outlineLevel="1">
      <c r="C62" s="774" t="s">
        <v>1529</v>
      </c>
      <c r="E62" s="775">
        <f ca="1">SUM(E63:E64)</f>
        <v>3504561.87</v>
      </c>
      <c r="F62" s="1137">
        <f t="shared" ca="1" si="0"/>
        <v>4.7498203613940068E-2</v>
      </c>
      <c r="G62" s="707"/>
      <c r="H62" s="775">
        <v>-10054.14</v>
      </c>
      <c r="I62" s="1137">
        <v>-1.5548652360710541E-4</v>
      </c>
      <c r="N62" s="781">
        <v>7042</v>
      </c>
      <c r="O62" s="662">
        <f>+SUMIF(SYS_4_3_Digitos!$M$5:$M$1682,N62,SYS_4_3_Digitos!$N$5:$N$1682)</f>
        <v>0</v>
      </c>
      <c r="P62" s="772"/>
      <c r="Q62" s="771"/>
    </row>
    <row r="63" spans="3:17" ht="18" customHeight="1" outlineLevel="2">
      <c r="C63" s="777" t="s">
        <v>220</v>
      </c>
      <c r="E63" s="700">
        <f ca="1">-+SUMIF($N$16:$N$1704,C63,$O$16:$O$1704)</f>
        <v>3504561.87</v>
      </c>
      <c r="F63" s="1134">
        <f t="shared" ca="1" si="0"/>
        <v>4.7498203613940068E-2</v>
      </c>
      <c r="G63" s="707"/>
      <c r="H63" s="700">
        <v>-10054.14</v>
      </c>
      <c r="I63" s="1134">
        <v>-1.5548652360710541E-4</v>
      </c>
      <c r="N63" s="781">
        <v>7043</v>
      </c>
      <c r="O63" s="662">
        <f>+SUMIF(SYS_4_3_Digitos!$M$5:$M$1682,N63,SYS_4_3_Digitos!$N$5:$N$1682)</f>
        <v>0</v>
      </c>
      <c r="P63" s="772"/>
      <c r="Q63" s="771"/>
    </row>
    <row r="64" spans="3:17" ht="18" customHeight="1" outlineLevel="2">
      <c r="C64" s="777" t="s">
        <v>221</v>
      </c>
      <c r="E64" s="700">
        <f>-+SUMIF($N$16:$N$1704,C64,$O$16:$O$1704)</f>
        <v>0</v>
      </c>
      <c r="F64" s="1134" t="str">
        <f t="shared" ca="1" si="0"/>
        <v/>
      </c>
      <c r="G64" s="707"/>
      <c r="H64" s="700">
        <v>0</v>
      </c>
      <c r="I64" s="1134" t="s">
        <v>1392</v>
      </c>
      <c r="N64" s="781">
        <v>7044</v>
      </c>
      <c r="O64" s="662">
        <f>+SUMIF(SYS_4_3_Digitos!$M$5:$M$1682,N64,SYS_4_3_Digitos!$N$5:$N$1682)</f>
        <v>0</v>
      </c>
      <c r="P64" s="772"/>
      <c r="Q64" s="771"/>
    </row>
    <row r="65" spans="3:17" outlineLevel="1">
      <c r="C65" s="774" t="s">
        <v>1530</v>
      </c>
      <c r="E65" s="775">
        <f ca="1">-+SUMIF($N$16:$N$1704,C65,$O$16:$O$1704)</f>
        <v>-3080.3499999999767</v>
      </c>
      <c r="F65" s="1134">
        <f t="shared" ca="1" si="0"/>
        <v>-4.1748754032468877E-5</v>
      </c>
      <c r="G65" s="707"/>
      <c r="H65" s="775">
        <v>-35293.140000000014</v>
      </c>
      <c r="I65" s="1134">
        <v>-5.4580577212758909E-4</v>
      </c>
      <c r="N65" s="781">
        <v>7045</v>
      </c>
      <c r="O65" s="662">
        <f>+SUMIF(SYS_4_3_Digitos!$M$5:$M$1682,N65,SYS_4_3_Digitos!$N$5:$N$1682)</f>
        <v>0</v>
      </c>
      <c r="P65" s="772"/>
      <c r="Q65" s="771"/>
    </row>
    <row r="66" spans="3:17" outlineLevel="1">
      <c r="C66" s="774" t="s">
        <v>1531</v>
      </c>
      <c r="E66" s="775">
        <f ca="1">SUM(E67:E68)</f>
        <v>639120.5</v>
      </c>
      <c r="F66" s="1137">
        <f t="shared" ca="1" si="0"/>
        <v>8.6621599985744237E-3</v>
      </c>
      <c r="G66" s="707"/>
      <c r="H66" s="775">
        <v>0</v>
      </c>
      <c r="I66" s="1137" t="s">
        <v>1392</v>
      </c>
      <c r="N66" s="781">
        <v>7046</v>
      </c>
      <c r="O66" s="662">
        <f>+SUMIF(SYS_4_3_Digitos!$M$5:$M$1682,N66,SYS_4_3_Digitos!$N$5:$N$1682)</f>
        <v>0</v>
      </c>
      <c r="P66" s="772"/>
      <c r="Q66" s="771"/>
    </row>
    <row r="67" spans="3:17" ht="18" customHeight="1" outlineLevel="2">
      <c r="C67" s="777" t="s">
        <v>268</v>
      </c>
      <c r="E67" s="700">
        <f ca="1">-+SUMIF($N$16:$N$1704,C67,$O$16:$O$1704)</f>
        <v>0</v>
      </c>
      <c r="F67" s="1134" t="str">
        <f t="shared" ca="1" si="0"/>
        <v/>
      </c>
      <c r="G67" s="707"/>
      <c r="H67" s="700">
        <v>0</v>
      </c>
      <c r="I67" s="1134" t="s">
        <v>1392</v>
      </c>
      <c r="N67" s="781">
        <v>7047</v>
      </c>
      <c r="O67" s="662">
        <f>+SUMIF(SYS_4_3_Digitos!$M$5:$M$1682,N67,SYS_4_3_Digitos!$N$5:$N$1682)</f>
        <v>0</v>
      </c>
      <c r="P67" s="772"/>
      <c r="Q67" s="771"/>
    </row>
    <row r="68" spans="3:17" ht="18" customHeight="1" outlineLevel="2">
      <c r="C68" s="777" t="s">
        <v>265</v>
      </c>
      <c r="E68" s="700">
        <f ca="1">-+SUMIF($N$16:$N$1704,C68,$O$16:$O$1704)</f>
        <v>639120.5</v>
      </c>
      <c r="F68" s="1134">
        <f t="shared" ca="1" si="0"/>
        <v>8.6621599985744237E-3</v>
      </c>
      <c r="G68" s="707"/>
      <c r="H68" s="700">
        <v>0</v>
      </c>
      <c r="I68" s="1134" t="s">
        <v>1392</v>
      </c>
      <c r="N68" s="781">
        <v>7048</v>
      </c>
      <c r="O68" s="662">
        <f>+SUMIF(SYS_4_3_Digitos!$M$5:$M$1682,N68,SYS_4_3_Digitos!$N$5:$N$1682)</f>
        <v>0</v>
      </c>
      <c r="P68" s="772"/>
      <c r="Q68" s="771"/>
    </row>
    <row r="69" spans="3:17" outlineLevel="1">
      <c r="C69" s="774" t="s">
        <v>1532</v>
      </c>
      <c r="E69" s="700">
        <v>0</v>
      </c>
      <c r="F69" s="1134"/>
      <c r="G69" s="707"/>
      <c r="H69" s="700">
        <v>0</v>
      </c>
      <c r="I69" s="1134"/>
      <c r="N69" s="781">
        <v>7049</v>
      </c>
      <c r="O69" s="662">
        <f>+SUMIF(SYS_4_3_Digitos!$M$5:$M$1682,N69,SYS_4_3_Digitos!$N$5:$N$1682)</f>
        <v>0</v>
      </c>
      <c r="P69" s="772"/>
      <c r="Q69" s="771"/>
    </row>
    <row r="70" spans="3:17">
      <c r="C70" s="783"/>
      <c r="E70" s="700"/>
      <c r="F70" s="1136" t="str">
        <f t="shared" ca="1" si="0"/>
        <v/>
      </c>
      <c r="G70" s="707"/>
      <c r="H70" s="700"/>
      <c r="I70" s="1136" t="s">
        <v>1392</v>
      </c>
      <c r="N70" s="781">
        <v>7060</v>
      </c>
      <c r="O70" s="662">
        <f ca="1">+SUMIF(SYS_4_3_Digitos!$M$5:$M$1682,N70,SYS_4_3_Digitos!$N$5:$N$1682)</f>
        <v>3003.21</v>
      </c>
      <c r="P70" s="772"/>
      <c r="Q70" s="771"/>
    </row>
    <row r="71" spans="3:17" ht="15.6">
      <c r="C71" s="782" t="s">
        <v>224</v>
      </c>
      <c r="E71" s="769">
        <f ca="1">+E51+E58+E62+E65+E66+E69</f>
        <v>12835985.960000003</v>
      </c>
      <c r="F71" s="1135">
        <f t="shared" ca="1" si="0"/>
        <v>0.17396932835822815</v>
      </c>
      <c r="H71" s="769">
        <v>6454645.290000001</v>
      </c>
      <c r="I71" s="1135">
        <v>9.9820606959827182E-2</v>
      </c>
      <c r="N71" s="781">
        <v>7061</v>
      </c>
      <c r="O71" s="662">
        <f>+SUMIF(SYS_4_3_Digitos!$M$5:$M$1682,N71,SYS_4_3_Digitos!$N$5:$N$1682)</f>
        <v>0</v>
      </c>
      <c r="P71" s="772"/>
      <c r="Q71" s="771"/>
    </row>
    <row r="72" spans="3:17">
      <c r="C72" s="573"/>
      <c r="E72" s="707"/>
      <c r="F72" s="1138" t="str">
        <f t="shared" ca="1" si="0"/>
        <v/>
      </c>
      <c r="G72" s="707"/>
      <c r="I72" s="1140" t="s">
        <v>1392</v>
      </c>
      <c r="N72" s="781">
        <v>7062</v>
      </c>
      <c r="O72" s="662">
        <f>+SUMIF(SYS_4_3_Digitos!$M$5:$M$1682,N72,SYS_4_3_Digitos!$N$5:$N$1682)</f>
        <v>0</v>
      </c>
      <c r="P72" s="772"/>
      <c r="Q72" s="771"/>
    </row>
    <row r="73" spans="3:17" ht="15.6">
      <c r="C73" s="782" t="s">
        <v>225</v>
      </c>
      <c r="E73" s="769">
        <f ca="1">+E49+E71</f>
        <v>17185073.310000014</v>
      </c>
      <c r="F73" s="1135">
        <f t="shared" ca="1" si="0"/>
        <v>0.23291359704226527</v>
      </c>
      <c r="H73" s="769">
        <v>12323451.690000005</v>
      </c>
      <c r="I73" s="1141">
        <v>0.19058125927411085</v>
      </c>
      <c r="N73" s="781">
        <v>7063</v>
      </c>
      <c r="O73" s="662">
        <f>+SUMIF(SYS_4_3_Digitos!$M$5:$M$1682,N73,SYS_4_3_Digitos!$N$5:$N$1682)</f>
        <v>0</v>
      </c>
      <c r="P73" s="772"/>
      <c r="Q73" s="771"/>
    </row>
    <row r="74" spans="3:17" outlineLevel="1">
      <c r="C74" s="573"/>
      <c r="E74" s="707"/>
      <c r="F74" s="1138" t="str">
        <f t="shared" ca="1" si="0"/>
        <v/>
      </c>
      <c r="G74" s="707"/>
      <c r="I74" s="1140" t="s">
        <v>1392</v>
      </c>
      <c r="N74" s="781">
        <v>7064</v>
      </c>
      <c r="O74" s="662">
        <f>+SUMIF(SYS_4_3_Digitos!$M$5:$M$1682,N74,SYS_4_3_Digitos!$N$5:$N$1682)</f>
        <v>0</v>
      </c>
      <c r="P74" s="772"/>
      <c r="Q74" s="771"/>
    </row>
    <row r="75" spans="3:17" outlineLevel="1">
      <c r="C75" s="785" t="s">
        <v>1533</v>
      </c>
      <c r="E75" s="786">
        <f ca="1">-+SUMIF($N$16:$N$1704,C75,$O$16:$O$1704)</f>
        <v>-2543572.9699999997</v>
      </c>
      <c r="F75" s="1139">
        <f t="shared" ca="1" si="0"/>
        <v>-3.4473680681794967E-2</v>
      </c>
      <c r="G75" s="707"/>
      <c r="H75" s="786">
        <v>-1518108.19</v>
      </c>
      <c r="I75" s="1139">
        <v>-2.3477429687927071E-2</v>
      </c>
      <c r="N75" s="781">
        <v>7065</v>
      </c>
      <c r="O75" s="662">
        <f>+SUMIF(SYS_4_3_Digitos!$M$5:$M$1682,N75,SYS_4_3_Digitos!$N$5:$N$1682)</f>
        <v>0</v>
      </c>
      <c r="P75" s="772"/>
      <c r="Q75" s="771"/>
    </row>
    <row r="76" spans="3:17">
      <c r="C76" s="573"/>
      <c r="E76" s="707"/>
      <c r="F76" s="1138" t="str">
        <f t="shared" ca="1" si="0"/>
        <v/>
      </c>
      <c r="G76" s="707"/>
      <c r="I76" s="1140" t="s">
        <v>1392</v>
      </c>
      <c r="N76" s="781">
        <v>7066</v>
      </c>
      <c r="O76" s="662">
        <f>+SUMIF(SYS_4_3_Digitos!$M$5:$M$1682,N76,SYS_4_3_Digitos!$N$5:$N$1682)</f>
        <v>0</v>
      </c>
      <c r="P76" s="772"/>
      <c r="Q76" s="771"/>
    </row>
    <row r="77" spans="3:17" ht="31.2">
      <c r="C77" s="782" t="s">
        <v>228</v>
      </c>
      <c r="E77" s="769">
        <f ca="1">+E73+E75</f>
        <v>14641500.340000015</v>
      </c>
      <c r="F77" s="1135">
        <f t="shared" ca="1" si="0"/>
        <v>0.19843991636047031</v>
      </c>
      <c r="H77" s="769">
        <v>10805343.500000006</v>
      </c>
      <c r="I77" s="1141">
        <v>0.16710382958618381</v>
      </c>
      <c r="N77" s="781">
        <v>7067</v>
      </c>
      <c r="O77" s="662">
        <f>+SUMIF(SYS_4_3_Digitos!$M$5:$M$1682,N77,SYS_4_3_Digitos!$N$5:$N$1682)</f>
        <v>0</v>
      </c>
      <c r="P77" s="772"/>
      <c r="Q77" s="771"/>
    </row>
    <row r="78" spans="3:17" outlineLevel="1">
      <c r="C78" s="573"/>
      <c r="E78" s="707"/>
      <c r="F78" s="1138" t="str">
        <f t="shared" ca="1" si="0"/>
        <v/>
      </c>
      <c r="G78" s="707"/>
      <c r="I78" s="1140" t="s">
        <v>1392</v>
      </c>
      <c r="N78" s="781">
        <v>7068</v>
      </c>
      <c r="O78" s="662">
        <f>+SUMIF(SYS_4_3_Digitos!$M$5:$M$1682,N78,SYS_4_3_Digitos!$N$5:$N$1682)</f>
        <v>0</v>
      </c>
      <c r="P78" s="772"/>
      <c r="Q78" s="771"/>
    </row>
    <row r="79" spans="3:17" outlineLevel="1">
      <c r="C79" s="785" t="s">
        <v>1534</v>
      </c>
      <c r="E79" s="786">
        <f>+SUMIF($N$16:$N$1704,C79,$O$16:$O$1704)</f>
        <v>0</v>
      </c>
      <c r="F79" s="1139" t="str">
        <f t="shared" ca="1" si="0"/>
        <v/>
      </c>
      <c r="G79" s="707"/>
      <c r="H79" s="786">
        <v>0</v>
      </c>
      <c r="I79" s="1139" t="s">
        <v>1392</v>
      </c>
      <c r="N79" s="781">
        <v>7069</v>
      </c>
      <c r="O79" s="662">
        <f>+SUMIF(SYS_4_3_Digitos!$M$5:$M$1682,N79,SYS_4_3_Digitos!$N$5:$N$1682)</f>
        <v>0</v>
      </c>
      <c r="P79" s="772"/>
      <c r="Q79" s="771"/>
    </row>
    <row r="80" spans="3:17">
      <c r="C80" s="573"/>
      <c r="E80" s="707"/>
      <c r="F80" s="1138" t="str">
        <f t="shared" ca="1" si="0"/>
        <v/>
      </c>
      <c r="G80" s="707"/>
      <c r="I80" s="1140" t="s">
        <v>1392</v>
      </c>
      <c r="N80" s="781">
        <v>7080</v>
      </c>
      <c r="O80" s="662">
        <f ca="1">+SUMIF(SYS_4_3_Digitos!$M$5:$M$1682,N80,SYS_4_3_Digitos!$N$5:$N$1682)</f>
        <v>0</v>
      </c>
      <c r="P80" s="772"/>
      <c r="Q80" s="771"/>
    </row>
    <row r="81" spans="3:17" ht="15.6">
      <c r="C81" s="782" t="s">
        <v>229</v>
      </c>
      <c r="E81" s="769">
        <f ca="1">+E77+E79</f>
        <v>14641500.340000015</v>
      </c>
      <c r="F81" s="1135">
        <f t="shared" ca="1" si="0"/>
        <v>0.19843991636047031</v>
      </c>
      <c r="H81" s="769">
        <v>10805343.500000006</v>
      </c>
      <c r="I81" s="1141">
        <v>0.16710382958618381</v>
      </c>
      <c r="N81" s="781">
        <v>7081</v>
      </c>
      <c r="O81" s="662">
        <f>+SUMIF(SYS_4_3_Digitos!$M$5:$M$1682,N81,SYS_4_3_Digitos!$N$5:$N$1682)</f>
        <v>0</v>
      </c>
      <c r="P81" s="772"/>
      <c r="Q81" s="771"/>
    </row>
    <row r="82" spans="3:17">
      <c r="C82" s="573"/>
      <c r="E82" s="707"/>
      <c r="F82" s="707"/>
      <c r="G82" s="707"/>
      <c r="N82" s="781">
        <v>7082</v>
      </c>
      <c r="O82" s="662">
        <f>+SUMIF(SYS_4_3_Digitos!$M$5:$M$1682,N82,SYS_4_3_Digitos!$N$5:$N$1682)</f>
        <v>0</v>
      </c>
      <c r="P82" s="772"/>
      <c r="Q82" s="771"/>
    </row>
    <row r="83" spans="3:17">
      <c r="C83" s="573"/>
      <c r="E83" s="707"/>
      <c r="F83" s="707"/>
      <c r="G83" s="707"/>
      <c r="N83" s="781">
        <v>7083</v>
      </c>
      <c r="O83" s="662">
        <f>+SUMIF(SYS_4_3_Digitos!$M$5:$M$1682,N83,SYS_4_3_Digitos!$N$5:$N$1682)</f>
        <v>0</v>
      </c>
      <c r="P83" s="772"/>
      <c r="Q83" s="771"/>
    </row>
    <row r="84" spans="3:17">
      <c r="C84" s="573"/>
      <c r="E84" s="707"/>
      <c r="F84" s="707"/>
      <c r="G84" s="707"/>
      <c r="N84" s="781">
        <v>7084</v>
      </c>
      <c r="O84" s="662">
        <f>+SUMIF(SYS_4_3_Digitos!$M$5:$M$1682,N84,SYS_4_3_Digitos!$N$5:$N$1682)</f>
        <v>0</v>
      </c>
      <c r="P84" s="772"/>
      <c r="Q84" s="771"/>
    </row>
    <row r="85" spans="3:17">
      <c r="C85" s="573"/>
      <c r="E85" s="707"/>
      <c r="F85" s="707"/>
      <c r="G85" s="707"/>
      <c r="N85" s="781">
        <v>7085</v>
      </c>
      <c r="O85" s="662">
        <f>+SUMIF(SYS_4_3_Digitos!$M$5:$M$1682,N85,SYS_4_3_Digitos!$N$5:$N$1682)</f>
        <v>0</v>
      </c>
      <c r="P85" s="772"/>
      <c r="Q85" s="771"/>
    </row>
    <row r="86" spans="3:17">
      <c r="C86" s="573"/>
      <c r="E86" s="707"/>
      <c r="F86" s="707"/>
      <c r="G86" s="707"/>
      <c r="N86" s="781">
        <v>7086</v>
      </c>
      <c r="O86" s="662">
        <f>+SUMIF(SYS_4_3_Digitos!$M$5:$M$1682,N86,SYS_4_3_Digitos!$N$5:$N$1682)</f>
        <v>0</v>
      </c>
      <c r="P86" s="772"/>
      <c r="Q86" s="771"/>
    </row>
    <row r="87" spans="3:17">
      <c r="C87" s="573"/>
      <c r="E87" s="707"/>
      <c r="F87" s="707"/>
      <c r="G87" s="707"/>
      <c r="N87" s="781">
        <v>7087</v>
      </c>
      <c r="O87" s="662">
        <f>+SUMIF(SYS_4_3_Digitos!$M$5:$M$1682,N87,SYS_4_3_Digitos!$N$5:$N$1682)</f>
        <v>0</v>
      </c>
      <c r="P87" s="772"/>
      <c r="Q87" s="771"/>
    </row>
    <row r="88" spans="3:17">
      <c r="C88" s="573"/>
      <c r="E88" s="707"/>
      <c r="F88" s="707"/>
      <c r="G88" s="707"/>
      <c r="N88" s="781">
        <v>7088</v>
      </c>
      <c r="O88" s="662">
        <f>+SUMIF(SYS_4_3_Digitos!$M$5:$M$1682,N88,SYS_4_3_Digitos!$N$5:$N$1682)</f>
        <v>0</v>
      </c>
      <c r="P88" s="772"/>
      <c r="Q88" s="771"/>
    </row>
    <row r="89" spans="3:17">
      <c r="C89" s="573"/>
      <c r="E89" s="707"/>
      <c r="F89" s="707"/>
      <c r="G89" s="707"/>
      <c r="N89" s="781">
        <v>7089</v>
      </c>
      <c r="O89" s="662">
        <f>+SUMIF(SYS_4_3_Digitos!$M$5:$M$1682,N89,SYS_4_3_Digitos!$N$5:$N$1682)</f>
        <v>0</v>
      </c>
      <c r="P89" s="772"/>
      <c r="Q89" s="771"/>
    </row>
    <row r="90" spans="3:17">
      <c r="C90" s="573"/>
      <c r="E90" s="707"/>
      <c r="F90" s="707"/>
      <c r="G90" s="707"/>
      <c r="N90" s="781">
        <v>7090</v>
      </c>
      <c r="O90" s="662">
        <f ca="1">+SUMIF(SYS_4_3_Digitos!$M$5:$M$1682,N90,SYS_4_3_Digitos!$N$5:$N$1682)</f>
        <v>29652.65</v>
      </c>
      <c r="P90" s="772"/>
      <c r="Q90" s="771"/>
    </row>
    <row r="91" spans="3:17">
      <c r="C91" s="573"/>
      <c r="E91" s="707"/>
      <c r="F91" s="707"/>
      <c r="G91" s="707"/>
      <c r="N91" s="781">
        <v>7091</v>
      </c>
      <c r="O91" s="662">
        <f>+SUMIF(SYS_4_3_Digitos!$M$5:$M$1682,N91,SYS_4_3_Digitos!$N$5:$N$1682)</f>
        <v>0</v>
      </c>
      <c r="P91" s="772"/>
      <c r="Q91" s="771"/>
    </row>
    <row r="92" spans="3:17">
      <c r="C92" s="573"/>
      <c r="E92" s="707"/>
      <c r="F92" s="707"/>
      <c r="G92" s="707"/>
      <c r="N92" s="781">
        <v>7092</v>
      </c>
      <c r="O92" s="662">
        <f>+SUMIF(SYS_4_3_Digitos!$M$5:$M$1682,N92,SYS_4_3_Digitos!$N$5:$N$1682)</f>
        <v>0</v>
      </c>
      <c r="P92" s="772"/>
      <c r="Q92" s="771"/>
    </row>
    <row r="93" spans="3:17">
      <c r="C93" s="573"/>
      <c r="E93" s="707"/>
      <c r="F93" s="707"/>
      <c r="G93" s="707"/>
      <c r="N93" s="781">
        <v>7093</v>
      </c>
      <c r="O93" s="662">
        <f>+SUMIF(SYS_4_3_Digitos!$M$5:$M$1682,N93,SYS_4_3_Digitos!$N$5:$N$1682)</f>
        <v>0</v>
      </c>
      <c r="P93" s="772"/>
      <c r="Q93" s="771"/>
    </row>
    <row r="94" spans="3:17">
      <c r="C94" s="573"/>
      <c r="E94" s="707"/>
      <c r="F94" s="707"/>
      <c r="G94" s="707"/>
      <c r="N94" s="781">
        <v>7094</v>
      </c>
      <c r="O94" s="662">
        <f>+SUMIF(SYS_4_3_Digitos!$M$5:$M$1682,N94,SYS_4_3_Digitos!$N$5:$N$1682)</f>
        <v>0</v>
      </c>
      <c r="P94" s="772"/>
      <c r="Q94" s="771"/>
    </row>
    <row r="95" spans="3:17">
      <c r="C95" s="573"/>
      <c r="E95" s="707"/>
      <c r="F95" s="707"/>
      <c r="G95" s="707"/>
      <c r="N95" s="781">
        <v>7095</v>
      </c>
      <c r="O95" s="662">
        <f>+SUMIF(SYS_4_3_Digitos!$M$5:$M$1682,N95,SYS_4_3_Digitos!$N$5:$N$1682)</f>
        <v>0</v>
      </c>
      <c r="P95" s="772"/>
      <c r="Q95" s="771"/>
    </row>
    <row r="96" spans="3:17">
      <c r="C96" s="573"/>
      <c r="E96" s="707"/>
      <c r="F96" s="707"/>
      <c r="G96" s="707"/>
      <c r="N96" s="781">
        <v>7096</v>
      </c>
      <c r="O96" s="662">
        <f>+SUMIF(SYS_4_3_Digitos!$M$5:$M$1682,N96,SYS_4_3_Digitos!$N$5:$N$1682)</f>
        <v>0</v>
      </c>
      <c r="P96" s="772"/>
      <c r="Q96" s="771"/>
    </row>
    <row r="97" spans="3:17">
      <c r="C97" s="573"/>
      <c r="E97" s="707"/>
      <c r="F97" s="707"/>
      <c r="G97" s="707"/>
      <c r="N97" s="781">
        <v>7097</v>
      </c>
      <c r="O97" s="662">
        <f>+SUMIF(SYS_4_3_Digitos!$M$5:$M$1682,N97,SYS_4_3_Digitos!$N$5:$N$1682)</f>
        <v>0</v>
      </c>
      <c r="P97" s="772"/>
      <c r="Q97" s="771"/>
    </row>
    <row r="98" spans="3:17">
      <c r="C98" s="573"/>
      <c r="E98" s="707"/>
      <c r="F98" s="707"/>
      <c r="G98" s="707"/>
      <c r="N98" s="781">
        <v>7098</v>
      </c>
      <c r="O98" s="662">
        <f>+SUMIF(SYS_4_3_Digitos!$M$5:$M$1682,N98,SYS_4_3_Digitos!$N$5:$N$1682)</f>
        <v>0</v>
      </c>
      <c r="P98" s="772"/>
      <c r="Q98" s="771"/>
    </row>
    <row r="99" spans="3:17">
      <c r="C99" s="573"/>
      <c r="E99" s="707"/>
      <c r="F99" s="707"/>
      <c r="G99" s="707"/>
      <c r="N99" s="781">
        <v>7099</v>
      </c>
      <c r="O99" s="662">
        <f>+SUMIF(SYS_4_3_Digitos!$M$5:$M$1682,N99,SYS_4_3_Digitos!$N$5:$N$1682)</f>
        <v>0</v>
      </c>
      <c r="P99" s="772"/>
      <c r="Q99" s="771"/>
    </row>
    <row r="100" spans="3:17">
      <c r="C100" s="573"/>
      <c r="E100" s="707"/>
      <c r="F100" s="707"/>
      <c r="G100" s="707"/>
      <c r="N100" s="779" t="s">
        <v>184</v>
      </c>
      <c r="O100" s="780">
        <f ca="1">SUM(O101:O110)</f>
        <v>-1677197.1400000001</v>
      </c>
      <c r="P100" s="772"/>
      <c r="Q100" s="771"/>
    </row>
    <row r="101" spans="3:17">
      <c r="C101" s="573"/>
      <c r="E101" s="707"/>
      <c r="F101" s="707"/>
      <c r="G101" s="707"/>
      <c r="N101" s="781">
        <v>7050</v>
      </c>
      <c r="O101" s="662">
        <f ca="1">+SUMIF(SYS_4_3_Digitos!$M$5:$M$1682,N101,SYS_4_3_Digitos!$N$5:$N$1682)</f>
        <v>-1677197.1400000001</v>
      </c>
      <c r="P101" s="772"/>
    </row>
    <row r="102" spans="3:17">
      <c r="C102" s="573"/>
      <c r="E102" s="707"/>
      <c r="F102" s="707"/>
      <c r="G102" s="707"/>
      <c r="N102" s="781">
        <v>7051</v>
      </c>
      <c r="O102" s="662">
        <f>+SUMIF(SYS_4_3_Digitos!$M$5:$M$1682,N102,SYS_4_3_Digitos!$N$5:$N$1682)</f>
        <v>0</v>
      </c>
      <c r="P102" s="772">
        <v>705</v>
      </c>
    </row>
    <row r="103" spans="3:17">
      <c r="C103" s="573"/>
      <c r="E103" s="707"/>
      <c r="F103" s="707"/>
      <c r="G103" s="707"/>
      <c r="N103" s="781">
        <v>7052</v>
      </c>
      <c r="O103" s="662">
        <f>+SUMIF(SYS_4_3_Digitos!$M$5:$M$1682,N103,SYS_4_3_Digitos!$N$5:$N$1682)</f>
        <v>0</v>
      </c>
      <c r="P103" s="772"/>
    </row>
    <row r="104" spans="3:17">
      <c r="C104" s="573"/>
      <c r="E104" s="707"/>
      <c r="F104" s="707"/>
      <c r="G104" s="707"/>
      <c r="N104" s="781">
        <v>7053</v>
      </c>
      <c r="O104" s="662">
        <f>+SUMIF(SYS_4_3_Digitos!$M$5:$M$1682,N104,SYS_4_3_Digitos!$N$5:$N$1682)</f>
        <v>0</v>
      </c>
      <c r="P104" s="772"/>
    </row>
    <row r="105" spans="3:17">
      <c r="C105" s="573"/>
      <c r="E105" s="707"/>
      <c r="F105" s="707"/>
      <c r="G105" s="707"/>
      <c r="N105" s="781">
        <v>7054</v>
      </c>
      <c r="O105" s="662">
        <f>+SUMIF(SYS_4_3_Digitos!$M$5:$M$1682,N105,SYS_4_3_Digitos!$N$5:$N$1682)</f>
        <v>0</v>
      </c>
      <c r="P105" s="772"/>
    </row>
    <row r="106" spans="3:17">
      <c r="C106" s="573"/>
      <c r="E106" s="707"/>
      <c r="F106" s="707"/>
      <c r="G106" s="707"/>
      <c r="N106" s="781">
        <v>7055</v>
      </c>
      <c r="O106" s="662">
        <f>+SUMIF(SYS_4_3_Digitos!$M$5:$M$1682,N106,SYS_4_3_Digitos!$N$5:$N$1682)</f>
        <v>0</v>
      </c>
      <c r="P106" s="772"/>
    </row>
    <row r="107" spans="3:17">
      <c r="C107" s="573"/>
      <c r="E107" s="707"/>
      <c r="F107" s="707"/>
      <c r="G107" s="707"/>
      <c r="N107" s="781">
        <v>7056</v>
      </c>
      <c r="O107" s="662">
        <f>+SUMIF(SYS_4_3_Digitos!$M$5:$M$1682,N107,SYS_4_3_Digitos!$N$5:$N$1682)</f>
        <v>0</v>
      </c>
      <c r="P107" s="772"/>
    </row>
    <row r="108" spans="3:17">
      <c r="C108" s="573"/>
      <c r="E108" s="707"/>
      <c r="F108" s="707"/>
      <c r="G108" s="707"/>
      <c r="N108" s="781">
        <v>7057</v>
      </c>
      <c r="O108" s="662">
        <f>+SUMIF(SYS_4_3_Digitos!$M$5:$M$1682,N108,SYS_4_3_Digitos!$N$5:$N$1682)</f>
        <v>0</v>
      </c>
      <c r="P108" s="772"/>
    </row>
    <row r="109" spans="3:17">
      <c r="C109" s="573"/>
      <c r="E109" s="707"/>
      <c r="F109" s="707"/>
      <c r="G109" s="707"/>
      <c r="N109" s="781">
        <v>7058</v>
      </c>
      <c r="O109" s="662">
        <f>+SUMIF(SYS_4_3_Digitos!$M$5:$M$1682,N109,SYS_4_3_Digitos!$N$5:$N$1682)</f>
        <v>0</v>
      </c>
      <c r="P109" s="772"/>
    </row>
    <row r="110" spans="3:17">
      <c r="C110" s="573"/>
      <c r="E110" s="707"/>
      <c r="F110" s="707"/>
      <c r="G110" s="707"/>
      <c r="N110" s="781">
        <v>7059</v>
      </c>
      <c r="O110" s="662">
        <f>+SUMIF(SYS_4_3_Digitos!$M$5:$M$1682,N110,SYS_4_3_Digitos!$N$5:$N$1682)</f>
        <v>0</v>
      </c>
      <c r="P110" s="772"/>
    </row>
    <row r="111" spans="3:17">
      <c r="C111" s="573"/>
      <c r="E111" s="707"/>
      <c r="F111" s="707"/>
      <c r="G111" s="707"/>
      <c r="N111" s="776" t="s">
        <v>192</v>
      </c>
      <c r="O111" s="787">
        <f ca="1">SUM(O112:O213)</f>
        <v>2581878.4300000002</v>
      </c>
      <c r="P111" s="772"/>
    </row>
    <row r="112" spans="3:17">
      <c r="C112" s="573"/>
      <c r="E112" s="707"/>
      <c r="F112" s="707"/>
      <c r="G112" s="707"/>
      <c r="N112" s="781">
        <v>6930</v>
      </c>
      <c r="O112" s="662">
        <f ca="1">+SUMIF(SYS_4_3_Digitos!$M$5:$M$1682,N112,SYS_4_3_Digitos!$N$5:$N$1682)</f>
        <v>0</v>
      </c>
      <c r="P112" s="772"/>
    </row>
    <row r="113" spans="3:16">
      <c r="C113" s="573"/>
      <c r="E113" s="707"/>
      <c r="F113" s="707"/>
      <c r="G113" s="707"/>
      <c r="N113" s="781">
        <v>7100</v>
      </c>
      <c r="O113" s="662">
        <f ca="1">+SUMIF(SYS_4_3_Digitos!$M$5:$M$1682,N113,SYS_4_3_Digitos!$N$5:$N$1682)</f>
        <v>0</v>
      </c>
      <c r="P113" s="772" t="s">
        <v>231</v>
      </c>
    </row>
    <row r="114" spans="3:16">
      <c r="C114" s="573"/>
      <c r="E114" s="707"/>
      <c r="F114" s="707"/>
      <c r="G114" s="707"/>
      <c r="N114" s="781">
        <v>7101</v>
      </c>
      <c r="O114" s="662">
        <f>+SUMIF(SYS_4_3_Digitos!$M$5:$M$1682,N114,SYS_4_3_Digitos!$N$5:$N$1682)</f>
        <v>0</v>
      </c>
      <c r="P114" s="772"/>
    </row>
    <row r="115" spans="3:16">
      <c r="C115" s="573"/>
      <c r="E115" s="707"/>
      <c r="F115" s="707"/>
      <c r="G115" s="707"/>
      <c r="N115" s="781">
        <v>7102</v>
      </c>
      <c r="O115" s="662">
        <f>+SUMIF(SYS_4_3_Digitos!$M$5:$M$1682,N115,SYS_4_3_Digitos!$N$5:$N$1682)</f>
        <v>0</v>
      </c>
      <c r="P115" s="772"/>
    </row>
    <row r="116" spans="3:16">
      <c r="C116" s="573"/>
      <c r="E116" s="707"/>
      <c r="F116" s="707"/>
      <c r="G116" s="707"/>
      <c r="N116" s="781">
        <v>7103</v>
      </c>
      <c r="O116" s="662">
        <f>+SUMIF(SYS_4_3_Digitos!$M$5:$M$1682,N116,SYS_4_3_Digitos!$N$5:$N$1682)</f>
        <v>0</v>
      </c>
      <c r="P116" s="772"/>
    </row>
    <row r="117" spans="3:16">
      <c r="C117" s="573"/>
      <c r="E117" s="707"/>
      <c r="F117" s="707"/>
      <c r="G117" s="707"/>
      <c r="N117" s="781">
        <v>7104</v>
      </c>
      <c r="O117" s="662">
        <f>+SUMIF(SYS_4_3_Digitos!$M$5:$M$1682,N117,SYS_4_3_Digitos!$N$5:$N$1682)</f>
        <v>0</v>
      </c>
      <c r="P117" s="772"/>
    </row>
    <row r="118" spans="3:16">
      <c r="C118" s="573"/>
      <c r="E118" s="707"/>
      <c r="F118" s="707"/>
      <c r="G118" s="707"/>
      <c r="N118" s="781">
        <v>7105</v>
      </c>
      <c r="O118" s="662">
        <f>+SUMIF(SYS_4_3_Digitos!$M$5:$M$1682,N118,SYS_4_3_Digitos!$N$5:$N$1682)</f>
        <v>0</v>
      </c>
      <c r="P118" s="772"/>
    </row>
    <row r="119" spans="3:16">
      <c r="C119" s="573"/>
      <c r="E119" s="707"/>
      <c r="F119" s="707"/>
      <c r="G119" s="707"/>
      <c r="N119" s="781">
        <v>7106</v>
      </c>
      <c r="O119" s="662">
        <f>+SUMIF(SYS_4_3_Digitos!$M$5:$M$1682,N119,SYS_4_3_Digitos!$N$5:$N$1682)</f>
        <v>0</v>
      </c>
      <c r="P119" s="772"/>
    </row>
    <row r="120" spans="3:16">
      <c r="C120" s="573"/>
      <c r="E120" s="707"/>
      <c r="F120" s="707"/>
      <c r="G120" s="707"/>
      <c r="N120" s="781">
        <v>7107</v>
      </c>
      <c r="O120" s="662">
        <f>+SUMIF(SYS_4_3_Digitos!$M$5:$M$1682,N120,SYS_4_3_Digitos!$N$5:$N$1682)</f>
        <v>0</v>
      </c>
      <c r="P120" s="772"/>
    </row>
    <row r="121" spans="3:16">
      <c r="C121" s="573"/>
      <c r="E121" s="707"/>
      <c r="F121" s="707"/>
      <c r="G121" s="707"/>
      <c r="N121" s="781">
        <v>7108</v>
      </c>
      <c r="O121" s="662">
        <f>+SUMIF(SYS_4_3_Digitos!$M$5:$M$1682,N121,SYS_4_3_Digitos!$N$5:$N$1682)</f>
        <v>0</v>
      </c>
      <c r="P121" s="772"/>
    </row>
    <row r="122" spans="3:16">
      <c r="C122" s="573"/>
      <c r="E122" s="707"/>
      <c r="F122" s="707"/>
      <c r="G122" s="707"/>
      <c r="N122" s="781">
        <v>7109</v>
      </c>
      <c r="O122" s="662">
        <f>+SUMIF(SYS_4_3_Digitos!$M$5:$M$1682,N122,SYS_4_3_Digitos!$N$5:$N$1682)</f>
        <v>0</v>
      </c>
      <c r="P122" s="772"/>
    </row>
    <row r="123" spans="3:16">
      <c r="C123" s="573"/>
      <c r="E123" s="707"/>
      <c r="F123" s="707"/>
      <c r="G123" s="707"/>
      <c r="N123" s="781">
        <v>7110</v>
      </c>
      <c r="O123" s="662">
        <f ca="1">+SUMIF(SYS_4_3_Digitos!$M$5:$M$1682,N123,SYS_4_3_Digitos!$N$5:$N$1682)</f>
        <v>0</v>
      </c>
      <c r="P123" s="772"/>
    </row>
    <row r="124" spans="3:16">
      <c r="C124" s="573"/>
      <c r="E124" s="707"/>
      <c r="F124" s="707"/>
      <c r="G124" s="707"/>
      <c r="N124" s="781">
        <v>7111</v>
      </c>
      <c r="O124" s="662">
        <f>+SUMIF(SYS_4_3_Digitos!$M$5:$M$1682,N124,SYS_4_3_Digitos!$N$5:$N$1682)</f>
        <v>0</v>
      </c>
      <c r="P124" s="772"/>
    </row>
    <row r="125" spans="3:16">
      <c r="C125" s="573"/>
      <c r="E125" s="707"/>
      <c r="F125" s="707"/>
      <c r="G125" s="707"/>
      <c r="N125" s="781">
        <v>7112</v>
      </c>
      <c r="O125" s="662">
        <f>+SUMIF(SYS_4_3_Digitos!$M$5:$M$1682,N125,SYS_4_3_Digitos!$N$5:$N$1682)</f>
        <v>0</v>
      </c>
      <c r="P125" s="772"/>
    </row>
    <row r="126" spans="3:16">
      <c r="C126" s="573"/>
      <c r="E126" s="707"/>
      <c r="F126" s="707"/>
      <c r="G126" s="707"/>
      <c r="N126" s="781">
        <v>7113</v>
      </c>
      <c r="O126" s="662">
        <f>+SUMIF(SYS_4_3_Digitos!$M$5:$M$1682,N126,SYS_4_3_Digitos!$N$5:$N$1682)</f>
        <v>0</v>
      </c>
      <c r="P126" s="772"/>
    </row>
    <row r="127" spans="3:16">
      <c r="C127" s="573"/>
      <c r="E127" s="707"/>
      <c r="F127" s="707"/>
      <c r="G127" s="707"/>
      <c r="N127" s="781">
        <v>7114</v>
      </c>
      <c r="O127" s="662">
        <f>+SUMIF(SYS_4_3_Digitos!$M$5:$M$1682,N127,SYS_4_3_Digitos!$N$5:$N$1682)</f>
        <v>0</v>
      </c>
      <c r="P127" s="772"/>
    </row>
    <row r="128" spans="3:16">
      <c r="C128" s="573"/>
      <c r="E128" s="707"/>
      <c r="F128" s="707"/>
      <c r="G128" s="707"/>
      <c r="N128" s="781">
        <v>7115</v>
      </c>
      <c r="O128" s="662">
        <f>+SUMIF(SYS_4_3_Digitos!$M$5:$M$1682,N128,SYS_4_3_Digitos!$N$5:$N$1682)</f>
        <v>0</v>
      </c>
      <c r="P128" s="772"/>
    </row>
    <row r="129" spans="3:16">
      <c r="C129" s="573"/>
      <c r="E129" s="707"/>
      <c r="F129" s="707"/>
      <c r="G129" s="707"/>
      <c r="N129" s="781">
        <v>7116</v>
      </c>
      <c r="O129" s="662">
        <f>+SUMIF(SYS_4_3_Digitos!$M$5:$M$1682,N129,SYS_4_3_Digitos!$N$5:$N$1682)</f>
        <v>0</v>
      </c>
      <c r="P129" s="772"/>
    </row>
    <row r="130" spans="3:16">
      <c r="C130" s="573"/>
      <c r="E130" s="707"/>
      <c r="F130" s="707"/>
      <c r="G130" s="707"/>
      <c r="N130" s="781">
        <v>7117</v>
      </c>
      <c r="O130" s="662">
        <f>+SUMIF(SYS_4_3_Digitos!$M$5:$M$1682,N130,SYS_4_3_Digitos!$N$5:$N$1682)</f>
        <v>0</v>
      </c>
      <c r="P130" s="772"/>
    </row>
    <row r="131" spans="3:16">
      <c r="C131" s="573"/>
      <c r="E131" s="707"/>
      <c r="F131" s="707"/>
      <c r="G131" s="707"/>
      <c r="N131" s="781">
        <v>7118</v>
      </c>
      <c r="O131" s="662">
        <f>+SUMIF(SYS_4_3_Digitos!$M$5:$M$1682,N131,SYS_4_3_Digitos!$N$5:$N$1682)</f>
        <v>0</v>
      </c>
      <c r="P131" s="772"/>
    </row>
    <row r="132" spans="3:16">
      <c r="C132" s="573"/>
      <c r="E132" s="707"/>
      <c r="F132" s="707"/>
      <c r="G132" s="707"/>
      <c r="N132" s="781">
        <v>7119</v>
      </c>
      <c r="O132" s="662">
        <f>+SUMIF(SYS_4_3_Digitos!$M$5:$M$1682,N132,SYS_4_3_Digitos!$N$5:$N$1682)</f>
        <v>0</v>
      </c>
      <c r="P132" s="772"/>
    </row>
    <row r="133" spans="3:16">
      <c r="C133" s="573"/>
      <c r="N133" s="781">
        <v>7120</v>
      </c>
      <c r="O133" s="662">
        <f ca="1">+SUMIF(SYS_4_3_Digitos!$M$5:$M$1682,N133,SYS_4_3_Digitos!$N$5:$N$1682)</f>
        <v>2581878.4300000002</v>
      </c>
      <c r="P133" s="772"/>
    </row>
    <row r="134" spans="3:16">
      <c r="C134" s="573"/>
      <c r="N134" s="781">
        <v>7121</v>
      </c>
      <c r="O134" s="662">
        <f>+SUMIF(SYS_4_3_Digitos!$M$5:$M$1682,N134,SYS_4_3_Digitos!$N$5:$N$1682)</f>
        <v>0</v>
      </c>
      <c r="P134" s="772"/>
    </row>
    <row r="135" spans="3:16">
      <c r="C135" s="573"/>
      <c r="N135" s="781">
        <v>7122</v>
      </c>
      <c r="O135" s="662">
        <f>+SUMIF(SYS_4_3_Digitos!$M$5:$M$1682,N135,SYS_4_3_Digitos!$N$5:$N$1682)</f>
        <v>0</v>
      </c>
      <c r="P135" s="772"/>
    </row>
    <row r="136" spans="3:16">
      <c r="C136" s="573"/>
      <c r="N136" s="781">
        <v>7123</v>
      </c>
      <c r="O136" s="662">
        <f>+SUMIF(SYS_4_3_Digitos!$M$5:$M$1682,N136,SYS_4_3_Digitos!$N$5:$N$1682)</f>
        <v>0</v>
      </c>
      <c r="P136" s="772"/>
    </row>
    <row r="137" spans="3:16">
      <c r="C137" s="573"/>
      <c r="N137" s="781">
        <v>7124</v>
      </c>
      <c r="O137" s="662">
        <f>+SUMIF(SYS_4_3_Digitos!$M$5:$M$1682,N137,SYS_4_3_Digitos!$N$5:$N$1682)</f>
        <v>0</v>
      </c>
      <c r="P137" s="772"/>
    </row>
    <row r="138" spans="3:16">
      <c r="C138" s="573"/>
      <c r="N138" s="781">
        <v>7125</v>
      </c>
      <c r="O138" s="662">
        <f>+SUMIF(SYS_4_3_Digitos!$M$5:$M$1682,N138,SYS_4_3_Digitos!$N$5:$N$1682)</f>
        <v>0</v>
      </c>
      <c r="P138" s="772"/>
    </row>
    <row r="139" spans="3:16">
      <c r="C139" s="573"/>
      <c r="N139" s="781">
        <v>7126</v>
      </c>
      <c r="O139" s="662">
        <f>+SUMIF(SYS_4_3_Digitos!$M$5:$M$1682,N139,SYS_4_3_Digitos!$N$5:$N$1682)</f>
        <v>0</v>
      </c>
      <c r="P139" s="772"/>
    </row>
    <row r="140" spans="3:16">
      <c r="C140" s="573"/>
      <c r="N140" s="781">
        <v>7127</v>
      </c>
      <c r="O140" s="662">
        <f>+SUMIF(SYS_4_3_Digitos!$M$5:$M$1682,N140,SYS_4_3_Digitos!$N$5:$N$1682)</f>
        <v>0</v>
      </c>
      <c r="P140" s="772"/>
    </row>
    <row r="141" spans="3:16">
      <c r="C141" s="573"/>
      <c r="N141" s="781">
        <v>7128</v>
      </c>
      <c r="O141" s="662">
        <f>+SUMIF(SYS_4_3_Digitos!$M$5:$M$1682,N141,SYS_4_3_Digitos!$N$5:$N$1682)</f>
        <v>0</v>
      </c>
      <c r="P141" s="772"/>
    </row>
    <row r="142" spans="3:16">
      <c r="C142" s="573"/>
      <c r="N142" s="781">
        <v>7129</v>
      </c>
      <c r="O142" s="662">
        <f>+SUMIF(SYS_4_3_Digitos!$M$5:$M$1682,N142,SYS_4_3_Digitos!$N$5:$N$1682)</f>
        <v>0</v>
      </c>
      <c r="P142" s="772"/>
    </row>
    <row r="143" spans="3:16">
      <c r="C143" s="573"/>
      <c r="N143" s="781">
        <v>7130</v>
      </c>
      <c r="O143" s="662">
        <f ca="1">+SUMIF(SYS_4_3_Digitos!$M$5:$M$1682,N143,SYS_4_3_Digitos!$N$5:$N$1682)</f>
        <v>0</v>
      </c>
      <c r="P143" s="772"/>
    </row>
    <row r="144" spans="3:16">
      <c r="C144" s="573"/>
      <c r="N144" s="781">
        <v>7131</v>
      </c>
      <c r="O144" s="662">
        <f>+SUMIF(SYS_4_3_Digitos!$M$5:$M$1682,N144,SYS_4_3_Digitos!$N$5:$N$1682)</f>
        <v>0</v>
      </c>
      <c r="P144" s="772"/>
    </row>
    <row r="145" spans="3:16">
      <c r="C145" s="573"/>
      <c r="N145" s="781">
        <v>7132</v>
      </c>
      <c r="O145" s="662">
        <f>+SUMIF(SYS_4_3_Digitos!$M$5:$M$1682,N145,SYS_4_3_Digitos!$N$5:$N$1682)</f>
        <v>0</v>
      </c>
      <c r="P145" s="772"/>
    </row>
    <row r="146" spans="3:16">
      <c r="C146" s="573"/>
      <c r="N146" s="781">
        <v>7133</v>
      </c>
      <c r="O146" s="662">
        <f>+SUMIF(SYS_4_3_Digitos!$M$5:$M$1682,N146,SYS_4_3_Digitos!$N$5:$N$1682)</f>
        <v>0</v>
      </c>
      <c r="P146" s="772"/>
    </row>
    <row r="147" spans="3:16">
      <c r="C147" s="573"/>
      <c r="N147" s="781">
        <v>7134</v>
      </c>
      <c r="O147" s="662">
        <f>+SUMIF(SYS_4_3_Digitos!$M$5:$M$1682,N147,SYS_4_3_Digitos!$N$5:$N$1682)</f>
        <v>0</v>
      </c>
      <c r="P147" s="772"/>
    </row>
    <row r="148" spans="3:16">
      <c r="C148" s="573"/>
      <c r="N148" s="781">
        <v>7135</v>
      </c>
      <c r="O148" s="662">
        <f>+SUMIF(SYS_4_3_Digitos!$M$5:$M$1682,N148,SYS_4_3_Digitos!$N$5:$N$1682)</f>
        <v>0</v>
      </c>
      <c r="P148" s="772"/>
    </row>
    <row r="149" spans="3:16">
      <c r="C149" s="573"/>
      <c r="N149" s="781">
        <v>7136</v>
      </c>
      <c r="O149" s="662">
        <f>+SUMIF(SYS_4_3_Digitos!$M$5:$M$1682,N149,SYS_4_3_Digitos!$N$5:$N$1682)</f>
        <v>0</v>
      </c>
      <c r="P149" s="772"/>
    </row>
    <row r="150" spans="3:16">
      <c r="N150" s="781">
        <v>7137</v>
      </c>
      <c r="O150" s="662">
        <f>+SUMIF(SYS_4_3_Digitos!$M$5:$M$1682,N150,SYS_4_3_Digitos!$N$5:$N$1682)</f>
        <v>0</v>
      </c>
      <c r="P150" s="772"/>
    </row>
    <row r="151" spans="3:16">
      <c r="N151" s="781">
        <v>7138</v>
      </c>
      <c r="O151" s="662">
        <f>+SUMIF(SYS_4_3_Digitos!$M$5:$M$1682,N151,SYS_4_3_Digitos!$N$5:$N$1682)</f>
        <v>0</v>
      </c>
      <c r="P151" s="772"/>
    </row>
    <row r="152" spans="3:16">
      <c r="N152" s="781">
        <v>7139</v>
      </c>
      <c r="O152" s="662">
        <f>+SUMIF(SYS_4_3_Digitos!$M$5:$M$1682,N152,SYS_4_3_Digitos!$N$5:$N$1682)</f>
        <v>0</v>
      </c>
      <c r="P152" s="772"/>
    </row>
    <row r="153" spans="3:16">
      <c r="N153" s="781">
        <v>7140</v>
      </c>
      <c r="O153" s="662">
        <f>+SUMIF(SYS_4_3_Digitos!$M$5:$M$1682,N153,SYS_4_3_Digitos!$N$5:$N$1682)</f>
        <v>0</v>
      </c>
      <c r="P153" s="772"/>
    </row>
    <row r="154" spans="3:16">
      <c r="N154" s="781">
        <v>7141</v>
      </c>
      <c r="O154" s="662">
        <f>+SUMIF(SYS_4_3_Digitos!$M$5:$M$1682,N154,SYS_4_3_Digitos!$N$5:$N$1682)</f>
        <v>0</v>
      </c>
      <c r="P154" s="772"/>
    </row>
    <row r="155" spans="3:16">
      <c r="N155" s="781">
        <v>7142</v>
      </c>
      <c r="O155" s="662">
        <f>+SUMIF(SYS_4_3_Digitos!$M$5:$M$1682,N155,SYS_4_3_Digitos!$N$5:$N$1682)</f>
        <v>0</v>
      </c>
      <c r="P155" s="772"/>
    </row>
    <row r="156" spans="3:16">
      <c r="N156" s="781">
        <v>7143</v>
      </c>
      <c r="O156" s="662">
        <f>+SUMIF(SYS_4_3_Digitos!$M$5:$M$1682,N156,SYS_4_3_Digitos!$N$5:$N$1682)</f>
        <v>0</v>
      </c>
      <c r="P156" s="772"/>
    </row>
    <row r="157" spans="3:16">
      <c r="N157" s="781">
        <v>7144</v>
      </c>
      <c r="O157" s="662">
        <f>+SUMIF(SYS_4_3_Digitos!$M$5:$M$1682,N157,SYS_4_3_Digitos!$N$5:$N$1682)</f>
        <v>0</v>
      </c>
      <c r="P157" s="772"/>
    </row>
    <row r="158" spans="3:16">
      <c r="N158" s="781">
        <v>7145</v>
      </c>
      <c r="O158" s="662">
        <f>+SUMIF(SYS_4_3_Digitos!$M$5:$M$1682,N158,SYS_4_3_Digitos!$N$5:$N$1682)</f>
        <v>0</v>
      </c>
      <c r="P158" s="772"/>
    </row>
    <row r="159" spans="3:16">
      <c r="N159" s="781">
        <v>7146</v>
      </c>
      <c r="O159" s="662">
        <f>+SUMIF(SYS_4_3_Digitos!$M$5:$M$1682,N159,SYS_4_3_Digitos!$N$5:$N$1682)</f>
        <v>0</v>
      </c>
      <c r="P159" s="772"/>
    </row>
    <row r="160" spans="3:16">
      <c r="N160" s="781">
        <v>7147</v>
      </c>
      <c r="O160" s="662">
        <f>+SUMIF(SYS_4_3_Digitos!$M$5:$M$1682,N160,SYS_4_3_Digitos!$N$5:$N$1682)</f>
        <v>0</v>
      </c>
      <c r="P160" s="772"/>
    </row>
    <row r="161" spans="14:16">
      <c r="N161" s="781">
        <v>7148</v>
      </c>
      <c r="O161" s="662">
        <f>+SUMIF(SYS_4_3_Digitos!$M$5:$M$1682,N161,SYS_4_3_Digitos!$N$5:$N$1682)</f>
        <v>0</v>
      </c>
      <c r="P161" s="772"/>
    </row>
    <row r="162" spans="14:16">
      <c r="N162" s="781">
        <v>7149</v>
      </c>
      <c r="O162" s="662">
        <f>+SUMIF(SYS_4_3_Digitos!$M$5:$M$1682,N162,SYS_4_3_Digitos!$N$5:$N$1682)</f>
        <v>0</v>
      </c>
      <c r="P162" s="772"/>
    </row>
    <row r="163" spans="14:16">
      <c r="N163" s="781">
        <v>7150</v>
      </c>
      <c r="O163" s="662">
        <f>+SUMIF(SYS_4_3_Digitos!$M$5:$M$1682,N163,SYS_4_3_Digitos!$N$5:$N$1682)</f>
        <v>0</v>
      </c>
      <c r="P163" s="772"/>
    </row>
    <row r="164" spans="14:16">
      <c r="N164" s="781">
        <v>7151</v>
      </c>
      <c r="O164" s="662">
        <f>+SUMIF(SYS_4_3_Digitos!$M$5:$M$1682,N164,SYS_4_3_Digitos!$N$5:$N$1682)</f>
        <v>0</v>
      </c>
      <c r="P164" s="772"/>
    </row>
    <row r="165" spans="14:16">
      <c r="N165" s="781">
        <v>7152</v>
      </c>
      <c r="O165" s="662">
        <f>+SUMIF(SYS_4_3_Digitos!$M$5:$M$1682,N165,SYS_4_3_Digitos!$N$5:$N$1682)</f>
        <v>0</v>
      </c>
      <c r="P165" s="772"/>
    </row>
    <row r="166" spans="14:16">
      <c r="N166" s="781">
        <v>7153</v>
      </c>
      <c r="O166" s="662">
        <f>+SUMIF(SYS_4_3_Digitos!$M$5:$M$1682,N166,SYS_4_3_Digitos!$N$5:$N$1682)</f>
        <v>0</v>
      </c>
      <c r="P166" s="772"/>
    </row>
    <row r="167" spans="14:16">
      <c r="N167" s="781">
        <v>7154</v>
      </c>
      <c r="O167" s="662">
        <f>+SUMIF(SYS_4_3_Digitos!$M$5:$M$1682,N167,SYS_4_3_Digitos!$N$5:$N$1682)</f>
        <v>0</v>
      </c>
      <c r="P167" s="772"/>
    </row>
    <row r="168" spans="14:16">
      <c r="N168" s="781">
        <v>7155</v>
      </c>
      <c r="O168" s="662">
        <f>+SUMIF(SYS_4_3_Digitos!$M$5:$M$1682,N168,SYS_4_3_Digitos!$N$5:$N$1682)</f>
        <v>0</v>
      </c>
      <c r="P168" s="772"/>
    </row>
    <row r="169" spans="14:16">
      <c r="N169" s="781">
        <v>7156</v>
      </c>
      <c r="O169" s="662">
        <f>+SUMIF(SYS_4_3_Digitos!$M$5:$M$1682,N169,SYS_4_3_Digitos!$N$5:$N$1682)</f>
        <v>0</v>
      </c>
      <c r="P169" s="772"/>
    </row>
    <row r="170" spans="14:16">
      <c r="N170" s="781">
        <v>7157</v>
      </c>
      <c r="O170" s="662">
        <f>+SUMIF(SYS_4_3_Digitos!$M$5:$M$1682,N170,SYS_4_3_Digitos!$N$5:$N$1682)</f>
        <v>0</v>
      </c>
      <c r="P170" s="772"/>
    </row>
    <row r="171" spans="14:16">
      <c r="N171" s="781">
        <v>7158</v>
      </c>
      <c r="O171" s="662">
        <f>+SUMIF(SYS_4_3_Digitos!$M$5:$M$1682,N171,SYS_4_3_Digitos!$N$5:$N$1682)</f>
        <v>0</v>
      </c>
      <c r="P171" s="772"/>
    </row>
    <row r="172" spans="14:16">
      <c r="N172" s="781">
        <v>7159</v>
      </c>
      <c r="O172" s="662">
        <f>+SUMIF(SYS_4_3_Digitos!$M$5:$M$1682,N172,SYS_4_3_Digitos!$N$5:$N$1682)</f>
        <v>0</v>
      </c>
      <c r="P172" s="772"/>
    </row>
    <row r="173" spans="14:16">
      <c r="N173" s="781">
        <v>7160</v>
      </c>
      <c r="O173" s="662">
        <f>+SUMIF(SYS_4_3_Digitos!$M$5:$M$1682,N173,SYS_4_3_Digitos!$N$5:$N$1682)</f>
        <v>0</v>
      </c>
      <c r="P173" s="772"/>
    </row>
    <row r="174" spans="14:16">
      <c r="N174" s="781">
        <v>7161</v>
      </c>
      <c r="O174" s="662">
        <f>+SUMIF(SYS_4_3_Digitos!$M$5:$M$1682,N174,SYS_4_3_Digitos!$N$5:$N$1682)</f>
        <v>0</v>
      </c>
      <c r="P174" s="772"/>
    </row>
    <row r="175" spans="14:16">
      <c r="N175" s="781">
        <v>7162</v>
      </c>
      <c r="O175" s="662">
        <f>+SUMIF(SYS_4_3_Digitos!$M$5:$M$1682,N175,SYS_4_3_Digitos!$N$5:$N$1682)</f>
        <v>0</v>
      </c>
      <c r="P175" s="772"/>
    </row>
    <row r="176" spans="14:16">
      <c r="N176" s="781">
        <v>7163</v>
      </c>
      <c r="O176" s="662">
        <f>+SUMIF(SYS_4_3_Digitos!$M$5:$M$1682,N176,SYS_4_3_Digitos!$N$5:$N$1682)</f>
        <v>0</v>
      </c>
      <c r="P176" s="772"/>
    </row>
    <row r="177" spans="14:16">
      <c r="N177" s="781">
        <v>7164</v>
      </c>
      <c r="O177" s="662">
        <f>+SUMIF(SYS_4_3_Digitos!$M$5:$M$1682,N177,SYS_4_3_Digitos!$N$5:$N$1682)</f>
        <v>0</v>
      </c>
      <c r="P177" s="772"/>
    </row>
    <row r="178" spans="14:16">
      <c r="N178" s="781">
        <v>7165</v>
      </c>
      <c r="O178" s="662">
        <f>+SUMIF(SYS_4_3_Digitos!$M$5:$M$1682,N178,SYS_4_3_Digitos!$N$5:$N$1682)</f>
        <v>0</v>
      </c>
      <c r="P178" s="772"/>
    </row>
    <row r="179" spans="14:16">
      <c r="N179" s="781">
        <v>7166</v>
      </c>
      <c r="O179" s="662">
        <f>+SUMIF(SYS_4_3_Digitos!$M$5:$M$1682,N179,SYS_4_3_Digitos!$N$5:$N$1682)</f>
        <v>0</v>
      </c>
      <c r="P179" s="772"/>
    </row>
    <row r="180" spans="14:16">
      <c r="N180" s="781">
        <v>7167</v>
      </c>
      <c r="O180" s="662">
        <f>+SUMIF(SYS_4_3_Digitos!$M$5:$M$1682,N180,SYS_4_3_Digitos!$N$5:$N$1682)</f>
        <v>0</v>
      </c>
      <c r="P180" s="772"/>
    </row>
    <row r="181" spans="14:16">
      <c r="N181" s="781">
        <v>7168</v>
      </c>
      <c r="O181" s="662">
        <f>+SUMIF(SYS_4_3_Digitos!$M$5:$M$1682,N181,SYS_4_3_Digitos!$N$5:$N$1682)</f>
        <v>0</v>
      </c>
      <c r="P181" s="772"/>
    </row>
    <row r="182" spans="14:16">
      <c r="N182" s="781">
        <v>7169</v>
      </c>
      <c r="O182" s="662">
        <f>+SUMIF(SYS_4_3_Digitos!$M$5:$M$1682,N182,SYS_4_3_Digitos!$N$5:$N$1682)</f>
        <v>0</v>
      </c>
      <c r="P182" s="772"/>
    </row>
    <row r="183" spans="14:16">
      <c r="N183" s="781">
        <v>7170</v>
      </c>
      <c r="O183" s="662">
        <f>+SUMIF(SYS_4_3_Digitos!$M$5:$M$1682,N183,SYS_4_3_Digitos!$N$5:$N$1682)</f>
        <v>0</v>
      </c>
      <c r="P183" s="772"/>
    </row>
    <row r="184" spans="14:16">
      <c r="N184" s="781">
        <v>7171</v>
      </c>
      <c r="O184" s="662">
        <f>+SUMIF(SYS_4_3_Digitos!$M$5:$M$1682,N184,SYS_4_3_Digitos!$N$5:$N$1682)</f>
        <v>0</v>
      </c>
      <c r="P184" s="772"/>
    </row>
    <row r="185" spans="14:16">
      <c r="N185" s="781">
        <v>7172</v>
      </c>
      <c r="O185" s="662">
        <f>+SUMIF(SYS_4_3_Digitos!$M$5:$M$1682,N185,SYS_4_3_Digitos!$N$5:$N$1682)</f>
        <v>0</v>
      </c>
      <c r="P185" s="772"/>
    </row>
    <row r="186" spans="14:16">
      <c r="N186" s="781">
        <v>7173</v>
      </c>
      <c r="O186" s="662">
        <f>+SUMIF(SYS_4_3_Digitos!$M$5:$M$1682,N186,SYS_4_3_Digitos!$N$5:$N$1682)</f>
        <v>0</v>
      </c>
      <c r="P186" s="772"/>
    </row>
    <row r="187" spans="14:16">
      <c r="N187" s="781">
        <v>7174</v>
      </c>
      <c r="O187" s="662">
        <f>+SUMIF(SYS_4_3_Digitos!$M$5:$M$1682,N187,SYS_4_3_Digitos!$N$5:$N$1682)</f>
        <v>0</v>
      </c>
      <c r="P187" s="772"/>
    </row>
    <row r="188" spans="14:16">
      <c r="N188" s="781">
        <v>7175</v>
      </c>
      <c r="O188" s="662">
        <f>+SUMIF(SYS_4_3_Digitos!$M$5:$M$1682,N188,SYS_4_3_Digitos!$N$5:$N$1682)</f>
        <v>0</v>
      </c>
      <c r="P188" s="772"/>
    </row>
    <row r="189" spans="14:16">
      <c r="N189" s="781">
        <v>7176</v>
      </c>
      <c r="O189" s="662">
        <f>+SUMIF(SYS_4_3_Digitos!$M$5:$M$1682,N189,SYS_4_3_Digitos!$N$5:$N$1682)</f>
        <v>0</v>
      </c>
      <c r="P189" s="772"/>
    </row>
    <row r="190" spans="14:16">
      <c r="N190" s="781">
        <v>7177</v>
      </c>
      <c r="O190" s="662">
        <f>+SUMIF(SYS_4_3_Digitos!$M$5:$M$1682,N190,SYS_4_3_Digitos!$N$5:$N$1682)</f>
        <v>0</v>
      </c>
      <c r="P190" s="772"/>
    </row>
    <row r="191" spans="14:16">
      <c r="N191" s="781">
        <v>7178</v>
      </c>
      <c r="O191" s="662">
        <f>+SUMIF(SYS_4_3_Digitos!$M$5:$M$1682,N191,SYS_4_3_Digitos!$N$5:$N$1682)</f>
        <v>0</v>
      </c>
      <c r="P191" s="772"/>
    </row>
    <row r="192" spans="14:16">
      <c r="N192" s="781">
        <v>7179</v>
      </c>
      <c r="O192" s="662">
        <f>+SUMIF(SYS_4_3_Digitos!$M$5:$M$1682,N192,SYS_4_3_Digitos!$N$5:$N$1682)</f>
        <v>0</v>
      </c>
      <c r="P192" s="772"/>
    </row>
    <row r="193" spans="14:16">
      <c r="N193" s="781">
        <v>7180</v>
      </c>
      <c r="O193" s="662">
        <f>+SUMIF(SYS_4_3_Digitos!$M$5:$M$1682,N193,SYS_4_3_Digitos!$N$5:$N$1682)</f>
        <v>0</v>
      </c>
      <c r="P193" s="772"/>
    </row>
    <row r="194" spans="14:16">
      <c r="N194" s="781">
        <v>7181</v>
      </c>
      <c r="O194" s="662">
        <f>+SUMIF(SYS_4_3_Digitos!$M$5:$M$1682,N194,SYS_4_3_Digitos!$N$5:$N$1682)</f>
        <v>0</v>
      </c>
      <c r="P194" s="772"/>
    </row>
    <row r="195" spans="14:16">
      <c r="N195" s="781">
        <v>7182</v>
      </c>
      <c r="O195" s="662">
        <f>+SUMIF(SYS_4_3_Digitos!$M$5:$M$1682,N195,SYS_4_3_Digitos!$N$5:$N$1682)</f>
        <v>0</v>
      </c>
      <c r="P195" s="772"/>
    </row>
    <row r="196" spans="14:16">
      <c r="N196" s="781">
        <v>7183</v>
      </c>
      <c r="O196" s="662">
        <f>+SUMIF(SYS_4_3_Digitos!$M$5:$M$1682,N196,SYS_4_3_Digitos!$N$5:$N$1682)</f>
        <v>0</v>
      </c>
      <c r="P196" s="772"/>
    </row>
    <row r="197" spans="14:16">
      <c r="N197" s="781">
        <v>7184</v>
      </c>
      <c r="O197" s="662">
        <f>+SUMIF(SYS_4_3_Digitos!$M$5:$M$1682,N197,SYS_4_3_Digitos!$N$5:$N$1682)</f>
        <v>0</v>
      </c>
      <c r="P197" s="772"/>
    </row>
    <row r="198" spans="14:16">
      <c r="N198" s="781">
        <v>7185</v>
      </c>
      <c r="O198" s="662">
        <f>+SUMIF(SYS_4_3_Digitos!$M$5:$M$1682,N198,SYS_4_3_Digitos!$N$5:$N$1682)</f>
        <v>0</v>
      </c>
      <c r="P198" s="772"/>
    </row>
    <row r="199" spans="14:16">
      <c r="N199" s="781">
        <v>7186</v>
      </c>
      <c r="O199" s="662">
        <f>+SUMIF(SYS_4_3_Digitos!$M$5:$M$1682,N199,SYS_4_3_Digitos!$N$5:$N$1682)</f>
        <v>0</v>
      </c>
      <c r="P199" s="772"/>
    </row>
    <row r="200" spans="14:16">
      <c r="N200" s="781">
        <v>7187</v>
      </c>
      <c r="O200" s="662">
        <f>+SUMIF(SYS_4_3_Digitos!$M$5:$M$1682,N200,SYS_4_3_Digitos!$N$5:$N$1682)</f>
        <v>0</v>
      </c>
      <c r="P200" s="772"/>
    </row>
    <row r="201" spans="14:16">
      <c r="N201" s="781">
        <v>7188</v>
      </c>
      <c r="O201" s="662">
        <f>+SUMIF(SYS_4_3_Digitos!$M$5:$M$1682,N201,SYS_4_3_Digitos!$N$5:$N$1682)</f>
        <v>0</v>
      </c>
      <c r="P201" s="772"/>
    </row>
    <row r="202" spans="14:16">
      <c r="N202" s="781">
        <v>7189</v>
      </c>
      <c r="O202" s="662">
        <f>+SUMIF(SYS_4_3_Digitos!$M$5:$M$1682,N202,SYS_4_3_Digitos!$N$5:$N$1682)</f>
        <v>0</v>
      </c>
      <c r="P202" s="772"/>
    </row>
    <row r="203" spans="14:16">
      <c r="N203" s="781">
        <v>7190</v>
      </c>
      <c r="O203" s="662">
        <f>+SUMIF(SYS_4_3_Digitos!$M$5:$M$1682,N203,SYS_4_3_Digitos!$N$5:$N$1682)</f>
        <v>0</v>
      </c>
      <c r="P203" s="772"/>
    </row>
    <row r="204" spans="14:16">
      <c r="N204" s="781">
        <v>7191</v>
      </c>
      <c r="O204" s="662">
        <f>+SUMIF(SYS_4_3_Digitos!$M$5:$M$1682,N204,SYS_4_3_Digitos!$N$5:$N$1682)</f>
        <v>0</v>
      </c>
      <c r="P204" s="772"/>
    </row>
    <row r="205" spans="14:16">
      <c r="N205" s="781">
        <v>7192</v>
      </c>
      <c r="O205" s="662">
        <f>+SUMIF(SYS_4_3_Digitos!$M$5:$M$1682,N205,SYS_4_3_Digitos!$N$5:$N$1682)</f>
        <v>0</v>
      </c>
      <c r="P205" s="772"/>
    </row>
    <row r="206" spans="14:16">
      <c r="N206" s="781">
        <v>7193</v>
      </c>
      <c r="O206" s="662">
        <f>+SUMIF(SYS_4_3_Digitos!$M$5:$M$1682,N206,SYS_4_3_Digitos!$N$5:$N$1682)</f>
        <v>0</v>
      </c>
      <c r="P206" s="772"/>
    </row>
    <row r="207" spans="14:16">
      <c r="N207" s="781">
        <v>7194</v>
      </c>
      <c r="O207" s="662">
        <f>+SUMIF(SYS_4_3_Digitos!$M$5:$M$1682,N207,SYS_4_3_Digitos!$N$5:$N$1682)</f>
        <v>0</v>
      </c>
      <c r="P207" s="772"/>
    </row>
    <row r="208" spans="14:16">
      <c r="N208" s="781">
        <v>7195</v>
      </c>
      <c r="O208" s="662">
        <f>+SUMIF(SYS_4_3_Digitos!$M$5:$M$1682,N208,SYS_4_3_Digitos!$N$5:$N$1682)</f>
        <v>0</v>
      </c>
      <c r="P208" s="772"/>
    </row>
    <row r="209" spans="14:16">
      <c r="N209" s="781">
        <v>7196</v>
      </c>
      <c r="O209" s="662">
        <f>+SUMIF(SYS_4_3_Digitos!$M$5:$M$1682,N209,SYS_4_3_Digitos!$N$5:$N$1682)</f>
        <v>0</v>
      </c>
      <c r="P209" s="772"/>
    </row>
    <row r="210" spans="14:16">
      <c r="N210" s="781">
        <v>7197</v>
      </c>
      <c r="O210" s="662">
        <f>+SUMIF(SYS_4_3_Digitos!$M$5:$M$1682,N210,SYS_4_3_Digitos!$N$5:$N$1682)</f>
        <v>0</v>
      </c>
      <c r="P210" s="772"/>
    </row>
    <row r="211" spans="14:16">
      <c r="N211" s="781">
        <v>7198</v>
      </c>
      <c r="O211" s="662">
        <f>+SUMIF(SYS_4_3_Digitos!$M$5:$M$1682,N211,SYS_4_3_Digitos!$N$5:$N$1682)</f>
        <v>0</v>
      </c>
      <c r="P211" s="772"/>
    </row>
    <row r="212" spans="14:16">
      <c r="N212" s="781">
        <v>7199</v>
      </c>
      <c r="O212" s="662">
        <f>+SUMIF(SYS_4_3_Digitos!$M$5:$M$1682,N212,SYS_4_3_Digitos!$N$5:$N$1682)</f>
        <v>0</v>
      </c>
      <c r="P212" s="772"/>
    </row>
    <row r="213" spans="14:16">
      <c r="N213" s="781">
        <v>7930</v>
      </c>
      <c r="O213" s="662">
        <f ca="1">+SUMIF(SYS_4_3_Digitos!$M$5:$M$1682,N213,SYS_4_3_Digitos!$N$5:$N$1682)</f>
        <v>0</v>
      </c>
      <c r="P213" s="772"/>
    </row>
    <row r="214" spans="14:16">
      <c r="N214" s="776" t="s">
        <v>185</v>
      </c>
      <c r="O214" s="787">
        <f ca="1">SUM(O215:O314)</f>
        <v>0</v>
      </c>
      <c r="P214" s="772"/>
    </row>
    <row r="215" spans="14:16">
      <c r="N215" s="781">
        <v>7300</v>
      </c>
      <c r="O215" s="662">
        <f ca="1">+SUMIF(SYS_4_3_Digitos!$M$5:$M$1682,N215,SYS_4_3_Digitos!$N$5:$N$1682)</f>
        <v>0</v>
      </c>
      <c r="P215" s="772"/>
    </row>
    <row r="216" spans="14:16">
      <c r="N216" s="781">
        <v>7301</v>
      </c>
      <c r="O216" s="662">
        <f>+SUMIF(SYS_4_3_Digitos!$M$5:$M$1682,N216,SYS_4_3_Digitos!$N$5:$N$1682)</f>
        <v>0</v>
      </c>
      <c r="P216" s="772">
        <v>73</v>
      </c>
    </row>
    <row r="217" spans="14:16">
      <c r="N217" s="781">
        <v>7302</v>
      </c>
      <c r="O217" s="662">
        <f>+SUMIF(SYS_4_3_Digitos!$M$5:$M$1682,N217,SYS_4_3_Digitos!$N$5:$N$1682)</f>
        <v>0</v>
      </c>
      <c r="P217" s="772"/>
    </row>
    <row r="218" spans="14:16">
      <c r="N218" s="781">
        <v>7303</v>
      </c>
      <c r="O218" s="662">
        <f>+SUMIF(SYS_4_3_Digitos!$M$5:$M$1682,N218,SYS_4_3_Digitos!$N$5:$N$1682)</f>
        <v>0</v>
      </c>
      <c r="P218" s="772"/>
    </row>
    <row r="219" spans="14:16">
      <c r="N219" s="781">
        <v>7304</v>
      </c>
      <c r="O219" s="662">
        <f>+SUMIF(SYS_4_3_Digitos!$M$5:$M$1682,N219,SYS_4_3_Digitos!$N$5:$N$1682)</f>
        <v>0</v>
      </c>
      <c r="P219" s="772"/>
    </row>
    <row r="220" spans="14:16">
      <c r="N220" s="781">
        <v>7305</v>
      </c>
      <c r="O220" s="662">
        <f>+SUMIF(SYS_4_3_Digitos!$M$5:$M$1682,N220,SYS_4_3_Digitos!$N$5:$N$1682)</f>
        <v>0</v>
      </c>
      <c r="P220" s="772"/>
    </row>
    <row r="221" spans="14:16">
      <c r="N221" s="781">
        <v>7306</v>
      </c>
      <c r="O221" s="662">
        <f>+SUMIF(SYS_4_3_Digitos!$M$5:$M$1682,N221,SYS_4_3_Digitos!$N$5:$N$1682)</f>
        <v>0</v>
      </c>
      <c r="P221" s="772"/>
    </row>
    <row r="222" spans="14:16">
      <c r="N222" s="781">
        <v>7307</v>
      </c>
      <c r="O222" s="662">
        <f>+SUMIF(SYS_4_3_Digitos!$M$5:$M$1682,N222,SYS_4_3_Digitos!$N$5:$N$1682)</f>
        <v>0</v>
      </c>
      <c r="P222" s="772"/>
    </row>
    <row r="223" spans="14:16">
      <c r="N223" s="781">
        <v>7308</v>
      </c>
      <c r="O223" s="662">
        <f>+SUMIF(SYS_4_3_Digitos!$M$5:$M$1682,N223,SYS_4_3_Digitos!$N$5:$N$1682)</f>
        <v>0</v>
      </c>
      <c r="P223" s="772"/>
    </row>
    <row r="224" spans="14:16">
      <c r="N224" s="781">
        <v>7309</v>
      </c>
      <c r="O224" s="662">
        <f>+SUMIF(SYS_4_3_Digitos!$M$5:$M$1682,N224,SYS_4_3_Digitos!$N$5:$N$1682)</f>
        <v>0</v>
      </c>
      <c r="P224" s="772"/>
    </row>
    <row r="225" spans="14:16">
      <c r="N225" s="781">
        <v>7310</v>
      </c>
      <c r="O225" s="662">
        <f>+SUMIF(SYS_4_3_Digitos!$M$5:$M$1682,N225,SYS_4_3_Digitos!$N$5:$N$1682)</f>
        <v>0</v>
      </c>
      <c r="P225" s="772"/>
    </row>
    <row r="226" spans="14:16">
      <c r="N226" s="781">
        <v>7311</v>
      </c>
      <c r="O226" s="662">
        <f>+SUMIF(SYS_4_3_Digitos!$M$5:$M$1682,N226,SYS_4_3_Digitos!$N$5:$N$1682)</f>
        <v>0</v>
      </c>
      <c r="P226" s="772"/>
    </row>
    <row r="227" spans="14:16">
      <c r="N227" s="781">
        <v>7312</v>
      </c>
      <c r="O227" s="662">
        <f>+SUMIF(SYS_4_3_Digitos!$M$5:$M$1682,N227,SYS_4_3_Digitos!$N$5:$N$1682)</f>
        <v>0</v>
      </c>
      <c r="P227" s="772"/>
    </row>
    <row r="228" spans="14:16">
      <c r="N228" s="781">
        <v>7313</v>
      </c>
      <c r="O228" s="662">
        <f>+SUMIF(SYS_4_3_Digitos!$M$5:$M$1682,N228,SYS_4_3_Digitos!$N$5:$N$1682)</f>
        <v>0</v>
      </c>
      <c r="P228" s="772"/>
    </row>
    <row r="229" spans="14:16">
      <c r="N229" s="781">
        <v>7314</v>
      </c>
      <c r="O229" s="662">
        <f>+SUMIF(SYS_4_3_Digitos!$M$5:$M$1682,N229,SYS_4_3_Digitos!$N$5:$N$1682)</f>
        <v>0</v>
      </c>
      <c r="P229" s="772"/>
    </row>
    <row r="230" spans="14:16">
      <c r="N230" s="781">
        <v>7315</v>
      </c>
      <c r="O230" s="662">
        <f>+SUMIF(SYS_4_3_Digitos!$M$5:$M$1682,N230,SYS_4_3_Digitos!$N$5:$N$1682)</f>
        <v>0</v>
      </c>
      <c r="P230" s="772"/>
    </row>
    <row r="231" spans="14:16">
      <c r="N231" s="781">
        <v>7316</v>
      </c>
      <c r="O231" s="662">
        <f>+SUMIF(SYS_4_3_Digitos!$M$5:$M$1682,N231,SYS_4_3_Digitos!$N$5:$N$1682)</f>
        <v>0</v>
      </c>
      <c r="P231" s="772"/>
    </row>
    <row r="232" spans="14:16">
      <c r="N232" s="781">
        <v>7317</v>
      </c>
      <c r="O232" s="662">
        <f>+SUMIF(SYS_4_3_Digitos!$M$5:$M$1682,N232,SYS_4_3_Digitos!$N$5:$N$1682)</f>
        <v>0</v>
      </c>
      <c r="P232" s="772"/>
    </row>
    <row r="233" spans="14:16">
      <c r="N233" s="781">
        <v>7318</v>
      </c>
      <c r="O233" s="662">
        <f>+SUMIF(SYS_4_3_Digitos!$M$5:$M$1682,N233,SYS_4_3_Digitos!$N$5:$N$1682)</f>
        <v>0</v>
      </c>
      <c r="P233" s="772"/>
    </row>
    <row r="234" spans="14:16">
      <c r="N234" s="781">
        <v>7319</v>
      </c>
      <c r="O234" s="662">
        <f>+SUMIF(SYS_4_3_Digitos!$M$5:$M$1682,N234,SYS_4_3_Digitos!$N$5:$N$1682)</f>
        <v>0</v>
      </c>
      <c r="P234" s="772"/>
    </row>
    <row r="235" spans="14:16">
      <c r="N235" s="781">
        <v>7320</v>
      </c>
      <c r="O235" s="662">
        <f>+SUMIF(SYS_4_3_Digitos!$M$5:$M$1682,N235,SYS_4_3_Digitos!$N$5:$N$1682)</f>
        <v>0</v>
      </c>
      <c r="P235" s="772"/>
    </row>
    <row r="236" spans="14:16">
      <c r="N236" s="781">
        <v>7321</v>
      </c>
      <c r="O236" s="662">
        <f>+SUMIF(SYS_4_3_Digitos!$M$5:$M$1682,N236,SYS_4_3_Digitos!$N$5:$N$1682)</f>
        <v>0</v>
      </c>
      <c r="P236" s="772"/>
    </row>
    <row r="237" spans="14:16">
      <c r="N237" s="781">
        <v>7322</v>
      </c>
      <c r="O237" s="662">
        <f>+SUMIF(SYS_4_3_Digitos!$M$5:$M$1682,N237,SYS_4_3_Digitos!$N$5:$N$1682)</f>
        <v>0</v>
      </c>
      <c r="P237" s="772"/>
    </row>
    <row r="238" spans="14:16">
      <c r="N238" s="781">
        <v>7323</v>
      </c>
      <c r="O238" s="662">
        <f>+SUMIF(SYS_4_3_Digitos!$M$5:$M$1682,N238,SYS_4_3_Digitos!$N$5:$N$1682)</f>
        <v>0</v>
      </c>
      <c r="P238" s="772"/>
    </row>
    <row r="239" spans="14:16">
      <c r="N239" s="781">
        <v>7324</v>
      </c>
      <c r="O239" s="662">
        <f>+SUMIF(SYS_4_3_Digitos!$M$5:$M$1682,N239,SYS_4_3_Digitos!$N$5:$N$1682)</f>
        <v>0</v>
      </c>
      <c r="P239" s="772"/>
    </row>
    <row r="240" spans="14:16">
      <c r="N240" s="781">
        <v>7325</v>
      </c>
      <c r="O240" s="662">
        <f>+SUMIF(SYS_4_3_Digitos!$M$5:$M$1682,N240,SYS_4_3_Digitos!$N$5:$N$1682)</f>
        <v>0</v>
      </c>
      <c r="P240" s="772"/>
    </row>
    <row r="241" spans="14:16">
      <c r="N241" s="781">
        <v>7326</v>
      </c>
      <c r="O241" s="662">
        <f>+SUMIF(SYS_4_3_Digitos!$M$5:$M$1682,N241,SYS_4_3_Digitos!$N$5:$N$1682)</f>
        <v>0</v>
      </c>
      <c r="P241" s="772"/>
    </row>
    <row r="242" spans="14:16">
      <c r="N242" s="781">
        <v>7327</v>
      </c>
      <c r="O242" s="662">
        <f>+SUMIF(SYS_4_3_Digitos!$M$5:$M$1682,N242,SYS_4_3_Digitos!$N$5:$N$1682)</f>
        <v>0</v>
      </c>
      <c r="P242" s="772"/>
    </row>
    <row r="243" spans="14:16">
      <c r="N243" s="781">
        <v>7328</v>
      </c>
      <c r="O243" s="662">
        <f>+SUMIF(SYS_4_3_Digitos!$M$5:$M$1682,N243,SYS_4_3_Digitos!$N$5:$N$1682)</f>
        <v>0</v>
      </c>
      <c r="P243" s="772"/>
    </row>
    <row r="244" spans="14:16">
      <c r="N244" s="781">
        <v>7329</v>
      </c>
      <c r="O244" s="662">
        <f>+SUMIF(SYS_4_3_Digitos!$M$5:$M$1682,N244,SYS_4_3_Digitos!$N$5:$N$1682)</f>
        <v>0</v>
      </c>
      <c r="P244" s="772"/>
    </row>
    <row r="245" spans="14:16">
      <c r="N245" s="781">
        <v>7330</v>
      </c>
      <c r="O245" s="662">
        <f>+SUMIF(SYS_4_3_Digitos!$M$5:$M$1682,N245,SYS_4_3_Digitos!$N$5:$N$1682)</f>
        <v>0</v>
      </c>
      <c r="P245" s="772"/>
    </row>
    <row r="246" spans="14:16">
      <c r="N246" s="781">
        <v>7331</v>
      </c>
      <c r="O246" s="662">
        <f>+SUMIF(SYS_4_3_Digitos!$M$5:$M$1682,N246,SYS_4_3_Digitos!$N$5:$N$1682)</f>
        <v>0</v>
      </c>
      <c r="P246" s="772"/>
    </row>
    <row r="247" spans="14:16">
      <c r="N247" s="781">
        <v>7332</v>
      </c>
      <c r="O247" s="662">
        <f>+SUMIF(SYS_4_3_Digitos!$M$5:$M$1682,N247,SYS_4_3_Digitos!$N$5:$N$1682)</f>
        <v>0</v>
      </c>
      <c r="P247" s="772"/>
    </row>
    <row r="248" spans="14:16">
      <c r="N248" s="781">
        <v>7333</v>
      </c>
      <c r="O248" s="662">
        <f>+SUMIF(SYS_4_3_Digitos!$M$5:$M$1682,N248,SYS_4_3_Digitos!$N$5:$N$1682)</f>
        <v>0</v>
      </c>
      <c r="P248" s="772"/>
    </row>
    <row r="249" spans="14:16">
      <c r="N249" s="781">
        <v>7334</v>
      </c>
      <c r="O249" s="662">
        <f>+SUMIF(SYS_4_3_Digitos!$M$5:$M$1682,N249,SYS_4_3_Digitos!$N$5:$N$1682)</f>
        <v>0</v>
      </c>
      <c r="P249" s="772"/>
    </row>
    <row r="250" spans="14:16">
      <c r="N250" s="781">
        <v>7335</v>
      </c>
      <c r="O250" s="662">
        <f>+SUMIF(SYS_4_3_Digitos!$M$5:$M$1682,N250,SYS_4_3_Digitos!$N$5:$N$1682)</f>
        <v>0</v>
      </c>
      <c r="P250" s="772"/>
    </row>
    <row r="251" spans="14:16">
      <c r="N251" s="781">
        <v>7336</v>
      </c>
      <c r="O251" s="662">
        <f>+SUMIF(SYS_4_3_Digitos!$M$5:$M$1682,N251,SYS_4_3_Digitos!$N$5:$N$1682)</f>
        <v>0</v>
      </c>
      <c r="P251" s="772"/>
    </row>
    <row r="252" spans="14:16">
      <c r="N252" s="781">
        <v>7337</v>
      </c>
      <c r="O252" s="662">
        <f>+SUMIF(SYS_4_3_Digitos!$M$5:$M$1682,N252,SYS_4_3_Digitos!$N$5:$N$1682)</f>
        <v>0</v>
      </c>
      <c r="P252" s="772"/>
    </row>
    <row r="253" spans="14:16">
      <c r="N253" s="781">
        <v>7338</v>
      </c>
      <c r="O253" s="662">
        <f>+SUMIF(SYS_4_3_Digitos!$M$5:$M$1682,N253,SYS_4_3_Digitos!$N$5:$N$1682)</f>
        <v>0</v>
      </c>
      <c r="P253" s="772"/>
    </row>
    <row r="254" spans="14:16">
      <c r="N254" s="781">
        <v>7339</v>
      </c>
      <c r="O254" s="662">
        <f>+SUMIF(SYS_4_3_Digitos!$M$5:$M$1682,N254,SYS_4_3_Digitos!$N$5:$N$1682)</f>
        <v>0</v>
      </c>
      <c r="P254" s="772"/>
    </row>
    <row r="255" spans="14:16">
      <c r="N255" s="781">
        <v>7340</v>
      </c>
      <c r="O255" s="662">
        <f>+SUMIF(SYS_4_3_Digitos!$M$5:$M$1682,N255,SYS_4_3_Digitos!$N$5:$N$1682)</f>
        <v>0</v>
      </c>
      <c r="P255" s="772"/>
    </row>
    <row r="256" spans="14:16">
      <c r="N256" s="781">
        <v>7341</v>
      </c>
      <c r="O256" s="662">
        <f>+SUMIF(SYS_4_3_Digitos!$M$5:$M$1682,N256,SYS_4_3_Digitos!$N$5:$N$1682)</f>
        <v>0</v>
      </c>
      <c r="P256" s="772"/>
    </row>
    <row r="257" spans="14:16">
      <c r="N257" s="781">
        <v>7342</v>
      </c>
      <c r="O257" s="662">
        <f>+SUMIF(SYS_4_3_Digitos!$M$5:$M$1682,N257,SYS_4_3_Digitos!$N$5:$N$1682)</f>
        <v>0</v>
      </c>
      <c r="P257" s="772"/>
    </row>
    <row r="258" spans="14:16">
      <c r="N258" s="781">
        <v>7343</v>
      </c>
      <c r="O258" s="662">
        <f>+SUMIF(SYS_4_3_Digitos!$M$5:$M$1682,N258,SYS_4_3_Digitos!$N$5:$N$1682)</f>
        <v>0</v>
      </c>
      <c r="P258" s="772"/>
    </row>
    <row r="259" spans="14:16">
      <c r="N259" s="781">
        <v>7344</v>
      </c>
      <c r="O259" s="662">
        <f>+SUMIF(SYS_4_3_Digitos!$M$5:$M$1682,N259,SYS_4_3_Digitos!$N$5:$N$1682)</f>
        <v>0</v>
      </c>
      <c r="P259" s="772"/>
    </row>
    <row r="260" spans="14:16">
      <c r="N260" s="781">
        <v>7345</v>
      </c>
      <c r="O260" s="662">
        <f>+SUMIF(SYS_4_3_Digitos!$M$5:$M$1682,N260,SYS_4_3_Digitos!$N$5:$N$1682)</f>
        <v>0</v>
      </c>
      <c r="P260" s="772"/>
    </row>
    <row r="261" spans="14:16">
      <c r="N261" s="781">
        <v>7346</v>
      </c>
      <c r="O261" s="662">
        <f>+SUMIF(SYS_4_3_Digitos!$M$5:$M$1682,N261,SYS_4_3_Digitos!$N$5:$N$1682)</f>
        <v>0</v>
      </c>
      <c r="P261" s="772"/>
    </row>
    <row r="262" spans="14:16">
      <c r="N262" s="781">
        <v>7347</v>
      </c>
      <c r="O262" s="662">
        <f>+SUMIF(SYS_4_3_Digitos!$M$5:$M$1682,N262,SYS_4_3_Digitos!$N$5:$N$1682)</f>
        <v>0</v>
      </c>
      <c r="P262" s="772"/>
    </row>
    <row r="263" spans="14:16">
      <c r="N263" s="781">
        <v>7348</v>
      </c>
      <c r="O263" s="662">
        <f>+SUMIF(SYS_4_3_Digitos!$M$5:$M$1682,N263,SYS_4_3_Digitos!$N$5:$N$1682)</f>
        <v>0</v>
      </c>
      <c r="P263" s="772"/>
    </row>
    <row r="264" spans="14:16">
      <c r="N264" s="781">
        <v>7349</v>
      </c>
      <c r="O264" s="662">
        <f>+SUMIF(SYS_4_3_Digitos!$M$5:$M$1682,N264,SYS_4_3_Digitos!$N$5:$N$1682)</f>
        <v>0</v>
      </c>
      <c r="P264" s="772"/>
    </row>
    <row r="265" spans="14:16">
      <c r="N265" s="781">
        <v>7350</v>
      </c>
      <c r="O265" s="662">
        <f>+SUMIF(SYS_4_3_Digitos!$M$5:$M$1682,N265,SYS_4_3_Digitos!$N$5:$N$1682)</f>
        <v>0</v>
      </c>
      <c r="P265" s="772"/>
    </row>
    <row r="266" spans="14:16">
      <c r="N266" s="781">
        <v>7351</v>
      </c>
      <c r="O266" s="662">
        <f>+SUMIF(SYS_4_3_Digitos!$M$5:$M$1682,N266,SYS_4_3_Digitos!$N$5:$N$1682)</f>
        <v>0</v>
      </c>
      <c r="P266" s="772"/>
    </row>
    <row r="267" spans="14:16">
      <c r="N267" s="781">
        <v>7352</v>
      </c>
      <c r="O267" s="662">
        <f>+SUMIF(SYS_4_3_Digitos!$M$5:$M$1682,N267,SYS_4_3_Digitos!$N$5:$N$1682)</f>
        <v>0</v>
      </c>
      <c r="P267" s="772"/>
    </row>
    <row r="268" spans="14:16">
      <c r="N268" s="781">
        <v>7353</v>
      </c>
      <c r="O268" s="662">
        <f>+SUMIF(SYS_4_3_Digitos!$M$5:$M$1682,N268,SYS_4_3_Digitos!$N$5:$N$1682)</f>
        <v>0</v>
      </c>
      <c r="P268" s="772"/>
    </row>
    <row r="269" spans="14:16">
      <c r="N269" s="781">
        <v>7354</v>
      </c>
      <c r="O269" s="662">
        <f>+SUMIF(SYS_4_3_Digitos!$M$5:$M$1682,N269,SYS_4_3_Digitos!$N$5:$N$1682)</f>
        <v>0</v>
      </c>
      <c r="P269" s="772"/>
    </row>
    <row r="270" spans="14:16">
      <c r="N270" s="781">
        <v>7355</v>
      </c>
      <c r="O270" s="662">
        <f>+SUMIF(SYS_4_3_Digitos!$M$5:$M$1682,N270,SYS_4_3_Digitos!$N$5:$N$1682)</f>
        <v>0</v>
      </c>
      <c r="P270" s="772"/>
    </row>
    <row r="271" spans="14:16">
      <c r="N271" s="781">
        <v>7356</v>
      </c>
      <c r="O271" s="662">
        <f>+SUMIF(SYS_4_3_Digitos!$M$5:$M$1682,N271,SYS_4_3_Digitos!$N$5:$N$1682)</f>
        <v>0</v>
      </c>
      <c r="P271" s="772"/>
    </row>
    <row r="272" spans="14:16">
      <c r="N272" s="781">
        <v>7357</v>
      </c>
      <c r="O272" s="662">
        <f>+SUMIF(SYS_4_3_Digitos!$M$5:$M$1682,N272,SYS_4_3_Digitos!$N$5:$N$1682)</f>
        <v>0</v>
      </c>
      <c r="P272" s="772"/>
    </row>
    <row r="273" spans="14:16">
      <c r="N273" s="781">
        <v>7358</v>
      </c>
      <c r="O273" s="662">
        <f>+SUMIF(SYS_4_3_Digitos!$M$5:$M$1682,N273,SYS_4_3_Digitos!$N$5:$N$1682)</f>
        <v>0</v>
      </c>
      <c r="P273" s="772"/>
    </row>
    <row r="274" spans="14:16">
      <c r="N274" s="781">
        <v>7359</v>
      </c>
      <c r="O274" s="662">
        <f>+SUMIF(SYS_4_3_Digitos!$M$5:$M$1682,N274,SYS_4_3_Digitos!$N$5:$N$1682)</f>
        <v>0</v>
      </c>
      <c r="P274" s="772"/>
    </row>
    <row r="275" spans="14:16">
      <c r="N275" s="781">
        <v>7360</v>
      </c>
      <c r="O275" s="662">
        <f>+SUMIF(SYS_4_3_Digitos!$M$5:$M$1682,N275,SYS_4_3_Digitos!$N$5:$N$1682)</f>
        <v>0</v>
      </c>
      <c r="P275" s="772"/>
    </row>
    <row r="276" spans="14:16">
      <c r="N276" s="781">
        <v>7361</v>
      </c>
      <c r="O276" s="662">
        <f>+SUMIF(SYS_4_3_Digitos!$M$5:$M$1682,N276,SYS_4_3_Digitos!$N$5:$N$1682)</f>
        <v>0</v>
      </c>
      <c r="P276" s="772"/>
    </row>
    <row r="277" spans="14:16">
      <c r="N277" s="781">
        <v>7362</v>
      </c>
      <c r="O277" s="662">
        <f>+SUMIF(SYS_4_3_Digitos!$M$5:$M$1682,N277,SYS_4_3_Digitos!$N$5:$N$1682)</f>
        <v>0</v>
      </c>
      <c r="P277" s="772"/>
    </row>
    <row r="278" spans="14:16">
      <c r="N278" s="781">
        <v>7363</v>
      </c>
      <c r="O278" s="662">
        <f>+SUMIF(SYS_4_3_Digitos!$M$5:$M$1682,N278,SYS_4_3_Digitos!$N$5:$N$1682)</f>
        <v>0</v>
      </c>
      <c r="P278" s="772"/>
    </row>
    <row r="279" spans="14:16">
      <c r="N279" s="781">
        <v>7364</v>
      </c>
      <c r="O279" s="662">
        <f>+SUMIF(SYS_4_3_Digitos!$M$5:$M$1682,N279,SYS_4_3_Digitos!$N$5:$N$1682)</f>
        <v>0</v>
      </c>
      <c r="P279" s="772"/>
    </row>
    <row r="280" spans="14:16">
      <c r="N280" s="781">
        <v>7365</v>
      </c>
      <c r="O280" s="662">
        <f>+SUMIF(SYS_4_3_Digitos!$M$5:$M$1682,N280,SYS_4_3_Digitos!$N$5:$N$1682)</f>
        <v>0</v>
      </c>
      <c r="P280" s="772"/>
    </row>
    <row r="281" spans="14:16">
      <c r="N281" s="781">
        <v>7366</v>
      </c>
      <c r="O281" s="662">
        <f>+SUMIF(SYS_4_3_Digitos!$M$5:$M$1682,N281,SYS_4_3_Digitos!$N$5:$N$1682)</f>
        <v>0</v>
      </c>
      <c r="P281" s="772"/>
    </row>
    <row r="282" spans="14:16">
      <c r="N282" s="781">
        <v>7367</v>
      </c>
      <c r="O282" s="662">
        <f>+SUMIF(SYS_4_3_Digitos!$M$5:$M$1682,N282,SYS_4_3_Digitos!$N$5:$N$1682)</f>
        <v>0</v>
      </c>
      <c r="P282" s="772"/>
    </row>
    <row r="283" spans="14:16">
      <c r="N283" s="781">
        <v>7368</v>
      </c>
      <c r="O283" s="662">
        <f>+SUMIF(SYS_4_3_Digitos!$M$5:$M$1682,N283,SYS_4_3_Digitos!$N$5:$N$1682)</f>
        <v>0</v>
      </c>
      <c r="P283" s="772"/>
    </row>
    <row r="284" spans="14:16">
      <c r="N284" s="781">
        <v>7369</v>
      </c>
      <c r="O284" s="662">
        <f>+SUMIF(SYS_4_3_Digitos!$M$5:$M$1682,N284,SYS_4_3_Digitos!$N$5:$N$1682)</f>
        <v>0</v>
      </c>
      <c r="P284" s="772"/>
    </row>
    <row r="285" spans="14:16">
      <c r="N285" s="781">
        <v>7370</v>
      </c>
      <c r="O285" s="662">
        <f>+SUMIF(SYS_4_3_Digitos!$M$5:$M$1682,N285,SYS_4_3_Digitos!$N$5:$N$1682)</f>
        <v>0</v>
      </c>
      <c r="P285" s="772"/>
    </row>
    <row r="286" spans="14:16">
      <c r="N286" s="781">
        <v>7371</v>
      </c>
      <c r="O286" s="662">
        <f>+SUMIF(SYS_4_3_Digitos!$M$5:$M$1682,N286,SYS_4_3_Digitos!$N$5:$N$1682)</f>
        <v>0</v>
      </c>
      <c r="P286" s="772"/>
    </row>
    <row r="287" spans="14:16">
      <c r="N287" s="781">
        <v>7372</v>
      </c>
      <c r="O287" s="662">
        <f>+SUMIF(SYS_4_3_Digitos!$M$5:$M$1682,N287,SYS_4_3_Digitos!$N$5:$N$1682)</f>
        <v>0</v>
      </c>
      <c r="P287" s="772"/>
    </row>
    <row r="288" spans="14:16">
      <c r="N288" s="781">
        <v>7373</v>
      </c>
      <c r="O288" s="662">
        <f>+SUMIF(SYS_4_3_Digitos!$M$5:$M$1682,N288,SYS_4_3_Digitos!$N$5:$N$1682)</f>
        <v>0</v>
      </c>
      <c r="P288" s="772"/>
    </row>
    <row r="289" spans="14:16">
      <c r="N289" s="781">
        <v>7374</v>
      </c>
      <c r="O289" s="662">
        <f>+SUMIF(SYS_4_3_Digitos!$M$5:$M$1682,N289,SYS_4_3_Digitos!$N$5:$N$1682)</f>
        <v>0</v>
      </c>
      <c r="P289" s="772"/>
    </row>
    <row r="290" spans="14:16">
      <c r="N290" s="781">
        <v>7375</v>
      </c>
      <c r="O290" s="662">
        <f>+SUMIF(SYS_4_3_Digitos!$M$5:$M$1682,N290,SYS_4_3_Digitos!$N$5:$N$1682)</f>
        <v>0</v>
      </c>
      <c r="P290" s="772"/>
    </row>
    <row r="291" spans="14:16">
      <c r="N291" s="781">
        <v>7376</v>
      </c>
      <c r="O291" s="662">
        <f>+SUMIF(SYS_4_3_Digitos!$M$5:$M$1682,N291,SYS_4_3_Digitos!$N$5:$N$1682)</f>
        <v>0</v>
      </c>
      <c r="P291" s="772"/>
    </row>
    <row r="292" spans="14:16">
      <c r="N292" s="781">
        <v>7377</v>
      </c>
      <c r="O292" s="662">
        <f>+SUMIF(SYS_4_3_Digitos!$M$5:$M$1682,N292,SYS_4_3_Digitos!$N$5:$N$1682)</f>
        <v>0</v>
      </c>
      <c r="P292" s="772"/>
    </row>
    <row r="293" spans="14:16">
      <c r="N293" s="781">
        <v>7378</v>
      </c>
      <c r="O293" s="662">
        <f>+SUMIF(SYS_4_3_Digitos!$M$5:$M$1682,N293,SYS_4_3_Digitos!$N$5:$N$1682)</f>
        <v>0</v>
      </c>
      <c r="P293" s="772"/>
    </row>
    <row r="294" spans="14:16">
      <c r="N294" s="781">
        <v>7379</v>
      </c>
      <c r="O294" s="662">
        <f>+SUMIF(SYS_4_3_Digitos!$M$5:$M$1682,N294,SYS_4_3_Digitos!$N$5:$N$1682)</f>
        <v>0</v>
      </c>
      <c r="P294" s="772"/>
    </row>
    <row r="295" spans="14:16">
      <c r="N295" s="781">
        <v>7380</v>
      </c>
      <c r="O295" s="662">
        <f>+SUMIF(SYS_4_3_Digitos!$M$5:$M$1682,N295,SYS_4_3_Digitos!$N$5:$N$1682)</f>
        <v>0</v>
      </c>
      <c r="P295" s="772"/>
    </row>
    <row r="296" spans="14:16">
      <c r="N296" s="781">
        <v>7381</v>
      </c>
      <c r="O296" s="662">
        <f>+SUMIF(SYS_4_3_Digitos!$M$5:$M$1682,N296,SYS_4_3_Digitos!$N$5:$N$1682)</f>
        <v>0</v>
      </c>
      <c r="P296" s="772"/>
    </row>
    <row r="297" spans="14:16">
      <c r="N297" s="781">
        <v>7382</v>
      </c>
      <c r="O297" s="662">
        <f>+SUMIF(SYS_4_3_Digitos!$M$5:$M$1682,N297,SYS_4_3_Digitos!$N$5:$N$1682)</f>
        <v>0</v>
      </c>
      <c r="P297" s="772"/>
    </row>
    <row r="298" spans="14:16">
      <c r="N298" s="781">
        <v>7383</v>
      </c>
      <c r="O298" s="662">
        <f>+SUMIF(SYS_4_3_Digitos!$M$5:$M$1682,N298,SYS_4_3_Digitos!$N$5:$N$1682)</f>
        <v>0</v>
      </c>
      <c r="P298" s="772"/>
    </row>
    <row r="299" spans="14:16">
      <c r="N299" s="781">
        <v>7384</v>
      </c>
      <c r="O299" s="662">
        <f>+SUMIF(SYS_4_3_Digitos!$M$5:$M$1682,N299,SYS_4_3_Digitos!$N$5:$N$1682)</f>
        <v>0</v>
      </c>
      <c r="P299" s="772"/>
    </row>
    <row r="300" spans="14:16">
      <c r="N300" s="781">
        <v>7385</v>
      </c>
      <c r="O300" s="662">
        <f>+SUMIF(SYS_4_3_Digitos!$M$5:$M$1682,N300,SYS_4_3_Digitos!$N$5:$N$1682)</f>
        <v>0</v>
      </c>
      <c r="P300" s="772"/>
    </row>
    <row r="301" spans="14:16">
      <c r="N301" s="781">
        <v>7386</v>
      </c>
      <c r="O301" s="662">
        <f>+SUMIF(SYS_4_3_Digitos!$M$5:$M$1682,N301,SYS_4_3_Digitos!$N$5:$N$1682)</f>
        <v>0</v>
      </c>
      <c r="P301" s="772"/>
    </row>
    <row r="302" spans="14:16">
      <c r="N302" s="781">
        <v>7387</v>
      </c>
      <c r="O302" s="662">
        <f>+SUMIF(SYS_4_3_Digitos!$M$5:$M$1682,N302,SYS_4_3_Digitos!$N$5:$N$1682)</f>
        <v>0</v>
      </c>
      <c r="P302" s="772"/>
    </row>
    <row r="303" spans="14:16">
      <c r="N303" s="781">
        <v>7388</v>
      </c>
      <c r="O303" s="662">
        <f>+SUMIF(SYS_4_3_Digitos!$M$5:$M$1682,N303,SYS_4_3_Digitos!$N$5:$N$1682)</f>
        <v>0</v>
      </c>
      <c r="P303" s="772"/>
    </row>
    <row r="304" spans="14:16">
      <c r="N304" s="781">
        <v>7389</v>
      </c>
      <c r="O304" s="662">
        <f>+SUMIF(SYS_4_3_Digitos!$M$5:$M$1682,N304,SYS_4_3_Digitos!$N$5:$N$1682)</f>
        <v>0</v>
      </c>
      <c r="P304" s="772"/>
    </row>
    <row r="305" spans="14:16">
      <c r="N305" s="781">
        <v>7390</v>
      </c>
      <c r="O305" s="662">
        <f>+SUMIF(SYS_4_3_Digitos!$M$5:$M$1682,N305,SYS_4_3_Digitos!$N$5:$N$1682)</f>
        <v>0</v>
      </c>
      <c r="P305" s="772"/>
    </row>
    <row r="306" spans="14:16">
      <c r="N306" s="781">
        <v>7391</v>
      </c>
      <c r="O306" s="662">
        <f>+SUMIF(SYS_4_3_Digitos!$M$5:$M$1682,N306,SYS_4_3_Digitos!$N$5:$N$1682)</f>
        <v>0</v>
      </c>
      <c r="P306" s="772"/>
    </row>
    <row r="307" spans="14:16">
      <c r="N307" s="781">
        <v>7392</v>
      </c>
      <c r="O307" s="662">
        <f>+SUMIF(SYS_4_3_Digitos!$M$5:$M$1682,N307,SYS_4_3_Digitos!$N$5:$N$1682)</f>
        <v>0</v>
      </c>
      <c r="P307" s="772"/>
    </row>
    <row r="308" spans="14:16">
      <c r="N308" s="781">
        <v>7393</v>
      </c>
      <c r="O308" s="662">
        <f>+SUMIF(SYS_4_3_Digitos!$M$5:$M$1682,N308,SYS_4_3_Digitos!$N$5:$N$1682)</f>
        <v>0</v>
      </c>
      <c r="P308" s="772"/>
    </row>
    <row r="309" spans="14:16">
      <c r="N309" s="781">
        <v>7394</v>
      </c>
      <c r="O309" s="662">
        <f>+SUMIF(SYS_4_3_Digitos!$M$5:$M$1682,N309,SYS_4_3_Digitos!$N$5:$N$1682)</f>
        <v>0</v>
      </c>
      <c r="P309" s="772"/>
    </row>
    <row r="310" spans="14:16">
      <c r="N310" s="781">
        <v>7395</v>
      </c>
      <c r="O310" s="662">
        <f>+SUMIF(SYS_4_3_Digitos!$M$5:$M$1682,N310,SYS_4_3_Digitos!$N$5:$N$1682)</f>
        <v>0</v>
      </c>
      <c r="P310" s="772"/>
    </row>
    <row r="311" spans="14:16">
      <c r="N311" s="781">
        <v>7396</v>
      </c>
      <c r="O311" s="662">
        <f>+SUMIF(SYS_4_3_Digitos!$M$5:$M$1682,N311,SYS_4_3_Digitos!$N$5:$N$1682)</f>
        <v>0</v>
      </c>
      <c r="P311" s="772"/>
    </row>
    <row r="312" spans="14:16">
      <c r="N312" s="781">
        <v>7397</v>
      </c>
      <c r="O312" s="662">
        <f>+SUMIF(SYS_4_3_Digitos!$M$5:$M$1682,N312,SYS_4_3_Digitos!$N$5:$N$1682)</f>
        <v>0</v>
      </c>
      <c r="P312" s="772"/>
    </row>
    <row r="313" spans="14:16">
      <c r="N313" s="781">
        <v>7398</v>
      </c>
      <c r="O313" s="662">
        <f>+SUMIF(SYS_4_3_Digitos!$M$5:$M$1682,N313,SYS_4_3_Digitos!$N$5:$N$1682)</f>
        <v>0</v>
      </c>
      <c r="P313" s="772"/>
    </row>
    <row r="314" spans="14:16">
      <c r="N314" s="781">
        <v>7399</v>
      </c>
      <c r="O314" s="662">
        <f>+SUMIF(SYS_4_3_Digitos!$M$5:$M$1682,N314,SYS_4_3_Digitos!$N$5:$N$1682)</f>
        <v>0</v>
      </c>
      <c r="P314" s="772"/>
    </row>
    <row r="315" spans="14:16">
      <c r="N315" s="776" t="s">
        <v>186</v>
      </c>
      <c r="O315" s="771"/>
      <c r="P315" s="772"/>
    </row>
    <row r="316" spans="14:16">
      <c r="N316" s="779" t="s">
        <v>188</v>
      </c>
      <c r="O316" s="788">
        <f ca="1">SUM(O317:O339)</f>
        <v>20447396.180000003</v>
      </c>
      <c r="P316" s="772"/>
    </row>
    <row r="317" spans="14:16">
      <c r="N317" s="781">
        <v>6000</v>
      </c>
      <c r="O317" s="662">
        <f ca="1">+SUMIF(SYS_4_3_Digitos!$M$5:$M$1682,N317,SYS_4_3_Digitos!$N$5:$N$1682)</f>
        <v>21680440.560000002</v>
      </c>
      <c r="P317" s="772"/>
    </row>
    <row r="318" spans="14:16">
      <c r="N318" s="781">
        <v>6001</v>
      </c>
      <c r="O318" s="662">
        <f>+SUMIF(SYS_4_3_Digitos!$M$5:$M$1682,N318,SYS_4_3_Digitos!$N$5:$N$1682)</f>
        <v>0</v>
      </c>
      <c r="P318" s="772" t="s">
        <v>232</v>
      </c>
    </row>
    <row r="319" spans="14:16">
      <c r="N319" s="781">
        <v>6002</v>
      </c>
      <c r="O319" s="662">
        <f>+SUMIF(SYS_4_3_Digitos!$M$5:$M$1682,N319,SYS_4_3_Digitos!$N$5:$N$1682)</f>
        <v>0</v>
      </c>
      <c r="P319" s="772"/>
    </row>
    <row r="320" spans="14:16">
      <c r="N320" s="781">
        <v>6003</v>
      </c>
      <c r="O320" s="662">
        <f>+SUMIF(SYS_4_3_Digitos!$M$5:$M$1682,N320,SYS_4_3_Digitos!$N$5:$N$1682)</f>
        <v>0</v>
      </c>
      <c r="P320" s="772"/>
    </row>
    <row r="321" spans="14:16">
      <c r="N321" s="781">
        <v>6004</v>
      </c>
      <c r="O321" s="662">
        <f>+SUMIF(SYS_4_3_Digitos!$M$5:$M$1682,N321,SYS_4_3_Digitos!$N$5:$N$1682)</f>
        <v>0</v>
      </c>
      <c r="P321" s="772"/>
    </row>
    <row r="322" spans="14:16">
      <c r="N322" s="781">
        <v>6005</v>
      </c>
      <c r="O322" s="662">
        <f>+SUMIF(SYS_4_3_Digitos!$M$5:$M$1682,N322,SYS_4_3_Digitos!$N$5:$N$1682)</f>
        <v>0</v>
      </c>
      <c r="P322" s="772"/>
    </row>
    <row r="323" spans="14:16">
      <c r="N323" s="781">
        <v>6006</v>
      </c>
      <c r="O323" s="662">
        <f>+SUMIF(SYS_4_3_Digitos!$M$5:$M$1682,N323,SYS_4_3_Digitos!$N$5:$N$1682)</f>
        <v>0</v>
      </c>
      <c r="P323" s="772"/>
    </row>
    <row r="324" spans="14:16">
      <c r="N324" s="781">
        <v>6007</v>
      </c>
      <c r="O324" s="662">
        <f>+SUMIF(SYS_4_3_Digitos!$M$5:$M$1682,N324,SYS_4_3_Digitos!$N$5:$N$1682)</f>
        <v>0</v>
      </c>
      <c r="P324" s="772"/>
    </row>
    <row r="325" spans="14:16">
      <c r="N325" s="781">
        <v>6008</v>
      </c>
      <c r="O325" s="662">
        <f>+SUMIF(SYS_4_3_Digitos!$M$5:$M$1682,N325,SYS_4_3_Digitos!$N$5:$N$1682)</f>
        <v>0</v>
      </c>
      <c r="P325" s="772"/>
    </row>
    <row r="326" spans="14:16">
      <c r="N326" s="781">
        <v>6009</v>
      </c>
      <c r="O326" s="662">
        <f>+SUMIF(SYS_4_3_Digitos!$M$5:$M$1682,N326,SYS_4_3_Digitos!$N$5:$N$1682)</f>
        <v>0</v>
      </c>
      <c r="P326" s="772"/>
    </row>
    <row r="327" spans="14:16">
      <c r="N327" s="781">
        <v>6060</v>
      </c>
      <c r="O327" s="662">
        <f ca="1">+SUMIF(SYS_4_3_Digitos!$M$5:$M$1682,N327,SYS_4_3_Digitos!$N$5:$N$1682)</f>
        <v>-831.47</v>
      </c>
      <c r="P327" s="772"/>
    </row>
    <row r="328" spans="14:16">
      <c r="N328" s="781">
        <v>6080</v>
      </c>
      <c r="O328" s="662">
        <f ca="1">+SUMIF(SYS_4_3_Digitos!$M$5:$M$1682,N328,SYS_4_3_Digitos!$N$5:$N$1682)</f>
        <v>0</v>
      </c>
      <c r="P328" s="772"/>
    </row>
    <row r="329" spans="14:16">
      <c r="N329" s="781">
        <v>6090</v>
      </c>
      <c r="O329" s="662">
        <f ca="1">+SUMIF(SYS_4_3_Digitos!$M$5:$M$1682,N329,SYS_4_3_Digitos!$N$5:$N$1682)</f>
        <v>0</v>
      </c>
      <c r="P329" s="772"/>
    </row>
    <row r="330" spans="14:16">
      <c r="N330" s="781">
        <v>6100</v>
      </c>
      <c r="O330" s="662">
        <f ca="1">+SUMIF(SYS_4_3_Digitos!$M$5:$M$1682,N330,SYS_4_3_Digitos!$N$5:$N$1682)</f>
        <v>-1232212.9099999999</v>
      </c>
      <c r="P330" s="772"/>
    </row>
    <row r="331" spans="14:16">
      <c r="N331" s="781">
        <v>6101</v>
      </c>
      <c r="O331" s="662">
        <f>+SUMIF(SYS_4_3_Digitos!$M$5:$M$1682,N331,SYS_4_3_Digitos!$N$5:$N$1682)</f>
        <v>0</v>
      </c>
      <c r="P331" s="772"/>
    </row>
    <row r="332" spans="14:16">
      <c r="N332" s="781">
        <v>6102</v>
      </c>
      <c r="O332" s="662">
        <f>+SUMIF(SYS_4_3_Digitos!$M$5:$M$1682,N332,SYS_4_3_Digitos!$N$5:$N$1682)</f>
        <v>0</v>
      </c>
      <c r="P332" s="772"/>
    </row>
    <row r="333" spans="14:16">
      <c r="N333" s="781">
        <v>6103</v>
      </c>
      <c r="O333" s="662">
        <f>+SUMIF(SYS_4_3_Digitos!$M$5:$M$1682,N333,SYS_4_3_Digitos!$N$5:$N$1682)</f>
        <v>0</v>
      </c>
      <c r="P333" s="772"/>
    </row>
    <row r="334" spans="14:16">
      <c r="N334" s="781">
        <v>6104</v>
      </c>
      <c r="O334" s="662">
        <f>+SUMIF(SYS_4_3_Digitos!$M$5:$M$1682,N334,SYS_4_3_Digitos!$N$5:$N$1682)</f>
        <v>0</v>
      </c>
      <c r="P334" s="772"/>
    </row>
    <row r="335" spans="14:16">
      <c r="N335" s="781">
        <v>6105</v>
      </c>
      <c r="O335" s="662">
        <f>+SUMIF(SYS_4_3_Digitos!$M$5:$M$1682,N335,SYS_4_3_Digitos!$N$5:$N$1682)</f>
        <v>0</v>
      </c>
      <c r="P335" s="772"/>
    </row>
    <row r="336" spans="14:16">
      <c r="N336" s="781">
        <v>6106</v>
      </c>
      <c r="O336" s="662">
        <f>+SUMIF(SYS_4_3_Digitos!$M$5:$M$1682,N336,SYS_4_3_Digitos!$N$5:$N$1682)</f>
        <v>0</v>
      </c>
      <c r="P336" s="772"/>
    </row>
    <row r="337" spans="14:16">
      <c r="N337" s="781">
        <v>6107</v>
      </c>
      <c r="O337" s="662">
        <f>+SUMIF(SYS_4_3_Digitos!$M$5:$M$1682,N337,SYS_4_3_Digitos!$N$5:$N$1682)</f>
        <v>0</v>
      </c>
      <c r="P337" s="772"/>
    </row>
    <row r="338" spans="14:16">
      <c r="N338" s="781">
        <v>6108</v>
      </c>
      <c r="O338" s="662">
        <f>+SUMIF(SYS_4_3_Digitos!$M$5:$M$1682,N338,SYS_4_3_Digitos!$N$5:$N$1682)</f>
        <v>0</v>
      </c>
      <c r="P338" s="772"/>
    </row>
    <row r="339" spans="14:16">
      <c r="N339" s="781">
        <v>6109</v>
      </c>
      <c r="O339" s="662">
        <f>+SUMIF(SYS_4_3_Digitos!$M$5:$M$1682,N339,SYS_4_3_Digitos!$N$5:$N$1682)</f>
        <v>0</v>
      </c>
      <c r="P339" s="772"/>
    </row>
    <row r="340" spans="14:16">
      <c r="N340" s="779" t="s">
        <v>187</v>
      </c>
      <c r="O340" s="788">
        <f ca="1">SUM(O341:O386)</f>
        <v>36487012.279999986</v>
      </c>
      <c r="P340" s="772"/>
    </row>
    <row r="341" spans="14:16">
      <c r="N341" s="781">
        <v>6010</v>
      </c>
      <c r="O341" s="662">
        <f ca="1">+SUMIF(SYS_4_3_Digitos!$M$5:$M$1682,N341,SYS_4_3_Digitos!$N$5:$N$1682)</f>
        <v>41519643.559999987</v>
      </c>
      <c r="P341" s="772"/>
    </row>
    <row r="342" spans="14:16">
      <c r="N342" s="781">
        <v>6011</v>
      </c>
      <c r="O342" s="662">
        <f>+SUMIF(SYS_4_3_Digitos!$M$5:$M$1682,N342,SYS_4_3_Digitos!$N$5:$N$1682)</f>
        <v>0</v>
      </c>
      <c r="P342" s="772" t="s">
        <v>233</v>
      </c>
    </row>
    <row r="343" spans="14:16">
      <c r="N343" s="781">
        <v>6012</v>
      </c>
      <c r="O343" s="662">
        <f>+SUMIF(SYS_4_3_Digitos!$M$5:$M$1682,N343,SYS_4_3_Digitos!$N$5:$N$1682)</f>
        <v>0</v>
      </c>
      <c r="P343" s="772"/>
    </row>
    <row r="344" spans="14:16">
      <c r="N344" s="781">
        <v>6013</v>
      </c>
      <c r="O344" s="662">
        <f>+SUMIF(SYS_4_3_Digitos!$M$5:$M$1682,N344,SYS_4_3_Digitos!$N$5:$N$1682)</f>
        <v>0</v>
      </c>
      <c r="P344" s="772"/>
    </row>
    <row r="345" spans="14:16">
      <c r="N345" s="781">
        <v>6014</v>
      </c>
      <c r="O345" s="662">
        <f>+SUMIF(SYS_4_3_Digitos!$M$5:$M$1682,N345,SYS_4_3_Digitos!$N$5:$N$1682)</f>
        <v>0</v>
      </c>
      <c r="P345" s="772"/>
    </row>
    <row r="346" spans="14:16">
      <c r="N346" s="781">
        <v>6015</v>
      </c>
      <c r="O346" s="662">
        <f>+SUMIF(SYS_4_3_Digitos!$M$5:$M$1682,N346,SYS_4_3_Digitos!$N$5:$N$1682)</f>
        <v>0</v>
      </c>
      <c r="P346" s="772"/>
    </row>
    <row r="347" spans="14:16">
      <c r="N347" s="781">
        <v>6016</v>
      </c>
      <c r="O347" s="662">
        <f>+SUMIF(SYS_4_3_Digitos!$M$5:$M$1682,N347,SYS_4_3_Digitos!$N$5:$N$1682)</f>
        <v>0</v>
      </c>
      <c r="P347" s="772"/>
    </row>
    <row r="348" spans="14:16">
      <c r="N348" s="781">
        <v>6017</v>
      </c>
      <c r="O348" s="662">
        <f>+SUMIF(SYS_4_3_Digitos!$M$5:$M$1682,N348,SYS_4_3_Digitos!$N$5:$N$1682)</f>
        <v>0</v>
      </c>
      <c r="P348" s="772"/>
    </row>
    <row r="349" spans="14:16">
      <c r="N349" s="781">
        <v>6018</v>
      </c>
      <c r="O349" s="662">
        <f>+SUMIF(SYS_4_3_Digitos!$M$5:$M$1682,N349,SYS_4_3_Digitos!$N$5:$N$1682)</f>
        <v>0</v>
      </c>
      <c r="P349" s="772"/>
    </row>
    <row r="350" spans="14:16">
      <c r="N350" s="781">
        <v>6019</v>
      </c>
      <c r="O350" s="662">
        <f>+SUMIF(SYS_4_3_Digitos!$M$5:$M$1682,N350,SYS_4_3_Digitos!$N$5:$N$1682)</f>
        <v>0</v>
      </c>
      <c r="P350" s="772"/>
    </row>
    <row r="351" spans="14:16">
      <c r="N351" s="781">
        <v>6020</v>
      </c>
      <c r="O351" s="662">
        <f ca="1">+SUMIF(SYS_4_3_Digitos!$M$5:$M$1682,N351,SYS_4_3_Digitos!$N$5:$N$1682)</f>
        <v>397772.66</v>
      </c>
      <c r="P351" s="772"/>
    </row>
    <row r="352" spans="14:16">
      <c r="N352" s="781">
        <v>6021</v>
      </c>
      <c r="O352" s="662">
        <f>+SUMIF(SYS_4_3_Digitos!$M$5:$M$1682,N352,SYS_4_3_Digitos!$N$5:$N$1682)</f>
        <v>0</v>
      </c>
      <c r="P352" s="772"/>
    </row>
    <row r="353" spans="14:16">
      <c r="N353" s="781">
        <v>6022</v>
      </c>
      <c r="O353" s="662">
        <f>+SUMIF(SYS_4_3_Digitos!$M$5:$M$1682,N353,SYS_4_3_Digitos!$N$5:$N$1682)</f>
        <v>0</v>
      </c>
      <c r="P353" s="772"/>
    </row>
    <row r="354" spans="14:16">
      <c r="N354" s="781">
        <v>6023</v>
      </c>
      <c r="O354" s="662">
        <f>+SUMIF(SYS_4_3_Digitos!$M$5:$M$1682,N354,SYS_4_3_Digitos!$N$5:$N$1682)</f>
        <v>0</v>
      </c>
      <c r="P354" s="772"/>
    </row>
    <row r="355" spans="14:16">
      <c r="N355" s="781">
        <v>6024</v>
      </c>
      <c r="O355" s="662">
        <f>+SUMIF(SYS_4_3_Digitos!$M$5:$M$1682,N355,SYS_4_3_Digitos!$N$5:$N$1682)</f>
        <v>0</v>
      </c>
      <c r="P355" s="772"/>
    </row>
    <row r="356" spans="14:16">
      <c r="N356" s="781">
        <v>6025</v>
      </c>
      <c r="O356" s="662">
        <f>+SUMIF(SYS_4_3_Digitos!$M$5:$M$1682,N356,SYS_4_3_Digitos!$N$5:$N$1682)</f>
        <v>0</v>
      </c>
      <c r="P356" s="772"/>
    </row>
    <row r="357" spans="14:16">
      <c r="N357" s="781">
        <v>6026</v>
      </c>
      <c r="O357" s="662">
        <f>+SUMIF(SYS_4_3_Digitos!$M$5:$M$1682,N357,SYS_4_3_Digitos!$N$5:$N$1682)</f>
        <v>0</v>
      </c>
      <c r="P357" s="772"/>
    </row>
    <row r="358" spans="14:16">
      <c r="N358" s="781">
        <v>6027</v>
      </c>
      <c r="O358" s="662">
        <f>+SUMIF(SYS_4_3_Digitos!$M$5:$M$1682,N358,SYS_4_3_Digitos!$N$5:$N$1682)</f>
        <v>0</v>
      </c>
      <c r="P358" s="772"/>
    </row>
    <row r="359" spans="14:16">
      <c r="N359" s="781">
        <v>6028</v>
      </c>
      <c r="O359" s="662">
        <f>+SUMIF(SYS_4_3_Digitos!$M$5:$M$1682,N359,SYS_4_3_Digitos!$N$5:$N$1682)</f>
        <v>0</v>
      </c>
      <c r="P359" s="772"/>
    </row>
    <row r="360" spans="14:16">
      <c r="N360" s="781">
        <v>6029</v>
      </c>
      <c r="O360" s="662">
        <f>+SUMIF(SYS_4_3_Digitos!$M$5:$M$1682,N360,SYS_4_3_Digitos!$N$5:$N$1682)</f>
        <v>0</v>
      </c>
      <c r="P360" s="772"/>
    </row>
    <row r="361" spans="14:16">
      <c r="N361" s="781">
        <v>6061</v>
      </c>
      <c r="O361" s="662">
        <f>+SUMIF(SYS_4_3_Digitos!$M$5:$M$1682,N361,SYS_4_3_Digitos!$N$5:$N$1682)</f>
        <v>0</v>
      </c>
      <c r="P361" s="772"/>
    </row>
    <row r="362" spans="14:16">
      <c r="N362" s="781">
        <v>6062</v>
      </c>
      <c r="O362" s="662">
        <f>+SUMIF(SYS_4_3_Digitos!$M$5:$M$1682,N362,SYS_4_3_Digitos!$N$5:$N$1682)</f>
        <v>0</v>
      </c>
      <c r="P362" s="772"/>
    </row>
    <row r="363" spans="14:16">
      <c r="N363" s="781">
        <v>6081</v>
      </c>
      <c r="O363" s="662">
        <f>+SUMIF(SYS_4_3_Digitos!$M$5:$M$1682,N363,SYS_4_3_Digitos!$N$5:$N$1682)</f>
        <v>0</v>
      </c>
      <c r="P363" s="772"/>
    </row>
    <row r="364" spans="14:16">
      <c r="N364" s="781">
        <v>6082</v>
      </c>
      <c r="O364" s="662">
        <f>+SUMIF(SYS_4_3_Digitos!$M$5:$M$1682,N364,SYS_4_3_Digitos!$N$5:$N$1682)</f>
        <v>0</v>
      </c>
      <c r="P364" s="772"/>
    </row>
    <row r="365" spans="14:16">
      <c r="N365" s="781">
        <v>6091</v>
      </c>
      <c r="O365" s="662">
        <f>+SUMIF(SYS_4_3_Digitos!$M$5:$M$1682,N365,SYS_4_3_Digitos!$N$5:$N$1682)</f>
        <v>0</v>
      </c>
      <c r="P365" s="772"/>
    </row>
    <row r="366" spans="14:16">
      <c r="N366" s="781">
        <v>6092</v>
      </c>
      <c r="O366" s="662">
        <f>+SUMIF(SYS_4_3_Digitos!$M$5:$M$1682,N366,SYS_4_3_Digitos!$N$5:$N$1682)</f>
        <v>0</v>
      </c>
      <c r="P366" s="772"/>
    </row>
    <row r="367" spans="14:16">
      <c r="N367" s="781">
        <v>6110</v>
      </c>
      <c r="O367" s="662">
        <f ca="1">+SUMIF(SYS_4_3_Digitos!$M$5:$M$1682,N367,SYS_4_3_Digitos!$N$5:$N$1682)</f>
        <v>-5456381.5499999998</v>
      </c>
      <c r="P367" s="772"/>
    </row>
    <row r="368" spans="14:16">
      <c r="N368" s="781">
        <v>6111</v>
      </c>
      <c r="O368" s="662">
        <f>+SUMIF(SYS_4_3_Digitos!$M$5:$M$1682,N368,SYS_4_3_Digitos!$N$5:$N$1682)</f>
        <v>0</v>
      </c>
      <c r="P368" s="772"/>
    </row>
    <row r="369" spans="14:16">
      <c r="N369" s="781">
        <v>6112</v>
      </c>
      <c r="O369" s="662">
        <f>+SUMIF(SYS_4_3_Digitos!$M$5:$M$1682,N369,SYS_4_3_Digitos!$N$5:$N$1682)</f>
        <v>0</v>
      </c>
      <c r="P369" s="772"/>
    </row>
    <row r="370" spans="14:16">
      <c r="N370" s="781">
        <v>6113</v>
      </c>
      <c r="O370" s="662">
        <f>+SUMIF(SYS_4_3_Digitos!$M$5:$M$1682,N370,SYS_4_3_Digitos!$N$5:$N$1682)</f>
        <v>0</v>
      </c>
      <c r="P370" s="772"/>
    </row>
    <row r="371" spans="14:16">
      <c r="N371" s="781">
        <v>6114</v>
      </c>
      <c r="O371" s="662">
        <f>+SUMIF(SYS_4_3_Digitos!$M$5:$M$1682,N371,SYS_4_3_Digitos!$N$5:$N$1682)</f>
        <v>0</v>
      </c>
      <c r="P371" s="772"/>
    </row>
    <row r="372" spans="14:16">
      <c r="N372" s="781">
        <v>6115</v>
      </c>
      <c r="O372" s="662">
        <f>+SUMIF(SYS_4_3_Digitos!$M$5:$M$1682,N372,SYS_4_3_Digitos!$N$5:$N$1682)</f>
        <v>0</v>
      </c>
      <c r="P372" s="772"/>
    </row>
    <row r="373" spans="14:16">
      <c r="N373" s="781">
        <v>6116</v>
      </c>
      <c r="O373" s="662">
        <f>+SUMIF(SYS_4_3_Digitos!$M$5:$M$1682,N373,SYS_4_3_Digitos!$N$5:$N$1682)</f>
        <v>0</v>
      </c>
      <c r="P373" s="772"/>
    </row>
    <row r="374" spans="14:16">
      <c r="N374" s="781">
        <v>6117</v>
      </c>
      <c r="O374" s="662">
        <f>+SUMIF(SYS_4_3_Digitos!$M$5:$M$1682,N374,SYS_4_3_Digitos!$N$5:$N$1682)</f>
        <v>0</v>
      </c>
      <c r="P374" s="772"/>
    </row>
    <row r="375" spans="14:16">
      <c r="N375" s="781">
        <v>6118</v>
      </c>
      <c r="O375" s="662">
        <f>+SUMIF(SYS_4_3_Digitos!$M$5:$M$1682,N375,SYS_4_3_Digitos!$N$5:$N$1682)</f>
        <v>0</v>
      </c>
      <c r="P375" s="772"/>
    </row>
    <row r="376" spans="14:16">
      <c r="N376" s="781">
        <v>6119</v>
      </c>
      <c r="O376" s="662">
        <f>+SUMIF(SYS_4_3_Digitos!$M$5:$M$1682,N376,SYS_4_3_Digitos!$N$5:$N$1682)</f>
        <v>0</v>
      </c>
      <c r="P376" s="772"/>
    </row>
    <row r="377" spans="14:16">
      <c r="N377" s="781">
        <v>6120</v>
      </c>
      <c r="O377" s="662">
        <f ca="1">+SUMIF(SYS_4_3_Digitos!$M$5:$M$1682,N377,SYS_4_3_Digitos!$N$5:$N$1682)</f>
        <v>25977.61</v>
      </c>
      <c r="P377" s="772"/>
    </row>
    <row r="378" spans="14:16">
      <c r="N378" s="781">
        <v>6121</v>
      </c>
      <c r="O378" s="662">
        <f>+SUMIF(SYS_4_3_Digitos!$M$5:$M$1682,N378,SYS_4_3_Digitos!$N$5:$N$1682)</f>
        <v>0</v>
      </c>
      <c r="P378" s="772"/>
    </row>
    <row r="379" spans="14:16">
      <c r="N379" s="781">
        <v>6122</v>
      </c>
      <c r="O379" s="662">
        <f>+SUMIF(SYS_4_3_Digitos!$M$5:$M$1682,N379,SYS_4_3_Digitos!$N$5:$N$1682)</f>
        <v>0</v>
      </c>
      <c r="P379" s="772"/>
    </row>
    <row r="380" spans="14:16">
      <c r="N380" s="781">
        <v>6123</v>
      </c>
      <c r="O380" s="662">
        <f>+SUMIF(SYS_4_3_Digitos!$M$5:$M$1682,N380,SYS_4_3_Digitos!$N$5:$N$1682)</f>
        <v>0</v>
      </c>
      <c r="P380" s="772"/>
    </row>
    <row r="381" spans="14:16">
      <c r="N381" s="781">
        <v>6124</v>
      </c>
      <c r="O381" s="662">
        <f>+SUMIF(SYS_4_3_Digitos!$M$5:$M$1682,N381,SYS_4_3_Digitos!$N$5:$N$1682)</f>
        <v>0</v>
      </c>
      <c r="P381" s="772"/>
    </row>
    <row r="382" spans="14:16">
      <c r="N382" s="781">
        <v>6125</v>
      </c>
      <c r="O382" s="662">
        <f>+SUMIF(SYS_4_3_Digitos!$M$5:$M$1682,N382,SYS_4_3_Digitos!$N$5:$N$1682)</f>
        <v>0</v>
      </c>
      <c r="P382" s="772"/>
    </row>
    <row r="383" spans="14:16">
      <c r="N383" s="781">
        <v>6126</v>
      </c>
      <c r="O383" s="662">
        <f>+SUMIF(SYS_4_3_Digitos!$M$5:$M$1682,N383,SYS_4_3_Digitos!$N$5:$N$1682)</f>
        <v>0</v>
      </c>
      <c r="P383" s="772"/>
    </row>
    <row r="384" spans="14:16">
      <c r="N384" s="781">
        <v>6127</v>
      </c>
      <c r="O384" s="662">
        <f>+SUMIF(SYS_4_3_Digitos!$M$5:$M$1682,N384,SYS_4_3_Digitos!$N$5:$N$1682)</f>
        <v>0</v>
      </c>
      <c r="P384" s="772"/>
    </row>
    <row r="385" spans="14:16">
      <c r="N385" s="781">
        <v>6128</v>
      </c>
      <c r="O385" s="662">
        <f>+SUMIF(SYS_4_3_Digitos!$M$5:$M$1682,N385,SYS_4_3_Digitos!$N$5:$N$1682)</f>
        <v>0</v>
      </c>
      <c r="P385" s="772"/>
    </row>
    <row r="386" spans="14:16">
      <c r="N386" s="781">
        <v>6129</v>
      </c>
      <c r="O386" s="662">
        <f>+SUMIF(SYS_4_3_Digitos!$M$5:$M$1682,N386,SYS_4_3_Digitos!$N$5:$N$1682)</f>
        <v>0</v>
      </c>
      <c r="P386" s="772"/>
    </row>
    <row r="387" spans="14:16">
      <c r="N387" s="779" t="s">
        <v>189</v>
      </c>
      <c r="O387" s="788">
        <f ca="1">SUM(O388:O397)</f>
        <v>0</v>
      </c>
      <c r="P387" s="772"/>
    </row>
    <row r="388" spans="14:16">
      <c r="N388" s="781">
        <v>6070</v>
      </c>
      <c r="O388" s="662">
        <f ca="1">+SUMIF(SYS_4_3_Digitos!$M$5:$M$1682,N388,SYS_4_3_Digitos!$N$5:$N$1682)</f>
        <v>0</v>
      </c>
      <c r="P388" s="772"/>
    </row>
    <row r="389" spans="14:16">
      <c r="N389" s="781">
        <v>6071</v>
      </c>
      <c r="O389" s="662">
        <f>+SUMIF(SYS_4_3_Digitos!$M$5:$M$1682,N389,SYS_4_3_Digitos!$N$5:$N$1682)</f>
        <v>0</v>
      </c>
      <c r="P389" s="789" t="s">
        <v>257</v>
      </c>
    </row>
    <row r="390" spans="14:16">
      <c r="N390" s="781">
        <v>6072</v>
      </c>
      <c r="O390" s="662">
        <f>+SUMIF(SYS_4_3_Digitos!$M$5:$M$1682,N390,SYS_4_3_Digitos!$N$5:$N$1682)</f>
        <v>0</v>
      </c>
      <c r="P390" s="789"/>
    </row>
    <row r="391" spans="14:16">
      <c r="N391" s="781">
        <v>6073</v>
      </c>
      <c r="O391" s="662">
        <f>+SUMIF(SYS_4_3_Digitos!$M$5:$M$1682,N391,SYS_4_3_Digitos!$N$5:$N$1682)</f>
        <v>0</v>
      </c>
      <c r="P391" s="789"/>
    </row>
    <row r="392" spans="14:16">
      <c r="N392" s="781">
        <v>6074</v>
      </c>
      <c r="O392" s="662">
        <f>+SUMIF(SYS_4_3_Digitos!$M$5:$M$1682,N392,SYS_4_3_Digitos!$N$5:$N$1682)</f>
        <v>0</v>
      </c>
      <c r="P392" s="789"/>
    </row>
    <row r="393" spans="14:16">
      <c r="N393" s="781">
        <v>6075</v>
      </c>
      <c r="O393" s="662">
        <f>+SUMIF(SYS_4_3_Digitos!$M$5:$M$1682,N393,SYS_4_3_Digitos!$N$5:$N$1682)</f>
        <v>0</v>
      </c>
      <c r="P393" s="789"/>
    </row>
    <row r="394" spans="14:16">
      <c r="N394" s="781">
        <v>6076</v>
      </c>
      <c r="O394" s="662">
        <f>+SUMIF(SYS_4_3_Digitos!$M$5:$M$1682,N394,SYS_4_3_Digitos!$N$5:$N$1682)</f>
        <v>0</v>
      </c>
      <c r="P394" s="789"/>
    </row>
    <row r="395" spans="14:16">
      <c r="N395" s="781">
        <v>6077</v>
      </c>
      <c r="O395" s="662">
        <f>+SUMIF(SYS_4_3_Digitos!$M$5:$M$1682,N395,SYS_4_3_Digitos!$N$5:$N$1682)</f>
        <v>0</v>
      </c>
      <c r="P395" s="789"/>
    </row>
    <row r="396" spans="14:16">
      <c r="N396" s="781">
        <v>6078</v>
      </c>
      <c r="O396" s="662">
        <f>+SUMIF(SYS_4_3_Digitos!$M$5:$M$1682,N396,SYS_4_3_Digitos!$N$5:$N$1682)</f>
        <v>0</v>
      </c>
      <c r="P396" s="789"/>
    </row>
    <row r="397" spans="14:16">
      <c r="N397" s="781">
        <v>6079</v>
      </c>
      <c r="O397" s="662">
        <f>+SUMIF(SYS_4_3_Digitos!$M$5:$M$1682,N397,SYS_4_3_Digitos!$N$5:$N$1682)</f>
        <v>0</v>
      </c>
      <c r="P397" s="789"/>
    </row>
    <row r="398" spans="14:16">
      <c r="N398" s="779" t="s">
        <v>190</v>
      </c>
      <c r="O398" s="788">
        <f>SUM(O399:O404)</f>
        <v>0</v>
      </c>
      <c r="P398" s="789"/>
    </row>
    <row r="399" spans="14:16">
      <c r="N399" s="781">
        <v>6931</v>
      </c>
      <c r="O399" s="662">
        <f>+SUMIF(SYS_4_3_Digitos!$M$5:$M$1682,N399,SYS_4_3_Digitos!$N$5:$N$1682)</f>
        <v>0</v>
      </c>
      <c r="P399" s="789"/>
    </row>
    <row r="400" spans="14:16">
      <c r="N400" s="781">
        <v>6932</v>
      </c>
      <c r="O400" s="662">
        <f>+SUMIF(SYS_4_3_Digitos!$M$5:$M$1682,N400,SYS_4_3_Digitos!$N$5:$N$1682)</f>
        <v>0</v>
      </c>
      <c r="P400" s="772" t="s">
        <v>234</v>
      </c>
    </row>
    <row r="401" spans="14:16">
      <c r="N401" s="781">
        <v>6933</v>
      </c>
      <c r="O401" s="662">
        <f>+SUMIF(SYS_4_3_Digitos!$M$5:$M$1682,N401,SYS_4_3_Digitos!$N$5:$N$1682)</f>
        <v>0</v>
      </c>
      <c r="P401" s="789"/>
    </row>
    <row r="402" spans="14:16">
      <c r="N402" s="781">
        <v>7931</v>
      </c>
      <c r="O402" s="662">
        <f>+SUMIF(SYS_4_3_Digitos!$M$5:$M$1682,N402,SYS_4_3_Digitos!$N$5:$N$1682)</f>
        <v>0</v>
      </c>
      <c r="P402" s="772"/>
    </row>
    <row r="403" spans="14:16">
      <c r="N403" s="781">
        <v>7932</v>
      </c>
      <c r="O403" s="662">
        <f>+SUMIF(SYS_4_3_Digitos!$M$5:$M$1682,N403,SYS_4_3_Digitos!$N$5:$N$1682)</f>
        <v>0</v>
      </c>
      <c r="P403" s="772"/>
    </row>
    <row r="404" spans="14:16">
      <c r="N404" s="781">
        <v>7933</v>
      </c>
      <c r="O404" s="662">
        <f>+SUMIF(SYS_4_3_Digitos!$M$5:$M$1682,N404,SYS_4_3_Digitos!$N$5:$N$1682)</f>
        <v>0</v>
      </c>
      <c r="P404" s="772"/>
    </row>
    <row r="405" spans="14:16">
      <c r="N405" s="776" t="s">
        <v>191</v>
      </c>
      <c r="O405" s="771"/>
      <c r="P405" s="772"/>
    </row>
    <row r="406" spans="14:16">
      <c r="N406" s="779" t="s">
        <v>194</v>
      </c>
      <c r="O406" s="788">
        <f ca="1">SUM(O407:O506)</f>
        <v>-5048.42</v>
      </c>
      <c r="P406" s="772"/>
    </row>
    <row r="407" spans="14:16">
      <c r="N407" s="781">
        <v>7500</v>
      </c>
      <c r="O407" s="662">
        <f>+SUMIF(SYS_4_3_Digitos!$M$5:$M$1682,N407,SYS_4_3_Digitos!$N$5:$N$1682)</f>
        <v>0</v>
      </c>
      <c r="P407" s="772"/>
    </row>
    <row r="408" spans="14:16">
      <c r="N408" s="781">
        <v>7501</v>
      </c>
      <c r="O408" s="662">
        <f>+SUMIF(SYS_4_3_Digitos!$M$5:$M$1682,N408,SYS_4_3_Digitos!$N$5:$N$1682)</f>
        <v>0</v>
      </c>
      <c r="P408" s="772">
        <v>75</v>
      </c>
    </row>
    <row r="409" spans="14:16">
      <c r="N409" s="781">
        <v>7502</v>
      </c>
      <c r="O409" s="662">
        <f>+SUMIF(SYS_4_3_Digitos!$M$5:$M$1682,N409,SYS_4_3_Digitos!$N$5:$N$1682)</f>
        <v>0</v>
      </c>
      <c r="P409" s="772"/>
    </row>
    <row r="410" spans="14:16">
      <c r="N410" s="781">
        <v>7503</v>
      </c>
      <c r="O410" s="662">
        <f>+SUMIF(SYS_4_3_Digitos!$M$5:$M$1682,N410,SYS_4_3_Digitos!$N$5:$N$1682)</f>
        <v>0</v>
      </c>
      <c r="P410" s="772"/>
    </row>
    <row r="411" spans="14:16">
      <c r="N411" s="781">
        <v>7504</v>
      </c>
      <c r="O411" s="662">
        <f>+SUMIF(SYS_4_3_Digitos!$M$5:$M$1682,N411,SYS_4_3_Digitos!$N$5:$N$1682)</f>
        <v>0</v>
      </c>
      <c r="P411" s="772"/>
    </row>
    <row r="412" spans="14:16">
      <c r="N412" s="781">
        <v>7505</v>
      </c>
      <c r="O412" s="662">
        <f>+SUMIF(SYS_4_3_Digitos!$M$5:$M$1682,N412,SYS_4_3_Digitos!$N$5:$N$1682)</f>
        <v>0</v>
      </c>
      <c r="P412" s="772"/>
    </row>
    <row r="413" spans="14:16">
      <c r="N413" s="781">
        <v>7506</v>
      </c>
      <c r="O413" s="662">
        <f>+SUMIF(SYS_4_3_Digitos!$M$5:$M$1682,N413,SYS_4_3_Digitos!$N$5:$N$1682)</f>
        <v>0</v>
      </c>
      <c r="P413" s="772"/>
    </row>
    <row r="414" spans="14:16">
      <c r="N414" s="781">
        <v>7507</v>
      </c>
      <c r="O414" s="662">
        <f>+SUMIF(SYS_4_3_Digitos!$M$5:$M$1682,N414,SYS_4_3_Digitos!$N$5:$N$1682)</f>
        <v>0</v>
      </c>
      <c r="P414" s="772"/>
    </row>
    <row r="415" spans="14:16">
      <c r="N415" s="781">
        <v>7508</v>
      </c>
      <c r="O415" s="662">
        <f>+SUMIF(SYS_4_3_Digitos!$M$5:$M$1682,N415,SYS_4_3_Digitos!$N$5:$N$1682)</f>
        <v>0</v>
      </c>
      <c r="P415" s="772"/>
    </row>
    <row r="416" spans="14:16">
      <c r="N416" s="781">
        <v>7509</v>
      </c>
      <c r="O416" s="662">
        <f>+SUMIF(SYS_4_3_Digitos!$M$5:$M$1682,N416,SYS_4_3_Digitos!$N$5:$N$1682)</f>
        <v>0</v>
      </c>
      <c r="P416" s="772"/>
    </row>
    <row r="417" spans="14:16">
      <c r="N417" s="781">
        <v>7510</v>
      </c>
      <c r="O417" s="662">
        <f ca="1">+SUMIF(SYS_4_3_Digitos!$M$5:$M$1682,N417,SYS_4_3_Digitos!$N$5:$N$1682)</f>
        <v>0</v>
      </c>
      <c r="P417" s="772"/>
    </row>
    <row r="418" spans="14:16">
      <c r="N418" s="781">
        <v>7511</v>
      </c>
      <c r="O418" s="662">
        <f>+SUMIF(SYS_4_3_Digitos!$M$5:$M$1682,N418,SYS_4_3_Digitos!$N$5:$N$1682)</f>
        <v>0</v>
      </c>
      <c r="P418" s="772"/>
    </row>
    <row r="419" spans="14:16">
      <c r="N419" s="781">
        <v>7512</v>
      </c>
      <c r="O419" s="662">
        <f>+SUMIF(SYS_4_3_Digitos!$M$5:$M$1682,N419,SYS_4_3_Digitos!$N$5:$N$1682)</f>
        <v>0</v>
      </c>
      <c r="P419" s="772"/>
    </row>
    <row r="420" spans="14:16">
      <c r="N420" s="781">
        <v>7513</v>
      </c>
      <c r="O420" s="662">
        <f>+SUMIF(SYS_4_3_Digitos!$M$5:$M$1682,N420,SYS_4_3_Digitos!$N$5:$N$1682)</f>
        <v>0</v>
      </c>
      <c r="P420" s="772"/>
    </row>
    <row r="421" spans="14:16">
      <c r="N421" s="781">
        <v>7514</v>
      </c>
      <c r="O421" s="662">
        <f>+SUMIF(SYS_4_3_Digitos!$M$5:$M$1682,N421,SYS_4_3_Digitos!$N$5:$N$1682)</f>
        <v>0</v>
      </c>
      <c r="P421" s="772"/>
    </row>
    <row r="422" spans="14:16">
      <c r="N422" s="781">
        <v>7515</v>
      </c>
      <c r="O422" s="662">
        <f>+SUMIF(SYS_4_3_Digitos!$M$5:$M$1682,N422,SYS_4_3_Digitos!$N$5:$N$1682)</f>
        <v>0</v>
      </c>
      <c r="P422" s="772"/>
    </row>
    <row r="423" spans="14:16">
      <c r="N423" s="781">
        <v>7516</v>
      </c>
      <c r="O423" s="662">
        <f>+SUMIF(SYS_4_3_Digitos!$M$5:$M$1682,N423,SYS_4_3_Digitos!$N$5:$N$1682)</f>
        <v>0</v>
      </c>
      <c r="P423" s="772"/>
    </row>
    <row r="424" spans="14:16">
      <c r="N424" s="781">
        <v>7517</v>
      </c>
      <c r="O424" s="662">
        <f>+SUMIF(SYS_4_3_Digitos!$M$5:$M$1682,N424,SYS_4_3_Digitos!$N$5:$N$1682)</f>
        <v>0</v>
      </c>
      <c r="P424" s="772"/>
    </row>
    <row r="425" spans="14:16">
      <c r="N425" s="781">
        <v>7518</v>
      </c>
      <c r="O425" s="662">
        <f>+SUMIF(SYS_4_3_Digitos!$M$5:$M$1682,N425,SYS_4_3_Digitos!$N$5:$N$1682)</f>
        <v>0</v>
      </c>
      <c r="P425" s="772"/>
    </row>
    <row r="426" spans="14:16">
      <c r="N426" s="781">
        <v>7519</v>
      </c>
      <c r="O426" s="662">
        <f>+SUMIF(SYS_4_3_Digitos!$M$5:$M$1682,N426,SYS_4_3_Digitos!$N$5:$N$1682)</f>
        <v>0</v>
      </c>
      <c r="P426" s="772"/>
    </row>
    <row r="427" spans="14:16">
      <c r="N427" s="781">
        <v>7520</v>
      </c>
      <c r="O427" s="662">
        <f ca="1">+SUMIF(SYS_4_3_Digitos!$M$5:$M$1682,N427,SYS_4_3_Digitos!$N$5:$N$1682)</f>
        <v>0</v>
      </c>
      <c r="P427" s="772"/>
    </row>
    <row r="428" spans="14:16">
      <c r="N428" s="781">
        <v>7521</v>
      </c>
      <c r="O428" s="662">
        <f>+SUMIF(SYS_4_3_Digitos!$M$5:$M$1682,N428,SYS_4_3_Digitos!$N$5:$N$1682)</f>
        <v>0</v>
      </c>
      <c r="P428" s="772"/>
    </row>
    <row r="429" spans="14:16">
      <c r="N429" s="781">
        <v>7522</v>
      </c>
      <c r="O429" s="662">
        <f>+SUMIF(SYS_4_3_Digitos!$M$5:$M$1682,N429,SYS_4_3_Digitos!$N$5:$N$1682)</f>
        <v>0</v>
      </c>
      <c r="P429" s="772"/>
    </row>
    <row r="430" spans="14:16">
      <c r="N430" s="781">
        <v>7523</v>
      </c>
      <c r="O430" s="662">
        <f>+SUMIF(SYS_4_3_Digitos!$M$5:$M$1682,N430,SYS_4_3_Digitos!$N$5:$N$1682)</f>
        <v>0</v>
      </c>
      <c r="P430" s="772"/>
    </row>
    <row r="431" spans="14:16">
      <c r="N431" s="781">
        <v>7524</v>
      </c>
      <c r="O431" s="662">
        <f>+SUMIF(SYS_4_3_Digitos!$M$5:$M$1682,N431,SYS_4_3_Digitos!$N$5:$N$1682)</f>
        <v>0</v>
      </c>
      <c r="P431" s="772"/>
    </row>
    <row r="432" spans="14:16">
      <c r="N432" s="781">
        <v>7525</v>
      </c>
      <c r="O432" s="662">
        <f>+SUMIF(SYS_4_3_Digitos!$M$5:$M$1682,N432,SYS_4_3_Digitos!$N$5:$N$1682)</f>
        <v>0</v>
      </c>
      <c r="P432" s="772"/>
    </row>
    <row r="433" spans="14:16">
      <c r="N433" s="781">
        <v>7526</v>
      </c>
      <c r="O433" s="662">
        <f>+SUMIF(SYS_4_3_Digitos!$M$5:$M$1682,N433,SYS_4_3_Digitos!$N$5:$N$1682)</f>
        <v>0</v>
      </c>
      <c r="P433" s="772"/>
    </row>
    <row r="434" spans="14:16">
      <c r="N434" s="781">
        <v>7527</v>
      </c>
      <c r="O434" s="662">
        <f>+SUMIF(SYS_4_3_Digitos!$M$5:$M$1682,N434,SYS_4_3_Digitos!$N$5:$N$1682)</f>
        <v>0</v>
      </c>
      <c r="P434" s="772"/>
    </row>
    <row r="435" spans="14:16">
      <c r="N435" s="781">
        <v>7528</v>
      </c>
      <c r="O435" s="662">
        <f>+SUMIF(SYS_4_3_Digitos!$M$5:$M$1682,N435,SYS_4_3_Digitos!$N$5:$N$1682)</f>
        <v>0</v>
      </c>
      <c r="P435" s="772"/>
    </row>
    <row r="436" spans="14:16">
      <c r="N436" s="781">
        <v>7529</v>
      </c>
      <c r="O436" s="662">
        <f>+SUMIF(SYS_4_3_Digitos!$M$5:$M$1682,N436,SYS_4_3_Digitos!$N$5:$N$1682)</f>
        <v>0</v>
      </c>
      <c r="P436" s="772"/>
    </row>
    <row r="437" spans="14:16">
      <c r="N437" s="781">
        <v>7530</v>
      </c>
      <c r="O437" s="662">
        <f ca="1">+SUMIF(SYS_4_3_Digitos!$M$5:$M$1682,N437,SYS_4_3_Digitos!$N$5:$N$1682)</f>
        <v>0</v>
      </c>
      <c r="P437" s="772"/>
    </row>
    <row r="438" spans="14:16">
      <c r="N438" s="781">
        <v>7531</v>
      </c>
      <c r="O438" s="662">
        <f>+SUMIF(SYS_4_3_Digitos!$M$5:$M$1682,N438,SYS_4_3_Digitos!$N$5:$N$1682)</f>
        <v>0</v>
      </c>
      <c r="P438" s="772"/>
    </row>
    <row r="439" spans="14:16">
      <c r="N439" s="781">
        <v>7532</v>
      </c>
      <c r="O439" s="662">
        <f>+SUMIF(SYS_4_3_Digitos!$M$5:$M$1682,N439,SYS_4_3_Digitos!$N$5:$N$1682)</f>
        <v>0</v>
      </c>
      <c r="P439" s="772"/>
    </row>
    <row r="440" spans="14:16">
      <c r="N440" s="781">
        <v>7533</v>
      </c>
      <c r="O440" s="662">
        <f>+SUMIF(SYS_4_3_Digitos!$M$5:$M$1682,N440,SYS_4_3_Digitos!$N$5:$N$1682)</f>
        <v>0</v>
      </c>
      <c r="P440" s="772"/>
    </row>
    <row r="441" spans="14:16">
      <c r="N441" s="781">
        <v>7534</v>
      </c>
      <c r="O441" s="662">
        <f>+SUMIF(SYS_4_3_Digitos!$M$5:$M$1682,N441,SYS_4_3_Digitos!$N$5:$N$1682)</f>
        <v>0</v>
      </c>
      <c r="P441" s="772"/>
    </row>
    <row r="442" spans="14:16">
      <c r="N442" s="781">
        <v>7535</v>
      </c>
      <c r="O442" s="662">
        <f>+SUMIF(SYS_4_3_Digitos!$M$5:$M$1682,N442,SYS_4_3_Digitos!$N$5:$N$1682)</f>
        <v>0</v>
      </c>
      <c r="P442" s="772"/>
    </row>
    <row r="443" spans="14:16">
      <c r="N443" s="781">
        <v>7536</v>
      </c>
      <c r="O443" s="662">
        <f>+SUMIF(SYS_4_3_Digitos!$M$5:$M$1682,N443,SYS_4_3_Digitos!$N$5:$N$1682)</f>
        <v>0</v>
      </c>
      <c r="P443" s="772"/>
    </row>
    <row r="444" spans="14:16">
      <c r="N444" s="781">
        <v>7537</v>
      </c>
      <c r="O444" s="662">
        <f>+SUMIF(SYS_4_3_Digitos!$M$5:$M$1682,N444,SYS_4_3_Digitos!$N$5:$N$1682)</f>
        <v>0</v>
      </c>
      <c r="P444" s="772"/>
    </row>
    <row r="445" spans="14:16">
      <c r="N445" s="781">
        <v>7538</v>
      </c>
      <c r="O445" s="662">
        <f>+SUMIF(SYS_4_3_Digitos!$M$5:$M$1682,N445,SYS_4_3_Digitos!$N$5:$N$1682)</f>
        <v>0</v>
      </c>
      <c r="P445" s="772"/>
    </row>
    <row r="446" spans="14:16">
      <c r="N446" s="781">
        <v>7539</v>
      </c>
      <c r="O446" s="662">
        <f>+SUMIF(SYS_4_3_Digitos!$M$5:$M$1682,N446,SYS_4_3_Digitos!$N$5:$N$1682)</f>
        <v>0</v>
      </c>
      <c r="P446" s="772"/>
    </row>
    <row r="447" spans="14:16">
      <c r="N447" s="781">
        <v>7540</v>
      </c>
      <c r="O447" s="662">
        <f ca="1">+SUMIF(SYS_4_3_Digitos!$M$5:$M$1682,N447,SYS_4_3_Digitos!$N$5:$N$1682)</f>
        <v>0</v>
      </c>
      <c r="P447" s="772"/>
    </row>
    <row r="448" spans="14:16">
      <c r="N448" s="781">
        <v>7541</v>
      </c>
      <c r="O448" s="662">
        <f>+SUMIF(SYS_4_3_Digitos!$M$5:$M$1682,N448,SYS_4_3_Digitos!$N$5:$N$1682)</f>
        <v>0</v>
      </c>
      <c r="P448" s="772"/>
    </row>
    <row r="449" spans="14:16">
      <c r="N449" s="781">
        <v>7542</v>
      </c>
      <c r="O449" s="662">
        <f>+SUMIF(SYS_4_3_Digitos!$M$5:$M$1682,N449,SYS_4_3_Digitos!$N$5:$N$1682)</f>
        <v>0</v>
      </c>
      <c r="P449" s="772"/>
    </row>
    <row r="450" spans="14:16">
      <c r="N450" s="781">
        <v>7543</v>
      </c>
      <c r="O450" s="662">
        <f>+SUMIF(SYS_4_3_Digitos!$M$5:$M$1682,N450,SYS_4_3_Digitos!$N$5:$N$1682)</f>
        <v>0</v>
      </c>
      <c r="P450" s="772"/>
    </row>
    <row r="451" spans="14:16">
      <c r="N451" s="781">
        <v>7544</v>
      </c>
      <c r="O451" s="662">
        <f>+SUMIF(SYS_4_3_Digitos!$M$5:$M$1682,N451,SYS_4_3_Digitos!$N$5:$N$1682)</f>
        <v>0</v>
      </c>
      <c r="P451" s="772"/>
    </row>
    <row r="452" spans="14:16">
      <c r="N452" s="781">
        <v>7545</v>
      </c>
      <c r="O452" s="662">
        <f>+SUMIF(SYS_4_3_Digitos!$M$5:$M$1682,N452,SYS_4_3_Digitos!$N$5:$N$1682)</f>
        <v>0</v>
      </c>
      <c r="P452" s="772"/>
    </row>
    <row r="453" spans="14:16">
      <c r="N453" s="781">
        <v>7546</v>
      </c>
      <c r="O453" s="662">
        <f>+SUMIF(SYS_4_3_Digitos!$M$5:$M$1682,N453,SYS_4_3_Digitos!$N$5:$N$1682)</f>
        <v>0</v>
      </c>
      <c r="P453" s="772"/>
    </row>
    <row r="454" spans="14:16">
      <c r="N454" s="781">
        <v>7547</v>
      </c>
      <c r="O454" s="662">
        <f>+SUMIF(SYS_4_3_Digitos!$M$5:$M$1682,N454,SYS_4_3_Digitos!$N$5:$N$1682)</f>
        <v>0</v>
      </c>
      <c r="P454" s="772"/>
    </row>
    <row r="455" spans="14:16">
      <c r="N455" s="781">
        <v>7548</v>
      </c>
      <c r="O455" s="662">
        <f>+SUMIF(SYS_4_3_Digitos!$M$5:$M$1682,N455,SYS_4_3_Digitos!$N$5:$N$1682)</f>
        <v>0</v>
      </c>
      <c r="P455" s="772"/>
    </row>
    <row r="456" spans="14:16">
      <c r="N456" s="781">
        <v>7549</v>
      </c>
      <c r="O456" s="662">
        <f>+SUMIF(SYS_4_3_Digitos!$M$5:$M$1682,N456,SYS_4_3_Digitos!$N$5:$N$1682)</f>
        <v>0</v>
      </c>
      <c r="P456" s="772"/>
    </row>
    <row r="457" spans="14:16">
      <c r="N457" s="781">
        <v>7550</v>
      </c>
      <c r="O457" s="662">
        <f ca="1">+SUMIF(SYS_4_3_Digitos!$M$5:$M$1682,N457,SYS_4_3_Digitos!$N$5:$N$1682)</f>
        <v>0</v>
      </c>
      <c r="P457" s="772"/>
    </row>
    <row r="458" spans="14:16">
      <c r="N458" s="781">
        <v>7551</v>
      </c>
      <c r="O458" s="662">
        <f>+SUMIF(SYS_4_3_Digitos!$M$5:$M$1682,N458,SYS_4_3_Digitos!$N$5:$N$1682)</f>
        <v>0</v>
      </c>
      <c r="P458" s="772"/>
    </row>
    <row r="459" spans="14:16">
      <c r="N459" s="781">
        <v>7552</v>
      </c>
      <c r="O459" s="662">
        <f>+SUMIF(SYS_4_3_Digitos!$M$5:$M$1682,N459,SYS_4_3_Digitos!$N$5:$N$1682)</f>
        <v>0</v>
      </c>
      <c r="P459" s="772"/>
    </row>
    <row r="460" spans="14:16">
      <c r="N460" s="781">
        <v>7553</v>
      </c>
      <c r="O460" s="662">
        <f>+SUMIF(SYS_4_3_Digitos!$M$5:$M$1682,N460,SYS_4_3_Digitos!$N$5:$N$1682)</f>
        <v>0</v>
      </c>
      <c r="P460" s="772"/>
    </row>
    <row r="461" spans="14:16">
      <c r="N461" s="781">
        <v>7554</v>
      </c>
      <c r="O461" s="662">
        <f>+SUMIF(SYS_4_3_Digitos!$M$5:$M$1682,N461,SYS_4_3_Digitos!$N$5:$N$1682)</f>
        <v>0</v>
      </c>
      <c r="P461" s="772"/>
    </row>
    <row r="462" spans="14:16">
      <c r="N462" s="781">
        <v>7555</v>
      </c>
      <c r="O462" s="662">
        <f>+SUMIF(SYS_4_3_Digitos!$M$5:$M$1682,N462,SYS_4_3_Digitos!$N$5:$N$1682)</f>
        <v>0</v>
      </c>
      <c r="P462" s="772"/>
    </row>
    <row r="463" spans="14:16">
      <c r="N463" s="781">
        <v>7556</v>
      </c>
      <c r="O463" s="662">
        <f>+SUMIF(SYS_4_3_Digitos!$M$5:$M$1682,N463,SYS_4_3_Digitos!$N$5:$N$1682)</f>
        <v>0</v>
      </c>
      <c r="P463" s="772"/>
    </row>
    <row r="464" spans="14:16">
      <c r="N464" s="781">
        <v>7557</v>
      </c>
      <c r="O464" s="662">
        <f>+SUMIF(SYS_4_3_Digitos!$M$5:$M$1682,N464,SYS_4_3_Digitos!$N$5:$N$1682)</f>
        <v>0</v>
      </c>
      <c r="P464" s="772"/>
    </row>
    <row r="465" spans="14:16">
      <c r="N465" s="781">
        <v>7558</v>
      </c>
      <c r="O465" s="662">
        <f>+SUMIF(SYS_4_3_Digitos!$M$5:$M$1682,N465,SYS_4_3_Digitos!$N$5:$N$1682)</f>
        <v>0</v>
      </c>
      <c r="P465" s="772"/>
    </row>
    <row r="466" spans="14:16">
      <c r="N466" s="781">
        <v>7559</v>
      </c>
      <c r="O466" s="662">
        <f>+SUMIF(SYS_4_3_Digitos!$M$5:$M$1682,N466,SYS_4_3_Digitos!$N$5:$N$1682)</f>
        <v>0</v>
      </c>
      <c r="P466" s="772"/>
    </row>
    <row r="467" spans="14:16">
      <c r="N467" s="781">
        <v>7560</v>
      </c>
      <c r="O467" s="662">
        <f>+SUMIF(SYS_4_3_Digitos!$M$5:$M$1682,N467,SYS_4_3_Digitos!$N$5:$N$1682)</f>
        <v>0</v>
      </c>
      <c r="P467" s="772"/>
    </row>
    <row r="468" spans="14:16">
      <c r="N468" s="781">
        <v>7561</v>
      </c>
      <c r="O468" s="662">
        <f>+SUMIF(SYS_4_3_Digitos!$M$5:$M$1682,N468,SYS_4_3_Digitos!$N$5:$N$1682)</f>
        <v>0</v>
      </c>
      <c r="P468" s="772"/>
    </row>
    <row r="469" spans="14:16">
      <c r="N469" s="781">
        <v>7562</v>
      </c>
      <c r="O469" s="662">
        <f>+SUMIF(SYS_4_3_Digitos!$M$5:$M$1682,N469,SYS_4_3_Digitos!$N$5:$N$1682)</f>
        <v>0</v>
      </c>
      <c r="P469" s="772"/>
    </row>
    <row r="470" spans="14:16">
      <c r="N470" s="781">
        <v>7563</v>
      </c>
      <c r="O470" s="662">
        <f>+SUMIF(SYS_4_3_Digitos!$M$5:$M$1682,N470,SYS_4_3_Digitos!$N$5:$N$1682)</f>
        <v>0</v>
      </c>
      <c r="P470" s="772"/>
    </row>
    <row r="471" spans="14:16">
      <c r="N471" s="781">
        <v>7564</v>
      </c>
      <c r="O471" s="662">
        <f>+SUMIF(SYS_4_3_Digitos!$M$5:$M$1682,N471,SYS_4_3_Digitos!$N$5:$N$1682)</f>
        <v>0</v>
      </c>
      <c r="P471" s="772"/>
    </row>
    <row r="472" spans="14:16">
      <c r="N472" s="781">
        <v>7565</v>
      </c>
      <c r="O472" s="662">
        <f>+SUMIF(SYS_4_3_Digitos!$M$5:$M$1682,N472,SYS_4_3_Digitos!$N$5:$N$1682)</f>
        <v>0</v>
      </c>
      <c r="P472" s="772"/>
    </row>
    <row r="473" spans="14:16">
      <c r="N473" s="781">
        <v>7566</v>
      </c>
      <c r="O473" s="662">
        <f>+SUMIF(SYS_4_3_Digitos!$M$5:$M$1682,N473,SYS_4_3_Digitos!$N$5:$N$1682)</f>
        <v>0</v>
      </c>
      <c r="P473" s="772"/>
    </row>
    <row r="474" spans="14:16">
      <c r="N474" s="781">
        <v>7567</v>
      </c>
      <c r="O474" s="662">
        <f>+SUMIF(SYS_4_3_Digitos!$M$5:$M$1682,N474,SYS_4_3_Digitos!$N$5:$N$1682)</f>
        <v>0</v>
      </c>
      <c r="P474" s="772"/>
    </row>
    <row r="475" spans="14:16">
      <c r="N475" s="781">
        <v>7568</v>
      </c>
      <c r="O475" s="662">
        <f>+SUMIF(SYS_4_3_Digitos!$M$5:$M$1682,N475,SYS_4_3_Digitos!$N$5:$N$1682)</f>
        <v>0</v>
      </c>
      <c r="P475" s="772"/>
    </row>
    <row r="476" spans="14:16">
      <c r="N476" s="781">
        <v>7569</v>
      </c>
      <c r="O476" s="662">
        <f>+SUMIF(SYS_4_3_Digitos!$M$5:$M$1682,N476,SYS_4_3_Digitos!$N$5:$N$1682)</f>
        <v>0</v>
      </c>
      <c r="P476" s="772"/>
    </row>
    <row r="477" spans="14:16">
      <c r="N477" s="781">
        <v>7570</v>
      </c>
      <c r="O477" s="662">
        <f>+SUMIF(SYS_4_3_Digitos!$M$5:$M$1682,N477,SYS_4_3_Digitos!$N$5:$N$1682)</f>
        <v>0</v>
      </c>
      <c r="P477" s="772"/>
    </row>
    <row r="478" spans="14:16">
      <c r="N478" s="781">
        <v>7571</v>
      </c>
      <c r="O478" s="662">
        <f>+SUMIF(SYS_4_3_Digitos!$M$5:$M$1682,N478,SYS_4_3_Digitos!$N$5:$N$1682)</f>
        <v>0</v>
      </c>
      <c r="P478" s="772"/>
    </row>
    <row r="479" spans="14:16">
      <c r="N479" s="781">
        <v>7572</v>
      </c>
      <c r="O479" s="662">
        <f>+SUMIF(SYS_4_3_Digitos!$M$5:$M$1682,N479,SYS_4_3_Digitos!$N$5:$N$1682)</f>
        <v>0</v>
      </c>
      <c r="P479" s="772"/>
    </row>
    <row r="480" spans="14:16">
      <c r="N480" s="781">
        <v>7573</v>
      </c>
      <c r="O480" s="662">
        <f>+SUMIF(SYS_4_3_Digitos!$M$5:$M$1682,N480,SYS_4_3_Digitos!$N$5:$N$1682)</f>
        <v>0</v>
      </c>
      <c r="P480" s="772"/>
    </row>
    <row r="481" spans="14:16">
      <c r="N481" s="781">
        <v>7574</v>
      </c>
      <c r="O481" s="662">
        <f>+SUMIF(SYS_4_3_Digitos!$M$5:$M$1682,N481,SYS_4_3_Digitos!$N$5:$N$1682)</f>
        <v>0</v>
      </c>
      <c r="P481" s="772"/>
    </row>
    <row r="482" spans="14:16">
      <c r="N482" s="781">
        <v>7575</v>
      </c>
      <c r="O482" s="662">
        <f>+SUMIF(SYS_4_3_Digitos!$M$5:$M$1682,N482,SYS_4_3_Digitos!$N$5:$N$1682)</f>
        <v>0</v>
      </c>
      <c r="P482" s="772"/>
    </row>
    <row r="483" spans="14:16">
      <c r="N483" s="781">
        <v>7576</v>
      </c>
      <c r="O483" s="662">
        <f>+SUMIF(SYS_4_3_Digitos!$M$5:$M$1682,N483,SYS_4_3_Digitos!$N$5:$N$1682)</f>
        <v>0</v>
      </c>
      <c r="P483" s="772"/>
    </row>
    <row r="484" spans="14:16">
      <c r="N484" s="781">
        <v>7577</v>
      </c>
      <c r="O484" s="662">
        <f>+SUMIF(SYS_4_3_Digitos!$M$5:$M$1682,N484,SYS_4_3_Digitos!$N$5:$N$1682)</f>
        <v>0</v>
      </c>
      <c r="P484" s="772"/>
    </row>
    <row r="485" spans="14:16">
      <c r="N485" s="781">
        <v>7578</v>
      </c>
      <c r="O485" s="662">
        <f>+SUMIF(SYS_4_3_Digitos!$M$5:$M$1682,N485,SYS_4_3_Digitos!$N$5:$N$1682)</f>
        <v>0</v>
      </c>
      <c r="P485" s="772"/>
    </row>
    <row r="486" spans="14:16">
      <c r="N486" s="781">
        <v>7579</v>
      </c>
      <c r="O486" s="662">
        <f>+SUMIF(SYS_4_3_Digitos!$M$5:$M$1682,N486,SYS_4_3_Digitos!$N$5:$N$1682)</f>
        <v>0</v>
      </c>
      <c r="P486" s="772"/>
    </row>
    <row r="487" spans="14:16">
      <c r="N487" s="781">
        <v>7580</v>
      </c>
      <c r="O487" s="662">
        <f>+SUMIF(SYS_4_3_Digitos!$M$5:$M$1682,N487,SYS_4_3_Digitos!$N$5:$N$1682)</f>
        <v>0</v>
      </c>
      <c r="P487" s="772"/>
    </row>
    <row r="488" spans="14:16">
      <c r="N488" s="781">
        <v>7581</v>
      </c>
      <c r="O488" s="662">
        <f>+SUMIF(SYS_4_3_Digitos!$M$5:$M$1682,N488,SYS_4_3_Digitos!$N$5:$N$1682)</f>
        <v>0</v>
      </c>
      <c r="P488" s="772"/>
    </row>
    <row r="489" spans="14:16">
      <c r="N489" s="781">
        <v>7582</v>
      </c>
      <c r="O489" s="662">
        <f>+SUMIF(SYS_4_3_Digitos!$M$5:$M$1682,N489,SYS_4_3_Digitos!$N$5:$N$1682)</f>
        <v>0</v>
      </c>
      <c r="P489" s="772"/>
    </row>
    <row r="490" spans="14:16">
      <c r="N490" s="781">
        <v>7583</v>
      </c>
      <c r="O490" s="662">
        <f>+SUMIF(SYS_4_3_Digitos!$M$5:$M$1682,N490,SYS_4_3_Digitos!$N$5:$N$1682)</f>
        <v>0</v>
      </c>
      <c r="P490" s="772"/>
    </row>
    <row r="491" spans="14:16">
      <c r="N491" s="781">
        <v>7584</v>
      </c>
      <c r="O491" s="662">
        <f>+SUMIF(SYS_4_3_Digitos!$M$5:$M$1682,N491,SYS_4_3_Digitos!$N$5:$N$1682)</f>
        <v>0</v>
      </c>
      <c r="P491" s="772"/>
    </row>
    <row r="492" spans="14:16">
      <c r="N492" s="781">
        <v>7585</v>
      </c>
      <c r="O492" s="662">
        <f>+SUMIF(SYS_4_3_Digitos!$M$5:$M$1682,N492,SYS_4_3_Digitos!$N$5:$N$1682)</f>
        <v>0</v>
      </c>
      <c r="P492" s="772"/>
    </row>
    <row r="493" spans="14:16">
      <c r="N493" s="781">
        <v>7586</v>
      </c>
      <c r="O493" s="662">
        <f>+SUMIF(SYS_4_3_Digitos!$M$5:$M$1682,N493,SYS_4_3_Digitos!$N$5:$N$1682)</f>
        <v>0</v>
      </c>
      <c r="P493" s="772"/>
    </row>
    <row r="494" spans="14:16">
      <c r="N494" s="781">
        <v>7587</v>
      </c>
      <c r="O494" s="662">
        <f>+SUMIF(SYS_4_3_Digitos!$M$5:$M$1682,N494,SYS_4_3_Digitos!$N$5:$N$1682)</f>
        <v>0</v>
      </c>
      <c r="P494" s="772"/>
    </row>
    <row r="495" spans="14:16">
      <c r="N495" s="781">
        <v>7588</v>
      </c>
      <c r="O495" s="662">
        <f>+SUMIF(SYS_4_3_Digitos!$M$5:$M$1682,N495,SYS_4_3_Digitos!$N$5:$N$1682)</f>
        <v>0</v>
      </c>
      <c r="P495" s="772"/>
    </row>
    <row r="496" spans="14:16">
      <c r="N496" s="781">
        <v>7589</v>
      </c>
      <c r="O496" s="662">
        <f>+SUMIF(SYS_4_3_Digitos!$M$5:$M$1682,N496,SYS_4_3_Digitos!$N$5:$N$1682)</f>
        <v>0</v>
      </c>
      <c r="P496" s="772"/>
    </row>
    <row r="497" spans="14:16">
      <c r="N497" s="781">
        <v>7590</v>
      </c>
      <c r="O497" s="662">
        <f ca="1">+SUMIF(SYS_4_3_Digitos!$M$5:$M$1682,N497,SYS_4_3_Digitos!$N$5:$N$1682)</f>
        <v>-5048.42</v>
      </c>
      <c r="P497" s="772"/>
    </row>
    <row r="498" spans="14:16">
      <c r="N498" s="781">
        <v>7591</v>
      </c>
      <c r="O498" s="662">
        <f>+SUMIF(SYS_4_3_Digitos!$M$5:$M$1682,N498,SYS_4_3_Digitos!$N$5:$N$1682)</f>
        <v>0</v>
      </c>
      <c r="P498" s="772"/>
    </row>
    <row r="499" spans="14:16">
      <c r="N499" s="781">
        <v>7592</v>
      </c>
      <c r="O499" s="662">
        <f>+SUMIF(SYS_4_3_Digitos!$M$5:$M$1682,N499,SYS_4_3_Digitos!$N$5:$N$1682)</f>
        <v>0</v>
      </c>
      <c r="P499" s="772"/>
    </row>
    <row r="500" spans="14:16">
      <c r="N500" s="781">
        <v>7593</v>
      </c>
      <c r="O500" s="662">
        <f>+SUMIF(SYS_4_3_Digitos!$M$5:$M$1682,N500,SYS_4_3_Digitos!$N$5:$N$1682)</f>
        <v>0</v>
      </c>
      <c r="P500" s="772"/>
    </row>
    <row r="501" spans="14:16">
      <c r="N501" s="781">
        <v>7594</v>
      </c>
      <c r="O501" s="662">
        <f>+SUMIF(SYS_4_3_Digitos!$M$5:$M$1682,N501,SYS_4_3_Digitos!$N$5:$N$1682)</f>
        <v>0</v>
      </c>
      <c r="P501" s="772"/>
    </row>
    <row r="502" spans="14:16">
      <c r="N502" s="781">
        <v>7595</v>
      </c>
      <c r="O502" s="662">
        <f>+SUMIF(SYS_4_3_Digitos!$M$5:$M$1682,N502,SYS_4_3_Digitos!$N$5:$N$1682)</f>
        <v>0</v>
      </c>
      <c r="P502" s="772"/>
    </row>
    <row r="503" spans="14:16">
      <c r="N503" s="781">
        <v>7596</v>
      </c>
      <c r="O503" s="662">
        <f>+SUMIF(SYS_4_3_Digitos!$M$5:$M$1682,N503,SYS_4_3_Digitos!$N$5:$N$1682)</f>
        <v>0</v>
      </c>
      <c r="P503" s="772"/>
    </row>
    <row r="504" spans="14:16">
      <c r="N504" s="781">
        <v>7597</v>
      </c>
      <c r="O504" s="662">
        <f>+SUMIF(SYS_4_3_Digitos!$M$5:$M$1682,N504,SYS_4_3_Digitos!$N$5:$N$1682)</f>
        <v>0</v>
      </c>
      <c r="P504" s="772"/>
    </row>
    <row r="505" spans="14:16">
      <c r="N505" s="781">
        <v>7598</v>
      </c>
      <c r="O505" s="662">
        <f>+SUMIF(SYS_4_3_Digitos!$M$5:$M$1682,N505,SYS_4_3_Digitos!$N$5:$N$1682)</f>
        <v>0</v>
      </c>
      <c r="P505" s="772"/>
    </row>
    <row r="506" spans="14:16">
      <c r="N506" s="781">
        <v>7599</v>
      </c>
      <c r="O506" s="662">
        <f>+SUMIF(SYS_4_3_Digitos!$M$5:$M$1682,N506,SYS_4_3_Digitos!$N$5:$N$1682)</f>
        <v>0</v>
      </c>
      <c r="P506" s="772"/>
    </row>
    <row r="507" spans="14:16">
      <c r="N507" s="779" t="s">
        <v>195</v>
      </c>
      <c r="O507" s="788">
        <f ca="1">SUM(O508:O527)</f>
        <v>-15104.71</v>
      </c>
      <c r="P507" s="772"/>
    </row>
    <row r="508" spans="14:16">
      <c r="N508" s="781">
        <v>7400</v>
      </c>
      <c r="O508" s="662">
        <f ca="1">+SUMIF(SYS_4_3_Digitos!$M$5:$M$1682,N508,SYS_4_3_Digitos!$N$5:$N$1682)</f>
        <v>-6654.87</v>
      </c>
      <c r="P508" s="772"/>
    </row>
    <row r="509" spans="14:16">
      <c r="N509" s="781">
        <v>7401</v>
      </c>
      <c r="O509" s="662">
        <f>+SUMIF(SYS_4_3_Digitos!$M$5:$M$1682,N509,SYS_4_3_Digitos!$N$5:$N$1682)</f>
        <v>0</v>
      </c>
      <c r="P509" s="772" t="s">
        <v>235</v>
      </c>
    </row>
    <row r="510" spans="14:16">
      <c r="N510" s="781">
        <v>7402</v>
      </c>
      <c r="O510" s="662">
        <f>+SUMIF(SYS_4_3_Digitos!$M$5:$M$1682,N510,SYS_4_3_Digitos!$N$5:$N$1682)</f>
        <v>0</v>
      </c>
      <c r="P510" s="772"/>
    </row>
    <row r="511" spans="14:16">
      <c r="N511" s="781">
        <v>7403</v>
      </c>
      <c r="O511" s="662">
        <f>+SUMIF(SYS_4_3_Digitos!$M$5:$M$1682,N511,SYS_4_3_Digitos!$N$5:$N$1682)</f>
        <v>0</v>
      </c>
      <c r="P511" s="772"/>
    </row>
    <row r="512" spans="14:16">
      <c r="N512" s="781">
        <v>7404</v>
      </c>
      <c r="O512" s="662">
        <f>+SUMIF(SYS_4_3_Digitos!$M$5:$M$1682,N512,SYS_4_3_Digitos!$N$5:$N$1682)</f>
        <v>0</v>
      </c>
      <c r="P512" s="772"/>
    </row>
    <row r="513" spans="14:16">
      <c r="N513" s="781">
        <v>7405</v>
      </c>
      <c r="O513" s="662">
        <f>+SUMIF(SYS_4_3_Digitos!$M$5:$M$1682,N513,SYS_4_3_Digitos!$N$5:$N$1682)</f>
        <v>0</v>
      </c>
      <c r="P513" s="772"/>
    </row>
    <row r="514" spans="14:16">
      <c r="N514" s="781">
        <v>7406</v>
      </c>
      <c r="O514" s="662">
        <f>+SUMIF(SYS_4_3_Digitos!$M$5:$M$1682,N514,SYS_4_3_Digitos!$N$5:$N$1682)</f>
        <v>0</v>
      </c>
      <c r="P514" s="772"/>
    </row>
    <row r="515" spans="14:16">
      <c r="N515" s="781">
        <v>7407</v>
      </c>
      <c r="O515" s="662">
        <f>+SUMIF(SYS_4_3_Digitos!$M$5:$M$1682,N515,SYS_4_3_Digitos!$N$5:$N$1682)</f>
        <v>0</v>
      </c>
      <c r="P515" s="772"/>
    </row>
    <row r="516" spans="14:16">
      <c r="N516" s="781">
        <v>7408</v>
      </c>
      <c r="O516" s="662">
        <f>+SUMIF(SYS_4_3_Digitos!$M$5:$M$1682,N516,SYS_4_3_Digitos!$N$5:$N$1682)</f>
        <v>0</v>
      </c>
      <c r="P516" s="772"/>
    </row>
    <row r="517" spans="14:16">
      <c r="N517" s="781">
        <v>7409</v>
      </c>
      <c r="O517" s="662">
        <f>+SUMIF(SYS_4_3_Digitos!$M$5:$M$1682,N517,SYS_4_3_Digitos!$N$5:$N$1682)</f>
        <v>0</v>
      </c>
      <c r="P517" s="772"/>
    </row>
    <row r="518" spans="14:16">
      <c r="N518" s="781">
        <v>7470</v>
      </c>
      <c r="O518" s="662">
        <f ca="1">+SUMIF(SYS_4_3_Digitos!$M$5:$M$1682,N518,SYS_4_3_Digitos!$N$5:$N$1682)</f>
        <v>-8449.84</v>
      </c>
      <c r="P518" s="772"/>
    </row>
    <row r="519" spans="14:16">
      <c r="N519" s="781">
        <v>7471</v>
      </c>
      <c r="O519" s="662">
        <f>+SUMIF(SYS_4_3_Digitos!$M$5:$M$1682,N519,SYS_4_3_Digitos!$N$5:$N$1682)</f>
        <v>0</v>
      </c>
      <c r="P519" s="772"/>
    </row>
    <row r="520" spans="14:16">
      <c r="N520" s="781">
        <v>7472</v>
      </c>
      <c r="O520" s="662">
        <f>+SUMIF(SYS_4_3_Digitos!$M$5:$M$1682,N520,SYS_4_3_Digitos!$N$5:$N$1682)</f>
        <v>0</v>
      </c>
      <c r="P520" s="772"/>
    </row>
    <row r="521" spans="14:16">
      <c r="N521" s="781">
        <v>7473</v>
      </c>
      <c r="O521" s="662">
        <f>+SUMIF(SYS_4_3_Digitos!$M$5:$M$1682,N521,SYS_4_3_Digitos!$N$5:$N$1682)</f>
        <v>0</v>
      </c>
      <c r="P521" s="772"/>
    </row>
    <row r="522" spans="14:16">
      <c r="N522" s="781">
        <v>7474</v>
      </c>
      <c r="O522" s="662">
        <f>+SUMIF(SYS_4_3_Digitos!$M$5:$M$1682,N522,SYS_4_3_Digitos!$N$5:$N$1682)</f>
        <v>0</v>
      </c>
      <c r="P522" s="772"/>
    </row>
    <row r="523" spans="14:16">
      <c r="N523" s="781">
        <v>7475</v>
      </c>
      <c r="O523" s="662">
        <f>+SUMIF(SYS_4_3_Digitos!$M$5:$M$1682,N523,SYS_4_3_Digitos!$N$5:$N$1682)</f>
        <v>0</v>
      </c>
      <c r="P523" s="772"/>
    </row>
    <row r="524" spans="14:16">
      <c r="N524" s="781">
        <v>7476</v>
      </c>
      <c r="O524" s="662">
        <f>+SUMIF(SYS_4_3_Digitos!$M$5:$M$1682,N524,SYS_4_3_Digitos!$N$5:$N$1682)</f>
        <v>0</v>
      </c>
      <c r="P524" s="772"/>
    </row>
    <row r="525" spans="14:16">
      <c r="N525" s="781">
        <v>7477</v>
      </c>
      <c r="O525" s="662">
        <f>+SUMIF(SYS_4_3_Digitos!$M$5:$M$1682,N525,SYS_4_3_Digitos!$N$5:$N$1682)</f>
        <v>0</v>
      </c>
      <c r="P525" s="772"/>
    </row>
    <row r="526" spans="14:16">
      <c r="N526" s="781">
        <v>7478</v>
      </c>
      <c r="O526" s="662">
        <f>+SUMIF(SYS_4_3_Digitos!$M$5:$M$1682,N526,SYS_4_3_Digitos!$N$5:$N$1682)</f>
        <v>0</v>
      </c>
      <c r="P526" s="772"/>
    </row>
    <row r="527" spans="14:16">
      <c r="N527" s="781">
        <v>7479</v>
      </c>
      <c r="O527" s="662">
        <f>+SUMIF(SYS_4_3_Digitos!$M$5:$M$1682,N527,SYS_4_3_Digitos!$N$5:$N$1682)</f>
        <v>0</v>
      </c>
      <c r="P527" s="772"/>
    </row>
    <row r="528" spans="14:16">
      <c r="N528" s="776" t="s">
        <v>196</v>
      </c>
      <c r="O528" s="771"/>
      <c r="P528" s="772"/>
    </row>
    <row r="529" spans="14:16">
      <c r="N529" s="779" t="s">
        <v>197</v>
      </c>
      <c r="O529" s="788">
        <f ca="1">SUM(O530:O550)</f>
        <v>3389614.36</v>
      </c>
      <c r="P529" s="772"/>
    </row>
    <row r="530" spans="14:16">
      <c r="N530" s="781">
        <v>6400</v>
      </c>
      <c r="O530" s="662">
        <f ca="1">+SUMIF(SYS_4_3_Digitos!$M$5:$M$1682,N530,SYS_4_3_Digitos!$N$5:$N$1682)</f>
        <v>3352261.73</v>
      </c>
      <c r="P530" s="772"/>
    </row>
    <row r="531" spans="14:16">
      <c r="N531" s="781">
        <v>6401</v>
      </c>
      <c r="O531" s="662">
        <f>+SUMIF(SYS_4_3_Digitos!$M$5:$M$1682,N531,SYS_4_3_Digitos!$N$5:$N$1682)</f>
        <v>0</v>
      </c>
      <c r="P531" s="772" t="s">
        <v>236</v>
      </c>
    </row>
    <row r="532" spans="14:16">
      <c r="N532" s="781">
        <v>6402</v>
      </c>
      <c r="O532" s="662">
        <f>+SUMIF(SYS_4_3_Digitos!$M$5:$M$1682,N532,SYS_4_3_Digitos!$N$5:$N$1682)</f>
        <v>0</v>
      </c>
      <c r="P532" s="772"/>
    </row>
    <row r="533" spans="14:16">
      <c r="N533" s="781">
        <v>6403</v>
      </c>
      <c r="O533" s="662">
        <f>+SUMIF(SYS_4_3_Digitos!$M$5:$M$1682,N533,SYS_4_3_Digitos!$N$5:$N$1682)</f>
        <v>0</v>
      </c>
      <c r="P533" s="772"/>
    </row>
    <row r="534" spans="14:16">
      <c r="N534" s="781">
        <v>6404</v>
      </c>
      <c r="O534" s="662">
        <f>+SUMIF(SYS_4_3_Digitos!$M$5:$M$1682,N534,SYS_4_3_Digitos!$N$5:$N$1682)</f>
        <v>0</v>
      </c>
      <c r="P534" s="772"/>
    </row>
    <row r="535" spans="14:16">
      <c r="N535" s="781">
        <v>6405</v>
      </c>
      <c r="O535" s="662">
        <f>+SUMIF(SYS_4_3_Digitos!$M$5:$M$1682,N535,SYS_4_3_Digitos!$N$5:$N$1682)</f>
        <v>0</v>
      </c>
      <c r="P535" s="772"/>
    </row>
    <row r="536" spans="14:16">
      <c r="N536" s="781">
        <v>6406</v>
      </c>
      <c r="O536" s="662">
        <f>+SUMIF(SYS_4_3_Digitos!$M$5:$M$1682,N536,SYS_4_3_Digitos!$N$5:$N$1682)</f>
        <v>0</v>
      </c>
      <c r="P536" s="772"/>
    </row>
    <row r="537" spans="14:16">
      <c r="N537" s="781">
        <v>6407</v>
      </c>
      <c r="O537" s="662">
        <f>+SUMIF(SYS_4_3_Digitos!$M$5:$M$1682,N537,SYS_4_3_Digitos!$N$5:$N$1682)</f>
        <v>0</v>
      </c>
      <c r="P537" s="772"/>
    </row>
    <row r="538" spans="14:16">
      <c r="N538" s="781">
        <v>6408</v>
      </c>
      <c r="O538" s="662">
        <f>+SUMIF(SYS_4_3_Digitos!$M$5:$M$1682,N538,SYS_4_3_Digitos!$N$5:$N$1682)</f>
        <v>0</v>
      </c>
      <c r="P538" s="772"/>
    </row>
    <row r="539" spans="14:16">
      <c r="N539" s="781">
        <v>6409</v>
      </c>
      <c r="O539" s="662">
        <f>+SUMIF(SYS_4_3_Digitos!$M$5:$M$1682,N539,SYS_4_3_Digitos!$N$5:$N$1682)</f>
        <v>0</v>
      </c>
      <c r="P539" s="772"/>
    </row>
    <row r="540" spans="14:16">
      <c r="N540" s="781">
        <v>6410</v>
      </c>
      <c r="O540" s="662">
        <f ca="1">+SUMIF(SYS_4_3_Digitos!$M$5:$M$1682,N540,SYS_4_3_Digitos!$N$5:$N$1682)</f>
        <v>37352.629999999997</v>
      </c>
      <c r="P540" s="772"/>
    </row>
    <row r="541" spans="14:16">
      <c r="N541" s="781">
        <v>6411</v>
      </c>
      <c r="O541" s="662">
        <f>+SUMIF(SYS_4_3_Digitos!$M$5:$M$1682,N541,SYS_4_3_Digitos!$N$5:$N$1682)</f>
        <v>0</v>
      </c>
      <c r="P541" s="772"/>
    </row>
    <row r="542" spans="14:16">
      <c r="N542" s="781">
        <v>6412</v>
      </c>
      <c r="O542" s="662">
        <f>+SUMIF(SYS_4_3_Digitos!$M$5:$M$1682,N542,SYS_4_3_Digitos!$N$5:$N$1682)</f>
        <v>0</v>
      </c>
      <c r="P542" s="772"/>
    </row>
    <row r="543" spans="14:16">
      <c r="N543" s="781">
        <v>6413</v>
      </c>
      <c r="O543" s="662">
        <f>+SUMIF(SYS_4_3_Digitos!$M$5:$M$1682,N543,SYS_4_3_Digitos!$N$5:$N$1682)</f>
        <v>0</v>
      </c>
      <c r="P543" s="772"/>
    </row>
    <row r="544" spans="14:16">
      <c r="N544" s="781">
        <v>6414</v>
      </c>
      <c r="O544" s="662">
        <f>+SUMIF(SYS_4_3_Digitos!$M$5:$M$1682,N544,SYS_4_3_Digitos!$N$5:$N$1682)</f>
        <v>0</v>
      </c>
      <c r="P544" s="772"/>
    </row>
    <row r="545" spans="14:16">
      <c r="N545" s="781">
        <v>6415</v>
      </c>
      <c r="O545" s="662">
        <f>+SUMIF(SYS_4_3_Digitos!$M$5:$M$1682,N545,SYS_4_3_Digitos!$N$5:$N$1682)</f>
        <v>0</v>
      </c>
      <c r="P545" s="772"/>
    </row>
    <row r="546" spans="14:16">
      <c r="N546" s="781">
        <v>6416</v>
      </c>
      <c r="O546" s="662">
        <f>+SUMIF(SYS_4_3_Digitos!$M$5:$M$1682,N546,SYS_4_3_Digitos!$N$5:$N$1682)</f>
        <v>0</v>
      </c>
      <c r="P546" s="772"/>
    </row>
    <row r="547" spans="14:16">
      <c r="N547" s="781">
        <v>6417</v>
      </c>
      <c r="O547" s="662">
        <f>+SUMIF(SYS_4_3_Digitos!$M$5:$M$1682,N547,SYS_4_3_Digitos!$N$5:$N$1682)</f>
        <v>0</v>
      </c>
      <c r="P547" s="772"/>
    </row>
    <row r="548" spans="14:16">
      <c r="N548" s="781">
        <v>6418</v>
      </c>
      <c r="O548" s="662">
        <f>+SUMIF(SYS_4_3_Digitos!$M$5:$M$1682,N548,SYS_4_3_Digitos!$N$5:$N$1682)</f>
        <v>0</v>
      </c>
      <c r="P548" s="772"/>
    </row>
    <row r="549" spans="14:16">
      <c r="N549" s="781">
        <v>6419</v>
      </c>
      <c r="O549" s="662">
        <f>+SUMIF(SYS_4_3_Digitos!$M$5:$M$1682,N549,SYS_4_3_Digitos!$N$5:$N$1682)</f>
        <v>0</v>
      </c>
      <c r="P549" s="772"/>
    </row>
    <row r="550" spans="14:16">
      <c r="N550" s="781">
        <v>6450</v>
      </c>
      <c r="O550" s="662">
        <f ca="1">+SUMIF(SYS_4_3_Digitos!$M$5:$M$1682,N550,SYS_4_3_Digitos!$N$5:$N$1682)</f>
        <v>0</v>
      </c>
      <c r="P550" s="772"/>
    </row>
    <row r="551" spans="14:16">
      <c r="N551" s="779" t="s">
        <v>198</v>
      </c>
      <c r="O551" s="788">
        <f ca="1">SUM(O552:O581)</f>
        <v>634230.60000000009</v>
      </c>
      <c r="P551" s="772"/>
    </row>
    <row r="552" spans="14:16">
      <c r="N552" s="781">
        <v>6420</v>
      </c>
      <c r="O552" s="662">
        <f ca="1">+SUMIF(SYS_4_3_Digitos!$M$5:$M$1682,N552,SYS_4_3_Digitos!$N$5:$N$1682)</f>
        <v>622414.17000000004</v>
      </c>
      <c r="P552" s="772"/>
    </row>
    <row r="553" spans="14:16">
      <c r="N553" s="781">
        <v>6421</v>
      </c>
      <c r="O553" s="662">
        <f>+SUMIF(SYS_4_3_Digitos!$M$5:$M$1682,N553,SYS_4_3_Digitos!$N$5:$N$1682)</f>
        <v>0</v>
      </c>
      <c r="P553" s="772" t="s">
        <v>237</v>
      </c>
    </row>
    <row r="554" spans="14:16">
      <c r="N554" s="781">
        <v>6422</v>
      </c>
      <c r="O554" s="662">
        <f>+SUMIF(SYS_4_3_Digitos!$M$5:$M$1682,N554,SYS_4_3_Digitos!$N$5:$N$1682)</f>
        <v>0</v>
      </c>
      <c r="P554" s="772"/>
    </row>
    <row r="555" spans="14:16">
      <c r="N555" s="781">
        <v>6423</v>
      </c>
      <c r="O555" s="662">
        <f>+SUMIF(SYS_4_3_Digitos!$M$5:$M$1682,N555,SYS_4_3_Digitos!$N$5:$N$1682)</f>
        <v>0</v>
      </c>
      <c r="P555" s="772"/>
    </row>
    <row r="556" spans="14:16">
      <c r="N556" s="781">
        <v>6424</v>
      </c>
      <c r="O556" s="662">
        <f>+SUMIF(SYS_4_3_Digitos!$M$5:$M$1682,N556,SYS_4_3_Digitos!$N$5:$N$1682)</f>
        <v>0</v>
      </c>
      <c r="P556" s="772"/>
    </row>
    <row r="557" spans="14:16">
      <c r="N557" s="781">
        <v>6425</v>
      </c>
      <c r="O557" s="662">
        <f>+SUMIF(SYS_4_3_Digitos!$M$5:$M$1682,N557,SYS_4_3_Digitos!$N$5:$N$1682)</f>
        <v>0</v>
      </c>
      <c r="P557" s="772"/>
    </row>
    <row r="558" spans="14:16">
      <c r="N558" s="781">
        <v>6426</v>
      </c>
      <c r="O558" s="662">
        <f>+SUMIF(SYS_4_3_Digitos!$M$5:$M$1682,N558,SYS_4_3_Digitos!$N$5:$N$1682)</f>
        <v>0</v>
      </c>
      <c r="P558" s="772"/>
    </row>
    <row r="559" spans="14:16">
      <c r="N559" s="781">
        <v>6427</v>
      </c>
      <c r="O559" s="662">
        <f>+SUMIF(SYS_4_3_Digitos!$M$5:$M$1682,N559,SYS_4_3_Digitos!$N$5:$N$1682)</f>
        <v>0</v>
      </c>
      <c r="P559" s="772"/>
    </row>
    <row r="560" spans="14:16">
      <c r="N560" s="781">
        <v>6428</v>
      </c>
      <c r="O560" s="662">
        <f>+SUMIF(SYS_4_3_Digitos!$M$5:$M$1682,N560,SYS_4_3_Digitos!$N$5:$N$1682)</f>
        <v>0</v>
      </c>
      <c r="P560" s="772"/>
    </row>
    <row r="561" spans="14:16">
      <c r="N561" s="781">
        <v>6429</v>
      </c>
      <c r="O561" s="662">
        <f>+SUMIF(SYS_4_3_Digitos!$M$5:$M$1682,N561,SYS_4_3_Digitos!$N$5:$N$1682)</f>
        <v>0</v>
      </c>
      <c r="P561" s="772"/>
    </row>
    <row r="562" spans="14:16">
      <c r="N562" s="781">
        <v>6430</v>
      </c>
      <c r="O562" s="662">
        <f ca="1">+SUMIF(SYS_4_3_Digitos!$M$5:$M$1682,N562,SYS_4_3_Digitos!$N$5:$N$1682)</f>
        <v>0</v>
      </c>
      <c r="P562" s="772"/>
    </row>
    <row r="563" spans="14:16">
      <c r="N563" s="781">
        <v>6431</v>
      </c>
      <c r="O563" s="662">
        <f>+SUMIF(SYS_4_3_Digitos!$M$5:$M$1682,N563,SYS_4_3_Digitos!$N$5:$N$1682)</f>
        <v>0</v>
      </c>
      <c r="P563" s="772"/>
    </row>
    <row r="564" spans="14:16">
      <c r="N564" s="781">
        <v>6432</v>
      </c>
      <c r="O564" s="662">
        <f>+SUMIF(SYS_4_3_Digitos!$M$5:$M$1682,N564,SYS_4_3_Digitos!$N$5:$N$1682)</f>
        <v>0</v>
      </c>
      <c r="P564" s="772"/>
    </row>
    <row r="565" spans="14:16">
      <c r="N565" s="781">
        <v>6433</v>
      </c>
      <c r="O565" s="662">
        <f>+SUMIF(SYS_4_3_Digitos!$M$5:$M$1682,N565,SYS_4_3_Digitos!$N$5:$N$1682)</f>
        <v>0</v>
      </c>
      <c r="P565" s="772"/>
    </row>
    <row r="566" spans="14:16">
      <c r="N566" s="781">
        <v>6434</v>
      </c>
      <c r="O566" s="662">
        <f>+SUMIF(SYS_4_3_Digitos!$M$5:$M$1682,N566,SYS_4_3_Digitos!$N$5:$N$1682)</f>
        <v>0</v>
      </c>
      <c r="P566" s="772"/>
    </row>
    <row r="567" spans="14:16">
      <c r="N567" s="781">
        <v>6435</v>
      </c>
      <c r="O567" s="662">
        <f>+SUMIF(SYS_4_3_Digitos!$M$5:$M$1682,N567,SYS_4_3_Digitos!$N$5:$N$1682)</f>
        <v>0</v>
      </c>
      <c r="P567" s="772"/>
    </row>
    <row r="568" spans="14:16">
      <c r="N568" s="781">
        <v>6436</v>
      </c>
      <c r="O568" s="662">
        <f>+SUMIF(SYS_4_3_Digitos!$M$5:$M$1682,N568,SYS_4_3_Digitos!$N$5:$N$1682)</f>
        <v>0</v>
      </c>
      <c r="P568" s="772"/>
    </row>
    <row r="569" spans="14:16">
      <c r="N569" s="781">
        <v>6437</v>
      </c>
      <c r="O569" s="662">
        <f>+SUMIF(SYS_4_3_Digitos!$M$5:$M$1682,N569,SYS_4_3_Digitos!$N$5:$N$1682)</f>
        <v>0</v>
      </c>
      <c r="P569" s="772"/>
    </row>
    <row r="570" spans="14:16">
      <c r="N570" s="781">
        <v>6438</v>
      </c>
      <c r="O570" s="662">
        <f>+SUMIF(SYS_4_3_Digitos!$M$5:$M$1682,N570,SYS_4_3_Digitos!$N$5:$N$1682)</f>
        <v>0</v>
      </c>
      <c r="P570" s="772"/>
    </row>
    <row r="571" spans="14:16">
      <c r="N571" s="781">
        <v>6439</v>
      </c>
      <c r="O571" s="662">
        <f>+SUMIF(SYS_4_3_Digitos!$M$5:$M$1682,N571,SYS_4_3_Digitos!$N$5:$N$1682)</f>
        <v>0</v>
      </c>
      <c r="P571" s="772"/>
    </row>
    <row r="572" spans="14:16">
      <c r="N572" s="781">
        <v>6490</v>
      </c>
      <c r="O572" s="662">
        <f ca="1">+SUMIF(SYS_4_3_Digitos!$M$5:$M$1682,N572,SYS_4_3_Digitos!$N$5:$N$1682)</f>
        <v>11816.43</v>
      </c>
      <c r="P572" s="772"/>
    </row>
    <row r="573" spans="14:16">
      <c r="N573" s="781">
        <v>6491</v>
      </c>
      <c r="O573" s="662">
        <f>+SUMIF(SYS_4_3_Digitos!$M$5:$M$1682,N573,SYS_4_3_Digitos!$N$5:$N$1682)</f>
        <v>0</v>
      </c>
      <c r="P573" s="772"/>
    </row>
    <row r="574" spans="14:16">
      <c r="N574" s="781">
        <v>6492</v>
      </c>
      <c r="O574" s="662">
        <f>+SUMIF(SYS_4_3_Digitos!$M$5:$M$1682,N574,SYS_4_3_Digitos!$N$5:$N$1682)</f>
        <v>0</v>
      </c>
      <c r="P574" s="772"/>
    </row>
    <row r="575" spans="14:16">
      <c r="N575" s="781">
        <v>6493</v>
      </c>
      <c r="O575" s="662">
        <f>+SUMIF(SYS_4_3_Digitos!$M$5:$M$1682,N575,SYS_4_3_Digitos!$N$5:$N$1682)</f>
        <v>0</v>
      </c>
      <c r="P575" s="772"/>
    </row>
    <row r="576" spans="14:16">
      <c r="N576" s="781">
        <v>6494</v>
      </c>
      <c r="O576" s="662">
        <f>+SUMIF(SYS_4_3_Digitos!$M$5:$M$1682,N576,SYS_4_3_Digitos!$N$5:$N$1682)</f>
        <v>0</v>
      </c>
      <c r="P576" s="772"/>
    </row>
    <row r="577" spans="14:16">
      <c r="N577" s="781">
        <v>6495</v>
      </c>
      <c r="O577" s="662">
        <f>+SUMIF(SYS_4_3_Digitos!$M$5:$M$1682,N577,SYS_4_3_Digitos!$N$5:$N$1682)</f>
        <v>0</v>
      </c>
      <c r="P577" s="772"/>
    </row>
    <row r="578" spans="14:16">
      <c r="N578" s="781">
        <v>6496</v>
      </c>
      <c r="O578" s="662">
        <f>+SUMIF(SYS_4_3_Digitos!$M$5:$M$1682,N578,SYS_4_3_Digitos!$N$5:$N$1682)</f>
        <v>0</v>
      </c>
      <c r="P578" s="772"/>
    </row>
    <row r="579" spans="14:16">
      <c r="N579" s="781">
        <v>6497</v>
      </c>
      <c r="O579" s="662">
        <f>+SUMIF(SYS_4_3_Digitos!$M$5:$M$1682,N579,SYS_4_3_Digitos!$N$5:$N$1682)</f>
        <v>0</v>
      </c>
      <c r="P579" s="772"/>
    </row>
    <row r="580" spans="14:16">
      <c r="N580" s="781">
        <v>6498</v>
      </c>
      <c r="O580" s="662">
        <f>+SUMIF(SYS_4_3_Digitos!$M$5:$M$1682,N580,SYS_4_3_Digitos!$N$5:$N$1682)</f>
        <v>0</v>
      </c>
      <c r="P580" s="772"/>
    </row>
    <row r="581" spans="14:16">
      <c r="N581" s="781">
        <v>6499</v>
      </c>
      <c r="O581" s="662">
        <f>+SUMIF(SYS_4_3_Digitos!$M$5:$M$1682,N581,SYS_4_3_Digitos!$N$5:$N$1682)</f>
        <v>0</v>
      </c>
      <c r="P581" s="772"/>
    </row>
    <row r="582" spans="14:16">
      <c r="N582" s="779" t="s">
        <v>199</v>
      </c>
      <c r="O582" s="788">
        <f ca="1">SUM(O583:O595)</f>
        <v>0</v>
      </c>
      <c r="P582" s="772"/>
    </row>
    <row r="583" spans="14:16">
      <c r="N583" s="781">
        <v>6440</v>
      </c>
      <c r="O583" s="662">
        <f ca="1">+SUMIF(SYS_4_3_Digitos!$M$5:$M$1682,N583,SYS_4_3_Digitos!$N$5:$N$1682)</f>
        <v>0</v>
      </c>
      <c r="P583" s="772"/>
    </row>
    <row r="584" spans="14:16">
      <c r="N584" s="781">
        <v>6441</v>
      </c>
      <c r="O584" s="662">
        <f>+SUMIF(SYS_4_3_Digitos!$M$5:$M$1682,N584,SYS_4_3_Digitos!$N$5:$N$1682)</f>
        <v>0</v>
      </c>
      <c r="P584" s="772" t="s">
        <v>238</v>
      </c>
    </row>
    <row r="585" spans="14:16">
      <c r="N585" s="781">
        <v>6442</v>
      </c>
      <c r="O585" s="662">
        <f>+SUMIF(SYS_4_3_Digitos!$M$5:$M$1682,N585,SYS_4_3_Digitos!$N$5:$N$1682)</f>
        <v>0</v>
      </c>
      <c r="P585" s="772"/>
    </row>
    <row r="586" spans="14:16">
      <c r="N586" s="781">
        <v>6443</v>
      </c>
      <c r="O586" s="662">
        <f>+SUMIF(SYS_4_3_Digitos!$M$5:$M$1682,N586,SYS_4_3_Digitos!$N$5:$N$1682)</f>
        <v>0</v>
      </c>
      <c r="P586" s="772"/>
    </row>
    <row r="587" spans="14:16">
      <c r="N587" s="781">
        <v>6444</v>
      </c>
      <c r="O587" s="662">
        <f>+SUMIF(SYS_4_3_Digitos!$M$5:$M$1682,N587,SYS_4_3_Digitos!$N$5:$N$1682)</f>
        <v>0</v>
      </c>
      <c r="P587" s="772"/>
    </row>
    <row r="588" spans="14:16">
      <c r="N588" s="781">
        <v>6445</v>
      </c>
      <c r="O588" s="662">
        <f>+SUMIF(SYS_4_3_Digitos!$M$5:$M$1682,N588,SYS_4_3_Digitos!$N$5:$N$1682)</f>
        <v>0</v>
      </c>
      <c r="P588" s="772"/>
    </row>
    <row r="589" spans="14:16">
      <c r="N589" s="781">
        <v>6446</v>
      </c>
      <c r="O589" s="662">
        <f>+SUMIF(SYS_4_3_Digitos!$M$5:$M$1682,N589,SYS_4_3_Digitos!$N$5:$N$1682)</f>
        <v>0</v>
      </c>
      <c r="P589" s="772"/>
    </row>
    <row r="590" spans="14:16">
      <c r="N590" s="781">
        <v>6447</v>
      </c>
      <c r="O590" s="662">
        <f>+SUMIF(SYS_4_3_Digitos!$M$5:$M$1682,N590,SYS_4_3_Digitos!$N$5:$N$1682)</f>
        <v>0</v>
      </c>
      <c r="P590" s="772"/>
    </row>
    <row r="591" spans="14:16">
      <c r="N591" s="781">
        <v>6448</v>
      </c>
      <c r="O591" s="662">
        <f>+SUMIF(SYS_4_3_Digitos!$M$5:$M$1682,N591,SYS_4_3_Digitos!$N$5:$N$1682)</f>
        <v>0</v>
      </c>
      <c r="P591" s="772"/>
    </row>
    <row r="592" spans="14:16">
      <c r="N592" s="781">
        <v>6449</v>
      </c>
      <c r="O592" s="662">
        <f>+SUMIF(SYS_4_3_Digitos!$M$5:$M$1682,N592,SYS_4_3_Digitos!$N$5:$N$1682)</f>
        <v>0</v>
      </c>
      <c r="P592" s="772"/>
    </row>
    <row r="593" spans="14:16">
      <c r="N593" s="781">
        <v>6457</v>
      </c>
      <c r="O593" s="662">
        <f>+SUMIF(SYS_4_3_Digitos!$M$5:$M$1682,N593,SYS_4_3_Digitos!$N$5:$N$1682)</f>
        <v>0</v>
      </c>
      <c r="P593" s="772"/>
    </row>
    <row r="594" spans="14:16">
      <c r="N594" s="781">
        <v>7950</v>
      </c>
      <c r="O594" s="662">
        <f ca="1">+SUMIF(SYS_4_3_Digitos!$M$5:$M$1682,N594,SYS_4_3_Digitos!$N$5:$N$1682)</f>
        <v>0</v>
      </c>
      <c r="P594" s="772"/>
    </row>
    <row r="595" spans="14:16">
      <c r="N595" s="781">
        <v>7957</v>
      </c>
      <c r="O595" s="662">
        <f>+SUMIF(SYS_4_3_Digitos!$M$5:$M$1682,N595,SYS_4_3_Digitos!$N$5:$N$1682)</f>
        <v>0</v>
      </c>
      <c r="P595" s="772"/>
    </row>
    <row r="596" spans="14:16">
      <c r="N596" s="776" t="s">
        <v>200</v>
      </c>
      <c r="O596" s="771"/>
      <c r="P596" s="772"/>
    </row>
    <row r="597" spans="14:16">
      <c r="N597" s="779" t="s">
        <v>201</v>
      </c>
      <c r="O597" s="788">
        <f ca="1">SUM(O598:O697)</f>
        <v>4679720.6499999994</v>
      </c>
      <c r="P597" s="772"/>
    </row>
    <row r="598" spans="14:16">
      <c r="N598" s="781">
        <v>6200</v>
      </c>
      <c r="O598" s="662">
        <f ca="1">+SUMIF(SYS_4_3_Digitos!$M$5:$M$1682,N598,SYS_4_3_Digitos!$N$5:$N$1682)</f>
        <v>0</v>
      </c>
      <c r="P598" s="772"/>
    </row>
    <row r="599" spans="14:16">
      <c r="N599" s="781">
        <v>6201</v>
      </c>
      <c r="O599" s="662">
        <f>+SUMIF(SYS_4_3_Digitos!$M$5:$M$1682,N599,SYS_4_3_Digitos!$N$5:$N$1682)</f>
        <v>0</v>
      </c>
      <c r="P599" s="789" t="s">
        <v>258</v>
      </c>
    </row>
    <row r="600" spans="14:16">
      <c r="N600" s="781">
        <v>6202</v>
      </c>
      <c r="O600" s="662">
        <f>+SUMIF(SYS_4_3_Digitos!$M$5:$M$1682,N600,SYS_4_3_Digitos!$N$5:$N$1682)</f>
        <v>0</v>
      </c>
      <c r="P600" s="772"/>
    </row>
    <row r="601" spans="14:16">
      <c r="N601" s="781">
        <v>6203</v>
      </c>
      <c r="O601" s="662">
        <f>+SUMIF(SYS_4_3_Digitos!$M$5:$M$1682,N601,SYS_4_3_Digitos!$N$5:$N$1682)</f>
        <v>0</v>
      </c>
      <c r="P601" s="772"/>
    </row>
    <row r="602" spans="14:16">
      <c r="N602" s="781">
        <v>6204</v>
      </c>
      <c r="O602" s="662">
        <f>+SUMIF(SYS_4_3_Digitos!$M$5:$M$1682,N602,SYS_4_3_Digitos!$N$5:$N$1682)</f>
        <v>0</v>
      </c>
      <c r="P602" s="772"/>
    </row>
    <row r="603" spans="14:16">
      <c r="N603" s="781">
        <v>6205</v>
      </c>
      <c r="O603" s="662">
        <f>+SUMIF(SYS_4_3_Digitos!$M$5:$M$1682,N603,SYS_4_3_Digitos!$N$5:$N$1682)</f>
        <v>0</v>
      </c>
      <c r="P603" s="772"/>
    </row>
    <row r="604" spans="14:16">
      <c r="N604" s="781">
        <v>6206</v>
      </c>
      <c r="O604" s="662">
        <f>+SUMIF(SYS_4_3_Digitos!$M$5:$M$1682,N604,SYS_4_3_Digitos!$N$5:$N$1682)</f>
        <v>0</v>
      </c>
      <c r="P604" s="772"/>
    </row>
    <row r="605" spans="14:16">
      <c r="N605" s="781">
        <v>6207</v>
      </c>
      <c r="O605" s="662">
        <f>+SUMIF(SYS_4_3_Digitos!$M$5:$M$1682,N605,SYS_4_3_Digitos!$N$5:$N$1682)</f>
        <v>0</v>
      </c>
      <c r="P605" s="772"/>
    </row>
    <row r="606" spans="14:16">
      <c r="N606" s="781">
        <v>6208</v>
      </c>
      <c r="O606" s="662">
        <f>+SUMIF(SYS_4_3_Digitos!$M$5:$M$1682,N606,SYS_4_3_Digitos!$N$5:$N$1682)</f>
        <v>0</v>
      </c>
      <c r="P606" s="772"/>
    </row>
    <row r="607" spans="14:16">
      <c r="N607" s="781">
        <v>6209</v>
      </c>
      <c r="O607" s="662">
        <f>+SUMIF(SYS_4_3_Digitos!$M$5:$M$1682,N607,SYS_4_3_Digitos!$N$5:$N$1682)</f>
        <v>0</v>
      </c>
      <c r="P607" s="772"/>
    </row>
    <row r="608" spans="14:16">
      <c r="N608" s="781">
        <v>6210</v>
      </c>
      <c r="O608" s="662">
        <f ca="1">+SUMIF(SYS_4_3_Digitos!$M$5:$M$1682,N608,SYS_4_3_Digitos!$N$5:$N$1682)</f>
        <v>45607.610000000008</v>
      </c>
      <c r="P608" s="772"/>
    </row>
    <row r="609" spans="14:16">
      <c r="N609" s="781">
        <v>6211</v>
      </c>
      <c r="O609" s="662">
        <f>+SUMIF(SYS_4_3_Digitos!$M$5:$M$1682,N609,SYS_4_3_Digitos!$N$5:$N$1682)</f>
        <v>0</v>
      </c>
      <c r="P609" s="772"/>
    </row>
    <row r="610" spans="14:16">
      <c r="N610" s="781">
        <v>6212</v>
      </c>
      <c r="O610" s="662">
        <f>+SUMIF(SYS_4_3_Digitos!$M$5:$M$1682,N610,SYS_4_3_Digitos!$N$5:$N$1682)</f>
        <v>0</v>
      </c>
      <c r="P610" s="772"/>
    </row>
    <row r="611" spans="14:16">
      <c r="N611" s="781">
        <v>6213</v>
      </c>
      <c r="O611" s="662">
        <f>+SUMIF(SYS_4_3_Digitos!$M$5:$M$1682,N611,SYS_4_3_Digitos!$N$5:$N$1682)</f>
        <v>0</v>
      </c>
      <c r="P611" s="772"/>
    </row>
    <row r="612" spans="14:16">
      <c r="N612" s="781">
        <v>6214</v>
      </c>
      <c r="O612" s="662">
        <f>+SUMIF(SYS_4_3_Digitos!$M$5:$M$1682,N612,SYS_4_3_Digitos!$N$5:$N$1682)</f>
        <v>0</v>
      </c>
      <c r="P612" s="772"/>
    </row>
    <row r="613" spans="14:16">
      <c r="N613" s="781">
        <v>6215</v>
      </c>
      <c r="O613" s="662">
        <f>+SUMIF(SYS_4_3_Digitos!$M$5:$M$1682,N613,SYS_4_3_Digitos!$N$5:$N$1682)</f>
        <v>0</v>
      </c>
      <c r="P613" s="772"/>
    </row>
    <row r="614" spans="14:16">
      <c r="N614" s="781">
        <v>6216</v>
      </c>
      <c r="O614" s="662">
        <f>+SUMIF(SYS_4_3_Digitos!$M$5:$M$1682,N614,SYS_4_3_Digitos!$N$5:$N$1682)</f>
        <v>0</v>
      </c>
      <c r="P614" s="772"/>
    </row>
    <row r="615" spans="14:16">
      <c r="N615" s="781">
        <v>6217</v>
      </c>
      <c r="O615" s="662">
        <f>+SUMIF(SYS_4_3_Digitos!$M$5:$M$1682,N615,SYS_4_3_Digitos!$N$5:$N$1682)</f>
        <v>0</v>
      </c>
      <c r="P615" s="772"/>
    </row>
    <row r="616" spans="14:16">
      <c r="N616" s="781">
        <v>6218</v>
      </c>
      <c r="O616" s="662">
        <f>+SUMIF(SYS_4_3_Digitos!$M$5:$M$1682,N616,SYS_4_3_Digitos!$N$5:$N$1682)</f>
        <v>0</v>
      </c>
      <c r="P616" s="772"/>
    </row>
    <row r="617" spans="14:16">
      <c r="N617" s="781">
        <v>6219</v>
      </c>
      <c r="O617" s="662">
        <f>+SUMIF(SYS_4_3_Digitos!$M$5:$M$1682,N617,SYS_4_3_Digitos!$N$5:$N$1682)</f>
        <v>0</v>
      </c>
      <c r="P617" s="772"/>
    </row>
    <row r="618" spans="14:16">
      <c r="N618" s="781">
        <v>6220</v>
      </c>
      <c r="O618" s="662">
        <f ca="1">+SUMIF(SYS_4_3_Digitos!$M$5:$M$1682,N618,SYS_4_3_Digitos!$N$5:$N$1682)</f>
        <v>408157.99</v>
      </c>
      <c r="P618" s="772"/>
    </row>
    <row r="619" spans="14:16">
      <c r="N619" s="781">
        <v>6221</v>
      </c>
      <c r="O619" s="662">
        <f>+SUMIF(SYS_4_3_Digitos!$M$5:$M$1682,N619,SYS_4_3_Digitos!$N$5:$N$1682)</f>
        <v>0</v>
      </c>
      <c r="P619" s="772"/>
    </row>
    <row r="620" spans="14:16">
      <c r="N620" s="781">
        <v>6222</v>
      </c>
      <c r="O620" s="662">
        <f>+SUMIF(SYS_4_3_Digitos!$M$5:$M$1682,N620,SYS_4_3_Digitos!$N$5:$N$1682)</f>
        <v>0</v>
      </c>
      <c r="P620" s="772"/>
    </row>
    <row r="621" spans="14:16">
      <c r="N621" s="781">
        <v>6223</v>
      </c>
      <c r="O621" s="662">
        <f>+SUMIF(SYS_4_3_Digitos!$M$5:$M$1682,N621,SYS_4_3_Digitos!$N$5:$N$1682)</f>
        <v>0</v>
      </c>
      <c r="P621" s="772"/>
    </row>
    <row r="622" spans="14:16">
      <c r="N622" s="781">
        <v>6224</v>
      </c>
      <c r="O622" s="662">
        <f>+SUMIF(SYS_4_3_Digitos!$M$5:$M$1682,N622,SYS_4_3_Digitos!$N$5:$N$1682)</f>
        <v>0</v>
      </c>
      <c r="P622" s="772"/>
    </row>
    <row r="623" spans="14:16">
      <c r="N623" s="781">
        <v>6225</v>
      </c>
      <c r="O623" s="662">
        <f>+SUMIF(SYS_4_3_Digitos!$M$5:$M$1682,N623,SYS_4_3_Digitos!$N$5:$N$1682)</f>
        <v>0</v>
      </c>
      <c r="P623" s="772"/>
    </row>
    <row r="624" spans="14:16">
      <c r="N624" s="781">
        <v>6226</v>
      </c>
      <c r="O624" s="662">
        <f>+SUMIF(SYS_4_3_Digitos!$M$5:$M$1682,N624,SYS_4_3_Digitos!$N$5:$N$1682)</f>
        <v>0</v>
      </c>
      <c r="P624" s="772"/>
    </row>
    <row r="625" spans="14:16">
      <c r="N625" s="781">
        <v>6227</v>
      </c>
      <c r="O625" s="662">
        <f>+SUMIF(SYS_4_3_Digitos!$M$5:$M$1682,N625,SYS_4_3_Digitos!$N$5:$N$1682)</f>
        <v>0</v>
      </c>
      <c r="P625" s="772"/>
    </row>
    <row r="626" spans="14:16">
      <c r="N626" s="781">
        <v>6228</v>
      </c>
      <c r="O626" s="662">
        <f>+SUMIF(SYS_4_3_Digitos!$M$5:$M$1682,N626,SYS_4_3_Digitos!$N$5:$N$1682)</f>
        <v>0</v>
      </c>
      <c r="P626" s="772"/>
    </row>
    <row r="627" spans="14:16">
      <c r="N627" s="781">
        <v>6229</v>
      </c>
      <c r="O627" s="662">
        <f>+SUMIF(SYS_4_3_Digitos!$M$5:$M$1682,N627,SYS_4_3_Digitos!$N$5:$N$1682)</f>
        <v>0</v>
      </c>
      <c r="P627" s="772"/>
    </row>
    <row r="628" spans="14:16">
      <c r="N628" s="781">
        <v>6230</v>
      </c>
      <c r="O628" s="662">
        <f ca="1">+SUMIF(SYS_4_3_Digitos!$M$5:$M$1682,N628,SYS_4_3_Digitos!$N$5:$N$1682)</f>
        <v>1289990.83</v>
      </c>
      <c r="P628" s="772"/>
    </row>
    <row r="629" spans="14:16">
      <c r="N629" s="781">
        <v>6231</v>
      </c>
      <c r="O629" s="662">
        <f>+SUMIF(SYS_4_3_Digitos!$M$5:$M$1682,N629,SYS_4_3_Digitos!$N$5:$N$1682)</f>
        <v>0</v>
      </c>
      <c r="P629" s="772"/>
    </row>
    <row r="630" spans="14:16">
      <c r="N630" s="781">
        <v>6232</v>
      </c>
      <c r="O630" s="662">
        <f>+SUMIF(SYS_4_3_Digitos!$M$5:$M$1682,N630,SYS_4_3_Digitos!$N$5:$N$1682)</f>
        <v>0</v>
      </c>
      <c r="P630" s="772"/>
    </row>
    <row r="631" spans="14:16">
      <c r="N631" s="781">
        <v>6233</v>
      </c>
      <c r="O631" s="662">
        <f>+SUMIF(SYS_4_3_Digitos!$M$5:$M$1682,N631,SYS_4_3_Digitos!$N$5:$N$1682)</f>
        <v>0</v>
      </c>
      <c r="P631" s="772"/>
    </row>
    <row r="632" spans="14:16">
      <c r="N632" s="781">
        <v>6234</v>
      </c>
      <c r="O632" s="662">
        <f>+SUMIF(SYS_4_3_Digitos!$M$5:$M$1682,N632,SYS_4_3_Digitos!$N$5:$N$1682)</f>
        <v>0</v>
      </c>
      <c r="P632" s="772"/>
    </row>
    <row r="633" spans="14:16">
      <c r="N633" s="781">
        <v>6235</v>
      </c>
      <c r="O633" s="662">
        <f>+SUMIF(SYS_4_3_Digitos!$M$5:$M$1682,N633,SYS_4_3_Digitos!$N$5:$N$1682)</f>
        <v>0</v>
      </c>
      <c r="P633" s="772"/>
    </row>
    <row r="634" spans="14:16">
      <c r="N634" s="781">
        <v>6236</v>
      </c>
      <c r="O634" s="662">
        <f>+SUMIF(SYS_4_3_Digitos!$M$5:$M$1682,N634,SYS_4_3_Digitos!$N$5:$N$1682)</f>
        <v>0</v>
      </c>
      <c r="P634" s="772"/>
    </row>
    <row r="635" spans="14:16">
      <c r="N635" s="781">
        <v>6237</v>
      </c>
      <c r="O635" s="662">
        <f>+SUMIF(SYS_4_3_Digitos!$M$5:$M$1682,N635,SYS_4_3_Digitos!$N$5:$N$1682)</f>
        <v>0</v>
      </c>
      <c r="P635" s="772"/>
    </row>
    <row r="636" spans="14:16">
      <c r="N636" s="781">
        <v>6238</v>
      </c>
      <c r="O636" s="662">
        <f>+SUMIF(SYS_4_3_Digitos!$M$5:$M$1682,N636,SYS_4_3_Digitos!$N$5:$N$1682)</f>
        <v>0</v>
      </c>
      <c r="P636" s="772"/>
    </row>
    <row r="637" spans="14:16">
      <c r="N637" s="781">
        <v>6239</v>
      </c>
      <c r="O637" s="662">
        <f>+SUMIF(SYS_4_3_Digitos!$M$5:$M$1682,N637,SYS_4_3_Digitos!$N$5:$N$1682)</f>
        <v>0</v>
      </c>
      <c r="P637" s="772"/>
    </row>
    <row r="638" spans="14:16">
      <c r="N638" s="781">
        <v>6240</v>
      </c>
      <c r="O638" s="662">
        <f ca="1">+SUMIF(SYS_4_3_Digitos!$M$5:$M$1682,N638,SYS_4_3_Digitos!$N$5:$N$1682)</f>
        <v>969386.08000000007</v>
      </c>
      <c r="P638" s="772"/>
    </row>
    <row r="639" spans="14:16">
      <c r="N639" s="781">
        <v>6241</v>
      </c>
      <c r="O639" s="662">
        <f>+SUMIF(SYS_4_3_Digitos!$M$5:$M$1682,N639,SYS_4_3_Digitos!$N$5:$N$1682)</f>
        <v>0</v>
      </c>
      <c r="P639" s="772"/>
    </row>
    <row r="640" spans="14:16">
      <c r="N640" s="781">
        <v>6242</v>
      </c>
      <c r="O640" s="662">
        <f>+SUMIF(SYS_4_3_Digitos!$M$5:$M$1682,N640,SYS_4_3_Digitos!$N$5:$N$1682)</f>
        <v>0</v>
      </c>
      <c r="P640" s="772"/>
    </row>
    <row r="641" spans="14:16">
      <c r="N641" s="781">
        <v>6243</v>
      </c>
      <c r="O641" s="662">
        <f>+SUMIF(SYS_4_3_Digitos!$M$5:$M$1682,N641,SYS_4_3_Digitos!$N$5:$N$1682)</f>
        <v>0</v>
      </c>
      <c r="P641" s="772"/>
    </row>
    <row r="642" spans="14:16">
      <c r="N642" s="781">
        <v>6244</v>
      </c>
      <c r="O642" s="662">
        <f>+SUMIF(SYS_4_3_Digitos!$M$5:$M$1682,N642,SYS_4_3_Digitos!$N$5:$N$1682)</f>
        <v>0</v>
      </c>
      <c r="P642" s="772"/>
    </row>
    <row r="643" spans="14:16">
      <c r="N643" s="781">
        <v>6245</v>
      </c>
      <c r="O643" s="662">
        <f>+SUMIF(SYS_4_3_Digitos!$M$5:$M$1682,N643,SYS_4_3_Digitos!$N$5:$N$1682)</f>
        <v>0</v>
      </c>
      <c r="P643" s="772"/>
    </row>
    <row r="644" spans="14:16">
      <c r="N644" s="781">
        <v>6246</v>
      </c>
      <c r="O644" s="662">
        <f>+SUMIF(SYS_4_3_Digitos!$M$5:$M$1682,N644,SYS_4_3_Digitos!$N$5:$N$1682)</f>
        <v>0</v>
      </c>
      <c r="P644" s="772"/>
    </row>
    <row r="645" spans="14:16">
      <c r="N645" s="781">
        <v>6247</v>
      </c>
      <c r="O645" s="662">
        <f>+SUMIF(SYS_4_3_Digitos!$M$5:$M$1682,N645,SYS_4_3_Digitos!$N$5:$N$1682)</f>
        <v>0</v>
      </c>
      <c r="P645" s="772"/>
    </row>
    <row r="646" spans="14:16">
      <c r="N646" s="781">
        <v>6248</v>
      </c>
      <c r="O646" s="662">
        <f>+SUMIF(SYS_4_3_Digitos!$M$5:$M$1682,N646,SYS_4_3_Digitos!$N$5:$N$1682)</f>
        <v>0</v>
      </c>
      <c r="P646" s="772"/>
    </row>
    <row r="647" spans="14:16">
      <c r="N647" s="781">
        <v>6249</v>
      </c>
      <c r="O647" s="662">
        <f>+SUMIF(SYS_4_3_Digitos!$M$5:$M$1682,N647,SYS_4_3_Digitos!$N$5:$N$1682)</f>
        <v>0</v>
      </c>
      <c r="P647" s="772"/>
    </row>
    <row r="648" spans="14:16">
      <c r="N648" s="781">
        <v>6250</v>
      </c>
      <c r="O648" s="662">
        <f ca="1">+SUMIF(SYS_4_3_Digitos!$M$5:$M$1682,N648,SYS_4_3_Digitos!$N$5:$N$1682)</f>
        <v>103906.21</v>
      </c>
      <c r="P648" s="772"/>
    </row>
    <row r="649" spans="14:16">
      <c r="N649" s="781">
        <v>6251</v>
      </c>
      <c r="O649" s="662">
        <f>+SUMIF(SYS_4_3_Digitos!$M$5:$M$1682,N649,SYS_4_3_Digitos!$N$5:$N$1682)</f>
        <v>0</v>
      </c>
      <c r="P649" s="772"/>
    </row>
    <row r="650" spans="14:16">
      <c r="N650" s="781">
        <v>6252</v>
      </c>
      <c r="O650" s="662">
        <f>+SUMIF(SYS_4_3_Digitos!$M$5:$M$1682,N650,SYS_4_3_Digitos!$N$5:$N$1682)</f>
        <v>0</v>
      </c>
      <c r="P650" s="772"/>
    </row>
    <row r="651" spans="14:16">
      <c r="N651" s="781">
        <v>6253</v>
      </c>
      <c r="O651" s="662">
        <f>+SUMIF(SYS_4_3_Digitos!$M$5:$M$1682,N651,SYS_4_3_Digitos!$N$5:$N$1682)</f>
        <v>0</v>
      </c>
      <c r="P651" s="772"/>
    </row>
    <row r="652" spans="14:16">
      <c r="N652" s="781">
        <v>6254</v>
      </c>
      <c r="O652" s="662">
        <f>+SUMIF(SYS_4_3_Digitos!$M$5:$M$1682,N652,SYS_4_3_Digitos!$N$5:$N$1682)</f>
        <v>0</v>
      </c>
      <c r="P652" s="772"/>
    </row>
    <row r="653" spans="14:16">
      <c r="N653" s="781">
        <v>6255</v>
      </c>
      <c r="O653" s="662">
        <f>+SUMIF(SYS_4_3_Digitos!$M$5:$M$1682,N653,SYS_4_3_Digitos!$N$5:$N$1682)</f>
        <v>0</v>
      </c>
      <c r="P653" s="772"/>
    </row>
    <row r="654" spans="14:16">
      <c r="N654" s="781">
        <v>6256</v>
      </c>
      <c r="O654" s="662">
        <f>+SUMIF(SYS_4_3_Digitos!$M$5:$M$1682,N654,SYS_4_3_Digitos!$N$5:$N$1682)</f>
        <v>0</v>
      </c>
      <c r="P654" s="772"/>
    </row>
    <row r="655" spans="14:16">
      <c r="N655" s="781">
        <v>6257</v>
      </c>
      <c r="O655" s="662">
        <f>+SUMIF(SYS_4_3_Digitos!$M$5:$M$1682,N655,SYS_4_3_Digitos!$N$5:$N$1682)</f>
        <v>0</v>
      </c>
      <c r="P655" s="772"/>
    </row>
    <row r="656" spans="14:16">
      <c r="N656" s="781">
        <v>6258</v>
      </c>
      <c r="O656" s="662">
        <f>+SUMIF(SYS_4_3_Digitos!$M$5:$M$1682,N656,SYS_4_3_Digitos!$N$5:$N$1682)</f>
        <v>0</v>
      </c>
      <c r="P656" s="772"/>
    </row>
    <row r="657" spans="14:16">
      <c r="N657" s="781">
        <v>6259</v>
      </c>
      <c r="O657" s="662">
        <f>+SUMIF(SYS_4_3_Digitos!$M$5:$M$1682,N657,SYS_4_3_Digitos!$N$5:$N$1682)</f>
        <v>0</v>
      </c>
      <c r="P657" s="772"/>
    </row>
    <row r="658" spans="14:16">
      <c r="N658" s="781">
        <v>6260</v>
      </c>
      <c r="O658" s="662">
        <f ca="1">+SUMIF(SYS_4_3_Digitos!$M$5:$M$1682,N658,SYS_4_3_Digitos!$N$5:$N$1682)</f>
        <v>58684.98</v>
      </c>
      <c r="P658" s="772"/>
    </row>
    <row r="659" spans="14:16">
      <c r="N659" s="781">
        <v>6261</v>
      </c>
      <c r="O659" s="662">
        <f>+SUMIF(SYS_4_3_Digitos!$M$5:$M$1682,N659,SYS_4_3_Digitos!$N$5:$N$1682)</f>
        <v>0</v>
      </c>
      <c r="P659" s="772"/>
    </row>
    <row r="660" spans="14:16">
      <c r="N660" s="781">
        <v>6262</v>
      </c>
      <c r="O660" s="662">
        <f>+SUMIF(SYS_4_3_Digitos!$M$5:$M$1682,N660,SYS_4_3_Digitos!$N$5:$N$1682)</f>
        <v>0</v>
      </c>
      <c r="P660" s="772"/>
    </row>
    <row r="661" spans="14:16">
      <c r="N661" s="781">
        <v>6263</v>
      </c>
      <c r="O661" s="662">
        <f>+SUMIF(SYS_4_3_Digitos!$M$5:$M$1682,N661,SYS_4_3_Digitos!$N$5:$N$1682)</f>
        <v>0</v>
      </c>
      <c r="P661" s="772"/>
    </row>
    <row r="662" spans="14:16">
      <c r="N662" s="781">
        <v>6264</v>
      </c>
      <c r="O662" s="662">
        <f>+SUMIF(SYS_4_3_Digitos!$M$5:$M$1682,N662,SYS_4_3_Digitos!$N$5:$N$1682)</f>
        <v>0</v>
      </c>
      <c r="P662" s="772"/>
    </row>
    <row r="663" spans="14:16">
      <c r="N663" s="781">
        <v>6265</v>
      </c>
      <c r="O663" s="662">
        <f>+SUMIF(SYS_4_3_Digitos!$M$5:$M$1682,N663,SYS_4_3_Digitos!$N$5:$N$1682)</f>
        <v>0</v>
      </c>
      <c r="P663" s="772"/>
    </row>
    <row r="664" spans="14:16">
      <c r="N664" s="781">
        <v>6266</v>
      </c>
      <c r="O664" s="662">
        <f>+SUMIF(SYS_4_3_Digitos!$M$5:$M$1682,N664,SYS_4_3_Digitos!$N$5:$N$1682)</f>
        <v>0</v>
      </c>
      <c r="P664" s="772"/>
    </row>
    <row r="665" spans="14:16">
      <c r="N665" s="781">
        <v>6267</v>
      </c>
      <c r="O665" s="662">
        <f>+SUMIF(SYS_4_3_Digitos!$M$5:$M$1682,N665,SYS_4_3_Digitos!$N$5:$N$1682)</f>
        <v>0</v>
      </c>
      <c r="P665" s="772"/>
    </row>
    <row r="666" spans="14:16">
      <c r="N666" s="781">
        <v>6268</v>
      </c>
      <c r="O666" s="662">
        <f>+SUMIF(SYS_4_3_Digitos!$M$5:$M$1682,N666,SYS_4_3_Digitos!$N$5:$N$1682)</f>
        <v>0</v>
      </c>
      <c r="P666" s="772"/>
    </row>
    <row r="667" spans="14:16">
      <c r="N667" s="781">
        <v>6269</v>
      </c>
      <c r="O667" s="662">
        <f>+SUMIF(SYS_4_3_Digitos!$M$5:$M$1682,N667,SYS_4_3_Digitos!$N$5:$N$1682)</f>
        <v>0</v>
      </c>
      <c r="P667" s="772"/>
    </row>
    <row r="668" spans="14:16">
      <c r="N668" s="781">
        <v>6270</v>
      </c>
      <c r="O668" s="662">
        <f ca="1">+SUMIF(SYS_4_3_Digitos!$M$5:$M$1682,N668,SYS_4_3_Digitos!$N$5:$N$1682)</f>
        <v>49008.95</v>
      </c>
      <c r="P668" s="772"/>
    </row>
    <row r="669" spans="14:16">
      <c r="N669" s="781">
        <v>6271</v>
      </c>
      <c r="O669" s="662">
        <f>+SUMIF(SYS_4_3_Digitos!$M$5:$M$1682,N669,SYS_4_3_Digitos!$N$5:$N$1682)</f>
        <v>0</v>
      </c>
      <c r="P669" s="772"/>
    </row>
    <row r="670" spans="14:16">
      <c r="N670" s="781">
        <v>6272</v>
      </c>
      <c r="O670" s="662">
        <f>+SUMIF(SYS_4_3_Digitos!$M$5:$M$1682,N670,SYS_4_3_Digitos!$N$5:$N$1682)</f>
        <v>0</v>
      </c>
      <c r="P670" s="772"/>
    </row>
    <row r="671" spans="14:16">
      <c r="N671" s="781">
        <v>6273</v>
      </c>
      <c r="O671" s="662">
        <f>+SUMIF(SYS_4_3_Digitos!$M$5:$M$1682,N671,SYS_4_3_Digitos!$N$5:$N$1682)</f>
        <v>0</v>
      </c>
      <c r="P671" s="772"/>
    </row>
    <row r="672" spans="14:16">
      <c r="N672" s="781">
        <v>6274</v>
      </c>
      <c r="O672" s="662">
        <f>+SUMIF(SYS_4_3_Digitos!$M$5:$M$1682,N672,SYS_4_3_Digitos!$N$5:$N$1682)</f>
        <v>0</v>
      </c>
      <c r="P672" s="772"/>
    </row>
    <row r="673" spans="14:16">
      <c r="N673" s="781">
        <v>6275</v>
      </c>
      <c r="O673" s="662">
        <f>+SUMIF(SYS_4_3_Digitos!$M$5:$M$1682,N673,SYS_4_3_Digitos!$N$5:$N$1682)</f>
        <v>0</v>
      </c>
      <c r="P673" s="772"/>
    </row>
    <row r="674" spans="14:16">
      <c r="N674" s="781">
        <v>6276</v>
      </c>
      <c r="O674" s="662">
        <f>+SUMIF(SYS_4_3_Digitos!$M$5:$M$1682,N674,SYS_4_3_Digitos!$N$5:$N$1682)</f>
        <v>0</v>
      </c>
      <c r="P674" s="772"/>
    </row>
    <row r="675" spans="14:16">
      <c r="N675" s="781">
        <v>6277</v>
      </c>
      <c r="O675" s="662">
        <f>+SUMIF(SYS_4_3_Digitos!$M$5:$M$1682,N675,SYS_4_3_Digitos!$N$5:$N$1682)</f>
        <v>0</v>
      </c>
      <c r="P675" s="772"/>
    </row>
    <row r="676" spans="14:16">
      <c r="N676" s="781">
        <v>6278</v>
      </c>
      <c r="O676" s="662">
        <f>+SUMIF(SYS_4_3_Digitos!$M$5:$M$1682,N676,SYS_4_3_Digitos!$N$5:$N$1682)</f>
        <v>0</v>
      </c>
      <c r="P676" s="772"/>
    </row>
    <row r="677" spans="14:16">
      <c r="N677" s="781">
        <v>6279</v>
      </c>
      <c r="O677" s="662">
        <f>+SUMIF(SYS_4_3_Digitos!$M$5:$M$1682,N677,SYS_4_3_Digitos!$N$5:$N$1682)</f>
        <v>0</v>
      </c>
      <c r="P677" s="772"/>
    </row>
    <row r="678" spans="14:16">
      <c r="N678" s="781">
        <v>6280</v>
      </c>
      <c r="O678" s="662">
        <f ca="1">+SUMIF(SYS_4_3_Digitos!$M$5:$M$1682,N678,SYS_4_3_Digitos!$N$5:$N$1682)</f>
        <v>1387300.6999999995</v>
      </c>
      <c r="P678" s="772"/>
    </row>
    <row r="679" spans="14:16">
      <c r="N679" s="781">
        <v>6281</v>
      </c>
      <c r="O679" s="662">
        <f>+SUMIF(SYS_4_3_Digitos!$M$5:$M$1682,N679,SYS_4_3_Digitos!$N$5:$N$1682)</f>
        <v>0</v>
      </c>
      <c r="P679" s="772"/>
    </row>
    <row r="680" spans="14:16">
      <c r="N680" s="781">
        <v>6282</v>
      </c>
      <c r="O680" s="662">
        <f>+SUMIF(SYS_4_3_Digitos!$M$5:$M$1682,N680,SYS_4_3_Digitos!$N$5:$N$1682)</f>
        <v>0</v>
      </c>
      <c r="P680" s="772"/>
    </row>
    <row r="681" spans="14:16">
      <c r="N681" s="781">
        <v>6283</v>
      </c>
      <c r="O681" s="662">
        <f>+SUMIF(SYS_4_3_Digitos!$M$5:$M$1682,N681,SYS_4_3_Digitos!$N$5:$N$1682)</f>
        <v>0</v>
      </c>
      <c r="P681" s="772"/>
    </row>
    <row r="682" spans="14:16">
      <c r="N682" s="781">
        <v>6284</v>
      </c>
      <c r="O682" s="662">
        <f>+SUMIF(SYS_4_3_Digitos!$M$5:$M$1682,N682,SYS_4_3_Digitos!$N$5:$N$1682)</f>
        <v>0</v>
      </c>
      <c r="P682" s="772"/>
    </row>
    <row r="683" spans="14:16">
      <c r="N683" s="781">
        <v>6285</v>
      </c>
      <c r="O683" s="662">
        <f>+SUMIF(SYS_4_3_Digitos!$M$5:$M$1682,N683,SYS_4_3_Digitos!$N$5:$N$1682)</f>
        <v>0</v>
      </c>
      <c r="P683" s="772"/>
    </row>
    <row r="684" spans="14:16">
      <c r="N684" s="781">
        <v>6286</v>
      </c>
      <c r="O684" s="662">
        <f>+SUMIF(SYS_4_3_Digitos!$M$5:$M$1682,N684,SYS_4_3_Digitos!$N$5:$N$1682)</f>
        <v>0</v>
      </c>
      <c r="P684" s="772"/>
    </row>
    <row r="685" spans="14:16">
      <c r="N685" s="781">
        <v>6287</v>
      </c>
      <c r="O685" s="662">
        <f>+SUMIF(SYS_4_3_Digitos!$M$5:$M$1682,N685,SYS_4_3_Digitos!$N$5:$N$1682)</f>
        <v>0</v>
      </c>
      <c r="P685" s="772"/>
    </row>
    <row r="686" spans="14:16">
      <c r="N686" s="781">
        <v>6288</v>
      </c>
      <c r="O686" s="662">
        <f>+SUMIF(SYS_4_3_Digitos!$M$5:$M$1682,N686,SYS_4_3_Digitos!$N$5:$N$1682)</f>
        <v>0</v>
      </c>
      <c r="P686" s="772"/>
    </row>
    <row r="687" spans="14:16">
      <c r="N687" s="781">
        <v>6289</v>
      </c>
      <c r="O687" s="662">
        <f>+SUMIF(SYS_4_3_Digitos!$M$5:$M$1682,N687,SYS_4_3_Digitos!$N$5:$N$1682)</f>
        <v>0</v>
      </c>
      <c r="P687" s="772"/>
    </row>
    <row r="688" spans="14:16">
      <c r="N688" s="781">
        <v>6290</v>
      </c>
      <c r="O688" s="662">
        <f ca="1">+SUMIF(SYS_4_3_Digitos!$M$5:$M$1682,N688,SYS_4_3_Digitos!$N$5:$N$1682)</f>
        <v>367677.30000000005</v>
      </c>
      <c r="P688" s="772"/>
    </row>
    <row r="689" spans="14:16">
      <c r="N689" s="781">
        <v>6291</v>
      </c>
      <c r="O689" s="662">
        <f>+SUMIF(SYS_4_3_Digitos!$M$5:$M$1682,N689,SYS_4_3_Digitos!$N$5:$N$1682)</f>
        <v>0</v>
      </c>
      <c r="P689" s="772"/>
    </row>
    <row r="690" spans="14:16">
      <c r="N690" s="781">
        <v>6292</v>
      </c>
      <c r="O690" s="662">
        <f>+SUMIF(SYS_4_3_Digitos!$M$5:$M$1682,N690,SYS_4_3_Digitos!$N$5:$N$1682)</f>
        <v>0</v>
      </c>
      <c r="P690" s="772"/>
    </row>
    <row r="691" spans="14:16">
      <c r="N691" s="781">
        <v>6293</v>
      </c>
      <c r="O691" s="662">
        <f>+SUMIF(SYS_4_3_Digitos!$M$5:$M$1682,N691,SYS_4_3_Digitos!$N$5:$N$1682)</f>
        <v>0</v>
      </c>
      <c r="P691" s="772"/>
    </row>
    <row r="692" spans="14:16">
      <c r="N692" s="781">
        <v>6294</v>
      </c>
      <c r="O692" s="662">
        <f>+SUMIF(SYS_4_3_Digitos!$M$5:$M$1682,N692,SYS_4_3_Digitos!$N$5:$N$1682)</f>
        <v>0</v>
      </c>
      <c r="P692" s="772"/>
    </row>
    <row r="693" spans="14:16">
      <c r="N693" s="781">
        <v>6295</v>
      </c>
      <c r="O693" s="662">
        <f>+SUMIF(SYS_4_3_Digitos!$M$5:$M$1682,N693,SYS_4_3_Digitos!$N$5:$N$1682)</f>
        <v>0</v>
      </c>
      <c r="P693" s="772"/>
    </row>
    <row r="694" spans="14:16">
      <c r="N694" s="781">
        <v>6296</v>
      </c>
      <c r="O694" s="662">
        <f>+SUMIF(SYS_4_3_Digitos!$M$5:$M$1682,N694,SYS_4_3_Digitos!$N$5:$N$1682)</f>
        <v>0</v>
      </c>
      <c r="P694" s="772"/>
    </row>
    <row r="695" spans="14:16">
      <c r="N695" s="781">
        <v>6297</v>
      </c>
      <c r="O695" s="662">
        <f>+SUMIF(SYS_4_3_Digitos!$M$5:$M$1682,N695,SYS_4_3_Digitos!$N$5:$N$1682)</f>
        <v>0</v>
      </c>
      <c r="P695" s="772"/>
    </row>
    <row r="696" spans="14:16">
      <c r="N696" s="781">
        <v>6298</v>
      </c>
      <c r="O696" s="662">
        <f>+SUMIF(SYS_4_3_Digitos!$M$5:$M$1682,N696,SYS_4_3_Digitos!$N$5:$N$1682)</f>
        <v>0</v>
      </c>
      <c r="P696" s="772"/>
    </row>
    <row r="697" spans="14:16">
      <c r="N697" s="781">
        <v>6299</v>
      </c>
      <c r="O697" s="662">
        <f>+SUMIF(SYS_4_3_Digitos!$M$5:$M$1682,N697,SYS_4_3_Digitos!$N$5:$N$1682)</f>
        <v>0</v>
      </c>
      <c r="P697" s="772"/>
    </row>
    <row r="698" spans="14:16">
      <c r="N698" s="779" t="s">
        <v>202</v>
      </c>
      <c r="O698" s="788">
        <f ca="1">SUM(O699:O738)</f>
        <v>217821.86999999997</v>
      </c>
      <c r="P698" s="772"/>
    </row>
    <row r="699" spans="14:16">
      <c r="N699" s="781">
        <v>6310</v>
      </c>
      <c r="O699" s="662">
        <f ca="1">+SUMIF(SYS_4_3_Digitos!$M$5:$M$1682,N699,SYS_4_3_Digitos!$N$5:$N$1682)</f>
        <v>217821.86999999997</v>
      </c>
      <c r="P699" s="772"/>
    </row>
    <row r="700" spans="14:16">
      <c r="N700" s="781">
        <v>6311</v>
      </c>
      <c r="O700" s="662">
        <f>+SUMIF(SYS_4_3_Digitos!$M$5:$M$1682,N700,SYS_4_3_Digitos!$N$5:$N$1682)</f>
        <v>0</v>
      </c>
      <c r="P700" s="772" t="s">
        <v>239</v>
      </c>
    </row>
    <row r="701" spans="14:16">
      <c r="N701" s="781">
        <v>6312</v>
      </c>
      <c r="O701" s="662">
        <f>+SUMIF(SYS_4_3_Digitos!$M$5:$M$1682,N701,SYS_4_3_Digitos!$N$5:$N$1682)</f>
        <v>0</v>
      </c>
      <c r="P701" s="772"/>
    </row>
    <row r="702" spans="14:16">
      <c r="N702" s="781">
        <v>6313</v>
      </c>
      <c r="O702" s="662">
        <f>+SUMIF(SYS_4_3_Digitos!$M$5:$M$1682,N702,SYS_4_3_Digitos!$N$5:$N$1682)</f>
        <v>0</v>
      </c>
      <c r="P702" s="772"/>
    </row>
    <row r="703" spans="14:16">
      <c r="N703" s="781">
        <v>6314</v>
      </c>
      <c r="O703" s="662">
        <f>+SUMIF(SYS_4_3_Digitos!$M$5:$M$1682,N703,SYS_4_3_Digitos!$N$5:$N$1682)</f>
        <v>0</v>
      </c>
      <c r="P703" s="772"/>
    </row>
    <row r="704" spans="14:16">
      <c r="N704" s="781">
        <v>6315</v>
      </c>
      <c r="O704" s="662">
        <f>+SUMIF(SYS_4_3_Digitos!$M$5:$M$1682,N704,SYS_4_3_Digitos!$N$5:$N$1682)</f>
        <v>0</v>
      </c>
      <c r="P704" s="772"/>
    </row>
    <row r="705" spans="14:16">
      <c r="N705" s="781">
        <v>6316</v>
      </c>
      <c r="O705" s="662">
        <f>+SUMIF(SYS_4_3_Digitos!$M$5:$M$1682,N705,SYS_4_3_Digitos!$N$5:$N$1682)</f>
        <v>0</v>
      </c>
      <c r="P705" s="772"/>
    </row>
    <row r="706" spans="14:16">
      <c r="N706" s="781">
        <v>6317</v>
      </c>
      <c r="O706" s="662">
        <f>+SUMIF(SYS_4_3_Digitos!$M$5:$M$1682,N706,SYS_4_3_Digitos!$N$5:$N$1682)</f>
        <v>0</v>
      </c>
      <c r="P706" s="772"/>
    </row>
    <row r="707" spans="14:16">
      <c r="N707" s="781">
        <v>6318</v>
      </c>
      <c r="O707" s="662">
        <f>+SUMIF(SYS_4_3_Digitos!$M$5:$M$1682,N707,SYS_4_3_Digitos!$N$5:$N$1682)</f>
        <v>0</v>
      </c>
      <c r="P707" s="772"/>
    </row>
    <row r="708" spans="14:16">
      <c r="N708" s="781">
        <v>6319</v>
      </c>
      <c r="O708" s="662">
        <f>+SUMIF(SYS_4_3_Digitos!$M$5:$M$1682,N708,SYS_4_3_Digitos!$N$5:$N$1682)</f>
        <v>0</v>
      </c>
      <c r="P708" s="772"/>
    </row>
    <row r="709" spans="14:16">
      <c r="N709" s="781">
        <v>6340</v>
      </c>
      <c r="O709" s="662">
        <f>+SUMIF(SYS_4_3_Digitos!$M$5:$M$1682,N709,SYS_4_3_Digitos!$N$5:$N$1682)</f>
        <v>0</v>
      </c>
      <c r="P709" s="772"/>
    </row>
    <row r="710" spans="14:16">
      <c r="N710" s="781">
        <v>6341</v>
      </c>
      <c r="O710" s="662">
        <f ca="1">+SUMIF(SYS_4_3_Digitos!$M$5:$M$1682,N710,SYS_4_3_Digitos!$N$5:$N$1682)</f>
        <v>0</v>
      </c>
      <c r="P710" s="772"/>
    </row>
    <row r="711" spans="14:16">
      <c r="N711" s="781">
        <v>6342</v>
      </c>
      <c r="O711" s="662">
        <f ca="1">+SUMIF(SYS_4_3_Digitos!$M$5:$M$1682,N711,SYS_4_3_Digitos!$N$5:$N$1682)</f>
        <v>0</v>
      </c>
      <c r="P711" s="772"/>
    </row>
    <row r="712" spans="14:16">
      <c r="N712" s="781">
        <v>6343</v>
      </c>
      <c r="O712" s="662">
        <f>+SUMIF(SYS_4_3_Digitos!$M$5:$M$1682,N712,SYS_4_3_Digitos!$N$5:$N$1682)</f>
        <v>0</v>
      </c>
      <c r="P712" s="772"/>
    </row>
    <row r="713" spans="14:16">
      <c r="N713" s="781">
        <v>6344</v>
      </c>
      <c r="O713" s="662">
        <f>+SUMIF(SYS_4_3_Digitos!$M$5:$M$1682,N713,SYS_4_3_Digitos!$N$5:$N$1682)</f>
        <v>0</v>
      </c>
      <c r="P713" s="772"/>
    </row>
    <row r="714" spans="14:16">
      <c r="N714" s="781">
        <v>6345</v>
      </c>
      <c r="O714" s="662">
        <f>+SUMIF(SYS_4_3_Digitos!$M$5:$M$1682,N714,SYS_4_3_Digitos!$N$5:$N$1682)</f>
        <v>0</v>
      </c>
      <c r="P714" s="772"/>
    </row>
    <row r="715" spans="14:16">
      <c r="N715" s="781">
        <v>6346</v>
      </c>
      <c r="O715" s="662">
        <f>+SUMIF(SYS_4_3_Digitos!$M$5:$M$1682,N715,SYS_4_3_Digitos!$N$5:$N$1682)</f>
        <v>0</v>
      </c>
      <c r="P715" s="772"/>
    </row>
    <row r="716" spans="14:16">
      <c r="N716" s="781">
        <v>6347</v>
      </c>
      <c r="O716" s="662">
        <f>+SUMIF(SYS_4_3_Digitos!$M$5:$M$1682,N716,SYS_4_3_Digitos!$N$5:$N$1682)</f>
        <v>0</v>
      </c>
      <c r="P716" s="772"/>
    </row>
    <row r="717" spans="14:16">
      <c r="N717" s="781">
        <v>6348</v>
      </c>
      <c r="O717" s="662">
        <f>+SUMIF(SYS_4_3_Digitos!$M$5:$M$1682,N717,SYS_4_3_Digitos!$N$5:$N$1682)</f>
        <v>0</v>
      </c>
      <c r="P717" s="772"/>
    </row>
    <row r="718" spans="14:16">
      <c r="N718" s="781">
        <v>6349</v>
      </c>
      <c r="O718" s="662">
        <f>+SUMIF(SYS_4_3_Digitos!$M$5:$M$1682,N718,SYS_4_3_Digitos!$N$5:$N$1682)</f>
        <v>0</v>
      </c>
      <c r="P718" s="772"/>
    </row>
    <row r="719" spans="14:16">
      <c r="N719" s="781">
        <v>6360</v>
      </c>
      <c r="O719" s="662">
        <f ca="1">+SUMIF(SYS_4_3_Digitos!$M$5:$M$1682,N719,SYS_4_3_Digitos!$N$5:$N$1682)</f>
        <v>0</v>
      </c>
      <c r="P719" s="772"/>
    </row>
    <row r="720" spans="14:16">
      <c r="N720" s="781">
        <v>6361</v>
      </c>
      <c r="O720" s="662">
        <f>+SUMIF(SYS_4_3_Digitos!$M$5:$M$1682,N720,SYS_4_3_Digitos!$N$5:$N$1682)</f>
        <v>0</v>
      </c>
      <c r="P720" s="772"/>
    </row>
    <row r="721" spans="14:16">
      <c r="N721" s="781">
        <v>6362</v>
      </c>
      <c r="O721" s="662">
        <f>+SUMIF(SYS_4_3_Digitos!$M$5:$M$1682,N721,SYS_4_3_Digitos!$N$5:$N$1682)</f>
        <v>0</v>
      </c>
      <c r="P721" s="772"/>
    </row>
    <row r="722" spans="14:16">
      <c r="N722" s="781">
        <v>6363</v>
      </c>
      <c r="O722" s="662">
        <f>+SUMIF(SYS_4_3_Digitos!$M$5:$M$1682,N722,SYS_4_3_Digitos!$N$5:$N$1682)</f>
        <v>0</v>
      </c>
      <c r="P722" s="772"/>
    </row>
    <row r="723" spans="14:16">
      <c r="N723" s="781">
        <v>6364</v>
      </c>
      <c r="O723" s="662">
        <f>+SUMIF(SYS_4_3_Digitos!$M$5:$M$1682,N723,SYS_4_3_Digitos!$N$5:$N$1682)</f>
        <v>0</v>
      </c>
      <c r="P723" s="772"/>
    </row>
    <row r="724" spans="14:16">
      <c r="N724" s="781">
        <v>6365</v>
      </c>
      <c r="O724" s="662">
        <f>+SUMIF(SYS_4_3_Digitos!$M$5:$M$1682,N724,SYS_4_3_Digitos!$N$5:$N$1682)</f>
        <v>0</v>
      </c>
      <c r="P724" s="772"/>
    </row>
    <row r="725" spans="14:16">
      <c r="N725" s="781">
        <v>6366</v>
      </c>
      <c r="O725" s="662">
        <f>+SUMIF(SYS_4_3_Digitos!$M$5:$M$1682,N725,SYS_4_3_Digitos!$N$5:$N$1682)</f>
        <v>0</v>
      </c>
      <c r="P725" s="772"/>
    </row>
    <row r="726" spans="14:16">
      <c r="N726" s="781">
        <v>6367</v>
      </c>
      <c r="O726" s="662">
        <f>+SUMIF(SYS_4_3_Digitos!$M$5:$M$1682,N726,SYS_4_3_Digitos!$N$5:$N$1682)</f>
        <v>0</v>
      </c>
      <c r="P726" s="772"/>
    </row>
    <row r="727" spans="14:16">
      <c r="N727" s="781">
        <v>6368</v>
      </c>
      <c r="O727" s="662">
        <f>+SUMIF(SYS_4_3_Digitos!$M$5:$M$1682,N727,SYS_4_3_Digitos!$N$5:$N$1682)</f>
        <v>0</v>
      </c>
      <c r="P727" s="772"/>
    </row>
    <row r="728" spans="14:16">
      <c r="N728" s="781">
        <v>6369</v>
      </c>
      <c r="O728" s="662">
        <f>+SUMIF(SYS_4_3_Digitos!$M$5:$M$1682,N728,SYS_4_3_Digitos!$N$5:$N$1682)</f>
        <v>0</v>
      </c>
      <c r="P728" s="772"/>
    </row>
    <row r="729" spans="14:16">
      <c r="N729" s="781">
        <v>6390</v>
      </c>
      <c r="O729" s="662">
        <f>+SUMIF(SYS_4_3_Digitos!$M$5:$M$1682,N729,SYS_4_3_Digitos!$N$5:$N$1682)</f>
        <v>0</v>
      </c>
      <c r="P729" s="772"/>
    </row>
    <row r="730" spans="14:16">
      <c r="N730" s="781">
        <v>6391</v>
      </c>
      <c r="O730" s="662">
        <f ca="1">+SUMIF(SYS_4_3_Digitos!$M$5:$M$1682,N730,SYS_4_3_Digitos!$N$5:$N$1682)</f>
        <v>0</v>
      </c>
      <c r="P730" s="772"/>
    </row>
    <row r="731" spans="14:16">
      <c r="N731" s="781">
        <v>6392</v>
      </c>
      <c r="O731" s="662">
        <f ca="1">+SUMIF(SYS_4_3_Digitos!$M$5:$M$1682,N731,SYS_4_3_Digitos!$N$5:$N$1682)</f>
        <v>0</v>
      </c>
      <c r="P731" s="772"/>
    </row>
    <row r="732" spans="14:16">
      <c r="N732" s="781">
        <v>6393</v>
      </c>
      <c r="O732" s="662">
        <f>+SUMIF(SYS_4_3_Digitos!$M$5:$M$1682,N732,SYS_4_3_Digitos!$N$5:$N$1682)</f>
        <v>0</v>
      </c>
      <c r="P732" s="772"/>
    </row>
    <row r="733" spans="14:16">
      <c r="N733" s="781">
        <v>6394</v>
      </c>
      <c r="O733" s="662">
        <f>+SUMIF(SYS_4_3_Digitos!$M$5:$M$1682,N733,SYS_4_3_Digitos!$N$5:$N$1682)</f>
        <v>0</v>
      </c>
      <c r="P733" s="772"/>
    </row>
    <row r="734" spans="14:16">
      <c r="N734" s="781">
        <v>6395</v>
      </c>
      <c r="O734" s="662">
        <f>+SUMIF(SYS_4_3_Digitos!$M$5:$M$1682,N734,SYS_4_3_Digitos!$N$5:$N$1682)</f>
        <v>0</v>
      </c>
      <c r="P734" s="772"/>
    </row>
    <row r="735" spans="14:16">
      <c r="N735" s="781">
        <v>6396</v>
      </c>
      <c r="O735" s="662">
        <f>+SUMIF(SYS_4_3_Digitos!$M$5:$M$1682,N735,SYS_4_3_Digitos!$N$5:$N$1682)</f>
        <v>0</v>
      </c>
      <c r="P735" s="772"/>
    </row>
    <row r="736" spans="14:16">
      <c r="N736" s="781">
        <v>6397</v>
      </c>
      <c r="O736" s="662">
        <f>+SUMIF(SYS_4_3_Digitos!$M$5:$M$1682,N736,SYS_4_3_Digitos!$N$5:$N$1682)</f>
        <v>0</v>
      </c>
      <c r="P736" s="772"/>
    </row>
    <row r="737" spans="14:16">
      <c r="N737" s="781">
        <v>6398</v>
      </c>
      <c r="O737" s="662">
        <f>+SUMIF(SYS_4_3_Digitos!$M$5:$M$1682,N737,SYS_4_3_Digitos!$N$5:$N$1682)</f>
        <v>0</v>
      </c>
      <c r="P737" s="772"/>
    </row>
    <row r="738" spans="14:16">
      <c r="N738" s="781">
        <v>6399</v>
      </c>
      <c r="O738" s="662">
        <f>+SUMIF(SYS_4_3_Digitos!$M$5:$M$1682,N738,SYS_4_3_Digitos!$N$5:$N$1682)</f>
        <v>0</v>
      </c>
      <c r="P738" s="772"/>
    </row>
    <row r="739" spans="14:16">
      <c r="N739" s="779" t="s">
        <v>203</v>
      </c>
      <c r="O739" s="788">
        <f ca="1">SUM(O740:O780)</f>
        <v>110160</v>
      </c>
      <c r="P739" s="772"/>
    </row>
    <row r="740" spans="14:16">
      <c r="N740" s="781">
        <v>6500</v>
      </c>
      <c r="O740" s="662">
        <f ca="1">+SUMIF(SYS_4_3_Digitos!$M$5:$M$1682,N740,SYS_4_3_Digitos!$N$5:$N$1682)</f>
        <v>0</v>
      </c>
      <c r="P740" s="772"/>
    </row>
    <row r="741" spans="14:16">
      <c r="N741" s="781">
        <v>6501</v>
      </c>
      <c r="O741" s="662">
        <f>+SUMIF(SYS_4_3_Digitos!$M$5:$M$1682,N741,SYS_4_3_Digitos!$N$5:$N$1682)</f>
        <v>0</v>
      </c>
      <c r="P741" s="772" t="s">
        <v>240</v>
      </c>
    </row>
    <row r="742" spans="14:16">
      <c r="N742" s="781">
        <v>6502</v>
      </c>
      <c r="O742" s="662">
        <f>+SUMIF(SYS_4_3_Digitos!$M$5:$M$1682,N742,SYS_4_3_Digitos!$N$5:$N$1682)</f>
        <v>0</v>
      </c>
      <c r="P742" s="772"/>
    </row>
    <row r="743" spans="14:16">
      <c r="N743" s="781">
        <v>6503</v>
      </c>
      <c r="O743" s="662">
        <f>+SUMIF(SYS_4_3_Digitos!$M$5:$M$1682,N743,SYS_4_3_Digitos!$N$5:$N$1682)</f>
        <v>0</v>
      </c>
      <c r="P743" s="772"/>
    </row>
    <row r="744" spans="14:16">
      <c r="N744" s="781">
        <v>6504</v>
      </c>
      <c r="O744" s="662">
        <f>+SUMIF(SYS_4_3_Digitos!$M$5:$M$1682,N744,SYS_4_3_Digitos!$N$5:$N$1682)</f>
        <v>0</v>
      </c>
      <c r="P744" s="772"/>
    </row>
    <row r="745" spans="14:16">
      <c r="N745" s="781">
        <v>6505</v>
      </c>
      <c r="O745" s="662">
        <f>+SUMIF(SYS_4_3_Digitos!$M$5:$M$1682,N745,SYS_4_3_Digitos!$N$5:$N$1682)</f>
        <v>0</v>
      </c>
      <c r="P745" s="772"/>
    </row>
    <row r="746" spans="14:16">
      <c r="N746" s="781">
        <v>6506</v>
      </c>
      <c r="O746" s="662">
        <f>+SUMIF(SYS_4_3_Digitos!$M$5:$M$1682,N746,SYS_4_3_Digitos!$N$5:$N$1682)</f>
        <v>0</v>
      </c>
      <c r="P746" s="772"/>
    </row>
    <row r="747" spans="14:16">
      <c r="N747" s="781">
        <v>6507</v>
      </c>
      <c r="O747" s="662">
        <f>+SUMIF(SYS_4_3_Digitos!$M$5:$M$1682,N747,SYS_4_3_Digitos!$N$5:$N$1682)</f>
        <v>0</v>
      </c>
      <c r="P747" s="772"/>
    </row>
    <row r="748" spans="14:16">
      <c r="N748" s="781">
        <v>6508</v>
      </c>
      <c r="O748" s="662">
        <f>+SUMIF(SYS_4_3_Digitos!$M$5:$M$1682,N748,SYS_4_3_Digitos!$N$5:$N$1682)</f>
        <v>0</v>
      </c>
      <c r="P748" s="772"/>
    </row>
    <row r="749" spans="14:16">
      <c r="N749" s="781">
        <v>6509</v>
      </c>
      <c r="O749" s="662">
        <f>+SUMIF(SYS_4_3_Digitos!$M$5:$M$1682,N749,SYS_4_3_Digitos!$N$5:$N$1682)</f>
        <v>0</v>
      </c>
      <c r="P749" s="772"/>
    </row>
    <row r="750" spans="14:16">
      <c r="N750" s="781">
        <v>6940</v>
      </c>
      <c r="O750" s="662">
        <f ca="1">+SUMIF(SYS_4_3_Digitos!$M$5:$M$1682,N750,SYS_4_3_Digitos!$N$5:$N$1682)</f>
        <v>110160</v>
      </c>
      <c r="P750" s="772"/>
    </row>
    <row r="751" spans="14:16">
      <c r="N751" s="781">
        <v>6941</v>
      </c>
      <c r="O751" s="662">
        <f>+SUMIF(SYS_4_3_Digitos!$M$5:$M$1682,N751,SYS_4_3_Digitos!$N$5:$N$1682)</f>
        <v>0</v>
      </c>
      <c r="P751" s="772"/>
    </row>
    <row r="752" spans="14:16">
      <c r="N752" s="781">
        <v>6942</v>
      </c>
      <c r="O752" s="662">
        <f>+SUMIF(SYS_4_3_Digitos!$M$5:$M$1682,N752,SYS_4_3_Digitos!$N$5:$N$1682)</f>
        <v>0</v>
      </c>
      <c r="P752" s="772"/>
    </row>
    <row r="753" spans="14:16">
      <c r="N753" s="781">
        <v>6943</v>
      </c>
      <c r="O753" s="662">
        <f>+SUMIF(SYS_4_3_Digitos!$M$5:$M$1682,N753,SYS_4_3_Digitos!$N$5:$N$1682)</f>
        <v>0</v>
      </c>
      <c r="P753" s="772"/>
    </row>
    <row r="754" spans="14:16">
      <c r="N754" s="781">
        <v>6944</v>
      </c>
      <c r="O754" s="662">
        <f>+SUMIF(SYS_4_3_Digitos!$M$5:$M$1682,N754,SYS_4_3_Digitos!$N$5:$N$1682)</f>
        <v>0</v>
      </c>
      <c r="P754" s="772"/>
    </row>
    <row r="755" spans="14:16">
      <c r="N755" s="781">
        <v>6945</v>
      </c>
      <c r="O755" s="662">
        <f>+SUMIF(SYS_4_3_Digitos!$M$5:$M$1682,N755,SYS_4_3_Digitos!$N$5:$N$1682)</f>
        <v>0</v>
      </c>
      <c r="P755" s="772"/>
    </row>
    <row r="756" spans="14:16">
      <c r="N756" s="781">
        <v>6946</v>
      </c>
      <c r="O756" s="662">
        <f>+SUMIF(SYS_4_3_Digitos!$M$5:$M$1682,N756,SYS_4_3_Digitos!$N$5:$N$1682)</f>
        <v>0</v>
      </c>
      <c r="P756" s="772"/>
    </row>
    <row r="757" spans="14:16">
      <c r="N757" s="781">
        <v>6947</v>
      </c>
      <c r="O757" s="662">
        <f>+SUMIF(SYS_4_3_Digitos!$M$5:$M$1682,N757,SYS_4_3_Digitos!$N$5:$N$1682)</f>
        <v>0</v>
      </c>
      <c r="P757" s="772"/>
    </row>
    <row r="758" spans="14:16">
      <c r="N758" s="781">
        <v>6948</v>
      </c>
      <c r="O758" s="662">
        <f>+SUMIF(SYS_4_3_Digitos!$M$5:$M$1682,N758,SYS_4_3_Digitos!$N$5:$N$1682)</f>
        <v>0</v>
      </c>
      <c r="P758" s="772"/>
    </row>
    <row r="759" spans="14:16">
      <c r="N759" s="781">
        <v>6949</v>
      </c>
      <c r="O759" s="662">
        <f>+SUMIF(SYS_4_3_Digitos!$M$5:$M$1682,N759,SYS_4_3_Digitos!$N$5:$N$1682)</f>
        <v>0</v>
      </c>
      <c r="P759" s="772"/>
    </row>
    <row r="760" spans="14:16">
      <c r="N760" s="781">
        <v>6950</v>
      </c>
      <c r="O760" s="662">
        <f ca="1">+SUMIF(SYS_4_3_Digitos!$M$5:$M$1682,N760,SYS_4_3_Digitos!$N$5:$N$1682)</f>
        <v>0</v>
      </c>
      <c r="P760" s="772"/>
    </row>
    <row r="761" spans="14:16">
      <c r="N761" s="781">
        <v>6951</v>
      </c>
      <c r="O761" s="662">
        <f>+SUMIF(SYS_4_3_Digitos!$M$5:$M$1682,N761,SYS_4_3_Digitos!$N$5:$N$1682)</f>
        <v>0</v>
      </c>
      <c r="P761" s="772"/>
    </row>
    <row r="762" spans="14:16">
      <c r="N762" s="781">
        <v>6952</v>
      </c>
      <c r="O762" s="662">
        <f>+SUMIF(SYS_4_3_Digitos!$M$5:$M$1682,N762,SYS_4_3_Digitos!$N$5:$N$1682)</f>
        <v>0</v>
      </c>
      <c r="P762" s="772"/>
    </row>
    <row r="763" spans="14:16">
      <c r="N763" s="781">
        <v>6953</v>
      </c>
      <c r="O763" s="662">
        <f>+SUMIF(SYS_4_3_Digitos!$M$5:$M$1682,N763,SYS_4_3_Digitos!$N$5:$N$1682)</f>
        <v>0</v>
      </c>
      <c r="P763" s="772"/>
    </row>
    <row r="764" spans="14:16">
      <c r="N764" s="781">
        <v>6954</v>
      </c>
      <c r="O764" s="662">
        <f>+SUMIF(SYS_4_3_Digitos!$M$5:$M$1682,N764,SYS_4_3_Digitos!$N$5:$N$1682)</f>
        <v>0</v>
      </c>
      <c r="P764" s="772"/>
    </row>
    <row r="765" spans="14:16">
      <c r="N765" s="781">
        <v>6955</v>
      </c>
      <c r="O765" s="662">
        <f>+SUMIF(SYS_4_3_Digitos!$M$5:$M$1682,N765,SYS_4_3_Digitos!$N$5:$N$1682)</f>
        <v>0</v>
      </c>
      <c r="P765" s="772"/>
    </row>
    <row r="766" spans="14:16">
      <c r="N766" s="781">
        <v>6956</v>
      </c>
      <c r="O766" s="662">
        <f>+SUMIF(SYS_4_3_Digitos!$M$5:$M$1682,N766,SYS_4_3_Digitos!$N$5:$N$1682)</f>
        <v>0</v>
      </c>
      <c r="P766" s="772"/>
    </row>
    <row r="767" spans="14:16">
      <c r="N767" s="781">
        <v>6957</v>
      </c>
      <c r="O767" s="662">
        <f>+SUMIF(SYS_4_3_Digitos!$M$5:$M$1682,N767,SYS_4_3_Digitos!$N$5:$N$1682)</f>
        <v>0</v>
      </c>
      <c r="P767" s="772"/>
    </row>
    <row r="768" spans="14:16">
      <c r="N768" s="781">
        <v>6958</v>
      </c>
      <c r="O768" s="662">
        <f>+SUMIF(SYS_4_3_Digitos!$M$5:$M$1682,N768,SYS_4_3_Digitos!$N$5:$N$1682)</f>
        <v>0</v>
      </c>
      <c r="P768" s="772"/>
    </row>
    <row r="769" spans="14:16">
      <c r="N769" s="781">
        <v>6959</v>
      </c>
      <c r="O769" s="662">
        <f>+SUMIF(SYS_4_3_Digitos!$M$5:$M$1682,N769,SYS_4_3_Digitos!$N$5:$N$1682)</f>
        <v>0</v>
      </c>
      <c r="P769" s="772"/>
    </row>
    <row r="770" spans="14:16">
      <c r="N770" s="781">
        <v>7940</v>
      </c>
      <c r="O770" s="662">
        <f ca="1">+SUMIF(SYS_4_3_Digitos!$M$5:$M$1682,N770,SYS_4_3_Digitos!$N$5:$N$1682)</f>
        <v>0</v>
      </c>
      <c r="P770" s="772"/>
    </row>
    <row r="771" spans="14:16">
      <c r="N771" s="781">
        <v>7941</v>
      </c>
      <c r="O771" s="662">
        <f>+SUMIF(SYS_4_3_Digitos!$M$5:$M$1682,N771,SYS_4_3_Digitos!$N$5:$N$1682)</f>
        <v>0</v>
      </c>
      <c r="P771" s="772"/>
    </row>
    <row r="772" spans="14:16">
      <c r="N772" s="781">
        <v>7942</v>
      </c>
      <c r="O772" s="662">
        <f>+SUMIF(SYS_4_3_Digitos!$M$5:$M$1682,N772,SYS_4_3_Digitos!$N$5:$N$1682)</f>
        <v>0</v>
      </c>
      <c r="P772" s="772"/>
    </row>
    <row r="773" spans="14:16">
      <c r="N773" s="781">
        <v>7943</v>
      </c>
      <c r="O773" s="662">
        <f>+SUMIF(SYS_4_3_Digitos!$M$5:$M$1682,N773,SYS_4_3_Digitos!$N$5:$N$1682)</f>
        <v>0</v>
      </c>
      <c r="P773" s="772"/>
    </row>
    <row r="774" spans="14:16">
      <c r="N774" s="781">
        <v>7944</v>
      </c>
      <c r="O774" s="662">
        <f>+SUMIF(SYS_4_3_Digitos!$M$5:$M$1682,N774,SYS_4_3_Digitos!$N$5:$N$1682)</f>
        <v>0</v>
      </c>
      <c r="P774" s="772"/>
    </row>
    <row r="775" spans="14:16">
      <c r="N775" s="781">
        <v>7945</v>
      </c>
      <c r="O775" s="662">
        <f>+SUMIF(SYS_4_3_Digitos!$M$5:$M$1682,N775,SYS_4_3_Digitos!$N$5:$N$1682)</f>
        <v>0</v>
      </c>
      <c r="P775" s="772"/>
    </row>
    <row r="776" spans="14:16">
      <c r="N776" s="781">
        <v>7946</v>
      </c>
      <c r="O776" s="662">
        <f>+SUMIF(SYS_4_3_Digitos!$M$5:$M$1682,N776,SYS_4_3_Digitos!$N$5:$N$1682)</f>
        <v>0</v>
      </c>
      <c r="P776" s="772"/>
    </row>
    <row r="777" spans="14:16">
      <c r="N777" s="781">
        <v>7947</v>
      </c>
      <c r="O777" s="662">
        <f>+SUMIF(SYS_4_3_Digitos!$M$5:$M$1682,N777,SYS_4_3_Digitos!$N$5:$N$1682)</f>
        <v>0</v>
      </c>
      <c r="P777" s="772"/>
    </row>
    <row r="778" spans="14:16">
      <c r="N778" s="781">
        <v>7948</v>
      </c>
      <c r="O778" s="662">
        <f>+SUMIF(SYS_4_3_Digitos!$M$5:$M$1682,N778,SYS_4_3_Digitos!$N$5:$N$1682)</f>
        <v>0</v>
      </c>
      <c r="P778" s="772"/>
    </row>
    <row r="779" spans="14:16">
      <c r="N779" s="781">
        <v>7949</v>
      </c>
      <c r="O779" s="662">
        <f>+SUMIF(SYS_4_3_Digitos!$M$5:$M$1682,N779,SYS_4_3_Digitos!$N$5:$N$1682)</f>
        <v>0</v>
      </c>
      <c r="P779" s="772"/>
    </row>
    <row r="780" spans="14:16">
      <c r="N780" s="781">
        <v>7954</v>
      </c>
      <c r="O780" s="662">
        <f>+SUMIF(SYS_4_3_Digitos!$M$5:$M$1682,N780,SYS_4_3_Digitos!$N$5:$N$1682)</f>
        <v>0</v>
      </c>
      <c r="P780" s="772"/>
    </row>
    <row r="781" spans="14:16">
      <c r="N781" s="779" t="s">
        <v>204</v>
      </c>
      <c r="O781" s="788">
        <f ca="1">SUM(O782:O801)</f>
        <v>0</v>
      </c>
      <c r="P781" s="772"/>
    </row>
    <row r="782" spans="14:16">
      <c r="N782" s="781">
        <v>6510</v>
      </c>
      <c r="O782" s="662">
        <f ca="1">+SUMIF(SYS_4_3_Digitos!$M$5:$M$1682,N782,SYS_4_3_Digitos!$N$5:$N$1682)</f>
        <v>0</v>
      </c>
      <c r="P782" s="772"/>
    </row>
    <row r="783" spans="14:16">
      <c r="N783" s="781">
        <v>6511</v>
      </c>
      <c r="O783" s="662">
        <f>+SUMIF(SYS_4_3_Digitos!$M$5:$M$1682,N783,SYS_4_3_Digitos!$N$5:$N$1682)</f>
        <v>0</v>
      </c>
      <c r="P783" s="772" t="s">
        <v>1558</v>
      </c>
    </row>
    <row r="784" spans="14:16">
      <c r="N784" s="781">
        <v>6512</v>
      </c>
      <c r="O784" s="662">
        <f>+SUMIF(SYS_4_3_Digitos!$M$5:$M$1682,N784,SYS_4_3_Digitos!$N$5:$N$1682)</f>
        <v>0</v>
      </c>
      <c r="P784" s="772"/>
    </row>
    <row r="785" spans="14:16">
      <c r="N785" s="781">
        <v>6513</v>
      </c>
      <c r="O785" s="662">
        <f>+SUMIF(SYS_4_3_Digitos!$M$5:$M$1682,N785,SYS_4_3_Digitos!$N$5:$N$1682)</f>
        <v>0</v>
      </c>
      <c r="P785" s="772"/>
    </row>
    <row r="786" spans="14:16">
      <c r="N786" s="781">
        <v>6514</v>
      </c>
      <c r="O786" s="662">
        <f>+SUMIF(SYS_4_3_Digitos!$M$5:$M$1682,N786,SYS_4_3_Digitos!$N$5:$N$1682)</f>
        <v>0</v>
      </c>
      <c r="P786" s="772"/>
    </row>
    <row r="787" spans="14:16">
      <c r="N787" s="781">
        <v>6515</v>
      </c>
      <c r="O787" s="662">
        <f>+SUMIF(SYS_4_3_Digitos!$M$5:$M$1682,N787,SYS_4_3_Digitos!$N$5:$N$1682)</f>
        <v>0</v>
      </c>
      <c r="P787" s="772"/>
    </row>
    <row r="788" spans="14:16">
      <c r="N788" s="781">
        <v>6516</v>
      </c>
      <c r="O788" s="662">
        <f>+SUMIF(SYS_4_3_Digitos!$M$5:$M$1682,N788,SYS_4_3_Digitos!$N$5:$N$1682)</f>
        <v>0</v>
      </c>
      <c r="P788" s="772"/>
    </row>
    <row r="789" spans="14:16">
      <c r="N789" s="781">
        <v>6517</v>
      </c>
      <c r="O789" s="662">
        <f>+SUMIF(SYS_4_3_Digitos!$M$5:$M$1682,N789,SYS_4_3_Digitos!$N$5:$N$1682)</f>
        <v>0</v>
      </c>
      <c r="P789" s="772"/>
    </row>
    <row r="790" spans="14:16">
      <c r="N790" s="781">
        <v>6518</v>
      </c>
      <c r="O790" s="662">
        <f>+SUMIF(SYS_4_3_Digitos!$M$5:$M$1682,N790,SYS_4_3_Digitos!$N$5:$N$1682)</f>
        <v>0</v>
      </c>
      <c r="P790" s="772"/>
    </row>
    <row r="791" spans="14:16">
      <c r="N791" s="781">
        <v>6519</v>
      </c>
      <c r="O791" s="662">
        <f>+SUMIF(SYS_4_3_Digitos!$M$5:$M$1682,N791,SYS_4_3_Digitos!$N$5:$N$1682)</f>
        <v>0</v>
      </c>
      <c r="P791" s="772"/>
    </row>
    <row r="792" spans="14:16">
      <c r="N792" s="781">
        <v>6590</v>
      </c>
      <c r="O792" s="662">
        <f ca="1">+SUMIF(SYS_4_3_Digitos!$M$5:$M$1682,N792,SYS_4_3_Digitos!$N$5:$N$1682)</f>
        <v>0</v>
      </c>
      <c r="P792" s="772"/>
    </row>
    <row r="793" spans="14:16">
      <c r="N793" s="781">
        <v>6591</v>
      </c>
      <c r="O793" s="662">
        <f>+SUMIF(SYS_4_3_Digitos!$M$5:$M$1682,N793,SYS_4_3_Digitos!$N$5:$N$1682)</f>
        <v>0</v>
      </c>
      <c r="P793" s="772"/>
    </row>
    <row r="794" spans="14:16">
      <c r="N794" s="781">
        <v>6592</v>
      </c>
      <c r="O794" s="662">
        <f>+SUMIF(SYS_4_3_Digitos!$M$5:$M$1682,N794,SYS_4_3_Digitos!$N$5:$N$1682)</f>
        <v>0</v>
      </c>
      <c r="P794" s="772"/>
    </row>
    <row r="795" spans="14:16">
      <c r="N795" s="781">
        <v>6593</v>
      </c>
      <c r="O795" s="662">
        <f>+SUMIF(SYS_4_3_Digitos!$M$5:$M$1682,N795,SYS_4_3_Digitos!$N$5:$N$1682)</f>
        <v>0</v>
      </c>
      <c r="P795" s="772"/>
    </row>
    <row r="796" spans="14:16">
      <c r="N796" s="781">
        <v>6594</v>
      </c>
      <c r="O796" s="662">
        <f>+SUMIF(SYS_4_3_Digitos!$M$5:$M$1682,N796,SYS_4_3_Digitos!$N$5:$N$1682)</f>
        <v>0</v>
      </c>
      <c r="P796" s="772"/>
    </row>
    <row r="797" spans="14:16">
      <c r="N797" s="781">
        <v>6595</v>
      </c>
      <c r="O797" s="662">
        <f>+SUMIF(SYS_4_3_Digitos!$M$5:$M$1682,N797,SYS_4_3_Digitos!$N$5:$N$1682)</f>
        <v>0</v>
      </c>
      <c r="P797" s="772"/>
    </row>
    <row r="798" spans="14:16">
      <c r="N798" s="781">
        <v>6596</v>
      </c>
      <c r="O798" s="662">
        <f>+SUMIF(SYS_4_3_Digitos!$M$5:$M$1682,N798,SYS_4_3_Digitos!$N$5:$N$1682)</f>
        <v>0</v>
      </c>
      <c r="P798" s="772"/>
    </row>
    <row r="799" spans="14:16">
      <c r="N799" s="781">
        <v>6597</v>
      </c>
      <c r="O799" s="662">
        <f>+SUMIF(SYS_4_3_Digitos!$M$5:$M$1682,N799,SYS_4_3_Digitos!$N$5:$N$1682)</f>
        <v>0</v>
      </c>
      <c r="P799" s="772"/>
    </row>
    <row r="800" spans="14:16">
      <c r="N800" s="781">
        <v>6598</v>
      </c>
      <c r="O800" s="662">
        <f>+SUMIF(SYS_4_3_Digitos!$M$5:$M$1682,N800,SYS_4_3_Digitos!$N$5:$N$1682)</f>
        <v>0</v>
      </c>
      <c r="P800" s="772"/>
    </row>
    <row r="801" spans="14:16">
      <c r="N801" s="781">
        <v>6599</v>
      </c>
      <c r="O801" s="662">
        <f>+SUMIF(SYS_4_3_Digitos!$M$5:$M$1682,N801,SYS_4_3_Digitos!$N$5:$N$1682)</f>
        <v>0</v>
      </c>
      <c r="P801" s="772"/>
    </row>
    <row r="802" spans="14:16">
      <c r="N802" s="776" t="s">
        <v>205</v>
      </c>
      <c r="O802" s="787">
        <f ca="1">SUM(O803:O902)</f>
        <v>911037.11</v>
      </c>
      <c r="P802" s="772"/>
    </row>
    <row r="803" spans="14:16">
      <c r="N803" s="781">
        <v>6800</v>
      </c>
      <c r="O803" s="662">
        <f ca="1">+SUMIF(SYS_4_3_Digitos!$M$5:$M$1682,N803,SYS_4_3_Digitos!$N$5:$N$1682)</f>
        <v>24706.46</v>
      </c>
      <c r="P803" s="772"/>
    </row>
    <row r="804" spans="14:16">
      <c r="N804" s="781">
        <v>6801</v>
      </c>
      <c r="O804" s="662">
        <f>+SUMIF(SYS_4_3_Digitos!$M$5:$M$1682,N804,SYS_4_3_Digitos!$N$5:$N$1682)</f>
        <v>0</v>
      </c>
      <c r="P804" s="789" t="s">
        <v>259</v>
      </c>
    </row>
    <row r="805" spans="14:16">
      <c r="N805" s="781">
        <v>6802</v>
      </c>
      <c r="O805" s="662">
        <f>+SUMIF(SYS_4_3_Digitos!$M$5:$M$1682,N805,SYS_4_3_Digitos!$N$5:$N$1682)</f>
        <v>0</v>
      </c>
      <c r="P805" s="772"/>
    </row>
    <row r="806" spans="14:16">
      <c r="N806" s="781">
        <v>6803</v>
      </c>
      <c r="O806" s="662">
        <f>+SUMIF(SYS_4_3_Digitos!$M$5:$M$1682,N806,SYS_4_3_Digitos!$N$5:$N$1682)</f>
        <v>0</v>
      </c>
      <c r="P806" s="772"/>
    </row>
    <row r="807" spans="14:16">
      <c r="N807" s="781">
        <v>6804</v>
      </c>
      <c r="O807" s="662">
        <f>+SUMIF(SYS_4_3_Digitos!$M$5:$M$1682,N807,SYS_4_3_Digitos!$N$5:$N$1682)</f>
        <v>0</v>
      </c>
      <c r="P807" s="772"/>
    </row>
    <row r="808" spans="14:16">
      <c r="N808" s="781">
        <v>6805</v>
      </c>
      <c r="O808" s="662">
        <f>+SUMIF(SYS_4_3_Digitos!$M$5:$M$1682,N808,SYS_4_3_Digitos!$N$5:$N$1682)</f>
        <v>0</v>
      </c>
      <c r="P808" s="772"/>
    </row>
    <row r="809" spans="14:16">
      <c r="N809" s="781">
        <v>6806</v>
      </c>
      <c r="O809" s="662">
        <f>+SUMIF(SYS_4_3_Digitos!$M$5:$M$1682,N809,SYS_4_3_Digitos!$N$5:$N$1682)</f>
        <v>0</v>
      </c>
      <c r="P809" s="772"/>
    </row>
    <row r="810" spans="14:16">
      <c r="N810" s="781">
        <v>6807</v>
      </c>
      <c r="O810" s="662">
        <f>+SUMIF(SYS_4_3_Digitos!$M$5:$M$1682,N810,SYS_4_3_Digitos!$N$5:$N$1682)</f>
        <v>0</v>
      </c>
      <c r="P810" s="772"/>
    </row>
    <row r="811" spans="14:16">
      <c r="N811" s="781">
        <v>6808</v>
      </c>
      <c r="O811" s="662">
        <f>+SUMIF(SYS_4_3_Digitos!$M$5:$M$1682,N811,SYS_4_3_Digitos!$N$5:$N$1682)</f>
        <v>0</v>
      </c>
      <c r="P811" s="772"/>
    </row>
    <row r="812" spans="14:16">
      <c r="N812" s="781">
        <v>6809</v>
      </c>
      <c r="O812" s="662">
        <f>+SUMIF(SYS_4_3_Digitos!$M$5:$M$1682,N812,SYS_4_3_Digitos!$N$5:$N$1682)</f>
        <v>0</v>
      </c>
      <c r="P812" s="772"/>
    </row>
    <row r="813" spans="14:16">
      <c r="N813" s="781">
        <v>6810</v>
      </c>
      <c r="O813" s="662">
        <f ca="1">+SUMIF(SYS_4_3_Digitos!$M$5:$M$1682,N813,SYS_4_3_Digitos!$N$5:$N$1682)</f>
        <v>527719.55000000005</v>
      </c>
      <c r="P813" s="772"/>
    </row>
    <row r="814" spans="14:16">
      <c r="N814" s="781">
        <v>6811</v>
      </c>
      <c r="O814" s="662">
        <f>+SUMIF(SYS_4_3_Digitos!$M$5:$M$1682,N814,SYS_4_3_Digitos!$N$5:$N$1682)</f>
        <v>0</v>
      </c>
      <c r="P814" s="772"/>
    </row>
    <row r="815" spans="14:16">
      <c r="N815" s="781">
        <v>6812</v>
      </c>
      <c r="O815" s="662">
        <f>+SUMIF(SYS_4_3_Digitos!$M$5:$M$1682,N815,SYS_4_3_Digitos!$N$5:$N$1682)</f>
        <v>0</v>
      </c>
      <c r="P815" s="772"/>
    </row>
    <row r="816" spans="14:16">
      <c r="N816" s="781">
        <v>6813</v>
      </c>
      <c r="O816" s="662">
        <f>+SUMIF(SYS_4_3_Digitos!$M$5:$M$1682,N816,SYS_4_3_Digitos!$N$5:$N$1682)</f>
        <v>0</v>
      </c>
      <c r="P816" s="772"/>
    </row>
    <row r="817" spans="14:16">
      <c r="N817" s="781">
        <v>6814</v>
      </c>
      <c r="O817" s="662">
        <f>+SUMIF(SYS_4_3_Digitos!$M$5:$M$1682,N817,SYS_4_3_Digitos!$N$5:$N$1682)</f>
        <v>0</v>
      </c>
      <c r="P817" s="772"/>
    </row>
    <row r="818" spans="14:16">
      <c r="N818" s="781">
        <v>6815</v>
      </c>
      <c r="O818" s="662">
        <f>+SUMIF(SYS_4_3_Digitos!$M$5:$M$1682,N818,SYS_4_3_Digitos!$N$5:$N$1682)</f>
        <v>0</v>
      </c>
      <c r="P818" s="772"/>
    </row>
    <row r="819" spans="14:16">
      <c r="N819" s="781">
        <v>6816</v>
      </c>
      <c r="O819" s="662">
        <f>+SUMIF(SYS_4_3_Digitos!$M$5:$M$1682,N819,SYS_4_3_Digitos!$N$5:$N$1682)</f>
        <v>0</v>
      </c>
      <c r="P819" s="772"/>
    </row>
    <row r="820" spans="14:16">
      <c r="N820" s="781">
        <v>6817</v>
      </c>
      <c r="O820" s="662">
        <f>+SUMIF(SYS_4_3_Digitos!$M$5:$M$1682,N820,SYS_4_3_Digitos!$N$5:$N$1682)</f>
        <v>0</v>
      </c>
      <c r="P820" s="772"/>
    </row>
    <row r="821" spans="14:16">
      <c r="N821" s="781">
        <v>6818</v>
      </c>
      <c r="O821" s="662">
        <f>+SUMIF(SYS_4_3_Digitos!$M$5:$M$1682,N821,SYS_4_3_Digitos!$N$5:$N$1682)</f>
        <v>0</v>
      </c>
      <c r="P821" s="772"/>
    </row>
    <row r="822" spans="14:16">
      <c r="N822" s="781">
        <v>6819</v>
      </c>
      <c r="O822" s="662">
        <f>+SUMIF(SYS_4_3_Digitos!$M$5:$M$1682,N822,SYS_4_3_Digitos!$N$5:$N$1682)</f>
        <v>0</v>
      </c>
      <c r="P822" s="772"/>
    </row>
    <row r="823" spans="14:16">
      <c r="N823" s="781">
        <v>6820</v>
      </c>
      <c r="O823" s="662">
        <f ca="1">+SUMIF(SYS_4_3_Digitos!$M$5:$M$1682,N823,SYS_4_3_Digitos!$N$5:$N$1682)</f>
        <v>358611.1</v>
      </c>
      <c r="P823" s="772"/>
    </row>
    <row r="824" spans="14:16">
      <c r="N824" s="781">
        <v>6821</v>
      </c>
      <c r="O824" s="662">
        <f>+SUMIF(SYS_4_3_Digitos!$M$5:$M$1682,N824,SYS_4_3_Digitos!$N$5:$N$1682)</f>
        <v>0</v>
      </c>
      <c r="P824" s="772"/>
    </row>
    <row r="825" spans="14:16">
      <c r="N825" s="781">
        <v>6822</v>
      </c>
      <c r="O825" s="662">
        <f>+SUMIF(SYS_4_3_Digitos!$M$5:$M$1682,N825,SYS_4_3_Digitos!$N$5:$N$1682)</f>
        <v>0</v>
      </c>
      <c r="P825" s="772"/>
    </row>
    <row r="826" spans="14:16">
      <c r="N826" s="781">
        <v>6823</v>
      </c>
      <c r="O826" s="662">
        <f>+SUMIF(SYS_4_3_Digitos!$M$5:$M$1682,N826,SYS_4_3_Digitos!$N$5:$N$1682)</f>
        <v>0</v>
      </c>
      <c r="P826" s="772"/>
    </row>
    <row r="827" spans="14:16">
      <c r="N827" s="781">
        <v>6824</v>
      </c>
      <c r="O827" s="662">
        <f>+SUMIF(SYS_4_3_Digitos!$M$5:$M$1682,N827,SYS_4_3_Digitos!$N$5:$N$1682)</f>
        <v>0</v>
      </c>
      <c r="P827" s="772"/>
    </row>
    <row r="828" spans="14:16">
      <c r="N828" s="781">
        <v>6825</v>
      </c>
      <c r="O828" s="662">
        <f>+SUMIF(SYS_4_3_Digitos!$M$5:$M$1682,N828,SYS_4_3_Digitos!$N$5:$N$1682)</f>
        <v>0</v>
      </c>
      <c r="P828" s="772"/>
    </row>
    <row r="829" spans="14:16">
      <c r="N829" s="781">
        <v>6826</v>
      </c>
      <c r="O829" s="662">
        <f>+SUMIF(SYS_4_3_Digitos!$M$5:$M$1682,N829,SYS_4_3_Digitos!$N$5:$N$1682)</f>
        <v>0</v>
      </c>
      <c r="P829" s="772"/>
    </row>
    <row r="830" spans="14:16">
      <c r="N830" s="781">
        <v>6827</v>
      </c>
      <c r="O830" s="662">
        <f>+SUMIF(SYS_4_3_Digitos!$M$5:$M$1682,N830,SYS_4_3_Digitos!$N$5:$N$1682)</f>
        <v>0</v>
      </c>
      <c r="P830" s="772"/>
    </row>
    <row r="831" spans="14:16">
      <c r="N831" s="781">
        <v>6828</v>
      </c>
      <c r="O831" s="662">
        <f>+SUMIF(SYS_4_3_Digitos!$M$5:$M$1682,N831,SYS_4_3_Digitos!$N$5:$N$1682)</f>
        <v>0</v>
      </c>
      <c r="P831" s="772"/>
    </row>
    <row r="832" spans="14:16">
      <c r="N832" s="781">
        <v>6829</v>
      </c>
      <c r="O832" s="662">
        <f>+SUMIF(SYS_4_3_Digitos!$M$5:$M$1682,N832,SYS_4_3_Digitos!$N$5:$N$1682)</f>
        <v>0</v>
      </c>
      <c r="P832" s="772"/>
    </row>
    <row r="833" spans="14:16">
      <c r="N833" s="781">
        <v>6830</v>
      </c>
      <c r="O833" s="662">
        <f>+SUMIF(SYS_4_3_Digitos!$M$5:$M$1682,N833,SYS_4_3_Digitos!$N$5:$N$1682)</f>
        <v>0</v>
      </c>
      <c r="P833" s="772"/>
    </row>
    <row r="834" spans="14:16">
      <c r="N834" s="781">
        <v>6831</v>
      </c>
      <c r="O834" s="662">
        <f>+SUMIF(SYS_4_3_Digitos!$M$5:$M$1682,N834,SYS_4_3_Digitos!$N$5:$N$1682)</f>
        <v>0</v>
      </c>
      <c r="P834" s="772"/>
    </row>
    <row r="835" spans="14:16">
      <c r="N835" s="781">
        <v>6832</v>
      </c>
      <c r="O835" s="662">
        <f>+SUMIF(SYS_4_3_Digitos!$M$5:$M$1682,N835,SYS_4_3_Digitos!$N$5:$N$1682)</f>
        <v>0</v>
      </c>
      <c r="P835" s="772"/>
    </row>
    <row r="836" spans="14:16">
      <c r="N836" s="781">
        <v>6833</v>
      </c>
      <c r="O836" s="662">
        <f>+SUMIF(SYS_4_3_Digitos!$M$5:$M$1682,N836,SYS_4_3_Digitos!$N$5:$N$1682)</f>
        <v>0</v>
      </c>
      <c r="P836" s="772"/>
    </row>
    <row r="837" spans="14:16">
      <c r="N837" s="781">
        <v>6834</v>
      </c>
      <c r="O837" s="662">
        <f>+SUMIF(SYS_4_3_Digitos!$M$5:$M$1682,N837,SYS_4_3_Digitos!$N$5:$N$1682)</f>
        <v>0</v>
      </c>
      <c r="P837" s="772"/>
    </row>
    <row r="838" spans="14:16">
      <c r="N838" s="781">
        <v>6835</v>
      </c>
      <c r="O838" s="662">
        <f>+SUMIF(SYS_4_3_Digitos!$M$5:$M$1682,N838,SYS_4_3_Digitos!$N$5:$N$1682)</f>
        <v>0</v>
      </c>
      <c r="P838" s="772"/>
    </row>
    <row r="839" spans="14:16">
      <c r="N839" s="781">
        <v>6836</v>
      </c>
      <c r="O839" s="662">
        <f>+SUMIF(SYS_4_3_Digitos!$M$5:$M$1682,N839,SYS_4_3_Digitos!$N$5:$N$1682)</f>
        <v>0</v>
      </c>
      <c r="P839" s="772"/>
    </row>
    <row r="840" spans="14:16">
      <c r="N840" s="781">
        <v>6837</v>
      </c>
      <c r="O840" s="662">
        <f>+SUMIF(SYS_4_3_Digitos!$M$5:$M$1682,N840,SYS_4_3_Digitos!$N$5:$N$1682)</f>
        <v>0</v>
      </c>
      <c r="P840" s="772"/>
    </row>
    <row r="841" spans="14:16">
      <c r="N841" s="781">
        <v>6838</v>
      </c>
      <c r="O841" s="662">
        <f>+SUMIF(SYS_4_3_Digitos!$M$5:$M$1682,N841,SYS_4_3_Digitos!$N$5:$N$1682)</f>
        <v>0</v>
      </c>
      <c r="P841" s="772"/>
    </row>
    <row r="842" spans="14:16">
      <c r="N842" s="781">
        <v>6839</v>
      </c>
      <c r="O842" s="662">
        <f>+SUMIF(SYS_4_3_Digitos!$M$5:$M$1682,N842,SYS_4_3_Digitos!$N$5:$N$1682)</f>
        <v>0</v>
      </c>
      <c r="P842" s="772"/>
    </row>
    <row r="843" spans="14:16">
      <c r="N843" s="781">
        <v>6840</v>
      </c>
      <c r="O843" s="662">
        <f>+SUMIF(SYS_4_3_Digitos!$M$5:$M$1682,N843,SYS_4_3_Digitos!$N$5:$N$1682)</f>
        <v>0</v>
      </c>
      <c r="P843" s="772"/>
    </row>
    <row r="844" spans="14:16">
      <c r="N844" s="781">
        <v>6841</v>
      </c>
      <c r="O844" s="662">
        <f>+SUMIF(SYS_4_3_Digitos!$M$5:$M$1682,N844,SYS_4_3_Digitos!$N$5:$N$1682)</f>
        <v>0</v>
      </c>
      <c r="P844" s="772"/>
    </row>
    <row r="845" spans="14:16">
      <c r="N845" s="781">
        <v>6842</v>
      </c>
      <c r="O845" s="662">
        <f>+SUMIF(SYS_4_3_Digitos!$M$5:$M$1682,N845,SYS_4_3_Digitos!$N$5:$N$1682)</f>
        <v>0</v>
      </c>
      <c r="P845" s="772"/>
    </row>
    <row r="846" spans="14:16">
      <c r="N846" s="781">
        <v>6843</v>
      </c>
      <c r="O846" s="662">
        <f>+SUMIF(SYS_4_3_Digitos!$M$5:$M$1682,N846,SYS_4_3_Digitos!$N$5:$N$1682)</f>
        <v>0</v>
      </c>
      <c r="P846" s="772"/>
    </row>
    <row r="847" spans="14:16">
      <c r="N847" s="781">
        <v>6844</v>
      </c>
      <c r="O847" s="662">
        <f>+SUMIF(SYS_4_3_Digitos!$M$5:$M$1682,N847,SYS_4_3_Digitos!$N$5:$N$1682)</f>
        <v>0</v>
      </c>
      <c r="P847" s="772"/>
    </row>
    <row r="848" spans="14:16">
      <c r="N848" s="781">
        <v>6845</v>
      </c>
      <c r="O848" s="662">
        <f>+SUMIF(SYS_4_3_Digitos!$M$5:$M$1682,N848,SYS_4_3_Digitos!$N$5:$N$1682)</f>
        <v>0</v>
      </c>
      <c r="P848" s="772"/>
    </row>
    <row r="849" spans="14:16">
      <c r="N849" s="781">
        <v>6846</v>
      </c>
      <c r="O849" s="662">
        <f>+SUMIF(SYS_4_3_Digitos!$M$5:$M$1682,N849,SYS_4_3_Digitos!$N$5:$N$1682)</f>
        <v>0</v>
      </c>
      <c r="P849" s="772"/>
    </row>
    <row r="850" spans="14:16">
      <c r="N850" s="781">
        <v>6847</v>
      </c>
      <c r="O850" s="662">
        <f>+SUMIF(SYS_4_3_Digitos!$M$5:$M$1682,N850,SYS_4_3_Digitos!$N$5:$N$1682)</f>
        <v>0</v>
      </c>
      <c r="P850" s="772"/>
    </row>
    <row r="851" spans="14:16">
      <c r="N851" s="781">
        <v>6848</v>
      </c>
      <c r="O851" s="662">
        <f>+SUMIF(SYS_4_3_Digitos!$M$5:$M$1682,N851,SYS_4_3_Digitos!$N$5:$N$1682)</f>
        <v>0</v>
      </c>
      <c r="P851" s="772"/>
    </row>
    <row r="852" spans="14:16">
      <c r="N852" s="781">
        <v>6849</v>
      </c>
      <c r="O852" s="662">
        <f>+SUMIF(SYS_4_3_Digitos!$M$5:$M$1682,N852,SYS_4_3_Digitos!$N$5:$N$1682)</f>
        <v>0</v>
      </c>
      <c r="P852" s="772"/>
    </row>
    <row r="853" spans="14:16">
      <c r="N853" s="781">
        <v>6850</v>
      </c>
      <c r="O853" s="662">
        <f>+SUMIF(SYS_4_3_Digitos!$M$5:$M$1682,N853,SYS_4_3_Digitos!$N$5:$N$1682)</f>
        <v>0</v>
      </c>
      <c r="P853" s="772"/>
    </row>
    <row r="854" spans="14:16">
      <c r="N854" s="781">
        <v>6851</v>
      </c>
      <c r="O854" s="662">
        <f>+SUMIF(SYS_4_3_Digitos!$M$5:$M$1682,N854,SYS_4_3_Digitos!$N$5:$N$1682)</f>
        <v>0</v>
      </c>
      <c r="P854" s="772"/>
    </row>
    <row r="855" spans="14:16">
      <c r="N855" s="781">
        <v>6852</v>
      </c>
      <c r="O855" s="662">
        <f>+SUMIF(SYS_4_3_Digitos!$M$5:$M$1682,N855,SYS_4_3_Digitos!$N$5:$N$1682)</f>
        <v>0</v>
      </c>
      <c r="P855" s="772"/>
    </row>
    <row r="856" spans="14:16">
      <c r="N856" s="781">
        <v>6853</v>
      </c>
      <c r="O856" s="662">
        <f>+SUMIF(SYS_4_3_Digitos!$M$5:$M$1682,N856,SYS_4_3_Digitos!$N$5:$N$1682)</f>
        <v>0</v>
      </c>
      <c r="P856" s="772"/>
    </row>
    <row r="857" spans="14:16">
      <c r="N857" s="781">
        <v>6854</v>
      </c>
      <c r="O857" s="662">
        <f>+SUMIF(SYS_4_3_Digitos!$M$5:$M$1682,N857,SYS_4_3_Digitos!$N$5:$N$1682)</f>
        <v>0</v>
      </c>
      <c r="P857" s="772"/>
    </row>
    <row r="858" spans="14:16">
      <c r="N858" s="781">
        <v>6855</v>
      </c>
      <c r="O858" s="662">
        <f>+SUMIF(SYS_4_3_Digitos!$M$5:$M$1682,N858,SYS_4_3_Digitos!$N$5:$N$1682)</f>
        <v>0</v>
      </c>
      <c r="P858" s="772"/>
    </row>
    <row r="859" spans="14:16">
      <c r="N859" s="781">
        <v>6856</v>
      </c>
      <c r="O859" s="662">
        <f>+SUMIF(SYS_4_3_Digitos!$M$5:$M$1682,N859,SYS_4_3_Digitos!$N$5:$N$1682)</f>
        <v>0</v>
      </c>
      <c r="P859" s="772"/>
    </row>
    <row r="860" spans="14:16">
      <c r="N860" s="781">
        <v>6857</v>
      </c>
      <c r="O860" s="662">
        <f>+SUMIF(SYS_4_3_Digitos!$M$5:$M$1682,N860,SYS_4_3_Digitos!$N$5:$N$1682)</f>
        <v>0</v>
      </c>
      <c r="P860" s="772"/>
    </row>
    <row r="861" spans="14:16">
      <c r="N861" s="781">
        <v>6858</v>
      </c>
      <c r="O861" s="662">
        <f>+SUMIF(SYS_4_3_Digitos!$M$5:$M$1682,N861,SYS_4_3_Digitos!$N$5:$N$1682)</f>
        <v>0</v>
      </c>
      <c r="P861" s="772"/>
    </row>
    <row r="862" spans="14:16">
      <c r="N862" s="781">
        <v>6859</v>
      </c>
      <c r="O862" s="662">
        <f>+SUMIF(SYS_4_3_Digitos!$M$5:$M$1682,N862,SYS_4_3_Digitos!$N$5:$N$1682)</f>
        <v>0</v>
      </c>
      <c r="P862" s="772"/>
    </row>
    <row r="863" spans="14:16">
      <c r="N863" s="781">
        <v>6860</v>
      </c>
      <c r="O863" s="662">
        <f>+SUMIF(SYS_4_3_Digitos!$M$5:$M$1682,N863,SYS_4_3_Digitos!$N$5:$N$1682)</f>
        <v>0</v>
      </c>
      <c r="P863" s="772"/>
    </row>
    <row r="864" spans="14:16">
      <c r="N864" s="781">
        <v>6861</v>
      </c>
      <c r="O864" s="662">
        <f>+SUMIF(SYS_4_3_Digitos!$M$5:$M$1682,N864,SYS_4_3_Digitos!$N$5:$N$1682)</f>
        <v>0</v>
      </c>
      <c r="P864" s="772"/>
    </row>
    <row r="865" spans="14:16">
      <c r="N865" s="781">
        <v>6862</v>
      </c>
      <c r="O865" s="662">
        <f>+SUMIF(SYS_4_3_Digitos!$M$5:$M$1682,N865,SYS_4_3_Digitos!$N$5:$N$1682)</f>
        <v>0</v>
      </c>
      <c r="P865" s="772"/>
    </row>
    <row r="866" spans="14:16">
      <c r="N866" s="781">
        <v>6863</v>
      </c>
      <c r="O866" s="662">
        <f>+SUMIF(SYS_4_3_Digitos!$M$5:$M$1682,N866,SYS_4_3_Digitos!$N$5:$N$1682)</f>
        <v>0</v>
      </c>
      <c r="P866" s="772"/>
    </row>
    <row r="867" spans="14:16">
      <c r="N867" s="781">
        <v>6864</v>
      </c>
      <c r="O867" s="662">
        <f>+SUMIF(SYS_4_3_Digitos!$M$5:$M$1682,N867,SYS_4_3_Digitos!$N$5:$N$1682)</f>
        <v>0</v>
      </c>
      <c r="P867" s="772"/>
    </row>
    <row r="868" spans="14:16">
      <c r="N868" s="781">
        <v>6865</v>
      </c>
      <c r="O868" s="662">
        <f>+SUMIF(SYS_4_3_Digitos!$M$5:$M$1682,N868,SYS_4_3_Digitos!$N$5:$N$1682)</f>
        <v>0</v>
      </c>
      <c r="P868" s="772"/>
    </row>
    <row r="869" spans="14:16">
      <c r="N869" s="781">
        <v>6866</v>
      </c>
      <c r="O869" s="662">
        <f>+SUMIF(SYS_4_3_Digitos!$M$5:$M$1682,N869,SYS_4_3_Digitos!$N$5:$N$1682)</f>
        <v>0</v>
      </c>
      <c r="P869" s="772"/>
    </row>
    <row r="870" spans="14:16">
      <c r="N870" s="781">
        <v>6867</v>
      </c>
      <c r="O870" s="662">
        <f>+SUMIF(SYS_4_3_Digitos!$M$5:$M$1682,N870,SYS_4_3_Digitos!$N$5:$N$1682)</f>
        <v>0</v>
      </c>
      <c r="P870" s="772"/>
    </row>
    <row r="871" spans="14:16">
      <c r="N871" s="781">
        <v>6868</v>
      </c>
      <c r="O871" s="662">
        <f>+SUMIF(SYS_4_3_Digitos!$M$5:$M$1682,N871,SYS_4_3_Digitos!$N$5:$N$1682)</f>
        <v>0</v>
      </c>
      <c r="P871" s="772"/>
    </row>
    <row r="872" spans="14:16">
      <c r="N872" s="781">
        <v>6869</v>
      </c>
      <c r="O872" s="662">
        <f>+SUMIF(SYS_4_3_Digitos!$M$5:$M$1682,N872,SYS_4_3_Digitos!$N$5:$N$1682)</f>
        <v>0</v>
      </c>
      <c r="P872" s="772"/>
    </row>
    <row r="873" spans="14:16">
      <c r="N873" s="781">
        <v>6870</v>
      </c>
      <c r="O873" s="662">
        <f>+SUMIF(SYS_4_3_Digitos!$M$5:$M$1682,N873,SYS_4_3_Digitos!$N$5:$N$1682)</f>
        <v>0</v>
      </c>
      <c r="P873" s="772"/>
    </row>
    <row r="874" spans="14:16">
      <c r="N874" s="781">
        <v>6871</v>
      </c>
      <c r="O874" s="662">
        <f>+SUMIF(SYS_4_3_Digitos!$M$5:$M$1682,N874,SYS_4_3_Digitos!$N$5:$N$1682)</f>
        <v>0</v>
      </c>
      <c r="P874" s="772"/>
    </row>
    <row r="875" spans="14:16">
      <c r="N875" s="781">
        <v>6872</v>
      </c>
      <c r="O875" s="662">
        <f>+SUMIF(SYS_4_3_Digitos!$M$5:$M$1682,N875,SYS_4_3_Digitos!$N$5:$N$1682)</f>
        <v>0</v>
      </c>
      <c r="P875" s="772"/>
    </row>
    <row r="876" spans="14:16">
      <c r="N876" s="781">
        <v>6873</v>
      </c>
      <c r="O876" s="662">
        <f>+SUMIF(SYS_4_3_Digitos!$M$5:$M$1682,N876,SYS_4_3_Digitos!$N$5:$N$1682)</f>
        <v>0</v>
      </c>
      <c r="P876" s="772"/>
    </row>
    <row r="877" spans="14:16">
      <c r="N877" s="781">
        <v>6874</v>
      </c>
      <c r="O877" s="662">
        <f>+SUMIF(SYS_4_3_Digitos!$M$5:$M$1682,N877,SYS_4_3_Digitos!$N$5:$N$1682)</f>
        <v>0</v>
      </c>
      <c r="P877" s="772"/>
    </row>
    <row r="878" spans="14:16">
      <c r="N878" s="781">
        <v>6875</v>
      </c>
      <c r="O878" s="662">
        <f>+SUMIF(SYS_4_3_Digitos!$M$5:$M$1682,N878,SYS_4_3_Digitos!$N$5:$N$1682)</f>
        <v>0</v>
      </c>
      <c r="P878" s="772"/>
    </row>
    <row r="879" spans="14:16">
      <c r="N879" s="781">
        <v>6876</v>
      </c>
      <c r="O879" s="662">
        <f>+SUMIF(SYS_4_3_Digitos!$M$5:$M$1682,N879,SYS_4_3_Digitos!$N$5:$N$1682)</f>
        <v>0</v>
      </c>
      <c r="P879" s="772"/>
    </row>
    <row r="880" spans="14:16">
      <c r="N880" s="781">
        <v>6877</v>
      </c>
      <c r="O880" s="662">
        <f>+SUMIF(SYS_4_3_Digitos!$M$5:$M$1682,N880,SYS_4_3_Digitos!$N$5:$N$1682)</f>
        <v>0</v>
      </c>
      <c r="P880" s="772"/>
    </row>
    <row r="881" spans="14:16">
      <c r="N881" s="781">
        <v>6878</v>
      </c>
      <c r="O881" s="662">
        <f>+SUMIF(SYS_4_3_Digitos!$M$5:$M$1682,N881,SYS_4_3_Digitos!$N$5:$N$1682)</f>
        <v>0</v>
      </c>
      <c r="P881" s="772"/>
    </row>
    <row r="882" spans="14:16">
      <c r="N882" s="781">
        <v>6879</v>
      </c>
      <c r="O882" s="662">
        <f>+SUMIF(SYS_4_3_Digitos!$M$5:$M$1682,N882,SYS_4_3_Digitos!$N$5:$N$1682)</f>
        <v>0</v>
      </c>
      <c r="P882" s="772"/>
    </row>
    <row r="883" spans="14:16">
      <c r="N883" s="781">
        <v>6880</v>
      </c>
      <c r="O883" s="662">
        <f>+SUMIF(SYS_4_3_Digitos!$M$5:$M$1682,N883,SYS_4_3_Digitos!$N$5:$N$1682)</f>
        <v>0</v>
      </c>
      <c r="P883" s="772"/>
    </row>
    <row r="884" spans="14:16">
      <c r="N884" s="781">
        <v>6881</v>
      </c>
      <c r="O884" s="662">
        <f>+SUMIF(SYS_4_3_Digitos!$M$5:$M$1682,N884,SYS_4_3_Digitos!$N$5:$N$1682)</f>
        <v>0</v>
      </c>
      <c r="P884" s="772"/>
    </row>
    <row r="885" spans="14:16">
      <c r="N885" s="781">
        <v>6882</v>
      </c>
      <c r="O885" s="662">
        <f>+SUMIF(SYS_4_3_Digitos!$M$5:$M$1682,N885,SYS_4_3_Digitos!$N$5:$N$1682)</f>
        <v>0</v>
      </c>
      <c r="P885" s="772"/>
    </row>
    <row r="886" spans="14:16">
      <c r="N886" s="781">
        <v>6883</v>
      </c>
      <c r="O886" s="662">
        <f>+SUMIF(SYS_4_3_Digitos!$M$5:$M$1682,N886,SYS_4_3_Digitos!$N$5:$N$1682)</f>
        <v>0</v>
      </c>
      <c r="P886" s="772"/>
    </row>
    <row r="887" spans="14:16">
      <c r="N887" s="781">
        <v>6884</v>
      </c>
      <c r="O887" s="662">
        <f>+SUMIF(SYS_4_3_Digitos!$M$5:$M$1682,N887,SYS_4_3_Digitos!$N$5:$N$1682)</f>
        <v>0</v>
      </c>
      <c r="P887" s="772"/>
    </row>
    <row r="888" spans="14:16">
      <c r="N888" s="781">
        <v>6885</v>
      </c>
      <c r="O888" s="662">
        <f>+SUMIF(SYS_4_3_Digitos!$M$5:$M$1682,N888,SYS_4_3_Digitos!$N$5:$N$1682)</f>
        <v>0</v>
      </c>
      <c r="P888" s="772"/>
    </row>
    <row r="889" spans="14:16">
      <c r="N889" s="781">
        <v>6886</v>
      </c>
      <c r="O889" s="662">
        <f>+SUMIF(SYS_4_3_Digitos!$M$5:$M$1682,N889,SYS_4_3_Digitos!$N$5:$N$1682)</f>
        <v>0</v>
      </c>
      <c r="P889" s="772"/>
    </row>
    <row r="890" spans="14:16">
      <c r="N890" s="781">
        <v>6887</v>
      </c>
      <c r="O890" s="662">
        <f>+SUMIF(SYS_4_3_Digitos!$M$5:$M$1682,N890,SYS_4_3_Digitos!$N$5:$N$1682)</f>
        <v>0</v>
      </c>
      <c r="P890" s="772"/>
    </row>
    <row r="891" spans="14:16">
      <c r="N891" s="781">
        <v>6888</v>
      </c>
      <c r="O891" s="662">
        <f>+SUMIF(SYS_4_3_Digitos!$M$5:$M$1682,N891,SYS_4_3_Digitos!$N$5:$N$1682)</f>
        <v>0</v>
      </c>
      <c r="P891" s="772"/>
    </row>
    <row r="892" spans="14:16">
      <c r="N892" s="781">
        <v>6889</v>
      </c>
      <c r="O892" s="662">
        <f>+SUMIF(SYS_4_3_Digitos!$M$5:$M$1682,N892,SYS_4_3_Digitos!$N$5:$N$1682)</f>
        <v>0</v>
      </c>
      <c r="P892" s="772"/>
    </row>
    <row r="893" spans="14:16">
      <c r="N893" s="781">
        <v>6890</v>
      </c>
      <c r="O893" s="662">
        <f>+SUMIF(SYS_4_3_Digitos!$M$5:$M$1682,N893,SYS_4_3_Digitos!$N$5:$N$1682)</f>
        <v>0</v>
      </c>
      <c r="P893" s="772"/>
    </row>
    <row r="894" spans="14:16">
      <c r="N894" s="781">
        <v>6891</v>
      </c>
      <c r="O894" s="662">
        <f>+SUMIF(SYS_4_3_Digitos!$M$5:$M$1682,N894,SYS_4_3_Digitos!$N$5:$N$1682)</f>
        <v>0</v>
      </c>
      <c r="P894" s="772"/>
    </row>
    <row r="895" spans="14:16">
      <c r="N895" s="781">
        <v>6892</v>
      </c>
      <c r="O895" s="662">
        <f>+SUMIF(SYS_4_3_Digitos!$M$5:$M$1682,N895,SYS_4_3_Digitos!$N$5:$N$1682)</f>
        <v>0</v>
      </c>
      <c r="P895" s="772"/>
    </row>
    <row r="896" spans="14:16">
      <c r="N896" s="781">
        <v>6893</v>
      </c>
      <c r="O896" s="662">
        <f>+SUMIF(SYS_4_3_Digitos!$M$5:$M$1682,N896,SYS_4_3_Digitos!$N$5:$N$1682)</f>
        <v>0</v>
      </c>
      <c r="P896" s="772"/>
    </row>
    <row r="897" spans="14:16">
      <c r="N897" s="781">
        <v>6894</v>
      </c>
      <c r="O897" s="662">
        <f>+SUMIF(SYS_4_3_Digitos!$M$5:$M$1682,N897,SYS_4_3_Digitos!$N$5:$N$1682)</f>
        <v>0</v>
      </c>
      <c r="P897" s="772"/>
    </row>
    <row r="898" spans="14:16">
      <c r="N898" s="781">
        <v>6895</v>
      </c>
      <c r="O898" s="662">
        <f>+SUMIF(SYS_4_3_Digitos!$M$5:$M$1682,N898,SYS_4_3_Digitos!$N$5:$N$1682)</f>
        <v>0</v>
      </c>
      <c r="P898" s="772"/>
    </row>
    <row r="899" spans="14:16">
      <c r="N899" s="781">
        <v>6896</v>
      </c>
      <c r="O899" s="662">
        <f>+SUMIF(SYS_4_3_Digitos!$M$5:$M$1682,N899,SYS_4_3_Digitos!$N$5:$N$1682)</f>
        <v>0</v>
      </c>
      <c r="P899" s="772"/>
    </row>
    <row r="900" spans="14:16">
      <c r="N900" s="781">
        <v>6897</v>
      </c>
      <c r="O900" s="662">
        <f>+SUMIF(SYS_4_3_Digitos!$M$5:$M$1682,N900,SYS_4_3_Digitos!$N$5:$N$1682)</f>
        <v>0</v>
      </c>
      <c r="P900" s="772"/>
    </row>
    <row r="901" spans="14:16">
      <c r="N901" s="781">
        <v>6898</v>
      </c>
      <c r="O901" s="662">
        <f>+SUMIF(SYS_4_3_Digitos!$M$5:$M$1682,N901,SYS_4_3_Digitos!$N$5:$N$1682)</f>
        <v>0</v>
      </c>
      <c r="P901" s="772"/>
    </row>
    <row r="902" spans="14:16">
      <c r="N902" s="781">
        <v>6899</v>
      </c>
      <c r="O902" s="662">
        <f>+SUMIF(SYS_4_3_Digitos!$M$5:$M$1682,N902,SYS_4_3_Digitos!$N$5:$N$1682)</f>
        <v>0</v>
      </c>
      <c r="P902" s="772"/>
    </row>
    <row r="903" spans="14:16">
      <c r="N903" s="776" t="s">
        <v>206</v>
      </c>
      <c r="O903" s="787">
        <f ca="1">SUM(O904:O913)</f>
        <v>0</v>
      </c>
      <c r="P903" s="772"/>
    </row>
    <row r="904" spans="14:16">
      <c r="N904" s="781">
        <v>7460</v>
      </c>
      <c r="O904" s="662">
        <f ca="1">+SUMIF(SYS_4_3_Digitos!$M$5:$M$1682,N904,SYS_4_3_Digitos!$N$5:$N$1682)</f>
        <v>0</v>
      </c>
      <c r="P904" s="772"/>
    </row>
    <row r="905" spans="14:16">
      <c r="N905" s="781">
        <v>7461</v>
      </c>
      <c r="O905" s="662">
        <f>+SUMIF(SYS_4_3_Digitos!$M$5:$M$1682,N905,SYS_4_3_Digitos!$N$5:$N$1682)</f>
        <v>0</v>
      </c>
      <c r="P905" s="772">
        <v>746</v>
      </c>
    </row>
    <row r="906" spans="14:16">
      <c r="N906" s="781">
        <v>7462</v>
      </c>
      <c r="O906" s="662">
        <f>+SUMIF(SYS_4_3_Digitos!$M$5:$M$1682,N906,SYS_4_3_Digitos!$N$5:$N$1682)</f>
        <v>0</v>
      </c>
      <c r="P906" s="772"/>
    </row>
    <row r="907" spans="14:16">
      <c r="N907" s="781">
        <v>7463</v>
      </c>
      <c r="O907" s="662">
        <f>+SUMIF(SYS_4_3_Digitos!$M$5:$M$1682,N907,SYS_4_3_Digitos!$N$5:$N$1682)</f>
        <v>0</v>
      </c>
      <c r="P907" s="772"/>
    </row>
    <row r="908" spans="14:16">
      <c r="N908" s="781">
        <v>7464</v>
      </c>
      <c r="O908" s="662">
        <f>+SUMIF(SYS_4_3_Digitos!$M$5:$M$1682,N908,SYS_4_3_Digitos!$N$5:$N$1682)</f>
        <v>0</v>
      </c>
      <c r="P908" s="772"/>
    </row>
    <row r="909" spans="14:16">
      <c r="N909" s="781">
        <v>7465</v>
      </c>
      <c r="O909" s="662">
        <f>+SUMIF(SYS_4_3_Digitos!$M$5:$M$1682,N909,SYS_4_3_Digitos!$N$5:$N$1682)</f>
        <v>0</v>
      </c>
      <c r="P909" s="772"/>
    </row>
    <row r="910" spans="14:16">
      <c r="N910" s="781">
        <v>7466</v>
      </c>
      <c r="O910" s="662">
        <f>+SUMIF(SYS_4_3_Digitos!$M$5:$M$1682,N910,SYS_4_3_Digitos!$N$5:$N$1682)</f>
        <v>0</v>
      </c>
      <c r="P910" s="772"/>
    </row>
    <row r="911" spans="14:16">
      <c r="N911" s="781">
        <v>7467</v>
      </c>
      <c r="O911" s="662">
        <f>+SUMIF(SYS_4_3_Digitos!$M$5:$M$1682,N911,SYS_4_3_Digitos!$N$5:$N$1682)</f>
        <v>0</v>
      </c>
      <c r="P911" s="772"/>
    </row>
    <row r="912" spans="14:16">
      <c r="N912" s="781">
        <v>7468</v>
      </c>
      <c r="O912" s="662">
        <f>+SUMIF(SYS_4_3_Digitos!$M$5:$M$1682,N912,SYS_4_3_Digitos!$N$5:$N$1682)</f>
        <v>0</v>
      </c>
      <c r="P912" s="772"/>
    </row>
    <row r="913" spans="14:16">
      <c r="N913" s="781">
        <v>7469</v>
      </c>
      <c r="O913" s="662">
        <f>+SUMIF(SYS_4_3_Digitos!$M$5:$M$1682,N913,SYS_4_3_Digitos!$N$5:$N$1682)</f>
        <v>0</v>
      </c>
      <c r="P913" s="772"/>
    </row>
    <row r="914" spans="14:16">
      <c r="N914" s="776" t="s">
        <v>207</v>
      </c>
      <c r="O914" s="787">
        <f>SUM(O915:O918)</f>
        <v>0</v>
      </c>
      <c r="P914" s="772"/>
    </row>
    <row r="915" spans="14:16">
      <c r="N915" s="781">
        <v>7951</v>
      </c>
      <c r="O915" s="662">
        <f>+SUMIF(SYS_4_3_Digitos!$M$5:$M$1682,N915,SYS_4_3_Digitos!$N$5:$N$1682)</f>
        <v>0</v>
      </c>
      <c r="P915" s="772"/>
    </row>
    <row r="916" spans="14:16">
      <c r="N916" s="781">
        <v>7952</v>
      </c>
      <c r="O916" s="662">
        <f>+SUMIF(SYS_4_3_Digitos!$M$5:$M$1682,N916,SYS_4_3_Digitos!$N$5:$N$1682)</f>
        <v>0</v>
      </c>
      <c r="P916" s="772" t="s">
        <v>241</v>
      </c>
    </row>
    <row r="917" spans="14:16">
      <c r="N917" s="781">
        <v>7955</v>
      </c>
      <c r="O917" s="662">
        <f>+SUMIF(SYS_4_3_Digitos!$M$5:$M$1682,N917,SYS_4_3_Digitos!$N$5:$N$1682)</f>
        <v>0</v>
      </c>
      <c r="P917" s="772"/>
    </row>
    <row r="918" spans="14:16">
      <c r="N918" s="781">
        <v>7956</v>
      </c>
      <c r="O918" s="662">
        <f>+SUMIF(SYS_4_3_Digitos!$M$5:$M$1682,N918,SYS_4_3_Digitos!$N$5:$N$1682)</f>
        <v>0</v>
      </c>
      <c r="P918" s="772"/>
    </row>
    <row r="919" spans="14:16">
      <c r="N919" s="776" t="s">
        <v>208</v>
      </c>
      <c r="O919" s="771"/>
      <c r="P919" s="772"/>
    </row>
    <row r="920" spans="14:16">
      <c r="N920" s="779" t="s">
        <v>209</v>
      </c>
      <c r="O920" s="788">
        <f ca="1">SUM(O921:O980)</f>
        <v>0</v>
      </c>
      <c r="P920" s="772"/>
    </row>
    <row r="921" spans="14:16">
      <c r="N921" s="781">
        <v>6900</v>
      </c>
      <c r="O921" s="662">
        <f ca="1">+SUMIF(SYS_4_3_Digitos!$M$5:$M$1682,N921,SYS_4_3_Digitos!$N$5:$N$1682)</f>
        <v>0</v>
      </c>
      <c r="P921" s="772"/>
    </row>
    <row r="922" spans="14:16">
      <c r="N922" s="781">
        <v>6901</v>
      </c>
      <c r="O922" s="662">
        <f>+SUMIF(SYS_4_3_Digitos!$M$5:$M$1682,N922,SYS_4_3_Digitos!$N$5:$N$1682)</f>
        <v>0</v>
      </c>
      <c r="P922" s="772" t="s">
        <v>242</v>
      </c>
    </row>
    <row r="923" spans="14:16">
      <c r="N923" s="781">
        <v>6902</v>
      </c>
      <c r="O923" s="662">
        <f>+SUMIF(SYS_4_3_Digitos!$M$5:$M$1682,N923,SYS_4_3_Digitos!$N$5:$N$1682)</f>
        <v>0</v>
      </c>
      <c r="P923" s="772"/>
    </row>
    <row r="924" spans="14:16">
      <c r="N924" s="781">
        <v>6903</v>
      </c>
      <c r="O924" s="662">
        <f>+SUMIF(SYS_4_3_Digitos!$M$5:$M$1682,N924,SYS_4_3_Digitos!$N$5:$N$1682)</f>
        <v>0</v>
      </c>
      <c r="P924" s="772"/>
    </row>
    <row r="925" spans="14:16">
      <c r="N925" s="781">
        <v>6904</v>
      </c>
      <c r="O925" s="662">
        <f>+SUMIF(SYS_4_3_Digitos!$M$5:$M$1682,N925,SYS_4_3_Digitos!$N$5:$N$1682)</f>
        <v>0</v>
      </c>
      <c r="P925" s="772"/>
    </row>
    <row r="926" spans="14:16">
      <c r="N926" s="781">
        <v>6905</v>
      </c>
      <c r="O926" s="662">
        <f>+SUMIF(SYS_4_3_Digitos!$M$5:$M$1682,N926,SYS_4_3_Digitos!$N$5:$N$1682)</f>
        <v>0</v>
      </c>
      <c r="P926" s="772"/>
    </row>
    <row r="927" spans="14:16">
      <c r="N927" s="781">
        <v>6906</v>
      </c>
      <c r="O927" s="662">
        <f>+SUMIF(SYS_4_3_Digitos!$M$5:$M$1682,N927,SYS_4_3_Digitos!$N$5:$N$1682)</f>
        <v>0</v>
      </c>
      <c r="P927" s="772"/>
    </row>
    <row r="928" spans="14:16">
      <c r="N928" s="781">
        <v>6907</v>
      </c>
      <c r="O928" s="662">
        <f>+SUMIF(SYS_4_3_Digitos!$M$5:$M$1682,N928,SYS_4_3_Digitos!$N$5:$N$1682)</f>
        <v>0</v>
      </c>
      <c r="P928" s="772"/>
    </row>
    <row r="929" spans="14:16">
      <c r="N929" s="781">
        <v>6908</v>
      </c>
      <c r="O929" s="662">
        <f>+SUMIF(SYS_4_3_Digitos!$M$5:$M$1682,N929,SYS_4_3_Digitos!$N$5:$N$1682)</f>
        <v>0</v>
      </c>
      <c r="P929" s="772"/>
    </row>
    <row r="930" spans="14:16">
      <c r="N930" s="781">
        <v>6909</v>
      </c>
      <c r="O930" s="662">
        <f>+SUMIF(SYS_4_3_Digitos!$M$5:$M$1682,N930,SYS_4_3_Digitos!$N$5:$N$1682)</f>
        <v>0</v>
      </c>
      <c r="P930" s="772"/>
    </row>
    <row r="931" spans="14:16">
      <c r="N931" s="781">
        <v>6910</v>
      </c>
      <c r="O931" s="662">
        <f ca="1">+SUMIF(SYS_4_3_Digitos!$M$5:$M$1682,N931,SYS_4_3_Digitos!$N$5:$N$1682)</f>
        <v>0</v>
      </c>
      <c r="P931" s="772"/>
    </row>
    <row r="932" spans="14:16">
      <c r="N932" s="781">
        <v>6911</v>
      </c>
      <c r="O932" s="662">
        <f>+SUMIF(SYS_4_3_Digitos!$M$5:$M$1682,N932,SYS_4_3_Digitos!$N$5:$N$1682)</f>
        <v>0</v>
      </c>
      <c r="P932" s="772"/>
    </row>
    <row r="933" spans="14:16">
      <c r="N933" s="781">
        <v>6912</v>
      </c>
      <c r="O933" s="662">
        <f>+SUMIF(SYS_4_3_Digitos!$M$5:$M$1682,N933,SYS_4_3_Digitos!$N$5:$N$1682)</f>
        <v>0</v>
      </c>
      <c r="P933" s="772"/>
    </row>
    <row r="934" spans="14:16">
      <c r="N934" s="781">
        <v>6913</v>
      </c>
      <c r="O934" s="662">
        <f>+SUMIF(SYS_4_3_Digitos!$M$5:$M$1682,N934,SYS_4_3_Digitos!$N$5:$N$1682)</f>
        <v>0</v>
      </c>
      <c r="P934" s="772"/>
    </row>
    <row r="935" spans="14:16">
      <c r="N935" s="781">
        <v>6914</v>
      </c>
      <c r="O935" s="662">
        <f>+SUMIF(SYS_4_3_Digitos!$M$5:$M$1682,N935,SYS_4_3_Digitos!$N$5:$N$1682)</f>
        <v>0</v>
      </c>
      <c r="P935" s="772"/>
    </row>
    <row r="936" spans="14:16">
      <c r="N936" s="781">
        <v>6915</v>
      </c>
      <c r="O936" s="662">
        <f>+SUMIF(SYS_4_3_Digitos!$M$5:$M$1682,N936,SYS_4_3_Digitos!$N$5:$N$1682)</f>
        <v>0</v>
      </c>
      <c r="P936" s="772"/>
    </row>
    <row r="937" spans="14:16">
      <c r="N937" s="781">
        <v>6916</v>
      </c>
      <c r="O937" s="662">
        <f>+SUMIF(SYS_4_3_Digitos!$M$5:$M$1682,N937,SYS_4_3_Digitos!$N$5:$N$1682)</f>
        <v>0</v>
      </c>
      <c r="P937" s="772"/>
    </row>
    <row r="938" spans="14:16">
      <c r="N938" s="781">
        <v>6917</v>
      </c>
      <c r="O938" s="662">
        <f>+SUMIF(SYS_4_3_Digitos!$M$5:$M$1682,N938,SYS_4_3_Digitos!$N$5:$N$1682)</f>
        <v>0</v>
      </c>
      <c r="P938" s="772"/>
    </row>
    <row r="939" spans="14:16">
      <c r="N939" s="781">
        <v>6918</v>
      </c>
      <c r="O939" s="662">
        <f>+SUMIF(SYS_4_3_Digitos!$M$5:$M$1682,N939,SYS_4_3_Digitos!$N$5:$N$1682)</f>
        <v>0</v>
      </c>
      <c r="P939" s="772"/>
    </row>
    <row r="940" spans="14:16">
      <c r="N940" s="781">
        <v>6919</v>
      </c>
      <c r="O940" s="662">
        <f>+SUMIF(SYS_4_3_Digitos!$M$5:$M$1682,N940,SYS_4_3_Digitos!$N$5:$N$1682)</f>
        <v>0</v>
      </c>
      <c r="P940" s="772"/>
    </row>
    <row r="941" spans="14:16">
      <c r="N941" s="781">
        <v>6920</v>
      </c>
      <c r="O941" s="662">
        <f ca="1">+SUMIF(SYS_4_3_Digitos!$M$5:$M$1682,N941,SYS_4_3_Digitos!$N$5:$N$1682)</f>
        <v>0</v>
      </c>
      <c r="P941" s="772"/>
    </row>
    <row r="942" spans="14:16">
      <c r="N942" s="781">
        <v>6921</v>
      </c>
      <c r="O942" s="662">
        <f>+SUMIF(SYS_4_3_Digitos!$M$5:$M$1682,N942,SYS_4_3_Digitos!$N$5:$N$1682)</f>
        <v>0</v>
      </c>
      <c r="P942" s="772"/>
    </row>
    <row r="943" spans="14:16">
      <c r="N943" s="781">
        <v>6922</v>
      </c>
      <c r="O943" s="662">
        <f>+SUMIF(SYS_4_3_Digitos!$M$5:$M$1682,N943,SYS_4_3_Digitos!$N$5:$N$1682)</f>
        <v>0</v>
      </c>
      <c r="P943" s="772"/>
    </row>
    <row r="944" spans="14:16">
      <c r="N944" s="781">
        <v>6923</v>
      </c>
      <c r="O944" s="662">
        <f>+SUMIF(SYS_4_3_Digitos!$M$5:$M$1682,N944,SYS_4_3_Digitos!$N$5:$N$1682)</f>
        <v>0</v>
      </c>
      <c r="P944" s="772"/>
    </row>
    <row r="945" spans="14:16">
      <c r="N945" s="781">
        <v>6924</v>
      </c>
      <c r="O945" s="662">
        <f>+SUMIF(SYS_4_3_Digitos!$M$5:$M$1682,N945,SYS_4_3_Digitos!$N$5:$N$1682)</f>
        <v>0</v>
      </c>
      <c r="P945" s="772"/>
    </row>
    <row r="946" spans="14:16">
      <c r="N946" s="781">
        <v>6925</v>
      </c>
      <c r="O946" s="662">
        <f>+SUMIF(SYS_4_3_Digitos!$M$5:$M$1682,N946,SYS_4_3_Digitos!$N$5:$N$1682)</f>
        <v>0</v>
      </c>
      <c r="P946" s="772"/>
    </row>
    <row r="947" spans="14:16">
      <c r="N947" s="781">
        <v>6926</v>
      </c>
      <c r="O947" s="662">
        <f>+SUMIF(SYS_4_3_Digitos!$M$5:$M$1682,N947,SYS_4_3_Digitos!$N$5:$N$1682)</f>
        <v>0</v>
      </c>
      <c r="P947" s="772"/>
    </row>
    <row r="948" spans="14:16">
      <c r="N948" s="781">
        <v>6927</v>
      </c>
      <c r="O948" s="662">
        <f>+SUMIF(SYS_4_3_Digitos!$M$5:$M$1682,N948,SYS_4_3_Digitos!$N$5:$N$1682)</f>
        <v>0</v>
      </c>
      <c r="P948" s="772"/>
    </row>
    <row r="949" spans="14:16">
      <c r="N949" s="781">
        <v>6928</v>
      </c>
      <c r="O949" s="662">
        <f>+SUMIF(SYS_4_3_Digitos!$M$5:$M$1682,N949,SYS_4_3_Digitos!$N$5:$N$1682)</f>
        <v>0</v>
      </c>
      <c r="P949" s="772"/>
    </row>
    <row r="950" spans="14:16">
      <c r="N950" s="781">
        <v>6929</v>
      </c>
      <c r="O950" s="662">
        <f>+SUMIF(SYS_4_3_Digitos!$M$5:$M$1682,N950,SYS_4_3_Digitos!$N$5:$N$1682)</f>
        <v>0</v>
      </c>
      <c r="P950" s="772"/>
    </row>
    <row r="951" spans="14:16">
      <c r="N951" s="781">
        <v>7900</v>
      </c>
      <c r="O951" s="662">
        <f ca="1">+SUMIF(SYS_4_3_Digitos!$M$5:$M$1682,N951,SYS_4_3_Digitos!$N$5:$N$1682)</f>
        <v>0</v>
      </c>
      <c r="P951" s="772"/>
    </row>
    <row r="952" spans="14:16">
      <c r="N952" s="781">
        <v>7901</v>
      </c>
      <c r="O952" s="662">
        <f>+SUMIF(SYS_4_3_Digitos!$M$5:$M$1682,N952,SYS_4_3_Digitos!$N$5:$N$1682)</f>
        <v>0</v>
      </c>
      <c r="P952" s="772"/>
    </row>
    <row r="953" spans="14:16">
      <c r="N953" s="781">
        <v>7902</v>
      </c>
      <c r="O953" s="662">
        <f>+SUMIF(SYS_4_3_Digitos!$M$5:$M$1682,N953,SYS_4_3_Digitos!$N$5:$N$1682)</f>
        <v>0</v>
      </c>
      <c r="P953" s="772"/>
    </row>
    <row r="954" spans="14:16">
      <c r="N954" s="781">
        <v>7903</v>
      </c>
      <c r="O954" s="662">
        <f>+SUMIF(SYS_4_3_Digitos!$M$5:$M$1682,N954,SYS_4_3_Digitos!$N$5:$N$1682)</f>
        <v>0</v>
      </c>
      <c r="P954" s="772"/>
    </row>
    <row r="955" spans="14:16">
      <c r="N955" s="781">
        <v>7904</v>
      </c>
      <c r="O955" s="662">
        <f>+SUMIF(SYS_4_3_Digitos!$M$5:$M$1682,N955,SYS_4_3_Digitos!$N$5:$N$1682)</f>
        <v>0</v>
      </c>
      <c r="P955" s="772"/>
    </row>
    <row r="956" spans="14:16">
      <c r="N956" s="781">
        <v>7905</v>
      </c>
      <c r="O956" s="662">
        <f>+SUMIF(SYS_4_3_Digitos!$M$5:$M$1682,N956,SYS_4_3_Digitos!$N$5:$N$1682)</f>
        <v>0</v>
      </c>
      <c r="P956" s="772"/>
    </row>
    <row r="957" spans="14:16">
      <c r="N957" s="781">
        <v>7906</v>
      </c>
      <c r="O957" s="662">
        <f>+SUMIF(SYS_4_3_Digitos!$M$5:$M$1682,N957,SYS_4_3_Digitos!$N$5:$N$1682)</f>
        <v>0</v>
      </c>
      <c r="P957" s="772"/>
    </row>
    <row r="958" spans="14:16">
      <c r="N958" s="781">
        <v>7907</v>
      </c>
      <c r="O958" s="662">
        <f>+SUMIF(SYS_4_3_Digitos!$M$5:$M$1682,N958,SYS_4_3_Digitos!$N$5:$N$1682)</f>
        <v>0</v>
      </c>
      <c r="P958" s="772"/>
    </row>
    <row r="959" spans="14:16">
      <c r="N959" s="781">
        <v>7908</v>
      </c>
      <c r="O959" s="662">
        <f>+SUMIF(SYS_4_3_Digitos!$M$5:$M$1682,N959,SYS_4_3_Digitos!$N$5:$N$1682)</f>
        <v>0</v>
      </c>
      <c r="P959" s="772"/>
    </row>
    <row r="960" spans="14:16">
      <c r="N960" s="781">
        <v>7909</v>
      </c>
      <c r="O960" s="662">
        <f>+SUMIF(SYS_4_3_Digitos!$M$5:$M$1682,N960,SYS_4_3_Digitos!$N$5:$N$1682)</f>
        <v>0</v>
      </c>
      <c r="P960" s="772"/>
    </row>
    <row r="961" spans="14:16">
      <c r="N961" s="781">
        <v>7910</v>
      </c>
      <c r="O961" s="662">
        <f ca="1">+SUMIF(SYS_4_3_Digitos!$M$5:$M$1682,N961,SYS_4_3_Digitos!$N$5:$N$1682)</f>
        <v>0</v>
      </c>
      <c r="P961" s="772"/>
    </row>
    <row r="962" spans="14:16">
      <c r="N962" s="781">
        <v>7911</v>
      </c>
      <c r="O962" s="662">
        <f>+SUMIF(SYS_4_3_Digitos!$M$5:$M$1682,N962,SYS_4_3_Digitos!$N$5:$N$1682)</f>
        <v>0</v>
      </c>
      <c r="P962" s="772"/>
    </row>
    <row r="963" spans="14:16">
      <c r="N963" s="781">
        <v>7912</v>
      </c>
      <c r="O963" s="662">
        <f>+SUMIF(SYS_4_3_Digitos!$M$5:$M$1682,N963,SYS_4_3_Digitos!$N$5:$N$1682)</f>
        <v>0</v>
      </c>
      <c r="P963" s="772"/>
    </row>
    <row r="964" spans="14:16">
      <c r="N964" s="781">
        <v>7913</v>
      </c>
      <c r="O964" s="662">
        <f>+SUMIF(SYS_4_3_Digitos!$M$5:$M$1682,N964,SYS_4_3_Digitos!$N$5:$N$1682)</f>
        <v>0</v>
      </c>
      <c r="P964" s="772"/>
    </row>
    <row r="965" spans="14:16">
      <c r="N965" s="781">
        <v>7914</v>
      </c>
      <c r="O965" s="662">
        <f>+SUMIF(SYS_4_3_Digitos!$M$5:$M$1682,N965,SYS_4_3_Digitos!$N$5:$N$1682)</f>
        <v>0</v>
      </c>
      <c r="P965" s="772"/>
    </row>
    <row r="966" spans="14:16">
      <c r="N966" s="781">
        <v>7915</v>
      </c>
      <c r="O966" s="662">
        <f>+SUMIF(SYS_4_3_Digitos!$M$5:$M$1682,N966,SYS_4_3_Digitos!$N$5:$N$1682)</f>
        <v>0</v>
      </c>
      <c r="P966" s="772"/>
    </row>
    <row r="967" spans="14:16">
      <c r="N967" s="781">
        <v>7916</v>
      </c>
      <c r="O967" s="662">
        <f>+SUMIF(SYS_4_3_Digitos!$M$5:$M$1682,N967,SYS_4_3_Digitos!$N$5:$N$1682)</f>
        <v>0</v>
      </c>
      <c r="P967" s="772"/>
    </row>
    <row r="968" spans="14:16">
      <c r="N968" s="781">
        <v>7917</v>
      </c>
      <c r="O968" s="662">
        <f>+SUMIF(SYS_4_3_Digitos!$M$5:$M$1682,N968,SYS_4_3_Digitos!$N$5:$N$1682)</f>
        <v>0</v>
      </c>
      <c r="P968" s="772"/>
    </row>
    <row r="969" spans="14:16">
      <c r="N969" s="781">
        <v>7918</v>
      </c>
      <c r="O969" s="662">
        <f>+SUMIF(SYS_4_3_Digitos!$M$5:$M$1682,N969,SYS_4_3_Digitos!$N$5:$N$1682)</f>
        <v>0</v>
      </c>
      <c r="P969" s="772"/>
    </row>
    <row r="970" spans="14:16">
      <c r="N970" s="781">
        <v>7919</v>
      </c>
      <c r="O970" s="662">
        <f>+SUMIF(SYS_4_3_Digitos!$M$5:$M$1682,N970,SYS_4_3_Digitos!$N$5:$N$1682)</f>
        <v>0</v>
      </c>
      <c r="P970" s="772"/>
    </row>
    <row r="971" spans="14:16">
      <c r="N971" s="781">
        <v>7920</v>
      </c>
      <c r="O971" s="662">
        <f ca="1">+SUMIF(SYS_4_3_Digitos!$M$5:$M$1682,N971,SYS_4_3_Digitos!$N$5:$N$1682)</f>
        <v>0</v>
      </c>
      <c r="P971" s="772"/>
    </row>
    <row r="972" spans="14:16">
      <c r="N972" s="781">
        <v>7921</v>
      </c>
      <c r="O972" s="662">
        <f>+SUMIF(SYS_4_3_Digitos!$M$5:$M$1682,N972,SYS_4_3_Digitos!$N$5:$N$1682)</f>
        <v>0</v>
      </c>
      <c r="P972" s="772"/>
    </row>
    <row r="973" spans="14:16">
      <c r="N973" s="781">
        <v>7922</v>
      </c>
      <c r="O973" s="662">
        <f>+SUMIF(SYS_4_3_Digitos!$M$5:$M$1682,N973,SYS_4_3_Digitos!$N$5:$N$1682)</f>
        <v>0</v>
      </c>
      <c r="P973" s="772"/>
    </row>
    <row r="974" spans="14:16">
      <c r="N974" s="781">
        <v>7923</v>
      </c>
      <c r="O974" s="662">
        <f>+SUMIF(SYS_4_3_Digitos!$M$5:$M$1682,N974,SYS_4_3_Digitos!$N$5:$N$1682)</f>
        <v>0</v>
      </c>
      <c r="P974" s="772"/>
    </row>
    <row r="975" spans="14:16">
      <c r="N975" s="781">
        <v>7924</v>
      </c>
      <c r="O975" s="662">
        <f>+SUMIF(SYS_4_3_Digitos!$M$5:$M$1682,N975,SYS_4_3_Digitos!$N$5:$N$1682)</f>
        <v>0</v>
      </c>
      <c r="P975" s="772"/>
    </row>
    <row r="976" spans="14:16">
      <c r="N976" s="781">
        <v>7925</v>
      </c>
      <c r="O976" s="662">
        <f>+SUMIF(SYS_4_3_Digitos!$M$5:$M$1682,N976,SYS_4_3_Digitos!$N$5:$N$1682)</f>
        <v>0</v>
      </c>
      <c r="P976" s="772"/>
    </row>
    <row r="977" spans="14:16">
      <c r="N977" s="781">
        <v>7926</v>
      </c>
      <c r="O977" s="662">
        <f>+SUMIF(SYS_4_3_Digitos!$M$5:$M$1682,N977,SYS_4_3_Digitos!$N$5:$N$1682)</f>
        <v>0</v>
      </c>
      <c r="P977" s="772"/>
    </row>
    <row r="978" spans="14:16">
      <c r="N978" s="781">
        <v>7927</v>
      </c>
      <c r="O978" s="662">
        <f>+SUMIF(SYS_4_3_Digitos!$M$5:$M$1682,N978,SYS_4_3_Digitos!$N$5:$N$1682)</f>
        <v>0</v>
      </c>
      <c r="P978" s="772"/>
    </row>
    <row r="979" spans="14:16">
      <c r="N979" s="781">
        <v>7928</v>
      </c>
      <c r="O979" s="662">
        <f>+SUMIF(SYS_4_3_Digitos!$M$5:$M$1682,N979,SYS_4_3_Digitos!$N$5:$N$1682)</f>
        <v>0</v>
      </c>
      <c r="P979" s="772"/>
    </row>
    <row r="980" spans="14:16">
      <c r="N980" s="781">
        <v>7929</v>
      </c>
      <c r="O980" s="662">
        <f>+SUMIF(SYS_4_3_Digitos!$M$5:$M$1682,N980,SYS_4_3_Digitos!$N$5:$N$1682)</f>
        <v>0</v>
      </c>
      <c r="P980" s="772"/>
    </row>
    <row r="981" spans="14:16">
      <c r="N981" s="779" t="s">
        <v>210</v>
      </c>
      <c r="O981" s="788">
        <f ca="1">SUM(O982:O1041)</f>
        <v>-4500</v>
      </c>
      <c r="P981" s="772"/>
    </row>
    <row r="982" spans="14:16">
      <c r="N982" s="781">
        <v>6700</v>
      </c>
      <c r="O982" s="662">
        <f ca="1">+SUMIF(SYS_4_3_Digitos!$M$5:$M$1682,N982,SYS_4_3_Digitos!$N$5:$N$1682)</f>
        <v>0</v>
      </c>
      <c r="P982" s="772"/>
    </row>
    <row r="983" spans="14:16">
      <c r="N983" s="781">
        <v>6701</v>
      </c>
      <c r="O983" s="662">
        <f>+SUMIF(SYS_4_3_Digitos!$M$5:$M$1682,N983,SYS_4_3_Digitos!$N$5:$N$1682)</f>
        <v>0</v>
      </c>
      <c r="P983" s="772" t="s">
        <v>243</v>
      </c>
    </row>
    <row r="984" spans="14:16">
      <c r="N984" s="781">
        <v>6702</v>
      </c>
      <c r="O984" s="662">
        <f>+SUMIF(SYS_4_3_Digitos!$M$5:$M$1682,N984,SYS_4_3_Digitos!$N$5:$N$1682)</f>
        <v>0</v>
      </c>
      <c r="P984" s="772"/>
    </row>
    <row r="985" spans="14:16">
      <c r="N985" s="781">
        <v>6703</v>
      </c>
      <c r="O985" s="662">
        <f>+SUMIF(SYS_4_3_Digitos!$M$5:$M$1682,N985,SYS_4_3_Digitos!$N$5:$N$1682)</f>
        <v>0</v>
      </c>
      <c r="P985" s="772"/>
    </row>
    <row r="986" spans="14:16">
      <c r="N986" s="781">
        <v>6704</v>
      </c>
      <c r="O986" s="662">
        <f>+SUMIF(SYS_4_3_Digitos!$M$5:$M$1682,N986,SYS_4_3_Digitos!$N$5:$N$1682)</f>
        <v>0</v>
      </c>
      <c r="P986" s="772"/>
    </row>
    <row r="987" spans="14:16">
      <c r="N987" s="781">
        <v>6705</v>
      </c>
      <c r="O987" s="662">
        <f>+SUMIF(SYS_4_3_Digitos!$M$5:$M$1682,N987,SYS_4_3_Digitos!$N$5:$N$1682)</f>
        <v>0</v>
      </c>
      <c r="P987" s="772"/>
    </row>
    <row r="988" spans="14:16">
      <c r="N988" s="781">
        <v>6706</v>
      </c>
      <c r="O988" s="662">
        <f>+SUMIF(SYS_4_3_Digitos!$M$5:$M$1682,N988,SYS_4_3_Digitos!$N$5:$N$1682)</f>
        <v>0</v>
      </c>
      <c r="P988" s="772"/>
    </row>
    <row r="989" spans="14:16">
      <c r="N989" s="781">
        <v>6707</v>
      </c>
      <c r="O989" s="662">
        <f>+SUMIF(SYS_4_3_Digitos!$M$5:$M$1682,N989,SYS_4_3_Digitos!$N$5:$N$1682)</f>
        <v>0</v>
      </c>
      <c r="P989" s="772"/>
    </row>
    <row r="990" spans="14:16">
      <c r="N990" s="781">
        <v>6708</v>
      </c>
      <c r="O990" s="662">
        <f>+SUMIF(SYS_4_3_Digitos!$M$5:$M$1682,N990,SYS_4_3_Digitos!$N$5:$N$1682)</f>
        <v>0</v>
      </c>
      <c r="P990" s="772"/>
    </row>
    <row r="991" spans="14:16">
      <c r="N991" s="781">
        <v>6709</v>
      </c>
      <c r="O991" s="662">
        <f>+SUMIF(SYS_4_3_Digitos!$M$5:$M$1682,N991,SYS_4_3_Digitos!$N$5:$N$1682)</f>
        <v>0</v>
      </c>
      <c r="P991" s="772"/>
    </row>
    <row r="992" spans="14:16">
      <c r="N992" s="781">
        <v>6710</v>
      </c>
      <c r="O992" s="662">
        <f ca="1">+SUMIF(SYS_4_3_Digitos!$M$5:$M$1682,N992,SYS_4_3_Digitos!$N$5:$N$1682)</f>
        <v>0</v>
      </c>
      <c r="P992" s="772"/>
    </row>
    <row r="993" spans="14:16">
      <c r="N993" s="781">
        <v>6711</v>
      </c>
      <c r="O993" s="662">
        <f>+SUMIF(SYS_4_3_Digitos!$M$5:$M$1682,N993,SYS_4_3_Digitos!$N$5:$N$1682)</f>
        <v>0</v>
      </c>
      <c r="P993" s="772"/>
    </row>
    <row r="994" spans="14:16">
      <c r="N994" s="781">
        <v>6712</v>
      </c>
      <c r="O994" s="662">
        <f>+SUMIF(SYS_4_3_Digitos!$M$5:$M$1682,N994,SYS_4_3_Digitos!$N$5:$N$1682)</f>
        <v>0</v>
      </c>
      <c r="P994" s="772"/>
    </row>
    <row r="995" spans="14:16">
      <c r="N995" s="781">
        <v>6713</v>
      </c>
      <c r="O995" s="662">
        <f>+SUMIF(SYS_4_3_Digitos!$M$5:$M$1682,N995,SYS_4_3_Digitos!$N$5:$N$1682)</f>
        <v>0</v>
      </c>
      <c r="P995" s="772"/>
    </row>
    <row r="996" spans="14:16">
      <c r="N996" s="781">
        <v>6714</v>
      </c>
      <c r="O996" s="662">
        <f>+SUMIF(SYS_4_3_Digitos!$M$5:$M$1682,N996,SYS_4_3_Digitos!$N$5:$N$1682)</f>
        <v>0</v>
      </c>
      <c r="P996" s="772"/>
    </row>
    <row r="997" spans="14:16">
      <c r="N997" s="781">
        <v>6715</v>
      </c>
      <c r="O997" s="662">
        <f>+SUMIF(SYS_4_3_Digitos!$M$5:$M$1682,N997,SYS_4_3_Digitos!$N$5:$N$1682)</f>
        <v>0</v>
      </c>
      <c r="P997" s="772"/>
    </row>
    <row r="998" spans="14:16">
      <c r="N998" s="781">
        <v>6716</v>
      </c>
      <c r="O998" s="662">
        <f>+SUMIF(SYS_4_3_Digitos!$M$5:$M$1682,N998,SYS_4_3_Digitos!$N$5:$N$1682)</f>
        <v>0</v>
      </c>
      <c r="P998" s="772"/>
    </row>
    <row r="999" spans="14:16">
      <c r="N999" s="781">
        <v>6717</v>
      </c>
      <c r="O999" s="662">
        <f>+SUMIF(SYS_4_3_Digitos!$M$5:$M$1682,N999,SYS_4_3_Digitos!$N$5:$N$1682)</f>
        <v>0</v>
      </c>
      <c r="P999" s="772"/>
    </row>
    <row r="1000" spans="14:16">
      <c r="N1000" s="781">
        <v>6718</v>
      </c>
      <c r="O1000" s="662">
        <f>+SUMIF(SYS_4_3_Digitos!$M$5:$M$1682,N1000,SYS_4_3_Digitos!$N$5:$N$1682)</f>
        <v>0</v>
      </c>
      <c r="P1000" s="772"/>
    </row>
    <row r="1001" spans="14:16">
      <c r="N1001" s="781">
        <v>6719</v>
      </c>
      <c r="O1001" s="662">
        <f>+SUMIF(SYS_4_3_Digitos!$M$5:$M$1682,N1001,SYS_4_3_Digitos!$N$5:$N$1682)</f>
        <v>0</v>
      </c>
      <c r="P1001" s="772"/>
    </row>
    <row r="1002" spans="14:16">
      <c r="N1002" s="781">
        <v>6720</v>
      </c>
      <c r="O1002" s="662">
        <f ca="1">+SUMIF(SYS_4_3_Digitos!$M$5:$M$1682,N1002,SYS_4_3_Digitos!$N$5:$N$1682)</f>
        <v>0</v>
      </c>
      <c r="P1002" s="772"/>
    </row>
    <row r="1003" spans="14:16">
      <c r="N1003" s="781">
        <v>6721</v>
      </c>
      <c r="O1003" s="662">
        <f>+SUMIF(SYS_4_3_Digitos!$M$5:$M$1682,N1003,SYS_4_3_Digitos!$N$5:$N$1682)</f>
        <v>0</v>
      </c>
      <c r="P1003" s="772"/>
    </row>
    <row r="1004" spans="14:16">
      <c r="N1004" s="781">
        <v>6722</v>
      </c>
      <c r="O1004" s="662">
        <f>+SUMIF(SYS_4_3_Digitos!$M$5:$M$1682,N1004,SYS_4_3_Digitos!$N$5:$N$1682)</f>
        <v>0</v>
      </c>
      <c r="P1004" s="772"/>
    </row>
    <row r="1005" spans="14:16">
      <c r="N1005" s="781">
        <v>6723</v>
      </c>
      <c r="O1005" s="662">
        <f>+SUMIF(SYS_4_3_Digitos!$M$5:$M$1682,N1005,SYS_4_3_Digitos!$N$5:$N$1682)</f>
        <v>0</v>
      </c>
      <c r="P1005" s="772"/>
    </row>
    <row r="1006" spans="14:16">
      <c r="N1006" s="781">
        <v>6724</v>
      </c>
      <c r="O1006" s="662">
        <f>+SUMIF(SYS_4_3_Digitos!$M$5:$M$1682,N1006,SYS_4_3_Digitos!$N$5:$N$1682)</f>
        <v>0</v>
      </c>
      <c r="P1006" s="772"/>
    </row>
    <row r="1007" spans="14:16">
      <c r="N1007" s="781">
        <v>6725</v>
      </c>
      <c r="O1007" s="662">
        <f>+SUMIF(SYS_4_3_Digitos!$M$5:$M$1682,N1007,SYS_4_3_Digitos!$N$5:$N$1682)</f>
        <v>0</v>
      </c>
      <c r="P1007" s="772"/>
    </row>
    <row r="1008" spans="14:16">
      <c r="N1008" s="781">
        <v>6726</v>
      </c>
      <c r="O1008" s="662">
        <f>+SUMIF(SYS_4_3_Digitos!$M$5:$M$1682,N1008,SYS_4_3_Digitos!$N$5:$N$1682)</f>
        <v>0</v>
      </c>
      <c r="P1008" s="772"/>
    </row>
    <row r="1009" spans="14:16">
      <c r="N1009" s="781">
        <v>6727</v>
      </c>
      <c r="O1009" s="662">
        <f>+SUMIF(SYS_4_3_Digitos!$M$5:$M$1682,N1009,SYS_4_3_Digitos!$N$5:$N$1682)</f>
        <v>0</v>
      </c>
      <c r="P1009" s="772"/>
    </row>
    <row r="1010" spans="14:16">
      <c r="N1010" s="781">
        <v>6728</v>
      </c>
      <c r="O1010" s="662">
        <f>+SUMIF(SYS_4_3_Digitos!$M$5:$M$1682,N1010,SYS_4_3_Digitos!$N$5:$N$1682)</f>
        <v>0</v>
      </c>
      <c r="P1010" s="772"/>
    </row>
    <row r="1011" spans="14:16">
      <c r="N1011" s="781">
        <v>6729</v>
      </c>
      <c r="O1011" s="662">
        <f>+SUMIF(SYS_4_3_Digitos!$M$5:$M$1682,N1011,SYS_4_3_Digitos!$N$5:$N$1682)</f>
        <v>0</v>
      </c>
      <c r="P1011" s="772"/>
    </row>
    <row r="1012" spans="14:16">
      <c r="N1012" s="781">
        <v>7700</v>
      </c>
      <c r="O1012" s="662">
        <f ca="1">+SUMIF(SYS_4_3_Digitos!$M$5:$M$1682,N1012,SYS_4_3_Digitos!$N$5:$N$1682)</f>
        <v>0</v>
      </c>
      <c r="P1012" s="772"/>
    </row>
    <row r="1013" spans="14:16">
      <c r="N1013" s="781">
        <v>7701</v>
      </c>
      <c r="O1013" s="662">
        <f>+SUMIF(SYS_4_3_Digitos!$M$5:$M$1682,N1013,SYS_4_3_Digitos!$N$5:$N$1682)</f>
        <v>0</v>
      </c>
      <c r="P1013" s="772"/>
    </row>
    <row r="1014" spans="14:16">
      <c r="N1014" s="781">
        <v>7702</v>
      </c>
      <c r="O1014" s="662">
        <f>+SUMIF(SYS_4_3_Digitos!$M$5:$M$1682,N1014,SYS_4_3_Digitos!$N$5:$N$1682)</f>
        <v>0</v>
      </c>
      <c r="P1014" s="772"/>
    </row>
    <row r="1015" spans="14:16">
      <c r="N1015" s="781">
        <v>7703</v>
      </c>
      <c r="O1015" s="662">
        <f>+SUMIF(SYS_4_3_Digitos!$M$5:$M$1682,N1015,SYS_4_3_Digitos!$N$5:$N$1682)</f>
        <v>0</v>
      </c>
      <c r="P1015" s="772"/>
    </row>
    <row r="1016" spans="14:16">
      <c r="N1016" s="781">
        <v>7704</v>
      </c>
      <c r="O1016" s="662">
        <f>+SUMIF(SYS_4_3_Digitos!$M$5:$M$1682,N1016,SYS_4_3_Digitos!$N$5:$N$1682)</f>
        <v>0</v>
      </c>
      <c r="P1016" s="772"/>
    </row>
    <row r="1017" spans="14:16">
      <c r="N1017" s="781">
        <v>7705</v>
      </c>
      <c r="O1017" s="662">
        <f>+SUMIF(SYS_4_3_Digitos!$M$5:$M$1682,N1017,SYS_4_3_Digitos!$N$5:$N$1682)</f>
        <v>0</v>
      </c>
      <c r="P1017" s="772"/>
    </row>
    <row r="1018" spans="14:16">
      <c r="N1018" s="781">
        <v>7706</v>
      </c>
      <c r="O1018" s="662">
        <f>+SUMIF(SYS_4_3_Digitos!$M$5:$M$1682,N1018,SYS_4_3_Digitos!$N$5:$N$1682)</f>
        <v>0</v>
      </c>
      <c r="P1018" s="772"/>
    </row>
    <row r="1019" spans="14:16">
      <c r="N1019" s="781">
        <v>7707</v>
      </c>
      <c r="O1019" s="662">
        <f>+SUMIF(SYS_4_3_Digitos!$M$5:$M$1682,N1019,SYS_4_3_Digitos!$N$5:$N$1682)</f>
        <v>0</v>
      </c>
      <c r="P1019" s="772"/>
    </row>
    <row r="1020" spans="14:16">
      <c r="N1020" s="781">
        <v>7708</v>
      </c>
      <c r="O1020" s="662">
        <f>+SUMIF(SYS_4_3_Digitos!$M$5:$M$1682,N1020,SYS_4_3_Digitos!$N$5:$N$1682)</f>
        <v>0</v>
      </c>
      <c r="P1020" s="772"/>
    </row>
    <row r="1021" spans="14:16">
      <c r="N1021" s="781">
        <v>7709</v>
      </c>
      <c r="O1021" s="662">
        <f>+SUMIF(SYS_4_3_Digitos!$M$5:$M$1682,N1021,SYS_4_3_Digitos!$N$5:$N$1682)</f>
        <v>0</v>
      </c>
      <c r="P1021" s="772"/>
    </row>
    <row r="1022" spans="14:16">
      <c r="N1022" s="781">
        <v>7710</v>
      </c>
      <c r="O1022" s="662">
        <f ca="1">+SUMIF(SYS_4_3_Digitos!$M$5:$M$1682,N1022,SYS_4_3_Digitos!$N$5:$N$1682)</f>
        <v>-4500</v>
      </c>
      <c r="P1022" s="772"/>
    </row>
    <row r="1023" spans="14:16">
      <c r="N1023" s="781">
        <v>7711</v>
      </c>
      <c r="O1023" s="662">
        <f>+SUMIF(SYS_4_3_Digitos!$M$5:$M$1682,N1023,SYS_4_3_Digitos!$N$5:$N$1682)</f>
        <v>0</v>
      </c>
      <c r="P1023" s="772"/>
    </row>
    <row r="1024" spans="14:16">
      <c r="N1024" s="781">
        <v>7712</v>
      </c>
      <c r="O1024" s="662">
        <f>+SUMIF(SYS_4_3_Digitos!$M$5:$M$1682,N1024,SYS_4_3_Digitos!$N$5:$N$1682)</f>
        <v>0</v>
      </c>
      <c r="P1024" s="772"/>
    </row>
    <row r="1025" spans="14:16">
      <c r="N1025" s="781">
        <v>7713</v>
      </c>
      <c r="O1025" s="662">
        <f>+SUMIF(SYS_4_3_Digitos!$M$5:$M$1682,N1025,SYS_4_3_Digitos!$N$5:$N$1682)</f>
        <v>0</v>
      </c>
      <c r="P1025" s="772"/>
    </row>
    <row r="1026" spans="14:16">
      <c r="N1026" s="781">
        <v>7714</v>
      </c>
      <c r="O1026" s="662">
        <f>+SUMIF(SYS_4_3_Digitos!$M$5:$M$1682,N1026,SYS_4_3_Digitos!$N$5:$N$1682)</f>
        <v>0</v>
      </c>
      <c r="P1026" s="772"/>
    </row>
    <row r="1027" spans="14:16">
      <c r="N1027" s="781">
        <v>7715</v>
      </c>
      <c r="O1027" s="662">
        <f>+SUMIF(SYS_4_3_Digitos!$M$5:$M$1682,N1027,SYS_4_3_Digitos!$N$5:$N$1682)</f>
        <v>0</v>
      </c>
      <c r="P1027" s="772"/>
    </row>
    <row r="1028" spans="14:16">
      <c r="N1028" s="781">
        <v>7716</v>
      </c>
      <c r="O1028" s="662">
        <f>+SUMIF(SYS_4_3_Digitos!$M$5:$M$1682,N1028,SYS_4_3_Digitos!$N$5:$N$1682)</f>
        <v>0</v>
      </c>
      <c r="P1028" s="772"/>
    </row>
    <row r="1029" spans="14:16">
      <c r="N1029" s="781">
        <v>7717</v>
      </c>
      <c r="O1029" s="662">
        <f>+SUMIF(SYS_4_3_Digitos!$M$5:$M$1682,N1029,SYS_4_3_Digitos!$N$5:$N$1682)</f>
        <v>0</v>
      </c>
      <c r="P1029" s="772"/>
    </row>
    <row r="1030" spans="14:16">
      <c r="N1030" s="781">
        <v>7718</v>
      </c>
      <c r="O1030" s="662">
        <f>+SUMIF(SYS_4_3_Digitos!$M$5:$M$1682,N1030,SYS_4_3_Digitos!$N$5:$N$1682)</f>
        <v>0</v>
      </c>
      <c r="P1030" s="772"/>
    </row>
    <row r="1031" spans="14:16">
      <c r="N1031" s="781">
        <v>7719</v>
      </c>
      <c r="O1031" s="662">
        <f>+SUMIF(SYS_4_3_Digitos!$M$5:$M$1682,N1031,SYS_4_3_Digitos!$N$5:$N$1682)</f>
        <v>0</v>
      </c>
      <c r="P1031" s="772"/>
    </row>
    <row r="1032" spans="14:16">
      <c r="N1032" s="781">
        <v>7720</v>
      </c>
      <c r="O1032" s="662">
        <f ca="1">+SUMIF(SYS_4_3_Digitos!$M$5:$M$1682,N1032,SYS_4_3_Digitos!$N$5:$N$1682)</f>
        <v>0</v>
      </c>
      <c r="P1032" s="772"/>
    </row>
    <row r="1033" spans="14:16">
      <c r="N1033" s="781">
        <v>7721</v>
      </c>
      <c r="O1033" s="662">
        <f>+SUMIF(SYS_4_3_Digitos!$M$5:$M$1682,N1033,SYS_4_3_Digitos!$N$5:$N$1682)</f>
        <v>0</v>
      </c>
      <c r="P1033" s="772"/>
    </row>
    <row r="1034" spans="14:16">
      <c r="N1034" s="781">
        <v>7722</v>
      </c>
      <c r="O1034" s="662">
        <f>+SUMIF(SYS_4_3_Digitos!$M$5:$M$1682,N1034,SYS_4_3_Digitos!$N$5:$N$1682)</f>
        <v>0</v>
      </c>
      <c r="P1034" s="772"/>
    </row>
    <row r="1035" spans="14:16">
      <c r="N1035" s="781">
        <v>7723</v>
      </c>
      <c r="O1035" s="662">
        <f>+SUMIF(SYS_4_3_Digitos!$M$5:$M$1682,N1035,SYS_4_3_Digitos!$N$5:$N$1682)</f>
        <v>0</v>
      </c>
      <c r="P1035" s="772"/>
    </row>
    <row r="1036" spans="14:16">
      <c r="N1036" s="781">
        <v>7724</v>
      </c>
      <c r="O1036" s="662">
        <f>+SUMIF(SYS_4_3_Digitos!$M$5:$M$1682,N1036,SYS_4_3_Digitos!$N$5:$N$1682)</f>
        <v>0</v>
      </c>
      <c r="P1036" s="772"/>
    </row>
    <row r="1037" spans="14:16">
      <c r="N1037" s="781">
        <v>7725</v>
      </c>
      <c r="O1037" s="662">
        <f>+SUMIF(SYS_4_3_Digitos!$M$5:$M$1682,N1037,SYS_4_3_Digitos!$N$5:$N$1682)</f>
        <v>0</v>
      </c>
      <c r="P1037" s="772"/>
    </row>
    <row r="1038" spans="14:16">
      <c r="N1038" s="781">
        <v>7726</v>
      </c>
      <c r="O1038" s="662">
        <f>+SUMIF(SYS_4_3_Digitos!$M$5:$M$1682,N1038,SYS_4_3_Digitos!$N$5:$N$1682)</f>
        <v>0</v>
      </c>
      <c r="P1038" s="772"/>
    </row>
    <row r="1039" spans="14:16">
      <c r="N1039" s="781">
        <v>7727</v>
      </c>
      <c r="O1039" s="662">
        <f>+SUMIF(SYS_4_3_Digitos!$M$5:$M$1682,N1039,SYS_4_3_Digitos!$N$5:$N$1682)</f>
        <v>0</v>
      </c>
      <c r="P1039" s="772"/>
    </row>
    <row r="1040" spans="14:16">
      <c r="N1040" s="781">
        <v>7728</v>
      </c>
      <c r="O1040" s="662">
        <f>+SUMIF(SYS_4_3_Digitos!$M$5:$M$1682,N1040,SYS_4_3_Digitos!$N$5:$N$1682)</f>
        <v>0</v>
      </c>
      <c r="P1040" s="772"/>
    </row>
    <row r="1041" spans="14:16">
      <c r="N1041" s="781">
        <v>7729</v>
      </c>
      <c r="O1041" s="662">
        <f>+SUMIF(SYS_4_3_Digitos!$M$5:$M$1682,N1041,SYS_4_3_Digitos!$N$5:$N$1682)</f>
        <v>0</v>
      </c>
      <c r="P1041" s="772"/>
    </row>
    <row r="1042" spans="14:16">
      <c r="N1042" s="774" t="s">
        <v>1525</v>
      </c>
      <c r="O1042" s="662">
        <f ca="1">+O1043</f>
        <v>0</v>
      </c>
      <c r="P1042" s="772"/>
    </row>
    <row r="1043" spans="14:16">
      <c r="N1043" s="781">
        <v>7740</v>
      </c>
      <c r="O1043" s="662">
        <f ca="1">+SUMIF(SYS_4_3_Digitos!$M$5:$M$1682,N1043,SYS_4_3_Digitos!$N$5:$N$1682)</f>
        <v>0</v>
      </c>
      <c r="P1043" s="772"/>
    </row>
    <row r="1044" spans="14:16">
      <c r="N1044" s="774" t="s">
        <v>1526</v>
      </c>
      <c r="O1044" s="662">
        <f ca="1">SUM(O1045:O1064)</f>
        <v>-265.43</v>
      </c>
      <c r="P1044" s="772"/>
    </row>
    <row r="1045" spans="14:16">
      <c r="N1045" s="781">
        <v>6780</v>
      </c>
      <c r="O1045" s="662">
        <f ca="1">+SUMIF(SYS_4_3_Digitos!$M$5:$M$1682,N1045,SYS_4_3_Digitos!$N$5:$N$1682)</f>
        <v>3.17</v>
      </c>
      <c r="P1045" s="772"/>
    </row>
    <row r="1046" spans="14:16">
      <c r="N1046" s="781">
        <v>6781</v>
      </c>
      <c r="O1046" s="662">
        <f>+SUMIF(SYS_4_3_Digitos!$M$5:$M$1682,N1046,SYS_4_3_Digitos!$N$5:$N$1682)</f>
        <v>0</v>
      </c>
      <c r="P1046" s="772"/>
    </row>
    <row r="1047" spans="14:16">
      <c r="N1047" s="781">
        <v>6782</v>
      </c>
      <c r="O1047" s="662">
        <f>+SUMIF(SYS_4_3_Digitos!$M$5:$M$1682,N1047,SYS_4_3_Digitos!$N$5:$N$1682)</f>
        <v>0</v>
      </c>
      <c r="P1047" s="772"/>
    </row>
    <row r="1048" spans="14:16">
      <c r="N1048" s="781">
        <v>6783</v>
      </c>
      <c r="O1048" s="662">
        <f>+SUMIF(SYS_4_3_Digitos!$M$5:$M$1682,N1048,SYS_4_3_Digitos!$N$5:$N$1682)</f>
        <v>0</v>
      </c>
      <c r="P1048" s="772"/>
    </row>
    <row r="1049" spans="14:16">
      <c r="N1049" s="781">
        <v>6784</v>
      </c>
      <c r="O1049" s="662">
        <f>+SUMIF(SYS_4_3_Digitos!$M$5:$M$1682,N1049,SYS_4_3_Digitos!$N$5:$N$1682)</f>
        <v>0</v>
      </c>
      <c r="P1049" s="772"/>
    </row>
    <row r="1050" spans="14:16">
      <c r="N1050" s="781">
        <v>6785</v>
      </c>
      <c r="O1050" s="662">
        <f>+SUMIF(SYS_4_3_Digitos!$M$5:$M$1682,N1050,SYS_4_3_Digitos!$N$5:$N$1682)</f>
        <v>0</v>
      </c>
      <c r="P1050" s="772"/>
    </row>
    <row r="1051" spans="14:16">
      <c r="N1051" s="781">
        <v>6786</v>
      </c>
      <c r="O1051" s="662">
        <f>+SUMIF(SYS_4_3_Digitos!$M$5:$M$1682,N1051,SYS_4_3_Digitos!$N$5:$N$1682)</f>
        <v>0</v>
      </c>
      <c r="P1051" s="772"/>
    </row>
    <row r="1052" spans="14:16">
      <c r="N1052" s="781">
        <v>6787</v>
      </c>
      <c r="O1052" s="662">
        <f>+SUMIF(SYS_4_3_Digitos!$M$5:$M$1682,N1052,SYS_4_3_Digitos!$N$5:$N$1682)</f>
        <v>0</v>
      </c>
      <c r="P1052" s="772"/>
    </row>
    <row r="1053" spans="14:16">
      <c r="N1053" s="781">
        <v>6788</v>
      </c>
      <c r="O1053" s="662">
        <f>+SUMIF(SYS_4_3_Digitos!$M$5:$M$1682,N1053,SYS_4_3_Digitos!$N$5:$N$1682)</f>
        <v>0</v>
      </c>
      <c r="P1053" s="772"/>
    </row>
    <row r="1054" spans="14:16">
      <c r="N1054" s="781">
        <v>6789</v>
      </c>
      <c r="O1054" s="662">
        <f>+SUMIF(SYS_4_3_Digitos!$M$5:$M$1682,N1054,SYS_4_3_Digitos!$N$5:$N$1682)</f>
        <v>0</v>
      </c>
      <c r="P1054" s="772"/>
    </row>
    <row r="1055" spans="14:16">
      <c r="N1055" s="781">
        <v>7780</v>
      </c>
      <c r="O1055" s="662">
        <f ca="1">+SUMIF(SYS_4_3_Digitos!$M$5:$M$1682,N1055,SYS_4_3_Digitos!$N$5:$N$1682)</f>
        <v>-268.60000000000002</v>
      </c>
      <c r="P1055" s="772"/>
    </row>
    <row r="1056" spans="14:16">
      <c r="N1056" s="781">
        <v>7781</v>
      </c>
      <c r="O1056" s="662">
        <f>+SUMIF(SYS_4_3_Digitos!$M$5:$M$1682,N1056,SYS_4_3_Digitos!$N$5:$N$1682)</f>
        <v>0</v>
      </c>
      <c r="P1056" s="772"/>
    </row>
    <row r="1057" spans="14:16">
      <c r="N1057" s="781">
        <v>7782</v>
      </c>
      <c r="O1057" s="662">
        <f>+SUMIF(SYS_4_3_Digitos!$M$5:$M$1682,N1057,SYS_4_3_Digitos!$N$5:$N$1682)</f>
        <v>0</v>
      </c>
      <c r="P1057" s="772"/>
    </row>
    <row r="1058" spans="14:16">
      <c r="N1058" s="781">
        <v>7783</v>
      </c>
      <c r="O1058" s="662">
        <f>+SUMIF(SYS_4_3_Digitos!$M$5:$M$1682,N1058,SYS_4_3_Digitos!$N$5:$N$1682)</f>
        <v>0</v>
      </c>
      <c r="P1058" s="772"/>
    </row>
    <row r="1059" spans="14:16">
      <c r="N1059" s="781">
        <v>7784</v>
      </c>
      <c r="O1059" s="662">
        <f>+SUMIF(SYS_4_3_Digitos!$M$5:$M$1682,N1059,SYS_4_3_Digitos!$N$5:$N$1682)</f>
        <v>0</v>
      </c>
      <c r="P1059" s="772"/>
    </row>
    <row r="1060" spans="14:16">
      <c r="N1060" s="781">
        <v>7785</v>
      </c>
      <c r="O1060" s="662">
        <f>+SUMIF(SYS_4_3_Digitos!$M$5:$M$1682,N1060,SYS_4_3_Digitos!$N$5:$N$1682)</f>
        <v>0</v>
      </c>
      <c r="P1060" s="772"/>
    </row>
    <row r="1061" spans="14:16">
      <c r="N1061" s="781">
        <v>7786</v>
      </c>
      <c r="O1061" s="662">
        <f>+SUMIF(SYS_4_3_Digitos!$M$5:$M$1682,N1061,SYS_4_3_Digitos!$N$5:$N$1682)</f>
        <v>0</v>
      </c>
      <c r="P1061" s="772"/>
    </row>
    <row r="1062" spans="14:16">
      <c r="N1062" s="781">
        <v>7787</v>
      </c>
      <c r="O1062" s="662">
        <f>+SUMIF(SYS_4_3_Digitos!$M$5:$M$1682,N1062,SYS_4_3_Digitos!$N$5:$N$1682)</f>
        <v>0</v>
      </c>
      <c r="P1062" s="772"/>
    </row>
    <row r="1063" spans="14:16">
      <c r="N1063" s="781">
        <v>7788</v>
      </c>
      <c r="O1063" s="662">
        <f>+SUMIF(SYS_4_3_Digitos!$M$5:$M$1682,N1063,SYS_4_3_Digitos!$N$5:$N$1682)</f>
        <v>0</v>
      </c>
      <c r="P1063" s="772"/>
    </row>
    <row r="1064" spans="14:16">
      <c r="N1064" s="781">
        <v>7789</v>
      </c>
      <c r="O1064" s="662">
        <f>+SUMIF(SYS_4_3_Digitos!$M$5:$M$1682,N1064,SYS_4_3_Digitos!$N$5:$N$1682)</f>
        <v>0</v>
      </c>
      <c r="P1064" s="772"/>
    </row>
    <row r="1065" spans="14:16">
      <c r="N1065" s="790" t="s">
        <v>211</v>
      </c>
      <c r="O1065" s="771"/>
      <c r="P1065" s="772"/>
    </row>
    <row r="1066" spans="14:16">
      <c r="N1066" s="791"/>
      <c r="O1066" s="771"/>
      <c r="P1066" s="772"/>
    </row>
    <row r="1067" spans="14:16">
      <c r="N1067" s="776" t="s">
        <v>1527</v>
      </c>
      <c r="O1067" s="771"/>
      <c r="P1067" s="772"/>
    </row>
    <row r="1068" spans="14:16">
      <c r="N1068" s="792" t="s">
        <v>213</v>
      </c>
      <c r="O1068" s="771"/>
      <c r="P1068" s="772"/>
    </row>
    <row r="1069" spans="14:16" ht="15.6">
      <c r="N1069" s="779" t="s">
        <v>1559</v>
      </c>
      <c r="O1069" s="788">
        <f ca="1">SUM(O1070:O1071)</f>
        <v>-6524020.6900000004</v>
      </c>
      <c r="P1069" s="772"/>
    </row>
    <row r="1070" spans="14:16">
      <c r="N1070" s="781">
        <v>7600</v>
      </c>
      <c r="O1070" s="662">
        <f ca="1">+SUMIF(SYS_4_3_Digitos!$M$5:$M$1682,N1070,SYS_4_3_Digitos!$N$5:$N$1682)</f>
        <v>-6524020.6900000004</v>
      </c>
      <c r="P1070" s="772"/>
    </row>
    <row r="1071" spans="14:16">
      <c r="N1071" s="781">
        <v>7601</v>
      </c>
      <c r="O1071" s="662">
        <f>+SUMIF(SYS_4_3_Digitos!$M$5:$M$1682,N1071,SYS_4_3_Digitos!$N$5:$N$1682)</f>
        <v>0</v>
      </c>
      <c r="P1071" s="772" t="s">
        <v>245</v>
      </c>
    </row>
    <row r="1072" spans="14:16" ht="15.6">
      <c r="N1072" s="779" t="s">
        <v>1560</v>
      </c>
      <c r="O1072" s="788">
        <f>SUM(O1073:O1074)</f>
        <v>0</v>
      </c>
      <c r="P1072" s="772"/>
    </row>
    <row r="1073" spans="14:16">
      <c r="N1073" s="781">
        <v>7602</v>
      </c>
      <c r="O1073" s="662">
        <f>+SUMIF(SYS_4_3_Digitos!$M$5:$M$1682,N1073,SYS_4_3_Digitos!$N$5:$N$1682)</f>
        <v>0</v>
      </c>
      <c r="P1073" s="772"/>
    </row>
    <row r="1074" spans="14:16">
      <c r="N1074" s="781">
        <v>7603</v>
      </c>
      <c r="O1074" s="662">
        <f>+SUMIF(SYS_4_3_Digitos!$M$5:$M$1682,N1074,SYS_4_3_Digitos!$N$5:$N$1682)</f>
        <v>0</v>
      </c>
      <c r="P1074" s="772" t="s">
        <v>244</v>
      </c>
    </row>
    <row r="1075" spans="14:16">
      <c r="N1075" s="792" t="s">
        <v>214</v>
      </c>
      <c r="O1075" s="771"/>
      <c r="P1075" s="772"/>
    </row>
    <row r="1076" spans="14:16" ht="15.6">
      <c r="N1076" s="779" t="s">
        <v>1561</v>
      </c>
      <c r="O1076" s="788">
        <f ca="1">SUM(O1077:O1080)</f>
        <v>0</v>
      </c>
      <c r="P1076" s="772"/>
    </row>
    <row r="1077" spans="14:16">
      <c r="N1077" s="781">
        <v>7610</v>
      </c>
      <c r="O1077" s="662">
        <f ca="1">+SUMIF(SYS_4_3_Digitos!$M$5:$M$1682,N1077,SYS_4_3_Digitos!$N$5:$N$1682)</f>
        <v>0</v>
      </c>
      <c r="P1077" s="772"/>
    </row>
    <row r="1078" spans="14:16">
      <c r="N1078" s="781">
        <v>7611</v>
      </c>
      <c r="O1078" s="662">
        <f>+SUMIF(SYS_4_3_Digitos!$M$5:$M$1682,N1078,SYS_4_3_Digitos!$N$5:$N$1682)</f>
        <v>0</v>
      </c>
      <c r="P1078" s="772" t="s">
        <v>246</v>
      </c>
    </row>
    <row r="1079" spans="14:16">
      <c r="N1079" s="781">
        <v>7620</v>
      </c>
      <c r="O1079" s="662">
        <f ca="1">+SUMIF(SYS_4_3_Digitos!$M$5:$M$1682,N1079,SYS_4_3_Digitos!$N$5:$N$1682)</f>
        <v>0</v>
      </c>
      <c r="P1079" s="772"/>
    </row>
    <row r="1080" spans="14:16">
      <c r="N1080" s="781">
        <v>7621</v>
      </c>
      <c r="O1080" s="662">
        <f>+SUMIF(SYS_4_3_Digitos!$M$5:$M$1682,N1080,SYS_4_3_Digitos!$N$5:$N$1682)</f>
        <v>0</v>
      </c>
      <c r="P1080" s="772"/>
    </row>
    <row r="1081" spans="14:16" ht="15.6">
      <c r="N1081" s="779" t="s">
        <v>1562</v>
      </c>
      <c r="O1081" s="788">
        <f ca="1">SUM(O1082:O1103)</f>
        <v>-2309646.29</v>
      </c>
      <c r="P1081" s="772"/>
    </row>
    <row r="1082" spans="14:16">
      <c r="N1082" s="781">
        <v>7612</v>
      </c>
      <c r="O1082" s="662">
        <f>+SUMIF(SYS_4_3_Digitos!$M$5:$M$1682,N1082,SYS_4_3_Digitos!$N$5:$N$1682)</f>
        <v>0</v>
      </c>
      <c r="P1082" s="772"/>
    </row>
    <row r="1083" spans="14:16">
      <c r="N1083" s="781">
        <v>7613</v>
      </c>
      <c r="O1083" s="662">
        <f>+SUMIF(SYS_4_3_Digitos!$M$5:$M$1682,N1083,SYS_4_3_Digitos!$N$5:$N$1682)</f>
        <v>0</v>
      </c>
      <c r="P1083" s="772" t="s">
        <v>247</v>
      </c>
    </row>
    <row r="1084" spans="14:16">
      <c r="N1084" s="781">
        <v>7670</v>
      </c>
      <c r="O1084" s="662">
        <f ca="1">+SUMIF(SYS_4_3_Digitos!$M$5:$M$1682,N1084,SYS_4_3_Digitos!$N$5:$N$1682)</f>
        <v>0</v>
      </c>
      <c r="P1084" s="772"/>
    </row>
    <row r="1085" spans="14:16">
      <c r="N1085" s="781">
        <v>7671</v>
      </c>
      <c r="O1085" s="662">
        <f>+SUMIF(SYS_4_3_Digitos!$M$5:$M$1682,N1085,SYS_4_3_Digitos!$N$5:$N$1682)</f>
        <v>0</v>
      </c>
      <c r="P1085" s="772"/>
    </row>
    <row r="1086" spans="14:16">
      <c r="N1086" s="781">
        <v>7672</v>
      </c>
      <c r="O1086" s="662">
        <f>+SUMIF(SYS_4_3_Digitos!$M$5:$M$1682,N1086,SYS_4_3_Digitos!$N$5:$N$1682)</f>
        <v>0</v>
      </c>
      <c r="P1086" s="772"/>
    </row>
    <row r="1087" spans="14:16">
      <c r="N1087" s="781">
        <v>7673</v>
      </c>
      <c r="O1087" s="662">
        <f>+SUMIF(SYS_4_3_Digitos!$M$5:$M$1682,N1087,SYS_4_3_Digitos!$N$5:$N$1682)</f>
        <v>0</v>
      </c>
      <c r="P1087" s="772"/>
    </row>
    <row r="1088" spans="14:16">
      <c r="N1088" s="781">
        <v>7674</v>
      </c>
      <c r="O1088" s="662">
        <f>+SUMIF(SYS_4_3_Digitos!$M$5:$M$1682,N1088,SYS_4_3_Digitos!$N$5:$N$1682)</f>
        <v>0</v>
      </c>
      <c r="P1088" s="772"/>
    </row>
    <row r="1089" spans="14:16">
      <c r="N1089" s="781">
        <v>7675</v>
      </c>
      <c r="O1089" s="662">
        <f>+SUMIF(SYS_4_3_Digitos!$M$5:$M$1682,N1089,SYS_4_3_Digitos!$N$5:$N$1682)</f>
        <v>0</v>
      </c>
      <c r="P1089" s="772"/>
    </row>
    <row r="1090" spans="14:16">
      <c r="N1090" s="781">
        <v>7676</v>
      </c>
      <c r="O1090" s="662">
        <f>+SUMIF(SYS_4_3_Digitos!$M$5:$M$1682,N1090,SYS_4_3_Digitos!$N$5:$N$1682)</f>
        <v>0</v>
      </c>
      <c r="P1090" s="772"/>
    </row>
    <row r="1091" spans="14:16">
      <c r="N1091" s="781">
        <v>7677</v>
      </c>
      <c r="O1091" s="662">
        <f>+SUMIF(SYS_4_3_Digitos!$M$5:$M$1682,N1091,SYS_4_3_Digitos!$N$5:$N$1682)</f>
        <v>0</v>
      </c>
      <c r="P1091" s="772"/>
    </row>
    <row r="1092" spans="14:16">
      <c r="N1092" s="781">
        <v>7678</v>
      </c>
      <c r="O1092" s="662">
        <f>+SUMIF(SYS_4_3_Digitos!$M$5:$M$1682,N1092,SYS_4_3_Digitos!$N$5:$N$1682)</f>
        <v>0</v>
      </c>
      <c r="P1092" s="772"/>
    </row>
    <row r="1093" spans="14:16">
      <c r="N1093" s="781">
        <v>7679</v>
      </c>
      <c r="O1093" s="662">
        <f>+SUMIF(SYS_4_3_Digitos!$M$5:$M$1682,N1093,SYS_4_3_Digitos!$N$5:$N$1682)</f>
        <v>0</v>
      </c>
      <c r="P1093" s="772"/>
    </row>
    <row r="1094" spans="14:16">
      <c r="N1094" s="781">
        <v>7690</v>
      </c>
      <c r="O1094" s="662">
        <f ca="1">+SUMIF(SYS_4_3_Digitos!$M$5:$M$1682,N1094,SYS_4_3_Digitos!$N$5:$N$1682)</f>
        <v>-2309646.29</v>
      </c>
      <c r="P1094" s="772"/>
    </row>
    <row r="1095" spans="14:16">
      <c r="N1095" s="781">
        <v>7691</v>
      </c>
      <c r="O1095" s="662">
        <f>+SUMIF(SYS_4_3_Digitos!$M$5:$M$1682,N1095,SYS_4_3_Digitos!$N$5:$N$1682)</f>
        <v>0</v>
      </c>
      <c r="P1095" s="772"/>
    </row>
    <row r="1096" spans="14:16">
      <c r="N1096" s="781">
        <v>7692</v>
      </c>
      <c r="O1096" s="662">
        <f>+SUMIF(SYS_4_3_Digitos!$M$5:$M$1682,N1096,SYS_4_3_Digitos!$N$5:$N$1682)</f>
        <v>0</v>
      </c>
      <c r="P1096" s="772"/>
    </row>
    <row r="1097" spans="14:16">
      <c r="N1097" s="781">
        <v>7693</v>
      </c>
      <c r="O1097" s="662">
        <f>+SUMIF(SYS_4_3_Digitos!$M$5:$M$1682,N1097,SYS_4_3_Digitos!$N$5:$N$1682)</f>
        <v>0</v>
      </c>
      <c r="P1097" s="772"/>
    </row>
    <row r="1098" spans="14:16">
      <c r="N1098" s="781">
        <v>7694</v>
      </c>
      <c r="O1098" s="662">
        <f>+SUMIF(SYS_4_3_Digitos!$M$5:$M$1682,N1098,SYS_4_3_Digitos!$N$5:$N$1682)</f>
        <v>0</v>
      </c>
      <c r="P1098" s="772"/>
    </row>
    <row r="1099" spans="14:16">
      <c r="N1099" s="781">
        <v>7695</v>
      </c>
      <c r="O1099" s="662">
        <f>+SUMIF(SYS_4_3_Digitos!$M$5:$M$1682,N1099,SYS_4_3_Digitos!$N$5:$N$1682)</f>
        <v>0</v>
      </c>
      <c r="P1099" s="772"/>
    </row>
    <row r="1100" spans="14:16">
      <c r="N1100" s="781">
        <v>7696</v>
      </c>
      <c r="O1100" s="662">
        <f>+SUMIF(SYS_4_3_Digitos!$M$5:$M$1682,N1100,SYS_4_3_Digitos!$N$5:$N$1682)</f>
        <v>0</v>
      </c>
      <c r="P1100" s="772"/>
    </row>
    <row r="1101" spans="14:16">
      <c r="N1101" s="781">
        <v>7697</v>
      </c>
      <c r="O1101" s="662">
        <f>+SUMIF(SYS_4_3_Digitos!$M$5:$M$1682,N1101,SYS_4_3_Digitos!$N$5:$N$1682)</f>
        <v>0</v>
      </c>
      <c r="P1101" s="772"/>
    </row>
    <row r="1102" spans="14:16">
      <c r="N1102" s="781">
        <v>7698</v>
      </c>
      <c r="O1102" s="662">
        <f>+SUMIF(SYS_4_3_Digitos!$M$5:$M$1682,N1102,SYS_4_3_Digitos!$N$5:$N$1682)</f>
        <v>0</v>
      </c>
      <c r="P1102" s="772"/>
    </row>
    <row r="1103" spans="14:16">
      <c r="N1103" s="781">
        <v>7699</v>
      </c>
      <c r="O1103" s="662">
        <f>+SUMIF(SYS_4_3_Digitos!$M$5:$M$1682,N1103,SYS_4_3_Digitos!$N$5:$N$1682)</f>
        <v>0</v>
      </c>
      <c r="P1103" s="772"/>
    </row>
    <row r="1104" spans="14:16">
      <c r="N1104" s="776" t="s">
        <v>1528</v>
      </c>
      <c r="O1104" s="771"/>
      <c r="P1104" s="772"/>
    </row>
    <row r="1105" spans="14:16">
      <c r="N1105" s="779" t="s">
        <v>216</v>
      </c>
      <c r="O1105" s="788">
        <f ca="1">SUM(O1106:O1117)</f>
        <v>0</v>
      </c>
      <c r="P1105" s="772"/>
    </row>
    <row r="1106" spans="14:16">
      <c r="N1106" s="781">
        <v>6610</v>
      </c>
      <c r="O1106" s="662">
        <f ca="1">+SUMIF(SYS_4_3_Digitos!$M$5:$M$1682,N1106,SYS_4_3_Digitos!$N$5:$N$1682)</f>
        <v>0</v>
      </c>
      <c r="P1106" s="772"/>
    </row>
    <row r="1107" spans="14:16">
      <c r="N1107" s="781">
        <v>6611</v>
      </c>
      <c r="O1107" s="662">
        <f>+SUMIF(SYS_4_3_Digitos!$M$5:$M$1682,N1107,SYS_4_3_Digitos!$N$5:$N$1682)</f>
        <v>0</v>
      </c>
      <c r="P1107" s="772" t="s">
        <v>248</v>
      </c>
    </row>
    <row r="1108" spans="14:16">
      <c r="N1108" s="781">
        <v>6615</v>
      </c>
      <c r="O1108" s="662">
        <f>+SUMIF(SYS_4_3_Digitos!$M$5:$M$1682,N1108,SYS_4_3_Digitos!$N$5:$N$1682)</f>
        <v>0</v>
      </c>
      <c r="P1108" s="772"/>
    </row>
    <row r="1109" spans="14:16">
      <c r="N1109" s="781">
        <v>6616</v>
      </c>
      <c r="O1109" s="662">
        <f>+SUMIF(SYS_4_3_Digitos!$M$5:$M$1682,N1109,SYS_4_3_Digitos!$N$5:$N$1682)</f>
        <v>0</v>
      </c>
      <c r="P1109" s="772"/>
    </row>
    <row r="1110" spans="14:16">
      <c r="N1110" s="781">
        <v>6620</v>
      </c>
      <c r="O1110" s="662">
        <f ca="1">+SUMIF(SYS_4_3_Digitos!$M$5:$M$1682,N1110,SYS_4_3_Digitos!$N$5:$N$1682)</f>
        <v>0</v>
      </c>
      <c r="P1110" s="772"/>
    </row>
    <row r="1111" spans="14:16">
      <c r="N1111" s="781">
        <v>6621</v>
      </c>
      <c r="O1111" s="662">
        <f ca="1">+SUMIF(SYS_4_3_Digitos!$M$5:$M$1682,N1111,SYS_4_3_Digitos!$N$5:$N$1682)</f>
        <v>0</v>
      </c>
      <c r="P1111" s="772"/>
    </row>
    <row r="1112" spans="14:16">
      <c r="N1112" s="781">
        <v>6640</v>
      </c>
      <c r="O1112" s="662">
        <f ca="1">+SUMIF(SYS_4_3_Digitos!$M$5:$M$1682,N1112,SYS_4_3_Digitos!$N$5:$N$1682)</f>
        <v>0</v>
      </c>
      <c r="P1112" s="772"/>
    </row>
    <row r="1113" spans="14:16">
      <c r="N1113" s="781">
        <v>6641</v>
      </c>
      <c r="O1113" s="662">
        <f>+SUMIF(SYS_4_3_Digitos!$M$5:$M$1682,N1113,SYS_4_3_Digitos!$N$5:$N$1682)</f>
        <v>0</v>
      </c>
      <c r="P1113" s="772"/>
    </row>
    <row r="1114" spans="14:16">
      <c r="N1114" s="781">
        <v>6650</v>
      </c>
      <c r="O1114" s="662">
        <f ca="1">+SUMIF(SYS_4_3_Digitos!$M$5:$M$1682,N1114,SYS_4_3_Digitos!$N$5:$N$1682)</f>
        <v>0</v>
      </c>
      <c r="P1114" s="772"/>
    </row>
    <row r="1115" spans="14:16">
      <c r="N1115" s="781">
        <v>6651</v>
      </c>
      <c r="O1115" s="662">
        <f>+SUMIF(SYS_4_3_Digitos!$M$5:$M$1682,N1115,SYS_4_3_Digitos!$N$5:$N$1682)</f>
        <v>0</v>
      </c>
      <c r="P1115" s="772"/>
    </row>
    <row r="1116" spans="14:16">
      <c r="N1116" s="781">
        <v>6654</v>
      </c>
      <c r="O1116" s="662">
        <f>+SUMIF(SYS_4_3_Digitos!$M$5:$M$1682,N1116,SYS_4_3_Digitos!$N$5:$N$1682)</f>
        <v>0</v>
      </c>
      <c r="P1116" s="772"/>
    </row>
    <row r="1117" spans="14:16">
      <c r="N1117" s="781">
        <v>6655</v>
      </c>
      <c r="O1117" s="662">
        <f>+SUMIF(SYS_4_3_Digitos!$M$5:$M$1682,N1117,SYS_4_3_Digitos!$N$5:$N$1682)</f>
        <v>0</v>
      </c>
      <c r="P1117" s="772"/>
    </row>
    <row r="1118" spans="14:16">
      <c r="N1118" s="779" t="s">
        <v>217</v>
      </c>
      <c r="O1118" s="788">
        <f ca="1">SUM(O1119:O1142)</f>
        <v>138283.04</v>
      </c>
      <c r="P1118" s="772"/>
    </row>
    <row r="1119" spans="14:16">
      <c r="N1119" s="781">
        <v>6612</v>
      </c>
      <c r="O1119" s="662">
        <f>+SUMIF(SYS_4_3_Digitos!$M$5:$M$1682,N1119,SYS_4_3_Digitos!$N$5:$N$1682)</f>
        <v>0</v>
      </c>
      <c r="P1119" s="772"/>
    </row>
    <row r="1120" spans="14:16">
      <c r="N1120" s="781">
        <v>6613</v>
      </c>
      <c r="O1120" s="662">
        <f>+SUMIF(SYS_4_3_Digitos!$M$5:$M$1682,N1120,SYS_4_3_Digitos!$N$5:$N$1682)</f>
        <v>0</v>
      </c>
      <c r="P1120" s="772" t="s">
        <v>249</v>
      </c>
    </row>
    <row r="1121" spans="14:16">
      <c r="N1121" s="781">
        <v>6617</v>
      </c>
      <c r="O1121" s="662">
        <f>+SUMIF(SYS_4_3_Digitos!$M$5:$M$1682,N1121,SYS_4_3_Digitos!$N$5:$N$1682)</f>
        <v>0</v>
      </c>
      <c r="P1121" s="772"/>
    </row>
    <row r="1122" spans="14:16">
      <c r="N1122" s="781">
        <v>6618</v>
      </c>
      <c r="O1122" s="662">
        <f>+SUMIF(SYS_4_3_Digitos!$M$5:$M$1682,N1122,SYS_4_3_Digitos!$N$5:$N$1682)</f>
        <v>0</v>
      </c>
      <c r="P1122" s="772"/>
    </row>
    <row r="1123" spans="14:16">
      <c r="N1123" s="781">
        <v>6622</v>
      </c>
      <c r="O1123" s="662">
        <f ca="1">+SUMIF(SYS_4_3_Digitos!$M$5:$M$1682,N1123,SYS_4_3_Digitos!$N$5:$N$1682)</f>
        <v>0</v>
      </c>
      <c r="P1123" s="772"/>
    </row>
    <row r="1124" spans="14:16">
      <c r="N1124" s="781">
        <v>6623</v>
      </c>
      <c r="O1124" s="662">
        <f ca="1">+SUMIF(SYS_4_3_Digitos!$M$5:$M$1682,N1124,SYS_4_3_Digitos!$N$5:$N$1682)</f>
        <v>0</v>
      </c>
      <c r="P1124" s="772"/>
    </row>
    <row r="1125" spans="14:16">
      <c r="N1125" s="781">
        <v>6624</v>
      </c>
      <c r="O1125" s="662">
        <f ca="1">+SUMIF(SYS_4_3_Digitos!$M$5:$M$1682,N1125,SYS_4_3_Digitos!$N$5:$N$1682)</f>
        <v>0</v>
      </c>
      <c r="P1125" s="772"/>
    </row>
    <row r="1126" spans="14:16">
      <c r="N1126" s="781">
        <v>6642</v>
      </c>
      <c r="O1126" s="662">
        <f>+SUMIF(SYS_4_3_Digitos!$M$5:$M$1682,N1126,SYS_4_3_Digitos!$N$5:$N$1682)</f>
        <v>0</v>
      </c>
      <c r="P1126" s="772"/>
    </row>
    <row r="1127" spans="14:16">
      <c r="N1127" s="781">
        <v>6643</v>
      </c>
      <c r="O1127" s="662">
        <f>+SUMIF(SYS_4_3_Digitos!$M$5:$M$1682,N1127,SYS_4_3_Digitos!$N$5:$N$1682)</f>
        <v>0</v>
      </c>
      <c r="P1127" s="772"/>
    </row>
    <row r="1128" spans="14:16">
      <c r="N1128" s="781">
        <v>6652</v>
      </c>
      <c r="O1128" s="662">
        <f>+SUMIF(SYS_4_3_Digitos!$M$5:$M$1682,N1128,SYS_4_3_Digitos!$N$5:$N$1682)</f>
        <v>0</v>
      </c>
      <c r="P1128" s="772"/>
    </row>
    <row r="1129" spans="14:16">
      <c r="N1129" s="781">
        <v>6653</v>
      </c>
      <c r="O1129" s="662">
        <f>+SUMIF(SYS_4_3_Digitos!$M$5:$M$1682,N1129,SYS_4_3_Digitos!$N$5:$N$1682)</f>
        <v>0</v>
      </c>
      <c r="P1129" s="772"/>
    </row>
    <row r="1130" spans="14:16">
      <c r="N1130" s="781">
        <v>6656</v>
      </c>
      <c r="O1130" s="662">
        <f>+SUMIF(SYS_4_3_Digitos!$M$5:$M$1682,N1130,SYS_4_3_Digitos!$N$5:$N$1682)</f>
        <v>0</v>
      </c>
      <c r="P1130" s="772"/>
    </row>
    <row r="1131" spans="14:16">
      <c r="N1131" s="781">
        <v>6657</v>
      </c>
      <c r="O1131" s="662">
        <f>+SUMIF(SYS_4_3_Digitos!$M$5:$M$1682,N1131,SYS_4_3_Digitos!$N$5:$N$1682)</f>
        <v>0</v>
      </c>
      <c r="P1131" s="772"/>
    </row>
    <row r="1132" spans="14:16">
      <c r="N1132" s="781">
        <v>6690</v>
      </c>
      <c r="O1132" s="662">
        <f ca="1">+SUMIF(SYS_4_3_Digitos!$M$5:$M$1682,N1132,SYS_4_3_Digitos!$N$5:$N$1682)</f>
        <v>138283.04</v>
      </c>
      <c r="P1132" s="772"/>
    </row>
    <row r="1133" spans="14:16">
      <c r="N1133" s="781">
        <v>6691</v>
      </c>
      <c r="O1133" s="662">
        <f>+SUMIF(SYS_4_3_Digitos!$M$5:$M$1682,N1133,SYS_4_3_Digitos!$N$5:$N$1682)</f>
        <v>0</v>
      </c>
      <c r="P1133" s="772"/>
    </row>
    <row r="1134" spans="14:16">
      <c r="N1134" s="781">
        <v>6692</v>
      </c>
      <c r="O1134" s="662">
        <f>+SUMIF(SYS_4_3_Digitos!$M$5:$M$1682,N1134,SYS_4_3_Digitos!$N$5:$N$1682)</f>
        <v>0</v>
      </c>
      <c r="P1134" s="772"/>
    </row>
    <row r="1135" spans="14:16">
      <c r="N1135" s="781">
        <v>6693</v>
      </c>
      <c r="O1135" s="662">
        <f>+SUMIF(SYS_4_3_Digitos!$M$5:$M$1682,N1135,SYS_4_3_Digitos!$N$5:$N$1682)</f>
        <v>0</v>
      </c>
      <c r="P1135" s="772"/>
    </row>
    <row r="1136" spans="14:16">
      <c r="N1136" s="781">
        <v>6694</v>
      </c>
      <c r="O1136" s="662">
        <f>+SUMIF(SYS_4_3_Digitos!$M$5:$M$1682,N1136,SYS_4_3_Digitos!$N$5:$N$1682)</f>
        <v>0</v>
      </c>
      <c r="P1136" s="772"/>
    </row>
    <row r="1137" spans="14:16">
      <c r="N1137" s="781">
        <v>6695</v>
      </c>
      <c r="O1137" s="662">
        <f>+SUMIF(SYS_4_3_Digitos!$M$5:$M$1682,N1137,SYS_4_3_Digitos!$N$5:$N$1682)</f>
        <v>0</v>
      </c>
      <c r="P1137" s="772"/>
    </row>
    <row r="1138" spans="14:16">
      <c r="N1138" s="781">
        <v>6696</v>
      </c>
      <c r="O1138" s="662">
        <f>+SUMIF(SYS_4_3_Digitos!$M$5:$M$1682,N1138,SYS_4_3_Digitos!$N$5:$N$1682)</f>
        <v>0</v>
      </c>
      <c r="P1138" s="772"/>
    </row>
    <row r="1139" spans="14:16">
      <c r="N1139" s="781">
        <v>6697</v>
      </c>
      <c r="O1139" s="662">
        <f>+SUMIF(SYS_4_3_Digitos!$M$5:$M$1682,N1139,SYS_4_3_Digitos!$N$5:$N$1682)</f>
        <v>0</v>
      </c>
      <c r="P1139" s="772"/>
    </row>
    <row r="1140" spans="14:16">
      <c r="N1140" s="781">
        <v>6698</v>
      </c>
      <c r="O1140" s="662">
        <f>+SUMIF(SYS_4_3_Digitos!$M$5:$M$1682,N1140,SYS_4_3_Digitos!$N$5:$N$1682)</f>
        <v>0</v>
      </c>
      <c r="P1140" s="772"/>
    </row>
    <row r="1141" spans="14:16">
      <c r="N1141" s="781">
        <v>6699</v>
      </c>
      <c r="O1141" s="662">
        <f>+SUMIF(SYS_4_3_Digitos!$M$5:$M$1682,N1141,SYS_4_3_Digitos!$N$5:$N$1682)</f>
        <v>0</v>
      </c>
      <c r="P1141" s="772"/>
    </row>
    <row r="1142" spans="14:16">
      <c r="N1142" s="781">
        <v>6656</v>
      </c>
      <c r="O1142" s="662">
        <f>+SUMIF(SYS_4_3_Digitos!$M$5:$M$1682,N1142,SYS_4_3_Digitos!$N$5:$N$1682)</f>
        <v>0</v>
      </c>
      <c r="P1142" s="772"/>
    </row>
    <row r="1143" spans="14:16">
      <c r="N1143" s="779" t="s">
        <v>218</v>
      </c>
      <c r="O1143" s="788">
        <f ca="1">SUM(O1144:O1153)</f>
        <v>0</v>
      </c>
      <c r="P1143" s="772"/>
    </row>
    <row r="1144" spans="14:16">
      <c r="N1144" s="781">
        <v>6600</v>
      </c>
      <c r="O1144" s="662">
        <f ca="1">+SUMIF(SYS_4_3_Digitos!$M$5:$M$1682,N1144,SYS_4_3_Digitos!$N$5:$N$1682)</f>
        <v>0</v>
      </c>
      <c r="P1144" s="772"/>
    </row>
    <row r="1145" spans="14:16">
      <c r="N1145" s="781">
        <v>6601</v>
      </c>
      <c r="O1145" s="662">
        <f>+SUMIF(SYS_4_3_Digitos!$M$5:$M$1682,N1145,SYS_4_3_Digitos!$N$5:$N$1682)</f>
        <v>0</v>
      </c>
      <c r="P1145" s="789" t="s">
        <v>264</v>
      </c>
    </row>
    <row r="1146" spans="14:16">
      <c r="N1146" s="781">
        <v>6602</v>
      </c>
      <c r="O1146" s="662">
        <f>+SUMIF(SYS_4_3_Digitos!$M$5:$M$1682,N1146,SYS_4_3_Digitos!$N$5:$N$1682)</f>
        <v>0</v>
      </c>
      <c r="P1146" s="772"/>
    </row>
    <row r="1147" spans="14:16">
      <c r="N1147" s="781">
        <v>6603</v>
      </c>
      <c r="O1147" s="662">
        <f>+SUMIF(SYS_4_3_Digitos!$M$5:$M$1682,N1147,SYS_4_3_Digitos!$N$5:$N$1682)</f>
        <v>0</v>
      </c>
      <c r="P1147" s="772"/>
    </row>
    <row r="1148" spans="14:16">
      <c r="N1148" s="781">
        <v>6604</v>
      </c>
      <c r="O1148" s="662">
        <f>+SUMIF(SYS_4_3_Digitos!$M$5:$M$1682,N1148,SYS_4_3_Digitos!$N$5:$N$1682)</f>
        <v>0</v>
      </c>
      <c r="P1148" s="772"/>
    </row>
    <row r="1149" spans="14:16">
      <c r="N1149" s="781">
        <v>6605</v>
      </c>
      <c r="O1149" s="662">
        <f>+SUMIF(SYS_4_3_Digitos!$M$5:$M$1682,N1149,SYS_4_3_Digitos!$N$5:$N$1682)</f>
        <v>0</v>
      </c>
      <c r="P1149" s="772"/>
    </row>
    <row r="1150" spans="14:16">
      <c r="N1150" s="781">
        <v>6606</v>
      </c>
      <c r="O1150" s="662">
        <f>+SUMIF(SYS_4_3_Digitos!$M$5:$M$1682,N1150,SYS_4_3_Digitos!$N$5:$N$1682)</f>
        <v>0</v>
      </c>
      <c r="P1150" s="772"/>
    </row>
    <row r="1151" spans="14:16">
      <c r="N1151" s="781">
        <v>6607</v>
      </c>
      <c r="O1151" s="662">
        <f>+SUMIF(SYS_4_3_Digitos!$M$5:$M$1682,N1151,SYS_4_3_Digitos!$N$5:$N$1682)</f>
        <v>0</v>
      </c>
      <c r="P1151" s="772"/>
    </row>
    <row r="1152" spans="14:16">
      <c r="N1152" s="781">
        <v>6608</v>
      </c>
      <c r="O1152" s="662">
        <f>+SUMIF(SYS_4_3_Digitos!$M$5:$M$1682,N1152,SYS_4_3_Digitos!$N$5:$N$1682)</f>
        <v>0</v>
      </c>
      <c r="P1152" s="772"/>
    </row>
    <row r="1153" spans="14:16">
      <c r="N1153" s="781">
        <v>6609</v>
      </c>
      <c r="O1153" s="662">
        <f>+SUMIF(SYS_4_3_Digitos!$M$5:$M$1682,N1153,SYS_4_3_Digitos!$N$5:$N$1682)</f>
        <v>0</v>
      </c>
      <c r="P1153" s="772"/>
    </row>
    <row r="1154" spans="14:16">
      <c r="N1154" s="776" t="s">
        <v>1529</v>
      </c>
      <c r="O1154" s="771"/>
      <c r="P1154" s="772"/>
    </row>
    <row r="1155" spans="14:16">
      <c r="N1155" s="779" t="s">
        <v>220</v>
      </c>
      <c r="O1155" s="788">
        <f ca="1">SUM(O1156:O1161)</f>
        <v>-3504561.87</v>
      </c>
      <c r="P1155" s="772"/>
    </row>
    <row r="1156" spans="14:16">
      <c r="N1156" s="781">
        <v>6630</v>
      </c>
      <c r="O1156" s="662">
        <f ca="1">+SUMIF(SYS_4_3_Digitos!$M$5:$M$1682,N1156,SYS_4_3_Digitos!$N$5:$N$1682)</f>
        <v>0</v>
      </c>
      <c r="P1156" s="772"/>
    </row>
    <row r="1157" spans="14:16">
      <c r="N1157" s="781">
        <v>6631</v>
      </c>
      <c r="O1157" s="662">
        <f>+SUMIF(SYS_4_3_Digitos!$M$5:$M$1682,N1157,SYS_4_3_Digitos!$N$5:$N$1682)</f>
        <v>0</v>
      </c>
      <c r="P1157" s="772" t="s">
        <v>250</v>
      </c>
    </row>
    <row r="1158" spans="14:16">
      <c r="N1158" s="781">
        <v>6633</v>
      </c>
      <c r="O1158" s="662">
        <f>+SUMIF(SYS_4_3_Digitos!$M$5:$M$1682,N1158,SYS_4_3_Digitos!$N$5:$N$1682)</f>
        <v>0</v>
      </c>
      <c r="P1158" s="772"/>
    </row>
    <row r="1159" spans="14:16">
      <c r="N1159" s="781">
        <v>7630</v>
      </c>
      <c r="O1159" s="662">
        <f ca="1">+SUMIF(SYS_4_3_Digitos!$M$5:$M$1682,N1159,SYS_4_3_Digitos!$N$5:$N$1682)</f>
        <v>-3504561.87</v>
      </c>
      <c r="P1159" s="772"/>
    </row>
    <row r="1160" spans="14:16">
      <c r="N1160" s="781">
        <v>7631</v>
      </c>
      <c r="O1160" s="662">
        <f>+SUMIF(SYS_4_3_Digitos!$M$5:$M$1682,N1160,SYS_4_3_Digitos!$N$5:$N$1682)</f>
        <v>0</v>
      </c>
      <c r="P1160" s="772"/>
    </row>
    <row r="1161" spans="14:16">
      <c r="N1161" s="781">
        <v>7633</v>
      </c>
      <c r="O1161" s="662">
        <f>+SUMIF(SYS_4_3_Digitos!$M$5:$M$1682,N1161,SYS_4_3_Digitos!$N$5:$N$1682)</f>
        <v>0</v>
      </c>
      <c r="P1161" s="772"/>
    </row>
    <row r="1162" spans="14:16" ht="26.4">
      <c r="N1162" s="779" t="s">
        <v>221</v>
      </c>
      <c r="O1162" s="788">
        <f>SUM(O1163:O1164)</f>
        <v>0</v>
      </c>
      <c r="P1162" s="772"/>
    </row>
    <row r="1163" spans="14:16">
      <c r="N1163" s="781">
        <v>6632</v>
      </c>
      <c r="O1163" s="662">
        <f>+SUMIF(SYS_4_3_Digitos!$M$5:$M$1682,N1163,SYS_4_3_Digitos!$N$5:$N$1682)</f>
        <v>0</v>
      </c>
      <c r="P1163" s="772"/>
    </row>
    <row r="1164" spans="14:16">
      <c r="N1164" s="781">
        <v>7632</v>
      </c>
      <c r="O1164" s="662">
        <f>+SUMIF(SYS_4_3_Digitos!$M$5:$M$1682,N1164,SYS_4_3_Digitos!$N$5:$N$1682)</f>
        <v>0</v>
      </c>
      <c r="P1164" s="772" t="s">
        <v>251</v>
      </c>
    </row>
    <row r="1165" spans="14:16">
      <c r="N1165" s="776" t="s">
        <v>1530</v>
      </c>
      <c r="O1165" s="787">
        <f ca="1">SUM(O1166:O1185)</f>
        <v>3080.3499999999767</v>
      </c>
      <c r="P1165" s="772"/>
    </row>
    <row r="1166" spans="14:16">
      <c r="N1166" s="781">
        <v>6680</v>
      </c>
      <c r="O1166" s="662">
        <f ca="1">+SUMIF(SYS_4_3_Digitos!$M$5:$M$1682,N1166,SYS_4_3_Digitos!$N$5:$N$1682)</f>
        <v>163783.06</v>
      </c>
      <c r="P1166" s="772"/>
    </row>
    <row r="1167" spans="14:16">
      <c r="N1167" s="781">
        <v>6681</v>
      </c>
      <c r="O1167" s="662">
        <f>+SUMIF(SYS_4_3_Digitos!$M$5:$M$1682,N1167,SYS_4_3_Digitos!$N$5:$N$1682)</f>
        <v>0</v>
      </c>
      <c r="P1167" s="772" t="s">
        <v>252</v>
      </c>
    </row>
    <row r="1168" spans="14:16">
      <c r="N1168" s="781">
        <v>6682</v>
      </c>
      <c r="O1168" s="662">
        <f>+SUMIF(SYS_4_3_Digitos!$M$5:$M$1682,N1168,SYS_4_3_Digitos!$N$5:$N$1682)</f>
        <v>0</v>
      </c>
      <c r="P1168" s="772"/>
    </row>
    <row r="1169" spans="14:16">
      <c r="N1169" s="781">
        <v>6683</v>
      </c>
      <c r="O1169" s="662">
        <f>+SUMIF(SYS_4_3_Digitos!$M$5:$M$1682,N1169,SYS_4_3_Digitos!$N$5:$N$1682)</f>
        <v>0</v>
      </c>
      <c r="P1169" s="772"/>
    </row>
    <row r="1170" spans="14:16">
      <c r="N1170" s="781">
        <v>6684</v>
      </c>
      <c r="O1170" s="662">
        <f>+SUMIF(SYS_4_3_Digitos!$M$5:$M$1682,N1170,SYS_4_3_Digitos!$N$5:$N$1682)</f>
        <v>0</v>
      </c>
      <c r="P1170" s="772"/>
    </row>
    <row r="1171" spans="14:16">
      <c r="N1171" s="781">
        <v>6685</v>
      </c>
      <c r="O1171" s="662">
        <f>+SUMIF(SYS_4_3_Digitos!$M$5:$M$1682,N1171,SYS_4_3_Digitos!$N$5:$N$1682)</f>
        <v>0</v>
      </c>
      <c r="P1171" s="772"/>
    </row>
    <row r="1172" spans="14:16">
      <c r="N1172" s="781">
        <v>6686</v>
      </c>
      <c r="O1172" s="662">
        <f>+SUMIF(SYS_4_3_Digitos!$M$5:$M$1682,N1172,SYS_4_3_Digitos!$N$5:$N$1682)</f>
        <v>0</v>
      </c>
      <c r="P1172" s="772"/>
    </row>
    <row r="1173" spans="14:16">
      <c r="N1173" s="781">
        <v>6687</v>
      </c>
      <c r="O1173" s="662">
        <f>+SUMIF(SYS_4_3_Digitos!$M$5:$M$1682,N1173,SYS_4_3_Digitos!$N$5:$N$1682)</f>
        <v>0</v>
      </c>
      <c r="P1173" s="772"/>
    </row>
    <row r="1174" spans="14:16">
      <c r="N1174" s="781">
        <v>6688</v>
      </c>
      <c r="O1174" s="662">
        <f>+SUMIF(SYS_4_3_Digitos!$M$5:$M$1682,N1174,SYS_4_3_Digitos!$N$5:$N$1682)</f>
        <v>0</v>
      </c>
      <c r="P1174" s="772"/>
    </row>
    <row r="1175" spans="14:16">
      <c r="N1175" s="781">
        <v>6689</v>
      </c>
      <c r="O1175" s="662">
        <f>+SUMIF(SYS_4_3_Digitos!$M$5:$M$1682,N1175,SYS_4_3_Digitos!$N$5:$N$1682)</f>
        <v>0</v>
      </c>
      <c r="P1175" s="772"/>
    </row>
    <row r="1176" spans="14:16">
      <c r="N1176" s="781">
        <v>7680</v>
      </c>
      <c r="O1176" s="662">
        <f ca="1">+SUMIF(SYS_4_3_Digitos!$M$5:$M$1682,N1176,SYS_4_3_Digitos!$N$5:$N$1682)</f>
        <v>-160702.71000000002</v>
      </c>
      <c r="P1176" s="772"/>
    </row>
    <row r="1177" spans="14:16">
      <c r="N1177" s="781">
        <v>7681</v>
      </c>
      <c r="O1177" s="662">
        <f>+SUMIF(SYS_4_3_Digitos!$M$5:$M$1682,N1177,SYS_4_3_Digitos!$N$5:$N$1682)</f>
        <v>0</v>
      </c>
      <c r="P1177" s="772"/>
    </row>
    <row r="1178" spans="14:16">
      <c r="N1178" s="781">
        <v>7682</v>
      </c>
      <c r="O1178" s="662">
        <f>+SUMIF(SYS_4_3_Digitos!$M$5:$M$1682,N1178,SYS_4_3_Digitos!$N$5:$N$1682)</f>
        <v>0</v>
      </c>
      <c r="P1178" s="772"/>
    </row>
    <row r="1179" spans="14:16">
      <c r="N1179" s="781">
        <v>7683</v>
      </c>
      <c r="O1179" s="662">
        <f>+SUMIF(SYS_4_3_Digitos!$M$5:$M$1682,N1179,SYS_4_3_Digitos!$N$5:$N$1682)</f>
        <v>0</v>
      </c>
      <c r="P1179" s="772"/>
    </row>
    <row r="1180" spans="14:16">
      <c r="N1180" s="781">
        <v>7684</v>
      </c>
      <c r="O1180" s="662">
        <f>+SUMIF(SYS_4_3_Digitos!$M$5:$M$1682,N1180,SYS_4_3_Digitos!$N$5:$N$1682)</f>
        <v>0</v>
      </c>
      <c r="P1180" s="772"/>
    </row>
    <row r="1181" spans="14:16">
      <c r="N1181" s="781">
        <v>7685</v>
      </c>
      <c r="O1181" s="662">
        <f>+SUMIF(SYS_4_3_Digitos!$M$5:$M$1682,N1181,SYS_4_3_Digitos!$N$5:$N$1682)</f>
        <v>0</v>
      </c>
      <c r="P1181" s="772"/>
    </row>
    <row r="1182" spans="14:16">
      <c r="N1182" s="781">
        <v>7686</v>
      </c>
      <c r="O1182" s="662">
        <f>+SUMIF(SYS_4_3_Digitos!$M$5:$M$1682,N1182,SYS_4_3_Digitos!$N$5:$N$1682)</f>
        <v>0</v>
      </c>
      <c r="P1182" s="772"/>
    </row>
    <row r="1183" spans="14:16">
      <c r="N1183" s="781">
        <v>7687</v>
      </c>
      <c r="O1183" s="662">
        <f>+SUMIF(SYS_4_3_Digitos!$M$5:$M$1682,N1183,SYS_4_3_Digitos!$N$5:$N$1682)</f>
        <v>0</v>
      </c>
      <c r="P1183" s="772"/>
    </row>
    <row r="1184" spans="14:16">
      <c r="N1184" s="781">
        <v>7688</v>
      </c>
      <c r="O1184" s="662">
        <f>+SUMIF(SYS_4_3_Digitos!$M$5:$M$1682,N1184,SYS_4_3_Digitos!$N$5:$N$1682)</f>
        <v>0</v>
      </c>
      <c r="P1184" s="772"/>
    </row>
    <row r="1185" spans="14:16">
      <c r="N1185" s="781">
        <v>7689</v>
      </c>
      <c r="O1185" s="662">
        <f>+SUMIF(SYS_4_3_Digitos!$M$5:$M$1682,N1185,SYS_4_3_Digitos!$N$5:$N$1682)</f>
        <v>0</v>
      </c>
      <c r="P1185" s="772"/>
    </row>
    <row r="1186" spans="14:16">
      <c r="N1186" s="776" t="s">
        <v>1531</v>
      </c>
      <c r="O1186" s="771"/>
      <c r="P1186" s="772"/>
    </row>
    <row r="1187" spans="14:16">
      <c r="N1187" s="779" t="s">
        <v>268</v>
      </c>
      <c r="O1187" s="788">
        <f ca="1">SUM(O1188:O1267)</f>
        <v>0</v>
      </c>
      <c r="P1187" s="772"/>
    </row>
    <row r="1188" spans="14:16">
      <c r="N1188" s="781">
        <v>6960</v>
      </c>
      <c r="O1188" s="662">
        <f ca="1">+SUMIF(SYS_4_3_Digitos!$M$5:$M$1682,N1188,SYS_4_3_Digitos!$N$5:$N$1682)</f>
        <v>0</v>
      </c>
      <c r="P1188" s="772"/>
    </row>
    <row r="1189" spans="14:16">
      <c r="N1189" s="781">
        <v>6961</v>
      </c>
      <c r="O1189" s="662">
        <f ca="1">+SUMIF(SYS_4_3_Digitos!$M$5:$M$1682,N1189,SYS_4_3_Digitos!$N$5:$N$1682)</f>
        <v>0</v>
      </c>
      <c r="P1189" s="772" t="s">
        <v>253</v>
      </c>
    </row>
    <row r="1190" spans="14:16">
      <c r="N1190" s="781">
        <v>6962</v>
      </c>
      <c r="O1190" s="662">
        <f ca="1">+SUMIF(SYS_4_3_Digitos!$M$5:$M$1682,N1190,SYS_4_3_Digitos!$N$5:$N$1682)</f>
        <v>0</v>
      </c>
      <c r="P1190" s="772"/>
    </row>
    <row r="1191" spans="14:16">
      <c r="N1191" s="781">
        <v>6963</v>
      </c>
      <c r="O1191" s="662">
        <f ca="1">+SUMIF(SYS_4_3_Digitos!$M$5:$M$1682,N1191,SYS_4_3_Digitos!$N$5:$N$1682)</f>
        <v>0</v>
      </c>
      <c r="P1191" s="772"/>
    </row>
    <row r="1192" spans="14:16">
      <c r="N1192" s="781">
        <v>6964</v>
      </c>
      <c r="O1192" s="662">
        <f>+SUMIF(SYS_4_3_Digitos!$M$5:$M$1682,N1192,SYS_4_3_Digitos!$N$5:$N$1682)</f>
        <v>0</v>
      </c>
      <c r="P1192" s="772"/>
    </row>
    <row r="1193" spans="14:16">
      <c r="N1193" s="781">
        <v>6965</v>
      </c>
      <c r="O1193" s="662">
        <f>+SUMIF(SYS_4_3_Digitos!$M$5:$M$1682,N1193,SYS_4_3_Digitos!$N$5:$N$1682)</f>
        <v>0</v>
      </c>
      <c r="P1193" s="772"/>
    </row>
    <row r="1194" spans="14:16">
      <c r="N1194" s="781">
        <v>6966</v>
      </c>
      <c r="O1194" s="662">
        <f>+SUMIF(SYS_4_3_Digitos!$M$5:$M$1682,N1194,SYS_4_3_Digitos!$N$5:$N$1682)</f>
        <v>0</v>
      </c>
      <c r="P1194" s="772"/>
    </row>
    <row r="1195" spans="14:16">
      <c r="N1195" s="781">
        <v>6967</v>
      </c>
      <c r="O1195" s="662">
        <f>+SUMIF(SYS_4_3_Digitos!$M$5:$M$1682,N1195,SYS_4_3_Digitos!$N$5:$N$1682)</f>
        <v>0</v>
      </c>
      <c r="P1195" s="772"/>
    </row>
    <row r="1196" spans="14:16">
      <c r="N1196" s="781">
        <v>6968</v>
      </c>
      <c r="O1196" s="662">
        <f>+SUMIF(SYS_4_3_Digitos!$M$5:$M$1682,N1196,SYS_4_3_Digitos!$N$5:$N$1682)</f>
        <v>0</v>
      </c>
      <c r="P1196" s="772"/>
    </row>
    <row r="1197" spans="14:16">
      <c r="N1197" s="781">
        <v>6969</v>
      </c>
      <c r="O1197" s="662">
        <f>+SUMIF(SYS_4_3_Digitos!$M$5:$M$1682,N1197,SYS_4_3_Digitos!$N$5:$N$1682)</f>
        <v>0</v>
      </c>
      <c r="P1197" s="772"/>
    </row>
    <row r="1198" spans="14:16">
      <c r="N1198" s="781">
        <v>6970</v>
      </c>
      <c r="O1198" s="662">
        <f ca="1">+SUMIF(SYS_4_3_Digitos!$M$5:$M$1682,N1198,SYS_4_3_Digitos!$N$5:$N$1682)</f>
        <v>0</v>
      </c>
      <c r="P1198" s="772"/>
    </row>
    <row r="1199" spans="14:16">
      <c r="N1199" s="781">
        <v>6971</v>
      </c>
      <c r="O1199" s="662">
        <f ca="1">+SUMIF(SYS_4_3_Digitos!$M$5:$M$1682,N1199,SYS_4_3_Digitos!$N$5:$N$1682)</f>
        <v>0</v>
      </c>
      <c r="P1199" s="772"/>
    </row>
    <row r="1200" spans="14:16">
      <c r="N1200" s="781">
        <v>6972</v>
      </c>
      <c r="O1200" s="662">
        <f ca="1">+SUMIF(SYS_4_3_Digitos!$M$5:$M$1682,N1200,SYS_4_3_Digitos!$N$5:$N$1682)</f>
        <v>0</v>
      </c>
      <c r="P1200" s="772"/>
    </row>
    <row r="1201" spans="14:16">
      <c r="N1201" s="781">
        <v>6973</v>
      </c>
      <c r="O1201" s="662">
        <f ca="1">+SUMIF(SYS_4_3_Digitos!$M$5:$M$1682,N1201,SYS_4_3_Digitos!$N$5:$N$1682)</f>
        <v>0</v>
      </c>
      <c r="P1201" s="772"/>
    </row>
    <row r="1202" spans="14:16">
      <c r="N1202" s="781">
        <v>6974</v>
      </c>
      <c r="O1202" s="662">
        <f>+SUMIF(SYS_4_3_Digitos!$M$5:$M$1682,N1202,SYS_4_3_Digitos!$N$5:$N$1682)</f>
        <v>0</v>
      </c>
      <c r="P1202" s="772"/>
    </row>
    <row r="1203" spans="14:16">
      <c r="N1203" s="781">
        <v>6975</v>
      </c>
      <c r="O1203" s="662">
        <f>+SUMIF(SYS_4_3_Digitos!$M$5:$M$1682,N1203,SYS_4_3_Digitos!$N$5:$N$1682)</f>
        <v>0</v>
      </c>
      <c r="P1203" s="772"/>
    </row>
    <row r="1204" spans="14:16">
      <c r="N1204" s="781">
        <v>6976</v>
      </c>
      <c r="O1204" s="662">
        <f>+SUMIF(SYS_4_3_Digitos!$M$5:$M$1682,N1204,SYS_4_3_Digitos!$N$5:$N$1682)</f>
        <v>0</v>
      </c>
      <c r="P1204" s="772"/>
    </row>
    <row r="1205" spans="14:16">
      <c r="N1205" s="781">
        <v>6977</v>
      </c>
      <c r="O1205" s="662">
        <f>+SUMIF(SYS_4_3_Digitos!$M$5:$M$1682,N1205,SYS_4_3_Digitos!$N$5:$N$1682)</f>
        <v>0</v>
      </c>
      <c r="P1205" s="772"/>
    </row>
    <row r="1206" spans="14:16">
      <c r="N1206" s="781">
        <v>6978</v>
      </c>
      <c r="O1206" s="662">
        <f>+SUMIF(SYS_4_3_Digitos!$M$5:$M$1682,N1206,SYS_4_3_Digitos!$N$5:$N$1682)</f>
        <v>0</v>
      </c>
      <c r="P1206" s="772"/>
    </row>
    <row r="1207" spans="14:16">
      <c r="N1207" s="781">
        <v>6979</v>
      </c>
      <c r="O1207" s="662">
        <f>+SUMIF(SYS_4_3_Digitos!$M$5:$M$1682,N1207,SYS_4_3_Digitos!$N$5:$N$1682)</f>
        <v>0</v>
      </c>
      <c r="P1207" s="772"/>
    </row>
    <row r="1208" spans="14:16">
      <c r="N1208" s="781">
        <v>6980</v>
      </c>
      <c r="O1208" s="662">
        <f ca="1">+SUMIF(SYS_4_3_Digitos!$M$5:$M$1682,N1208,SYS_4_3_Digitos!$N$5:$N$1682)</f>
        <v>0</v>
      </c>
      <c r="P1208" s="772"/>
    </row>
    <row r="1209" spans="14:16">
      <c r="N1209" s="781">
        <v>6981</v>
      </c>
      <c r="O1209" s="662">
        <f>+SUMIF(SYS_4_3_Digitos!$M$5:$M$1682,N1209,SYS_4_3_Digitos!$N$5:$N$1682)</f>
        <v>0</v>
      </c>
      <c r="P1209" s="772"/>
    </row>
    <row r="1210" spans="14:16">
      <c r="N1210" s="781">
        <v>6982</v>
      </c>
      <c r="O1210" s="662">
        <f>+SUMIF(SYS_4_3_Digitos!$M$5:$M$1682,N1210,SYS_4_3_Digitos!$N$5:$N$1682)</f>
        <v>0</v>
      </c>
      <c r="P1210" s="772"/>
    </row>
    <row r="1211" spans="14:16">
      <c r="N1211" s="781">
        <v>6983</v>
      </c>
      <c r="O1211" s="662">
        <f>+SUMIF(SYS_4_3_Digitos!$M$5:$M$1682,N1211,SYS_4_3_Digitos!$N$5:$N$1682)</f>
        <v>0</v>
      </c>
      <c r="P1211" s="772"/>
    </row>
    <row r="1212" spans="14:16">
      <c r="N1212" s="781">
        <v>6984</v>
      </c>
      <c r="O1212" s="662">
        <f>+SUMIF(SYS_4_3_Digitos!$M$5:$M$1682,N1212,SYS_4_3_Digitos!$N$5:$N$1682)</f>
        <v>0</v>
      </c>
      <c r="P1212" s="772"/>
    </row>
    <row r="1213" spans="14:16">
      <c r="N1213" s="781">
        <v>6985</v>
      </c>
      <c r="O1213" s="662">
        <f>+SUMIF(SYS_4_3_Digitos!$M$5:$M$1682,N1213,SYS_4_3_Digitos!$N$5:$N$1682)</f>
        <v>0</v>
      </c>
      <c r="P1213" s="772"/>
    </row>
    <row r="1214" spans="14:16">
      <c r="N1214" s="781">
        <v>6986</v>
      </c>
      <c r="O1214" s="662">
        <f>+SUMIF(SYS_4_3_Digitos!$M$5:$M$1682,N1214,SYS_4_3_Digitos!$N$5:$N$1682)</f>
        <v>0</v>
      </c>
      <c r="P1214" s="772"/>
    </row>
    <row r="1215" spans="14:16">
      <c r="N1215" s="781">
        <v>6987</v>
      </c>
      <c r="O1215" s="662">
        <f>+SUMIF(SYS_4_3_Digitos!$M$5:$M$1682,N1215,SYS_4_3_Digitos!$N$5:$N$1682)</f>
        <v>0</v>
      </c>
      <c r="P1215" s="772"/>
    </row>
    <row r="1216" spans="14:16">
      <c r="N1216" s="781">
        <v>6988</v>
      </c>
      <c r="O1216" s="662">
        <f>+SUMIF(SYS_4_3_Digitos!$M$5:$M$1682,N1216,SYS_4_3_Digitos!$N$5:$N$1682)</f>
        <v>0</v>
      </c>
      <c r="P1216" s="772"/>
    </row>
    <row r="1217" spans="14:16">
      <c r="N1217" s="781">
        <v>6989</v>
      </c>
      <c r="O1217" s="662">
        <f>+SUMIF(SYS_4_3_Digitos!$M$5:$M$1682,N1217,SYS_4_3_Digitos!$N$5:$N$1682)</f>
        <v>0</v>
      </c>
      <c r="P1217" s="772"/>
    </row>
    <row r="1218" spans="14:16">
      <c r="N1218" s="781">
        <v>6990</v>
      </c>
      <c r="O1218" s="662">
        <f ca="1">+SUMIF(SYS_4_3_Digitos!$M$5:$M$1682,N1218,SYS_4_3_Digitos!$N$5:$N$1682)</f>
        <v>0</v>
      </c>
      <c r="P1218" s="772"/>
    </row>
    <row r="1219" spans="14:16">
      <c r="N1219" s="781">
        <v>6991</v>
      </c>
      <c r="O1219" s="662">
        <f>+SUMIF(SYS_4_3_Digitos!$M$5:$M$1682,N1219,SYS_4_3_Digitos!$N$5:$N$1682)</f>
        <v>0</v>
      </c>
      <c r="P1219" s="772"/>
    </row>
    <row r="1220" spans="14:16">
      <c r="N1220" s="781">
        <v>6992</v>
      </c>
      <c r="O1220" s="662">
        <f>+SUMIF(SYS_4_3_Digitos!$M$5:$M$1682,N1220,SYS_4_3_Digitos!$N$5:$N$1682)</f>
        <v>0</v>
      </c>
      <c r="P1220" s="772"/>
    </row>
    <row r="1221" spans="14:16">
      <c r="N1221" s="781">
        <v>6993</v>
      </c>
      <c r="O1221" s="662">
        <f>+SUMIF(SYS_4_3_Digitos!$M$5:$M$1682,N1221,SYS_4_3_Digitos!$N$5:$N$1682)</f>
        <v>0</v>
      </c>
      <c r="P1221" s="772"/>
    </row>
    <row r="1222" spans="14:16">
      <c r="N1222" s="781">
        <v>6994</v>
      </c>
      <c r="O1222" s="662">
        <f>+SUMIF(SYS_4_3_Digitos!$M$5:$M$1682,N1222,SYS_4_3_Digitos!$N$5:$N$1682)</f>
        <v>0</v>
      </c>
      <c r="P1222" s="772"/>
    </row>
    <row r="1223" spans="14:16">
      <c r="N1223" s="781">
        <v>6995</v>
      </c>
      <c r="O1223" s="662">
        <f>+SUMIF(SYS_4_3_Digitos!$M$5:$M$1682,N1223,SYS_4_3_Digitos!$N$5:$N$1682)</f>
        <v>0</v>
      </c>
      <c r="P1223" s="772"/>
    </row>
    <row r="1224" spans="14:16">
      <c r="N1224" s="781">
        <v>6996</v>
      </c>
      <c r="O1224" s="662">
        <f>+SUMIF(SYS_4_3_Digitos!$M$5:$M$1682,N1224,SYS_4_3_Digitos!$N$5:$N$1682)</f>
        <v>0</v>
      </c>
      <c r="P1224" s="772"/>
    </row>
    <row r="1225" spans="14:16">
      <c r="N1225" s="781">
        <v>6997</v>
      </c>
      <c r="O1225" s="662">
        <f>+SUMIF(SYS_4_3_Digitos!$M$5:$M$1682,N1225,SYS_4_3_Digitos!$N$5:$N$1682)</f>
        <v>0</v>
      </c>
      <c r="P1225" s="772"/>
    </row>
    <row r="1226" spans="14:16">
      <c r="N1226" s="781">
        <v>6998</v>
      </c>
      <c r="O1226" s="662">
        <f>+SUMIF(SYS_4_3_Digitos!$M$5:$M$1682,N1226,SYS_4_3_Digitos!$N$5:$N$1682)</f>
        <v>0</v>
      </c>
      <c r="P1226" s="772"/>
    </row>
    <row r="1227" spans="14:16">
      <c r="N1227" s="781">
        <v>6999</v>
      </c>
      <c r="O1227" s="662">
        <f>+SUMIF(SYS_4_3_Digitos!$M$5:$M$1682,N1227,SYS_4_3_Digitos!$N$5:$N$1682)</f>
        <v>0</v>
      </c>
      <c r="P1227" s="772"/>
    </row>
    <row r="1228" spans="14:16">
      <c r="N1228" s="781">
        <v>7960</v>
      </c>
      <c r="O1228" s="662">
        <f ca="1">+SUMIF(SYS_4_3_Digitos!$M$5:$M$1682,N1228,SYS_4_3_Digitos!$N$5:$N$1682)</f>
        <v>0</v>
      </c>
      <c r="P1228" s="772"/>
    </row>
    <row r="1229" spans="14:16">
      <c r="N1229" s="781">
        <v>7961</v>
      </c>
      <c r="O1229" s="662">
        <f>+SUMIF(SYS_4_3_Digitos!$M$5:$M$1682,N1229,SYS_4_3_Digitos!$N$5:$N$1682)</f>
        <v>0</v>
      </c>
      <c r="P1229" s="772"/>
    </row>
    <row r="1230" spans="14:16">
      <c r="N1230" s="781">
        <v>7962</v>
      </c>
      <c r="O1230" s="662">
        <f>+SUMIF(SYS_4_3_Digitos!$M$5:$M$1682,N1230,SYS_4_3_Digitos!$N$5:$N$1682)</f>
        <v>0</v>
      </c>
      <c r="P1230" s="772"/>
    </row>
    <row r="1231" spans="14:16">
      <c r="N1231" s="781">
        <v>7963</v>
      </c>
      <c r="O1231" s="662">
        <f>+SUMIF(SYS_4_3_Digitos!$M$5:$M$1682,N1231,SYS_4_3_Digitos!$N$5:$N$1682)</f>
        <v>0</v>
      </c>
      <c r="P1231" s="772"/>
    </row>
    <row r="1232" spans="14:16">
      <c r="N1232" s="781">
        <v>7964</v>
      </c>
      <c r="O1232" s="662">
        <f>+SUMIF(SYS_4_3_Digitos!$M$5:$M$1682,N1232,SYS_4_3_Digitos!$N$5:$N$1682)</f>
        <v>0</v>
      </c>
      <c r="P1232" s="772"/>
    </row>
    <row r="1233" spans="14:16">
      <c r="N1233" s="781">
        <v>7965</v>
      </c>
      <c r="O1233" s="662">
        <f>+SUMIF(SYS_4_3_Digitos!$M$5:$M$1682,N1233,SYS_4_3_Digitos!$N$5:$N$1682)</f>
        <v>0</v>
      </c>
      <c r="P1233" s="772"/>
    </row>
    <row r="1234" spans="14:16">
      <c r="N1234" s="781">
        <v>7966</v>
      </c>
      <c r="O1234" s="662">
        <f>+SUMIF(SYS_4_3_Digitos!$M$5:$M$1682,N1234,SYS_4_3_Digitos!$N$5:$N$1682)</f>
        <v>0</v>
      </c>
      <c r="P1234" s="772"/>
    </row>
    <row r="1235" spans="14:16">
      <c r="N1235" s="781">
        <v>7967</v>
      </c>
      <c r="O1235" s="662">
        <f>+SUMIF(SYS_4_3_Digitos!$M$5:$M$1682,N1235,SYS_4_3_Digitos!$N$5:$N$1682)</f>
        <v>0</v>
      </c>
      <c r="P1235" s="772"/>
    </row>
    <row r="1236" spans="14:16">
      <c r="N1236" s="781">
        <v>7968</v>
      </c>
      <c r="O1236" s="662">
        <f>+SUMIF(SYS_4_3_Digitos!$M$5:$M$1682,N1236,SYS_4_3_Digitos!$N$5:$N$1682)</f>
        <v>0</v>
      </c>
      <c r="P1236" s="772"/>
    </row>
    <row r="1237" spans="14:16">
      <c r="N1237" s="781">
        <v>7969</v>
      </c>
      <c r="O1237" s="662">
        <f>+SUMIF(SYS_4_3_Digitos!$M$5:$M$1682,N1237,SYS_4_3_Digitos!$N$5:$N$1682)</f>
        <v>0</v>
      </c>
      <c r="P1237" s="772"/>
    </row>
    <row r="1238" spans="14:16">
      <c r="N1238" s="781">
        <v>7970</v>
      </c>
      <c r="O1238" s="662">
        <f ca="1">+SUMIF(SYS_4_3_Digitos!$M$5:$M$1682,N1238,SYS_4_3_Digitos!$N$5:$N$1682)</f>
        <v>0</v>
      </c>
      <c r="P1238" s="772"/>
    </row>
    <row r="1239" spans="14:16">
      <c r="N1239" s="781">
        <v>7971</v>
      </c>
      <c r="O1239" s="662">
        <f>+SUMIF(SYS_4_3_Digitos!$M$5:$M$1682,N1239,SYS_4_3_Digitos!$N$5:$N$1682)</f>
        <v>0</v>
      </c>
      <c r="P1239" s="772"/>
    </row>
    <row r="1240" spans="14:16">
      <c r="N1240" s="781">
        <v>7972</v>
      </c>
      <c r="O1240" s="662">
        <f>+SUMIF(SYS_4_3_Digitos!$M$5:$M$1682,N1240,SYS_4_3_Digitos!$N$5:$N$1682)</f>
        <v>0</v>
      </c>
      <c r="P1240" s="772"/>
    </row>
    <row r="1241" spans="14:16">
      <c r="N1241" s="781">
        <v>7973</v>
      </c>
      <c r="O1241" s="662">
        <f>+SUMIF(SYS_4_3_Digitos!$M$5:$M$1682,N1241,SYS_4_3_Digitos!$N$5:$N$1682)</f>
        <v>0</v>
      </c>
      <c r="P1241" s="772"/>
    </row>
    <row r="1242" spans="14:16">
      <c r="N1242" s="781">
        <v>7974</v>
      </c>
      <c r="O1242" s="662">
        <f>+SUMIF(SYS_4_3_Digitos!$M$5:$M$1682,N1242,SYS_4_3_Digitos!$N$5:$N$1682)</f>
        <v>0</v>
      </c>
      <c r="P1242" s="772"/>
    </row>
    <row r="1243" spans="14:16">
      <c r="N1243" s="781">
        <v>7975</v>
      </c>
      <c r="O1243" s="662">
        <f>+SUMIF(SYS_4_3_Digitos!$M$5:$M$1682,N1243,SYS_4_3_Digitos!$N$5:$N$1682)</f>
        <v>0</v>
      </c>
      <c r="P1243" s="772"/>
    </row>
    <row r="1244" spans="14:16">
      <c r="N1244" s="781">
        <v>7976</v>
      </c>
      <c r="O1244" s="662">
        <f>+SUMIF(SYS_4_3_Digitos!$M$5:$M$1682,N1244,SYS_4_3_Digitos!$N$5:$N$1682)</f>
        <v>0</v>
      </c>
      <c r="P1244" s="772"/>
    </row>
    <row r="1245" spans="14:16">
      <c r="N1245" s="781">
        <v>7977</v>
      </c>
      <c r="O1245" s="662">
        <f>+SUMIF(SYS_4_3_Digitos!$M$5:$M$1682,N1245,SYS_4_3_Digitos!$N$5:$N$1682)</f>
        <v>0</v>
      </c>
      <c r="P1245" s="772"/>
    </row>
    <row r="1246" spans="14:16">
      <c r="N1246" s="781">
        <v>7978</v>
      </c>
      <c r="O1246" s="662">
        <f>+SUMIF(SYS_4_3_Digitos!$M$5:$M$1682,N1246,SYS_4_3_Digitos!$N$5:$N$1682)</f>
        <v>0</v>
      </c>
      <c r="P1246" s="772"/>
    </row>
    <row r="1247" spans="14:16">
      <c r="N1247" s="781">
        <v>7979</v>
      </c>
      <c r="O1247" s="662">
        <f>+SUMIF(SYS_4_3_Digitos!$M$5:$M$1682,N1247,SYS_4_3_Digitos!$N$5:$N$1682)</f>
        <v>0</v>
      </c>
      <c r="P1247" s="772"/>
    </row>
    <row r="1248" spans="14:16">
      <c r="N1248" s="781">
        <v>7980</v>
      </c>
      <c r="O1248" s="662">
        <f ca="1">+SUMIF(SYS_4_3_Digitos!$M$5:$M$1682,N1248,SYS_4_3_Digitos!$N$5:$N$1682)</f>
        <v>0</v>
      </c>
      <c r="P1248" s="772"/>
    </row>
    <row r="1249" spans="14:16">
      <c r="N1249" s="781">
        <v>7981</v>
      </c>
      <c r="O1249" s="662">
        <f>+SUMIF(SYS_4_3_Digitos!$M$5:$M$1682,N1249,SYS_4_3_Digitos!$N$5:$N$1682)</f>
        <v>0</v>
      </c>
      <c r="P1249" s="772"/>
    </row>
    <row r="1250" spans="14:16">
      <c r="N1250" s="781">
        <v>7982</v>
      </c>
      <c r="O1250" s="662">
        <f>+SUMIF(SYS_4_3_Digitos!$M$5:$M$1682,N1250,SYS_4_3_Digitos!$N$5:$N$1682)</f>
        <v>0</v>
      </c>
      <c r="P1250" s="772"/>
    </row>
    <row r="1251" spans="14:16">
      <c r="N1251" s="781">
        <v>7983</v>
      </c>
      <c r="O1251" s="662">
        <f>+SUMIF(SYS_4_3_Digitos!$M$5:$M$1682,N1251,SYS_4_3_Digitos!$N$5:$N$1682)</f>
        <v>0</v>
      </c>
      <c r="P1251" s="772"/>
    </row>
    <row r="1252" spans="14:16">
      <c r="N1252" s="781">
        <v>7984</v>
      </c>
      <c r="O1252" s="662">
        <f>+SUMIF(SYS_4_3_Digitos!$M$5:$M$1682,N1252,SYS_4_3_Digitos!$N$5:$N$1682)</f>
        <v>0</v>
      </c>
      <c r="P1252" s="772"/>
    </row>
    <row r="1253" spans="14:16">
      <c r="N1253" s="781">
        <v>7985</v>
      </c>
      <c r="O1253" s="662">
        <f>+SUMIF(SYS_4_3_Digitos!$M$5:$M$1682,N1253,SYS_4_3_Digitos!$N$5:$N$1682)</f>
        <v>0</v>
      </c>
      <c r="P1253" s="772"/>
    </row>
    <row r="1254" spans="14:16">
      <c r="N1254" s="781">
        <v>7986</v>
      </c>
      <c r="O1254" s="662">
        <f>+SUMIF(SYS_4_3_Digitos!$M$5:$M$1682,N1254,SYS_4_3_Digitos!$N$5:$N$1682)</f>
        <v>0</v>
      </c>
      <c r="P1254" s="772"/>
    </row>
    <row r="1255" spans="14:16">
      <c r="N1255" s="781">
        <v>7987</v>
      </c>
      <c r="O1255" s="662">
        <f>+SUMIF(SYS_4_3_Digitos!$M$5:$M$1682,N1255,SYS_4_3_Digitos!$N$5:$N$1682)</f>
        <v>0</v>
      </c>
      <c r="P1255" s="772"/>
    </row>
    <row r="1256" spans="14:16">
      <c r="N1256" s="781">
        <v>7988</v>
      </c>
      <c r="O1256" s="662">
        <f>+SUMIF(SYS_4_3_Digitos!$M$5:$M$1682,N1256,SYS_4_3_Digitos!$N$5:$N$1682)</f>
        <v>0</v>
      </c>
      <c r="P1256" s="772"/>
    </row>
    <row r="1257" spans="14:16">
      <c r="N1257" s="781">
        <v>7989</v>
      </c>
      <c r="O1257" s="662">
        <f>+SUMIF(SYS_4_3_Digitos!$M$5:$M$1682,N1257,SYS_4_3_Digitos!$N$5:$N$1682)</f>
        <v>0</v>
      </c>
      <c r="P1257" s="772"/>
    </row>
    <row r="1258" spans="14:16">
      <c r="N1258" s="781">
        <v>7990</v>
      </c>
      <c r="O1258" s="662">
        <f ca="1">+SUMIF(SYS_4_3_Digitos!$M$5:$M$1682,N1258,SYS_4_3_Digitos!$N$5:$N$1682)</f>
        <v>0</v>
      </c>
      <c r="P1258" s="772"/>
    </row>
    <row r="1259" spans="14:16">
      <c r="N1259" s="781">
        <v>7991</v>
      </c>
      <c r="O1259" s="662">
        <f>+SUMIF(SYS_4_3_Digitos!$M$5:$M$1682,N1259,SYS_4_3_Digitos!$N$5:$N$1682)</f>
        <v>0</v>
      </c>
      <c r="P1259" s="772"/>
    </row>
    <row r="1260" spans="14:16">
      <c r="N1260" s="781">
        <v>7992</v>
      </c>
      <c r="O1260" s="662">
        <f>+SUMIF(SYS_4_3_Digitos!$M$5:$M$1682,N1260,SYS_4_3_Digitos!$N$5:$N$1682)</f>
        <v>0</v>
      </c>
      <c r="P1260" s="772"/>
    </row>
    <row r="1261" spans="14:16">
      <c r="N1261" s="781">
        <v>7993</v>
      </c>
      <c r="O1261" s="662">
        <f>+SUMIF(SYS_4_3_Digitos!$M$5:$M$1682,N1261,SYS_4_3_Digitos!$N$5:$N$1682)</f>
        <v>0</v>
      </c>
      <c r="P1261" s="772"/>
    </row>
    <row r="1262" spans="14:16">
      <c r="N1262" s="781">
        <v>7994</v>
      </c>
      <c r="O1262" s="662">
        <f>+SUMIF(SYS_4_3_Digitos!$M$5:$M$1682,N1262,SYS_4_3_Digitos!$N$5:$N$1682)</f>
        <v>0</v>
      </c>
      <c r="P1262" s="772"/>
    </row>
    <row r="1263" spans="14:16">
      <c r="N1263" s="781">
        <v>7995</v>
      </c>
      <c r="O1263" s="662">
        <f>+SUMIF(SYS_4_3_Digitos!$M$5:$M$1682,N1263,SYS_4_3_Digitos!$N$5:$N$1682)</f>
        <v>0</v>
      </c>
      <c r="P1263" s="772"/>
    </row>
    <row r="1264" spans="14:16">
      <c r="N1264" s="781">
        <v>7996</v>
      </c>
      <c r="O1264" s="662">
        <f>+SUMIF(SYS_4_3_Digitos!$M$5:$M$1682,N1264,SYS_4_3_Digitos!$N$5:$N$1682)</f>
        <v>0</v>
      </c>
      <c r="P1264" s="772"/>
    </row>
    <row r="1265" spans="14:16">
      <c r="N1265" s="781">
        <v>7997</v>
      </c>
      <c r="O1265" s="662">
        <f>+SUMIF(SYS_4_3_Digitos!$M$5:$M$1682,N1265,SYS_4_3_Digitos!$N$5:$N$1682)</f>
        <v>0</v>
      </c>
      <c r="P1265" s="772"/>
    </row>
    <row r="1266" spans="14:16">
      <c r="N1266" s="781">
        <v>7998</v>
      </c>
      <c r="O1266" s="662">
        <f>+SUMIF(SYS_4_3_Digitos!$M$5:$M$1682,N1266,SYS_4_3_Digitos!$N$5:$N$1682)</f>
        <v>0</v>
      </c>
      <c r="P1266" s="772"/>
    </row>
    <row r="1267" spans="14:16">
      <c r="N1267" s="781">
        <v>7999</v>
      </c>
      <c r="O1267" s="662">
        <f>+SUMIF(SYS_4_3_Digitos!$M$5:$M$1682,N1267,SYS_4_3_Digitos!$N$5:$N$1682)</f>
        <v>0</v>
      </c>
      <c r="P1267" s="772"/>
    </row>
    <row r="1268" spans="14:16">
      <c r="N1268" s="779" t="s">
        <v>265</v>
      </c>
      <c r="O1268" s="788">
        <f ca="1">SUM(O1269:O1338)</f>
        <v>-639120.5</v>
      </c>
      <c r="P1268" s="772"/>
    </row>
    <row r="1269" spans="14:16">
      <c r="N1269" s="781">
        <v>6660</v>
      </c>
      <c r="O1269" s="662">
        <f ca="1">+SUMIF(SYS_4_3_Digitos!$M$5:$M$1682,N1269,SYS_4_3_Digitos!$N$5:$N$1682)</f>
        <v>0</v>
      </c>
      <c r="P1269" s="772"/>
    </row>
    <row r="1270" spans="14:16">
      <c r="N1270" s="781">
        <v>6661</v>
      </c>
      <c r="O1270" s="662">
        <f>+SUMIF(SYS_4_3_Digitos!$M$5:$M$1682,N1270,SYS_4_3_Digitos!$N$5:$N$1682)</f>
        <v>0</v>
      </c>
      <c r="P1270" s="772" t="s">
        <v>254</v>
      </c>
    </row>
    <row r="1271" spans="14:16">
      <c r="N1271" s="781">
        <v>6662</v>
      </c>
      <c r="O1271" s="662">
        <f>+SUMIF(SYS_4_3_Digitos!$M$5:$M$1682,N1271,SYS_4_3_Digitos!$N$5:$N$1682)</f>
        <v>0</v>
      </c>
      <c r="P1271" s="772"/>
    </row>
    <row r="1272" spans="14:16">
      <c r="N1272" s="781">
        <v>6663</v>
      </c>
      <c r="O1272" s="662">
        <f>+SUMIF(SYS_4_3_Digitos!$M$5:$M$1682,N1272,SYS_4_3_Digitos!$N$5:$N$1682)</f>
        <v>0</v>
      </c>
      <c r="P1272" s="772"/>
    </row>
    <row r="1273" spans="14:16">
      <c r="N1273" s="781">
        <v>6664</v>
      </c>
      <c r="O1273" s="662">
        <f>+SUMIF(SYS_4_3_Digitos!$M$5:$M$1682,N1273,SYS_4_3_Digitos!$N$5:$N$1682)</f>
        <v>0</v>
      </c>
      <c r="P1273" s="772"/>
    </row>
    <row r="1274" spans="14:16">
      <c r="N1274" s="781">
        <v>6665</v>
      </c>
      <c r="O1274" s="662">
        <f>+SUMIF(SYS_4_3_Digitos!$M$5:$M$1682,N1274,SYS_4_3_Digitos!$N$5:$N$1682)</f>
        <v>0</v>
      </c>
      <c r="P1274" s="772"/>
    </row>
    <row r="1275" spans="14:16">
      <c r="N1275" s="781">
        <v>6666</v>
      </c>
      <c r="O1275" s="662">
        <f>+SUMIF(SYS_4_3_Digitos!$M$5:$M$1682,N1275,SYS_4_3_Digitos!$N$5:$N$1682)</f>
        <v>0</v>
      </c>
      <c r="P1275" s="772"/>
    </row>
    <row r="1276" spans="14:16">
      <c r="N1276" s="781">
        <v>6667</v>
      </c>
      <c r="O1276" s="662">
        <f>+SUMIF(SYS_4_3_Digitos!$M$5:$M$1682,N1276,SYS_4_3_Digitos!$N$5:$N$1682)</f>
        <v>0</v>
      </c>
      <c r="P1276" s="772"/>
    </row>
    <row r="1277" spans="14:16">
      <c r="N1277" s="781">
        <v>6668</v>
      </c>
      <c r="O1277" s="662">
        <f>+SUMIF(SYS_4_3_Digitos!$M$5:$M$1682,N1277,SYS_4_3_Digitos!$N$5:$N$1682)</f>
        <v>0</v>
      </c>
      <c r="P1277" s="772"/>
    </row>
    <row r="1278" spans="14:16">
      <c r="N1278" s="781">
        <v>6669</v>
      </c>
      <c r="O1278" s="662">
        <f>+SUMIF(SYS_4_3_Digitos!$M$5:$M$1682,N1278,SYS_4_3_Digitos!$N$5:$N$1682)</f>
        <v>0</v>
      </c>
      <c r="P1278" s="772"/>
    </row>
    <row r="1279" spans="14:16">
      <c r="N1279" s="781">
        <v>6670</v>
      </c>
      <c r="O1279" s="662">
        <f ca="1">+SUMIF(SYS_4_3_Digitos!$M$5:$M$1682,N1279,SYS_4_3_Digitos!$N$5:$N$1682)</f>
        <v>0</v>
      </c>
      <c r="P1279" s="772"/>
    </row>
    <row r="1280" spans="14:16">
      <c r="N1280" s="781">
        <v>6671</v>
      </c>
      <c r="O1280" s="662">
        <f>+SUMIF(SYS_4_3_Digitos!$M$5:$M$1682,N1280,SYS_4_3_Digitos!$N$5:$N$1682)</f>
        <v>0</v>
      </c>
      <c r="P1280" s="772"/>
    </row>
    <row r="1281" spans="14:16">
      <c r="N1281" s="781">
        <v>6672</v>
      </c>
      <c r="O1281" s="662">
        <f>+SUMIF(SYS_4_3_Digitos!$M$5:$M$1682,N1281,SYS_4_3_Digitos!$N$5:$N$1682)</f>
        <v>0</v>
      </c>
      <c r="P1281" s="772"/>
    </row>
    <row r="1282" spans="14:16">
      <c r="N1282" s="781">
        <v>6673</v>
      </c>
      <c r="O1282" s="662">
        <f>+SUMIF(SYS_4_3_Digitos!$M$5:$M$1682,N1282,SYS_4_3_Digitos!$N$5:$N$1682)</f>
        <v>0</v>
      </c>
      <c r="P1282" s="772"/>
    </row>
    <row r="1283" spans="14:16">
      <c r="N1283" s="781">
        <v>6674</v>
      </c>
      <c r="O1283" s="662">
        <f>+SUMIF(SYS_4_3_Digitos!$M$5:$M$1682,N1283,SYS_4_3_Digitos!$N$5:$N$1682)</f>
        <v>0</v>
      </c>
      <c r="P1283" s="772"/>
    </row>
    <row r="1284" spans="14:16">
      <c r="N1284" s="781">
        <v>6675</v>
      </c>
      <c r="O1284" s="662">
        <f>+SUMIF(SYS_4_3_Digitos!$M$5:$M$1682,N1284,SYS_4_3_Digitos!$N$5:$N$1682)</f>
        <v>0</v>
      </c>
      <c r="P1284" s="772"/>
    </row>
    <row r="1285" spans="14:16">
      <c r="N1285" s="781">
        <v>6676</v>
      </c>
      <c r="O1285" s="662">
        <f>+SUMIF(SYS_4_3_Digitos!$M$5:$M$1682,N1285,SYS_4_3_Digitos!$N$5:$N$1682)</f>
        <v>0</v>
      </c>
      <c r="P1285" s="772"/>
    </row>
    <row r="1286" spans="14:16">
      <c r="N1286" s="781">
        <v>6677</v>
      </c>
      <c r="O1286" s="662">
        <f>+SUMIF(SYS_4_3_Digitos!$M$5:$M$1682,N1286,SYS_4_3_Digitos!$N$5:$N$1682)</f>
        <v>0</v>
      </c>
      <c r="P1286" s="772"/>
    </row>
    <row r="1287" spans="14:16">
      <c r="N1287" s="781">
        <v>6678</v>
      </c>
      <c r="O1287" s="662">
        <f>+SUMIF(SYS_4_3_Digitos!$M$5:$M$1682,N1287,SYS_4_3_Digitos!$N$5:$N$1682)</f>
        <v>0</v>
      </c>
      <c r="P1287" s="772"/>
    </row>
    <row r="1288" spans="14:16">
      <c r="N1288" s="781">
        <v>6679</v>
      </c>
      <c r="O1288" s="662">
        <f>+SUMIF(SYS_4_3_Digitos!$M$5:$M$1682,N1288,SYS_4_3_Digitos!$N$5:$N$1682)</f>
        <v>0</v>
      </c>
      <c r="P1288" s="772"/>
    </row>
    <row r="1289" spans="14:16">
      <c r="N1289" s="781">
        <v>6730</v>
      </c>
      <c r="O1289" s="662">
        <f ca="1">+SUMIF(SYS_4_3_Digitos!$M$5:$M$1682,N1289,SYS_4_3_Digitos!$N$5:$N$1682)</f>
        <v>0</v>
      </c>
      <c r="P1289" s="772"/>
    </row>
    <row r="1290" spans="14:16">
      <c r="N1290" s="781">
        <v>6731</v>
      </c>
      <c r="O1290" s="662">
        <f>+SUMIF(SYS_4_3_Digitos!$M$5:$M$1682,N1290,SYS_4_3_Digitos!$N$5:$N$1682)</f>
        <v>0</v>
      </c>
      <c r="P1290" s="772"/>
    </row>
    <row r="1291" spans="14:16">
      <c r="N1291" s="781">
        <v>6732</v>
      </c>
      <c r="O1291" s="662">
        <f>+SUMIF(SYS_4_3_Digitos!$M$5:$M$1682,N1291,SYS_4_3_Digitos!$N$5:$N$1682)</f>
        <v>0</v>
      </c>
      <c r="P1291" s="772"/>
    </row>
    <row r="1292" spans="14:16">
      <c r="N1292" s="781">
        <v>6733</v>
      </c>
      <c r="O1292" s="662">
        <f>+SUMIF(SYS_4_3_Digitos!$M$5:$M$1682,N1292,SYS_4_3_Digitos!$N$5:$N$1682)</f>
        <v>0</v>
      </c>
      <c r="P1292" s="772"/>
    </row>
    <row r="1293" spans="14:16">
      <c r="N1293" s="781">
        <v>6734</v>
      </c>
      <c r="O1293" s="662">
        <f>+SUMIF(SYS_4_3_Digitos!$M$5:$M$1682,N1293,SYS_4_3_Digitos!$N$5:$N$1682)</f>
        <v>0</v>
      </c>
      <c r="P1293" s="772"/>
    </row>
    <row r="1294" spans="14:16">
      <c r="N1294" s="781">
        <v>6735</v>
      </c>
      <c r="O1294" s="662">
        <f>+SUMIF(SYS_4_3_Digitos!$M$5:$M$1682,N1294,SYS_4_3_Digitos!$N$5:$N$1682)</f>
        <v>0</v>
      </c>
      <c r="P1294" s="772"/>
    </row>
    <row r="1295" spans="14:16">
      <c r="N1295" s="781">
        <v>6736</v>
      </c>
      <c r="O1295" s="662">
        <f>+SUMIF(SYS_4_3_Digitos!$M$5:$M$1682,N1295,SYS_4_3_Digitos!$N$5:$N$1682)</f>
        <v>0</v>
      </c>
      <c r="P1295" s="772"/>
    </row>
    <row r="1296" spans="14:16">
      <c r="N1296" s="781">
        <v>6737</v>
      </c>
      <c r="O1296" s="662">
        <f>+SUMIF(SYS_4_3_Digitos!$M$5:$M$1682,N1296,SYS_4_3_Digitos!$N$5:$N$1682)</f>
        <v>0</v>
      </c>
      <c r="P1296" s="772"/>
    </row>
    <row r="1297" spans="14:16">
      <c r="N1297" s="781">
        <v>6738</v>
      </c>
      <c r="O1297" s="662">
        <f>+SUMIF(SYS_4_3_Digitos!$M$5:$M$1682,N1297,SYS_4_3_Digitos!$N$5:$N$1682)</f>
        <v>0</v>
      </c>
      <c r="P1297" s="772"/>
    </row>
    <row r="1298" spans="14:16">
      <c r="N1298" s="781">
        <v>6739</v>
      </c>
      <c r="O1298" s="662">
        <f>+SUMIF(SYS_4_3_Digitos!$M$5:$M$1682,N1298,SYS_4_3_Digitos!$N$5:$N$1682)</f>
        <v>0</v>
      </c>
      <c r="P1298" s="772"/>
    </row>
    <row r="1299" spans="14:16">
      <c r="N1299" s="781">
        <v>6750</v>
      </c>
      <c r="O1299" s="662">
        <f ca="1">+SUMIF(SYS_4_3_Digitos!$M$5:$M$1682,N1299,SYS_4_3_Digitos!$N$5:$N$1682)</f>
        <v>0</v>
      </c>
      <c r="P1299" s="772"/>
    </row>
    <row r="1300" spans="14:16">
      <c r="N1300" s="781">
        <v>6751</v>
      </c>
      <c r="O1300" s="662">
        <f>+SUMIF(SYS_4_3_Digitos!$M$5:$M$1682,N1300,SYS_4_3_Digitos!$N$5:$N$1682)</f>
        <v>0</v>
      </c>
      <c r="P1300" s="772"/>
    </row>
    <row r="1301" spans="14:16">
      <c r="N1301" s="781">
        <v>6752</v>
      </c>
      <c r="O1301" s="662">
        <f>+SUMIF(SYS_4_3_Digitos!$M$5:$M$1682,N1301,SYS_4_3_Digitos!$N$5:$N$1682)</f>
        <v>0</v>
      </c>
      <c r="P1301" s="772"/>
    </row>
    <row r="1302" spans="14:16">
      <c r="N1302" s="781">
        <v>6753</v>
      </c>
      <c r="O1302" s="662">
        <f>+SUMIF(SYS_4_3_Digitos!$M$5:$M$1682,N1302,SYS_4_3_Digitos!$N$5:$N$1682)</f>
        <v>0</v>
      </c>
      <c r="P1302" s="772"/>
    </row>
    <row r="1303" spans="14:16">
      <c r="N1303" s="781">
        <v>6754</v>
      </c>
      <c r="O1303" s="662">
        <f>+SUMIF(SYS_4_3_Digitos!$M$5:$M$1682,N1303,SYS_4_3_Digitos!$N$5:$N$1682)</f>
        <v>0</v>
      </c>
      <c r="P1303" s="772"/>
    </row>
    <row r="1304" spans="14:16">
      <c r="N1304" s="781">
        <v>6755</v>
      </c>
      <c r="O1304" s="662">
        <f>+SUMIF(SYS_4_3_Digitos!$M$5:$M$1682,N1304,SYS_4_3_Digitos!$N$5:$N$1682)</f>
        <v>0</v>
      </c>
      <c r="P1304" s="772"/>
    </row>
    <row r="1305" spans="14:16">
      <c r="N1305" s="781">
        <v>6756</v>
      </c>
      <c r="O1305" s="662">
        <f>+SUMIF(SYS_4_3_Digitos!$M$5:$M$1682,N1305,SYS_4_3_Digitos!$N$5:$N$1682)</f>
        <v>0</v>
      </c>
      <c r="P1305" s="772"/>
    </row>
    <row r="1306" spans="14:16">
      <c r="N1306" s="781">
        <v>6757</v>
      </c>
      <c r="O1306" s="662">
        <f>+SUMIF(SYS_4_3_Digitos!$M$5:$M$1682,N1306,SYS_4_3_Digitos!$N$5:$N$1682)</f>
        <v>0</v>
      </c>
      <c r="P1306" s="772"/>
    </row>
    <row r="1307" spans="14:16">
      <c r="N1307" s="781">
        <v>6758</v>
      </c>
      <c r="O1307" s="662">
        <f>+SUMIF(SYS_4_3_Digitos!$M$5:$M$1682,N1307,SYS_4_3_Digitos!$N$5:$N$1682)</f>
        <v>0</v>
      </c>
      <c r="P1307" s="772"/>
    </row>
    <row r="1308" spans="14:16">
      <c r="N1308" s="781">
        <v>6759</v>
      </c>
      <c r="O1308" s="662">
        <f>+SUMIF(SYS_4_3_Digitos!$M$5:$M$1682,N1308,SYS_4_3_Digitos!$N$5:$N$1682)</f>
        <v>0</v>
      </c>
      <c r="P1308" s="772"/>
    </row>
    <row r="1309" spans="14:16">
      <c r="N1309" s="781">
        <v>7660</v>
      </c>
      <c r="O1309" s="662">
        <f ca="1">+SUMIF(SYS_4_3_Digitos!$M$5:$M$1682,N1309,SYS_4_3_Digitos!$N$5:$N$1682)</f>
        <v>-639120.5</v>
      </c>
      <c r="P1309" s="772"/>
    </row>
    <row r="1310" spans="14:16">
      <c r="N1310" s="781">
        <v>7661</v>
      </c>
      <c r="O1310" s="662">
        <f>+SUMIF(SYS_4_3_Digitos!$M$5:$M$1682,N1310,SYS_4_3_Digitos!$N$5:$N$1682)</f>
        <v>0</v>
      </c>
      <c r="P1310" s="772"/>
    </row>
    <row r="1311" spans="14:16">
      <c r="N1311" s="781">
        <v>7662</v>
      </c>
      <c r="O1311" s="662">
        <f>+SUMIF(SYS_4_3_Digitos!$M$5:$M$1682,N1311,SYS_4_3_Digitos!$N$5:$N$1682)</f>
        <v>0</v>
      </c>
      <c r="P1311" s="772"/>
    </row>
    <row r="1312" spans="14:16">
      <c r="N1312" s="781">
        <v>7663</v>
      </c>
      <c r="O1312" s="662">
        <f>+SUMIF(SYS_4_3_Digitos!$M$5:$M$1682,N1312,SYS_4_3_Digitos!$N$5:$N$1682)</f>
        <v>0</v>
      </c>
      <c r="P1312" s="772"/>
    </row>
    <row r="1313" spans="14:16">
      <c r="N1313" s="781">
        <v>7664</v>
      </c>
      <c r="O1313" s="662">
        <f>+SUMIF(SYS_4_3_Digitos!$M$5:$M$1682,N1313,SYS_4_3_Digitos!$N$5:$N$1682)</f>
        <v>0</v>
      </c>
      <c r="P1313" s="772"/>
    </row>
    <row r="1314" spans="14:16">
      <c r="N1314" s="781">
        <v>7665</v>
      </c>
      <c r="O1314" s="662">
        <f>+SUMIF(SYS_4_3_Digitos!$M$5:$M$1682,N1314,SYS_4_3_Digitos!$N$5:$N$1682)</f>
        <v>0</v>
      </c>
      <c r="P1314" s="772"/>
    </row>
    <row r="1315" spans="14:16">
      <c r="N1315" s="781">
        <v>7666</v>
      </c>
      <c r="O1315" s="662">
        <f>+SUMIF(SYS_4_3_Digitos!$M$5:$M$1682,N1315,SYS_4_3_Digitos!$N$5:$N$1682)</f>
        <v>0</v>
      </c>
      <c r="P1315" s="772"/>
    </row>
    <row r="1316" spans="14:16">
      <c r="N1316" s="781">
        <v>7667</v>
      </c>
      <c r="O1316" s="662">
        <f>+SUMIF(SYS_4_3_Digitos!$M$5:$M$1682,N1316,SYS_4_3_Digitos!$N$5:$N$1682)</f>
        <v>0</v>
      </c>
      <c r="P1316" s="772"/>
    </row>
    <row r="1317" spans="14:16">
      <c r="N1317" s="781">
        <v>7668</v>
      </c>
      <c r="O1317" s="662">
        <f>+SUMIF(SYS_4_3_Digitos!$M$5:$M$1682,N1317,SYS_4_3_Digitos!$N$5:$N$1682)</f>
        <v>0</v>
      </c>
      <c r="P1317" s="772"/>
    </row>
    <row r="1318" spans="14:16">
      <c r="N1318" s="781">
        <v>7669</v>
      </c>
      <c r="O1318" s="662">
        <f>+SUMIF(SYS_4_3_Digitos!$M$5:$M$1682,N1318,SYS_4_3_Digitos!$N$5:$N$1682)</f>
        <v>0</v>
      </c>
      <c r="P1318" s="772"/>
    </row>
    <row r="1319" spans="14:16">
      <c r="N1319" s="781">
        <v>7730</v>
      </c>
      <c r="O1319" s="662">
        <f ca="1">+SUMIF(SYS_4_3_Digitos!$M$5:$M$1682,N1319,SYS_4_3_Digitos!$N$5:$N$1682)</f>
        <v>0</v>
      </c>
      <c r="P1319" s="772"/>
    </row>
    <row r="1320" spans="14:16">
      <c r="N1320" s="781">
        <v>7731</v>
      </c>
      <c r="O1320" s="662">
        <f>+SUMIF(SYS_4_3_Digitos!$M$5:$M$1682,N1320,SYS_4_3_Digitos!$N$5:$N$1682)</f>
        <v>0</v>
      </c>
      <c r="P1320" s="772"/>
    </row>
    <row r="1321" spans="14:16">
      <c r="N1321" s="781">
        <v>7732</v>
      </c>
      <c r="O1321" s="662">
        <f>+SUMIF(SYS_4_3_Digitos!$M$5:$M$1682,N1321,SYS_4_3_Digitos!$N$5:$N$1682)</f>
        <v>0</v>
      </c>
      <c r="P1321" s="772"/>
    </row>
    <row r="1322" spans="14:16">
      <c r="N1322" s="781">
        <v>7733</v>
      </c>
      <c r="O1322" s="662">
        <f>+SUMIF(SYS_4_3_Digitos!$M$5:$M$1682,N1322,SYS_4_3_Digitos!$N$5:$N$1682)</f>
        <v>0</v>
      </c>
      <c r="P1322" s="772"/>
    </row>
    <row r="1323" spans="14:16">
      <c r="N1323" s="781">
        <v>7734</v>
      </c>
      <c r="O1323" s="662">
        <f>+SUMIF(SYS_4_3_Digitos!$M$5:$M$1682,N1323,SYS_4_3_Digitos!$N$5:$N$1682)</f>
        <v>0</v>
      </c>
      <c r="P1323" s="772"/>
    </row>
    <row r="1324" spans="14:16">
      <c r="N1324" s="781">
        <v>7735</v>
      </c>
      <c r="O1324" s="662">
        <f>+SUMIF(SYS_4_3_Digitos!$M$5:$M$1682,N1324,SYS_4_3_Digitos!$N$5:$N$1682)</f>
        <v>0</v>
      </c>
      <c r="P1324" s="772"/>
    </row>
    <row r="1325" spans="14:16">
      <c r="N1325" s="781">
        <v>7736</v>
      </c>
      <c r="O1325" s="662">
        <f>+SUMIF(SYS_4_3_Digitos!$M$5:$M$1682,N1325,SYS_4_3_Digitos!$N$5:$N$1682)</f>
        <v>0</v>
      </c>
      <c r="P1325" s="772"/>
    </row>
    <row r="1326" spans="14:16">
      <c r="N1326" s="781">
        <v>7737</v>
      </c>
      <c r="O1326" s="662">
        <f>+SUMIF(SYS_4_3_Digitos!$M$5:$M$1682,N1326,SYS_4_3_Digitos!$N$5:$N$1682)</f>
        <v>0</v>
      </c>
      <c r="P1326" s="772"/>
    </row>
    <row r="1327" spans="14:16">
      <c r="N1327" s="781">
        <v>7738</v>
      </c>
      <c r="O1327" s="662">
        <f>+SUMIF(SYS_4_3_Digitos!$M$5:$M$1682,N1327,SYS_4_3_Digitos!$N$5:$N$1682)</f>
        <v>0</v>
      </c>
      <c r="P1327" s="772"/>
    </row>
    <row r="1328" spans="14:16">
      <c r="N1328" s="781">
        <v>7739</v>
      </c>
      <c r="O1328" s="662">
        <f>+SUMIF(SYS_4_3_Digitos!$M$5:$M$1682,N1328,SYS_4_3_Digitos!$N$5:$N$1682)</f>
        <v>0</v>
      </c>
      <c r="P1328" s="772"/>
    </row>
    <row r="1329" spans="14:16">
      <c r="N1329" s="781">
        <v>7750</v>
      </c>
      <c r="O1329" s="662">
        <f ca="1">+SUMIF(SYS_4_3_Digitos!$M$5:$M$1682,N1329,SYS_4_3_Digitos!$N$5:$N$1682)</f>
        <v>0</v>
      </c>
      <c r="P1329" s="772"/>
    </row>
    <row r="1330" spans="14:16">
      <c r="N1330" s="781">
        <v>7751</v>
      </c>
      <c r="O1330" s="662">
        <f>+SUMIF(SYS_4_3_Digitos!$M$5:$M$1682,N1330,SYS_4_3_Digitos!$N$5:$N$1682)</f>
        <v>0</v>
      </c>
      <c r="P1330" s="772"/>
    </row>
    <row r="1331" spans="14:16">
      <c r="N1331" s="781">
        <v>7752</v>
      </c>
      <c r="O1331" s="662">
        <f>+SUMIF(SYS_4_3_Digitos!$M$5:$M$1682,N1331,SYS_4_3_Digitos!$N$5:$N$1682)</f>
        <v>0</v>
      </c>
      <c r="P1331" s="772"/>
    </row>
    <row r="1332" spans="14:16">
      <c r="N1332" s="781">
        <v>7753</v>
      </c>
      <c r="O1332" s="662">
        <f>+SUMIF(SYS_4_3_Digitos!$M$5:$M$1682,N1332,SYS_4_3_Digitos!$N$5:$N$1682)</f>
        <v>0</v>
      </c>
      <c r="P1332" s="772"/>
    </row>
    <row r="1333" spans="14:16">
      <c r="N1333" s="781">
        <v>7754</v>
      </c>
      <c r="O1333" s="662">
        <f>+SUMIF(SYS_4_3_Digitos!$M$5:$M$1682,N1333,SYS_4_3_Digitos!$N$5:$N$1682)</f>
        <v>0</v>
      </c>
      <c r="P1333" s="772"/>
    </row>
    <row r="1334" spans="14:16">
      <c r="N1334" s="781">
        <v>7755</v>
      </c>
      <c r="O1334" s="662">
        <f>+SUMIF(SYS_4_3_Digitos!$M$5:$M$1682,N1334,SYS_4_3_Digitos!$N$5:$N$1682)</f>
        <v>0</v>
      </c>
      <c r="P1334" s="772"/>
    </row>
    <row r="1335" spans="14:16">
      <c r="N1335" s="781">
        <v>7756</v>
      </c>
      <c r="O1335" s="662">
        <f>+SUMIF(SYS_4_3_Digitos!$M$5:$M$1682,N1335,SYS_4_3_Digitos!$N$5:$N$1682)</f>
        <v>0</v>
      </c>
      <c r="P1335" s="772"/>
    </row>
    <row r="1336" spans="14:16">
      <c r="N1336" s="781">
        <v>7757</v>
      </c>
      <c r="O1336" s="662">
        <f>+SUMIF(SYS_4_3_Digitos!$M$5:$M$1682,N1336,SYS_4_3_Digitos!$N$5:$N$1682)</f>
        <v>0</v>
      </c>
      <c r="P1336" s="772"/>
    </row>
    <row r="1337" spans="14:16">
      <c r="N1337" s="781">
        <v>7758</v>
      </c>
      <c r="O1337" s="662">
        <f>+SUMIF(SYS_4_3_Digitos!$M$5:$M$1682,N1337,SYS_4_3_Digitos!$N$5:$N$1682)</f>
        <v>0</v>
      </c>
      <c r="P1337" s="772"/>
    </row>
    <row r="1338" spans="14:16">
      <c r="N1338" s="781">
        <v>7759</v>
      </c>
      <c r="O1338" s="662">
        <f>+SUMIF(SYS_4_3_Digitos!$M$5:$M$1682,N1338,SYS_4_3_Digitos!$N$5:$N$1682)</f>
        <v>0</v>
      </c>
      <c r="P1338" s="772"/>
    </row>
    <row r="1339" spans="14:16">
      <c r="N1339" s="791"/>
      <c r="O1339" s="771"/>
      <c r="P1339" s="772"/>
    </row>
    <row r="1340" spans="14:16">
      <c r="N1340" s="790" t="s">
        <v>224</v>
      </c>
      <c r="O1340" s="771"/>
      <c r="P1340" s="772"/>
    </row>
    <row r="1341" spans="14:16">
      <c r="N1341" s="791"/>
      <c r="O1341" s="771"/>
      <c r="P1341" s="772"/>
    </row>
    <row r="1342" spans="14:16">
      <c r="N1342" s="790" t="s">
        <v>225</v>
      </c>
      <c r="O1342" s="771"/>
      <c r="P1342" s="772"/>
    </row>
    <row r="1343" spans="14:16">
      <c r="N1343" s="791"/>
      <c r="O1343" s="771"/>
      <c r="P1343" s="772"/>
    </row>
    <row r="1344" spans="14:16">
      <c r="N1344" s="776" t="s">
        <v>1533</v>
      </c>
      <c r="O1344" s="787">
        <f ca="1">SUM(O1345:O1366)</f>
        <v>2543572.9699999997</v>
      </c>
      <c r="P1344" s="772"/>
    </row>
    <row r="1345" spans="14:16">
      <c r="N1345" s="781">
        <v>6300</v>
      </c>
      <c r="O1345" s="662">
        <f ca="1">+SUMIF(SYS_4_3_Digitos!$M$5:$M$1682,N1345,SYS_4_3_Digitos!$N$5:$N$1682)</f>
        <v>2477666.92</v>
      </c>
      <c r="P1345" s="772"/>
    </row>
    <row r="1346" spans="14:16">
      <c r="N1346" s="781">
        <v>6301</v>
      </c>
      <c r="O1346" s="662">
        <f ca="1">+SUMIF(SYS_4_3_Digitos!$M$5:$M$1682,N1346,SYS_4_3_Digitos!$N$5:$N$1682)</f>
        <v>65906.049999999988</v>
      </c>
      <c r="P1346" s="772" t="s">
        <v>255</v>
      </c>
    </row>
    <row r="1347" spans="14:16">
      <c r="N1347" s="781">
        <v>6330</v>
      </c>
      <c r="O1347" s="662">
        <f ca="1">+SUMIF(SYS_4_3_Digitos!$M$5:$M$1682,N1347,SYS_4_3_Digitos!$N$5:$N$1682)</f>
        <v>0</v>
      </c>
      <c r="P1347" s="772"/>
    </row>
    <row r="1348" spans="14:16">
      <c r="N1348" s="781">
        <v>6331</v>
      </c>
      <c r="O1348" s="662">
        <f>+SUMIF(SYS_4_3_Digitos!$M$5:$M$1682,N1348,SYS_4_3_Digitos!$N$5:$N$1682)</f>
        <v>0</v>
      </c>
      <c r="P1348" s="772"/>
    </row>
    <row r="1349" spans="14:16">
      <c r="N1349" s="781">
        <v>6332</v>
      </c>
      <c r="O1349" s="662">
        <f>+SUMIF(SYS_4_3_Digitos!$M$5:$M$1682,N1349,SYS_4_3_Digitos!$N$5:$N$1682)</f>
        <v>0</v>
      </c>
      <c r="P1349" s="772"/>
    </row>
    <row r="1350" spans="14:16">
      <c r="N1350" s="781">
        <v>6333</v>
      </c>
      <c r="O1350" s="662">
        <f>+SUMIF(SYS_4_3_Digitos!$M$5:$M$1682,N1350,SYS_4_3_Digitos!$N$5:$N$1682)</f>
        <v>0</v>
      </c>
      <c r="P1350" s="772"/>
    </row>
    <row r="1351" spans="14:16">
      <c r="N1351" s="781">
        <v>6334</v>
      </c>
      <c r="O1351" s="662">
        <f>+SUMIF(SYS_4_3_Digitos!$M$5:$M$1682,N1351,SYS_4_3_Digitos!$N$5:$N$1682)</f>
        <v>0</v>
      </c>
      <c r="P1351" s="772"/>
    </row>
    <row r="1352" spans="14:16">
      <c r="N1352" s="781">
        <v>6335</v>
      </c>
      <c r="O1352" s="662">
        <f>+SUMIF(SYS_4_3_Digitos!$M$5:$M$1682,N1352,SYS_4_3_Digitos!$N$5:$N$1682)</f>
        <v>0</v>
      </c>
      <c r="P1352" s="772"/>
    </row>
    <row r="1353" spans="14:16">
      <c r="N1353" s="781">
        <v>6336</v>
      </c>
      <c r="O1353" s="662">
        <f>+SUMIF(SYS_4_3_Digitos!$M$5:$M$1682,N1353,SYS_4_3_Digitos!$N$5:$N$1682)</f>
        <v>0</v>
      </c>
      <c r="P1353" s="772"/>
    </row>
    <row r="1354" spans="14:16">
      <c r="N1354" s="781">
        <v>6337</v>
      </c>
      <c r="O1354" s="662">
        <f>+SUMIF(SYS_4_3_Digitos!$M$5:$M$1682,N1354,SYS_4_3_Digitos!$N$5:$N$1682)</f>
        <v>0</v>
      </c>
      <c r="P1354" s="772"/>
    </row>
    <row r="1355" spans="14:16">
      <c r="N1355" s="781">
        <v>6338</v>
      </c>
      <c r="O1355" s="662">
        <f>+SUMIF(SYS_4_3_Digitos!$M$5:$M$1682,N1355,SYS_4_3_Digitos!$N$5:$N$1682)</f>
        <v>0</v>
      </c>
      <c r="P1355" s="772"/>
    </row>
    <row r="1356" spans="14:16">
      <c r="N1356" s="781">
        <v>6339</v>
      </c>
      <c r="O1356" s="662">
        <f>+SUMIF(SYS_4_3_Digitos!$M$5:$M$1682,N1356,SYS_4_3_Digitos!$N$5:$N$1682)</f>
        <v>0</v>
      </c>
      <c r="P1356" s="772"/>
    </row>
    <row r="1357" spans="14:16">
      <c r="N1357" s="781">
        <v>6380</v>
      </c>
      <c r="O1357" s="662">
        <f ca="1">+SUMIF(SYS_4_3_Digitos!$M$5:$M$1682,N1357,SYS_4_3_Digitos!$N$5:$N$1682)</f>
        <v>0</v>
      </c>
      <c r="P1357" s="772"/>
    </row>
    <row r="1358" spans="14:16">
      <c r="N1358" s="781">
        <v>6381</v>
      </c>
      <c r="O1358" s="662">
        <f>+SUMIF(SYS_4_3_Digitos!$M$5:$M$1682,N1358,SYS_4_3_Digitos!$N$5:$N$1682)</f>
        <v>0</v>
      </c>
      <c r="P1358" s="772"/>
    </row>
    <row r="1359" spans="14:16">
      <c r="N1359" s="781">
        <v>6382</v>
      </c>
      <c r="O1359" s="662">
        <f>+SUMIF(SYS_4_3_Digitos!$M$5:$M$1682,N1359,SYS_4_3_Digitos!$N$5:$N$1682)</f>
        <v>0</v>
      </c>
      <c r="P1359" s="772"/>
    </row>
    <row r="1360" spans="14:16">
      <c r="N1360" s="781">
        <v>6383</v>
      </c>
      <c r="O1360" s="662">
        <f>+SUMIF(SYS_4_3_Digitos!$M$5:$M$1682,N1360,SYS_4_3_Digitos!$N$5:$N$1682)</f>
        <v>0</v>
      </c>
      <c r="P1360" s="772"/>
    </row>
    <row r="1361" spans="14:16">
      <c r="N1361" s="781">
        <v>6384</v>
      </c>
      <c r="O1361" s="662">
        <f>+SUMIF(SYS_4_3_Digitos!$M$5:$M$1682,N1361,SYS_4_3_Digitos!$N$5:$N$1682)</f>
        <v>0</v>
      </c>
      <c r="P1361" s="772"/>
    </row>
    <row r="1362" spans="14:16">
      <c r="N1362" s="781">
        <v>6385</v>
      </c>
      <c r="O1362" s="662">
        <f>+SUMIF(SYS_4_3_Digitos!$M$5:$M$1682,N1362,SYS_4_3_Digitos!$N$5:$N$1682)</f>
        <v>0</v>
      </c>
      <c r="P1362" s="772"/>
    </row>
    <row r="1363" spans="14:16">
      <c r="N1363" s="781">
        <v>6386</v>
      </c>
      <c r="O1363" s="662">
        <f>+SUMIF(SYS_4_3_Digitos!$M$5:$M$1682,N1363,SYS_4_3_Digitos!$N$5:$N$1682)</f>
        <v>0</v>
      </c>
      <c r="P1363" s="772"/>
    </row>
    <row r="1364" spans="14:16">
      <c r="N1364" s="781">
        <v>6387</v>
      </c>
      <c r="O1364" s="662">
        <f>+SUMIF(SYS_4_3_Digitos!$M$5:$M$1682,N1364,SYS_4_3_Digitos!$N$5:$N$1682)</f>
        <v>0</v>
      </c>
      <c r="P1364" s="772"/>
    </row>
    <row r="1365" spans="14:16">
      <c r="N1365" s="781">
        <v>6388</v>
      </c>
      <c r="O1365" s="662">
        <f>+SUMIF(SYS_4_3_Digitos!$M$5:$M$1682,N1365,SYS_4_3_Digitos!$N$5:$N$1682)</f>
        <v>0</v>
      </c>
      <c r="P1365" s="772"/>
    </row>
    <row r="1366" spans="14:16">
      <c r="N1366" s="781">
        <v>6389</v>
      </c>
      <c r="O1366" s="662">
        <f>+SUMIF(SYS_4_3_Digitos!$M$5:$M$1682,N1366,SYS_4_3_Digitos!$N$5:$N$1682)</f>
        <v>0</v>
      </c>
      <c r="P1366" s="772"/>
    </row>
    <row r="1367" spans="14:16">
      <c r="N1367" s="791"/>
      <c r="O1367" s="771"/>
      <c r="P1367" s="772"/>
    </row>
    <row r="1368" spans="14:16" ht="26.4">
      <c r="N1368" s="790" t="s">
        <v>228</v>
      </c>
      <c r="O1368" s="771"/>
      <c r="P1368" s="772"/>
    </row>
    <row r="1369" spans="14:16">
      <c r="N1369" s="791"/>
      <c r="O1369" s="771"/>
      <c r="P1369" s="772"/>
    </row>
    <row r="1370" spans="14:16" ht="26.4">
      <c r="N1370" s="776" t="s">
        <v>1534</v>
      </c>
      <c r="O1370" s="771"/>
      <c r="P1370" s="772"/>
    </row>
    <row r="1371" spans="14:16">
      <c r="N1371" s="791"/>
      <c r="O1371" s="771"/>
      <c r="P1371" s="772"/>
    </row>
    <row r="1372" spans="14:16">
      <c r="N1372" s="790" t="s">
        <v>229</v>
      </c>
      <c r="O1372" s="771"/>
      <c r="P1372" s="772"/>
    </row>
    <row r="1373" spans="14:16">
      <c r="P1373" s="772"/>
    </row>
    <row r="1374" spans="14:16">
      <c r="P1374" s="772"/>
    </row>
  </sheetData>
  <sheetProtection sheet="1" objects="1" scenarios="1"/>
  <mergeCells count="1">
    <mergeCell ref="E7:F7"/>
  </mergeCells>
  <conditionalFormatting sqref="E11">
    <cfRule type="expression" dxfId="519" priority="2">
      <formula>INT($E$87)&lt;&gt;0</formula>
    </cfRule>
  </conditionalFormatting>
  <conditionalFormatting sqref="H11">
    <cfRule type="expression" dxfId="518" priority="1">
      <formula>INT($E$87)&lt;&gt;0</formula>
    </cfRule>
  </conditionalFormatting>
  <pageMargins left="0.62992125984251968" right="0.23622047244094491" top="0.55118110236220474" bottom="0.74803149606299213" header="0.31496062992125984" footer="0.31496062992125984"/>
  <pageSetup paperSize="9" scale="48" orientation="portrait" r:id="rId1"/>
  <headerFooter>
    <oddFooter>&amp;C&amp;"Arial,Normal"&amp;12&amp;K03-024Cuenta de Pérdidas y Ganancias</oddFooter>
  </headerFooter>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1">
    <tabColor rgb="FFFF0000"/>
    <pageSetUpPr autoPageBreaks="0" fitToPage="1"/>
  </sheetPr>
  <dimension ref="A1:L73"/>
  <sheetViews>
    <sheetView showGridLines="0" showRowColHeaders="0" showZeros="0" zoomScale="85" zoomScaleNormal="85" zoomScaleSheetLayoutView="55" zoomScalePageLayoutView="55" workbookViewId="0">
      <pane xSplit="3" ySplit="15" topLeftCell="D64" activePane="bottomRight" state="frozen"/>
      <selection activeCell="C38" sqref="C38"/>
      <selection pane="topRight" activeCell="C38" sqref="C38"/>
      <selection pane="bottomLeft" activeCell="C38" sqref="C38"/>
      <selection pane="bottomRight" activeCell="C38" sqref="C38"/>
    </sheetView>
  </sheetViews>
  <sheetFormatPr baseColWidth="10" defaultColWidth="0" defaultRowHeight="15" customHeight="1" zeroHeight="1" outlineLevelRow="1"/>
  <cols>
    <col min="1" max="2" width="2" customWidth="1"/>
    <col min="3" max="3" width="21.44140625" customWidth="1"/>
    <col min="4" max="4" width="57" customWidth="1"/>
    <col min="5" max="5" width="22.44140625" customWidth="1"/>
    <col min="6" max="6" width="24" customWidth="1"/>
    <col min="7" max="7" width="20.5546875" customWidth="1"/>
    <col min="8" max="8" width="55" customWidth="1"/>
    <col min="9" max="9" width="5" customWidth="1"/>
    <col min="10" max="16384" width="13" hidden="1"/>
  </cols>
  <sheetData>
    <row r="1" spans="3:8" ht="15" customHeight="1"/>
    <row r="2" spans="3:8" ht="9" customHeight="1"/>
    <row r="3" spans="3:8" ht="5.25" customHeight="1">
      <c r="C3" s="1"/>
      <c r="D3" s="1"/>
    </row>
    <row r="4" spans="3:8" ht="5.25" customHeight="1"/>
    <row r="5" spans="3:8" ht="21">
      <c r="C5" s="2252" t="str">
        <f>+MENU!C5</f>
        <v>Sociedad:</v>
      </c>
      <c r="D5" s="2253"/>
      <c r="E5" s="2254" t="str">
        <f>+MENU!E5</f>
        <v>MARIO PILATO BLAT, S.A.</v>
      </c>
      <c r="F5" s="2255"/>
      <c r="G5" s="2255"/>
    </row>
    <row r="6" spans="3:8" ht="12.75" customHeight="1">
      <c r="C6" s="218"/>
      <c r="D6" s="218"/>
      <c r="E6" s="218"/>
      <c r="F6" s="218"/>
      <c r="G6" s="218"/>
    </row>
    <row r="7" spans="3:8" ht="21">
      <c r="C7" s="220" t="s">
        <v>0</v>
      </c>
      <c r="D7" s="220"/>
      <c r="E7" s="2256">
        <f>+MENU!D7</f>
        <v>45657</v>
      </c>
      <c r="F7" s="2256"/>
      <c r="G7" s="2256"/>
    </row>
    <row r="8" spans="3:8" ht="15" customHeight="1">
      <c r="C8" s="2"/>
      <c r="D8" s="2"/>
      <c r="F8" s="3"/>
      <c r="G8" s="3"/>
      <c r="H8" s="3"/>
    </row>
    <row r="9" spans="3:8" ht="15" customHeight="1">
      <c r="F9" s="467" t="s">
        <v>1479</v>
      </c>
    </row>
    <row r="10" spans="3:8" ht="5.25" customHeight="1">
      <c r="F10" s="219"/>
    </row>
    <row r="11" spans="3:8" ht="5.25" customHeight="1"/>
    <row r="12" spans="3:8" ht="6" customHeight="1"/>
    <row r="13" spans="3:8" ht="22.5" customHeight="1">
      <c r="C13" s="221" t="s">
        <v>1082</v>
      </c>
      <c r="D13" s="222"/>
    </row>
    <row r="14" spans="3:8" ht="6" customHeight="1"/>
    <row r="15" spans="3:8" s="33" customFormat="1" ht="21" customHeight="1">
      <c r="C15" s="194" t="s">
        <v>1065</v>
      </c>
      <c r="D15" s="194" t="s">
        <v>648</v>
      </c>
      <c r="E15" s="194" t="s">
        <v>1083</v>
      </c>
      <c r="F15" s="194" t="s">
        <v>1084</v>
      </c>
      <c r="G15" s="194" t="s">
        <v>935</v>
      </c>
      <c r="H15" s="194" t="s">
        <v>1068</v>
      </c>
    </row>
    <row r="16" spans="3:8" ht="15" customHeight="1"/>
    <row r="17" spans="3:12" ht="24" customHeight="1">
      <c r="C17" s="392">
        <v>4700</v>
      </c>
      <c r="D17" s="236" t="str">
        <f>+LOOKUP(C17,asientos!$M$12:$M$13033,asientos!$N$12:$N$13033)</f>
        <v>HP DEUDORA POR IVA</v>
      </c>
      <c r="E17" s="237">
        <f ca="1">LOOKUP(C17,asientos!$M$12:$M$13033,asientos!$O$12:$O$13033)</f>
        <v>0</v>
      </c>
      <c r="F17" s="237">
        <f>+IF('IVA (TRIM)'!L55&lt;0,'IVA (TRIM)'!L55,0)</f>
        <v>0</v>
      </c>
      <c r="G17" s="241">
        <f ca="1">+SUM(E17:F17)</f>
        <v>0</v>
      </c>
      <c r="H17" s="2257"/>
      <c r="L17" s="232">
        <v>4700</v>
      </c>
    </row>
    <row r="18" spans="3:12" ht="24" customHeight="1">
      <c r="C18" s="393">
        <v>4709</v>
      </c>
      <c r="D18" s="234" t="str">
        <f>+LOOKUP(C18,asientos!$M$12:$M$13033,asientos!$N$12:$N$13033)</f>
        <v>HP DEUDORA POR DEVOLUCIÓN DE IMPUESTOS</v>
      </c>
      <c r="E18" s="235">
        <f ca="1">LOOKUP(C18,asientos!$M$12:$M$13033,asientos!$O$12:$O$13033)</f>
        <v>3151475.96</v>
      </c>
      <c r="F18" s="235">
        <f ca="1">+IF(CALCIS!G91&lt;0,CALCIS!G91,0)</f>
        <v>-2032224.3753749961</v>
      </c>
      <c r="G18" s="242">
        <f t="shared" ref="G18:G25" ca="1" si="0">+SUM(E18:F18)</f>
        <v>1119251.5846250039</v>
      </c>
      <c r="H18" s="2258"/>
      <c r="L18" s="233">
        <v>4709</v>
      </c>
    </row>
    <row r="19" spans="3:12" ht="24" customHeight="1">
      <c r="C19" s="393">
        <v>472</v>
      </c>
      <c r="D19" s="234" t="str">
        <f>+LOOKUP(C19,asientos!$M$12:$M$13033,asientos!$N$12:$N$13033)</f>
        <v>HP IVA SOPORTADO</v>
      </c>
      <c r="E19" s="235">
        <f ca="1">LOOKUP(C19,asientos!$M$12:$M$13033,asientos!$O$12:$O$13033)</f>
        <v>0</v>
      </c>
      <c r="F19" s="387"/>
      <c r="G19" s="242">
        <f ca="1">+E19-F19</f>
        <v>0</v>
      </c>
      <c r="H19" s="2258"/>
      <c r="L19" s="233">
        <v>472</v>
      </c>
    </row>
    <row r="20" spans="3:12" ht="24" customHeight="1">
      <c r="C20" s="393">
        <v>473</v>
      </c>
      <c r="D20" s="234" t="str">
        <f>+LOOKUP(C20,asientos!$M$12:$M$13033,asientos!$N$12:$N$13033)</f>
        <v>HP RETENCIONES Y PAGOS A CUENTA</v>
      </c>
      <c r="E20" s="235">
        <f ca="1">LOOKUP(C20,asientos!$M$12:$M$13033,asientos!$O$12:$O$13033)+F20</f>
        <v>4509891.3</v>
      </c>
      <c r="F20" s="235">
        <f>+SUM(CALCIS!G81)</f>
        <v>4509891.3</v>
      </c>
      <c r="G20" s="242">
        <f ca="1">+E20-F20</f>
        <v>0</v>
      </c>
      <c r="H20" s="2258"/>
      <c r="L20" s="233">
        <v>473</v>
      </c>
    </row>
    <row r="21" spans="3:12" ht="24" customHeight="1">
      <c r="C21" s="393">
        <v>4750</v>
      </c>
      <c r="D21" s="234" t="str">
        <f>+LOOKUP(C21,asientos!$M$12:$M$13033,asientos!$N$12:$N$13033)</f>
        <v>HP ACREEDORA POR IVA</v>
      </c>
      <c r="E21" s="235">
        <f ca="1">LOOKUP(C21,asientos!$M$12:$M$13033,asientos!$O$12:$O$13033)</f>
        <v>-674546.61</v>
      </c>
      <c r="F21" s="235">
        <f>+IF('IVA (TRIM)'!L55&gt;0,'IVA (TRIM)'!L55,0)</f>
        <v>0</v>
      </c>
      <c r="G21" s="242">
        <f t="shared" ca="1" si="0"/>
        <v>-674546.61</v>
      </c>
      <c r="H21" s="2258"/>
      <c r="L21" s="233">
        <v>4750</v>
      </c>
    </row>
    <row r="22" spans="3:12" ht="24" customHeight="1">
      <c r="C22" s="393">
        <v>4751</v>
      </c>
      <c r="D22" s="234" t="str">
        <f>+LOOKUP(C22,asientos!$M$12:$M$13033,asientos!$N$12:$N$13033)</f>
        <v>HP ACREEDORA POR RETENCIONES PRACTICADAS</v>
      </c>
      <c r="E22" s="235">
        <f ca="1">LOOKUP(C22,asientos!$M$12:$M$13033,asientos!$O$12:$O$13033)</f>
        <v>-170101.03999999998</v>
      </c>
      <c r="F22" s="235">
        <f>'IRPF (TRIM)'!E20+'IRPF (TRIM)'!G20+'IRPF (TRIM)'!I20+'IRPF (TRIM)'!K20+'AJUIRC (TRIM)'!E20+'Arrendamiento (TRIM)'!H20</f>
        <v>0</v>
      </c>
      <c r="G22" s="242">
        <f t="shared" ca="1" si="0"/>
        <v>-170101.03999999998</v>
      </c>
      <c r="H22" s="2258"/>
      <c r="L22" s="233">
        <v>4751</v>
      </c>
    </row>
    <row r="23" spans="3:12" ht="24" customHeight="1">
      <c r="C23" s="393">
        <v>4752</v>
      </c>
      <c r="D23" s="234" t="str">
        <f>+LOOKUP(C23,asientos!$M$12:$M$13033,asientos!$N$12:$N$13033)</f>
        <v>HP ACREEDORA POR IS</v>
      </c>
      <c r="E23" s="235">
        <f ca="1">LOOKUP(C23,asientos!$M$12:$M$13033,asientos!$O$12:$O$13033)</f>
        <v>0</v>
      </c>
      <c r="F23" s="235">
        <f ca="1">+IF(CALCIS!G91&gt;0,CALCIS!G91,0)</f>
        <v>0</v>
      </c>
      <c r="G23" s="242">
        <f t="shared" ca="1" si="0"/>
        <v>0</v>
      </c>
      <c r="H23" s="2258"/>
      <c r="L23" s="233">
        <v>4752</v>
      </c>
    </row>
    <row r="24" spans="3:12" ht="24" customHeight="1">
      <c r="C24" s="393">
        <v>476</v>
      </c>
      <c r="D24" s="234" t="str">
        <f>+LOOKUP(C24,asientos!$M$12:$M$13033,asientos!$N$12:$N$13033)</f>
        <v>ORGANISMOS DE LA SEG. SOC. ACREEDORES</v>
      </c>
      <c r="E24" s="235">
        <f ca="1">LOOKUP(C24,asientos!$M$12:$M$13033,asientos!$O$12:$O$13033)</f>
        <v>-52069.54</v>
      </c>
      <c r="F24" s="387"/>
      <c r="G24" s="242">
        <f t="shared" ca="1" si="0"/>
        <v>-52069.54</v>
      </c>
      <c r="H24" s="2258"/>
      <c r="L24" s="233">
        <v>476</v>
      </c>
    </row>
    <row r="25" spans="3:12" ht="24" customHeight="1">
      <c r="C25" s="393">
        <v>477</v>
      </c>
      <c r="D25" s="234" t="str">
        <f>+LOOKUP(C25,asientos!$M$12:$M$13033,asientos!$N$12:$N$13033)</f>
        <v>HP IVA REPERCUTIDO</v>
      </c>
      <c r="E25" s="235">
        <f ca="1">LOOKUP(C25,asientos!$M$12:$M$13033,asientos!$O$12:$O$13033)</f>
        <v>0</v>
      </c>
      <c r="F25" s="387"/>
      <c r="G25" s="242">
        <f t="shared" ca="1" si="0"/>
        <v>0</v>
      </c>
      <c r="H25" s="2258"/>
      <c r="L25" s="233">
        <v>477</v>
      </c>
    </row>
    <row r="26" spans="3:12" ht="24" customHeight="1">
      <c r="C26" s="393">
        <v>694</v>
      </c>
      <c r="D26" s="234" t="str">
        <f>+LOOKUP(C26,asientos!$M$12:$M$13033,asientos!$N$12:$N$13033)</f>
        <v>PÉRDIDAS POR DETERIORO DE CRÉDITOS POR OP COMERC.</v>
      </c>
      <c r="E26" s="235">
        <f ca="1">LOOKUP(C26,asientos!$M$12:$M$13033,asientos!$O$12:$O$13033)</f>
        <v>110160</v>
      </c>
      <c r="F26" s="235">
        <f>+MOROSOS!H101</f>
        <v>110160</v>
      </c>
      <c r="G26" s="242">
        <f ca="1">+E26-F26</f>
        <v>0</v>
      </c>
      <c r="H26" s="2258"/>
      <c r="L26" s="233">
        <v>694</v>
      </c>
    </row>
    <row r="27" spans="3:12" ht="24" customHeight="1">
      <c r="C27" s="393">
        <v>6300</v>
      </c>
      <c r="D27" s="234" t="str">
        <f>+LOOKUP(C27,asientos!$M$12:$M$13033,asientos!$N$12:$N$13033)</f>
        <v>IMPUESTO CORRIENTE</v>
      </c>
      <c r="E27" s="235">
        <f ca="1">LOOKUP(C27,asientos!$M$12:$M$13033,asientos!$O$12:$O$13033)</f>
        <v>2477666.92</v>
      </c>
      <c r="F27" s="235">
        <f ca="1">+CALCIS!G77</f>
        <v>2477666.9246250037</v>
      </c>
      <c r="G27" s="242">
        <f ca="1">+E27-F27</f>
        <v>-4.6250037848949432E-3</v>
      </c>
      <c r="H27" s="2258"/>
      <c r="L27" s="233">
        <v>6300</v>
      </c>
    </row>
    <row r="28" spans="3:12" ht="24" customHeight="1">
      <c r="C28" s="393">
        <v>6301</v>
      </c>
      <c r="D28" s="234" t="str">
        <f>+LOOKUP(C28,asientos!$M$12:$M$13033,asientos!$N$12:$N$13033)</f>
        <v>IMPUESTO DIFERIDO</v>
      </c>
      <c r="E28" s="235">
        <f ca="1">LOOKUP(C28,asientos!$M$12:$M$13033,asientos!$O$12:$O$13033)</f>
        <v>65906.049999999988</v>
      </c>
      <c r="F28" s="235">
        <f ca="1">+CALCIS!H77-CALCIS!G77</f>
        <v>2623.0924999997951</v>
      </c>
      <c r="G28" s="242">
        <f ca="1">+E28-F28</f>
        <v>63282.957500000193</v>
      </c>
      <c r="H28" s="2258"/>
      <c r="L28" s="233">
        <v>6301</v>
      </c>
    </row>
    <row r="29" spans="3:12" ht="24" customHeight="1">
      <c r="C29" s="393"/>
      <c r="D29" s="234" t="e">
        <f>+LOOKUP(C29,asientos!$M$12:$M$13033,asientos!$N$12:$N$13033)</f>
        <v>#N/A</v>
      </c>
      <c r="E29" s="235" t="e">
        <f>LOOKUP(C29,asientos!$M$12:$M$13033,asientos!$O$12:$O$13033)</f>
        <v>#N/A</v>
      </c>
      <c r="F29" s="387"/>
      <c r="G29" s="242" t="e">
        <f>+E29-F29</f>
        <v>#N/A</v>
      </c>
      <c r="H29" s="2258"/>
      <c r="L29" s="233"/>
    </row>
    <row r="30" spans="3:12" ht="24" customHeight="1" outlineLevel="1">
      <c r="C30" s="391"/>
      <c r="D30" s="238"/>
      <c r="E30" s="239"/>
      <c r="F30" s="388"/>
      <c r="G30" s="243">
        <f>+E30-F30</f>
        <v>0</v>
      </c>
      <c r="H30" s="2259"/>
    </row>
    <row r="31" spans="3:12" ht="24" customHeight="1">
      <c r="C31" s="240"/>
      <c r="D31" s="245" t="s">
        <v>1071</v>
      </c>
      <c r="E31" s="244" t="e">
        <f ca="1">SUM(E17:E30)</f>
        <v>#N/A</v>
      </c>
      <c r="F31" s="244">
        <f ca="1">SUM(F17:F30)</f>
        <v>5068116.9417500068</v>
      </c>
      <c r="G31" s="244" t="e">
        <f ca="1">SUM(G17:G30)</f>
        <v>#N/A</v>
      </c>
      <c r="H31" s="240"/>
    </row>
    <row r="32" spans="3:12" ht="9" customHeight="1">
      <c r="D32" s="215"/>
      <c r="E32" s="215"/>
      <c r="F32" s="215"/>
      <c r="G32" s="215"/>
    </row>
    <row r="33" spans="3:12" ht="21.75" customHeight="1">
      <c r="C33" s="194" t="s">
        <v>1092</v>
      </c>
      <c r="D33" s="194" t="s">
        <v>988</v>
      </c>
      <c r="E33" s="194" t="s">
        <v>1085</v>
      </c>
      <c r="F33" s="194" t="s">
        <v>1086</v>
      </c>
      <c r="G33" s="194" t="s">
        <v>1087</v>
      </c>
      <c r="H33" s="194" t="s">
        <v>1068</v>
      </c>
    </row>
    <row r="34" spans="3:12" ht="15" customHeight="1"/>
    <row r="35" spans="3:12" ht="23.25" customHeight="1">
      <c r="C35" s="394">
        <v>0.19</v>
      </c>
      <c r="D35" s="252" t="s">
        <v>1088</v>
      </c>
      <c r="E35" s="253" t="e">
        <f ca="1">SUM(E36:E42)-E43</f>
        <v>#N/A</v>
      </c>
      <c r="F35" s="253">
        <f>+CALCIS!E83</f>
        <v>1265329.2999999998</v>
      </c>
      <c r="G35" s="284" t="e">
        <f ca="1">+(E35*C35)-F35</f>
        <v>#N/A</v>
      </c>
      <c r="H35" s="2251"/>
      <c r="L35" s="233">
        <v>760</v>
      </c>
    </row>
    <row r="36" spans="3:12" ht="23.25" customHeight="1" outlineLevel="1">
      <c r="C36" s="395">
        <v>760</v>
      </c>
      <c r="D36" s="234" t="str">
        <f>+LOOKUP(C36,asientos!$M$12:$M$13033,asientos!$N$12:$N$13033)</f>
        <v>INGRESOS DE PART. EN INSTRUMENTOS DE PATRIMONIO</v>
      </c>
      <c r="E36" s="235">
        <f ca="1">-LOOKUP(C36,asientos!$M$12:$M$13033,asientos!$O$12:$O$13033)</f>
        <v>6524020.6900000004</v>
      </c>
      <c r="F36" s="397"/>
      <c r="G36" s="247"/>
      <c r="H36" s="2251"/>
      <c r="L36" s="233">
        <v>761</v>
      </c>
    </row>
    <row r="37" spans="3:12" ht="23.25" customHeight="1" outlineLevel="1">
      <c r="C37" s="395">
        <v>761</v>
      </c>
      <c r="D37" s="234" t="str">
        <f>+LOOKUP(C37,asientos!$M$12:$M$13033,asientos!$N$12:$N$13033)</f>
        <v>INGRESOS DE VALORES REPRESENT. DE DEUDA</v>
      </c>
      <c r="E37" s="235">
        <f ca="1">-LOOKUP(C37,asientos!$M$12:$M$13033,asientos!$O$12:$O$13033)</f>
        <v>0</v>
      </c>
      <c r="F37" s="397"/>
      <c r="G37" s="247"/>
      <c r="H37" s="2251"/>
      <c r="L37" s="233">
        <v>762</v>
      </c>
    </row>
    <row r="38" spans="3:12" ht="23.25" customHeight="1" outlineLevel="1">
      <c r="C38" s="395">
        <v>762</v>
      </c>
      <c r="D38" s="234" t="str">
        <f>+LOOKUP(C38,asientos!$M$12:$M$13033,asientos!$N$12:$N$13033)</f>
        <v>INGRESOS DE CRÉDITOS</v>
      </c>
      <c r="E38" s="235">
        <f ca="1">-LOOKUP(C38,asientos!$M$12:$M$13033,asientos!$O$12:$O$13033)</f>
        <v>0</v>
      </c>
      <c r="F38" s="397"/>
      <c r="G38" s="247"/>
      <c r="H38" s="2251"/>
      <c r="L38" s="233">
        <v>766</v>
      </c>
    </row>
    <row r="39" spans="3:12" ht="23.25" customHeight="1" outlineLevel="1">
      <c r="C39" s="395">
        <v>766</v>
      </c>
      <c r="D39" s="234" t="str">
        <f>+LOOKUP(C39,asientos!$M$12:$M$13033,asientos!$N$12:$N$13033)</f>
        <v>BENEF EN PARTICIP. Y VALORES REPRESENT. DE DEUDA</v>
      </c>
      <c r="E39" s="235">
        <f ca="1">-LOOKUP(C39,asientos!$M$12:$M$13033,asientos!$O$12:$O$13033)</f>
        <v>639120.5</v>
      </c>
      <c r="F39" s="397"/>
      <c r="G39" s="247"/>
      <c r="H39" s="2251"/>
      <c r="L39" s="233">
        <v>767</v>
      </c>
    </row>
    <row r="40" spans="3:12" ht="23.25" customHeight="1" outlineLevel="1">
      <c r="C40" s="395">
        <v>767</v>
      </c>
      <c r="D40" s="234" t="str">
        <f>+LOOKUP(C40,asientos!$M$12:$M$13033,asientos!$N$12:$N$13033)</f>
        <v>INGRES. DE ACTIV AFECTOS Y DE DCHOS REEMB. RETRIB LP</v>
      </c>
      <c r="E40" s="235">
        <f ca="1">-LOOKUP(C40,asientos!$M$12:$M$13033,asientos!$O$12:$O$13033)</f>
        <v>0</v>
      </c>
      <c r="F40" s="397"/>
      <c r="G40" s="247"/>
      <c r="H40" s="2251"/>
      <c r="L40" s="233">
        <v>769</v>
      </c>
    </row>
    <row r="41" spans="3:12" ht="23.25" customHeight="1" outlineLevel="1">
      <c r="C41" s="395">
        <v>769</v>
      </c>
      <c r="D41" s="234" t="str">
        <f>+LOOKUP(C41,asientos!$M$12:$M$13033,asientos!$N$12:$N$13033)</f>
        <v>OTROS INGRESOS FINANCIEROS</v>
      </c>
      <c r="E41" s="235">
        <f ca="1">-LOOKUP(C41,asientos!$M$12:$M$13033,asientos!$O$12:$O$13033)</f>
        <v>2309646.29</v>
      </c>
      <c r="F41" s="397"/>
      <c r="G41" s="247"/>
      <c r="H41" s="2251"/>
    </row>
    <row r="42" spans="3:12" ht="23.25" customHeight="1" outlineLevel="1">
      <c r="C42" s="396"/>
      <c r="D42" s="234" t="e">
        <f>+LOOKUP(C42,asientos!$M$12:$M$13033,asientos!$N$12:$N$13033)</f>
        <v>#N/A</v>
      </c>
      <c r="E42" s="235" t="e">
        <f>-LOOKUP(C42,asientos!$M$12:$M$13033,asientos!$O$12:$O$13033)</f>
        <v>#N/A</v>
      </c>
      <c r="F42" s="397"/>
      <c r="G42" s="247"/>
      <c r="H42" s="2251"/>
    </row>
    <row r="43" spans="3:12" ht="23.25" customHeight="1">
      <c r="C43" s="402"/>
      <c r="D43" s="248" t="s">
        <v>1089</v>
      </c>
      <c r="E43" s="249">
        <f>8527.23/0.19</f>
        <v>44880.15789473684</v>
      </c>
      <c r="F43" s="403"/>
      <c r="G43" s="250"/>
      <c r="H43" s="2251"/>
    </row>
    <row r="44" spans="3:12" ht="10.5" customHeight="1">
      <c r="C44" s="258"/>
      <c r="D44" s="259"/>
      <c r="E44" s="260"/>
      <c r="F44" s="260"/>
      <c r="G44" s="261"/>
      <c r="H44" s="2251"/>
    </row>
    <row r="45" spans="3:12" ht="23.25" customHeight="1">
      <c r="C45" s="398">
        <v>0.19</v>
      </c>
      <c r="D45" s="262" t="s">
        <v>1090</v>
      </c>
      <c r="E45" s="263">
        <f ca="1">SUM(E46:E47)-E48</f>
        <v>0</v>
      </c>
      <c r="F45" s="263">
        <f>+CALCIS!E84</f>
        <v>0</v>
      </c>
      <c r="G45" s="264">
        <f ca="1">+(E45*C45)-F45</f>
        <v>0</v>
      </c>
      <c r="H45" s="2251"/>
    </row>
    <row r="46" spans="3:12" ht="23.25" customHeight="1" outlineLevel="1">
      <c r="C46" s="399">
        <v>752</v>
      </c>
      <c r="D46" s="246" t="str">
        <f>+LOOKUP(C46,asientos!$M$12:$M$13033,asientos!$N$12:$N$13033)</f>
        <v>INGRESOS POR ARRENDAMIENTOS</v>
      </c>
      <c r="E46" s="251">
        <f ca="1">-LOOKUP(C46,asientos!$M$12:$M$13033,asientos!$O$12:$O$13033)</f>
        <v>0</v>
      </c>
      <c r="F46" s="397"/>
      <c r="G46" s="247"/>
      <c r="H46" s="2251"/>
      <c r="L46" s="233">
        <v>752</v>
      </c>
    </row>
    <row r="47" spans="3:12" ht="23.25" customHeight="1" outlineLevel="1">
      <c r="C47" s="395">
        <v>753</v>
      </c>
      <c r="D47" s="234" t="str">
        <f>+LOOKUP(C47,asientos!$M$12:$M$13033,asientos!$N$12:$N$13033)</f>
        <v>INGRESOS DE PROP INDUSTRIAL CEDIDA EN EXPLOTACIÓN</v>
      </c>
      <c r="E47" s="235">
        <f ca="1">-LOOKUP(C47,asientos!$M$12:$M$13033,asientos!$O$12:$O$13033)</f>
        <v>0</v>
      </c>
      <c r="F47" s="397"/>
      <c r="G47" s="247"/>
      <c r="H47" s="2251"/>
      <c r="L47" s="233">
        <v>753</v>
      </c>
    </row>
    <row r="48" spans="3:12" ht="23.25" customHeight="1">
      <c r="C48" s="400"/>
      <c r="D48" s="255" t="s">
        <v>1091</v>
      </c>
      <c r="E48" s="256"/>
      <c r="F48" s="401"/>
      <c r="G48" s="257"/>
      <c r="H48" s="2251"/>
    </row>
    <row r="49" spans="3:12" ht="15" customHeight="1"/>
    <row r="50" spans="3:12" ht="21.75" customHeight="1">
      <c r="C50" s="194" t="s">
        <v>1065</v>
      </c>
      <c r="D50" s="194" t="s">
        <v>1093</v>
      </c>
      <c r="E50" s="194" t="s">
        <v>1094</v>
      </c>
      <c r="F50" s="194" t="s">
        <v>1095</v>
      </c>
      <c r="G50" s="194" t="s">
        <v>935</v>
      </c>
      <c r="H50" s="194" t="s">
        <v>1068</v>
      </c>
    </row>
    <row r="51" spans="3:12" ht="15" customHeight="1"/>
    <row r="52" spans="3:12" ht="23.25" customHeight="1">
      <c r="C52" s="398"/>
      <c r="D52" s="262" t="s">
        <v>1096</v>
      </c>
      <c r="E52" s="263">
        <f>'IVA (check_TRIM)'!G50+'IVA (check_TRIM)'!G54+'IVA (check_TRIM)'!G58+'IVA (check_TRIM)'!G60</f>
        <v>0</v>
      </c>
      <c r="F52" s="263" t="e">
        <f ca="1">SUM(F53:F70)</f>
        <v>#N/A</v>
      </c>
      <c r="G52" s="265" t="e">
        <f ca="1">+E52-F52</f>
        <v>#N/A</v>
      </c>
      <c r="H52" s="2251"/>
    </row>
    <row r="53" spans="3:12" ht="23.25" customHeight="1" outlineLevel="1">
      <c r="C53" s="399">
        <v>600</v>
      </c>
      <c r="D53" s="246" t="str">
        <f>+LOOKUP(C53,asientos!$M$12:$M$13033,asientos!$N$12:$N$13033)</f>
        <v>COMPRAS DE MERCADERÍAS</v>
      </c>
      <c r="F53" s="251">
        <f ca="1">LOOKUP(C53,asientos!$M$12:$M$13033,asientos!$O$12:$O$13033)</f>
        <v>21680440.560000002</v>
      </c>
      <c r="G53" s="247"/>
      <c r="H53" s="2251"/>
      <c r="L53" s="233">
        <v>600</v>
      </c>
    </row>
    <row r="54" spans="3:12" ht="23.25" customHeight="1" outlineLevel="1">
      <c r="C54" s="399">
        <v>601</v>
      </c>
      <c r="D54" s="246" t="str">
        <f>+LOOKUP(C54,asientos!$M$12:$M$13033,asientos!$N$12:$N$13033)</f>
        <v>COMPRAS DE MATERIAS PRIMAS</v>
      </c>
      <c r="F54" s="251">
        <f ca="1">LOOKUP(C54,asientos!$M$12:$M$13033,asientos!$O$12:$O$13033)</f>
        <v>41519643.559999987</v>
      </c>
      <c r="G54" s="247"/>
      <c r="H54" s="2251"/>
      <c r="L54" s="233">
        <v>601</v>
      </c>
    </row>
    <row r="55" spans="3:12" ht="23.25" customHeight="1" outlineLevel="1">
      <c r="C55" s="399">
        <v>602</v>
      </c>
      <c r="D55" s="246" t="str">
        <f>+LOOKUP(C55,asientos!$M$12:$M$13033,asientos!$N$12:$N$13033)</f>
        <v>COMPRAS DE OTROS APROVISIONAMIENTOS</v>
      </c>
      <c r="F55" s="251">
        <f ca="1">LOOKUP(C55,asientos!$M$12:$M$13033,asientos!$O$12:$O$13033)</f>
        <v>397772.66</v>
      </c>
      <c r="G55" s="247"/>
      <c r="H55" s="2251"/>
      <c r="L55" s="233">
        <v>602</v>
      </c>
    </row>
    <row r="56" spans="3:12" ht="23.25" customHeight="1" outlineLevel="1">
      <c r="C56" s="399">
        <v>606</v>
      </c>
      <c r="D56" s="246" t="str">
        <f>+LOOKUP(C56,asientos!$M$12:$M$13033,asientos!$N$12:$N$13033)</f>
        <v>DESCUENTOS SOBRE COMPRAS POR PRONTO PAGO</v>
      </c>
      <c r="F56" s="251">
        <f ca="1">LOOKUP(C56,asientos!$M$12:$M$13033,asientos!$O$12:$O$13033)</f>
        <v>-831.47</v>
      </c>
      <c r="G56" s="247"/>
      <c r="H56" s="2251"/>
      <c r="L56" s="233">
        <v>606</v>
      </c>
    </row>
    <row r="57" spans="3:12" ht="23.25" customHeight="1" outlineLevel="1">
      <c r="C57" s="399">
        <v>607</v>
      </c>
      <c r="D57" s="246" t="str">
        <f>+LOOKUP(C57,asientos!$M$12:$M$13033,asientos!$N$12:$N$13033)</f>
        <v>TRABAJOS REALIZADOS POR OTRAS EMPRESAS</v>
      </c>
      <c r="F57" s="251">
        <f ca="1">LOOKUP(C57,asientos!$M$12:$M$13033,asientos!$O$12:$O$13033)</f>
        <v>0</v>
      </c>
      <c r="G57" s="247"/>
      <c r="H57" s="2251"/>
      <c r="L57" s="233">
        <v>607</v>
      </c>
    </row>
    <row r="58" spans="3:12" ht="23.25" customHeight="1" outlineLevel="1">
      <c r="C58" s="399">
        <v>608</v>
      </c>
      <c r="D58" s="246" t="str">
        <f>+LOOKUP(C58,asientos!$M$12:$M$13033,asientos!$N$12:$N$13033)</f>
        <v>DEVOLUCIONES DE COMPRAS Y OP SIMILARES</v>
      </c>
      <c r="F58" s="251">
        <f ca="1">LOOKUP(C58,asientos!$M$12:$M$13033,asientos!$O$12:$O$13033)</f>
        <v>0</v>
      </c>
      <c r="G58" s="247"/>
      <c r="H58" s="2251"/>
      <c r="L58" s="233">
        <v>608</v>
      </c>
    </row>
    <row r="59" spans="3:12" ht="23.25" customHeight="1" outlineLevel="1">
      <c r="C59" s="399">
        <v>609</v>
      </c>
      <c r="D59" s="246" t="str">
        <f>+LOOKUP(C59,asientos!$M$12:$M$13033,asientos!$N$12:$N$13033)</f>
        <v>RAPPELS POR COMPRAS</v>
      </c>
      <c r="F59" s="251">
        <f ca="1">LOOKUP(C59,asientos!$M$12:$M$13033,asientos!$O$12:$O$13033)</f>
        <v>0</v>
      </c>
      <c r="G59" s="247"/>
      <c r="H59" s="2251"/>
      <c r="L59" s="233">
        <v>609</v>
      </c>
    </row>
    <row r="60" spans="3:12" ht="23.25" customHeight="1" outlineLevel="1">
      <c r="C60" s="399">
        <v>620</v>
      </c>
      <c r="D60" s="246" t="str">
        <f>+LOOKUP(C60,asientos!$M$12:$M$13033,asientos!$N$12:$N$13033)</f>
        <v>GASTOS EN INVESTIGACIÓN Y DESARROLLO DEL EJERCICIO</v>
      </c>
      <c r="F60" s="251">
        <f ca="1">LOOKUP(C60,asientos!$M$12:$M$13033,asientos!$O$12:$O$13033)</f>
        <v>0</v>
      </c>
      <c r="G60" s="247"/>
      <c r="H60" s="2251"/>
      <c r="L60" s="233">
        <v>620</v>
      </c>
    </row>
    <row r="61" spans="3:12" ht="23.25" customHeight="1" outlineLevel="1">
      <c r="C61" s="399">
        <v>621</v>
      </c>
      <c r="D61" s="246" t="str">
        <f>+LOOKUP(C61,asientos!$M$12:$M$13033,asientos!$N$12:$N$13033)</f>
        <v>ARRENDAMIENTOS Y CÁNONES</v>
      </c>
      <c r="F61" s="251">
        <f ca="1">LOOKUP(C61,asientos!$M$12:$M$13033,asientos!$O$12:$O$13033)</f>
        <v>45607.610000000008</v>
      </c>
      <c r="G61" s="247"/>
      <c r="H61" s="2251"/>
      <c r="L61" s="233">
        <v>621</v>
      </c>
    </row>
    <row r="62" spans="3:12" ht="23.25" customHeight="1" outlineLevel="1">
      <c r="C62" s="399">
        <v>622</v>
      </c>
      <c r="D62" s="246" t="str">
        <f>+LOOKUP(C62,asientos!$M$12:$M$13033,asientos!$N$12:$N$13033)</f>
        <v>REPARACIONES Y CONSERVACIÓN</v>
      </c>
      <c r="F62" s="251">
        <f ca="1">LOOKUP(C62,asientos!$M$12:$M$13033,asientos!$O$12:$O$13033)</f>
        <v>408157.99</v>
      </c>
      <c r="G62" s="247"/>
      <c r="H62" s="2251"/>
      <c r="L62" s="233">
        <v>622</v>
      </c>
    </row>
    <row r="63" spans="3:12" ht="23.25" customHeight="1" outlineLevel="1">
      <c r="C63" s="399">
        <v>623</v>
      </c>
      <c r="D63" s="246" t="str">
        <f>+LOOKUP(C63,asientos!$M$12:$M$13033,asientos!$N$12:$N$13033)</f>
        <v>SERVICIOS DE PROFESIONALES INDEPENDIENTES</v>
      </c>
      <c r="F63" s="251">
        <f ca="1">LOOKUP(C63,asientos!$M$12:$M$13033,asientos!$O$12:$O$13033)</f>
        <v>1289990.83</v>
      </c>
      <c r="G63" s="247"/>
      <c r="H63" s="2251"/>
      <c r="L63" s="233">
        <v>623</v>
      </c>
    </row>
    <row r="64" spans="3:12" ht="23.25" customHeight="1" outlineLevel="1">
      <c r="C64" s="399">
        <v>624</v>
      </c>
      <c r="D64" s="246" t="str">
        <f>+LOOKUP(C64,asientos!$M$12:$M$13033,asientos!$N$12:$N$13033)</f>
        <v>TRANSPORTES</v>
      </c>
      <c r="F64" s="251">
        <f ca="1">LOOKUP(C64,asientos!$M$12:$M$13033,asientos!$O$12:$O$13033)</f>
        <v>969386.08000000007</v>
      </c>
      <c r="G64" s="247"/>
      <c r="H64" s="2251"/>
      <c r="L64" s="233">
        <v>624</v>
      </c>
    </row>
    <row r="65" spans="3:12" ht="23.25" customHeight="1" outlineLevel="1">
      <c r="C65" s="399">
        <v>626</v>
      </c>
      <c r="D65" s="246" t="str">
        <f>+LOOKUP(C65,asientos!$M$12:$M$13033,asientos!$N$12:$N$13033)</f>
        <v>SERVICIOS BANCARIOS Y SIMILARES</v>
      </c>
      <c r="F65" s="251">
        <f ca="1">LOOKUP(C65,asientos!$M$12:$M$13033,asientos!$O$12:$O$13033)</f>
        <v>58684.98</v>
      </c>
      <c r="G65" s="247"/>
      <c r="H65" s="2251"/>
      <c r="L65" s="233">
        <v>626</v>
      </c>
    </row>
    <row r="66" spans="3:12" ht="23.25" customHeight="1" outlineLevel="1">
      <c r="C66" s="399">
        <v>627</v>
      </c>
      <c r="D66" s="246" t="str">
        <f>+LOOKUP(C66,asientos!$M$12:$M$13033,asientos!$N$12:$N$13033)</f>
        <v>PUBLICIDAD, PROPAGANDA Y RELACIONES PÚBLICAS</v>
      </c>
      <c r="F66" s="251">
        <f ca="1">LOOKUP(C66,asientos!$M$12:$M$13033,asientos!$O$12:$O$13033)</f>
        <v>49008.95</v>
      </c>
      <c r="G66" s="247"/>
      <c r="H66" s="2251"/>
      <c r="L66" s="233">
        <v>627</v>
      </c>
    </row>
    <row r="67" spans="3:12" ht="23.25" customHeight="1" outlineLevel="1">
      <c r="C67" s="399">
        <v>628</v>
      </c>
      <c r="D67" s="246" t="str">
        <f>+LOOKUP(C67,asientos!$M$12:$M$13033,asientos!$N$12:$N$13033)</f>
        <v>SUMINISTROS</v>
      </c>
      <c r="F67" s="251">
        <f ca="1">LOOKUP(C67,asientos!$M$12:$M$13033,asientos!$O$12:$O$13033)</f>
        <v>1387300.6999999995</v>
      </c>
      <c r="G67" s="247"/>
      <c r="H67" s="2251"/>
      <c r="L67" s="233">
        <v>628</v>
      </c>
    </row>
    <row r="68" spans="3:12" ht="23.25" customHeight="1" outlineLevel="1">
      <c r="C68" s="399">
        <v>629</v>
      </c>
      <c r="D68" s="246" t="str">
        <f>+LOOKUP(C68,asientos!$M$12:$M$13033,asientos!$N$12:$N$13033)</f>
        <v>OTROS SERVICIOS</v>
      </c>
      <c r="F68" s="251">
        <f ca="1">LOOKUP(C68,asientos!$M$12:$M$13033,asientos!$O$12:$O$13033)</f>
        <v>367677.30000000005</v>
      </c>
      <c r="G68" s="247"/>
      <c r="H68" s="2251"/>
      <c r="L68" s="233">
        <v>629</v>
      </c>
    </row>
    <row r="69" spans="3:12" ht="23.25" customHeight="1" outlineLevel="1">
      <c r="C69" s="399"/>
      <c r="D69" s="246" t="e">
        <f>+LOOKUP(C69,asientos!$M$12:$M$13033,asientos!$N$12:$N$13033)</f>
        <v>#N/A</v>
      </c>
      <c r="F69" s="251" t="e">
        <f>LOOKUP(C69,asientos!$M$12:$M$13033,asientos!$O$12:$O$13033)</f>
        <v>#N/A</v>
      </c>
      <c r="G69" s="247"/>
      <c r="H69" s="2251"/>
      <c r="L69" s="233"/>
    </row>
    <row r="70" spans="3:12" ht="23.25" customHeight="1" outlineLevel="1">
      <c r="C70" s="399"/>
      <c r="D70" s="246" t="e">
        <f>+LOOKUP(C70,asientos!$M$12:$M$13033,asientos!$N$12:$N$13033)</f>
        <v>#N/A</v>
      </c>
      <c r="F70" s="251" t="e">
        <f>LOOKUP(C70,asientos!$M$12:$M$13033,asientos!$O$12:$O$13033)</f>
        <v>#N/A</v>
      </c>
      <c r="G70" s="247"/>
      <c r="H70" s="2251"/>
      <c r="L70" s="233"/>
    </row>
    <row r="71" spans="3:12" ht="23.25" customHeight="1">
      <c r="C71" s="400"/>
      <c r="D71" s="255" t="s">
        <v>1097</v>
      </c>
      <c r="E71" s="256">
        <f>'IVA (check_TRIM)'!G51+'IVA (check_TRIM)'!G55+'IVA (check_TRIM)'!G59</f>
        <v>0</v>
      </c>
      <c r="F71" s="256">
        <f>+Inmovilizado!F50+Inmovilizado!G50</f>
        <v>399683.81</v>
      </c>
      <c r="G71" s="257">
        <f>+E71-F71</f>
        <v>-399683.81</v>
      </c>
      <c r="H71" s="2251"/>
    </row>
    <row r="72" spans="3:12" ht="23.25" customHeight="1">
      <c r="C72" s="400"/>
      <c r="D72" s="255" t="s">
        <v>1098</v>
      </c>
      <c r="E72" s="401"/>
      <c r="F72" s="401"/>
      <c r="G72" s="257">
        <f>+E72-F72</f>
        <v>0</v>
      </c>
      <c r="H72" s="2251"/>
    </row>
    <row r="73" spans="3:12" ht="15" customHeight="1"/>
  </sheetData>
  <sheetProtection selectLockedCells="1"/>
  <mergeCells count="6">
    <mergeCell ref="H52:H72"/>
    <mergeCell ref="C5:D5"/>
    <mergeCell ref="E5:G5"/>
    <mergeCell ref="E7:G7"/>
    <mergeCell ref="H17:H30"/>
    <mergeCell ref="H35:H48"/>
  </mergeCells>
  <dataValidations count="4">
    <dataValidation type="list" allowBlank="1" showInputMessage="1" showErrorMessage="1" sqref="C53:C70" xr:uid="{00000000-0002-0000-2100-000000000000}">
      <formula1>$L$53:$L$70</formula1>
    </dataValidation>
    <dataValidation type="list" allowBlank="1" showInputMessage="1" showErrorMessage="1" sqref="C46:C47" xr:uid="{00000000-0002-0000-2100-000001000000}">
      <formula1>$L$46:$L$47</formula1>
    </dataValidation>
    <dataValidation type="list" allowBlank="1" showInputMessage="1" showErrorMessage="1" sqref="C36:C42" xr:uid="{00000000-0002-0000-2100-000002000000}">
      <formula1>$L$35:$L$40</formula1>
    </dataValidation>
    <dataValidation type="list" allowBlank="1" showInputMessage="1" showErrorMessage="1" sqref="C17:C29" xr:uid="{00000000-0002-0000-2100-000003000000}">
      <formula1>$L$17:$L$29</formula1>
    </dataValidation>
  </dataValidations>
  <pageMargins left="0.43307086614173229" right="0.23622047244094491" top="0.74803149606299213" bottom="0.74803149606299213" header="0.31496062992125984" footer="0.31496062992125984"/>
  <pageSetup paperSize="9" scale="4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utton 3">
              <controlPr locked="0" defaultSize="0" print="0" autoFill="0" autoPict="0" macro="[0]!borrarmesentpub">
                <anchor moveWithCells="1" sizeWithCells="1">
                  <from>
                    <xdr:col>4</xdr:col>
                    <xdr:colOff>800100</xdr:colOff>
                    <xdr:row>11</xdr:row>
                    <xdr:rowOff>76200</xdr:rowOff>
                  </from>
                  <to>
                    <xdr:col>5</xdr:col>
                    <xdr:colOff>762000</xdr:colOff>
                    <xdr:row>12</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5">
    <tabColor theme="3" tint="-0.499984740745262"/>
    <pageSetUpPr fitToPage="1"/>
  </sheetPr>
  <dimension ref="C1:Z289"/>
  <sheetViews>
    <sheetView showGridLines="0" showRowColHeaders="0" zoomScale="80" zoomScaleNormal="80" workbookViewId="0">
      <pane xSplit="6" ySplit="13" topLeftCell="G14" activePane="bottomRight" state="frozen"/>
      <selection activeCell="C38" sqref="C38"/>
      <selection pane="topRight" activeCell="C38" sqref="C38"/>
      <selection pane="bottomLeft" activeCell="C38" sqref="C38"/>
      <selection pane="bottomRight" activeCell="C38" sqref="C38"/>
    </sheetView>
  </sheetViews>
  <sheetFormatPr baseColWidth="10" defaultColWidth="11.44140625" defaultRowHeight="14.4"/>
  <cols>
    <col min="1" max="1" width="2" style="76" customWidth="1"/>
    <col min="2" max="2" width="5" style="76" customWidth="1"/>
    <col min="3" max="3" width="44" style="76" bestFit="1" customWidth="1"/>
    <col min="4" max="4" width="41" style="76" bestFit="1" customWidth="1"/>
    <col min="5" max="5" width="5" style="76" customWidth="1"/>
    <col min="6" max="6" width="2.5546875" style="76" customWidth="1"/>
    <col min="7" max="7" width="78" style="76" customWidth="1"/>
    <col min="8" max="8" width="39" style="76" bestFit="1" customWidth="1"/>
    <col min="9" max="9" width="16" style="76" customWidth="1"/>
    <col min="10" max="12" width="11.44140625" style="76" customWidth="1"/>
    <col min="13" max="13" width="33" style="80" customWidth="1"/>
    <col min="14" max="14" width="40" style="76" customWidth="1"/>
    <col min="15" max="15" width="15" style="76" customWidth="1"/>
    <col min="16" max="17" width="11.44140625" style="76" customWidth="1"/>
    <col min="18" max="18" width="90.5546875" style="81" customWidth="1"/>
    <col min="19" max="19" width="47.5546875" style="76" customWidth="1"/>
    <col min="20" max="20" width="16" style="76" bestFit="1" customWidth="1"/>
    <col min="21" max="16384" width="11.44140625" style="76"/>
  </cols>
  <sheetData>
    <row r="1" spans="3:26" s="71" customFormat="1">
      <c r="Q1" s="73"/>
      <c r="U1" s="74"/>
      <c r="Z1" s="75"/>
    </row>
    <row r="2" spans="3:26" s="71" customFormat="1" ht="9" customHeight="1">
      <c r="Q2" s="73"/>
      <c r="U2" s="74"/>
      <c r="Z2" s="75"/>
    </row>
    <row r="3" spans="3:26" s="71" customFormat="1" ht="5.25" customHeight="1">
      <c r="C3" s="76"/>
      <c r="Q3" s="73"/>
      <c r="U3" s="74"/>
      <c r="Z3" s="75"/>
    </row>
    <row r="4" spans="3:26" s="71" customFormat="1" ht="5.25" customHeight="1">
      <c r="Q4" s="73"/>
      <c r="U4" s="74"/>
      <c r="Z4" s="75"/>
    </row>
    <row r="5" spans="3:26" ht="18">
      <c r="C5" s="77" t="str">
        <f>+MENU!C5</f>
        <v>Sociedad:</v>
      </c>
      <c r="D5" s="78" t="str">
        <f>+MENU!E5</f>
        <v>MARIO PILATO BLAT, S.A.</v>
      </c>
      <c r="E5" s="78"/>
      <c r="F5" s="78"/>
      <c r="G5" s="79"/>
    </row>
    <row r="7" spans="3:26" ht="18">
      <c r="C7" s="77" t="s">
        <v>0</v>
      </c>
      <c r="D7" s="2260">
        <f>+MENU!D7</f>
        <v>45657</v>
      </c>
      <c r="E7" s="2260"/>
      <c r="F7" s="2260"/>
    </row>
    <row r="8" spans="3:26" ht="18">
      <c r="C8" s="82"/>
      <c r="D8" s="83"/>
      <c r="E8" s="83"/>
      <c r="F8" s="83"/>
    </row>
    <row r="9" spans="3:26">
      <c r="C9" s="80"/>
      <c r="G9" s="84"/>
      <c r="M9" s="76"/>
      <c r="R9" s="76"/>
    </row>
    <row r="10" spans="3:26" ht="18">
      <c r="C10" s="80"/>
      <c r="D10" s="85" t="s">
        <v>168</v>
      </c>
      <c r="G10" s="84"/>
      <c r="M10" s="76"/>
      <c r="R10" s="76"/>
    </row>
    <row r="11" spans="3:26">
      <c r="C11" s="80"/>
      <c r="G11" s="84"/>
      <c r="M11" s="76"/>
      <c r="R11" s="76"/>
    </row>
    <row r="12" spans="3:26">
      <c r="C12" s="80"/>
      <c r="G12" s="84"/>
      <c r="M12" s="76"/>
      <c r="R12" s="76"/>
    </row>
    <row r="13" spans="3:26" ht="29.25" customHeight="1">
      <c r="C13" s="80"/>
      <c r="D13" s="94" t="s">
        <v>3</v>
      </c>
      <c r="E13" s="95"/>
      <c r="F13" s="96"/>
      <c r="G13" s="84"/>
      <c r="H13" s="94" t="s">
        <v>53</v>
      </c>
      <c r="I13" s="97"/>
      <c r="M13" s="76"/>
      <c r="R13" s="76"/>
    </row>
    <row r="14" spans="3:26" ht="29.25" customHeight="1">
      <c r="C14" s="80"/>
      <c r="D14" s="71"/>
      <c r="E14" s="71"/>
      <c r="F14" s="71"/>
      <c r="G14" s="71"/>
      <c r="H14" s="71"/>
      <c r="I14" s="98"/>
      <c r="M14" s="76"/>
      <c r="R14" s="76"/>
    </row>
    <row r="15" spans="3:26" ht="29.25" customHeight="1">
      <c r="C15" s="80"/>
      <c r="D15" s="99" t="s">
        <v>4</v>
      </c>
      <c r="E15" s="100"/>
      <c r="F15" s="101"/>
      <c r="G15" s="84"/>
      <c r="H15" s="99" t="s">
        <v>54</v>
      </c>
      <c r="I15" s="102"/>
      <c r="M15" s="76"/>
      <c r="R15" s="76"/>
    </row>
    <row r="16" spans="3:26" ht="29.25" customHeight="1">
      <c r="C16" s="103"/>
      <c r="D16" s="104" t="s">
        <v>5</v>
      </c>
      <c r="E16" s="105"/>
      <c r="F16" s="105"/>
      <c r="G16" s="84"/>
      <c r="I16" s="86"/>
      <c r="M16" s="76"/>
      <c r="R16" s="76"/>
    </row>
    <row r="17" spans="3:11" s="76" customFormat="1" ht="29.25" customHeight="1">
      <c r="C17" s="106" t="s">
        <v>109</v>
      </c>
      <c r="D17" s="107" t="s">
        <v>6</v>
      </c>
      <c r="E17" s="108"/>
      <c r="F17" s="109"/>
      <c r="G17" s="84"/>
      <c r="H17" s="110" t="s">
        <v>55</v>
      </c>
      <c r="I17" s="111"/>
    </row>
    <row r="18" spans="3:11" s="76" customFormat="1" ht="29.25" customHeight="1">
      <c r="C18" s="106" t="s">
        <v>110</v>
      </c>
      <c r="D18" s="107" t="s">
        <v>7</v>
      </c>
      <c r="E18" s="108"/>
      <c r="F18" s="109"/>
      <c r="G18" s="112"/>
      <c r="H18" s="113" t="s">
        <v>56</v>
      </c>
      <c r="I18" s="86"/>
    </row>
    <row r="19" spans="3:11" s="76" customFormat="1" ht="29.25" customHeight="1">
      <c r="C19" s="106" t="s">
        <v>111</v>
      </c>
      <c r="D19" s="107" t="s">
        <v>8</v>
      </c>
      <c r="E19" s="108"/>
      <c r="F19" s="109"/>
      <c r="G19" s="114" t="s">
        <v>144</v>
      </c>
      <c r="H19" s="107" t="s">
        <v>57</v>
      </c>
      <c r="I19" s="115"/>
      <c r="K19" s="116"/>
    </row>
    <row r="20" spans="3:11" s="76" customFormat="1" ht="29.25" customHeight="1">
      <c r="C20" s="106">
        <v>204</v>
      </c>
      <c r="D20" s="107" t="s">
        <v>9</v>
      </c>
      <c r="E20" s="108"/>
      <c r="F20" s="117"/>
      <c r="G20" s="114" t="s">
        <v>145</v>
      </c>
      <c r="H20" s="107" t="s">
        <v>58</v>
      </c>
      <c r="I20" s="115"/>
      <c r="K20" s="116"/>
    </row>
    <row r="21" spans="3:11" s="76" customFormat="1" ht="29.25" customHeight="1">
      <c r="C21" s="106" t="s">
        <v>112</v>
      </c>
      <c r="D21" s="107" t="s">
        <v>10</v>
      </c>
      <c r="E21" s="108"/>
      <c r="F21" s="118"/>
      <c r="G21" s="114">
        <v>110</v>
      </c>
      <c r="H21" s="113" t="s">
        <v>59</v>
      </c>
      <c r="I21" s="86"/>
      <c r="K21" s="116"/>
    </row>
    <row r="22" spans="3:11" s="76" customFormat="1" ht="29.25" customHeight="1">
      <c r="C22" s="119" t="s">
        <v>271</v>
      </c>
      <c r="D22" s="107" t="s">
        <v>11</v>
      </c>
      <c r="E22" s="108"/>
      <c r="F22" s="118"/>
      <c r="G22" s="114"/>
      <c r="H22" s="113" t="s">
        <v>60</v>
      </c>
      <c r="I22" s="86"/>
      <c r="K22" s="116"/>
    </row>
    <row r="23" spans="3:11" s="76" customFormat="1" ht="29.25" customHeight="1">
      <c r="C23" s="103"/>
      <c r="D23" s="113" t="s">
        <v>12</v>
      </c>
      <c r="E23" s="117"/>
      <c r="F23" s="118"/>
      <c r="G23" s="114" t="s">
        <v>146</v>
      </c>
      <c r="H23" s="107" t="s">
        <v>61</v>
      </c>
      <c r="I23" s="115"/>
      <c r="K23" s="116"/>
    </row>
    <row r="24" spans="3:11" s="76" customFormat="1" ht="29.25" customHeight="1">
      <c r="C24" s="106" t="s">
        <v>114</v>
      </c>
      <c r="D24" s="107" t="s">
        <v>13</v>
      </c>
      <c r="E24" s="108"/>
      <c r="F24" s="117"/>
      <c r="G24" s="114" t="s">
        <v>147</v>
      </c>
      <c r="H24" s="107" t="s">
        <v>62</v>
      </c>
      <c r="I24" s="115"/>
      <c r="K24" s="116"/>
    </row>
    <row r="25" spans="3:11" s="76" customFormat="1" ht="29.25" customHeight="1">
      <c r="C25" s="106" t="s">
        <v>115</v>
      </c>
      <c r="D25" s="107" t="s">
        <v>14</v>
      </c>
      <c r="E25" s="108"/>
      <c r="F25" s="118"/>
      <c r="G25" s="114" t="s">
        <v>148</v>
      </c>
      <c r="H25" s="113" t="s">
        <v>63</v>
      </c>
      <c r="I25" s="86"/>
      <c r="K25" s="116"/>
    </row>
    <row r="26" spans="3:11" s="76" customFormat="1" ht="29.25" customHeight="1">
      <c r="C26" s="106">
        <v>23</v>
      </c>
      <c r="D26" s="107" t="s">
        <v>15</v>
      </c>
      <c r="E26" s="108"/>
      <c r="F26" s="118"/>
      <c r="G26" s="114"/>
      <c r="H26" s="113" t="s">
        <v>64</v>
      </c>
      <c r="I26" s="86"/>
      <c r="K26" s="116"/>
    </row>
    <row r="27" spans="3:11" s="76" customFormat="1" ht="29.25" customHeight="1">
      <c r="C27" s="103"/>
      <c r="D27" s="113" t="s">
        <v>16</v>
      </c>
      <c r="E27" s="117"/>
      <c r="F27" s="118"/>
      <c r="G27" s="114">
        <v>120</v>
      </c>
      <c r="H27" s="107" t="s">
        <v>65</v>
      </c>
      <c r="I27" s="115"/>
      <c r="K27" s="116"/>
    </row>
    <row r="28" spans="3:11" s="76" customFormat="1" ht="29.25" customHeight="1">
      <c r="C28" s="106" t="s">
        <v>116</v>
      </c>
      <c r="D28" s="107" t="s">
        <v>17</v>
      </c>
      <c r="E28" s="108"/>
      <c r="F28" s="117"/>
      <c r="G28" s="114">
        <v>-121</v>
      </c>
      <c r="H28" s="107" t="s">
        <v>66</v>
      </c>
      <c r="I28" s="115"/>
      <c r="K28" s="116"/>
    </row>
    <row r="29" spans="3:11" s="76" customFormat="1" ht="29.25" customHeight="1">
      <c r="C29" s="106" t="s">
        <v>117</v>
      </c>
      <c r="D29" s="107" t="s">
        <v>18</v>
      </c>
      <c r="E29" s="108"/>
      <c r="F29" s="118"/>
      <c r="G29" s="114">
        <v>118</v>
      </c>
      <c r="H29" s="113" t="s">
        <v>67</v>
      </c>
      <c r="I29" s="86"/>
      <c r="K29" s="116"/>
    </row>
    <row r="30" spans="3:11" s="76" customFormat="1" ht="29.25" customHeight="1">
      <c r="C30" s="103"/>
      <c r="D30" s="113" t="s">
        <v>19</v>
      </c>
      <c r="E30" s="117"/>
      <c r="F30" s="117"/>
      <c r="G30" s="114">
        <v>129</v>
      </c>
      <c r="H30" s="113" t="s">
        <v>68</v>
      </c>
      <c r="I30" s="86"/>
      <c r="K30" s="116"/>
    </row>
    <row r="31" spans="3:11" s="76" customFormat="1" ht="29.25" customHeight="1">
      <c r="C31" s="106" t="s">
        <v>633</v>
      </c>
      <c r="D31" s="107" t="s">
        <v>20</v>
      </c>
      <c r="E31" s="108"/>
      <c r="F31" s="117"/>
      <c r="G31" s="114">
        <v>-557</v>
      </c>
      <c r="H31" s="113" t="s">
        <v>69</v>
      </c>
      <c r="I31" s="86"/>
      <c r="K31" s="116"/>
    </row>
    <row r="32" spans="3:11" s="76" customFormat="1" ht="29.25" customHeight="1">
      <c r="C32" s="106" t="s">
        <v>634</v>
      </c>
      <c r="D32" s="107" t="s">
        <v>21</v>
      </c>
      <c r="E32" s="108"/>
      <c r="G32" s="120">
        <v>111</v>
      </c>
      <c r="H32" s="113" t="s">
        <v>70</v>
      </c>
      <c r="I32" s="86"/>
      <c r="K32" s="116"/>
    </row>
    <row r="33" spans="3:11" s="76" customFormat="1" ht="29.25" customHeight="1">
      <c r="C33" s="106" t="s">
        <v>120</v>
      </c>
      <c r="D33" s="107" t="s">
        <v>22</v>
      </c>
      <c r="E33" s="108"/>
      <c r="G33" s="84"/>
      <c r="H33" s="113"/>
      <c r="I33" s="121"/>
      <c r="K33" s="116"/>
    </row>
    <row r="34" spans="3:11" s="76" customFormat="1" ht="29.25" customHeight="1">
      <c r="C34" s="103"/>
      <c r="D34" s="107" t="s">
        <v>23</v>
      </c>
      <c r="E34" s="108"/>
      <c r="G34" s="84"/>
      <c r="H34" s="110" t="s">
        <v>71</v>
      </c>
      <c r="I34" s="111"/>
      <c r="K34" s="116"/>
    </row>
    <row r="35" spans="3:11" s="76" customFormat="1" ht="29.25" customHeight="1">
      <c r="C35" s="103"/>
      <c r="D35" s="107" t="s">
        <v>24</v>
      </c>
      <c r="E35" s="108"/>
      <c r="G35" s="114">
        <v>133</v>
      </c>
      <c r="H35" s="113" t="s">
        <v>72</v>
      </c>
      <c r="I35" s="86"/>
      <c r="K35" s="116"/>
    </row>
    <row r="36" spans="3:11" s="76" customFormat="1" ht="29.25" customHeight="1">
      <c r="C36" s="103"/>
      <c r="D36" s="113" t="s">
        <v>25</v>
      </c>
      <c r="E36" s="117"/>
      <c r="G36" s="114">
        <v>1340</v>
      </c>
      <c r="H36" s="113" t="s">
        <v>73</v>
      </c>
      <c r="I36" s="86"/>
      <c r="K36" s="116"/>
    </row>
    <row r="37" spans="3:11" s="76" customFormat="1" ht="29.25" customHeight="1">
      <c r="C37" s="106" t="s">
        <v>121</v>
      </c>
      <c r="D37" s="107" t="s">
        <v>20</v>
      </c>
      <c r="E37" s="108"/>
      <c r="G37" s="114">
        <v>137</v>
      </c>
      <c r="H37" s="113" t="s">
        <v>74</v>
      </c>
      <c r="I37" s="86"/>
      <c r="K37" s="116"/>
    </row>
    <row r="38" spans="3:11" s="76" customFormat="1" ht="29.25" customHeight="1">
      <c r="C38" s="106" t="s">
        <v>122</v>
      </c>
      <c r="D38" s="107" t="s">
        <v>26</v>
      </c>
      <c r="E38" s="108"/>
      <c r="G38" s="114" t="s">
        <v>149</v>
      </c>
      <c r="H38" s="110" t="s">
        <v>75</v>
      </c>
      <c r="I38" s="111"/>
      <c r="K38" s="116"/>
    </row>
    <row r="39" spans="3:11" s="76" customFormat="1" ht="29.25" customHeight="1">
      <c r="C39" s="106" t="s">
        <v>123</v>
      </c>
      <c r="D39" s="107" t="s">
        <v>22</v>
      </c>
      <c r="E39" s="108"/>
      <c r="G39" s="84"/>
      <c r="H39" s="122" t="s">
        <v>76</v>
      </c>
      <c r="I39" s="102"/>
      <c r="K39" s="116"/>
    </row>
    <row r="40" spans="3:11" s="76" customFormat="1" ht="29.25" customHeight="1">
      <c r="C40" s="106">
        <v>255</v>
      </c>
      <c r="D40" s="107" t="s">
        <v>23</v>
      </c>
      <c r="E40" s="108"/>
      <c r="G40" s="112"/>
      <c r="H40" s="113" t="s">
        <v>77</v>
      </c>
      <c r="I40" s="86"/>
      <c r="K40" s="116"/>
    </row>
    <row r="41" spans="3:11" s="76" customFormat="1" ht="29.25" customHeight="1">
      <c r="C41" s="106" t="s">
        <v>124</v>
      </c>
      <c r="D41" s="107" t="s">
        <v>24</v>
      </c>
      <c r="E41" s="108"/>
      <c r="G41" s="114" t="s">
        <v>150</v>
      </c>
      <c r="H41" s="107" t="s">
        <v>78</v>
      </c>
      <c r="I41" s="115"/>
      <c r="K41" s="116"/>
    </row>
    <row r="42" spans="3:11" s="76" customFormat="1" ht="29.25" customHeight="1">
      <c r="C42" s="123" t="s">
        <v>156</v>
      </c>
      <c r="D42" s="113" t="s">
        <v>90</v>
      </c>
      <c r="E42" s="86"/>
      <c r="G42" s="114"/>
      <c r="H42" s="124"/>
      <c r="I42" s="86"/>
      <c r="K42" s="116"/>
    </row>
    <row r="43" spans="3:11" s="76" customFormat="1" ht="29.25" customHeight="1">
      <c r="C43" s="106">
        <v>474</v>
      </c>
      <c r="D43" s="113" t="s">
        <v>27</v>
      </c>
      <c r="E43" s="125"/>
      <c r="G43" s="114">
        <v>145</v>
      </c>
      <c r="H43" s="107" t="s">
        <v>79</v>
      </c>
      <c r="I43" s="115"/>
      <c r="K43" s="116"/>
    </row>
    <row r="44" spans="3:11" s="76" customFormat="1" ht="29.25" customHeight="1">
      <c r="C44" s="103"/>
      <c r="D44" s="126" t="s">
        <v>28</v>
      </c>
      <c r="E44" s="127"/>
      <c r="G44" s="114">
        <v>146</v>
      </c>
      <c r="H44" s="107" t="s">
        <v>80</v>
      </c>
      <c r="I44" s="115"/>
      <c r="K44" s="116"/>
    </row>
    <row r="45" spans="3:11" s="76" customFormat="1" ht="29.25" customHeight="1">
      <c r="C45" s="106" t="s">
        <v>125</v>
      </c>
      <c r="D45" s="113" t="s">
        <v>29</v>
      </c>
      <c r="E45" s="125"/>
      <c r="G45" s="114" t="s">
        <v>151</v>
      </c>
      <c r="H45" s="107" t="s">
        <v>81</v>
      </c>
      <c r="I45" s="115"/>
    </row>
    <row r="46" spans="3:11" s="76" customFormat="1" ht="29.25" customHeight="1">
      <c r="C46" s="103"/>
      <c r="D46" s="113" t="s">
        <v>30</v>
      </c>
      <c r="E46" s="128"/>
      <c r="G46" s="114"/>
      <c r="H46" s="113" t="s">
        <v>82</v>
      </c>
      <c r="I46" s="86"/>
    </row>
    <row r="47" spans="3:11" s="76" customFormat="1" ht="29.25" customHeight="1">
      <c r="C47" s="106" t="s">
        <v>126</v>
      </c>
      <c r="D47" s="107" t="s">
        <v>31</v>
      </c>
      <c r="E47" s="108"/>
      <c r="G47" s="114" t="s">
        <v>152</v>
      </c>
      <c r="H47" s="107" t="s">
        <v>83</v>
      </c>
      <c r="I47" s="115"/>
    </row>
    <row r="48" spans="3:11" s="76" customFormat="1" ht="29.25" customHeight="1">
      <c r="C48" s="106" t="s">
        <v>127</v>
      </c>
      <c r="D48" s="107" t="s">
        <v>32</v>
      </c>
      <c r="E48" s="108"/>
      <c r="G48" s="114" t="s">
        <v>153</v>
      </c>
      <c r="H48" s="107" t="s">
        <v>84</v>
      </c>
      <c r="I48" s="115"/>
    </row>
    <row r="49" spans="3:9" s="76" customFormat="1" ht="29.25" customHeight="1">
      <c r="C49" s="106" t="s">
        <v>128</v>
      </c>
      <c r="D49" s="107" t="s">
        <v>33</v>
      </c>
      <c r="E49" s="108"/>
      <c r="G49" s="114" t="s">
        <v>154</v>
      </c>
      <c r="H49" s="107" t="s">
        <v>85</v>
      </c>
      <c r="I49" s="115"/>
    </row>
    <row r="50" spans="3:9" s="76" customFormat="1" ht="29.25" customHeight="1">
      <c r="C50" s="106" t="s">
        <v>129</v>
      </c>
      <c r="D50" s="107" t="s">
        <v>34</v>
      </c>
      <c r="E50" s="108"/>
      <c r="G50" s="114">
        <v>176</v>
      </c>
      <c r="H50" s="107" t="s">
        <v>23</v>
      </c>
      <c r="I50" s="115"/>
    </row>
    <row r="51" spans="3:9" s="76" customFormat="1" ht="29.25" customHeight="1">
      <c r="C51" s="106">
        <v>39</v>
      </c>
      <c r="D51" s="107" t="s">
        <v>35</v>
      </c>
      <c r="E51" s="108"/>
      <c r="G51" s="114" t="s">
        <v>155</v>
      </c>
      <c r="H51" s="107" t="s">
        <v>86</v>
      </c>
      <c r="I51" s="115"/>
    </row>
    <row r="52" spans="3:9" s="76" customFormat="1" ht="29.25" customHeight="1">
      <c r="C52" s="103"/>
      <c r="D52" s="107" t="s">
        <v>174</v>
      </c>
      <c r="E52" s="128"/>
      <c r="G52" s="114" t="s">
        <v>275</v>
      </c>
      <c r="H52" s="113" t="s">
        <v>87</v>
      </c>
      <c r="I52" s="86"/>
    </row>
    <row r="53" spans="3:9" s="76" customFormat="1" ht="29.25" customHeight="1">
      <c r="C53" s="106">
        <v>407</v>
      </c>
      <c r="D53" s="107" t="s">
        <v>36</v>
      </c>
      <c r="E53" s="108"/>
      <c r="G53" s="114">
        <v>479</v>
      </c>
      <c r="H53" s="113" t="s">
        <v>88</v>
      </c>
      <c r="I53" s="86"/>
    </row>
    <row r="54" spans="3:9" s="76" customFormat="1" ht="29.25" customHeight="1">
      <c r="C54" s="103"/>
      <c r="D54" s="113" t="s">
        <v>37</v>
      </c>
      <c r="E54" s="128"/>
      <c r="G54" s="114">
        <v>181</v>
      </c>
      <c r="H54" s="113" t="s">
        <v>89</v>
      </c>
      <c r="I54" s="86"/>
    </row>
    <row r="55" spans="3:9" s="76" customFormat="1" ht="29.25" customHeight="1">
      <c r="C55" s="106" t="s">
        <v>130</v>
      </c>
      <c r="D55" s="107" t="s">
        <v>38</v>
      </c>
      <c r="E55" s="108"/>
    </row>
    <row r="56" spans="3:9" s="76" customFormat="1" ht="29.25" customHeight="1">
      <c r="C56" s="106" t="s">
        <v>131</v>
      </c>
      <c r="D56" s="107" t="s">
        <v>39</v>
      </c>
      <c r="E56" s="108"/>
      <c r="G56" s="84"/>
      <c r="H56" s="122" t="s">
        <v>91</v>
      </c>
      <c r="I56" s="102"/>
    </row>
    <row r="57" spans="3:9" s="76" customFormat="1" ht="29.25" customHeight="1">
      <c r="C57" s="106" t="s">
        <v>132</v>
      </c>
      <c r="D57" s="107" t="s">
        <v>40</v>
      </c>
      <c r="E57" s="108"/>
      <c r="G57" s="114" t="s">
        <v>157</v>
      </c>
      <c r="H57" s="113" t="s">
        <v>92</v>
      </c>
      <c r="I57" s="86"/>
    </row>
    <row r="58" spans="3:9" s="76" customFormat="1" ht="29.25" customHeight="1">
      <c r="C58" s="106" t="s">
        <v>133</v>
      </c>
      <c r="D58" s="107" t="s">
        <v>41</v>
      </c>
      <c r="E58" s="108"/>
      <c r="G58" s="114" t="s">
        <v>158</v>
      </c>
      <c r="H58" s="113" t="s">
        <v>93</v>
      </c>
      <c r="I58" s="86"/>
    </row>
    <row r="59" spans="3:9" s="76" customFormat="1" ht="29.25" customHeight="1">
      <c r="C59" s="106">
        <v>4709</v>
      </c>
      <c r="D59" s="107" t="s">
        <v>42</v>
      </c>
      <c r="E59" s="108"/>
      <c r="G59" s="114"/>
      <c r="H59" s="113" t="s">
        <v>94</v>
      </c>
      <c r="I59" s="86"/>
    </row>
    <row r="60" spans="3:9" s="76" customFormat="1" ht="29.25" customHeight="1">
      <c r="C60" s="106" t="s">
        <v>272</v>
      </c>
      <c r="D60" s="107" t="s">
        <v>43</v>
      </c>
      <c r="E60" s="108"/>
      <c r="G60" s="114" t="s">
        <v>159</v>
      </c>
      <c r="H60" s="107" t="s">
        <v>95</v>
      </c>
      <c r="I60" s="115"/>
    </row>
    <row r="61" spans="3:9" s="76" customFormat="1" ht="29.25" customHeight="1">
      <c r="C61" s="106">
        <v>5580</v>
      </c>
      <c r="D61" s="107" t="s">
        <v>44</v>
      </c>
      <c r="E61" s="108"/>
      <c r="G61" s="114" t="s">
        <v>160</v>
      </c>
      <c r="H61" s="107" t="s">
        <v>96</v>
      </c>
      <c r="I61" s="115"/>
    </row>
    <row r="62" spans="3:9" s="76" customFormat="1" ht="29.25" customHeight="1">
      <c r="C62" s="129"/>
      <c r="D62" s="113" t="s">
        <v>45</v>
      </c>
      <c r="G62" s="114" t="s">
        <v>161</v>
      </c>
      <c r="H62" s="107" t="s">
        <v>85</v>
      </c>
      <c r="I62" s="115"/>
    </row>
    <row r="63" spans="3:9" s="76" customFormat="1" ht="29.25" customHeight="1">
      <c r="C63" s="106" t="s">
        <v>134</v>
      </c>
      <c r="D63" s="107" t="s">
        <v>20</v>
      </c>
      <c r="E63" s="108"/>
      <c r="G63" s="114" t="s">
        <v>162</v>
      </c>
      <c r="H63" s="107" t="s">
        <v>23</v>
      </c>
      <c r="I63" s="115"/>
    </row>
    <row r="64" spans="3:9" s="76" customFormat="1" ht="29.25" customHeight="1">
      <c r="C64" s="106" t="s">
        <v>135</v>
      </c>
      <c r="D64" s="107" t="s">
        <v>21</v>
      </c>
      <c r="E64" s="108"/>
      <c r="G64" s="130" t="s">
        <v>269</v>
      </c>
      <c r="H64" s="131" t="s">
        <v>86</v>
      </c>
      <c r="I64" s="115"/>
    </row>
    <row r="65" spans="3:9" s="76" customFormat="1" ht="29.25" customHeight="1">
      <c r="C65" s="106" t="s">
        <v>136</v>
      </c>
      <c r="D65" s="107" t="s">
        <v>22</v>
      </c>
      <c r="E65" s="108"/>
      <c r="G65" s="130" t="s">
        <v>276</v>
      </c>
      <c r="H65" s="113" t="s">
        <v>97</v>
      </c>
      <c r="I65" s="86"/>
    </row>
    <row r="66" spans="3:9" s="76" customFormat="1" ht="29.25" customHeight="1">
      <c r="C66" s="106"/>
      <c r="D66" s="107" t="s">
        <v>23</v>
      </c>
      <c r="E66" s="108"/>
      <c r="G66" s="114"/>
      <c r="H66" s="113" t="s">
        <v>98</v>
      </c>
      <c r="I66" s="86"/>
    </row>
    <row r="67" spans="3:9" s="76" customFormat="1" ht="29.25" customHeight="1">
      <c r="C67" s="106" t="s">
        <v>273</v>
      </c>
      <c r="D67" s="107" t="s">
        <v>24</v>
      </c>
      <c r="E67" s="108"/>
      <c r="G67" s="114" t="s">
        <v>270</v>
      </c>
      <c r="H67" s="107" t="s">
        <v>99</v>
      </c>
      <c r="I67" s="115"/>
    </row>
    <row r="68" spans="3:9" s="76" customFormat="1" ht="29.25" customHeight="1">
      <c r="C68" s="103"/>
      <c r="D68" s="113" t="s">
        <v>46</v>
      </c>
      <c r="E68" s="128"/>
      <c r="G68" s="114" t="s">
        <v>163</v>
      </c>
      <c r="H68" s="107" t="s">
        <v>100</v>
      </c>
      <c r="I68" s="115"/>
    </row>
    <row r="69" spans="3:9" s="76" customFormat="1" ht="29.25" customHeight="1">
      <c r="C69" s="106" t="s">
        <v>137</v>
      </c>
      <c r="D69" s="107" t="s">
        <v>47</v>
      </c>
      <c r="E69" s="108"/>
      <c r="G69" s="114">
        <v>41</v>
      </c>
      <c r="H69" s="107" t="s">
        <v>101</v>
      </c>
      <c r="I69" s="115"/>
    </row>
    <row r="70" spans="3:9" s="76" customFormat="1" ht="29.25" customHeight="1">
      <c r="C70" s="106" t="s">
        <v>138</v>
      </c>
      <c r="D70" s="107" t="s">
        <v>21</v>
      </c>
      <c r="E70" s="108"/>
      <c r="G70" s="114" t="s">
        <v>164</v>
      </c>
      <c r="H70" s="107" t="s">
        <v>102</v>
      </c>
      <c r="I70" s="115"/>
    </row>
    <row r="71" spans="3:9" s="76" customFormat="1" ht="29.25" customHeight="1">
      <c r="C71" s="106" t="s">
        <v>139</v>
      </c>
      <c r="D71" s="107" t="s">
        <v>22</v>
      </c>
      <c r="E71" s="108"/>
      <c r="G71" s="114">
        <v>4752</v>
      </c>
      <c r="H71" s="107" t="s">
        <v>103</v>
      </c>
      <c r="I71" s="115"/>
    </row>
    <row r="72" spans="3:9" s="76" customFormat="1" ht="29.25" customHeight="1">
      <c r="C72" s="106" t="s">
        <v>140</v>
      </c>
      <c r="D72" s="107" t="s">
        <v>23</v>
      </c>
      <c r="E72" s="108"/>
      <c r="G72" s="114" t="s">
        <v>165</v>
      </c>
      <c r="H72" s="107" t="s">
        <v>104</v>
      </c>
      <c r="I72" s="115"/>
    </row>
    <row r="73" spans="3:9" s="76" customFormat="1" ht="29.25" customHeight="1">
      <c r="C73" s="106" t="s">
        <v>178</v>
      </c>
      <c r="D73" s="107" t="s">
        <v>24</v>
      </c>
      <c r="E73" s="108"/>
      <c r="G73" s="114">
        <v>438</v>
      </c>
      <c r="H73" s="107" t="s">
        <v>105</v>
      </c>
      <c r="I73" s="115"/>
    </row>
    <row r="74" spans="3:9" s="76" customFormat="1" ht="29.25" customHeight="1">
      <c r="C74" s="106" t="s">
        <v>142</v>
      </c>
      <c r="D74" s="113" t="s">
        <v>48</v>
      </c>
      <c r="E74" s="125"/>
      <c r="G74" s="114" t="s">
        <v>166</v>
      </c>
      <c r="H74" s="113" t="s">
        <v>106</v>
      </c>
      <c r="I74" s="86"/>
    </row>
    <row r="75" spans="3:9" s="76" customFormat="1" ht="29.25" customHeight="1">
      <c r="C75" s="103"/>
      <c r="D75" s="113" t="s">
        <v>49</v>
      </c>
      <c r="E75" s="128"/>
      <c r="G75" s="114" t="s">
        <v>167</v>
      </c>
      <c r="H75" s="113" t="s">
        <v>107</v>
      </c>
      <c r="I75" s="86"/>
    </row>
    <row r="76" spans="3:9" s="76" customFormat="1" ht="29.25" customHeight="1">
      <c r="C76" s="106" t="s">
        <v>143</v>
      </c>
      <c r="D76" s="107" t="s">
        <v>50</v>
      </c>
      <c r="E76" s="108"/>
      <c r="G76" s="84"/>
      <c r="H76" s="94" t="s">
        <v>108</v>
      </c>
      <c r="I76" s="97"/>
    </row>
    <row r="77" spans="3:9" s="76" customFormat="1" ht="29.25" customHeight="1">
      <c r="C77" s="106">
        <v>576</v>
      </c>
      <c r="D77" s="107" t="s">
        <v>51</v>
      </c>
      <c r="E77" s="108"/>
      <c r="G77" s="84"/>
    </row>
    <row r="78" spans="3:9" s="76" customFormat="1" ht="29.25" customHeight="1">
      <c r="C78" s="80"/>
      <c r="E78" s="116"/>
      <c r="G78" s="84"/>
    </row>
    <row r="79" spans="3:9" s="76" customFormat="1" ht="29.25" customHeight="1">
      <c r="C79" s="80"/>
      <c r="D79" s="94" t="s">
        <v>52</v>
      </c>
      <c r="E79" s="132"/>
      <c r="G79" s="84"/>
    </row>
    <row r="80" spans="3:9" s="76" customFormat="1">
      <c r="C80" s="80"/>
      <c r="G80" s="84"/>
    </row>
    <row r="81" spans="3:13" s="76" customFormat="1">
      <c r="C81" s="86"/>
      <c r="G81" s="84"/>
    </row>
    <row r="82" spans="3:13" s="76" customFormat="1">
      <c r="C82" s="86"/>
      <c r="H82" s="80"/>
      <c r="L82" s="116"/>
      <c r="M82" s="81"/>
    </row>
    <row r="83" spans="3:13" s="76" customFormat="1">
      <c r="C83" s="86"/>
      <c r="H83" s="80"/>
      <c r="L83" s="116"/>
      <c r="M83" s="81"/>
    </row>
    <row r="84" spans="3:13" s="76" customFormat="1">
      <c r="C84" s="86"/>
      <c r="D84" s="71"/>
      <c r="E84" s="71"/>
      <c r="F84" s="71"/>
      <c r="G84" s="71"/>
      <c r="H84" s="80"/>
      <c r="L84" s="116"/>
      <c r="M84" s="81"/>
    </row>
    <row r="85" spans="3:13" s="76" customFormat="1">
      <c r="C85" s="86"/>
      <c r="D85" s="71"/>
      <c r="E85" s="71"/>
      <c r="F85" s="71"/>
      <c r="G85" s="71"/>
      <c r="H85" s="80"/>
      <c r="M85" s="81"/>
    </row>
    <row r="86" spans="3:13" s="76" customFormat="1">
      <c r="C86" s="86"/>
      <c r="D86" s="71"/>
      <c r="E86" s="71"/>
      <c r="F86" s="71"/>
      <c r="G86" s="71"/>
      <c r="H86" s="80"/>
      <c r="M86" s="81"/>
    </row>
    <row r="87" spans="3:13" s="76" customFormat="1" ht="29.25" customHeight="1">
      <c r="C87" s="86"/>
      <c r="D87" s="71"/>
      <c r="E87" s="71"/>
      <c r="F87" s="71"/>
      <c r="G87" s="71"/>
      <c r="H87" s="80"/>
      <c r="M87" s="81"/>
    </row>
    <row r="88" spans="3:13" s="76" customFormat="1" ht="29.25" customHeight="1">
      <c r="C88" s="86"/>
      <c r="D88" s="71"/>
      <c r="E88" s="71"/>
      <c r="F88" s="71"/>
      <c r="G88" s="71"/>
      <c r="H88" s="80"/>
      <c r="M88" s="81"/>
    </row>
    <row r="89" spans="3:13" s="76" customFormat="1" ht="29.25" customHeight="1">
      <c r="C89" s="86"/>
      <c r="D89" s="71"/>
      <c r="E89" s="71"/>
      <c r="F89" s="71"/>
      <c r="G89" s="71"/>
      <c r="H89" s="80"/>
      <c r="M89" s="81"/>
    </row>
    <row r="90" spans="3:13" s="76" customFormat="1" ht="29.25" customHeight="1">
      <c r="C90" s="86"/>
      <c r="D90" s="71"/>
      <c r="E90" s="71"/>
      <c r="F90" s="71"/>
      <c r="G90" s="71"/>
      <c r="H90" s="80"/>
      <c r="M90" s="81"/>
    </row>
    <row r="91" spans="3:13" s="76" customFormat="1" ht="29.25" customHeight="1">
      <c r="C91" s="86"/>
      <c r="D91" s="71"/>
      <c r="E91" s="71"/>
      <c r="F91" s="71"/>
      <c r="G91" s="71"/>
      <c r="H91" s="80"/>
      <c r="M91" s="81"/>
    </row>
    <row r="92" spans="3:13" s="76" customFormat="1" ht="29.25" customHeight="1">
      <c r="C92" s="86"/>
      <c r="D92" s="71"/>
      <c r="E92" s="71"/>
      <c r="F92" s="71"/>
      <c r="G92" s="71"/>
      <c r="H92" s="80"/>
      <c r="M92" s="81"/>
    </row>
    <row r="93" spans="3:13" s="76" customFormat="1" ht="29.25" customHeight="1">
      <c r="C93" s="86"/>
      <c r="D93" s="71"/>
      <c r="E93" s="71"/>
      <c r="F93" s="71"/>
      <c r="G93" s="71"/>
      <c r="H93" s="80"/>
      <c r="M93" s="81"/>
    </row>
    <row r="94" spans="3:13" s="76" customFormat="1" ht="29.25" customHeight="1">
      <c r="C94" s="86"/>
      <c r="D94" s="71"/>
      <c r="E94" s="71"/>
      <c r="F94" s="71"/>
      <c r="G94" s="71"/>
      <c r="H94" s="80"/>
      <c r="M94" s="81"/>
    </row>
    <row r="95" spans="3:13" s="76" customFormat="1" ht="29.25" customHeight="1">
      <c r="C95" s="86"/>
      <c r="D95" s="71"/>
      <c r="E95" s="71"/>
      <c r="F95" s="71"/>
      <c r="G95" s="71"/>
      <c r="H95" s="80"/>
      <c r="M95" s="81"/>
    </row>
    <row r="96" spans="3:13" s="76" customFormat="1" ht="29.25" customHeight="1">
      <c r="C96" s="86"/>
      <c r="D96" s="71"/>
      <c r="E96" s="71"/>
      <c r="F96" s="71"/>
      <c r="G96" s="71"/>
      <c r="H96" s="80"/>
      <c r="M96" s="81"/>
    </row>
    <row r="97" spans="3:13" s="76" customFormat="1" ht="29.25" customHeight="1">
      <c r="C97" s="86"/>
      <c r="D97" s="71"/>
      <c r="E97" s="71"/>
      <c r="F97" s="71"/>
      <c r="G97" s="71"/>
      <c r="H97" s="80"/>
      <c r="M97" s="81"/>
    </row>
    <row r="98" spans="3:13" s="76" customFormat="1" ht="29.25" customHeight="1">
      <c r="C98" s="86"/>
      <c r="D98" s="71"/>
      <c r="E98" s="71"/>
      <c r="F98" s="71"/>
      <c r="G98" s="71"/>
      <c r="H98" s="80"/>
      <c r="M98" s="81"/>
    </row>
    <row r="99" spans="3:13" s="76" customFormat="1" ht="29.25" customHeight="1">
      <c r="C99" s="86"/>
      <c r="D99" s="71"/>
      <c r="E99" s="71"/>
      <c r="F99" s="71"/>
      <c r="G99" s="71"/>
      <c r="H99" s="80"/>
      <c r="M99" s="81"/>
    </row>
    <row r="100" spans="3:13" s="76" customFormat="1" ht="29.25" customHeight="1">
      <c r="C100" s="86"/>
      <c r="D100" s="71"/>
      <c r="E100" s="71"/>
      <c r="F100" s="71"/>
      <c r="G100" s="71"/>
      <c r="H100" s="80"/>
      <c r="M100" s="81"/>
    </row>
    <row r="101" spans="3:13" s="76" customFormat="1" ht="29.25" customHeight="1">
      <c r="C101" s="86"/>
      <c r="D101" s="71"/>
      <c r="E101" s="71"/>
      <c r="F101" s="71"/>
      <c r="G101" s="71"/>
      <c r="H101" s="80"/>
      <c r="M101" s="81"/>
    </row>
    <row r="102" spans="3:13" s="76" customFormat="1" ht="29.25" customHeight="1">
      <c r="C102" s="86"/>
      <c r="D102" s="71"/>
      <c r="E102" s="71"/>
      <c r="F102" s="71"/>
      <c r="G102" s="71"/>
      <c r="H102" s="80"/>
      <c r="M102" s="81"/>
    </row>
    <row r="103" spans="3:13" s="76" customFormat="1" ht="29.25" customHeight="1">
      <c r="C103" s="86"/>
      <c r="D103" s="71"/>
      <c r="E103" s="71"/>
      <c r="F103" s="71"/>
      <c r="G103" s="71"/>
      <c r="H103" s="80"/>
      <c r="M103" s="81"/>
    </row>
    <row r="104" spans="3:13" s="76" customFormat="1" ht="29.25" customHeight="1">
      <c r="C104" s="86"/>
      <c r="D104" s="71"/>
      <c r="E104" s="71"/>
      <c r="F104" s="71"/>
      <c r="G104" s="71"/>
      <c r="H104" s="80"/>
      <c r="M104" s="81"/>
    </row>
    <row r="105" spans="3:13" s="76" customFormat="1" ht="29.25" customHeight="1">
      <c r="C105" s="86"/>
      <c r="D105" s="71"/>
      <c r="E105" s="71"/>
      <c r="F105" s="71"/>
      <c r="G105" s="71"/>
      <c r="H105" s="80"/>
      <c r="M105" s="81"/>
    </row>
    <row r="106" spans="3:13" s="76" customFormat="1" ht="29.25" customHeight="1">
      <c r="C106" s="86"/>
      <c r="D106" s="71"/>
      <c r="E106" s="71"/>
      <c r="F106" s="71"/>
      <c r="G106" s="71"/>
      <c r="H106" s="80"/>
      <c r="M106" s="81"/>
    </row>
    <row r="107" spans="3:13" s="76" customFormat="1" ht="29.25" customHeight="1">
      <c r="C107" s="86"/>
      <c r="D107" s="71"/>
      <c r="E107" s="71"/>
      <c r="F107" s="71"/>
      <c r="G107" s="71"/>
      <c r="H107" s="80"/>
      <c r="M107" s="81"/>
    </row>
    <row r="108" spans="3:13" s="76" customFormat="1" ht="29.25" customHeight="1">
      <c r="C108" s="86"/>
      <c r="D108" s="71"/>
      <c r="E108" s="71"/>
      <c r="F108" s="71"/>
      <c r="G108" s="71"/>
      <c r="H108" s="80"/>
      <c r="M108" s="81"/>
    </row>
    <row r="109" spans="3:13" s="76" customFormat="1" ht="29.25" customHeight="1">
      <c r="C109" s="86"/>
      <c r="D109" s="71"/>
      <c r="E109" s="71"/>
      <c r="F109" s="71"/>
      <c r="G109" s="71"/>
      <c r="H109" s="80"/>
      <c r="M109" s="81"/>
    </row>
    <row r="110" spans="3:13" s="76" customFormat="1" ht="29.25" customHeight="1">
      <c r="C110" s="86"/>
      <c r="D110" s="71"/>
      <c r="E110" s="71"/>
      <c r="F110" s="71"/>
      <c r="G110" s="71"/>
      <c r="H110" s="80"/>
      <c r="M110" s="81"/>
    </row>
    <row r="111" spans="3:13" s="76" customFormat="1" ht="29.25" customHeight="1">
      <c r="C111" s="86"/>
      <c r="D111" s="71"/>
      <c r="E111" s="71"/>
      <c r="F111" s="71"/>
      <c r="G111" s="71"/>
      <c r="H111" s="80"/>
      <c r="M111" s="81"/>
    </row>
    <row r="112" spans="3:13" s="76" customFormat="1" ht="29.25" customHeight="1">
      <c r="C112" s="86"/>
      <c r="D112" s="71"/>
      <c r="E112" s="71"/>
      <c r="F112" s="71"/>
      <c r="G112" s="71"/>
      <c r="H112" s="80"/>
      <c r="M112" s="81"/>
    </row>
    <row r="113" spans="4:14" s="76" customFormat="1" ht="29.25" customHeight="1">
      <c r="D113" s="71"/>
      <c r="E113" s="71"/>
      <c r="F113" s="71"/>
      <c r="G113" s="71"/>
      <c r="H113" s="80"/>
      <c r="M113" s="81"/>
    </row>
    <row r="114" spans="4:14" s="76" customFormat="1" ht="29.25" customHeight="1">
      <c r="D114" s="71"/>
      <c r="E114" s="71"/>
      <c r="F114" s="71"/>
      <c r="G114" s="71"/>
      <c r="I114" s="80"/>
      <c r="N114" s="81"/>
    </row>
    <row r="115" spans="4:14" s="76" customFormat="1" ht="29.25" customHeight="1">
      <c r="D115" s="71"/>
      <c r="E115" s="71"/>
      <c r="F115" s="71"/>
      <c r="G115" s="71"/>
      <c r="I115" s="80"/>
      <c r="N115" s="81"/>
    </row>
    <row r="116" spans="4:14" s="76" customFormat="1" ht="29.25" customHeight="1">
      <c r="D116" s="71"/>
      <c r="E116" s="71"/>
      <c r="F116" s="71"/>
      <c r="G116" s="71"/>
      <c r="I116" s="80"/>
      <c r="N116" s="81"/>
    </row>
    <row r="117" spans="4:14" s="76" customFormat="1" ht="29.25" customHeight="1">
      <c r="D117" s="71"/>
      <c r="E117" s="71"/>
      <c r="F117" s="71"/>
      <c r="G117" s="71"/>
      <c r="I117" s="80"/>
      <c r="N117" s="81"/>
    </row>
    <row r="118" spans="4:14" s="76" customFormat="1" ht="29.25" customHeight="1">
      <c r="D118" s="71"/>
      <c r="E118" s="71"/>
      <c r="F118" s="71"/>
      <c r="G118" s="71"/>
      <c r="I118" s="80"/>
      <c r="N118" s="81"/>
    </row>
    <row r="119" spans="4:14" s="76" customFormat="1" ht="29.25" customHeight="1">
      <c r="D119" s="71"/>
      <c r="E119" s="71"/>
      <c r="F119" s="71"/>
      <c r="G119" s="71"/>
      <c r="I119" s="80"/>
      <c r="N119" s="81"/>
    </row>
    <row r="120" spans="4:14" s="76" customFormat="1" ht="29.25" customHeight="1">
      <c r="D120" s="71"/>
      <c r="E120" s="71"/>
      <c r="F120" s="71"/>
      <c r="G120" s="71"/>
      <c r="I120" s="80"/>
      <c r="N120" s="81"/>
    </row>
    <row r="121" spans="4:14" s="76" customFormat="1" ht="29.25" customHeight="1">
      <c r="D121" s="71"/>
      <c r="E121" s="71"/>
      <c r="F121" s="71"/>
      <c r="G121" s="71"/>
      <c r="I121" s="80"/>
      <c r="N121" s="81"/>
    </row>
    <row r="122" spans="4:14" s="76" customFormat="1" ht="29.25" customHeight="1">
      <c r="D122" s="71"/>
      <c r="E122" s="71"/>
      <c r="F122" s="71"/>
      <c r="G122" s="71"/>
      <c r="I122" s="80"/>
      <c r="N122" s="81"/>
    </row>
    <row r="123" spans="4:14" s="76" customFormat="1" ht="29.25" customHeight="1">
      <c r="D123" s="71"/>
      <c r="E123" s="71"/>
      <c r="F123" s="71"/>
      <c r="G123" s="71"/>
      <c r="I123" s="80"/>
      <c r="N123" s="81"/>
    </row>
    <row r="124" spans="4:14" s="76" customFormat="1" ht="29.25" customHeight="1">
      <c r="D124" s="71"/>
      <c r="E124" s="71"/>
      <c r="F124" s="71"/>
      <c r="G124" s="71"/>
      <c r="I124" s="80"/>
      <c r="N124" s="81"/>
    </row>
    <row r="125" spans="4:14" s="76" customFormat="1" ht="29.25" customHeight="1">
      <c r="D125" s="71"/>
      <c r="E125" s="71"/>
      <c r="F125" s="71"/>
      <c r="G125" s="71"/>
      <c r="I125" s="80"/>
      <c r="N125" s="81"/>
    </row>
    <row r="126" spans="4:14" s="76" customFormat="1" ht="29.25" customHeight="1">
      <c r="D126" s="71"/>
      <c r="E126" s="71"/>
      <c r="F126" s="71"/>
      <c r="G126" s="71"/>
      <c r="I126" s="80"/>
      <c r="N126" s="81"/>
    </row>
    <row r="127" spans="4:14" s="76" customFormat="1" ht="29.25" customHeight="1">
      <c r="D127" s="71"/>
      <c r="E127" s="71"/>
      <c r="F127" s="71"/>
      <c r="G127" s="71"/>
      <c r="I127" s="80"/>
      <c r="N127" s="81"/>
    </row>
    <row r="128" spans="4:14" s="76" customFormat="1" ht="29.25" customHeight="1">
      <c r="D128" s="71"/>
      <c r="E128" s="71"/>
      <c r="F128" s="71"/>
      <c r="G128" s="71"/>
      <c r="I128" s="80"/>
      <c r="N128" s="81"/>
    </row>
    <row r="129" spans="4:14" s="76" customFormat="1" ht="29.25" customHeight="1">
      <c r="D129" s="71"/>
      <c r="E129" s="71"/>
      <c r="F129" s="71"/>
      <c r="G129" s="71"/>
      <c r="I129" s="80"/>
      <c r="N129" s="81"/>
    </row>
    <row r="130" spans="4:14" s="76" customFormat="1" ht="29.25" customHeight="1">
      <c r="D130" s="71"/>
      <c r="E130" s="71"/>
      <c r="F130" s="71"/>
      <c r="G130" s="71"/>
      <c r="I130" s="80"/>
      <c r="N130" s="81"/>
    </row>
    <row r="131" spans="4:14" s="76" customFormat="1" ht="29.25" customHeight="1">
      <c r="D131" s="71"/>
      <c r="E131" s="71"/>
      <c r="F131" s="71"/>
      <c r="G131" s="71"/>
      <c r="I131" s="80"/>
      <c r="N131" s="81"/>
    </row>
    <row r="132" spans="4:14" s="76" customFormat="1" ht="29.25" customHeight="1">
      <c r="D132" s="71"/>
      <c r="E132" s="71"/>
      <c r="F132" s="71"/>
      <c r="G132" s="71"/>
      <c r="I132" s="80"/>
      <c r="N132" s="81"/>
    </row>
    <row r="133" spans="4:14" s="76" customFormat="1" ht="29.25" customHeight="1">
      <c r="D133" s="71"/>
      <c r="E133" s="71"/>
      <c r="F133" s="71"/>
      <c r="G133" s="71"/>
      <c r="I133" s="80"/>
      <c r="N133" s="81"/>
    </row>
    <row r="134" spans="4:14" s="76" customFormat="1" ht="29.25" customHeight="1">
      <c r="D134" s="71"/>
      <c r="E134" s="71"/>
      <c r="F134" s="71"/>
      <c r="G134" s="71"/>
      <c r="I134" s="80"/>
      <c r="N134" s="81"/>
    </row>
    <row r="135" spans="4:14" s="76" customFormat="1" ht="29.25" customHeight="1">
      <c r="D135" s="71"/>
      <c r="E135" s="71"/>
      <c r="F135" s="71"/>
      <c r="G135" s="71"/>
      <c r="I135" s="80"/>
      <c r="N135" s="81"/>
    </row>
    <row r="136" spans="4:14" s="76" customFormat="1" ht="29.25" customHeight="1">
      <c r="D136" s="71"/>
      <c r="E136" s="71"/>
      <c r="F136" s="71"/>
      <c r="G136" s="71"/>
      <c r="I136" s="80"/>
      <c r="N136" s="81"/>
    </row>
    <row r="137" spans="4:14" s="76" customFormat="1" ht="29.25" customHeight="1">
      <c r="D137" s="71"/>
      <c r="E137" s="71"/>
      <c r="F137" s="71"/>
      <c r="G137" s="71"/>
      <c r="I137" s="80"/>
      <c r="N137" s="81"/>
    </row>
    <row r="138" spans="4:14" s="76" customFormat="1" ht="29.25" customHeight="1">
      <c r="D138" s="71"/>
      <c r="E138" s="71"/>
      <c r="F138" s="71"/>
      <c r="G138" s="71"/>
      <c r="I138" s="80"/>
      <c r="N138" s="81"/>
    </row>
    <row r="139" spans="4:14" s="76" customFormat="1" ht="29.25" customHeight="1">
      <c r="D139" s="71"/>
      <c r="E139" s="71"/>
      <c r="F139" s="71"/>
      <c r="G139" s="71"/>
      <c r="I139" s="80"/>
      <c r="N139" s="81"/>
    </row>
    <row r="140" spans="4:14" s="76" customFormat="1" ht="29.25" customHeight="1">
      <c r="D140" s="71"/>
      <c r="E140" s="71"/>
      <c r="F140" s="71"/>
      <c r="G140" s="71"/>
      <c r="I140" s="80"/>
      <c r="N140" s="81"/>
    </row>
    <row r="141" spans="4:14" s="76" customFormat="1" ht="29.25" customHeight="1">
      <c r="D141" s="71"/>
      <c r="E141" s="71"/>
      <c r="F141" s="71"/>
      <c r="G141" s="71"/>
      <c r="I141" s="80"/>
      <c r="N141" s="81"/>
    </row>
    <row r="142" spans="4:14" s="76" customFormat="1" ht="29.25" customHeight="1">
      <c r="D142" s="71"/>
      <c r="E142" s="71"/>
      <c r="F142" s="71"/>
      <c r="G142" s="71"/>
      <c r="I142" s="80"/>
      <c r="N142" s="81"/>
    </row>
    <row r="143" spans="4:14" s="76" customFormat="1" ht="29.25" customHeight="1">
      <c r="D143" s="71"/>
      <c r="E143" s="71"/>
      <c r="F143" s="71"/>
      <c r="G143" s="71"/>
      <c r="I143" s="80"/>
      <c r="N143" s="81"/>
    </row>
    <row r="144" spans="4:14" s="76" customFormat="1" ht="29.25" customHeight="1">
      <c r="D144" s="71"/>
      <c r="E144" s="71"/>
      <c r="F144" s="71"/>
      <c r="G144" s="71"/>
      <c r="I144" s="80"/>
      <c r="N144" s="81"/>
    </row>
    <row r="145" spans="4:14" s="76" customFormat="1" ht="29.25" customHeight="1">
      <c r="D145" s="71"/>
      <c r="E145" s="71"/>
      <c r="F145" s="71"/>
      <c r="G145" s="71"/>
      <c r="I145" s="80"/>
      <c r="N145" s="81"/>
    </row>
    <row r="146" spans="4:14" s="76" customFormat="1" ht="29.25" customHeight="1">
      <c r="D146" s="71"/>
      <c r="E146" s="71"/>
      <c r="F146" s="71"/>
      <c r="G146" s="71"/>
      <c r="I146" s="80"/>
      <c r="N146" s="81"/>
    </row>
    <row r="147" spans="4:14" s="76" customFormat="1" ht="29.25" customHeight="1">
      <c r="D147" s="71"/>
      <c r="E147" s="71"/>
      <c r="F147" s="71"/>
      <c r="G147" s="71"/>
      <c r="I147" s="80"/>
      <c r="N147" s="81"/>
    </row>
    <row r="148" spans="4:14" s="76" customFormat="1" ht="29.25" customHeight="1">
      <c r="D148" s="71"/>
      <c r="E148" s="71"/>
      <c r="F148" s="71"/>
      <c r="G148" s="71"/>
      <c r="I148" s="80"/>
      <c r="N148" s="81"/>
    </row>
    <row r="149" spans="4:14" s="76" customFormat="1">
      <c r="D149" s="71"/>
      <c r="E149" s="71"/>
      <c r="F149" s="71"/>
      <c r="G149" s="71"/>
      <c r="I149" s="80"/>
      <c r="N149" s="81"/>
    </row>
    <row r="150" spans="4:14" s="76" customFormat="1">
      <c r="D150" s="71"/>
      <c r="E150" s="71"/>
      <c r="F150" s="71"/>
      <c r="G150" s="71"/>
      <c r="I150" s="80"/>
      <c r="N150" s="81"/>
    </row>
    <row r="151" spans="4:14" s="76" customFormat="1">
      <c r="D151" s="71"/>
      <c r="E151" s="71"/>
      <c r="F151" s="71"/>
      <c r="G151" s="71"/>
      <c r="I151" s="80"/>
      <c r="N151" s="81"/>
    </row>
    <row r="152" spans="4:14" s="76" customFormat="1">
      <c r="D152" s="71"/>
      <c r="E152" s="71"/>
      <c r="F152" s="71"/>
      <c r="G152" s="71"/>
      <c r="I152" s="80"/>
      <c r="N152" s="81"/>
    </row>
    <row r="153" spans="4:14" s="76" customFormat="1">
      <c r="D153" s="71"/>
      <c r="E153" s="71"/>
      <c r="F153" s="71"/>
      <c r="G153" s="71"/>
      <c r="I153" s="80"/>
      <c r="N153" s="81"/>
    </row>
    <row r="154" spans="4:14" s="76" customFormat="1">
      <c r="D154" s="71"/>
      <c r="E154" s="71"/>
      <c r="F154" s="71"/>
      <c r="G154" s="71"/>
      <c r="I154" s="80"/>
      <c r="N154" s="81"/>
    </row>
    <row r="155" spans="4:14" s="76" customFormat="1">
      <c r="D155" s="71"/>
      <c r="E155" s="71"/>
      <c r="F155" s="71"/>
      <c r="G155" s="71"/>
      <c r="I155" s="80"/>
      <c r="N155" s="81"/>
    </row>
    <row r="156" spans="4:14" s="76" customFormat="1">
      <c r="D156" s="71"/>
      <c r="E156" s="71"/>
      <c r="F156" s="71"/>
      <c r="G156" s="71"/>
      <c r="I156" s="80"/>
      <c r="N156" s="81"/>
    </row>
    <row r="157" spans="4:14" s="76" customFormat="1">
      <c r="D157" s="71"/>
      <c r="E157" s="71"/>
      <c r="F157" s="71"/>
      <c r="G157" s="71"/>
      <c r="I157" s="80"/>
      <c r="N157" s="81"/>
    </row>
    <row r="158" spans="4:14" s="76" customFormat="1">
      <c r="D158" s="71"/>
      <c r="E158" s="71"/>
      <c r="F158" s="71"/>
      <c r="G158" s="71"/>
      <c r="I158" s="80"/>
      <c r="N158" s="81"/>
    </row>
    <row r="159" spans="4:14" s="76" customFormat="1">
      <c r="D159" s="71"/>
      <c r="E159" s="71"/>
      <c r="F159" s="71"/>
      <c r="G159" s="71"/>
      <c r="I159" s="80"/>
      <c r="N159" s="81"/>
    </row>
    <row r="160" spans="4:14" s="76" customFormat="1">
      <c r="D160" s="71"/>
      <c r="E160" s="71"/>
      <c r="F160" s="71"/>
      <c r="G160" s="71"/>
      <c r="I160" s="80"/>
      <c r="N160" s="81"/>
    </row>
    <row r="161" spans="4:14" s="76" customFormat="1">
      <c r="D161" s="71"/>
      <c r="E161" s="71"/>
      <c r="F161" s="71"/>
      <c r="G161" s="71"/>
      <c r="I161" s="80"/>
      <c r="N161" s="81"/>
    </row>
    <row r="162" spans="4:14" s="76" customFormat="1">
      <c r="D162" s="71"/>
      <c r="E162" s="71"/>
      <c r="F162" s="71"/>
      <c r="G162" s="71"/>
      <c r="I162" s="80"/>
      <c r="N162" s="81"/>
    </row>
    <row r="163" spans="4:14" s="76" customFormat="1">
      <c r="D163" s="71"/>
      <c r="E163" s="71"/>
      <c r="F163" s="71"/>
      <c r="G163" s="71"/>
      <c r="I163" s="80"/>
      <c r="N163" s="81"/>
    </row>
    <row r="164" spans="4:14" s="76" customFormat="1">
      <c r="D164" s="71"/>
      <c r="E164" s="71"/>
      <c r="F164" s="71"/>
      <c r="G164" s="71"/>
      <c r="I164" s="80"/>
      <c r="N164" s="81"/>
    </row>
    <row r="165" spans="4:14" s="76" customFormat="1">
      <c r="D165" s="71"/>
      <c r="E165" s="71"/>
      <c r="F165" s="71"/>
      <c r="G165" s="71"/>
      <c r="I165" s="80"/>
      <c r="N165" s="81"/>
    </row>
    <row r="166" spans="4:14" s="76" customFormat="1">
      <c r="D166" s="71"/>
      <c r="E166" s="71"/>
      <c r="F166" s="71"/>
      <c r="G166" s="71"/>
      <c r="I166" s="80"/>
      <c r="N166" s="81"/>
    </row>
    <row r="167" spans="4:14" s="76" customFormat="1">
      <c r="D167" s="71"/>
      <c r="E167" s="71"/>
      <c r="F167" s="71"/>
      <c r="G167" s="71"/>
      <c r="I167" s="80"/>
      <c r="N167" s="81"/>
    </row>
    <row r="168" spans="4:14" s="76" customFormat="1">
      <c r="D168" s="71"/>
      <c r="E168" s="71"/>
      <c r="F168" s="71"/>
      <c r="G168" s="71"/>
      <c r="I168" s="80"/>
      <c r="N168" s="81"/>
    </row>
    <row r="169" spans="4:14" s="76" customFormat="1">
      <c r="D169" s="71"/>
      <c r="E169" s="71"/>
      <c r="F169" s="71"/>
      <c r="G169" s="71"/>
      <c r="I169" s="80"/>
      <c r="N169" s="81"/>
    </row>
    <row r="170" spans="4:14" s="76" customFormat="1">
      <c r="D170" s="71"/>
      <c r="E170" s="71"/>
      <c r="F170" s="71"/>
      <c r="G170" s="71"/>
      <c r="I170" s="80"/>
      <c r="N170" s="81"/>
    </row>
    <row r="171" spans="4:14" s="76" customFormat="1">
      <c r="D171" s="71"/>
      <c r="E171" s="71"/>
      <c r="F171" s="71"/>
      <c r="G171" s="71"/>
      <c r="I171" s="80"/>
      <c r="N171" s="81"/>
    </row>
    <row r="172" spans="4:14" s="76" customFormat="1">
      <c r="D172" s="71"/>
      <c r="E172" s="71"/>
      <c r="F172" s="71"/>
      <c r="G172" s="71"/>
      <c r="I172" s="80"/>
      <c r="N172" s="81"/>
    </row>
    <row r="173" spans="4:14" s="76" customFormat="1">
      <c r="D173" s="71"/>
      <c r="E173" s="71"/>
      <c r="F173" s="71"/>
      <c r="G173" s="71"/>
      <c r="I173" s="80"/>
      <c r="N173" s="81"/>
    </row>
    <row r="174" spans="4:14" s="76" customFormat="1">
      <c r="D174" s="71"/>
      <c r="E174" s="71"/>
      <c r="F174" s="71"/>
      <c r="G174" s="71"/>
      <c r="I174" s="80"/>
      <c r="N174" s="81"/>
    </row>
    <row r="175" spans="4:14" s="76" customFormat="1">
      <c r="D175" s="71"/>
      <c r="E175" s="71"/>
      <c r="F175" s="71"/>
      <c r="G175" s="71"/>
      <c r="I175" s="80"/>
      <c r="N175" s="81"/>
    </row>
    <row r="176" spans="4:14" s="76" customFormat="1">
      <c r="D176" s="71"/>
      <c r="E176" s="71"/>
      <c r="F176" s="71"/>
      <c r="G176" s="71"/>
      <c r="I176" s="80"/>
      <c r="N176" s="81"/>
    </row>
    <row r="177" spans="4:14" s="76" customFormat="1">
      <c r="D177" s="71"/>
      <c r="E177" s="71"/>
      <c r="F177" s="71"/>
      <c r="G177" s="71"/>
      <c r="I177" s="80"/>
      <c r="N177" s="81"/>
    </row>
    <row r="178" spans="4:14" s="76" customFormat="1">
      <c r="D178" s="71"/>
      <c r="E178" s="71"/>
      <c r="F178" s="71"/>
      <c r="G178" s="71"/>
      <c r="I178" s="80"/>
      <c r="N178" s="81"/>
    </row>
    <row r="179" spans="4:14" s="76" customFormat="1">
      <c r="D179" s="71"/>
      <c r="E179" s="71"/>
      <c r="F179" s="71"/>
      <c r="G179" s="71"/>
      <c r="I179" s="80"/>
      <c r="N179" s="81"/>
    </row>
    <row r="180" spans="4:14" s="76" customFormat="1">
      <c r="D180" s="71"/>
      <c r="E180" s="71"/>
      <c r="F180" s="71"/>
      <c r="G180" s="71"/>
      <c r="I180" s="80"/>
      <c r="N180" s="81"/>
    </row>
    <row r="181" spans="4:14" s="76" customFormat="1">
      <c r="D181" s="71"/>
      <c r="E181" s="71"/>
      <c r="F181" s="71"/>
      <c r="G181" s="71"/>
      <c r="I181" s="80"/>
      <c r="N181" s="81"/>
    </row>
    <row r="182" spans="4:14" s="76" customFormat="1">
      <c r="D182" s="71"/>
      <c r="E182" s="71"/>
      <c r="F182" s="71"/>
      <c r="G182" s="71"/>
      <c r="I182" s="80"/>
      <c r="N182" s="81"/>
    </row>
    <row r="183" spans="4:14" s="76" customFormat="1">
      <c r="D183" s="71"/>
      <c r="E183" s="71"/>
      <c r="F183" s="71"/>
      <c r="G183" s="71"/>
      <c r="I183" s="80"/>
      <c r="N183" s="81"/>
    </row>
    <row r="184" spans="4:14" s="76" customFormat="1">
      <c r="D184" s="71"/>
      <c r="E184" s="71"/>
      <c r="F184" s="71"/>
      <c r="G184" s="71"/>
      <c r="I184" s="80"/>
      <c r="N184" s="81"/>
    </row>
    <row r="185" spans="4:14" s="76" customFormat="1">
      <c r="D185" s="71"/>
      <c r="E185" s="71"/>
      <c r="F185" s="71"/>
      <c r="G185" s="71"/>
      <c r="I185" s="80"/>
      <c r="N185" s="81"/>
    </row>
    <row r="186" spans="4:14" s="76" customFormat="1">
      <c r="D186" s="71"/>
      <c r="E186" s="71"/>
      <c r="F186" s="71"/>
      <c r="G186" s="71"/>
      <c r="I186" s="80"/>
      <c r="N186" s="81"/>
    </row>
    <row r="187" spans="4:14" s="76" customFormat="1">
      <c r="D187" s="71"/>
      <c r="E187" s="71"/>
      <c r="F187" s="71"/>
      <c r="G187" s="71"/>
      <c r="I187" s="80"/>
      <c r="N187" s="81"/>
    </row>
    <row r="188" spans="4:14" s="76" customFormat="1">
      <c r="D188" s="71"/>
      <c r="E188" s="71"/>
      <c r="F188" s="71"/>
      <c r="G188" s="71"/>
      <c r="I188" s="80"/>
      <c r="N188" s="81"/>
    </row>
    <row r="189" spans="4:14" s="76" customFormat="1">
      <c r="D189" s="71"/>
      <c r="E189" s="71"/>
      <c r="F189" s="71"/>
      <c r="G189" s="71"/>
      <c r="I189" s="80"/>
      <c r="N189" s="81"/>
    </row>
    <row r="190" spans="4:14" s="76" customFormat="1">
      <c r="D190" s="71"/>
      <c r="E190" s="71"/>
      <c r="F190" s="71"/>
      <c r="G190" s="71"/>
      <c r="I190" s="80"/>
      <c r="N190" s="81"/>
    </row>
    <row r="191" spans="4:14" s="76" customFormat="1">
      <c r="D191" s="71"/>
      <c r="E191" s="71"/>
      <c r="F191" s="71"/>
      <c r="G191" s="71"/>
      <c r="I191" s="80"/>
      <c r="N191" s="81"/>
    </row>
    <row r="192" spans="4:14" s="76" customFormat="1">
      <c r="D192" s="71"/>
      <c r="E192" s="71"/>
      <c r="F192" s="71"/>
      <c r="G192" s="71"/>
      <c r="I192" s="80"/>
      <c r="N192" s="81"/>
    </row>
    <row r="193" spans="4:14" s="76" customFormat="1">
      <c r="D193" s="71"/>
      <c r="E193" s="71"/>
      <c r="F193" s="71"/>
      <c r="G193" s="71"/>
      <c r="I193" s="80"/>
      <c r="N193" s="81"/>
    </row>
    <row r="194" spans="4:14" s="76" customFormat="1">
      <c r="D194" s="71"/>
      <c r="E194" s="71"/>
      <c r="F194" s="71"/>
      <c r="G194" s="71"/>
      <c r="I194" s="80"/>
      <c r="N194" s="81"/>
    </row>
    <row r="195" spans="4:14" s="76" customFormat="1">
      <c r="D195" s="71"/>
      <c r="E195" s="71"/>
      <c r="F195" s="71"/>
      <c r="G195" s="71"/>
      <c r="I195" s="80"/>
      <c r="N195" s="81"/>
    </row>
    <row r="196" spans="4:14" s="76" customFormat="1">
      <c r="D196" s="71"/>
      <c r="E196" s="71"/>
      <c r="F196" s="71"/>
      <c r="G196" s="71"/>
      <c r="I196" s="80"/>
      <c r="N196" s="81"/>
    </row>
    <row r="197" spans="4:14" s="76" customFormat="1">
      <c r="D197" s="71"/>
      <c r="E197" s="71"/>
      <c r="F197" s="71"/>
      <c r="G197" s="71"/>
      <c r="I197" s="80"/>
      <c r="N197" s="81"/>
    </row>
    <row r="198" spans="4:14" s="76" customFormat="1">
      <c r="D198" s="71"/>
      <c r="E198" s="71"/>
      <c r="F198" s="71"/>
      <c r="G198" s="71"/>
      <c r="I198" s="80"/>
      <c r="N198" s="81"/>
    </row>
    <row r="199" spans="4:14" s="76" customFormat="1">
      <c r="D199" s="71"/>
      <c r="E199" s="71"/>
      <c r="F199" s="71"/>
      <c r="G199" s="71"/>
      <c r="I199" s="80"/>
      <c r="N199" s="81"/>
    </row>
    <row r="200" spans="4:14" s="76" customFormat="1">
      <c r="D200" s="71"/>
      <c r="E200" s="71"/>
      <c r="F200" s="71"/>
      <c r="G200" s="71"/>
      <c r="I200" s="80"/>
      <c r="N200" s="81"/>
    </row>
    <row r="201" spans="4:14" s="76" customFormat="1">
      <c r="D201" s="71"/>
      <c r="E201" s="71"/>
      <c r="F201" s="71"/>
      <c r="G201" s="71"/>
      <c r="I201" s="80"/>
      <c r="N201" s="81"/>
    </row>
    <row r="202" spans="4:14" s="76" customFormat="1">
      <c r="D202" s="71"/>
      <c r="E202" s="71"/>
      <c r="F202" s="71"/>
      <c r="G202" s="71"/>
      <c r="I202" s="80"/>
      <c r="N202" s="81"/>
    </row>
    <row r="203" spans="4:14" s="76" customFormat="1">
      <c r="D203" s="71"/>
      <c r="E203" s="71"/>
      <c r="F203" s="71"/>
      <c r="G203" s="71"/>
      <c r="I203" s="80"/>
      <c r="N203" s="81"/>
    </row>
    <row r="204" spans="4:14" s="76" customFormat="1">
      <c r="D204" s="71"/>
      <c r="E204" s="71"/>
      <c r="F204" s="71"/>
      <c r="G204" s="71"/>
      <c r="I204" s="80"/>
      <c r="N204" s="81"/>
    </row>
    <row r="205" spans="4:14" s="76" customFormat="1">
      <c r="D205" s="71"/>
      <c r="E205" s="71"/>
      <c r="F205" s="71"/>
      <c r="G205" s="71"/>
      <c r="I205" s="80"/>
      <c r="N205" s="81"/>
    </row>
    <row r="206" spans="4:14" s="76" customFormat="1">
      <c r="D206" s="71"/>
      <c r="E206" s="71"/>
      <c r="F206" s="71"/>
      <c r="G206" s="71"/>
      <c r="I206" s="80"/>
      <c r="N206" s="81"/>
    </row>
    <row r="207" spans="4:14" s="76" customFormat="1">
      <c r="D207" s="71"/>
      <c r="E207" s="71"/>
      <c r="F207" s="71"/>
      <c r="G207" s="71"/>
      <c r="I207" s="80"/>
      <c r="N207" s="81"/>
    </row>
    <row r="208" spans="4:14" s="76" customFormat="1">
      <c r="D208" s="71"/>
      <c r="E208" s="71"/>
      <c r="F208" s="71"/>
      <c r="G208" s="71"/>
      <c r="I208" s="80"/>
      <c r="N208" s="81"/>
    </row>
    <row r="209" spans="4:14" s="76" customFormat="1">
      <c r="D209" s="71"/>
      <c r="E209" s="71"/>
      <c r="F209" s="71"/>
      <c r="G209" s="71"/>
      <c r="I209" s="80"/>
      <c r="N209" s="81"/>
    </row>
    <row r="210" spans="4:14" s="76" customFormat="1">
      <c r="D210" s="71"/>
      <c r="E210" s="71"/>
      <c r="F210" s="71"/>
      <c r="G210" s="71"/>
      <c r="I210" s="80"/>
      <c r="N210" s="81"/>
    </row>
    <row r="211" spans="4:14" s="76" customFormat="1">
      <c r="D211" s="71"/>
      <c r="E211" s="71"/>
      <c r="F211" s="71"/>
      <c r="G211" s="71"/>
      <c r="I211" s="80"/>
      <c r="N211" s="81"/>
    </row>
    <row r="212" spans="4:14" s="76" customFormat="1">
      <c r="D212" s="71"/>
      <c r="E212" s="71"/>
      <c r="F212" s="71"/>
      <c r="G212" s="71"/>
      <c r="I212" s="80"/>
      <c r="N212" s="81"/>
    </row>
    <row r="213" spans="4:14" s="76" customFormat="1">
      <c r="D213" s="71"/>
      <c r="E213" s="71"/>
      <c r="F213" s="71"/>
      <c r="G213" s="71"/>
      <c r="I213" s="80"/>
      <c r="N213" s="81"/>
    </row>
    <row r="214" spans="4:14" s="76" customFormat="1">
      <c r="D214" s="71"/>
      <c r="E214" s="71"/>
      <c r="F214" s="71"/>
      <c r="G214" s="71"/>
      <c r="I214" s="80"/>
      <c r="N214" s="81"/>
    </row>
    <row r="215" spans="4:14" s="76" customFormat="1">
      <c r="D215" s="71"/>
      <c r="E215" s="71"/>
      <c r="F215" s="71"/>
      <c r="G215" s="71"/>
      <c r="I215" s="80"/>
      <c r="N215" s="81"/>
    </row>
    <row r="216" spans="4:14" s="76" customFormat="1">
      <c r="D216" s="71"/>
      <c r="E216" s="71"/>
      <c r="F216" s="71"/>
      <c r="G216" s="71"/>
      <c r="I216" s="80"/>
      <c r="N216" s="81"/>
    </row>
    <row r="217" spans="4:14" s="76" customFormat="1">
      <c r="D217" s="71"/>
      <c r="E217" s="71"/>
      <c r="F217" s="71"/>
      <c r="G217" s="71"/>
      <c r="I217" s="80"/>
      <c r="N217" s="81"/>
    </row>
    <row r="218" spans="4:14" s="76" customFormat="1">
      <c r="D218" s="71"/>
      <c r="E218" s="71"/>
      <c r="F218" s="71"/>
      <c r="G218" s="71"/>
      <c r="I218" s="80"/>
      <c r="N218" s="81"/>
    </row>
    <row r="219" spans="4:14" s="76" customFormat="1">
      <c r="D219" s="71"/>
      <c r="E219" s="71"/>
      <c r="F219" s="71"/>
      <c r="G219" s="71"/>
      <c r="I219" s="80"/>
      <c r="N219" s="81"/>
    </row>
    <row r="220" spans="4:14" s="76" customFormat="1">
      <c r="D220" s="71"/>
      <c r="E220" s="71"/>
      <c r="F220" s="71"/>
      <c r="G220" s="71"/>
      <c r="I220" s="80"/>
      <c r="N220" s="81"/>
    </row>
    <row r="221" spans="4:14" s="76" customFormat="1">
      <c r="D221" s="71"/>
      <c r="E221" s="71"/>
      <c r="F221" s="71"/>
      <c r="G221" s="71"/>
      <c r="I221" s="80"/>
      <c r="N221" s="81"/>
    </row>
    <row r="222" spans="4:14" s="76" customFormat="1">
      <c r="D222" s="71"/>
      <c r="E222" s="71"/>
      <c r="F222" s="71"/>
      <c r="G222" s="71"/>
      <c r="I222" s="80"/>
      <c r="N222" s="81"/>
    </row>
    <row r="223" spans="4:14" s="76" customFormat="1">
      <c r="D223" s="71"/>
      <c r="E223" s="71"/>
      <c r="F223" s="71"/>
      <c r="G223" s="71"/>
      <c r="I223" s="80"/>
      <c r="N223" s="81"/>
    </row>
    <row r="224" spans="4:14" s="76" customFormat="1">
      <c r="D224" s="71"/>
      <c r="E224" s="71"/>
      <c r="F224" s="71"/>
      <c r="G224" s="71"/>
      <c r="I224" s="80"/>
      <c r="N224" s="81"/>
    </row>
    <row r="225" spans="4:14" s="76" customFormat="1">
      <c r="D225" s="71"/>
      <c r="E225" s="71"/>
      <c r="F225" s="71"/>
      <c r="G225" s="71"/>
      <c r="I225" s="80"/>
      <c r="N225" s="81"/>
    </row>
    <row r="226" spans="4:14" s="76" customFormat="1">
      <c r="D226" s="71"/>
      <c r="E226" s="71"/>
      <c r="F226" s="71"/>
      <c r="G226" s="71"/>
      <c r="I226" s="80"/>
      <c r="N226" s="81"/>
    </row>
    <row r="227" spans="4:14" s="76" customFormat="1">
      <c r="D227" s="71"/>
      <c r="E227" s="71"/>
      <c r="F227" s="71"/>
      <c r="G227" s="71"/>
      <c r="I227" s="80"/>
      <c r="N227" s="81"/>
    </row>
    <row r="228" spans="4:14" s="76" customFormat="1">
      <c r="D228" s="71"/>
      <c r="E228" s="71"/>
      <c r="F228" s="71"/>
      <c r="G228" s="71"/>
      <c r="I228" s="80"/>
      <c r="N228" s="81"/>
    </row>
    <row r="229" spans="4:14" s="76" customFormat="1">
      <c r="D229" s="71"/>
      <c r="E229" s="71"/>
      <c r="F229" s="71"/>
      <c r="G229" s="71"/>
      <c r="I229" s="80"/>
      <c r="N229" s="81"/>
    </row>
    <row r="230" spans="4:14" s="76" customFormat="1">
      <c r="D230" s="71"/>
      <c r="E230" s="71"/>
      <c r="F230" s="71"/>
      <c r="G230" s="71"/>
      <c r="I230" s="80"/>
      <c r="N230" s="81"/>
    </row>
    <row r="231" spans="4:14" s="76" customFormat="1">
      <c r="D231" s="71"/>
      <c r="E231" s="71"/>
      <c r="F231" s="71"/>
      <c r="G231" s="71"/>
      <c r="I231" s="80"/>
      <c r="N231" s="81"/>
    </row>
    <row r="232" spans="4:14" s="76" customFormat="1">
      <c r="D232" s="71"/>
      <c r="E232" s="71"/>
      <c r="F232" s="71"/>
      <c r="G232" s="71"/>
      <c r="I232" s="80"/>
      <c r="N232" s="81"/>
    </row>
    <row r="233" spans="4:14" s="76" customFormat="1">
      <c r="D233" s="71"/>
      <c r="E233" s="71"/>
      <c r="F233" s="71"/>
      <c r="G233" s="71"/>
      <c r="I233" s="80"/>
      <c r="N233" s="81"/>
    </row>
    <row r="234" spans="4:14" s="76" customFormat="1">
      <c r="D234" s="71"/>
      <c r="E234" s="71"/>
      <c r="F234" s="71"/>
      <c r="G234" s="71"/>
      <c r="I234" s="80"/>
      <c r="N234" s="81"/>
    </row>
    <row r="235" spans="4:14" s="76" customFormat="1">
      <c r="D235" s="71"/>
      <c r="E235" s="71"/>
      <c r="F235" s="71"/>
      <c r="G235" s="71"/>
      <c r="I235" s="80"/>
      <c r="N235" s="81"/>
    </row>
    <row r="236" spans="4:14" s="76" customFormat="1">
      <c r="D236" s="71"/>
      <c r="E236" s="71"/>
      <c r="F236" s="71"/>
      <c r="G236" s="71"/>
      <c r="I236" s="80"/>
      <c r="N236" s="81"/>
    </row>
    <row r="237" spans="4:14" s="76" customFormat="1">
      <c r="D237" s="71"/>
      <c r="E237" s="71"/>
      <c r="F237" s="71"/>
      <c r="G237" s="71"/>
      <c r="I237" s="80"/>
      <c r="N237" s="81"/>
    </row>
    <row r="238" spans="4:14" s="76" customFormat="1">
      <c r="D238" s="71"/>
      <c r="E238" s="71"/>
      <c r="F238" s="71"/>
      <c r="G238" s="71"/>
      <c r="I238" s="80"/>
      <c r="N238" s="81"/>
    </row>
    <row r="239" spans="4:14" s="76" customFormat="1">
      <c r="D239" s="71"/>
      <c r="E239" s="71"/>
      <c r="F239" s="71"/>
      <c r="G239" s="71"/>
      <c r="I239" s="80"/>
      <c r="N239" s="81"/>
    </row>
    <row r="240" spans="4:14" s="76" customFormat="1">
      <c r="D240" s="71"/>
      <c r="E240" s="71"/>
      <c r="F240" s="71"/>
      <c r="G240" s="71"/>
      <c r="I240" s="80"/>
      <c r="N240" s="81"/>
    </row>
    <row r="241" spans="4:14" s="76" customFormat="1">
      <c r="D241" s="71"/>
      <c r="E241" s="71"/>
      <c r="F241" s="71"/>
      <c r="G241" s="71"/>
      <c r="I241" s="80"/>
      <c r="N241" s="81"/>
    </row>
    <row r="242" spans="4:14" s="76" customFormat="1">
      <c r="D242" s="71"/>
      <c r="E242" s="71"/>
      <c r="F242" s="71"/>
      <c r="G242" s="71"/>
      <c r="I242" s="80"/>
      <c r="N242" s="81"/>
    </row>
    <row r="243" spans="4:14" s="76" customFormat="1">
      <c r="D243" s="71"/>
      <c r="E243" s="71"/>
      <c r="F243" s="71"/>
      <c r="G243" s="71"/>
      <c r="I243" s="80"/>
      <c r="N243" s="81"/>
    </row>
    <row r="244" spans="4:14" s="76" customFormat="1">
      <c r="D244" s="71"/>
      <c r="E244" s="71"/>
      <c r="F244" s="71"/>
      <c r="G244" s="71"/>
      <c r="I244" s="80"/>
      <c r="N244" s="81"/>
    </row>
    <row r="245" spans="4:14" s="76" customFormat="1">
      <c r="D245" s="71"/>
      <c r="E245" s="71"/>
      <c r="F245" s="71"/>
      <c r="G245" s="71"/>
      <c r="I245" s="80"/>
      <c r="N245" s="81"/>
    </row>
    <row r="246" spans="4:14" s="76" customFormat="1">
      <c r="D246" s="71"/>
      <c r="E246" s="71"/>
      <c r="F246" s="71"/>
      <c r="G246" s="71"/>
      <c r="I246" s="80"/>
      <c r="N246" s="81"/>
    </row>
    <row r="247" spans="4:14" s="76" customFormat="1">
      <c r="D247" s="71"/>
      <c r="E247" s="71"/>
      <c r="F247" s="71"/>
      <c r="G247" s="71"/>
      <c r="I247" s="80"/>
      <c r="N247" s="81"/>
    </row>
    <row r="248" spans="4:14" s="76" customFormat="1">
      <c r="D248" s="71"/>
      <c r="E248" s="71"/>
      <c r="F248" s="71"/>
      <c r="G248" s="71"/>
      <c r="I248" s="80"/>
      <c r="N248" s="81"/>
    </row>
    <row r="249" spans="4:14" s="76" customFormat="1">
      <c r="D249" s="71"/>
      <c r="E249" s="71"/>
      <c r="F249" s="71"/>
      <c r="G249" s="71"/>
      <c r="I249" s="80"/>
      <c r="N249" s="81"/>
    </row>
    <row r="250" spans="4:14" s="76" customFormat="1">
      <c r="D250" s="71"/>
      <c r="E250" s="71"/>
      <c r="F250" s="71"/>
      <c r="G250" s="71"/>
      <c r="I250" s="80"/>
      <c r="N250" s="81"/>
    </row>
    <row r="251" spans="4:14" s="76" customFormat="1">
      <c r="D251" s="71"/>
      <c r="E251" s="71"/>
      <c r="F251" s="71"/>
      <c r="G251" s="71"/>
      <c r="I251" s="80"/>
      <c r="N251" s="81"/>
    </row>
    <row r="252" spans="4:14" s="76" customFormat="1">
      <c r="D252" s="71"/>
      <c r="E252" s="71"/>
      <c r="F252" s="71"/>
      <c r="G252" s="71"/>
      <c r="I252" s="80"/>
      <c r="N252" s="81"/>
    </row>
    <row r="253" spans="4:14" s="76" customFormat="1">
      <c r="D253" s="71"/>
      <c r="E253" s="71"/>
      <c r="F253" s="71"/>
      <c r="G253" s="71"/>
      <c r="I253" s="80"/>
      <c r="N253" s="81"/>
    </row>
    <row r="254" spans="4:14" s="76" customFormat="1">
      <c r="D254" s="71"/>
      <c r="E254" s="71"/>
      <c r="F254" s="71"/>
      <c r="G254" s="71"/>
      <c r="I254" s="80"/>
      <c r="N254" s="81"/>
    </row>
    <row r="255" spans="4:14" s="76" customFormat="1">
      <c r="D255" s="71"/>
      <c r="E255" s="71"/>
      <c r="F255" s="71"/>
      <c r="G255" s="71"/>
      <c r="I255" s="80"/>
      <c r="N255" s="81"/>
    </row>
    <row r="256" spans="4:14" s="76" customFormat="1">
      <c r="D256" s="71"/>
      <c r="E256" s="71"/>
      <c r="F256" s="71"/>
      <c r="G256" s="71"/>
      <c r="I256" s="80"/>
      <c r="N256" s="81"/>
    </row>
    <row r="257" spans="4:14" s="76" customFormat="1">
      <c r="D257" s="71"/>
      <c r="E257" s="71"/>
      <c r="F257" s="71"/>
      <c r="G257" s="71"/>
      <c r="I257" s="80"/>
      <c r="N257" s="81"/>
    </row>
    <row r="258" spans="4:14" s="76" customFormat="1">
      <c r="D258" s="71"/>
      <c r="E258" s="71"/>
      <c r="F258" s="71"/>
      <c r="G258" s="71"/>
      <c r="I258" s="80"/>
      <c r="N258" s="81"/>
    </row>
    <row r="259" spans="4:14" s="76" customFormat="1">
      <c r="D259" s="71"/>
      <c r="E259" s="71"/>
      <c r="F259" s="71"/>
      <c r="G259" s="71"/>
      <c r="I259" s="80"/>
      <c r="N259" s="81"/>
    </row>
    <row r="260" spans="4:14" s="76" customFormat="1">
      <c r="D260" s="71"/>
      <c r="E260" s="71"/>
      <c r="F260" s="71"/>
      <c r="G260" s="71"/>
      <c r="I260" s="80"/>
      <c r="N260" s="81"/>
    </row>
    <row r="261" spans="4:14" s="76" customFormat="1">
      <c r="D261" s="71"/>
      <c r="E261" s="71"/>
      <c r="F261" s="71"/>
      <c r="G261" s="71"/>
      <c r="I261" s="80"/>
      <c r="N261" s="81"/>
    </row>
    <row r="262" spans="4:14" s="76" customFormat="1">
      <c r="D262" s="71"/>
      <c r="E262" s="71"/>
      <c r="F262" s="71"/>
      <c r="G262" s="71"/>
      <c r="I262" s="80"/>
      <c r="N262" s="81"/>
    </row>
    <row r="263" spans="4:14" s="76" customFormat="1">
      <c r="D263" s="71"/>
      <c r="E263" s="71"/>
      <c r="F263" s="71"/>
      <c r="G263" s="71"/>
      <c r="I263" s="80"/>
      <c r="N263" s="81"/>
    </row>
    <row r="264" spans="4:14" s="76" customFormat="1">
      <c r="D264" s="71"/>
      <c r="E264" s="71"/>
      <c r="F264" s="71"/>
      <c r="G264" s="71"/>
      <c r="I264" s="80"/>
      <c r="N264" s="81"/>
    </row>
    <row r="265" spans="4:14" s="76" customFormat="1">
      <c r="D265" s="71"/>
      <c r="E265" s="71"/>
      <c r="F265" s="71"/>
      <c r="G265" s="71"/>
      <c r="I265" s="80"/>
      <c r="N265" s="81"/>
    </row>
    <row r="266" spans="4:14" s="76" customFormat="1">
      <c r="D266" s="71"/>
      <c r="E266" s="71"/>
      <c r="F266" s="71"/>
      <c r="G266" s="71"/>
      <c r="I266" s="80"/>
      <c r="N266" s="81"/>
    </row>
    <row r="267" spans="4:14" s="76" customFormat="1">
      <c r="D267" s="71"/>
      <c r="E267" s="71"/>
      <c r="F267" s="71"/>
      <c r="G267" s="71"/>
      <c r="I267" s="80"/>
      <c r="N267" s="81"/>
    </row>
    <row r="268" spans="4:14" s="76" customFormat="1">
      <c r="D268" s="71"/>
      <c r="E268" s="71"/>
      <c r="F268" s="71"/>
      <c r="G268" s="71"/>
      <c r="I268" s="80"/>
      <c r="N268" s="81"/>
    </row>
    <row r="269" spans="4:14" s="76" customFormat="1">
      <c r="D269" s="71"/>
      <c r="E269" s="71"/>
      <c r="F269" s="71"/>
      <c r="G269" s="71"/>
      <c r="I269" s="80"/>
      <c r="N269" s="81"/>
    </row>
    <row r="270" spans="4:14" s="76" customFormat="1">
      <c r="D270" s="71"/>
      <c r="E270" s="71"/>
      <c r="F270" s="71"/>
      <c r="G270" s="71"/>
      <c r="I270" s="80"/>
      <c r="N270" s="81"/>
    </row>
    <row r="271" spans="4:14" s="76" customFormat="1">
      <c r="D271" s="71"/>
      <c r="E271" s="71"/>
      <c r="F271" s="71"/>
      <c r="G271" s="71"/>
      <c r="I271" s="80"/>
      <c r="N271" s="81"/>
    </row>
    <row r="272" spans="4:14" s="76" customFormat="1">
      <c r="D272" s="71"/>
      <c r="E272" s="71"/>
      <c r="F272" s="71"/>
      <c r="G272" s="71"/>
      <c r="I272" s="80"/>
      <c r="N272" s="81"/>
    </row>
    <row r="273" spans="4:14" s="76" customFormat="1">
      <c r="D273" s="71"/>
      <c r="E273" s="71"/>
      <c r="F273" s="71"/>
      <c r="G273" s="71"/>
      <c r="I273" s="80"/>
      <c r="N273" s="81"/>
    </row>
    <row r="274" spans="4:14" s="76" customFormat="1">
      <c r="D274" s="71"/>
      <c r="E274" s="71"/>
      <c r="F274" s="71"/>
      <c r="G274" s="71"/>
      <c r="I274" s="80"/>
      <c r="N274" s="81"/>
    </row>
    <row r="275" spans="4:14" s="76" customFormat="1">
      <c r="D275" s="71"/>
      <c r="E275" s="71"/>
      <c r="F275" s="71"/>
      <c r="G275" s="71"/>
      <c r="I275" s="80"/>
      <c r="N275" s="81"/>
    </row>
    <row r="276" spans="4:14" s="76" customFormat="1">
      <c r="D276" s="71"/>
      <c r="E276" s="71"/>
      <c r="F276" s="71"/>
      <c r="G276" s="71"/>
      <c r="I276" s="80"/>
      <c r="N276" s="81"/>
    </row>
    <row r="277" spans="4:14" s="76" customFormat="1">
      <c r="D277" s="71"/>
      <c r="E277" s="71"/>
      <c r="F277" s="71"/>
      <c r="G277" s="71"/>
      <c r="I277" s="80"/>
      <c r="N277" s="81"/>
    </row>
    <row r="278" spans="4:14" s="76" customFormat="1">
      <c r="D278" s="71"/>
      <c r="E278" s="71"/>
      <c r="F278" s="71"/>
      <c r="G278" s="71"/>
      <c r="I278" s="80"/>
      <c r="N278" s="81"/>
    </row>
    <row r="279" spans="4:14" s="76" customFormat="1">
      <c r="D279" s="71"/>
      <c r="E279" s="71"/>
      <c r="F279" s="71"/>
      <c r="G279" s="71"/>
      <c r="I279" s="80"/>
      <c r="N279" s="81"/>
    </row>
    <row r="280" spans="4:14" s="76" customFormat="1">
      <c r="I280" s="80"/>
      <c r="N280" s="81"/>
    </row>
    <row r="281" spans="4:14" s="76" customFormat="1">
      <c r="I281" s="80"/>
      <c r="N281" s="81"/>
    </row>
    <row r="282" spans="4:14" s="76" customFormat="1">
      <c r="I282" s="80"/>
      <c r="N282" s="81"/>
    </row>
    <row r="283" spans="4:14" s="76" customFormat="1">
      <c r="I283" s="80"/>
      <c r="N283" s="81"/>
    </row>
    <row r="284" spans="4:14" s="76" customFormat="1">
      <c r="I284" s="80"/>
      <c r="N284" s="81"/>
    </row>
    <row r="285" spans="4:14" s="76" customFormat="1">
      <c r="I285" s="80"/>
      <c r="N285" s="81"/>
    </row>
    <row r="286" spans="4:14" s="76" customFormat="1">
      <c r="I286" s="80"/>
      <c r="N286" s="81"/>
    </row>
    <row r="287" spans="4:14" s="76" customFormat="1">
      <c r="I287" s="80"/>
      <c r="N287" s="81"/>
    </row>
    <row r="288" spans="4:14" s="76" customFormat="1">
      <c r="I288" s="80"/>
      <c r="N288" s="81"/>
    </row>
    <row r="289" spans="9:14" s="76" customFormat="1">
      <c r="I289" s="80"/>
      <c r="N289" s="81"/>
    </row>
  </sheetData>
  <mergeCells count="1">
    <mergeCell ref="D7:F7"/>
  </mergeCells>
  <pageMargins left="0.7" right="0.7" top="0.75" bottom="0.75" header="0.3" footer="0.3"/>
  <pageSetup paperSize="9" scale="34" orientation="portrait" verticalDpi="12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6">
    <tabColor theme="3" tint="-0.249977111117893"/>
    <pageSetUpPr fitToPage="1"/>
  </sheetPr>
  <dimension ref="A1:Z213"/>
  <sheetViews>
    <sheetView showGridLines="0" showRowColHeaders="0" zoomScale="80" zoomScaleNormal="80" workbookViewId="0">
      <pane xSplit="3" ySplit="10" topLeftCell="D11" activePane="bottomRight" state="frozen"/>
      <selection activeCell="C38" sqref="C38"/>
      <selection pane="topRight" activeCell="C38" sqref="C38"/>
      <selection pane="bottomLeft" activeCell="C38" sqref="C38"/>
      <selection pane="bottomRight" activeCell="C38" sqref="C38"/>
    </sheetView>
  </sheetViews>
  <sheetFormatPr baseColWidth="10" defaultColWidth="0" defaultRowHeight="14.4" zeroHeight="1"/>
  <cols>
    <col min="1" max="1" width="2" style="76" customWidth="1"/>
    <col min="2" max="2" width="5" style="76" customWidth="1"/>
    <col min="3" max="3" width="41.44140625" style="76" customWidth="1"/>
    <col min="4" max="4" width="89" style="76" bestFit="1" customWidth="1"/>
    <col min="5" max="5" width="5" style="76" customWidth="1"/>
    <col min="6" max="6" width="7" style="76" customWidth="1"/>
    <col min="7" max="7" width="91" style="76" customWidth="1"/>
    <col min="8" max="8" width="39" style="76" hidden="1" customWidth="1"/>
    <col min="9" max="9" width="16" style="76" hidden="1" customWidth="1"/>
    <col min="10" max="12" width="11.44140625" style="76" hidden="1" customWidth="1"/>
    <col min="13" max="13" width="33" style="80" hidden="1" customWidth="1"/>
    <col min="14" max="14" width="40" style="76" hidden="1" customWidth="1"/>
    <col min="15" max="15" width="15" style="76" hidden="1" customWidth="1"/>
    <col min="16" max="17" width="11.44140625" style="76" hidden="1" customWidth="1"/>
    <col min="18" max="18" width="90.5546875" style="81" hidden="1" customWidth="1"/>
    <col min="19" max="19" width="47.5546875" style="76" hidden="1" customWidth="1"/>
    <col min="20" max="20" width="16" style="76" hidden="1" customWidth="1"/>
    <col min="21" max="16384" width="11.44140625" style="76" hidden="1"/>
  </cols>
  <sheetData>
    <row r="1" spans="3:26" s="71" customFormat="1">
      <c r="Q1" s="73"/>
      <c r="U1" s="74"/>
      <c r="Z1" s="75"/>
    </row>
    <row r="2" spans="3:26" s="71" customFormat="1" ht="9" customHeight="1">
      <c r="Q2" s="73"/>
      <c r="U2" s="74"/>
      <c r="Z2" s="75"/>
    </row>
    <row r="3" spans="3:26" s="71" customFormat="1" ht="5.25" customHeight="1">
      <c r="C3" s="76"/>
      <c r="Q3" s="73"/>
      <c r="U3" s="74"/>
      <c r="Z3" s="75"/>
    </row>
    <row r="4" spans="3:26" s="71" customFormat="1" ht="5.25" customHeight="1">
      <c r="Q4" s="73"/>
      <c r="U4" s="74"/>
      <c r="Z4" s="75"/>
    </row>
    <row r="5" spans="3:26" ht="18">
      <c r="C5" s="77" t="str">
        <f>+MENU!C5</f>
        <v>Sociedad:</v>
      </c>
      <c r="D5" s="78" t="str">
        <f>+MENU!E5</f>
        <v>MARIO PILATO BLAT, S.A.</v>
      </c>
      <c r="E5" s="78"/>
      <c r="F5" s="78"/>
      <c r="G5" s="79"/>
    </row>
    <row r="6" spans="3:26"/>
    <row r="7" spans="3:26" ht="18">
      <c r="C7" s="77" t="s">
        <v>0</v>
      </c>
      <c r="D7" s="2260">
        <f>+MENU!D7</f>
        <v>45657</v>
      </c>
      <c r="E7" s="2260"/>
      <c r="F7" s="2260"/>
    </row>
    <row r="8" spans="3:26" ht="18">
      <c r="C8" s="82"/>
      <c r="D8" s="83"/>
      <c r="E8" s="83"/>
      <c r="F8" s="83"/>
    </row>
    <row r="9" spans="3:26">
      <c r="C9" s="80"/>
      <c r="G9" s="84"/>
      <c r="M9" s="76"/>
      <c r="R9" s="76"/>
    </row>
    <row r="10" spans="3:26" ht="18">
      <c r="C10" s="80"/>
      <c r="D10" s="85" t="s">
        <v>168</v>
      </c>
      <c r="G10" s="84"/>
      <c r="M10" s="76"/>
      <c r="R10" s="76"/>
    </row>
    <row r="11" spans="3:26" ht="29.25" customHeight="1">
      <c r="C11" s="86"/>
      <c r="D11" s="87" t="s">
        <v>182</v>
      </c>
      <c r="H11" s="80"/>
      <c r="M11" s="81"/>
      <c r="R11" s="76"/>
    </row>
    <row r="12" spans="3:26" ht="29.25" customHeight="1">
      <c r="C12" s="86"/>
      <c r="D12" s="88" t="s">
        <v>193</v>
      </c>
      <c r="H12" s="80"/>
      <c r="M12" s="81"/>
      <c r="R12" s="76"/>
    </row>
    <row r="13" spans="3:26" ht="29.25" customHeight="1">
      <c r="C13" s="86"/>
      <c r="D13" s="89" t="s">
        <v>183</v>
      </c>
      <c r="F13" s="76" t="s">
        <v>230</v>
      </c>
      <c r="H13" s="80"/>
      <c r="M13" s="81"/>
      <c r="R13" s="76"/>
    </row>
    <row r="14" spans="3:26" ht="29.25" customHeight="1">
      <c r="C14" s="86"/>
      <c r="D14" s="89" t="s">
        <v>184</v>
      </c>
      <c r="F14" s="76">
        <v>705</v>
      </c>
      <c r="H14" s="80"/>
      <c r="M14" s="81"/>
      <c r="R14" s="76"/>
    </row>
    <row r="15" spans="3:26" ht="29.25" customHeight="1">
      <c r="C15" s="86"/>
      <c r="D15" s="88" t="s">
        <v>192</v>
      </c>
      <c r="F15" s="76" t="s">
        <v>231</v>
      </c>
      <c r="H15" s="80"/>
      <c r="M15" s="81"/>
      <c r="R15" s="76"/>
    </row>
    <row r="16" spans="3:26" ht="29.25" customHeight="1">
      <c r="C16" s="86"/>
      <c r="D16" s="88" t="s">
        <v>185</v>
      </c>
      <c r="F16" s="76">
        <v>73</v>
      </c>
      <c r="H16" s="80"/>
      <c r="M16" s="81"/>
      <c r="R16" s="76"/>
    </row>
    <row r="17" spans="3:18" ht="29.25" customHeight="1">
      <c r="C17" s="86"/>
      <c r="D17" s="88" t="s">
        <v>186</v>
      </c>
      <c r="H17" s="80"/>
      <c r="M17" s="81"/>
      <c r="R17" s="76"/>
    </row>
    <row r="18" spans="3:18" ht="29.25" customHeight="1">
      <c r="C18" s="86"/>
      <c r="D18" s="89" t="s">
        <v>188</v>
      </c>
      <c r="F18" s="76" t="s">
        <v>232</v>
      </c>
      <c r="H18" s="80"/>
      <c r="M18" s="81"/>
      <c r="R18" s="76"/>
    </row>
    <row r="19" spans="3:18" ht="29.25" customHeight="1">
      <c r="C19" s="86"/>
      <c r="D19" s="89" t="s">
        <v>187</v>
      </c>
      <c r="F19" s="76" t="s">
        <v>233</v>
      </c>
      <c r="H19" s="80"/>
      <c r="M19" s="81"/>
      <c r="R19" s="76"/>
    </row>
    <row r="20" spans="3:18" ht="29.25" customHeight="1">
      <c r="C20" s="86"/>
      <c r="D20" s="89" t="s">
        <v>189</v>
      </c>
      <c r="F20" s="90" t="s">
        <v>257</v>
      </c>
      <c r="H20" s="80"/>
      <c r="M20" s="81"/>
      <c r="R20" s="76"/>
    </row>
    <row r="21" spans="3:18" ht="29.25" customHeight="1">
      <c r="C21" s="86"/>
      <c r="D21" s="89" t="s">
        <v>190</v>
      </c>
      <c r="F21" s="76" t="s">
        <v>234</v>
      </c>
      <c r="H21" s="80"/>
      <c r="M21" s="81"/>
      <c r="R21" s="76"/>
    </row>
    <row r="22" spans="3:18" ht="29.25" customHeight="1">
      <c r="C22" s="86"/>
      <c r="D22" s="88" t="s">
        <v>191</v>
      </c>
      <c r="H22" s="80"/>
      <c r="M22" s="81"/>
      <c r="R22" s="76"/>
    </row>
    <row r="23" spans="3:18" ht="29.25" customHeight="1">
      <c r="C23" s="86"/>
      <c r="D23" s="89" t="s">
        <v>194</v>
      </c>
      <c r="F23" s="76">
        <v>75</v>
      </c>
      <c r="H23" s="80"/>
      <c r="M23" s="81"/>
      <c r="R23" s="76"/>
    </row>
    <row r="24" spans="3:18" ht="29.25" customHeight="1">
      <c r="C24" s="86"/>
      <c r="D24" s="89" t="s">
        <v>195</v>
      </c>
      <c r="F24" s="76" t="s">
        <v>235</v>
      </c>
      <c r="H24" s="80"/>
      <c r="M24" s="81"/>
      <c r="R24" s="76"/>
    </row>
    <row r="25" spans="3:18" ht="29.25" customHeight="1">
      <c r="C25" s="86"/>
      <c r="D25" s="88" t="s">
        <v>196</v>
      </c>
      <c r="H25" s="80"/>
      <c r="M25" s="81"/>
      <c r="R25" s="76"/>
    </row>
    <row r="26" spans="3:18" ht="29.25" customHeight="1">
      <c r="C26" s="86"/>
      <c r="D26" s="89" t="s">
        <v>197</v>
      </c>
      <c r="F26" s="76" t="s">
        <v>236</v>
      </c>
      <c r="H26" s="80"/>
      <c r="M26" s="81"/>
      <c r="R26" s="76"/>
    </row>
    <row r="27" spans="3:18" ht="29.25" customHeight="1">
      <c r="C27" s="86"/>
      <c r="D27" s="89" t="s">
        <v>198</v>
      </c>
      <c r="F27" s="76" t="s">
        <v>237</v>
      </c>
      <c r="H27" s="80"/>
      <c r="M27" s="81"/>
      <c r="R27" s="76"/>
    </row>
    <row r="28" spans="3:18" ht="29.25" customHeight="1">
      <c r="C28" s="86"/>
      <c r="D28" s="89" t="s">
        <v>199</v>
      </c>
      <c r="F28" s="76" t="s">
        <v>238</v>
      </c>
      <c r="H28" s="80"/>
      <c r="M28" s="81"/>
      <c r="R28" s="76"/>
    </row>
    <row r="29" spans="3:18" ht="29.25" customHeight="1">
      <c r="C29" s="86"/>
      <c r="D29" s="88" t="s">
        <v>200</v>
      </c>
      <c r="H29" s="80"/>
      <c r="M29" s="81"/>
      <c r="R29" s="76"/>
    </row>
    <row r="30" spans="3:18" ht="29.25" customHeight="1">
      <c r="C30" s="86"/>
      <c r="D30" s="89" t="s">
        <v>201</v>
      </c>
      <c r="F30" s="90" t="s">
        <v>258</v>
      </c>
      <c r="H30" s="80"/>
      <c r="M30" s="81"/>
      <c r="R30" s="76"/>
    </row>
    <row r="31" spans="3:18" ht="29.25" customHeight="1">
      <c r="C31" s="86"/>
      <c r="D31" s="89" t="s">
        <v>202</v>
      </c>
      <c r="F31" s="76" t="s">
        <v>239</v>
      </c>
      <c r="H31" s="80"/>
      <c r="M31" s="81"/>
      <c r="R31" s="76"/>
    </row>
    <row r="32" spans="3:18" ht="29.25" customHeight="1">
      <c r="C32" s="86"/>
      <c r="D32" s="89" t="s">
        <v>203</v>
      </c>
      <c r="F32" s="76" t="s">
        <v>240</v>
      </c>
      <c r="H32" s="80"/>
      <c r="M32" s="81"/>
      <c r="R32" s="76"/>
    </row>
    <row r="33" spans="3:18" ht="29.25" customHeight="1">
      <c r="C33" s="86"/>
      <c r="D33" s="89" t="s">
        <v>204</v>
      </c>
      <c r="F33" s="76" t="s">
        <v>267</v>
      </c>
      <c r="H33" s="80"/>
      <c r="M33" s="81"/>
      <c r="R33" s="76"/>
    </row>
    <row r="34" spans="3:18" ht="29.25" customHeight="1">
      <c r="C34" s="86"/>
      <c r="D34" s="88" t="s">
        <v>205</v>
      </c>
      <c r="F34" s="90" t="s">
        <v>259</v>
      </c>
      <c r="H34" s="80"/>
      <c r="M34" s="81"/>
      <c r="R34" s="76"/>
    </row>
    <row r="35" spans="3:18" ht="29.25" customHeight="1">
      <c r="C35" s="86"/>
      <c r="D35" s="88" t="s">
        <v>206</v>
      </c>
      <c r="F35" s="76">
        <v>746</v>
      </c>
      <c r="H35" s="80"/>
      <c r="M35" s="81"/>
      <c r="R35" s="76"/>
    </row>
    <row r="36" spans="3:18" ht="29.25" customHeight="1">
      <c r="C36" s="86"/>
      <c r="D36" s="88" t="s">
        <v>207</v>
      </c>
      <c r="F36" s="76" t="s">
        <v>241</v>
      </c>
      <c r="H36" s="80"/>
      <c r="M36" s="81"/>
      <c r="R36" s="76"/>
    </row>
    <row r="37" spans="3:18" ht="29.25" customHeight="1">
      <c r="D37" s="88" t="s">
        <v>208</v>
      </c>
      <c r="H37" s="80"/>
      <c r="M37" s="81"/>
      <c r="R37" s="76"/>
    </row>
    <row r="38" spans="3:18" ht="29.25" customHeight="1">
      <c r="D38" s="89" t="s">
        <v>209</v>
      </c>
      <c r="F38" s="76" t="s">
        <v>242</v>
      </c>
      <c r="I38" s="80"/>
      <c r="M38" s="76"/>
      <c r="N38" s="81"/>
      <c r="R38" s="76"/>
    </row>
    <row r="39" spans="3:18" ht="29.25" customHeight="1">
      <c r="D39" s="89" t="s">
        <v>210</v>
      </c>
      <c r="F39" s="76" t="s">
        <v>266</v>
      </c>
      <c r="I39" s="80"/>
      <c r="M39" s="76"/>
      <c r="N39" s="81"/>
      <c r="R39" s="76"/>
    </row>
    <row r="40" spans="3:18" ht="29.25" customHeight="1">
      <c r="D40" s="91"/>
      <c r="I40" s="80"/>
      <c r="M40" s="76"/>
      <c r="N40" s="81"/>
      <c r="R40" s="76"/>
    </row>
    <row r="41" spans="3:18" ht="29.25" customHeight="1">
      <c r="D41" s="92" t="s">
        <v>211</v>
      </c>
      <c r="I41" s="80"/>
      <c r="M41" s="76"/>
      <c r="N41" s="81"/>
      <c r="R41" s="76"/>
    </row>
    <row r="42" spans="3:18" ht="29.25" customHeight="1">
      <c r="D42" s="91"/>
      <c r="I42" s="80"/>
      <c r="M42" s="76"/>
      <c r="N42" s="81"/>
      <c r="R42" s="76"/>
    </row>
    <row r="43" spans="3:18" ht="29.25" customHeight="1">
      <c r="D43" s="88" t="s">
        <v>212</v>
      </c>
      <c r="I43" s="80"/>
      <c r="M43" s="76"/>
      <c r="N43" s="81"/>
      <c r="R43" s="76"/>
    </row>
    <row r="44" spans="3:18" ht="29.25" customHeight="1">
      <c r="D44" s="89" t="s">
        <v>213</v>
      </c>
      <c r="I44" s="80"/>
      <c r="M44" s="76"/>
      <c r="N44" s="81"/>
      <c r="R44" s="76"/>
    </row>
    <row r="45" spans="3:18" ht="29.25" customHeight="1">
      <c r="D45" s="89" t="s">
        <v>260</v>
      </c>
      <c r="F45" s="76" t="s">
        <v>245</v>
      </c>
      <c r="I45" s="80"/>
      <c r="M45" s="76"/>
      <c r="N45" s="81"/>
      <c r="R45" s="76"/>
    </row>
    <row r="46" spans="3:18" ht="29.25" customHeight="1">
      <c r="D46" s="89" t="s">
        <v>261</v>
      </c>
      <c r="F46" s="76" t="s">
        <v>244</v>
      </c>
      <c r="I46" s="80"/>
      <c r="M46" s="76"/>
      <c r="N46" s="81"/>
      <c r="R46" s="76"/>
    </row>
    <row r="47" spans="3:18" ht="29.25" customHeight="1">
      <c r="D47" s="89" t="s">
        <v>214</v>
      </c>
      <c r="I47" s="80"/>
      <c r="M47" s="76"/>
      <c r="N47" s="81"/>
      <c r="R47" s="76"/>
    </row>
    <row r="48" spans="3:18" ht="29.25" customHeight="1">
      <c r="D48" s="89" t="s">
        <v>262</v>
      </c>
      <c r="F48" s="76" t="s">
        <v>246</v>
      </c>
      <c r="I48" s="80"/>
      <c r="M48" s="76"/>
      <c r="N48" s="81"/>
      <c r="R48" s="76"/>
    </row>
    <row r="49" spans="4:18" ht="29.25" customHeight="1">
      <c r="D49" s="89" t="s">
        <v>263</v>
      </c>
      <c r="F49" s="76" t="s">
        <v>247</v>
      </c>
      <c r="I49" s="80"/>
      <c r="M49" s="76"/>
      <c r="N49" s="81"/>
      <c r="R49" s="76"/>
    </row>
    <row r="50" spans="4:18" ht="29.25" customHeight="1">
      <c r="D50" s="88" t="s">
        <v>215</v>
      </c>
      <c r="I50" s="80"/>
      <c r="M50" s="76"/>
      <c r="N50" s="81"/>
      <c r="R50" s="76"/>
    </row>
    <row r="51" spans="4:18" ht="29.25" customHeight="1">
      <c r="D51" s="89" t="s">
        <v>216</v>
      </c>
      <c r="F51" s="76" t="s">
        <v>248</v>
      </c>
      <c r="I51" s="80"/>
      <c r="M51" s="76"/>
      <c r="N51" s="81"/>
      <c r="R51" s="76"/>
    </row>
    <row r="52" spans="4:18" ht="29.25" customHeight="1">
      <c r="D52" s="89" t="s">
        <v>217</v>
      </c>
      <c r="F52" s="76" t="s">
        <v>249</v>
      </c>
      <c r="I52" s="80"/>
      <c r="M52" s="76"/>
      <c r="N52" s="81"/>
      <c r="R52" s="76"/>
    </row>
    <row r="53" spans="4:18" ht="29.25" customHeight="1">
      <c r="D53" s="89" t="s">
        <v>218</v>
      </c>
      <c r="F53" s="90" t="s">
        <v>264</v>
      </c>
      <c r="I53" s="80"/>
      <c r="M53" s="76"/>
      <c r="N53" s="81"/>
      <c r="R53" s="76"/>
    </row>
    <row r="54" spans="4:18" ht="29.25" customHeight="1">
      <c r="D54" s="88" t="s">
        <v>219</v>
      </c>
      <c r="I54" s="80"/>
      <c r="M54" s="76"/>
      <c r="N54" s="81"/>
      <c r="R54" s="76"/>
    </row>
    <row r="55" spans="4:18" ht="29.25" customHeight="1">
      <c r="D55" s="89" t="s">
        <v>220</v>
      </c>
      <c r="F55" s="76" t="s">
        <v>250</v>
      </c>
      <c r="I55" s="80"/>
      <c r="M55" s="76"/>
      <c r="N55" s="81"/>
      <c r="R55" s="76"/>
    </row>
    <row r="56" spans="4:18" ht="36">
      <c r="D56" s="89" t="s">
        <v>221</v>
      </c>
      <c r="F56" s="76" t="s">
        <v>251</v>
      </c>
      <c r="I56" s="80"/>
      <c r="M56" s="76"/>
      <c r="N56" s="81"/>
      <c r="R56" s="76"/>
    </row>
    <row r="57" spans="4:18" ht="29.25" customHeight="1">
      <c r="D57" s="88" t="s">
        <v>222</v>
      </c>
      <c r="F57" s="76" t="s">
        <v>252</v>
      </c>
      <c r="I57" s="80"/>
      <c r="M57" s="76"/>
      <c r="N57" s="81"/>
      <c r="R57" s="76"/>
    </row>
    <row r="58" spans="4:18" ht="29.25" customHeight="1">
      <c r="D58" s="88" t="s">
        <v>223</v>
      </c>
      <c r="I58" s="80"/>
      <c r="M58" s="76"/>
      <c r="N58" s="81"/>
      <c r="R58" s="76"/>
    </row>
    <row r="59" spans="4:18" ht="29.25" customHeight="1">
      <c r="D59" s="89" t="s">
        <v>209</v>
      </c>
      <c r="F59" s="76" t="s">
        <v>253</v>
      </c>
      <c r="I59" s="80"/>
      <c r="M59" s="76"/>
      <c r="N59" s="81"/>
      <c r="R59" s="76"/>
    </row>
    <row r="60" spans="4:18" ht="29.25" customHeight="1">
      <c r="D60" s="89" t="s">
        <v>210</v>
      </c>
      <c r="F60" s="76" t="s">
        <v>254</v>
      </c>
      <c r="I60" s="80"/>
      <c r="M60" s="76"/>
      <c r="N60" s="81"/>
      <c r="R60" s="76"/>
    </row>
    <row r="61" spans="4:18" ht="29.25" customHeight="1">
      <c r="D61" s="91"/>
      <c r="I61" s="80"/>
      <c r="M61" s="76"/>
      <c r="N61" s="81"/>
      <c r="R61" s="76"/>
    </row>
    <row r="62" spans="4:18" ht="29.25" customHeight="1">
      <c r="D62" s="92" t="s">
        <v>224</v>
      </c>
      <c r="I62" s="80"/>
      <c r="M62" s="76"/>
      <c r="N62" s="81"/>
      <c r="R62" s="76"/>
    </row>
    <row r="63" spans="4:18" ht="29.25" customHeight="1">
      <c r="D63" s="91"/>
      <c r="I63" s="80"/>
      <c r="M63" s="76"/>
      <c r="N63" s="81"/>
      <c r="R63" s="76"/>
    </row>
    <row r="64" spans="4:18" ht="29.25" customHeight="1">
      <c r="D64" s="92" t="s">
        <v>225</v>
      </c>
      <c r="I64" s="80"/>
      <c r="M64" s="76"/>
      <c r="N64" s="81"/>
      <c r="R64" s="76"/>
    </row>
    <row r="65" spans="4:18" ht="29.25" customHeight="1">
      <c r="D65" s="91"/>
      <c r="I65" s="80"/>
      <c r="M65" s="76"/>
      <c r="N65" s="81"/>
      <c r="R65" s="76"/>
    </row>
    <row r="66" spans="4:18" ht="29.25" customHeight="1">
      <c r="D66" s="88" t="s">
        <v>226</v>
      </c>
      <c r="F66" s="76" t="s">
        <v>255</v>
      </c>
      <c r="I66" s="80"/>
      <c r="M66" s="76"/>
      <c r="N66" s="81"/>
      <c r="R66" s="76"/>
    </row>
    <row r="67" spans="4:18" ht="29.25" customHeight="1">
      <c r="D67" s="91"/>
      <c r="I67" s="80"/>
      <c r="M67" s="76"/>
      <c r="N67" s="81"/>
      <c r="R67" s="76"/>
    </row>
    <row r="68" spans="4:18" ht="36">
      <c r="D68" s="92" t="s">
        <v>228</v>
      </c>
      <c r="I68" s="80"/>
      <c r="M68" s="76"/>
      <c r="N68" s="81"/>
      <c r="R68" s="76"/>
    </row>
    <row r="69" spans="4:18" ht="29.25" customHeight="1">
      <c r="D69" s="91"/>
      <c r="I69" s="80"/>
      <c r="M69" s="76"/>
      <c r="N69" s="81"/>
      <c r="R69" s="76"/>
    </row>
    <row r="70" spans="4:18" ht="36">
      <c r="D70" s="88" t="s">
        <v>227</v>
      </c>
      <c r="I70" s="80"/>
      <c r="M70" s="76"/>
      <c r="N70" s="81"/>
      <c r="R70" s="76"/>
    </row>
    <row r="71" spans="4:18" ht="29.25" customHeight="1">
      <c r="D71" s="91"/>
      <c r="I71" s="80"/>
      <c r="M71" s="76"/>
      <c r="N71" s="81"/>
      <c r="R71" s="76"/>
    </row>
    <row r="72" spans="4:18" ht="29.25" customHeight="1">
      <c r="D72" s="92" t="s">
        <v>229</v>
      </c>
      <c r="I72" s="80"/>
      <c r="M72" s="76"/>
      <c r="N72" s="81"/>
      <c r="R72" s="76"/>
    </row>
    <row r="73" spans="4:18">
      <c r="D73" s="93"/>
      <c r="I73" s="80"/>
      <c r="M73" s="76"/>
      <c r="N73" s="81"/>
      <c r="R73" s="76"/>
    </row>
    <row r="74" spans="4:18">
      <c r="D74" s="93"/>
      <c r="I74" s="80"/>
      <c r="M74" s="76"/>
      <c r="N74" s="81"/>
      <c r="R74" s="76"/>
    </row>
    <row r="75" spans="4:18">
      <c r="D75" s="93"/>
      <c r="I75" s="80"/>
      <c r="M75" s="76"/>
      <c r="N75" s="81"/>
      <c r="R75" s="76"/>
    </row>
    <row r="76" spans="4:18">
      <c r="D76" s="93" t="s">
        <v>256</v>
      </c>
      <c r="I76" s="80"/>
      <c r="M76" s="76"/>
      <c r="N76" s="81"/>
      <c r="R76" s="76"/>
    </row>
    <row r="77" spans="4:18" ht="14.25" hidden="1" customHeight="1">
      <c r="D77" s="93"/>
      <c r="I77" s="80"/>
      <c r="M77" s="76"/>
      <c r="N77" s="81"/>
      <c r="R77" s="76"/>
    </row>
    <row r="78" spans="4:18" hidden="1">
      <c r="D78" s="93"/>
      <c r="I78" s="80"/>
      <c r="M78" s="76"/>
      <c r="N78" s="81"/>
      <c r="R78" s="76"/>
    </row>
    <row r="79" spans="4:18" hidden="1">
      <c r="D79" s="93"/>
      <c r="I79" s="80"/>
      <c r="M79" s="76"/>
      <c r="N79" s="81"/>
      <c r="R79" s="76"/>
    </row>
    <row r="80" spans="4:18" hidden="1">
      <c r="D80" s="93"/>
      <c r="I80" s="80"/>
      <c r="M80" s="76"/>
      <c r="N80" s="81"/>
      <c r="R80" s="76"/>
    </row>
    <row r="81" spans="4:18" hidden="1">
      <c r="D81" s="93"/>
      <c r="I81" s="80"/>
      <c r="M81" s="76"/>
      <c r="N81" s="81"/>
      <c r="R81" s="76"/>
    </row>
    <row r="82" spans="4:18" hidden="1">
      <c r="D82" s="93"/>
      <c r="I82" s="80"/>
      <c r="M82" s="76"/>
      <c r="N82" s="81"/>
      <c r="R82" s="76"/>
    </row>
    <row r="83" spans="4:18" hidden="1">
      <c r="D83" s="93"/>
      <c r="I83" s="80"/>
      <c r="M83" s="76"/>
      <c r="N83" s="81"/>
      <c r="R83" s="76"/>
    </row>
    <row r="84" spans="4:18" hidden="1">
      <c r="D84" s="93"/>
      <c r="I84" s="80"/>
      <c r="M84" s="76"/>
      <c r="N84" s="81"/>
      <c r="R84" s="76"/>
    </row>
    <row r="85" spans="4:18" hidden="1">
      <c r="D85" s="93"/>
      <c r="I85" s="80"/>
      <c r="M85" s="76"/>
      <c r="N85" s="81"/>
      <c r="R85" s="76"/>
    </row>
    <row r="86" spans="4:18" hidden="1">
      <c r="D86" s="93"/>
      <c r="I86" s="80"/>
      <c r="M86" s="76"/>
      <c r="N86" s="81"/>
      <c r="R86" s="76"/>
    </row>
    <row r="87" spans="4:18" hidden="1">
      <c r="D87" s="93"/>
      <c r="I87" s="80"/>
      <c r="M87" s="76"/>
      <c r="N87" s="81"/>
      <c r="R87" s="76"/>
    </row>
    <row r="88" spans="4:18" hidden="1">
      <c r="D88" s="93"/>
      <c r="I88" s="80"/>
      <c r="M88" s="76"/>
      <c r="N88" s="81"/>
      <c r="R88" s="76"/>
    </row>
    <row r="89" spans="4:18" hidden="1">
      <c r="D89" s="93"/>
      <c r="I89" s="80"/>
      <c r="M89" s="76"/>
      <c r="N89" s="81"/>
      <c r="R89" s="76"/>
    </row>
    <row r="90" spans="4:18" hidden="1">
      <c r="D90" s="93"/>
      <c r="I90" s="80"/>
      <c r="M90" s="76"/>
      <c r="N90" s="81"/>
      <c r="R90" s="76"/>
    </row>
    <row r="91" spans="4:18" hidden="1">
      <c r="D91" s="93"/>
      <c r="I91" s="80"/>
      <c r="M91" s="76"/>
      <c r="N91" s="81"/>
      <c r="R91" s="76"/>
    </row>
    <row r="92" spans="4:18" hidden="1">
      <c r="D92" s="93"/>
      <c r="I92" s="80"/>
      <c r="M92" s="76"/>
      <c r="N92" s="81"/>
      <c r="R92" s="76"/>
    </row>
    <row r="93" spans="4:18" hidden="1">
      <c r="D93" s="93"/>
      <c r="I93" s="80"/>
      <c r="M93" s="76"/>
      <c r="N93" s="81"/>
      <c r="R93" s="76"/>
    </row>
    <row r="94" spans="4:18" hidden="1">
      <c r="D94" s="93"/>
      <c r="I94" s="80"/>
      <c r="M94" s="76"/>
      <c r="N94" s="81"/>
      <c r="R94" s="76"/>
    </row>
    <row r="95" spans="4:18" hidden="1">
      <c r="D95" s="93"/>
      <c r="I95" s="80"/>
      <c r="M95" s="76"/>
      <c r="N95" s="81"/>
      <c r="R95" s="76"/>
    </row>
    <row r="96" spans="4:18" hidden="1">
      <c r="D96" s="93"/>
      <c r="I96" s="80"/>
      <c r="M96" s="76"/>
      <c r="N96" s="81"/>
      <c r="R96" s="76"/>
    </row>
    <row r="97" spans="4:18" hidden="1">
      <c r="D97" s="93"/>
      <c r="I97" s="80"/>
      <c r="M97" s="76"/>
      <c r="N97" s="81"/>
      <c r="R97" s="76"/>
    </row>
    <row r="98" spans="4:18" hidden="1">
      <c r="D98" s="93"/>
      <c r="I98" s="80"/>
      <c r="M98" s="76"/>
      <c r="N98" s="81"/>
      <c r="R98" s="76"/>
    </row>
    <row r="99" spans="4:18" hidden="1">
      <c r="D99" s="93"/>
      <c r="I99" s="80"/>
      <c r="M99" s="76"/>
      <c r="N99" s="81"/>
      <c r="R99" s="76"/>
    </row>
    <row r="100" spans="4:18" hidden="1">
      <c r="D100" s="93"/>
      <c r="I100" s="80"/>
      <c r="M100" s="76"/>
      <c r="N100" s="81"/>
      <c r="R100" s="76"/>
    </row>
    <row r="101" spans="4:18" hidden="1">
      <c r="D101" s="93"/>
      <c r="I101" s="80"/>
      <c r="M101" s="76"/>
      <c r="N101" s="81"/>
      <c r="R101" s="76"/>
    </row>
    <row r="102" spans="4:18" hidden="1">
      <c r="D102" s="93"/>
      <c r="I102" s="80"/>
      <c r="M102" s="76"/>
      <c r="N102" s="81"/>
      <c r="R102" s="76"/>
    </row>
    <row r="103" spans="4:18" hidden="1">
      <c r="D103" s="93"/>
      <c r="I103" s="80"/>
      <c r="M103" s="76"/>
      <c r="N103" s="81"/>
      <c r="R103" s="76"/>
    </row>
    <row r="104" spans="4:18" hidden="1">
      <c r="D104" s="93"/>
      <c r="I104" s="80"/>
      <c r="M104" s="76"/>
      <c r="N104" s="81"/>
      <c r="R104" s="76"/>
    </row>
    <row r="105" spans="4:18" hidden="1">
      <c r="D105" s="93"/>
      <c r="I105" s="80"/>
      <c r="M105" s="76"/>
      <c r="N105" s="81"/>
      <c r="R105" s="76"/>
    </row>
    <row r="106" spans="4:18" hidden="1">
      <c r="D106" s="93"/>
      <c r="I106" s="80"/>
      <c r="M106" s="76"/>
      <c r="N106" s="81"/>
      <c r="R106" s="76"/>
    </row>
    <row r="107" spans="4:18" hidden="1">
      <c r="D107" s="93"/>
      <c r="I107" s="80"/>
      <c r="M107" s="76"/>
      <c r="N107" s="81"/>
      <c r="R107" s="76"/>
    </row>
    <row r="108" spans="4:18" hidden="1">
      <c r="D108" s="93"/>
      <c r="I108" s="80"/>
      <c r="M108" s="76"/>
      <c r="N108" s="81"/>
      <c r="R108" s="76"/>
    </row>
    <row r="109" spans="4:18" hidden="1">
      <c r="I109" s="80"/>
      <c r="M109" s="76"/>
      <c r="N109" s="81"/>
      <c r="R109" s="76"/>
    </row>
    <row r="110" spans="4:18" hidden="1">
      <c r="I110" s="80"/>
      <c r="M110" s="76"/>
      <c r="N110" s="81"/>
      <c r="R110" s="76"/>
    </row>
    <row r="111" spans="4:18" hidden="1">
      <c r="I111" s="80"/>
      <c r="M111" s="76"/>
      <c r="N111" s="81"/>
      <c r="R111" s="76"/>
    </row>
    <row r="112" spans="4:18" hidden="1">
      <c r="I112" s="80"/>
      <c r="M112" s="76"/>
      <c r="N112" s="81"/>
      <c r="R112" s="76"/>
    </row>
    <row r="113" spans="9:18" hidden="1">
      <c r="I113" s="80"/>
      <c r="M113" s="76"/>
      <c r="N113" s="81"/>
      <c r="R113" s="76"/>
    </row>
    <row r="114" spans="9:18" hidden="1">
      <c r="I114" s="80"/>
      <c r="M114" s="76"/>
      <c r="N114" s="81"/>
      <c r="R114" s="76"/>
    </row>
    <row r="115" spans="9:18" hidden="1">
      <c r="I115" s="80"/>
      <c r="M115" s="76"/>
      <c r="N115" s="81"/>
      <c r="R115" s="76"/>
    </row>
    <row r="116" spans="9:18" hidden="1">
      <c r="I116" s="80"/>
      <c r="M116" s="76"/>
      <c r="N116" s="81"/>
      <c r="R116" s="76"/>
    </row>
    <row r="117" spans="9:18" hidden="1">
      <c r="I117" s="80"/>
      <c r="M117" s="76"/>
      <c r="N117" s="81"/>
      <c r="R117" s="76"/>
    </row>
    <row r="118" spans="9:18" hidden="1">
      <c r="I118" s="80"/>
      <c r="M118" s="76"/>
      <c r="N118" s="81"/>
      <c r="R118" s="76"/>
    </row>
    <row r="119" spans="9:18" hidden="1">
      <c r="I119" s="80"/>
      <c r="M119" s="76"/>
      <c r="N119" s="81"/>
      <c r="R119" s="76"/>
    </row>
    <row r="120" spans="9:18" hidden="1">
      <c r="I120" s="80"/>
      <c r="M120" s="76"/>
      <c r="N120" s="81"/>
      <c r="R120" s="76"/>
    </row>
    <row r="121" spans="9:18" hidden="1">
      <c r="I121" s="80"/>
      <c r="M121" s="76"/>
      <c r="N121" s="81"/>
      <c r="R121" s="76"/>
    </row>
    <row r="122" spans="9:18" hidden="1">
      <c r="I122" s="80"/>
      <c r="M122" s="76"/>
      <c r="N122" s="81"/>
      <c r="R122" s="76"/>
    </row>
    <row r="123" spans="9:18" hidden="1">
      <c r="I123" s="80"/>
      <c r="M123" s="76"/>
      <c r="N123" s="81"/>
      <c r="R123" s="76"/>
    </row>
    <row r="124" spans="9:18" hidden="1">
      <c r="I124" s="80"/>
      <c r="M124" s="76"/>
      <c r="N124" s="81"/>
      <c r="R124" s="76"/>
    </row>
    <row r="125" spans="9:18" hidden="1">
      <c r="I125" s="80"/>
      <c r="M125" s="76"/>
      <c r="N125" s="81"/>
      <c r="R125" s="76"/>
    </row>
    <row r="126" spans="9:18" hidden="1">
      <c r="I126" s="80"/>
      <c r="M126" s="76"/>
      <c r="N126" s="81"/>
      <c r="R126" s="76"/>
    </row>
    <row r="127" spans="9:18" hidden="1">
      <c r="I127" s="80"/>
      <c r="M127" s="76"/>
      <c r="N127" s="81"/>
      <c r="R127" s="76"/>
    </row>
    <row r="128" spans="9:18" hidden="1">
      <c r="I128" s="80"/>
      <c r="M128" s="76"/>
      <c r="N128" s="81"/>
      <c r="R128" s="76"/>
    </row>
    <row r="129" spans="9:18" hidden="1">
      <c r="I129" s="80"/>
      <c r="M129" s="76"/>
      <c r="N129" s="81"/>
      <c r="R129" s="76"/>
    </row>
    <row r="130" spans="9:18" hidden="1">
      <c r="I130" s="80"/>
      <c r="M130" s="76"/>
      <c r="N130" s="81"/>
      <c r="R130" s="76"/>
    </row>
    <row r="131" spans="9:18" hidden="1">
      <c r="I131" s="80"/>
      <c r="M131" s="76"/>
      <c r="N131" s="81"/>
      <c r="R131" s="76"/>
    </row>
    <row r="132" spans="9:18" hidden="1">
      <c r="I132" s="80"/>
      <c r="M132" s="76"/>
      <c r="N132" s="81"/>
      <c r="R132" s="76"/>
    </row>
    <row r="133" spans="9:18" hidden="1">
      <c r="I133" s="80"/>
      <c r="M133" s="76"/>
      <c r="N133" s="81"/>
      <c r="R133" s="76"/>
    </row>
    <row r="134" spans="9:18" hidden="1">
      <c r="I134" s="80"/>
      <c r="M134" s="76"/>
      <c r="N134" s="81"/>
      <c r="R134" s="76"/>
    </row>
    <row r="135" spans="9:18" hidden="1">
      <c r="I135" s="80"/>
      <c r="M135" s="76"/>
      <c r="N135" s="81"/>
      <c r="R135" s="76"/>
    </row>
    <row r="136" spans="9:18" hidden="1">
      <c r="I136" s="80"/>
      <c r="M136" s="76"/>
      <c r="N136" s="81"/>
      <c r="R136" s="76"/>
    </row>
    <row r="137" spans="9:18" hidden="1">
      <c r="I137" s="80"/>
      <c r="M137" s="76"/>
      <c r="N137" s="81"/>
      <c r="R137" s="76"/>
    </row>
    <row r="138" spans="9:18" hidden="1">
      <c r="I138" s="80"/>
      <c r="M138" s="76"/>
      <c r="N138" s="81"/>
      <c r="R138" s="76"/>
    </row>
    <row r="139" spans="9:18" hidden="1">
      <c r="I139" s="80"/>
      <c r="M139" s="76"/>
      <c r="N139" s="81"/>
      <c r="R139" s="76"/>
    </row>
    <row r="140" spans="9:18" hidden="1">
      <c r="I140" s="80"/>
      <c r="M140" s="76"/>
      <c r="N140" s="81"/>
      <c r="R140" s="76"/>
    </row>
    <row r="141" spans="9:18" hidden="1">
      <c r="I141" s="80"/>
      <c r="M141" s="76"/>
      <c r="N141" s="81"/>
      <c r="R141" s="76"/>
    </row>
    <row r="142" spans="9:18" hidden="1">
      <c r="I142" s="80"/>
      <c r="M142" s="76"/>
      <c r="N142" s="81"/>
      <c r="R142" s="76"/>
    </row>
    <row r="143" spans="9:18" hidden="1">
      <c r="I143" s="80"/>
      <c r="M143" s="76"/>
      <c r="N143" s="81"/>
      <c r="R143" s="76"/>
    </row>
    <row r="144" spans="9:18" hidden="1">
      <c r="I144" s="80"/>
      <c r="M144" s="76"/>
      <c r="N144" s="81"/>
      <c r="R144" s="76"/>
    </row>
    <row r="145" spans="9:18" hidden="1">
      <c r="I145" s="80"/>
      <c r="M145" s="76"/>
      <c r="N145" s="81"/>
      <c r="R145" s="76"/>
    </row>
    <row r="146" spans="9:18" hidden="1">
      <c r="I146" s="80"/>
      <c r="M146" s="76"/>
      <c r="N146" s="81"/>
      <c r="R146" s="76"/>
    </row>
    <row r="147" spans="9:18" hidden="1">
      <c r="I147" s="80"/>
      <c r="M147" s="76"/>
      <c r="N147" s="81"/>
      <c r="R147" s="76"/>
    </row>
    <row r="148" spans="9:18" hidden="1">
      <c r="I148" s="80"/>
      <c r="M148" s="76"/>
      <c r="N148" s="81"/>
      <c r="R148" s="76"/>
    </row>
    <row r="149" spans="9:18" hidden="1">
      <c r="I149" s="80"/>
      <c r="M149" s="76"/>
      <c r="N149" s="81"/>
      <c r="R149" s="76"/>
    </row>
    <row r="150" spans="9:18" hidden="1">
      <c r="I150" s="80"/>
      <c r="M150" s="76"/>
      <c r="N150" s="81"/>
      <c r="R150" s="76"/>
    </row>
    <row r="151" spans="9:18" hidden="1">
      <c r="I151" s="80"/>
      <c r="M151" s="76"/>
      <c r="N151" s="81"/>
      <c r="R151" s="76"/>
    </row>
    <row r="152" spans="9:18" hidden="1">
      <c r="I152" s="80"/>
      <c r="M152" s="76"/>
      <c r="N152" s="81"/>
      <c r="R152" s="76"/>
    </row>
    <row r="153" spans="9:18" hidden="1">
      <c r="I153" s="80"/>
      <c r="M153" s="76"/>
      <c r="N153" s="81"/>
      <c r="R153" s="76"/>
    </row>
    <row r="154" spans="9:18" hidden="1">
      <c r="I154" s="80"/>
      <c r="M154" s="76"/>
      <c r="N154" s="81"/>
      <c r="R154" s="76"/>
    </row>
    <row r="155" spans="9:18" hidden="1">
      <c r="I155" s="80"/>
      <c r="M155" s="76"/>
      <c r="N155" s="81"/>
      <c r="R155" s="76"/>
    </row>
    <row r="156" spans="9:18" hidden="1">
      <c r="I156" s="80"/>
      <c r="M156" s="76"/>
      <c r="N156" s="81"/>
      <c r="R156" s="76"/>
    </row>
    <row r="157" spans="9:18" hidden="1">
      <c r="I157" s="80"/>
      <c r="M157" s="76"/>
      <c r="N157" s="81"/>
      <c r="R157" s="76"/>
    </row>
    <row r="158" spans="9:18" hidden="1">
      <c r="I158" s="80"/>
      <c r="M158" s="76"/>
      <c r="N158" s="81"/>
      <c r="R158" s="76"/>
    </row>
    <row r="159" spans="9:18" hidden="1">
      <c r="I159" s="80"/>
      <c r="M159" s="76"/>
      <c r="N159" s="81"/>
      <c r="R159" s="76"/>
    </row>
    <row r="160" spans="9:18" hidden="1">
      <c r="I160" s="80"/>
      <c r="M160" s="76"/>
      <c r="N160" s="81"/>
      <c r="R160" s="76"/>
    </row>
    <row r="161" spans="9:18" hidden="1">
      <c r="I161" s="80"/>
      <c r="M161" s="76"/>
      <c r="N161" s="81"/>
      <c r="R161" s="76"/>
    </row>
    <row r="162" spans="9:18" hidden="1">
      <c r="I162" s="80"/>
      <c r="M162" s="76"/>
      <c r="N162" s="81"/>
      <c r="R162" s="76"/>
    </row>
    <row r="163" spans="9:18" hidden="1">
      <c r="I163" s="80"/>
      <c r="M163" s="76"/>
      <c r="N163" s="81"/>
      <c r="R163" s="76"/>
    </row>
    <row r="164" spans="9:18" hidden="1">
      <c r="I164" s="80"/>
      <c r="M164" s="76"/>
      <c r="N164" s="81"/>
      <c r="R164" s="76"/>
    </row>
    <row r="165" spans="9:18" hidden="1">
      <c r="I165" s="80"/>
      <c r="M165" s="76"/>
      <c r="N165" s="81"/>
      <c r="R165" s="76"/>
    </row>
    <row r="166" spans="9:18" hidden="1">
      <c r="I166" s="80"/>
      <c r="M166" s="76"/>
      <c r="N166" s="81"/>
      <c r="R166" s="76"/>
    </row>
    <row r="167" spans="9:18" hidden="1">
      <c r="I167" s="80"/>
      <c r="M167" s="76"/>
      <c r="N167" s="81"/>
      <c r="R167" s="76"/>
    </row>
    <row r="168" spans="9:18" hidden="1">
      <c r="I168" s="80"/>
      <c r="M168" s="76"/>
      <c r="N168" s="81"/>
      <c r="R168" s="76"/>
    </row>
    <row r="169" spans="9:18" hidden="1">
      <c r="I169" s="80"/>
      <c r="M169" s="76"/>
      <c r="N169" s="81"/>
      <c r="R169" s="76"/>
    </row>
    <row r="170" spans="9:18" hidden="1">
      <c r="I170" s="80"/>
      <c r="M170" s="76"/>
      <c r="N170" s="81"/>
      <c r="R170" s="76"/>
    </row>
    <row r="171" spans="9:18" hidden="1">
      <c r="I171" s="80"/>
      <c r="M171" s="76"/>
      <c r="N171" s="81"/>
      <c r="R171" s="76"/>
    </row>
    <row r="172" spans="9:18" hidden="1">
      <c r="I172" s="80"/>
      <c r="M172" s="76"/>
      <c r="N172" s="81"/>
      <c r="R172" s="76"/>
    </row>
    <row r="173" spans="9:18" hidden="1">
      <c r="I173" s="80"/>
      <c r="M173" s="76"/>
      <c r="N173" s="81"/>
      <c r="R173" s="76"/>
    </row>
    <row r="174" spans="9:18" hidden="1">
      <c r="I174" s="80"/>
      <c r="M174" s="76"/>
      <c r="N174" s="81"/>
      <c r="R174" s="76"/>
    </row>
    <row r="175" spans="9:18" hidden="1">
      <c r="I175" s="80"/>
      <c r="M175" s="76"/>
      <c r="N175" s="81"/>
      <c r="R175" s="76"/>
    </row>
    <row r="176" spans="9:18" hidden="1">
      <c r="I176" s="80"/>
      <c r="M176" s="76"/>
      <c r="N176" s="81"/>
      <c r="R176" s="76"/>
    </row>
    <row r="177" spans="9:18" hidden="1">
      <c r="I177" s="80"/>
      <c r="M177" s="76"/>
      <c r="N177" s="81"/>
      <c r="R177" s="76"/>
    </row>
    <row r="178" spans="9:18" hidden="1">
      <c r="I178" s="80"/>
      <c r="M178" s="76"/>
      <c r="N178" s="81"/>
      <c r="R178" s="76"/>
    </row>
    <row r="179" spans="9:18" hidden="1">
      <c r="I179" s="80"/>
      <c r="M179" s="76"/>
      <c r="N179" s="81"/>
      <c r="R179" s="76"/>
    </row>
    <row r="180" spans="9:18" hidden="1">
      <c r="I180" s="80"/>
      <c r="M180" s="76"/>
      <c r="N180" s="81"/>
      <c r="R180" s="76"/>
    </row>
    <row r="181" spans="9:18" hidden="1">
      <c r="I181" s="80"/>
      <c r="M181" s="76"/>
      <c r="N181" s="81"/>
      <c r="R181" s="76"/>
    </row>
    <row r="182" spans="9:18" hidden="1">
      <c r="I182" s="80"/>
      <c r="M182" s="76"/>
      <c r="N182" s="81"/>
      <c r="R182" s="76"/>
    </row>
    <row r="183" spans="9:18" hidden="1">
      <c r="I183" s="80"/>
      <c r="M183" s="76"/>
      <c r="N183" s="81"/>
      <c r="R183" s="76"/>
    </row>
    <row r="184" spans="9:18" hidden="1">
      <c r="I184" s="80"/>
      <c r="M184" s="76"/>
      <c r="N184" s="81"/>
      <c r="R184" s="76"/>
    </row>
    <row r="185" spans="9:18" hidden="1">
      <c r="I185" s="80"/>
      <c r="M185" s="76"/>
      <c r="N185" s="81"/>
      <c r="R185" s="76"/>
    </row>
    <row r="186" spans="9:18" hidden="1">
      <c r="I186" s="80"/>
      <c r="M186" s="76"/>
      <c r="N186" s="81"/>
      <c r="R186" s="76"/>
    </row>
    <row r="187" spans="9:18" hidden="1">
      <c r="I187" s="80"/>
      <c r="M187" s="76"/>
      <c r="N187" s="81"/>
      <c r="R187" s="76"/>
    </row>
    <row r="188" spans="9:18" hidden="1">
      <c r="I188" s="80"/>
      <c r="M188" s="76"/>
      <c r="N188" s="81"/>
      <c r="R188" s="76"/>
    </row>
    <row r="189" spans="9:18" hidden="1">
      <c r="I189" s="80"/>
      <c r="M189" s="76"/>
      <c r="N189" s="81"/>
      <c r="R189" s="76"/>
    </row>
    <row r="190" spans="9:18" hidden="1">
      <c r="I190" s="80"/>
      <c r="M190" s="76"/>
      <c r="N190" s="81"/>
      <c r="R190" s="76"/>
    </row>
    <row r="191" spans="9:18" hidden="1">
      <c r="I191" s="80"/>
      <c r="M191" s="76"/>
      <c r="N191" s="81"/>
      <c r="R191" s="76"/>
    </row>
    <row r="192" spans="9:18" hidden="1">
      <c r="I192" s="80"/>
      <c r="M192" s="76"/>
      <c r="N192" s="81"/>
      <c r="R192" s="76"/>
    </row>
    <row r="193" spans="9:18" hidden="1">
      <c r="I193" s="80"/>
      <c r="M193" s="76"/>
      <c r="N193" s="81"/>
      <c r="R193" s="76"/>
    </row>
    <row r="194" spans="9:18" hidden="1">
      <c r="I194" s="80"/>
      <c r="M194" s="76"/>
      <c r="N194" s="81"/>
      <c r="R194" s="76"/>
    </row>
    <row r="195" spans="9:18" hidden="1">
      <c r="I195" s="80"/>
      <c r="M195" s="76"/>
      <c r="N195" s="81"/>
      <c r="R195" s="76"/>
    </row>
    <row r="196" spans="9:18" hidden="1">
      <c r="I196" s="80"/>
      <c r="M196" s="76"/>
      <c r="N196" s="81"/>
      <c r="R196" s="76"/>
    </row>
    <row r="197" spans="9:18" hidden="1">
      <c r="I197" s="80"/>
      <c r="M197" s="76"/>
      <c r="N197" s="81"/>
      <c r="R197" s="76"/>
    </row>
    <row r="198" spans="9:18" hidden="1">
      <c r="I198" s="80"/>
      <c r="M198" s="76"/>
      <c r="N198" s="81"/>
      <c r="R198" s="76"/>
    </row>
    <row r="199" spans="9:18" hidden="1">
      <c r="I199" s="80"/>
      <c r="M199" s="76"/>
      <c r="N199" s="81"/>
      <c r="R199" s="76"/>
    </row>
    <row r="200" spans="9:18" hidden="1">
      <c r="I200" s="80"/>
      <c r="M200" s="76"/>
      <c r="N200" s="81"/>
      <c r="R200" s="76"/>
    </row>
    <row r="201" spans="9:18" hidden="1">
      <c r="I201" s="80"/>
      <c r="M201" s="76"/>
      <c r="N201" s="81"/>
      <c r="R201" s="76"/>
    </row>
    <row r="202" spans="9:18" hidden="1">
      <c r="I202" s="80"/>
      <c r="M202" s="76"/>
      <c r="N202" s="81"/>
      <c r="R202" s="76"/>
    </row>
    <row r="203" spans="9:18" hidden="1">
      <c r="I203" s="80"/>
      <c r="M203" s="76"/>
      <c r="N203" s="81"/>
      <c r="R203" s="76"/>
    </row>
    <row r="204" spans="9:18" hidden="1">
      <c r="I204" s="80"/>
      <c r="M204" s="76"/>
      <c r="N204" s="81"/>
      <c r="R204" s="76"/>
    </row>
    <row r="205" spans="9:18" hidden="1">
      <c r="I205" s="80"/>
      <c r="M205" s="76"/>
      <c r="N205" s="81"/>
      <c r="R205" s="76"/>
    </row>
    <row r="206" spans="9:18" hidden="1">
      <c r="I206" s="80"/>
      <c r="M206" s="76"/>
      <c r="N206" s="81"/>
      <c r="R206" s="76"/>
    </row>
    <row r="207" spans="9:18" hidden="1">
      <c r="I207" s="80"/>
      <c r="M207" s="76"/>
      <c r="N207" s="81"/>
      <c r="R207" s="76"/>
    </row>
    <row r="208" spans="9:18" hidden="1">
      <c r="I208" s="80"/>
      <c r="M208" s="76"/>
      <c r="N208" s="81"/>
      <c r="R208" s="76"/>
    </row>
    <row r="209" spans="9:18" hidden="1">
      <c r="I209" s="80"/>
      <c r="M209" s="76"/>
      <c r="N209" s="81"/>
      <c r="R209" s="76"/>
    </row>
    <row r="210" spans="9:18" hidden="1">
      <c r="I210" s="80"/>
      <c r="M210" s="76"/>
      <c r="N210" s="81"/>
      <c r="R210" s="76"/>
    </row>
    <row r="211" spans="9:18" hidden="1">
      <c r="I211" s="80"/>
      <c r="M211" s="76"/>
      <c r="N211" s="81"/>
      <c r="R211" s="76"/>
    </row>
    <row r="212" spans="9:18" hidden="1">
      <c r="I212" s="80"/>
      <c r="M212" s="76"/>
      <c r="N212" s="81"/>
      <c r="R212" s="76"/>
    </row>
    <row r="213" spans="9:18" hidden="1">
      <c r="I213" s="80"/>
      <c r="M213" s="76"/>
      <c r="N213" s="81"/>
      <c r="R213" s="76"/>
    </row>
  </sheetData>
  <mergeCells count="1">
    <mergeCell ref="D7:F7"/>
  </mergeCells>
  <pageMargins left="0.7" right="0.7" top="0.75" bottom="0.75" header="0.3" footer="0.3"/>
  <pageSetup paperSize="9" scale="36" orientation="portrait" verticalDpi="1200"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1">
    <pageSetUpPr autoPageBreaks="0" fitToPage="1"/>
  </sheetPr>
  <dimension ref="C1:Q2134"/>
  <sheetViews>
    <sheetView showGridLines="0" showRowColHeaders="0" zoomScale="120" zoomScaleNormal="120" zoomScaleSheetLayoutView="85" zoomScalePageLayoutView="55" workbookViewId="0">
      <pane xSplit="3" ySplit="15" topLeftCell="D16" activePane="bottomRight" state="frozen"/>
      <selection activeCell="G9" sqref="G9"/>
      <selection pane="topRight" activeCell="G9" sqref="G9"/>
      <selection pane="bottomLeft" activeCell="G9" sqref="G9"/>
      <selection pane="bottomRight" activeCell="G9" sqref="G9"/>
    </sheetView>
  </sheetViews>
  <sheetFormatPr baseColWidth="10" defaultColWidth="11.44140625" defaultRowHeight="15" customHeight="1" zeroHeight="1"/>
  <cols>
    <col min="1" max="2" width="2" customWidth="1"/>
    <col min="3" max="3" width="42.44140625" bestFit="1" customWidth="1"/>
    <col min="4" max="6" width="17.44140625" customWidth="1"/>
    <col min="7" max="7" width="25.44140625" customWidth="1"/>
    <col min="8" max="8" width="13" bestFit="1" customWidth="1"/>
    <col min="9" max="9" width="18" bestFit="1" customWidth="1"/>
    <col min="10" max="10" width="17.5546875" customWidth="1"/>
    <col min="11" max="11" width="20" customWidth="1"/>
    <col min="12" max="12" width="16" customWidth="1"/>
    <col min="13" max="13" width="5" customWidth="1"/>
    <col min="14" max="14" width="19.5546875" customWidth="1"/>
    <col min="15" max="15" width="1.44140625" customWidth="1"/>
    <col min="16" max="16" width="21" customWidth="1"/>
    <col min="17" max="17" width="9" style="13" customWidth="1"/>
    <col min="18" max="18" width="4.5546875" customWidth="1"/>
    <col min="19" max="20" width="11.44140625" customWidth="1"/>
    <col min="21" max="21" width="46" customWidth="1"/>
    <col min="22" max="22" width="40" customWidth="1"/>
    <col min="23" max="23" width="16" customWidth="1"/>
    <col min="24" max="25" width="11.44140625" customWidth="1"/>
    <col min="26" max="26" width="49" customWidth="1"/>
    <col min="27" max="27" width="47.5546875" customWidth="1"/>
    <col min="28" max="28" width="18" customWidth="1"/>
  </cols>
  <sheetData>
    <row r="1" spans="3:17" ht="15" customHeight="1"/>
    <row r="2" spans="3:17" ht="9" customHeight="1"/>
    <row r="3" spans="3:17" ht="5.25" customHeight="1">
      <c r="C3" s="1"/>
    </row>
    <row r="4" spans="3:17" ht="5.25" customHeight="1"/>
    <row r="5" spans="3:17" ht="21">
      <c r="C5" s="35" t="str">
        <f>+MENU!C5</f>
        <v>Sociedad:</v>
      </c>
      <c r="D5" s="2254" t="str">
        <f>+MENU!E5</f>
        <v>MARIO PILATO BLAT, S.A.</v>
      </c>
      <c r="E5" s="2255"/>
      <c r="F5" s="2255"/>
      <c r="J5" s="40"/>
      <c r="M5" s="12"/>
      <c r="P5" s="14"/>
      <c r="Q5"/>
    </row>
    <row r="6" spans="3:17" ht="12.75" customHeight="1">
      <c r="P6" s="13"/>
      <c r="Q6"/>
    </row>
    <row r="7" spans="3:17" ht="18">
      <c r="C7" s="35" t="s">
        <v>0</v>
      </c>
      <c r="D7" s="2261">
        <f>+MENU!D7</f>
        <v>45657</v>
      </c>
      <c r="E7" s="2261"/>
      <c r="F7" s="2261"/>
      <c r="I7" s="34"/>
      <c r="P7" s="13"/>
      <c r="Q7"/>
    </row>
    <row r="8" spans="3:17" ht="15" customHeight="1">
      <c r="C8" s="2"/>
      <c r="E8" s="3"/>
      <c r="F8" s="3"/>
      <c r="G8" s="3"/>
      <c r="H8" s="3"/>
      <c r="I8" s="3"/>
      <c r="J8" s="3"/>
    </row>
    <row r="9" spans="3:17" ht="15" customHeight="1"/>
    <row r="10" spans="3:17" ht="15" customHeight="1"/>
    <row r="11" spans="3:17" ht="14.4">
      <c r="Q11"/>
    </row>
    <row r="12" spans="3:17" ht="6" customHeight="1">
      <c r="Q12"/>
    </row>
    <row r="13" spans="3:17" ht="18">
      <c r="C13" s="2262" t="s">
        <v>898</v>
      </c>
      <c r="D13" s="2263"/>
      <c r="E13" s="2263"/>
      <c r="Q13"/>
    </row>
    <row r="14" spans="3:17" ht="6" customHeight="1">
      <c r="Q14"/>
    </row>
    <row r="15" spans="3:17" s="41" customFormat="1" ht="15.6">
      <c r="C15" s="42" t="s">
        <v>648</v>
      </c>
      <c r="D15" s="42">
        <v>174</v>
      </c>
      <c r="E15" s="42">
        <v>479</v>
      </c>
      <c r="F15" s="42">
        <v>524</v>
      </c>
      <c r="G15" s="42" t="s">
        <v>652</v>
      </c>
      <c r="H15"/>
      <c r="I15"/>
      <c r="J15"/>
      <c r="K15"/>
      <c r="L15"/>
      <c r="M15"/>
      <c r="N15"/>
      <c r="O15"/>
      <c r="P15"/>
    </row>
    <row r="16" spans="3:17" ht="15.6">
      <c r="C16" s="142" t="s">
        <v>904</v>
      </c>
      <c r="D16" s="145">
        <f ca="1">+SUMIF(SYS_4_3_Digitos!$A$5:$A$1004,'Leasg. (2)'!$D$15,SYS_4_3_Digitos!$I$5:$I$1004)-SUMIF(SYS_4_3_Digitos!$A$5:$A$1004,'Leasg. (2)'!$D$15,SYS_4_3_Digitos!$J$5:$J$1004)</f>
        <v>0</v>
      </c>
      <c r="E16" s="145">
        <f ca="1">+SUMIF(SYS_4_3_Digitos!$A$5:$A$1004,'Leasg. (2)'!$E$15,SYS_4_3_Digitos!$I$5:$I$1004)-SUMIF(SYS_4_3_Digitos!$A$5:$A$1004,'Leasg. (2)'!$E$15,SYS_4_3_Digitos!$J$5:$J$1004)</f>
        <v>-9998511.5600000005</v>
      </c>
      <c r="F16" s="145">
        <f ca="1">+SUMIF(SYS_4_3_Digitos!$A$5:$A$1004,'Leasg. (2)'!$F$15,SYS_4_3_Digitos!$I$5:$I$1004)-SUMIF(SYS_4_3_Digitos!$A$5:$A$1004,'Leasg. (2)'!$F$15,SYS_4_3_Digitos!$J$5:$J$1004)</f>
        <v>0</v>
      </c>
      <c r="G16" s="144"/>
      <c r="Q16"/>
    </row>
    <row r="17" spans="3:17" ht="15.6">
      <c r="C17" s="142" t="s">
        <v>907</v>
      </c>
      <c r="D17" s="145">
        <f>+SUMIF('BASE DATOS LEASING'!$B$5:$B$9822,MENU!$D$5,'BASE DATOS LEASING'!$Z$5:$Z$9822)</f>
        <v>0</v>
      </c>
      <c r="E17" s="145">
        <f>+SUMIF('BASE DATOS LEASING'!$B$5:$B$9822,MENU!$D$5,'BASE DATOS LEASING'!$AD$5:$AD$9822)</f>
        <v>0</v>
      </c>
      <c r="F17" s="145">
        <f>+SUMIF('BASE DATOS LEASING'!$B$5:$B$9822,MENU!$D$5,'BASE DATOS LEASING'!$Y$5:$Y$9822)</f>
        <v>0</v>
      </c>
      <c r="G17" s="144"/>
      <c r="Q17"/>
    </row>
    <row r="18" spans="3:17" ht="15.6">
      <c r="C18" s="148" t="s">
        <v>644</v>
      </c>
      <c r="D18" s="145">
        <f ca="1">+D16-D17</f>
        <v>0</v>
      </c>
      <c r="E18" s="145">
        <f ca="1">+E16-E17</f>
        <v>-9998511.5600000005</v>
      </c>
      <c r="F18" s="145">
        <f ca="1">+F16-F17</f>
        <v>0</v>
      </c>
      <c r="G18" s="144"/>
      <c r="Q18"/>
    </row>
    <row r="19" spans="3:17" ht="14.4">
      <c r="Q19"/>
    </row>
    <row r="20" spans="3:17" ht="15" customHeight="1">
      <c r="C20" s="182" t="s">
        <v>926</v>
      </c>
    </row>
    <row r="21" spans="3:17" ht="15" customHeight="1">
      <c r="N21" s="13"/>
      <c r="Q21"/>
    </row>
    <row r="22" spans="3:17" ht="15" customHeight="1">
      <c r="N22" s="13"/>
      <c r="Q22"/>
    </row>
    <row r="23" spans="3:17" ht="15" customHeight="1">
      <c r="N23" s="13"/>
      <c r="Q23"/>
    </row>
    <row r="24" spans="3:17" ht="15" customHeight="1">
      <c r="N24" s="13"/>
      <c r="Q24"/>
    </row>
    <row r="25" spans="3:17" ht="15" customHeight="1">
      <c r="N25" s="13"/>
      <c r="Q25"/>
    </row>
    <row r="26" spans="3:17" ht="15" customHeight="1">
      <c r="N26" s="13"/>
      <c r="Q26"/>
    </row>
    <row r="27" spans="3:17" ht="15" customHeight="1">
      <c r="N27" s="13"/>
      <c r="Q27"/>
    </row>
    <row r="28" spans="3:17" ht="15" customHeight="1">
      <c r="N28" s="13"/>
      <c r="Q28"/>
    </row>
    <row r="29" spans="3:17" ht="15" customHeight="1">
      <c r="N29" s="13"/>
      <c r="Q29"/>
    </row>
    <row r="30" spans="3:17" ht="15" customHeight="1">
      <c r="N30" s="13"/>
      <c r="Q30"/>
    </row>
    <row r="31" spans="3:17" ht="15" customHeight="1">
      <c r="N31" s="13"/>
      <c r="Q31"/>
    </row>
    <row r="32" spans="3:17" ht="15" customHeight="1">
      <c r="N32" s="13"/>
      <c r="Q32"/>
    </row>
    <row r="33" spans="14:17" ht="15" customHeight="1">
      <c r="N33" s="13"/>
      <c r="Q33"/>
    </row>
    <row r="34" spans="14:17" ht="15" customHeight="1">
      <c r="N34" s="13"/>
      <c r="Q34"/>
    </row>
    <row r="35" spans="14:17" ht="15" customHeight="1">
      <c r="N35" s="13"/>
      <c r="Q35"/>
    </row>
    <row r="36" spans="14:17" ht="15" customHeight="1">
      <c r="N36" s="13"/>
      <c r="Q36"/>
    </row>
    <row r="37" spans="14:17" ht="15" customHeight="1">
      <c r="N37" s="13"/>
      <c r="Q37"/>
    </row>
    <row r="38" spans="14:17" ht="15" customHeight="1">
      <c r="N38" s="13"/>
      <c r="Q38"/>
    </row>
    <row r="39" spans="14:17" ht="15" customHeight="1">
      <c r="N39" s="13"/>
      <c r="Q39"/>
    </row>
    <row r="40" spans="14:17" ht="15" customHeight="1">
      <c r="N40" s="13"/>
      <c r="Q40"/>
    </row>
    <row r="41" spans="14:17" ht="15" customHeight="1">
      <c r="N41" s="13"/>
      <c r="Q41"/>
    </row>
    <row r="42" spans="14:17" ht="15" customHeight="1">
      <c r="N42" s="13"/>
      <c r="Q42"/>
    </row>
    <row r="43" spans="14:17" ht="15" customHeight="1">
      <c r="N43" s="13"/>
      <c r="Q43"/>
    </row>
    <row r="44" spans="14:17" ht="15" customHeight="1">
      <c r="N44" s="13"/>
      <c r="Q44"/>
    </row>
    <row r="45" spans="14:17" ht="15" customHeight="1">
      <c r="N45" s="13"/>
      <c r="Q45"/>
    </row>
    <row r="46" spans="14:17" ht="15" customHeight="1">
      <c r="N46" s="13"/>
      <c r="Q46"/>
    </row>
    <row r="47" spans="14:17" ht="15" customHeight="1">
      <c r="N47" s="13"/>
      <c r="Q47"/>
    </row>
    <row r="48" spans="14:17" ht="15" customHeight="1">
      <c r="N48" s="13"/>
      <c r="Q48"/>
    </row>
    <row r="49" spans="14:17" ht="15" customHeight="1">
      <c r="N49" s="13"/>
      <c r="Q49"/>
    </row>
    <row r="50" spans="14:17" ht="15" customHeight="1">
      <c r="N50" s="13"/>
      <c r="Q50"/>
    </row>
    <row r="51" spans="14:17" ht="15" customHeight="1">
      <c r="N51" s="13"/>
      <c r="Q51"/>
    </row>
    <row r="52" spans="14:17" ht="15" customHeight="1">
      <c r="N52" s="13"/>
      <c r="Q52"/>
    </row>
    <row r="53" spans="14:17" ht="15" customHeight="1">
      <c r="N53" s="13"/>
      <c r="Q53"/>
    </row>
    <row r="54" spans="14:17" ht="15" customHeight="1">
      <c r="N54" s="13"/>
      <c r="Q54"/>
    </row>
    <row r="55" spans="14:17" ht="15" customHeight="1">
      <c r="N55" s="13"/>
      <c r="Q55"/>
    </row>
    <row r="56" spans="14:17" ht="15" customHeight="1">
      <c r="N56" s="13"/>
      <c r="Q56"/>
    </row>
    <row r="57" spans="14:17" ht="15" customHeight="1">
      <c r="N57" s="13"/>
      <c r="Q57"/>
    </row>
    <row r="58" spans="14:17" ht="15" customHeight="1">
      <c r="N58" s="13"/>
      <c r="Q58"/>
    </row>
    <row r="59" spans="14:17" ht="15" customHeight="1">
      <c r="N59" s="13"/>
      <c r="Q59"/>
    </row>
    <row r="60" spans="14:17" ht="15" customHeight="1">
      <c r="N60" s="13"/>
      <c r="Q60"/>
    </row>
    <row r="61" spans="14:17" ht="15" customHeight="1">
      <c r="N61" s="13"/>
      <c r="Q61"/>
    </row>
    <row r="62" spans="14:17" ht="15" customHeight="1">
      <c r="N62" s="13"/>
      <c r="Q62"/>
    </row>
    <row r="63" spans="14:17" ht="15" customHeight="1">
      <c r="N63" s="13"/>
      <c r="Q63"/>
    </row>
    <row r="64" spans="14:17" ht="15" customHeight="1">
      <c r="N64" s="13"/>
      <c r="Q64"/>
    </row>
    <row r="65" spans="14:17" ht="15" customHeight="1">
      <c r="N65" s="13"/>
      <c r="Q65"/>
    </row>
    <row r="66" spans="14:17" ht="15" customHeight="1">
      <c r="N66" s="13"/>
      <c r="Q66"/>
    </row>
    <row r="67" spans="14:17" ht="15" customHeight="1">
      <c r="N67" s="13"/>
      <c r="Q67"/>
    </row>
    <row r="68" spans="14:17" ht="15" customHeight="1">
      <c r="N68" s="13"/>
      <c r="Q68"/>
    </row>
    <row r="69" spans="14:17" ht="15" customHeight="1">
      <c r="N69" s="13"/>
      <c r="Q69"/>
    </row>
    <row r="70" spans="14:17" ht="15" customHeight="1">
      <c r="N70" s="13"/>
      <c r="Q70"/>
    </row>
    <row r="71" spans="14:17" ht="15" customHeight="1">
      <c r="N71" s="13"/>
      <c r="Q71"/>
    </row>
    <row r="72" spans="14:17" ht="15" customHeight="1">
      <c r="N72" s="13"/>
      <c r="Q72"/>
    </row>
    <row r="73" spans="14:17" ht="15" customHeight="1">
      <c r="N73" s="13"/>
      <c r="Q73"/>
    </row>
    <row r="74" spans="14:17" ht="15" customHeight="1">
      <c r="N74" s="13"/>
      <c r="Q74"/>
    </row>
    <row r="75" spans="14:17" ht="15" customHeight="1">
      <c r="N75" s="13"/>
      <c r="Q75"/>
    </row>
    <row r="76" spans="14:17" ht="15" customHeight="1">
      <c r="N76" s="13"/>
      <c r="Q76"/>
    </row>
    <row r="77" spans="14:17" ht="15" customHeight="1">
      <c r="N77" s="13"/>
      <c r="Q77"/>
    </row>
    <row r="78" spans="14:17" ht="15" customHeight="1">
      <c r="N78" s="13"/>
      <c r="Q78"/>
    </row>
    <row r="79" spans="14:17" ht="15" customHeight="1">
      <c r="N79" s="13"/>
      <c r="Q79"/>
    </row>
    <row r="80" spans="14:17" ht="15" customHeight="1">
      <c r="N80" s="13"/>
      <c r="Q80"/>
    </row>
    <row r="81" spans="14:17" ht="15" customHeight="1">
      <c r="N81" s="13"/>
      <c r="Q81"/>
    </row>
    <row r="82" spans="14:17" ht="15" customHeight="1">
      <c r="N82" s="13"/>
      <c r="Q82"/>
    </row>
    <row r="83" spans="14:17" ht="15" customHeight="1">
      <c r="N83" s="13"/>
      <c r="Q83"/>
    </row>
    <row r="84" spans="14:17" ht="15" customHeight="1">
      <c r="N84" s="13"/>
      <c r="Q84"/>
    </row>
    <row r="85" spans="14:17" ht="15" customHeight="1">
      <c r="N85" s="13"/>
      <c r="Q85"/>
    </row>
    <row r="86" spans="14:17" ht="15" customHeight="1">
      <c r="N86" s="13"/>
      <c r="Q86"/>
    </row>
    <row r="87" spans="14:17" ht="15" customHeight="1">
      <c r="N87" s="13"/>
      <c r="Q87"/>
    </row>
    <row r="88" spans="14:17" ht="15" customHeight="1">
      <c r="N88" s="13"/>
      <c r="Q88"/>
    </row>
    <row r="89" spans="14:17" ht="15" customHeight="1">
      <c r="N89" s="13"/>
      <c r="Q89"/>
    </row>
    <row r="90" spans="14:17" ht="15" customHeight="1">
      <c r="N90" s="13"/>
      <c r="Q90"/>
    </row>
    <row r="91" spans="14:17" ht="15" customHeight="1">
      <c r="N91" s="13"/>
      <c r="Q91"/>
    </row>
    <row r="92" spans="14:17" ht="15" customHeight="1">
      <c r="N92" s="13"/>
      <c r="Q92"/>
    </row>
    <row r="93" spans="14:17" ht="15" customHeight="1">
      <c r="N93" s="13"/>
      <c r="Q93"/>
    </row>
    <row r="94" spans="14:17" ht="15" customHeight="1">
      <c r="N94" s="13"/>
      <c r="Q94"/>
    </row>
    <row r="95" spans="14:17" ht="15" customHeight="1">
      <c r="N95" s="13"/>
      <c r="Q95"/>
    </row>
    <row r="96" spans="14:17" ht="15" customHeight="1">
      <c r="N96" s="13"/>
      <c r="Q96"/>
    </row>
    <row r="97" spans="14:17" ht="15" customHeight="1">
      <c r="N97" s="13"/>
      <c r="Q97"/>
    </row>
    <row r="98" spans="14:17" ht="15" customHeight="1">
      <c r="N98" s="13"/>
      <c r="Q98"/>
    </row>
    <row r="99" spans="14:17" ht="15" customHeight="1">
      <c r="N99" s="13"/>
      <c r="Q99"/>
    </row>
    <row r="100" spans="14:17" ht="15" customHeight="1">
      <c r="N100" s="13"/>
      <c r="Q100"/>
    </row>
    <row r="101" spans="14:17" ht="15" customHeight="1">
      <c r="N101" s="13"/>
      <c r="Q101"/>
    </row>
    <row r="102" spans="14:17" ht="15" customHeight="1">
      <c r="N102" s="13"/>
      <c r="Q102"/>
    </row>
    <row r="103" spans="14:17" ht="15" customHeight="1">
      <c r="N103" s="13"/>
      <c r="Q103"/>
    </row>
    <row r="104" spans="14:17" ht="15" customHeight="1">
      <c r="N104" s="13"/>
      <c r="Q104"/>
    </row>
    <row r="105" spans="14:17" ht="15" customHeight="1">
      <c r="N105" s="13"/>
      <c r="Q105"/>
    </row>
    <row r="106" spans="14:17" ht="15" customHeight="1">
      <c r="N106" s="13"/>
      <c r="Q106"/>
    </row>
    <row r="107" spans="14:17" ht="15" customHeight="1">
      <c r="N107" s="13"/>
      <c r="Q107"/>
    </row>
    <row r="108" spans="14:17" ht="15" customHeight="1">
      <c r="N108" s="13"/>
      <c r="Q108"/>
    </row>
    <row r="109" spans="14:17" ht="15" customHeight="1">
      <c r="N109" s="13"/>
      <c r="Q109"/>
    </row>
    <row r="110" spans="14:17" ht="15" customHeight="1">
      <c r="N110" s="13"/>
      <c r="Q110"/>
    </row>
    <row r="111" spans="14:17" ht="15" customHeight="1">
      <c r="N111" s="13"/>
      <c r="Q111"/>
    </row>
    <row r="112" spans="14:17" ht="15" customHeight="1">
      <c r="N112" s="13"/>
      <c r="Q112"/>
    </row>
    <row r="113" spans="14:17" ht="15" customHeight="1">
      <c r="N113" s="13"/>
      <c r="Q113"/>
    </row>
    <row r="114" spans="14:17" ht="15" customHeight="1">
      <c r="N114" s="13"/>
      <c r="Q114"/>
    </row>
    <row r="115" spans="14:17" ht="15" customHeight="1">
      <c r="N115" s="13"/>
      <c r="Q115"/>
    </row>
    <row r="116" spans="14:17" ht="15" customHeight="1">
      <c r="N116" s="13"/>
      <c r="Q116"/>
    </row>
    <row r="117" spans="14:17" ht="15" customHeight="1">
      <c r="N117" s="13"/>
      <c r="Q117"/>
    </row>
    <row r="118" spans="14:17" ht="15" customHeight="1">
      <c r="N118" s="13"/>
      <c r="Q118"/>
    </row>
    <row r="119" spans="14:17" ht="15" customHeight="1">
      <c r="N119" s="13"/>
      <c r="Q119"/>
    </row>
    <row r="120" spans="14:17" ht="15" customHeight="1">
      <c r="N120" s="13"/>
      <c r="Q120"/>
    </row>
    <row r="121" spans="14:17" ht="15" customHeight="1">
      <c r="N121" s="13"/>
      <c r="Q121"/>
    </row>
    <row r="122" spans="14:17" ht="15" customHeight="1">
      <c r="N122" s="13"/>
      <c r="Q122"/>
    </row>
    <row r="123" spans="14:17" ht="15" customHeight="1">
      <c r="N123" s="13"/>
      <c r="Q123"/>
    </row>
    <row r="124" spans="14:17" ht="15" customHeight="1">
      <c r="N124" s="13"/>
      <c r="Q124"/>
    </row>
    <row r="125" spans="14:17" ht="15" customHeight="1">
      <c r="N125" s="13"/>
      <c r="Q125"/>
    </row>
    <row r="126" spans="14:17" ht="15" customHeight="1">
      <c r="N126" s="13"/>
      <c r="Q126"/>
    </row>
    <row r="127" spans="14:17" ht="15" customHeight="1">
      <c r="N127" s="13"/>
      <c r="Q127"/>
    </row>
    <row r="128" spans="14:17" ht="15" customHeight="1">
      <c r="N128" s="13"/>
      <c r="Q128"/>
    </row>
    <row r="129" spans="14:17" ht="15" customHeight="1">
      <c r="N129" s="13"/>
      <c r="Q129"/>
    </row>
    <row r="130" spans="14:17" ht="15" customHeight="1">
      <c r="N130" s="13"/>
      <c r="Q130"/>
    </row>
    <row r="131" spans="14:17" ht="15" customHeight="1">
      <c r="N131" s="13"/>
      <c r="Q131"/>
    </row>
    <row r="132" spans="14:17" ht="15" customHeight="1">
      <c r="N132" s="13"/>
      <c r="Q132"/>
    </row>
    <row r="133" spans="14:17" ht="15" customHeight="1">
      <c r="N133" s="13"/>
      <c r="Q133"/>
    </row>
    <row r="134" spans="14:17" ht="15" customHeight="1">
      <c r="N134" s="13"/>
      <c r="Q134"/>
    </row>
    <row r="135" spans="14:17" ht="15" customHeight="1">
      <c r="N135" s="13"/>
      <c r="Q135"/>
    </row>
    <row r="136" spans="14:17" ht="15" customHeight="1">
      <c r="N136" s="13"/>
      <c r="Q136"/>
    </row>
    <row r="137" spans="14:17" ht="15" customHeight="1">
      <c r="N137" s="13"/>
      <c r="Q137"/>
    </row>
    <row r="138" spans="14:17" ht="15" customHeight="1">
      <c r="N138" s="13"/>
      <c r="Q138"/>
    </row>
    <row r="139" spans="14:17" ht="15" customHeight="1">
      <c r="N139" s="13"/>
      <c r="Q139"/>
    </row>
    <row r="140" spans="14:17" ht="15" customHeight="1">
      <c r="N140" s="13"/>
      <c r="Q140"/>
    </row>
    <row r="141" spans="14:17" ht="15" customHeight="1">
      <c r="N141" s="13"/>
      <c r="Q141"/>
    </row>
    <row r="142" spans="14:17" ht="15" customHeight="1">
      <c r="N142" s="13"/>
      <c r="Q142"/>
    </row>
    <row r="143" spans="14:17" ht="15" customHeight="1">
      <c r="N143" s="13"/>
      <c r="Q143"/>
    </row>
    <row r="144" spans="14:17" ht="15" customHeight="1">
      <c r="N144" s="13"/>
      <c r="Q144"/>
    </row>
    <row r="145" spans="14:17" ht="15" customHeight="1">
      <c r="N145" s="13"/>
      <c r="Q145"/>
    </row>
    <row r="146" spans="14:17" ht="15" customHeight="1">
      <c r="N146" s="13"/>
      <c r="Q146"/>
    </row>
    <row r="147" spans="14:17" ht="15" customHeight="1">
      <c r="N147" s="13"/>
      <c r="Q147"/>
    </row>
    <row r="148" spans="14:17" ht="15" customHeight="1">
      <c r="N148" s="13"/>
      <c r="Q148"/>
    </row>
    <row r="149" spans="14:17" ht="15" customHeight="1">
      <c r="N149" s="13"/>
      <c r="Q149"/>
    </row>
    <row r="150" spans="14:17" ht="15" customHeight="1">
      <c r="N150" s="13"/>
      <c r="Q150"/>
    </row>
    <row r="151" spans="14:17" ht="15" customHeight="1">
      <c r="N151" s="13"/>
      <c r="Q151"/>
    </row>
    <row r="152" spans="14:17" ht="15" customHeight="1">
      <c r="N152" s="13"/>
      <c r="Q152"/>
    </row>
    <row r="153" spans="14:17" ht="15" customHeight="1">
      <c r="N153" s="13"/>
      <c r="Q153"/>
    </row>
    <row r="154" spans="14:17" ht="15" customHeight="1">
      <c r="N154" s="13"/>
      <c r="Q154"/>
    </row>
    <row r="155" spans="14:17" ht="15" customHeight="1">
      <c r="N155" s="13"/>
      <c r="Q155"/>
    </row>
    <row r="156" spans="14:17" ht="15" customHeight="1">
      <c r="N156" s="13"/>
      <c r="Q156"/>
    </row>
    <row r="157" spans="14:17" ht="15" customHeight="1">
      <c r="N157" s="13"/>
      <c r="Q157"/>
    </row>
    <row r="158" spans="14:17" ht="15" customHeight="1">
      <c r="N158" s="13"/>
      <c r="Q158"/>
    </row>
    <row r="159" spans="14:17" ht="15" customHeight="1">
      <c r="N159" s="13"/>
      <c r="Q159"/>
    </row>
    <row r="160" spans="14:17" ht="15" customHeight="1">
      <c r="N160" s="13"/>
      <c r="Q160"/>
    </row>
    <row r="161" spans="14:17" ht="15" customHeight="1">
      <c r="N161" s="13"/>
      <c r="Q161"/>
    </row>
    <row r="162" spans="14:17" ht="15" customHeight="1">
      <c r="N162" s="13"/>
      <c r="Q162"/>
    </row>
    <row r="163" spans="14:17" ht="15" customHeight="1">
      <c r="N163" s="13"/>
      <c r="Q163"/>
    </row>
    <row r="164" spans="14:17" ht="15" customHeight="1">
      <c r="N164" s="13"/>
      <c r="Q164"/>
    </row>
    <row r="165" spans="14:17" ht="15" customHeight="1">
      <c r="N165" s="13"/>
      <c r="Q165"/>
    </row>
    <row r="166" spans="14:17" ht="15" customHeight="1">
      <c r="N166" s="13"/>
      <c r="Q166"/>
    </row>
    <row r="167" spans="14:17" ht="15" customHeight="1">
      <c r="N167" s="13"/>
      <c r="Q167"/>
    </row>
    <row r="168" spans="14:17" ht="15" customHeight="1">
      <c r="N168" s="13"/>
      <c r="Q168"/>
    </row>
    <row r="169" spans="14:17" ht="15" customHeight="1">
      <c r="N169" s="13"/>
      <c r="Q169"/>
    </row>
    <row r="170" spans="14:17" ht="15" customHeight="1">
      <c r="N170" s="13"/>
      <c r="Q170"/>
    </row>
    <row r="171" spans="14:17" ht="15" customHeight="1">
      <c r="N171" s="13"/>
      <c r="Q171"/>
    </row>
    <row r="172" spans="14:17" ht="15" customHeight="1">
      <c r="N172" s="13"/>
      <c r="Q172"/>
    </row>
    <row r="173" spans="14:17" ht="15" customHeight="1">
      <c r="N173" s="13"/>
      <c r="Q173"/>
    </row>
    <row r="174" spans="14:17" ht="15" customHeight="1">
      <c r="N174" s="13"/>
      <c r="Q174"/>
    </row>
    <row r="175" spans="14:17" ht="15" customHeight="1">
      <c r="N175" s="13"/>
      <c r="Q175"/>
    </row>
    <row r="176" spans="14:17" ht="15" customHeight="1">
      <c r="N176" s="13"/>
      <c r="Q176"/>
    </row>
    <row r="177" spans="14:17" ht="15" customHeight="1">
      <c r="N177" s="13"/>
      <c r="Q177"/>
    </row>
    <row r="178" spans="14:17" ht="15" customHeight="1">
      <c r="N178" s="13"/>
      <c r="Q178"/>
    </row>
    <row r="179" spans="14:17" ht="15" customHeight="1">
      <c r="N179" s="13"/>
      <c r="Q179"/>
    </row>
    <row r="180" spans="14:17" ht="15" customHeight="1">
      <c r="N180" s="13"/>
      <c r="Q180"/>
    </row>
    <row r="181" spans="14:17" ht="15" customHeight="1">
      <c r="N181" s="13"/>
      <c r="Q181"/>
    </row>
    <row r="182" spans="14:17" ht="15" customHeight="1">
      <c r="N182" s="13"/>
      <c r="Q182"/>
    </row>
    <row r="183" spans="14:17" ht="15" customHeight="1">
      <c r="N183" s="13"/>
      <c r="Q183"/>
    </row>
    <row r="184" spans="14:17" ht="15" customHeight="1">
      <c r="N184" s="13"/>
      <c r="Q184"/>
    </row>
    <row r="185" spans="14:17" ht="15" customHeight="1">
      <c r="N185" s="13"/>
      <c r="Q185"/>
    </row>
    <row r="186" spans="14:17" ht="15" customHeight="1">
      <c r="N186" s="13"/>
      <c r="Q186"/>
    </row>
    <row r="187" spans="14:17" ht="15" customHeight="1">
      <c r="N187" s="13"/>
      <c r="Q187"/>
    </row>
    <row r="188" spans="14:17" ht="15" customHeight="1">
      <c r="N188" s="13"/>
      <c r="Q188"/>
    </row>
    <row r="189" spans="14:17" ht="15" customHeight="1">
      <c r="N189" s="13"/>
      <c r="Q189"/>
    </row>
    <row r="190" spans="14:17" ht="15" customHeight="1">
      <c r="N190" s="13"/>
      <c r="Q190"/>
    </row>
    <row r="191" spans="14:17" ht="15" customHeight="1">
      <c r="N191" s="13"/>
      <c r="Q191"/>
    </row>
    <row r="192" spans="14:17" ht="15" customHeight="1">
      <c r="N192" s="13"/>
      <c r="Q192"/>
    </row>
    <row r="193" spans="14:17" ht="15" customHeight="1">
      <c r="N193" s="13"/>
      <c r="Q193"/>
    </row>
    <row r="194" spans="14:17" ht="15" customHeight="1">
      <c r="N194" s="13"/>
      <c r="Q194"/>
    </row>
    <row r="195" spans="14:17" ht="15" customHeight="1">
      <c r="N195" s="13"/>
      <c r="Q195"/>
    </row>
    <row r="196" spans="14:17" ht="15" customHeight="1">
      <c r="N196" s="13"/>
      <c r="Q196"/>
    </row>
    <row r="197" spans="14:17" ht="15" customHeight="1">
      <c r="N197" s="13"/>
      <c r="Q197"/>
    </row>
    <row r="198" spans="14:17" ht="15" customHeight="1">
      <c r="N198" s="13"/>
      <c r="Q198"/>
    </row>
    <row r="199" spans="14:17" ht="15" customHeight="1">
      <c r="N199" s="13"/>
      <c r="Q199"/>
    </row>
    <row r="200" spans="14:17" ht="15" customHeight="1">
      <c r="N200" s="13"/>
      <c r="Q200"/>
    </row>
    <row r="201" spans="14:17" ht="15" customHeight="1">
      <c r="N201" s="13"/>
      <c r="Q201"/>
    </row>
    <row r="202" spans="14:17" ht="15" customHeight="1">
      <c r="N202" s="13"/>
      <c r="Q202"/>
    </row>
    <row r="203" spans="14:17" ht="15" customHeight="1">
      <c r="N203" s="13"/>
      <c r="Q203"/>
    </row>
    <row r="204" spans="14:17" ht="15" customHeight="1">
      <c r="N204" s="13"/>
      <c r="Q204"/>
    </row>
    <row r="205" spans="14:17" ht="15" customHeight="1">
      <c r="N205" s="13"/>
      <c r="Q205"/>
    </row>
    <row r="206" spans="14:17" ht="15" customHeight="1">
      <c r="N206" s="13"/>
      <c r="Q206"/>
    </row>
    <row r="207" spans="14:17" ht="15" customHeight="1">
      <c r="N207" s="13"/>
      <c r="Q207"/>
    </row>
    <row r="208" spans="14:17" ht="15" customHeight="1">
      <c r="N208" s="13"/>
      <c r="Q208"/>
    </row>
    <row r="209" spans="14:17" ht="15" customHeight="1">
      <c r="N209" s="13"/>
      <c r="Q209"/>
    </row>
    <row r="210" spans="14:17" ht="15" customHeight="1">
      <c r="N210" s="13"/>
      <c r="Q210"/>
    </row>
    <row r="211" spans="14:17" ht="15" customHeight="1">
      <c r="N211" s="13"/>
      <c r="Q211"/>
    </row>
    <row r="212" spans="14:17" ht="15" customHeight="1">
      <c r="N212" s="13"/>
      <c r="Q212"/>
    </row>
    <row r="213" spans="14:17" ht="15" customHeight="1">
      <c r="N213" s="13"/>
      <c r="Q213"/>
    </row>
    <row r="214" spans="14:17" ht="15" customHeight="1">
      <c r="N214" s="13"/>
      <c r="Q214"/>
    </row>
    <row r="215" spans="14:17" ht="15" customHeight="1">
      <c r="N215" s="13"/>
      <c r="Q215"/>
    </row>
    <row r="216" spans="14:17" ht="15" customHeight="1">
      <c r="N216" s="13"/>
      <c r="Q216"/>
    </row>
    <row r="217" spans="14:17" ht="15" customHeight="1">
      <c r="N217" s="13"/>
      <c r="Q217"/>
    </row>
    <row r="218" spans="14:17" ht="15" customHeight="1">
      <c r="N218" s="13"/>
      <c r="Q218"/>
    </row>
    <row r="219" spans="14:17" ht="15" customHeight="1">
      <c r="N219" s="13"/>
      <c r="Q219"/>
    </row>
    <row r="220" spans="14:17" ht="15" customHeight="1">
      <c r="N220" s="13"/>
      <c r="Q220"/>
    </row>
    <row r="221" spans="14:17" ht="15" customHeight="1">
      <c r="N221" s="13"/>
      <c r="Q221"/>
    </row>
    <row r="222" spans="14:17" ht="15" customHeight="1">
      <c r="N222" s="13"/>
      <c r="Q222"/>
    </row>
    <row r="223" spans="14:17" ht="15" customHeight="1">
      <c r="N223" s="13"/>
      <c r="Q223"/>
    </row>
    <row r="224" spans="14:17" ht="15" customHeight="1">
      <c r="N224" s="13"/>
      <c r="Q224"/>
    </row>
    <row r="225" spans="14:17" ht="15" customHeight="1">
      <c r="N225" s="13"/>
      <c r="Q225"/>
    </row>
    <row r="226" spans="14:17" ht="15" customHeight="1">
      <c r="N226" s="13"/>
      <c r="Q226"/>
    </row>
    <row r="227" spans="14:17" ht="15" customHeight="1">
      <c r="N227" s="13"/>
      <c r="Q227"/>
    </row>
    <row r="228" spans="14:17" ht="15" customHeight="1">
      <c r="N228" s="13"/>
      <c r="Q228"/>
    </row>
    <row r="229" spans="14:17" ht="15" customHeight="1">
      <c r="N229" s="13"/>
      <c r="Q229"/>
    </row>
    <row r="230" spans="14:17" ht="15" customHeight="1">
      <c r="N230" s="13"/>
      <c r="Q230"/>
    </row>
    <row r="231" spans="14:17" ht="15" customHeight="1">
      <c r="N231" s="13"/>
      <c r="Q231"/>
    </row>
    <row r="232" spans="14:17" ht="15" customHeight="1">
      <c r="N232" s="13"/>
      <c r="Q232"/>
    </row>
    <row r="233" spans="14:17" ht="15" customHeight="1">
      <c r="N233" s="13"/>
      <c r="Q233"/>
    </row>
    <row r="234" spans="14:17" ht="15" customHeight="1">
      <c r="N234" s="13"/>
      <c r="Q234"/>
    </row>
    <row r="235" spans="14:17" ht="15" customHeight="1">
      <c r="N235" s="13"/>
      <c r="Q235"/>
    </row>
    <row r="236" spans="14:17" ht="15" customHeight="1">
      <c r="N236" s="13"/>
      <c r="Q236"/>
    </row>
    <row r="237" spans="14:17" ht="15" customHeight="1">
      <c r="N237" s="13"/>
      <c r="Q237"/>
    </row>
    <row r="238" spans="14:17" ht="15" customHeight="1">
      <c r="N238" s="13"/>
      <c r="Q238"/>
    </row>
    <row r="239" spans="14:17" ht="15" customHeight="1">
      <c r="N239" s="13"/>
      <c r="Q239"/>
    </row>
    <row r="240" spans="14:17" ht="15" customHeight="1">
      <c r="N240" s="13"/>
      <c r="Q240"/>
    </row>
    <row r="241" spans="14:17" ht="15" customHeight="1">
      <c r="N241" s="13"/>
      <c r="Q241"/>
    </row>
    <row r="242" spans="14:17" ht="15" customHeight="1">
      <c r="N242" s="13"/>
      <c r="Q242"/>
    </row>
    <row r="243" spans="14:17" ht="15" customHeight="1">
      <c r="N243" s="13"/>
      <c r="Q243"/>
    </row>
    <row r="244" spans="14:17" ht="15" customHeight="1">
      <c r="N244" s="13"/>
      <c r="Q244"/>
    </row>
    <row r="245" spans="14:17" ht="15" customHeight="1">
      <c r="N245" s="13"/>
      <c r="Q245"/>
    </row>
    <row r="246" spans="14:17" ht="15" customHeight="1">
      <c r="N246" s="13"/>
      <c r="Q246"/>
    </row>
    <row r="247" spans="14:17" ht="15" customHeight="1">
      <c r="N247" s="13"/>
      <c r="Q247"/>
    </row>
    <row r="248" spans="14:17" ht="15" customHeight="1">
      <c r="N248" s="13"/>
      <c r="Q248"/>
    </row>
    <row r="249" spans="14:17" ht="15" customHeight="1">
      <c r="N249" s="13"/>
      <c r="Q249"/>
    </row>
    <row r="250" spans="14:17" ht="15" customHeight="1">
      <c r="N250" s="13"/>
      <c r="Q250"/>
    </row>
    <row r="251" spans="14:17" ht="15" customHeight="1">
      <c r="N251" s="13"/>
      <c r="Q251"/>
    </row>
    <row r="252" spans="14:17" ht="15" customHeight="1">
      <c r="N252" s="13"/>
      <c r="Q252"/>
    </row>
    <row r="253" spans="14:17" ht="15" customHeight="1">
      <c r="N253" s="13"/>
      <c r="Q253"/>
    </row>
    <row r="254" spans="14:17" ht="15" customHeight="1">
      <c r="N254" s="13"/>
      <c r="Q254"/>
    </row>
    <row r="255" spans="14:17" ht="15" customHeight="1">
      <c r="N255" s="13"/>
      <c r="Q255"/>
    </row>
    <row r="256" spans="14:17" ht="15" customHeight="1">
      <c r="N256" s="13"/>
      <c r="Q256"/>
    </row>
    <row r="257" spans="14:17" ht="15" customHeight="1">
      <c r="N257" s="13"/>
      <c r="Q257"/>
    </row>
    <row r="258" spans="14:17" ht="15" customHeight="1">
      <c r="N258" s="13"/>
      <c r="Q258"/>
    </row>
    <row r="259" spans="14:17" ht="15" customHeight="1">
      <c r="N259" s="13"/>
      <c r="Q259"/>
    </row>
    <row r="260" spans="14:17" ht="15" customHeight="1">
      <c r="N260" s="13"/>
      <c r="Q260"/>
    </row>
    <row r="261" spans="14:17" ht="15" customHeight="1">
      <c r="N261" s="13"/>
      <c r="Q261"/>
    </row>
    <row r="262" spans="14:17" ht="15" customHeight="1">
      <c r="N262" s="13"/>
      <c r="Q262"/>
    </row>
    <row r="263" spans="14:17" ht="15" customHeight="1">
      <c r="N263" s="13"/>
      <c r="Q263"/>
    </row>
    <row r="264" spans="14:17" ht="15" customHeight="1">
      <c r="N264" s="13"/>
      <c r="Q264"/>
    </row>
    <row r="265" spans="14:17" ht="15" customHeight="1">
      <c r="N265" s="13"/>
      <c r="Q265"/>
    </row>
    <row r="266" spans="14:17" ht="15" customHeight="1">
      <c r="N266" s="13"/>
      <c r="Q266"/>
    </row>
    <row r="267" spans="14:17" ht="15" customHeight="1">
      <c r="N267" s="13"/>
      <c r="Q267"/>
    </row>
    <row r="268" spans="14:17" ht="15" customHeight="1">
      <c r="N268" s="13"/>
      <c r="Q268"/>
    </row>
    <row r="269" spans="14:17" ht="15" customHeight="1">
      <c r="N269" s="13"/>
      <c r="Q269"/>
    </row>
    <row r="270" spans="14:17" ht="15" customHeight="1">
      <c r="N270" s="13"/>
      <c r="Q270"/>
    </row>
    <row r="271" spans="14:17" ht="15" customHeight="1">
      <c r="N271" s="13"/>
      <c r="Q271"/>
    </row>
    <row r="272" spans="14:17" ht="15" customHeight="1">
      <c r="N272" s="13"/>
      <c r="Q272"/>
    </row>
    <row r="273" spans="14:17" ht="15" customHeight="1">
      <c r="N273" s="13"/>
      <c r="Q273"/>
    </row>
    <row r="274" spans="14:17" ht="15" customHeight="1">
      <c r="N274" s="13"/>
      <c r="Q274"/>
    </row>
    <row r="275" spans="14:17" ht="15" customHeight="1">
      <c r="N275" s="13"/>
      <c r="Q275"/>
    </row>
    <row r="276" spans="14:17" ht="15" customHeight="1">
      <c r="N276" s="13"/>
      <c r="Q276"/>
    </row>
    <row r="277" spans="14:17" ht="15" customHeight="1">
      <c r="N277" s="13"/>
      <c r="Q277"/>
    </row>
    <row r="278" spans="14:17" ht="15" customHeight="1">
      <c r="N278" s="13"/>
      <c r="Q278"/>
    </row>
    <row r="279" spans="14:17" ht="15" customHeight="1">
      <c r="N279" s="13"/>
      <c r="Q279"/>
    </row>
    <row r="280" spans="14:17" ht="15" customHeight="1">
      <c r="N280" s="13"/>
      <c r="Q280"/>
    </row>
    <row r="281" spans="14:17" ht="15" customHeight="1">
      <c r="N281" s="13"/>
      <c r="Q281"/>
    </row>
    <row r="282" spans="14:17" ht="15" customHeight="1"/>
    <row r="283" spans="14:17" ht="15" customHeight="1"/>
    <row r="284" spans="14:17" ht="15" customHeight="1"/>
    <row r="285" spans="14:17" ht="15" customHeight="1"/>
    <row r="286" spans="14:17" ht="15" customHeight="1"/>
    <row r="287" spans="14:17" ht="15" customHeight="1"/>
    <row r="288" spans="14:17"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row r="1366" ht="15" customHeight="1"/>
    <row r="1367" ht="15" customHeight="1"/>
    <row r="1368" ht="15" customHeight="1"/>
    <row r="1369" ht="15" customHeight="1"/>
    <row r="1370" ht="15" customHeight="1"/>
    <row r="1371" ht="15" customHeight="1"/>
    <row r="1372" ht="15" customHeight="1"/>
    <row r="1373" ht="15" customHeight="1"/>
    <row r="1374" ht="15" customHeight="1"/>
    <row r="1375" ht="15" customHeight="1"/>
    <row r="1376" ht="15" customHeight="1"/>
    <row r="1377" ht="15" customHeight="1"/>
    <row r="1378" ht="15" customHeight="1"/>
    <row r="1379" ht="15" customHeight="1"/>
    <row r="1380" ht="15" customHeight="1"/>
    <row r="1381" ht="15" customHeight="1"/>
    <row r="1382" ht="15" customHeight="1"/>
    <row r="1383" ht="15" customHeight="1"/>
    <row r="1384" ht="15" customHeight="1"/>
    <row r="1385" ht="15" customHeight="1"/>
    <row r="1386" ht="15" customHeight="1"/>
    <row r="1387" ht="15" customHeight="1"/>
    <row r="1388" ht="15" customHeight="1"/>
    <row r="1389" ht="15" customHeight="1"/>
    <row r="1390" ht="15" customHeight="1"/>
    <row r="1391" ht="15" customHeight="1"/>
    <row r="1392" ht="15" customHeight="1"/>
    <row r="1393" ht="15" customHeight="1"/>
    <row r="1394" ht="15" customHeight="1"/>
    <row r="1395" ht="15" customHeight="1"/>
    <row r="1396" ht="15" customHeight="1"/>
    <row r="1397" ht="15" customHeight="1"/>
    <row r="1398" ht="15" customHeight="1"/>
    <row r="1399" ht="15" customHeight="1"/>
    <row r="1400" ht="15" customHeight="1"/>
    <row r="1401" ht="15" customHeight="1"/>
    <row r="1402" ht="15" customHeight="1"/>
    <row r="1403" ht="15" customHeight="1"/>
    <row r="1404" ht="15" customHeight="1"/>
    <row r="1405" ht="15" customHeight="1"/>
    <row r="1406" ht="15" customHeight="1"/>
    <row r="1407" ht="15" customHeight="1"/>
    <row r="1408" ht="15" customHeight="1"/>
    <row r="1409" ht="15" customHeight="1"/>
    <row r="1410" ht="15" customHeight="1"/>
    <row r="1411" ht="15" customHeight="1"/>
    <row r="1412" ht="15" customHeight="1"/>
    <row r="1413" ht="15" customHeight="1"/>
    <row r="1414" ht="15" customHeight="1"/>
    <row r="1415" ht="15" customHeight="1"/>
    <row r="1416" ht="15" customHeight="1"/>
    <row r="1417" ht="15" customHeight="1"/>
    <row r="1418" ht="15" customHeight="1"/>
    <row r="1419" ht="15" customHeight="1"/>
    <row r="1420" ht="15" customHeight="1"/>
    <row r="1421" ht="15" customHeight="1"/>
    <row r="1422" ht="15" customHeight="1"/>
    <row r="1423" ht="15" customHeight="1"/>
    <row r="1424" ht="15" customHeight="1"/>
    <row r="1425" ht="15" customHeight="1"/>
    <row r="1426" ht="15" customHeight="1"/>
    <row r="1427" ht="15" customHeight="1"/>
    <row r="1428" ht="15" customHeight="1"/>
    <row r="1429" ht="15" customHeight="1"/>
    <row r="1430" ht="15" customHeight="1"/>
    <row r="1431" ht="15" customHeight="1"/>
    <row r="1432" ht="15" customHeight="1"/>
    <row r="1433" ht="15" customHeight="1"/>
    <row r="1434" ht="15" customHeight="1"/>
    <row r="1435" ht="15" customHeight="1"/>
    <row r="1436" ht="15" customHeight="1"/>
    <row r="1437" ht="15" customHeight="1"/>
    <row r="1438" ht="15" customHeight="1"/>
    <row r="1439" ht="15" customHeight="1"/>
    <row r="1440" ht="15" customHeight="1"/>
    <row r="1441" ht="15" customHeight="1"/>
    <row r="1442" ht="15" customHeight="1"/>
    <row r="1443" ht="15" customHeight="1"/>
    <row r="1444" ht="15" customHeight="1"/>
    <row r="1445" ht="15" customHeight="1"/>
    <row r="1446" ht="15" customHeight="1"/>
    <row r="1447" ht="15" customHeight="1"/>
    <row r="1448" ht="15" customHeight="1"/>
    <row r="1449" ht="15" customHeight="1"/>
    <row r="1450" ht="15" customHeight="1"/>
    <row r="1451" ht="15" customHeight="1"/>
    <row r="1452" ht="15" customHeight="1"/>
    <row r="1453" ht="15" customHeight="1"/>
    <row r="1454" ht="15" customHeight="1"/>
    <row r="1455" ht="15" customHeight="1"/>
    <row r="1456" ht="15" customHeight="1"/>
    <row r="1457" ht="15" customHeight="1"/>
    <row r="1458" ht="15" customHeight="1"/>
    <row r="1459" ht="15" customHeight="1"/>
    <row r="1460" ht="15" customHeight="1"/>
    <row r="1461" ht="15" customHeight="1"/>
    <row r="1462" ht="15" customHeight="1"/>
    <row r="1463" ht="15" customHeight="1"/>
    <row r="1464" ht="15" customHeight="1"/>
    <row r="1465" ht="15" customHeight="1"/>
    <row r="1466" ht="15" customHeight="1"/>
    <row r="1467" ht="15" customHeight="1"/>
    <row r="1468" ht="15" customHeight="1"/>
    <row r="1469" ht="15" customHeight="1"/>
    <row r="1470" ht="15" customHeight="1"/>
    <row r="1471" ht="15" customHeight="1"/>
    <row r="1472" ht="15" customHeight="1"/>
    <row r="1473" ht="15" customHeight="1"/>
    <row r="1474" ht="15" customHeight="1"/>
    <row r="1475" ht="15" customHeight="1"/>
    <row r="1476" ht="15" customHeight="1"/>
    <row r="1477" ht="15" customHeight="1"/>
    <row r="1478" ht="15" customHeight="1"/>
    <row r="1479" ht="15" customHeight="1"/>
    <row r="1480" ht="15" customHeight="1"/>
    <row r="1481" ht="15" customHeight="1"/>
    <row r="1482" ht="15" customHeight="1"/>
    <row r="1483" ht="15" customHeight="1"/>
    <row r="1484" ht="15" customHeight="1"/>
    <row r="1485" ht="15" customHeight="1"/>
    <row r="1486" ht="15" customHeight="1"/>
    <row r="1487" ht="15" customHeight="1"/>
    <row r="1488" ht="15" customHeight="1"/>
    <row r="1489" ht="15" customHeight="1"/>
    <row r="1490" ht="15" customHeight="1"/>
    <row r="1491" ht="15" customHeight="1"/>
    <row r="1492" ht="15" customHeight="1"/>
    <row r="1493" ht="15" customHeight="1"/>
    <row r="1494" ht="15" customHeight="1"/>
    <row r="1495" ht="15" customHeight="1"/>
    <row r="1496" ht="15" customHeight="1"/>
    <row r="1497" ht="15" customHeight="1"/>
    <row r="1498" ht="15" customHeight="1"/>
    <row r="1499" ht="15" customHeight="1"/>
    <row r="1500" ht="15" customHeight="1"/>
    <row r="1501" ht="15" customHeight="1"/>
    <row r="1502" ht="15" customHeight="1"/>
    <row r="1503" ht="15" customHeight="1"/>
    <row r="1504" ht="15" customHeight="1"/>
    <row r="1505" ht="15" customHeight="1"/>
    <row r="1506" ht="15" customHeight="1"/>
    <row r="1507" ht="15" customHeight="1"/>
    <row r="1508" ht="15" customHeight="1"/>
    <row r="1509" ht="15" customHeight="1"/>
    <row r="1510" ht="15" customHeight="1"/>
    <row r="1511" ht="15" customHeight="1"/>
    <row r="1512" ht="15" customHeight="1"/>
    <row r="1513" ht="15" customHeight="1"/>
    <row r="1514" ht="15" customHeight="1"/>
    <row r="1515" ht="15" customHeight="1"/>
    <row r="1516" ht="15" customHeight="1"/>
    <row r="1517" ht="15" customHeight="1"/>
    <row r="1518" ht="15" customHeight="1"/>
    <row r="1519" ht="15" customHeight="1"/>
    <row r="1520" ht="15" customHeight="1"/>
    <row r="1521" ht="15" customHeight="1"/>
    <row r="1522" ht="15" customHeight="1"/>
    <row r="1523" ht="15" customHeight="1"/>
    <row r="1524" ht="15" customHeight="1"/>
    <row r="1525" ht="15" customHeight="1"/>
    <row r="1526" ht="15" customHeight="1"/>
    <row r="1527" ht="15" customHeight="1"/>
    <row r="1528" ht="15" customHeight="1"/>
    <row r="1529" ht="15" customHeight="1"/>
    <row r="1530" ht="15" customHeight="1"/>
    <row r="1531" ht="15" customHeight="1"/>
    <row r="1532" ht="15" customHeight="1"/>
    <row r="1533" ht="15" customHeight="1"/>
    <row r="1534" ht="15" customHeight="1"/>
    <row r="1535" ht="15" customHeight="1"/>
    <row r="1536" ht="15" customHeight="1"/>
    <row r="1537" ht="15" customHeight="1"/>
    <row r="1538" ht="15" customHeight="1"/>
    <row r="1539" ht="15" customHeight="1"/>
    <row r="1540" ht="15" customHeight="1"/>
    <row r="1541" ht="15" customHeight="1"/>
    <row r="1542" ht="15" customHeight="1"/>
    <row r="1543" ht="15" customHeight="1"/>
    <row r="1544" ht="15" customHeight="1"/>
    <row r="1545" ht="15" customHeight="1"/>
    <row r="1546" ht="15" customHeight="1"/>
    <row r="1547" ht="15" customHeight="1"/>
    <row r="1548" ht="15" customHeight="1"/>
    <row r="1549" ht="15" customHeight="1"/>
    <row r="1550" ht="15" customHeight="1"/>
    <row r="1551" ht="15" customHeight="1"/>
    <row r="1552" ht="15" customHeight="1"/>
    <row r="1553" ht="15" customHeight="1"/>
    <row r="1554" ht="15" customHeight="1"/>
    <row r="1555" ht="15" customHeight="1"/>
    <row r="1556" ht="15" customHeight="1"/>
    <row r="1557" ht="15" customHeight="1"/>
    <row r="1558" ht="15" customHeight="1"/>
    <row r="1559" ht="15" customHeight="1"/>
    <row r="1560" ht="15" customHeight="1"/>
    <row r="1561" ht="15" customHeight="1"/>
    <row r="1562" ht="15" customHeight="1"/>
    <row r="1563" ht="15" customHeight="1"/>
    <row r="1564" ht="15" customHeight="1"/>
    <row r="1565" ht="15" customHeight="1"/>
    <row r="1566" ht="15" customHeight="1"/>
    <row r="1567" ht="15" customHeight="1"/>
    <row r="1568" ht="15" customHeight="1"/>
    <row r="1569" ht="15" customHeight="1"/>
    <row r="1570" ht="15" customHeight="1"/>
    <row r="1571" ht="15" customHeight="1"/>
    <row r="1572" ht="15" customHeight="1"/>
    <row r="1573" ht="15" customHeight="1"/>
    <row r="1574" ht="15" customHeight="1"/>
    <row r="1575" ht="15" customHeight="1"/>
    <row r="1576" ht="15" customHeight="1"/>
    <row r="1577" ht="15" customHeight="1"/>
    <row r="1578" ht="15" customHeight="1"/>
    <row r="1579" ht="15" customHeight="1"/>
    <row r="1580" ht="15" customHeight="1"/>
    <row r="1581" ht="15" customHeight="1"/>
    <row r="1582" ht="15" customHeight="1"/>
    <row r="1583" ht="15" customHeight="1"/>
    <row r="1584" ht="15" customHeight="1"/>
    <row r="1585" ht="15" customHeight="1"/>
    <row r="1586" ht="15" customHeight="1"/>
    <row r="1587" ht="15" customHeight="1"/>
    <row r="1588" ht="15" customHeight="1"/>
    <row r="1589" ht="15" customHeight="1"/>
    <row r="1590" ht="15" customHeight="1"/>
    <row r="1591" ht="15" customHeight="1"/>
    <row r="1592" ht="15" customHeight="1"/>
    <row r="1593" ht="15" customHeight="1"/>
    <row r="1594" ht="15" customHeight="1"/>
    <row r="1595" ht="15" customHeight="1"/>
    <row r="1596" ht="15" customHeight="1"/>
    <row r="1597" ht="15" customHeight="1"/>
    <row r="1598" ht="15" customHeight="1"/>
    <row r="1599" ht="15" customHeight="1"/>
    <row r="1600" ht="15" customHeight="1"/>
    <row r="1601" ht="15" customHeight="1"/>
    <row r="1602" ht="15" customHeight="1"/>
    <row r="1603" ht="15" customHeight="1"/>
    <row r="1604" ht="15" customHeight="1"/>
    <row r="1605" ht="15" customHeight="1"/>
    <row r="1606" ht="15" customHeight="1"/>
    <row r="1607" ht="15" customHeight="1"/>
    <row r="1608" ht="15" customHeight="1"/>
    <row r="1609" ht="15" customHeight="1"/>
    <row r="1610" ht="15" customHeight="1"/>
    <row r="1611" ht="15" customHeight="1"/>
    <row r="1612" ht="15" customHeight="1"/>
    <row r="1613" ht="15" customHeight="1"/>
    <row r="1614" ht="15" customHeight="1"/>
    <row r="1615" ht="15" customHeight="1"/>
    <row r="1616" ht="15" customHeight="1"/>
    <row r="1617" ht="15" customHeight="1"/>
    <row r="1618" ht="15" customHeight="1"/>
    <row r="1619" ht="15" customHeight="1"/>
    <row r="1620" ht="15" customHeight="1"/>
    <row r="1621" ht="15" customHeight="1"/>
    <row r="1622" ht="15" customHeight="1"/>
    <row r="1623" ht="15" customHeight="1"/>
    <row r="1624" ht="15" customHeight="1"/>
    <row r="1625" ht="15" customHeight="1"/>
    <row r="1626" ht="15" customHeight="1"/>
    <row r="1627" ht="15" customHeight="1"/>
    <row r="1628" ht="15" customHeight="1"/>
    <row r="1629" ht="15" customHeight="1"/>
    <row r="1630" ht="15" customHeight="1"/>
    <row r="1631" ht="15" customHeight="1"/>
    <row r="1632" ht="15" customHeight="1"/>
    <row r="1633" ht="15" customHeight="1"/>
    <row r="1634" ht="15" customHeight="1"/>
    <row r="1635" ht="15" customHeight="1"/>
    <row r="1636" ht="15" customHeight="1"/>
    <row r="1637" ht="15" customHeight="1"/>
    <row r="1638" ht="15" customHeight="1"/>
    <row r="1639" ht="15" customHeight="1"/>
    <row r="1640" ht="15" customHeight="1"/>
    <row r="1641" ht="15" customHeight="1"/>
    <row r="1642" ht="15" customHeight="1"/>
    <row r="1643" ht="15" customHeight="1"/>
    <row r="1644" ht="15" customHeight="1"/>
    <row r="1645" ht="15" customHeight="1"/>
    <row r="1646" ht="15" customHeight="1"/>
    <row r="1647" ht="15" customHeight="1"/>
    <row r="1648" ht="15" customHeight="1"/>
    <row r="1649" ht="15" customHeight="1"/>
    <row r="1650" ht="15" customHeight="1"/>
    <row r="1651" ht="15" customHeight="1"/>
    <row r="1652" ht="15" customHeight="1"/>
    <row r="1653" ht="15" customHeight="1"/>
    <row r="1654" ht="15" customHeight="1"/>
    <row r="1655" ht="15" customHeight="1"/>
    <row r="1656" ht="15" customHeight="1"/>
    <row r="1657" ht="15" customHeight="1"/>
    <row r="1658" ht="15" customHeight="1"/>
    <row r="1659" ht="15" customHeight="1"/>
    <row r="1660" ht="15" customHeight="1"/>
    <row r="1661" ht="15" customHeight="1"/>
    <row r="1662" ht="15" customHeight="1"/>
    <row r="1663" ht="15" customHeight="1"/>
    <row r="1664" ht="15" customHeight="1"/>
    <row r="1665" ht="15" customHeight="1"/>
    <row r="1666" ht="15" customHeight="1"/>
    <row r="1667" ht="15" customHeight="1"/>
    <row r="1668" ht="15" customHeight="1"/>
    <row r="1669" ht="15" customHeight="1"/>
    <row r="1670" ht="15" customHeight="1"/>
    <row r="1671" ht="15" customHeight="1"/>
    <row r="1672" ht="15" customHeight="1"/>
    <row r="1673" ht="15" customHeight="1"/>
    <row r="1674" ht="15" customHeight="1"/>
    <row r="1675" ht="15" customHeight="1"/>
    <row r="1676" ht="15" customHeight="1"/>
    <row r="1677" ht="15" customHeight="1"/>
    <row r="1678" ht="15" customHeight="1"/>
    <row r="1679" ht="15" customHeight="1"/>
    <row r="1680" ht="15" customHeight="1"/>
    <row r="1681" ht="15" customHeight="1"/>
    <row r="1682" ht="15" customHeight="1"/>
    <row r="1683" ht="15" customHeight="1"/>
    <row r="1684" ht="15" customHeight="1"/>
    <row r="1685" ht="15" customHeight="1"/>
    <row r="1686" ht="15" customHeight="1"/>
    <row r="1687" ht="15" customHeight="1"/>
    <row r="1688" ht="15" customHeight="1"/>
    <row r="1689" ht="15" customHeight="1"/>
    <row r="1690" ht="15" customHeight="1"/>
    <row r="1691" ht="15" customHeight="1"/>
    <row r="1692" ht="15" customHeight="1"/>
    <row r="1693" ht="15" customHeight="1"/>
    <row r="1694" ht="15" customHeight="1"/>
    <row r="1695" ht="15" customHeight="1"/>
    <row r="1696" ht="15" customHeight="1"/>
    <row r="1697" ht="15" customHeight="1"/>
    <row r="1698" ht="15" customHeight="1"/>
    <row r="1699" ht="15" customHeight="1"/>
    <row r="1700" ht="15" customHeight="1"/>
    <row r="1701" ht="15" customHeight="1"/>
    <row r="1702" ht="15" customHeight="1"/>
    <row r="1703" ht="15" customHeight="1"/>
    <row r="1704" ht="15" customHeight="1"/>
    <row r="1705" ht="15" customHeight="1"/>
    <row r="1706" ht="15" customHeight="1"/>
    <row r="1707" ht="15" customHeight="1"/>
    <row r="1708" ht="15" customHeight="1"/>
    <row r="1709" ht="15" customHeight="1"/>
    <row r="1710" ht="15" customHeight="1"/>
    <row r="1711" ht="15" customHeight="1"/>
    <row r="1712" ht="15" customHeight="1"/>
    <row r="1713" ht="15" customHeight="1"/>
    <row r="1714" ht="15" customHeight="1"/>
    <row r="1715" ht="15" customHeight="1"/>
    <row r="1716" ht="15" customHeight="1"/>
    <row r="1717" ht="15" customHeight="1"/>
    <row r="1718" ht="15" customHeight="1"/>
    <row r="1719" ht="15" customHeight="1"/>
    <row r="1720" ht="15" customHeight="1"/>
    <row r="1721" ht="15" customHeight="1"/>
    <row r="1722" ht="15" customHeight="1"/>
    <row r="1723" ht="15" customHeight="1"/>
    <row r="1724" ht="15" customHeight="1"/>
    <row r="1725" ht="15" customHeight="1"/>
    <row r="1726" ht="15" customHeight="1"/>
    <row r="1727" ht="15" customHeight="1"/>
    <row r="1728" ht="15" customHeight="1"/>
    <row r="1729" ht="15" customHeight="1"/>
    <row r="1730" ht="15" customHeight="1"/>
    <row r="1731" ht="15" customHeight="1"/>
    <row r="1732" ht="15" customHeight="1"/>
    <row r="1733" ht="15" customHeight="1"/>
    <row r="1734" ht="15" customHeight="1"/>
    <row r="1735" ht="15" customHeight="1"/>
    <row r="1736" ht="15" customHeight="1"/>
    <row r="1737" ht="15" customHeight="1"/>
    <row r="1738" ht="15" customHeight="1"/>
    <row r="1739" ht="15" customHeight="1"/>
    <row r="1740" ht="15" customHeight="1"/>
    <row r="1741" ht="15" customHeight="1"/>
    <row r="1742" ht="15" customHeight="1"/>
    <row r="1743" ht="15" customHeight="1"/>
    <row r="1744" ht="15" customHeight="1"/>
    <row r="1745" ht="15" customHeight="1"/>
    <row r="1746" ht="15" customHeight="1"/>
    <row r="1747" ht="15" customHeight="1"/>
    <row r="1748" ht="15" customHeight="1"/>
    <row r="1749" ht="15" customHeight="1"/>
    <row r="1750" ht="15" customHeight="1"/>
    <row r="1751" ht="15" customHeight="1"/>
    <row r="1752" ht="15" customHeight="1"/>
    <row r="1753" ht="15" customHeight="1"/>
    <row r="1754" ht="15" customHeight="1"/>
    <row r="1755" ht="15" customHeight="1"/>
    <row r="1756" ht="15" customHeight="1"/>
    <row r="1757" ht="15" customHeight="1"/>
    <row r="1758" ht="15" customHeight="1"/>
    <row r="1759" ht="15" customHeight="1"/>
    <row r="1760" ht="15" customHeight="1"/>
    <row r="1761" ht="15" customHeight="1"/>
    <row r="1762" ht="15" customHeight="1"/>
    <row r="1763" ht="15" customHeight="1"/>
    <row r="1764" ht="15" customHeight="1"/>
    <row r="1765" ht="15" customHeight="1"/>
    <row r="1766" ht="15" customHeight="1"/>
    <row r="1767" ht="15" customHeight="1"/>
    <row r="1768" ht="15" customHeight="1"/>
    <row r="1769" ht="15" customHeight="1"/>
    <row r="1770" ht="15" customHeight="1"/>
    <row r="1771" ht="15" customHeight="1"/>
    <row r="1772" ht="15" customHeight="1"/>
    <row r="1773" ht="15" customHeight="1"/>
    <row r="1774" ht="15" customHeight="1"/>
    <row r="1775" ht="15" customHeight="1"/>
    <row r="1776" ht="15" customHeight="1"/>
    <row r="1777" ht="15" customHeight="1"/>
    <row r="1778" ht="15" customHeight="1"/>
    <row r="1779" ht="15" customHeight="1"/>
    <row r="1780" ht="15" customHeight="1"/>
    <row r="1781" ht="15" customHeight="1"/>
    <row r="1782" ht="15" customHeight="1"/>
    <row r="1783" ht="15" customHeight="1"/>
    <row r="1784" ht="15" customHeight="1"/>
    <row r="1785" ht="15" customHeight="1"/>
    <row r="1786" ht="15" customHeight="1"/>
    <row r="1787" ht="15" customHeight="1"/>
    <row r="1788" ht="15" customHeight="1"/>
    <row r="1789" ht="15" customHeight="1"/>
    <row r="1790" ht="15" customHeight="1"/>
    <row r="1791" ht="15" customHeight="1"/>
    <row r="1792" ht="15" customHeight="1"/>
    <row r="1793" ht="15" customHeight="1"/>
    <row r="1794" ht="15" customHeight="1"/>
    <row r="1795" ht="15" customHeight="1"/>
    <row r="1796" ht="15" customHeight="1"/>
    <row r="1797" ht="15" customHeight="1"/>
    <row r="1798" ht="15" customHeight="1"/>
    <row r="1799" ht="15" customHeight="1"/>
    <row r="1800" ht="15" customHeight="1"/>
    <row r="1801" ht="15" customHeight="1"/>
    <row r="1802" ht="15" customHeight="1"/>
    <row r="1803" ht="15" customHeight="1"/>
    <row r="1804" ht="15" customHeight="1"/>
    <row r="1805" ht="15" customHeight="1"/>
    <row r="1806" ht="15" customHeight="1"/>
    <row r="1807" ht="15" customHeight="1"/>
    <row r="1808" ht="15" customHeight="1"/>
    <row r="1809" ht="15" customHeight="1"/>
    <row r="1810" ht="15" customHeight="1"/>
    <row r="1811" ht="15" customHeight="1"/>
    <row r="1812" ht="15" customHeight="1"/>
    <row r="1813" ht="15" customHeight="1"/>
    <row r="1814" ht="15" customHeight="1"/>
    <row r="1815" ht="15" customHeight="1"/>
    <row r="1816" ht="15" customHeight="1"/>
    <row r="1817" ht="15" customHeight="1"/>
    <row r="1818" ht="15" customHeight="1"/>
    <row r="1819" ht="15" customHeight="1"/>
    <row r="1820" ht="15" customHeight="1"/>
    <row r="1821" ht="15" customHeight="1"/>
    <row r="1822" ht="15" customHeight="1"/>
    <row r="1823" ht="15" customHeight="1"/>
    <row r="1824" ht="15" customHeight="1"/>
    <row r="1825" ht="15" customHeight="1"/>
    <row r="1826" ht="15" customHeight="1"/>
    <row r="1827" ht="15" customHeight="1"/>
    <row r="1828" ht="15" customHeight="1"/>
    <row r="1829" ht="15" customHeight="1"/>
    <row r="1830" ht="15" customHeight="1"/>
    <row r="1831" ht="15" customHeight="1"/>
    <row r="1832" ht="15" customHeight="1"/>
    <row r="1833" ht="15" customHeight="1"/>
    <row r="1834" ht="15" customHeight="1"/>
    <row r="1835" ht="15" customHeight="1"/>
    <row r="1836" ht="15" customHeight="1"/>
    <row r="1837" ht="15" customHeight="1"/>
    <row r="1838" ht="15" customHeight="1"/>
    <row r="1839" ht="15" customHeight="1"/>
    <row r="1840" ht="15" customHeight="1"/>
    <row r="1841" ht="15" customHeight="1"/>
    <row r="1842" ht="15" customHeight="1"/>
    <row r="1843" ht="15" customHeight="1"/>
    <row r="1844" ht="15" customHeight="1"/>
    <row r="1845" ht="15" customHeight="1"/>
    <row r="1846" ht="15" customHeight="1"/>
    <row r="1847" ht="15" customHeight="1"/>
    <row r="1848" ht="15" customHeight="1"/>
    <row r="1849" ht="15" customHeight="1"/>
    <row r="1850" ht="15" customHeight="1"/>
    <row r="1851" ht="15" customHeight="1"/>
    <row r="1852" ht="15" customHeight="1"/>
    <row r="1853" ht="15" customHeight="1"/>
    <row r="1854" ht="15" customHeight="1"/>
    <row r="1855" ht="15" customHeight="1"/>
    <row r="1856" ht="15" customHeight="1"/>
    <row r="1857" ht="15" customHeight="1"/>
    <row r="1858" ht="15" customHeight="1"/>
    <row r="1859" ht="15" customHeight="1"/>
    <row r="1860" ht="15" customHeight="1"/>
    <row r="1861" ht="15" customHeight="1"/>
    <row r="1862" ht="15" customHeight="1"/>
    <row r="1863" ht="15" customHeight="1"/>
    <row r="1864" ht="15" customHeight="1"/>
    <row r="1865" ht="15" customHeight="1"/>
    <row r="1866" ht="15" customHeight="1"/>
    <row r="1867" ht="15" customHeight="1"/>
    <row r="1868" ht="15" customHeight="1"/>
    <row r="1869" ht="15" customHeight="1"/>
    <row r="1870" ht="15" customHeight="1"/>
    <row r="1871" ht="15" customHeight="1"/>
    <row r="1872" ht="15" customHeight="1"/>
    <row r="1873" ht="15" customHeight="1"/>
    <row r="1874" ht="15" customHeight="1"/>
    <row r="1875" ht="15" customHeight="1"/>
    <row r="1876" ht="15" customHeight="1"/>
    <row r="1877" ht="15" customHeight="1"/>
    <row r="1878" ht="15" customHeight="1"/>
    <row r="1879" ht="15" customHeight="1"/>
    <row r="1880" ht="15" customHeight="1"/>
    <row r="1881" ht="15" customHeight="1"/>
    <row r="1882" ht="15" customHeight="1"/>
    <row r="1883" ht="15" customHeight="1"/>
    <row r="1884" ht="15" customHeight="1"/>
    <row r="1885" ht="15" customHeight="1"/>
    <row r="1886" ht="15" customHeight="1"/>
    <row r="1887" ht="15" customHeight="1"/>
    <row r="1888" ht="15" customHeight="1"/>
    <row r="1889" ht="15" customHeight="1"/>
    <row r="1890" ht="15" customHeight="1"/>
    <row r="1891" ht="15" customHeight="1"/>
    <row r="1892" ht="15" customHeight="1"/>
    <row r="1893" ht="15" customHeight="1"/>
    <row r="1894" ht="15" customHeight="1"/>
    <row r="1895" ht="15" customHeight="1"/>
    <row r="1896" ht="15" customHeight="1"/>
    <row r="1897" ht="15" customHeight="1"/>
    <row r="1898" ht="15" customHeight="1"/>
    <row r="1899" ht="15" customHeight="1"/>
    <row r="1900" ht="15" customHeight="1"/>
    <row r="1901" ht="15" customHeight="1"/>
    <row r="1902" ht="15" customHeight="1"/>
    <row r="1903" ht="15" customHeight="1"/>
    <row r="1904" ht="15" customHeight="1"/>
    <row r="1905" ht="15" customHeight="1"/>
    <row r="1906" ht="15" customHeight="1"/>
    <row r="1907" ht="15" customHeight="1"/>
    <row r="1908" ht="15" customHeight="1"/>
    <row r="1909" ht="15" customHeight="1"/>
    <row r="1910" ht="15" customHeight="1"/>
    <row r="1911" ht="15" customHeight="1"/>
    <row r="1912" ht="15" customHeight="1"/>
    <row r="1913" ht="15" customHeight="1"/>
    <row r="1914" ht="15" customHeight="1"/>
    <row r="1915" ht="15" customHeight="1"/>
    <row r="1916" ht="15" customHeight="1"/>
    <row r="1917" ht="15" customHeight="1"/>
    <row r="1918" ht="15" customHeight="1"/>
    <row r="1919" ht="15" customHeight="1"/>
    <row r="1920" ht="15" customHeight="1"/>
    <row r="1921" ht="15" customHeight="1"/>
    <row r="1922" ht="15" customHeight="1"/>
    <row r="1923" ht="15" customHeight="1"/>
    <row r="1924" ht="15" customHeight="1"/>
    <row r="1925" ht="15" customHeight="1"/>
    <row r="1926" ht="15" customHeight="1"/>
    <row r="1927" ht="15" customHeight="1"/>
    <row r="1928" ht="15" customHeight="1"/>
    <row r="1929" ht="15" customHeight="1"/>
    <row r="1930" ht="15" customHeight="1"/>
    <row r="1931" ht="15" customHeight="1"/>
    <row r="1932" ht="15" customHeight="1"/>
    <row r="1933" ht="15" customHeight="1"/>
    <row r="1934" ht="15" customHeight="1"/>
    <row r="1935" ht="15" customHeight="1"/>
    <row r="1936" ht="15" customHeight="1"/>
    <row r="1937" ht="15" customHeight="1"/>
    <row r="1938" ht="15" customHeight="1"/>
    <row r="1939" ht="15" customHeight="1"/>
    <row r="1940" ht="15" customHeight="1"/>
    <row r="1941" ht="15" customHeight="1"/>
    <row r="1942" ht="15" customHeight="1"/>
    <row r="1943" ht="15" customHeight="1"/>
    <row r="1944" ht="15" customHeight="1"/>
    <row r="1945" ht="15" customHeight="1"/>
    <row r="1946" ht="15" customHeight="1"/>
    <row r="1947" ht="15" customHeight="1"/>
    <row r="1948" ht="15" customHeight="1"/>
    <row r="1949" ht="15" customHeight="1"/>
    <row r="1950" ht="15" customHeight="1"/>
    <row r="1951" ht="15" customHeight="1"/>
    <row r="1952" ht="15" customHeight="1"/>
    <row r="1953" ht="15" customHeight="1"/>
    <row r="1954" ht="15" customHeight="1"/>
    <row r="1955" ht="15" customHeight="1"/>
    <row r="1956" ht="15" customHeight="1"/>
    <row r="1957" ht="15" customHeight="1"/>
    <row r="1958" ht="15" customHeight="1"/>
    <row r="1959" ht="15" customHeight="1"/>
    <row r="1960" ht="15" customHeight="1"/>
    <row r="1961" ht="15" customHeight="1"/>
    <row r="1962" ht="15" customHeight="1"/>
    <row r="1963" ht="15" customHeight="1"/>
    <row r="1964" ht="15" customHeight="1"/>
    <row r="1965" ht="15" customHeight="1"/>
    <row r="1966" ht="15" customHeight="1"/>
    <row r="1967" ht="15" customHeight="1"/>
    <row r="1968" ht="15" customHeight="1"/>
    <row r="1969" ht="15" customHeight="1"/>
    <row r="1970" ht="15" customHeight="1"/>
    <row r="1971" ht="15" customHeight="1"/>
    <row r="1972" ht="15" customHeight="1"/>
    <row r="1973" ht="15" customHeight="1"/>
    <row r="1974" ht="15" customHeight="1"/>
    <row r="1975" ht="15" customHeight="1"/>
    <row r="1976" ht="15" customHeight="1"/>
    <row r="1977" ht="15" customHeight="1"/>
    <row r="1978" ht="15" customHeight="1"/>
    <row r="1979" ht="15" customHeight="1"/>
    <row r="1980" ht="15" customHeight="1"/>
    <row r="1981" ht="15" customHeight="1"/>
    <row r="1982" ht="15" customHeight="1"/>
    <row r="1983" ht="15" customHeight="1"/>
    <row r="1984" ht="15" customHeight="1"/>
    <row r="1985" ht="15" customHeight="1"/>
    <row r="1986" ht="15" customHeight="1"/>
    <row r="1987" ht="15" customHeight="1"/>
    <row r="1988" ht="15" customHeight="1"/>
    <row r="1989" ht="15" customHeight="1"/>
    <row r="1990" ht="15" customHeight="1"/>
    <row r="1991" ht="15" customHeight="1"/>
    <row r="1992" ht="15" customHeight="1"/>
    <row r="1993" ht="15" customHeight="1"/>
    <row r="1994" ht="15" customHeight="1"/>
    <row r="1995" ht="15" customHeight="1"/>
    <row r="1996" ht="15" customHeight="1"/>
    <row r="1997" ht="15" customHeight="1"/>
    <row r="1998" ht="15" customHeight="1"/>
    <row r="1999" ht="15" customHeight="1"/>
    <row r="2000" ht="15" customHeight="1"/>
    <row r="2001" ht="15" customHeight="1"/>
    <row r="2002" ht="15" customHeight="1"/>
    <row r="2003" ht="15" customHeight="1"/>
    <row r="2004" ht="15" customHeight="1"/>
    <row r="2005" ht="15" customHeight="1"/>
    <row r="2006" ht="15" customHeight="1"/>
    <row r="2007" ht="15" customHeight="1"/>
    <row r="2008" ht="15" customHeight="1"/>
    <row r="2009" ht="15" customHeight="1"/>
    <row r="2010" ht="15" customHeight="1"/>
    <row r="2011" ht="15" customHeight="1"/>
    <row r="2012" ht="15" customHeight="1"/>
    <row r="2013" ht="15" customHeight="1"/>
    <row r="2014" ht="15" customHeight="1"/>
    <row r="2015" ht="15" customHeight="1"/>
    <row r="2016" ht="15" customHeight="1"/>
    <row r="2017" ht="15" customHeight="1"/>
    <row r="2018" ht="15" customHeight="1"/>
    <row r="2019" ht="15" customHeight="1"/>
    <row r="2020" ht="15" customHeight="1"/>
    <row r="2021" ht="15" customHeight="1"/>
    <row r="2022" ht="15" customHeight="1"/>
    <row r="2023" ht="15" customHeight="1"/>
    <row r="2024" ht="15" customHeight="1"/>
    <row r="2025" ht="15" customHeight="1"/>
    <row r="2026" ht="15" customHeight="1"/>
    <row r="2027" ht="15" customHeight="1"/>
    <row r="2028" ht="15" customHeight="1"/>
    <row r="2029" ht="15" customHeight="1"/>
    <row r="2030" ht="15" customHeight="1"/>
    <row r="2031" ht="15" customHeight="1"/>
    <row r="2032" ht="15" customHeight="1"/>
    <row r="2033" ht="15" customHeight="1"/>
    <row r="2034" ht="15" customHeight="1"/>
    <row r="2035" ht="15" customHeight="1"/>
    <row r="2036" ht="15" customHeight="1"/>
    <row r="2037" ht="15" customHeight="1"/>
    <row r="2038" ht="15" customHeight="1"/>
    <row r="2039" ht="15" customHeight="1"/>
    <row r="2040" ht="15" customHeight="1"/>
    <row r="2041" ht="15" customHeight="1"/>
    <row r="2042" ht="15" customHeight="1"/>
    <row r="2043" ht="15" customHeight="1"/>
    <row r="2044" ht="15" customHeight="1"/>
    <row r="2045" ht="15" customHeight="1"/>
    <row r="2046" ht="15" customHeight="1"/>
    <row r="2047" ht="15" customHeight="1"/>
    <row r="2048" ht="15" customHeight="1"/>
    <row r="2049" ht="15" customHeight="1"/>
    <row r="2050" ht="15" customHeight="1"/>
    <row r="2051" ht="15" customHeight="1"/>
    <row r="2052" ht="15" customHeight="1"/>
    <row r="2053" ht="15" customHeight="1"/>
    <row r="2054" ht="15" customHeight="1"/>
    <row r="2055" ht="15" customHeight="1"/>
    <row r="2056" ht="15" customHeight="1"/>
    <row r="2057" ht="15" customHeight="1"/>
    <row r="2058" ht="15" customHeight="1"/>
    <row r="2059" ht="15" customHeight="1"/>
    <row r="2060" ht="15" customHeight="1"/>
    <row r="2061" ht="15" customHeight="1"/>
    <row r="2062" ht="15" customHeight="1"/>
    <row r="2063" ht="15" customHeight="1"/>
    <row r="2064" ht="15" customHeight="1"/>
    <row r="2065" ht="15" customHeight="1"/>
    <row r="2066" ht="15" customHeight="1"/>
    <row r="2067" ht="15" customHeight="1"/>
    <row r="2068" ht="15" customHeight="1"/>
    <row r="2069" ht="15" customHeight="1"/>
    <row r="2070" ht="15" customHeight="1"/>
    <row r="2071" ht="15" customHeight="1"/>
    <row r="2072" ht="15" customHeight="1"/>
    <row r="2073" ht="15" customHeight="1"/>
    <row r="2074" ht="15" customHeight="1"/>
    <row r="2075" ht="15" customHeight="1"/>
    <row r="2076" ht="15" customHeight="1"/>
    <row r="2077" ht="15" customHeight="1"/>
    <row r="2078" ht="15" customHeight="1"/>
    <row r="2079" ht="15" customHeight="1"/>
    <row r="2080" ht="15" customHeight="1"/>
    <row r="2081" ht="15" customHeight="1"/>
    <row r="2082" ht="15" customHeight="1"/>
    <row r="2083" ht="15" customHeight="1"/>
    <row r="2084" ht="15" customHeight="1"/>
    <row r="2085" ht="15" customHeight="1"/>
    <row r="2086" ht="15" customHeight="1"/>
    <row r="2087" ht="15" customHeight="1"/>
    <row r="2088" ht="15" customHeight="1"/>
    <row r="2089" ht="15" customHeight="1"/>
    <row r="2090" ht="15" customHeight="1"/>
    <row r="2091" ht="15" customHeight="1"/>
    <row r="2092" ht="15" customHeight="1"/>
    <row r="2093" ht="15" customHeight="1"/>
    <row r="2094" ht="15" customHeight="1"/>
    <row r="2095" ht="15" customHeight="1"/>
    <row r="2096" ht="15" customHeight="1"/>
    <row r="2097" ht="15" customHeight="1"/>
    <row r="2098" ht="15" customHeight="1"/>
    <row r="2099" ht="15" customHeight="1"/>
    <row r="2100" ht="15" customHeight="1"/>
    <row r="2101" ht="15" customHeight="1"/>
    <row r="2102" ht="15" customHeight="1"/>
    <row r="2103" ht="15" customHeight="1"/>
    <row r="2104" ht="15" customHeight="1"/>
    <row r="2105" ht="15" customHeight="1"/>
    <row r="2106" ht="15" customHeight="1"/>
    <row r="2107" ht="15" customHeight="1"/>
    <row r="2108" ht="15" customHeight="1"/>
    <row r="2109" ht="15" customHeight="1"/>
    <row r="2110" ht="15" customHeight="1"/>
    <row r="2111" ht="15" customHeight="1"/>
    <row r="2112" ht="15" customHeight="1"/>
    <row r="2113" ht="15" customHeight="1"/>
    <row r="2114" ht="15" customHeight="1"/>
    <row r="2115" ht="15" customHeight="1"/>
    <row r="2116" ht="15" customHeight="1"/>
    <row r="2117" ht="15" customHeight="1"/>
    <row r="2118" ht="15" customHeight="1"/>
    <row r="2119" ht="15" customHeight="1"/>
    <row r="2120" ht="15" customHeight="1"/>
    <row r="2121" ht="15" customHeight="1"/>
    <row r="2122" ht="15" customHeight="1"/>
    <row r="2123" ht="15" customHeight="1"/>
    <row r="2124" ht="15" customHeight="1"/>
    <row r="2125" ht="15" customHeight="1"/>
    <row r="2126" ht="15" customHeight="1"/>
    <row r="2127" ht="15" customHeight="1"/>
    <row r="2128" ht="15" customHeight="1"/>
    <row r="2129" ht="15" customHeight="1"/>
    <row r="2130" ht="15" customHeight="1"/>
    <row r="2131" ht="15" customHeight="1"/>
    <row r="2132" ht="15" customHeight="1"/>
    <row r="2133" ht="15" customHeight="1"/>
    <row r="2134" ht="15" customHeight="1"/>
  </sheetData>
  <sheetProtection selectLockedCells="1"/>
  <mergeCells count="3">
    <mergeCell ref="D5:F5"/>
    <mergeCell ref="D7:F7"/>
    <mergeCell ref="C13:E13"/>
  </mergeCells>
  <dataValidations count="2">
    <dataValidation allowBlank="1" showInputMessage="1" showErrorMessage="1" promptTitle="Analisis detallado leasing" prompt="1.- -Seleccionar empresa en &quot;BASE DATOS LEASING&quot;_x000a_2.- Boton base de datos" sqref="C20" xr:uid="{00000000-0002-0000-0F00-000000000000}"/>
    <dataValidation type="list" allowBlank="1" showInputMessage="1" showErrorMessage="1" sqref="G16:G18" xr:uid="{00000000-0002-0000-0F00-000001000000}">
      <formula1>#REF!</formula1>
    </dataValidation>
  </dataValidations>
  <printOptions horizontalCentered="1"/>
  <pageMargins left="0.23622047244094491" right="0.23622047244094491" top="0.55118110236220474" bottom="0.35433070866141736" header="0.31496062992125984" footer="0.31496062992125984"/>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basedatosleasing">
                <anchor moveWithCells="1" sizeWithCells="1">
                  <from>
                    <xdr:col>2</xdr:col>
                    <xdr:colOff>2133600</xdr:colOff>
                    <xdr:row>8</xdr:row>
                    <xdr:rowOff>38100</xdr:rowOff>
                  </from>
                  <to>
                    <xdr:col>3</xdr:col>
                    <xdr:colOff>0</xdr:colOff>
                    <xdr:row>10</xdr:row>
                    <xdr:rowOff>83820</xdr:rowOff>
                  </to>
                </anchor>
              </controlPr>
            </control>
          </mc:Choice>
        </mc:AlternateContent>
        <mc:AlternateContent xmlns:mc="http://schemas.openxmlformats.org/markup-compatibility/2006">
          <mc:Choice Requires="x14">
            <control shapeId="20483" r:id="rId5" name="Button 3">
              <controlPr defaultSize="0" print="0" autoFill="0" autoPict="0" macro="[0]!basedatosleasing">
                <anchor moveWithCells="1" sizeWithCells="1">
                  <from>
                    <xdr:col>2</xdr:col>
                    <xdr:colOff>2133600</xdr:colOff>
                    <xdr:row>8</xdr:row>
                    <xdr:rowOff>38100</xdr:rowOff>
                  </from>
                  <to>
                    <xdr:col>3</xdr:col>
                    <xdr:colOff>0</xdr:colOff>
                    <xdr:row>10</xdr:row>
                    <xdr:rowOff>83820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5">
    <pageSetUpPr autoPageBreaks="0" fitToPage="1"/>
  </sheetPr>
  <dimension ref="A1:AB25"/>
  <sheetViews>
    <sheetView showGridLines="0" showRowColHeaders="0" zoomScaleSheetLayoutView="85" zoomScalePageLayoutView="55" workbookViewId="0">
      <pane xSplit="3" ySplit="15" topLeftCell="D16" activePane="bottomRight" state="frozen"/>
      <selection activeCell="G9" sqref="G9"/>
      <selection pane="topRight" activeCell="G9" sqref="G9"/>
      <selection pane="bottomLeft" activeCell="G9" sqref="G9"/>
      <selection pane="bottomRight" activeCell="G9" sqref="G9"/>
    </sheetView>
  </sheetViews>
  <sheetFormatPr baseColWidth="10" defaultColWidth="0" defaultRowHeight="15" customHeight="1" zeroHeight="1" outlineLevelRow="1"/>
  <cols>
    <col min="1" max="2" width="2" customWidth="1"/>
    <col min="3" max="3" width="57" bestFit="1" customWidth="1"/>
    <col min="4" max="4" width="21.44140625" customWidth="1"/>
    <col min="5" max="5" width="22" customWidth="1"/>
    <col min="6" max="6" width="23" customWidth="1"/>
    <col min="7" max="7" width="25.44140625" customWidth="1"/>
    <col min="8" max="8" width="26.44140625" customWidth="1"/>
    <col min="9" max="9" width="6" customWidth="1"/>
    <col min="10" max="10" width="17.5546875" hidden="1" customWidth="1"/>
    <col min="11" max="11" width="20" hidden="1" customWidth="1"/>
    <col min="12" max="12" width="16" hidden="1" customWidth="1"/>
    <col min="13" max="13" width="5" hidden="1" customWidth="1"/>
    <col min="14" max="14" width="19.5546875" hidden="1" customWidth="1"/>
    <col min="15" max="15" width="1.44140625" hidden="1" customWidth="1"/>
    <col min="16" max="16" width="21" hidden="1" customWidth="1"/>
    <col min="17" max="17" width="9" style="13" hidden="1" customWidth="1"/>
    <col min="18" max="18" width="4.5546875" hidden="1" customWidth="1"/>
    <col min="19" max="20" width="11.44140625" hidden="1" customWidth="1"/>
    <col min="21" max="21" width="46" hidden="1" customWidth="1"/>
    <col min="22" max="22" width="40" hidden="1" customWidth="1"/>
    <col min="23" max="23" width="16" hidden="1" customWidth="1"/>
    <col min="24" max="25" width="11.44140625" hidden="1" customWidth="1"/>
    <col min="26" max="26" width="49" hidden="1" customWidth="1"/>
    <col min="27" max="27" width="47.5546875" hidden="1" customWidth="1"/>
    <col min="28" max="28" width="18" hidden="1" customWidth="1"/>
    <col min="29" max="16384" width="11.44140625" hidden="1"/>
  </cols>
  <sheetData>
    <row r="1" spans="3:17" ht="15" customHeight="1"/>
    <row r="2" spans="3:17" ht="9" customHeight="1"/>
    <row r="3" spans="3:17" ht="5.25" customHeight="1">
      <c r="C3" s="1"/>
    </row>
    <row r="4" spans="3:17" ht="5.25" customHeight="1"/>
    <row r="5" spans="3:17" ht="21">
      <c r="C5" s="35" t="str">
        <f>+MENU!C5</f>
        <v>Sociedad:</v>
      </c>
      <c r="D5" s="2254" t="str">
        <f>+MENU!E5</f>
        <v>MARIO PILATO BLAT, S.A.</v>
      </c>
      <c r="E5" s="2255"/>
      <c r="F5" s="2255"/>
      <c r="J5" s="40"/>
      <c r="M5" s="12"/>
      <c r="P5" s="14"/>
      <c r="Q5"/>
    </row>
    <row r="6" spans="3:17" ht="12.75" customHeight="1">
      <c r="P6" s="13"/>
      <c r="Q6"/>
    </row>
    <row r="7" spans="3:17" ht="18">
      <c r="C7" s="35" t="s">
        <v>0</v>
      </c>
      <c r="D7" s="2261">
        <f>+MENU!D7</f>
        <v>45657</v>
      </c>
      <c r="E7" s="2261"/>
      <c r="F7" s="2261"/>
      <c r="I7" s="34"/>
      <c r="P7" s="13"/>
      <c r="Q7"/>
    </row>
    <row r="8" spans="3:17" ht="15" customHeight="1">
      <c r="C8" s="2"/>
      <c r="E8" s="3"/>
      <c r="F8" s="3"/>
      <c r="G8" s="3"/>
      <c r="H8" s="3"/>
      <c r="I8" s="3"/>
      <c r="J8" s="3"/>
    </row>
    <row r="9" spans="3:17" ht="15" customHeight="1"/>
    <row r="10" spans="3:17" ht="15" customHeight="1"/>
    <row r="11" spans="3:17" ht="14.4">
      <c r="Q11"/>
    </row>
    <row r="12" spans="3:17" ht="6" customHeight="1">
      <c r="Q12"/>
    </row>
    <row r="13" spans="3:17" ht="18">
      <c r="C13" s="2262" t="s">
        <v>898</v>
      </c>
      <c r="D13" s="2263"/>
      <c r="E13" s="2263"/>
      <c r="Q13"/>
    </row>
    <row r="14" spans="3:17" ht="6" customHeight="1">
      <c r="Q14"/>
    </row>
    <row r="15" spans="3:17" s="41" customFormat="1" ht="15.6">
      <c r="C15" s="42" t="s">
        <v>648</v>
      </c>
      <c r="D15" s="42">
        <v>174</v>
      </c>
      <c r="E15" s="42">
        <v>479</v>
      </c>
      <c r="F15" s="42">
        <v>524</v>
      </c>
      <c r="G15" s="42" t="s">
        <v>652</v>
      </c>
      <c r="H15"/>
      <c r="I15"/>
      <c r="J15"/>
      <c r="K15"/>
      <c r="L15"/>
      <c r="M15"/>
      <c r="N15"/>
      <c r="O15"/>
      <c r="P15"/>
    </row>
    <row r="16" spans="3:17" ht="15.6">
      <c r="C16" s="142" t="s">
        <v>904</v>
      </c>
      <c r="D16" s="145">
        <f ca="1">+SUMIF(SYS_4_3_Digitos!$A$5:$A$1004,'Leasg. (2)'!$D$15,SYS_4_3_Digitos!$I$5:$I$1004)-SUMIF(SYS_4_3_Digitos!$A$5:$A$1004,'Leasg. (2)'!$D$15,SYS_4_3_Digitos!$J$5:$J$1004)</f>
        <v>0</v>
      </c>
      <c r="E16" s="145">
        <f ca="1">+SUMIF(SYS_4_3_Digitos!$A$5:$A$1004,'Leasg. (2)'!$E$15,SYS_4_3_Digitos!$I$5:$I$1004)-SUMIF(SYS_4_3_Digitos!$A$5:$A$1004,'Leasg. (2)'!$E$15,SYS_4_3_Digitos!$J$5:$J$1004)</f>
        <v>-9998511.5600000005</v>
      </c>
      <c r="F16" s="145">
        <f ca="1">+SUMIF(SYS_4_3_Digitos!$A$5:$A$1004,'Leasg. (2)'!$F$15,SYS_4_3_Digitos!$I$5:$I$1004)-SUMIF(SYS_4_3_Digitos!$A$5:$A$1004,'Leasg. (2)'!$F$15,SYS_4_3_Digitos!$J$5:$J$1004)</f>
        <v>0</v>
      </c>
      <c r="G16" s="144"/>
      <c r="Q16"/>
    </row>
    <row r="17" spans="3:17" ht="15.6">
      <c r="C17" s="142" t="s">
        <v>907</v>
      </c>
      <c r="D17" s="145">
        <f>+SUMIF('BASE DATOS LEASING'!$B$5:$B$9822,MENU!$D$5,'BASE DATOS LEASING'!$Z$5:$Z$9822)</f>
        <v>0</v>
      </c>
      <c r="E17" s="145">
        <f>+SUMIF('BASE DATOS LEASING'!$B$5:$B$9822,MENU!$D$5,'BASE DATOS LEASING'!$AD$5:$AD$9822)</f>
        <v>0</v>
      </c>
      <c r="F17" s="145">
        <f>+SUMIF('BASE DATOS LEASING'!$B$5:$B$9822,MENU!$D$5,'BASE DATOS LEASING'!$Y$5:$Y$9822)</f>
        <v>0</v>
      </c>
      <c r="G17" s="144"/>
      <c r="Q17"/>
    </row>
    <row r="18" spans="3:17" ht="15.6">
      <c r="C18" s="148" t="s">
        <v>644</v>
      </c>
      <c r="D18" s="145">
        <f ca="1">+D16-D17</f>
        <v>0</v>
      </c>
      <c r="E18" s="145">
        <f ca="1">+E16-E17</f>
        <v>-9998511.5600000005</v>
      </c>
      <c r="F18" s="145">
        <f ca="1">+F16-F17</f>
        <v>0</v>
      </c>
      <c r="G18" s="144"/>
      <c r="Q18"/>
    </row>
    <row r="19" spans="3:17" ht="14.4">
      <c r="Q19"/>
    </row>
    <row r="20" spans="3:17" ht="15" customHeight="1" outlineLevel="1">
      <c r="C20" s="149" t="s">
        <v>908</v>
      </c>
      <c r="D20" s="42" t="s">
        <v>899</v>
      </c>
      <c r="E20" s="42" t="s">
        <v>900</v>
      </c>
      <c r="F20" s="42" t="s">
        <v>901</v>
      </c>
      <c r="G20" s="42" t="s">
        <v>902</v>
      </c>
      <c r="H20" s="42"/>
    </row>
    <row r="21" spans="3:17" ht="15.6" outlineLevel="1">
      <c r="C21" s="142" t="s">
        <v>903</v>
      </c>
      <c r="D21" s="143">
        <f>+SUMIF('BASE DATOS LEASING'!$B$5:$B$9822,MENU!$D$5,'BASE DATOS LEASING'!$T$5:$T$9822)</f>
        <v>0</v>
      </c>
      <c r="E21" s="145">
        <f>+SUMIF('BASE DATOS LEASING'!$B$5:$B$9822,MENU!$D$5,'BASE DATOS LEASING'!X5:X9822)</f>
        <v>0</v>
      </c>
      <c r="F21" s="145">
        <f>+SUMIF('BASE DATOS LEASING'!$B$5:$B$9822,MENU!$D$5,'BASE DATOS LEASING'!AB5:AB9822)</f>
        <v>0</v>
      </c>
      <c r="G21" s="145">
        <f>+SUMIF('BASE DATOS LEASING'!$B$5:$B$9822,MENU!$D$5,'BASE DATOS LEASING'!AC5:AC9822)</f>
        <v>0</v>
      </c>
      <c r="H21" s="144"/>
      <c r="Q21"/>
    </row>
    <row r="22" spans="3:17" ht="15" customHeight="1" outlineLevel="1"/>
    <row r="23" spans="3:17" ht="15" customHeight="1" outlineLevel="1">
      <c r="C23" s="138" t="s">
        <v>905</v>
      </c>
      <c r="D23" s="139"/>
      <c r="E23" s="139"/>
      <c r="F23" s="140"/>
      <c r="G23" s="140"/>
      <c r="H23" s="141"/>
    </row>
    <row r="24" spans="3:17" ht="15" customHeight="1"/>
    <row r="25" spans="3:17" ht="15" customHeight="1"/>
  </sheetData>
  <sheetProtection selectLockedCells="1"/>
  <mergeCells count="3">
    <mergeCell ref="D5:F5"/>
    <mergeCell ref="D7:F7"/>
    <mergeCell ref="C13:E13"/>
  </mergeCells>
  <dataValidations count="1">
    <dataValidation type="list" allowBlank="1" showInputMessage="1" showErrorMessage="1" sqref="G16:G18" xr:uid="{00000000-0002-0000-1000-000000000000}">
      <formula1>#REF!</formula1>
    </dataValidation>
  </dataValidations>
  <printOptions horizontalCentered="1"/>
  <pageMargins left="0.23622047244094491" right="0.23622047244094491" top="0.55118110236220474" bottom="0.35433070866141736" header="0.31496062992125984" footer="0.31496062992125984"/>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basedatosleasing">
                <anchor moveWithCells="1" sizeWithCells="1">
                  <from>
                    <xdr:col>2</xdr:col>
                    <xdr:colOff>2133600</xdr:colOff>
                    <xdr:row>8</xdr:row>
                    <xdr:rowOff>38100</xdr:rowOff>
                  </from>
                  <to>
                    <xdr:col>2</xdr:col>
                    <xdr:colOff>3208020</xdr:colOff>
                    <xdr:row>10</xdr:row>
                    <xdr:rowOff>83820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C42CD-A106-4BCC-B086-B03F6943AC8A}">
  <sheetPr codeName="Hoja54"/>
  <dimension ref="A1:AH455"/>
  <sheetViews>
    <sheetView showRowColHeaders="0" topLeftCell="L1" zoomScale="75" zoomScaleNormal="75" workbookViewId="0">
      <pane ySplit="6" topLeftCell="A402" activePane="bottomLeft" state="frozen"/>
      <selection pane="bottomLeft" activeCell="X412" sqref="X412"/>
    </sheetView>
  </sheetViews>
  <sheetFormatPr baseColWidth="10" defaultRowHeight="14.4" outlineLevelRow="1" outlineLevelCol="1"/>
  <cols>
    <col min="1" max="1" width="14.44140625" style="20" customWidth="1"/>
    <col min="2" max="2" width="50" style="9" bestFit="1" customWidth="1"/>
    <col min="3" max="4" width="18.88671875" customWidth="1"/>
    <col min="5" max="5" width="8" style="184" customWidth="1"/>
    <col min="6" max="6" width="18.88671875" customWidth="1"/>
    <col min="7" max="7" width="20" customWidth="1"/>
    <col min="8" max="8" width="10.44140625" style="2051" customWidth="1"/>
    <col min="9" max="9" width="10.88671875" style="2052" customWidth="1"/>
    <col min="10" max="10" width="22.88671875" bestFit="1" customWidth="1"/>
    <col min="11" max="11" width="6" customWidth="1"/>
    <col min="12" max="12" width="22.88671875" bestFit="1" customWidth="1"/>
    <col min="13" max="13" width="6" customWidth="1"/>
    <col min="14" max="14" width="22.88671875" bestFit="1" customWidth="1"/>
    <col min="15" max="15" width="6" style="2149" customWidth="1"/>
    <col min="16" max="16" width="26" bestFit="1" customWidth="1"/>
    <col min="17" max="17" width="6" style="2149" customWidth="1"/>
    <col min="18" max="18" width="2" customWidth="1"/>
    <col min="19" max="19" width="20.88671875" customWidth="1"/>
    <col min="20" max="20" width="16.88671875" customWidth="1"/>
    <col min="21" max="21" width="20.88671875" bestFit="1" customWidth="1"/>
    <col min="22" max="23" width="16.5546875" customWidth="1" outlineLevel="1"/>
    <col min="24" max="24" width="17.88671875" bestFit="1" customWidth="1" outlineLevel="1"/>
    <col min="25" max="25" width="19" customWidth="1" outlineLevel="1"/>
    <col min="26" max="26" width="20" bestFit="1" customWidth="1" outlineLevel="1"/>
    <col min="27" max="27" width="22" bestFit="1" customWidth="1" outlineLevel="1"/>
    <col min="28" max="29" width="21.109375" bestFit="1" customWidth="1" outlineLevel="1"/>
    <col min="30" max="31" width="21.109375" customWidth="1" outlineLevel="1"/>
    <col min="32" max="32" width="23.5546875" bestFit="1" customWidth="1" outlineLevel="1"/>
    <col min="33" max="33" width="19" bestFit="1" customWidth="1" outlineLevel="1"/>
    <col min="34" max="34" width="15.109375" customWidth="1" outlineLevel="1"/>
  </cols>
  <sheetData>
    <row r="1" spans="1:17" ht="21">
      <c r="A1" s="2119">
        <f>+MENU!D5</f>
        <v>6578</v>
      </c>
      <c r="B1" s="2285" t="str">
        <f>+MENU!E5</f>
        <v>MARIO PILATO BLAT, S.A.</v>
      </c>
      <c r="C1" s="2286"/>
      <c r="D1" s="2287"/>
      <c r="E1" s="2288"/>
    </row>
    <row r="2" spans="1:17" ht="21">
      <c r="A2" s="2119"/>
      <c r="B2" s="2139"/>
      <c r="C2" s="2139"/>
      <c r="D2" s="2139"/>
      <c r="E2" s="2139"/>
    </row>
    <row r="3" spans="1:17" ht="21">
      <c r="A3" s="2119"/>
      <c r="B3" s="2289" t="s">
        <v>1967</v>
      </c>
      <c r="C3" s="2290"/>
      <c r="D3" s="2139"/>
      <c r="E3" s="2139"/>
      <c r="F3" s="2011" t="s">
        <v>1863</v>
      </c>
      <c r="G3" s="2012" t="s">
        <v>1670</v>
      </c>
    </row>
    <row r="5" spans="1:17">
      <c r="B5" s="2042">
        <f>+SYS_4_3_Digitos!F3</f>
        <v>45657</v>
      </c>
      <c r="C5" s="2281" t="str">
        <f>+SYS_4_3_Digitos!I3</f>
        <v xml:space="preserve"> SALDOS AJUSTADOS (BCE. FINAL)</v>
      </c>
      <c r="D5" s="2281"/>
      <c r="E5" s="2044"/>
    </row>
    <row r="6" spans="1:17">
      <c r="A6" s="19" t="str">
        <f>+SYS_4_3_Digitos!A4</f>
        <v>Cuenta</v>
      </c>
      <c r="B6" s="10" t="str">
        <f>+SYS_4_3_Digitos!B4</f>
        <v>Título</v>
      </c>
      <c r="C6" s="2043" t="str">
        <f>+SYS_4_3_Digitos!I4</f>
        <v>DEBE</v>
      </c>
      <c r="D6" s="2043" t="str">
        <f>+SYS_4_3_Digitos!J4</f>
        <v>HABER</v>
      </c>
      <c r="E6" s="2044" t="s">
        <v>1894</v>
      </c>
      <c r="F6" s="2043" t="s">
        <v>3</v>
      </c>
      <c r="G6" s="2043" t="s">
        <v>53</v>
      </c>
      <c r="H6" s="2043" t="s">
        <v>1893</v>
      </c>
      <c r="I6" s="2043" t="s">
        <v>1898</v>
      </c>
      <c r="J6" s="2043" t="s">
        <v>1889</v>
      </c>
      <c r="K6" s="2043" t="s">
        <v>1968</v>
      </c>
      <c r="L6" s="2043" t="s">
        <v>1890</v>
      </c>
      <c r="M6" s="2043" t="s">
        <v>1969</v>
      </c>
      <c r="N6" s="2043" t="s">
        <v>1891</v>
      </c>
      <c r="O6" s="2150" t="s">
        <v>1968</v>
      </c>
      <c r="P6" s="2145" t="s">
        <v>1892</v>
      </c>
      <c r="Q6" s="2154" t="s">
        <v>1969</v>
      </c>
    </row>
    <row r="7" spans="1:17" outlineLevel="1">
      <c r="A7" s="2061">
        <f>+SYS_4_3_Digitos!A5</f>
        <v>100</v>
      </c>
      <c r="B7" s="2062" t="str">
        <f>+SYS_4_3_Digitos!B5</f>
        <v>CAPITAL SOCIAL</v>
      </c>
      <c r="C7" s="2063">
        <f ca="1">+SYS_4_3_Digitos!I5</f>
        <v>0</v>
      </c>
      <c r="D7" s="2064">
        <f ca="1">+SYS_4_3_Digitos!J5</f>
        <v>140000005.09999999</v>
      </c>
      <c r="E7" s="2065" t="s">
        <v>1895</v>
      </c>
      <c r="F7" s="2066">
        <f>IF(E7="A",C7-D7,0)</f>
        <v>0</v>
      </c>
      <c r="G7" s="2066">
        <f ca="1">IF(E7="P",D7-C7,0)</f>
        <v>140000005.09999999</v>
      </c>
      <c r="H7" s="2051" t="s">
        <v>1896</v>
      </c>
      <c r="I7" s="2052">
        <v>1</v>
      </c>
      <c r="J7" s="2049">
        <f>IF(H7="A",F7*I7,0)</f>
        <v>0</v>
      </c>
      <c r="K7" s="2146">
        <f ca="1">+J7/$F$397</f>
        <v>0</v>
      </c>
      <c r="L7" s="2049">
        <f>+F7-J7</f>
        <v>0</v>
      </c>
      <c r="M7" s="2157">
        <f ca="1">+L7/$F$397</f>
        <v>0</v>
      </c>
      <c r="N7" s="2049">
        <f ca="1">IF(H7="A",G7*I7,0)</f>
        <v>140000005.09999999</v>
      </c>
      <c r="O7" s="2157">
        <f ca="1">+N7/$G$397</f>
        <v>0.39733352040725678</v>
      </c>
      <c r="P7" s="2049">
        <f t="shared" ref="P7:P70" ca="1" si="0">+G7-N7</f>
        <v>0</v>
      </c>
      <c r="Q7" s="2157">
        <f ca="1">+P7/$G$397</f>
        <v>0</v>
      </c>
    </row>
    <row r="8" spans="1:17" outlineLevel="1">
      <c r="A8" s="2067">
        <f>+SYS_4_3_Digitos!A6</f>
        <v>103</v>
      </c>
      <c r="B8" s="2068" t="str">
        <f>+SYS_4_3_Digitos!B6</f>
        <v>SOCIOS POR DESEMBOLSOS NO EXIGIDOS</v>
      </c>
      <c r="C8" s="2069">
        <f ca="1">+SYS_4_3_Digitos!I6</f>
        <v>0</v>
      </c>
      <c r="D8" s="2070">
        <f ca="1">+SYS_4_3_Digitos!J6</f>
        <v>0</v>
      </c>
      <c r="E8" s="2065" t="s">
        <v>1895</v>
      </c>
      <c r="F8" s="2066">
        <f t="shared" ref="F8:F71" si="1">IF(E8="A",C8-D8,0)</f>
        <v>0</v>
      </c>
      <c r="G8" s="2066">
        <f t="shared" ref="G8:G71" ca="1" si="2">IF(E8="P",D8-C8,0)</f>
        <v>0</v>
      </c>
      <c r="H8" s="2051" t="s">
        <v>1896</v>
      </c>
      <c r="I8" s="2052">
        <v>1</v>
      </c>
      <c r="J8" s="2049">
        <f t="shared" ref="J8:J71" si="3">IF(H8="A",F8*I8,0)</f>
        <v>0</v>
      </c>
      <c r="K8" s="2146">
        <f t="shared" ref="K8:K71" ca="1" si="4">+J8/$F$397</f>
        <v>0</v>
      </c>
      <c r="L8" s="2049">
        <f t="shared" ref="L8:L71" si="5">+F8-J8</f>
        <v>0</v>
      </c>
      <c r="M8" s="2157">
        <f t="shared" ref="M8:M71" ca="1" si="6">+L8/$F$397</f>
        <v>0</v>
      </c>
      <c r="N8" s="2049">
        <f t="shared" ref="N8:N71" ca="1" si="7">IF(H8="A",G8*I8,0)</f>
        <v>0</v>
      </c>
      <c r="O8" s="2157">
        <f t="shared" ref="O8:O71" ca="1" si="8">+N8/$G$397</f>
        <v>0</v>
      </c>
      <c r="P8" s="2049">
        <f t="shared" ca="1" si="0"/>
        <v>0</v>
      </c>
      <c r="Q8" s="2157">
        <f t="shared" ref="Q8:Q71" ca="1" si="9">+P8/$G$397</f>
        <v>0</v>
      </c>
    </row>
    <row r="9" spans="1:17" outlineLevel="1">
      <c r="A9" s="2071">
        <f>+SYS_4_3_Digitos!A7</f>
        <v>104</v>
      </c>
      <c r="B9" s="2072" t="str">
        <f>+SYS_4_3_Digitos!B7</f>
        <v>SOCIOS POR APORTACIONES NO DINERARIAS PENDIENTES</v>
      </c>
      <c r="C9" s="2073">
        <f ca="1">+SYS_4_3_Digitos!I7</f>
        <v>0</v>
      </c>
      <c r="D9" s="2074">
        <f ca="1">+SYS_4_3_Digitos!J7</f>
        <v>0</v>
      </c>
      <c r="E9" s="2065" t="s">
        <v>1895</v>
      </c>
      <c r="F9" s="2066">
        <f t="shared" si="1"/>
        <v>0</v>
      </c>
      <c r="G9" s="2066">
        <f t="shared" ca="1" si="2"/>
        <v>0</v>
      </c>
      <c r="H9" s="2051" t="s">
        <v>1896</v>
      </c>
      <c r="I9" s="2052">
        <v>1</v>
      </c>
      <c r="J9" s="2049">
        <f t="shared" si="3"/>
        <v>0</v>
      </c>
      <c r="K9" s="2146">
        <f t="shared" ca="1" si="4"/>
        <v>0</v>
      </c>
      <c r="L9" s="2049">
        <f t="shared" si="5"/>
        <v>0</v>
      </c>
      <c r="M9" s="2157">
        <f t="shared" ca="1" si="6"/>
        <v>0</v>
      </c>
      <c r="N9" s="2049">
        <f t="shared" ca="1" si="7"/>
        <v>0</v>
      </c>
      <c r="O9" s="2157">
        <f t="shared" ca="1" si="8"/>
        <v>0</v>
      </c>
      <c r="P9" s="2049">
        <f t="shared" ca="1" si="0"/>
        <v>0</v>
      </c>
      <c r="Q9" s="2157">
        <f t="shared" ca="1" si="9"/>
        <v>0</v>
      </c>
    </row>
    <row r="10" spans="1:17" outlineLevel="1">
      <c r="A10" s="2071">
        <f>+SYS_4_3_Digitos!A8</f>
        <v>108</v>
      </c>
      <c r="B10" s="2072" t="str">
        <f>+SYS_4_3_Digitos!B8</f>
        <v>ACC. O PARTICIPACIONES PROPIAS EN SIT. ESPECIALES</v>
      </c>
      <c r="C10" s="2073">
        <f ca="1">+SYS_4_3_Digitos!I8</f>
        <v>0</v>
      </c>
      <c r="D10" s="2074">
        <f ca="1">+SYS_4_3_Digitos!J8</f>
        <v>0</v>
      </c>
      <c r="E10" s="2065" t="s">
        <v>1895</v>
      </c>
      <c r="F10" s="2066">
        <f t="shared" si="1"/>
        <v>0</v>
      </c>
      <c r="G10" s="2066">
        <f t="shared" ca="1" si="2"/>
        <v>0</v>
      </c>
      <c r="H10" s="2051" t="s">
        <v>1896</v>
      </c>
      <c r="I10" s="2052">
        <v>1</v>
      </c>
      <c r="J10" s="2049">
        <f t="shared" si="3"/>
        <v>0</v>
      </c>
      <c r="K10" s="2146">
        <f t="shared" ca="1" si="4"/>
        <v>0</v>
      </c>
      <c r="L10" s="2049">
        <f t="shared" si="5"/>
        <v>0</v>
      </c>
      <c r="M10" s="2157">
        <f t="shared" ca="1" si="6"/>
        <v>0</v>
      </c>
      <c r="N10" s="2049">
        <f t="shared" ca="1" si="7"/>
        <v>0</v>
      </c>
      <c r="O10" s="2157">
        <f t="shared" ca="1" si="8"/>
        <v>0</v>
      </c>
      <c r="P10" s="2049">
        <f t="shared" ca="1" si="0"/>
        <v>0</v>
      </c>
      <c r="Q10" s="2157">
        <f t="shared" ca="1" si="9"/>
        <v>0</v>
      </c>
    </row>
    <row r="11" spans="1:17" outlineLevel="1">
      <c r="A11" s="2071">
        <f>+SYS_4_3_Digitos!A9</f>
        <v>109</v>
      </c>
      <c r="B11" s="2072" t="str">
        <f>+SYS_4_3_Digitos!B9</f>
        <v>ACC. O PARTIC. PROPIAS PARA REDUCC. DE CAPITAL</v>
      </c>
      <c r="C11" s="2073">
        <f ca="1">+SYS_4_3_Digitos!I9</f>
        <v>0</v>
      </c>
      <c r="D11" s="2074">
        <f ca="1">+SYS_4_3_Digitos!J9</f>
        <v>0</v>
      </c>
      <c r="E11" s="2065" t="s">
        <v>1895</v>
      </c>
      <c r="F11" s="2066">
        <f t="shared" si="1"/>
        <v>0</v>
      </c>
      <c r="G11" s="2066">
        <f t="shared" ca="1" si="2"/>
        <v>0</v>
      </c>
      <c r="H11" s="2051" t="s">
        <v>1896</v>
      </c>
      <c r="I11" s="2052">
        <v>1</v>
      </c>
      <c r="J11" s="2049">
        <f t="shared" si="3"/>
        <v>0</v>
      </c>
      <c r="K11" s="2146">
        <f t="shared" ca="1" si="4"/>
        <v>0</v>
      </c>
      <c r="L11" s="2049">
        <f t="shared" si="5"/>
        <v>0</v>
      </c>
      <c r="M11" s="2157">
        <f t="shared" ca="1" si="6"/>
        <v>0</v>
      </c>
      <c r="N11" s="2049">
        <f t="shared" ca="1" si="7"/>
        <v>0</v>
      </c>
      <c r="O11" s="2157">
        <f t="shared" ca="1" si="8"/>
        <v>0</v>
      </c>
      <c r="P11" s="2049">
        <f t="shared" ca="1" si="0"/>
        <v>0</v>
      </c>
      <c r="Q11" s="2157">
        <f t="shared" ca="1" si="9"/>
        <v>0</v>
      </c>
    </row>
    <row r="12" spans="1:17" outlineLevel="1">
      <c r="A12" s="2071">
        <f>+SYS_4_3_Digitos!A10</f>
        <v>110</v>
      </c>
      <c r="B12" s="2072" t="str">
        <f>+SYS_4_3_Digitos!B10</f>
        <v>PRIMA DE EMISIÓN O ASUNCIÓN</v>
      </c>
      <c r="C12" s="2073">
        <f ca="1">+SYS_4_3_Digitos!I10</f>
        <v>0</v>
      </c>
      <c r="D12" s="2074">
        <f ca="1">+SYS_4_3_Digitos!J10</f>
        <v>0</v>
      </c>
      <c r="E12" s="2065" t="s">
        <v>1895</v>
      </c>
      <c r="F12" s="2066">
        <f t="shared" si="1"/>
        <v>0</v>
      </c>
      <c r="G12" s="2066">
        <f t="shared" ca="1" si="2"/>
        <v>0</v>
      </c>
      <c r="H12" s="2051" t="s">
        <v>1896</v>
      </c>
      <c r="I12" s="2052">
        <v>1</v>
      </c>
      <c r="J12" s="2049">
        <f t="shared" si="3"/>
        <v>0</v>
      </c>
      <c r="K12" s="2146">
        <f t="shared" ca="1" si="4"/>
        <v>0</v>
      </c>
      <c r="L12" s="2049">
        <f t="shared" si="5"/>
        <v>0</v>
      </c>
      <c r="M12" s="2157">
        <f t="shared" ca="1" si="6"/>
        <v>0</v>
      </c>
      <c r="N12" s="2049">
        <f t="shared" ca="1" si="7"/>
        <v>0</v>
      </c>
      <c r="O12" s="2157">
        <f t="shared" ca="1" si="8"/>
        <v>0</v>
      </c>
      <c r="P12" s="2049">
        <f t="shared" ca="1" si="0"/>
        <v>0</v>
      </c>
      <c r="Q12" s="2157">
        <f t="shared" ca="1" si="9"/>
        <v>0</v>
      </c>
    </row>
    <row r="13" spans="1:17" outlineLevel="1">
      <c r="A13" s="2071">
        <f>+SYS_4_3_Digitos!A11</f>
        <v>111</v>
      </c>
      <c r="B13" s="2072" t="str">
        <f>+SYS_4_3_Digitos!B11</f>
        <v>OTROS INSTRUMENTOS DE PATRIMONIO NETO</v>
      </c>
      <c r="C13" s="2073">
        <f ca="1">+SYS_4_3_Digitos!I11</f>
        <v>0</v>
      </c>
      <c r="D13" s="2074">
        <f ca="1">+SYS_4_3_Digitos!J11</f>
        <v>0</v>
      </c>
      <c r="E13" s="2065" t="s">
        <v>1895</v>
      </c>
      <c r="F13" s="2066">
        <f t="shared" si="1"/>
        <v>0</v>
      </c>
      <c r="G13" s="2066">
        <f t="shared" ca="1" si="2"/>
        <v>0</v>
      </c>
      <c r="H13" s="2051" t="s">
        <v>1896</v>
      </c>
      <c r="I13" s="2052">
        <v>1</v>
      </c>
      <c r="J13" s="2049">
        <f t="shared" si="3"/>
        <v>0</v>
      </c>
      <c r="K13" s="2146">
        <f t="shared" ca="1" si="4"/>
        <v>0</v>
      </c>
      <c r="L13" s="2049">
        <f t="shared" si="5"/>
        <v>0</v>
      </c>
      <c r="M13" s="2157">
        <f t="shared" ca="1" si="6"/>
        <v>0</v>
      </c>
      <c r="N13" s="2049">
        <f t="shared" ca="1" si="7"/>
        <v>0</v>
      </c>
      <c r="O13" s="2157">
        <f t="shared" ca="1" si="8"/>
        <v>0</v>
      </c>
      <c r="P13" s="2049">
        <f t="shared" ca="1" si="0"/>
        <v>0</v>
      </c>
      <c r="Q13" s="2157">
        <f t="shared" ca="1" si="9"/>
        <v>0</v>
      </c>
    </row>
    <row r="14" spans="1:17" outlineLevel="1">
      <c r="A14" s="2071">
        <f>+SYS_4_3_Digitos!A12</f>
        <v>112</v>
      </c>
      <c r="B14" s="2072" t="str">
        <f>+SYS_4_3_Digitos!B12</f>
        <v>RESERVA LEGAL</v>
      </c>
      <c r="C14" s="2073">
        <f ca="1">+SYS_4_3_Digitos!I12</f>
        <v>0</v>
      </c>
      <c r="D14" s="2074">
        <f ca="1">+SYS_4_3_Digitos!J12</f>
        <v>16700583.99</v>
      </c>
      <c r="E14" s="2065" t="s">
        <v>1895</v>
      </c>
      <c r="F14" s="2066">
        <f t="shared" si="1"/>
        <v>0</v>
      </c>
      <c r="G14" s="2066">
        <f t="shared" ca="1" si="2"/>
        <v>16700583.99</v>
      </c>
      <c r="H14" s="2051" t="s">
        <v>1896</v>
      </c>
      <c r="I14" s="2052">
        <v>1</v>
      </c>
      <c r="J14" s="2049">
        <f t="shared" si="3"/>
        <v>0</v>
      </c>
      <c r="K14" s="2146">
        <f t="shared" ca="1" si="4"/>
        <v>0</v>
      </c>
      <c r="L14" s="2049">
        <f t="shared" si="5"/>
        <v>0</v>
      </c>
      <c r="M14" s="2157">
        <f t="shared" ca="1" si="6"/>
        <v>0</v>
      </c>
      <c r="N14" s="2049">
        <f t="shared" ca="1" si="7"/>
        <v>16700583.99</v>
      </c>
      <c r="O14" s="2157">
        <f t="shared" ca="1" si="8"/>
        <v>4.7397868484818868E-2</v>
      </c>
      <c r="P14" s="2049">
        <f t="shared" ca="1" si="0"/>
        <v>0</v>
      </c>
      <c r="Q14" s="2157">
        <f t="shared" ca="1" si="9"/>
        <v>0</v>
      </c>
    </row>
    <row r="15" spans="1:17" outlineLevel="1">
      <c r="A15" s="2071">
        <f>+SYS_4_3_Digitos!A13</f>
        <v>113</v>
      </c>
      <c r="B15" s="2072" t="str">
        <f>+SYS_4_3_Digitos!B13</f>
        <v>RESERVAS VOLUNTARIAS</v>
      </c>
      <c r="C15" s="2073">
        <f ca="1">+SYS_4_3_Digitos!I13</f>
        <v>0</v>
      </c>
      <c r="D15" s="2074">
        <f ca="1">+SYS_4_3_Digitos!J13</f>
        <v>138943662.72</v>
      </c>
      <c r="E15" s="2065" t="s">
        <v>1895</v>
      </c>
      <c r="F15" s="2066">
        <f t="shared" si="1"/>
        <v>0</v>
      </c>
      <c r="G15" s="2066">
        <f t="shared" ca="1" si="2"/>
        <v>138943662.72</v>
      </c>
      <c r="H15" s="2051" t="s">
        <v>1896</v>
      </c>
      <c r="I15" s="2052">
        <v>1</v>
      </c>
      <c r="J15" s="2049">
        <f t="shared" si="3"/>
        <v>0</v>
      </c>
      <c r="K15" s="2146">
        <f t="shared" ca="1" si="4"/>
        <v>0</v>
      </c>
      <c r="L15" s="2049">
        <f t="shared" si="5"/>
        <v>0</v>
      </c>
      <c r="M15" s="2157">
        <f t="shared" ca="1" si="6"/>
        <v>0</v>
      </c>
      <c r="N15" s="2049">
        <f t="shared" ca="1" si="7"/>
        <v>138943662.72</v>
      </c>
      <c r="O15" s="2157">
        <f t="shared" ca="1" si="8"/>
        <v>0.39433551882646412</v>
      </c>
      <c r="P15" s="2049">
        <f t="shared" ca="1" si="0"/>
        <v>0</v>
      </c>
      <c r="Q15" s="2157">
        <f t="shared" ca="1" si="9"/>
        <v>0</v>
      </c>
    </row>
    <row r="16" spans="1:17" outlineLevel="1">
      <c r="A16" s="2071">
        <f>+SYS_4_3_Digitos!A14</f>
        <v>1140</v>
      </c>
      <c r="B16" s="2072" t="str">
        <f>+SYS_4_3_Digitos!B14</f>
        <v>RESERVAS ESPECIALES</v>
      </c>
      <c r="C16" s="2073">
        <f ca="1">+SYS_4_3_Digitos!I14</f>
        <v>0</v>
      </c>
      <c r="D16" s="2074">
        <f ca="1">+SYS_4_3_Digitos!J14</f>
        <v>0</v>
      </c>
      <c r="E16" s="2065" t="s">
        <v>1895</v>
      </c>
      <c r="F16" s="2066">
        <f t="shared" si="1"/>
        <v>0</v>
      </c>
      <c r="G16" s="2066">
        <f t="shared" ca="1" si="2"/>
        <v>0</v>
      </c>
      <c r="H16" s="2051" t="s">
        <v>1896</v>
      </c>
      <c r="I16" s="2052">
        <v>1</v>
      </c>
      <c r="J16" s="2049">
        <f t="shared" si="3"/>
        <v>0</v>
      </c>
      <c r="K16" s="2146">
        <f t="shared" ca="1" si="4"/>
        <v>0</v>
      </c>
      <c r="L16" s="2049">
        <f t="shared" si="5"/>
        <v>0</v>
      </c>
      <c r="M16" s="2157">
        <f t="shared" ca="1" si="6"/>
        <v>0</v>
      </c>
      <c r="N16" s="2049">
        <f t="shared" ca="1" si="7"/>
        <v>0</v>
      </c>
      <c r="O16" s="2157">
        <f t="shared" ca="1" si="8"/>
        <v>0</v>
      </c>
      <c r="P16" s="2049">
        <f t="shared" ca="1" si="0"/>
        <v>0</v>
      </c>
      <c r="Q16" s="2157">
        <f t="shared" ca="1" si="9"/>
        <v>0</v>
      </c>
    </row>
    <row r="17" spans="1:17" outlineLevel="1">
      <c r="A17" s="2071">
        <f>+SYS_4_3_Digitos!A15</f>
        <v>1147</v>
      </c>
      <c r="B17" s="2072" t="str">
        <f>+SYS_4_3_Digitos!B15</f>
        <v>RESERVA DE CAPITALIZACIÓN</v>
      </c>
      <c r="C17" s="2073">
        <f ca="1">+SYS_4_3_Digitos!I15</f>
        <v>0</v>
      </c>
      <c r="D17" s="2074">
        <f ca="1">+SYS_4_3_Digitos!J15</f>
        <v>6776702.0999999996</v>
      </c>
      <c r="E17" s="2065" t="s">
        <v>1895</v>
      </c>
      <c r="F17" s="2066">
        <f t="shared" si="1"/>
        <v>0</v>
      </c>
      <c r="G17" s="2066">
        <f t="shared" ca="1" si="2"/>
        <v>6776702.0999999996</v>
      </c>
      <c r="H17" s="2051" t="s">
        <v>1896</v>
      </c>
      <c r="I17" s="2052">
        <v>1</v>
      </c>
      <c r="J17" s="2049">
        <f t="shared" si="3"/>
        <v>0</v>
      </c>
      <c r="K17" s="2146">
        <f t="shared" ca="1" si="4"/>
        <v>0</v>
      </c>
      <c r="L17" s="2049">
        <f t="shared" si="5"/>
        <v>0</v>
      </c>
      <c r="M17" s="2157">
        <f t="shared" ca="1" si="6"/>
        <v>0</v>
      </c>
      <c r="N17" s="2049">
        <f t="shared" ca="1" si="7"/>
        <v>6776702.0999999996</v>
      </c>
      <c r="O17" s="2157">
        <f t="shared" ca="1" si="8"/>
        <v>1.9232934314687748E-2</v>
      </c>
      <c r="P17" s="2049">
        <f t="shared" ca="1" si="0"/>
        <v>0</v>
      </c>
      <c r="Q17" s="2157">
        <f t="shared" ca="1" si="9"/>
        <v>0</v>
      </c>
    </row>
    <row r="18" spans="1:17" outlineLevel="1">
      <c r="A18" s="2071">
        <f>+SYS_4_3_Digitos!A16</f>
        <v>1148</v>
      </c>
      <c r="B18" s="2072" t="str">
        <f>+SYS_4_3_Digitos!B16</f>
        <v>RESERVA DE NIVELACIÓN</v>
      </c>
      <c r="C18" s="2073">
        <f ca="1">+SYS_4_3_Digitos!I16</f>
        <v>0</v>
      </c>
      <c r="D18" s="2074">
        <f ca="1">+SYS_4_3_Digitos!J16</f>
        <v>0</v>
      </c>
      <c r="E18" s="2065" t="s">
        <v>1895</v>
      </c>
      <c r="F18" s="2066">
        <f t="shared" si="1"/>
        <v>0</v>
      </c>
      <c r="G18" s="2066">
        <f t="shared" ca="1" si="2"/>
        <v>0</v>
      </c>
      <c r="H18" s="2051" t="s">
        <v>1896</v>
      </c>
      <c r="I18" s="2052">
        <v>1</v>
      </c>
      <c r="J18" s="2049">
        <f t="shared" si="3"/>
        <v>0</v>
      </c>
      <c r="K18" s="2146">
        <f t="shared" ca="1" si="4"/>
        <v>0</v>
      </c>
      <c r="L18" s="2049">
        <f t="shared" si="5"/>
        <v>0</v>
      </c>
      <c r="M18" s="2157">
        <f t="shared" ca="1" si="6"/>
        <v>0</v>
      </c>
      <c r="N18" s="2049">
        <f t="shared" ca="1" si="7"/>
        <v>0</v>
      </c>
      <c r="O18" s="2157">
        <f t="shared" ca="1" si="8"/>
        <v>0</v>
      </c>
      <c r="P18" s="2049">
        <f t="shared" ca="1" si="0"/>
        <v>0</v>
      </c>
      <c r="Q18" s="2157">
        <f t="shared" ca="1" si="9"/>
        <v>0</v>
      </c>
    </row>
    <row r="19" spans="1:17" outlineLevel="1">
      <c r="A19" s="2071">
        <f>+SYS_4_3_Digitos!A17</f>
        <v>115</v>
      </c>
      <c r="B19" s="2072" t="str">
        <f>+SYS_4_3_Digitos!B17</f>
        <v>RESERVAS POR P Y G ACTUARIALES Y OTROS AJUSTES</v>
      </c>
      <c r="C19" s="2073">
        <f ca="1">+SYS_4_3_Digitos!I17</f>
        <v>0</v>
      </c>
      <c r="D19" s="2074">
        <f ca="1">+SYS_4_3_Digitos!J17</f>
        <v>0</v>
      </c>
      <c r="E19" s="2065" t="s">
        <v>1895</v>
      </c>
      <c r="F19" s="2066">
        <f t="shared" si="1"/>
        <v>0</v>
      </c>
      <c r="G19" s="2066">
        <f t="shared" ca="1" si="2"/>
        <v>0</v>
      </c>
      <c r="H19" s="2051" t="s">
        <v>1896</v>
      </c>
      <c r="I19" s="2052">
        <v>1</v>
      </c>
      <c r="J19" s="2049">
        <f t="shared" si="3"/>
        <v>0</v>
      </c>
      <c r="K19" s="2146">
        <f t="shared" ca="1" si="4"/>
        <v>0</v>
      </c>
      <c r="L19" s="2049">
        <f t="shared" si="5"/>
        <v>0</v>
      </c>
      <c r="M19" s="2157">
        <f t="shared" ca="1" si="6"/>
        <v>0</v>
      </c>
      <c r="N19" s="2049">
        <f t="shared" ca="1" si="7"/>
        <v>0</v>
      </c>
      <c r="O19" s="2157">
        <f t="shared" ca="1" si="8"/>
        <v>0</v>
      </c>
      <c r="P19" s="2049">
        <f t="shared" ca="1" si="0"/>
        <v>0</v>
      </c>
      <c r="Q19" s="2157">
        <f t="shared" ca="1" si="9"/>
        <v>0</v>
      </c>
    </row>
    <row r="20" spans="1:17" outlineLevel="1">
      <c r="A20" s="2071">
        <f>+SYS_4_3_Digitos!A18</f>
        <v>118</v>
      </c>
      <c r="B20" s="2072" t="str">
        <f>+SYS_4_3_Digitos!B18</f>
        <v>APORTACIONES DE SOCIOS O PROPIETARIOS</v>
      </c>
      <c r="C20" s="2073">
        <f ca="1">+SYS_4_3_Digitos!I18</f>
        <v>0</v>
      </c>
      <c r="D20" s="2074">
        <f ca="1">+SYS_4_3_Digitos!J18</f>
        <v>0</v>
      </c>
      <c r="E20" s="2065" t="s">
        <v>1895</v>
      </c>
      <c r="F20" s="2066">
        <f t="shared" si="1"/>
        <v>0</v>
      </c>
      <c r="G20" s="2066">
        <f t="shared" ca="1" si="2"/>
        <v>0</v>
      </c>
      <c r="H20" s="2051" t="s">
        <v>1896</v>
      </c>
      <c r="I20" s="2052">
        <v>1</v>
      </c>
      <c r="J20" s="2049">
        <f t="shared" si="3"/>
        <v>0</v>
      </c>
      <c r="K20" s="2146">
        <f t="shared" ca="1" si="4"/>
        <v>0</v>
      </c>
      <c r="L20" s="2049">
        <f t="shared" si="5"/>
        <v>0</v>
      </c>
      <c r="M20" s="2157">
        <f t="shared" ca="1" si="6"/>
        <v>0</v>
      </c>
      <c r="N20" s="2049">
        <f t="shared" ca="1" si="7"/>
        <v>0</v>
      </c>
      <c r="O20" s="2157">
        <f t="shared" ca="1" si="8"/>
        <v>0</v>
      </c>
      <c r="P20" s="2049">
        <f t="shared" ca="1" si="0"/>
        <v>0</v>
      </c>
      <c r="Q20" s="2157">
        <f t="shared" ca="1" si="9"/>
        <v>0</v>
      </c>
    </row>
    <row r="21" spans="1:17" outlineLevel="1">
      <c r="A21" s="2071">
        <f>+SYS_4_3_Digitos!A19</f>
        <v>119</v>
      </c>
      <c r="B21" s="2072" t="str">
        <f>+SYS_4_3_Digitos!B19</f>
        <v>DIFERENCIA POR AJUSTE DEL CAPITAL A EUROS</v>
      </c>
      <c r="C21" s="2073">
        <f ca="1">+SYS_4_3_Digitos!I19</f>
        <v>0</v>
      </c>
      <c r="D21" s="2074">
        <f ca="1">+SYS_4_3_Digitos!J19</f>
        <v>13.56</v>
      </c>
      <c r="E21" s="2065" t="s">
        <v>1895</v>
      </c>
      <c r="F21" s="2066">
        <f t="shared" si="1"/>
        <v>0</v>
      </c>
      <c r="G21" s="2066">
        <f t="shared" ca="1" si="2"/>
        <v>13.56</v>
      </c>
      <c r="H21" s="2051" t="s">
        <v>1896</v>
      </c>
      <c r="I21" s="2052">
        <v>1</v>
      </c>
      <c r="J21" s="2049">
        <f t="shared" si="3"/>
        <v>0</v>
      </c>
      <c r="K21" s="2146">
        <f t="shared" ca="1" si="4"/>
        <v>0</v>
      </c>
      <c r="L21" s="2049">
        <f t="shared" si="5"/>
        <v>0</v>
      </c>
      <c r="M21" s="2157">
        <f t="shared" ca="1" si="6"/>
        <v>0</v>
      </c>
      <c r="N21" s="2049">
        <f t="shared" ca="1" si="7"/>
        <v>13.56</v>
      </c>
      <c r="O21" s="2157">
        <f t="shared" ca="1" si="8"/>
        <v>3.8484588146078592E-8</v>
      </c>
      <c r="P21" s="2049">
        <f t="shared" ca="1" si="0"/>
        <v>0</v>
      </c>
      <c r="Q21" s="2157">
        <f t="shared" ca="1" si="9"/>
        <v>0</v>
      </c>
    </row>
    <row r="22" spans="1:17" outlineLevel="1">
      <c r="A22" s="2071">
        <f>+SYS_4_3_Digitos!A20</f>
        <v>120</v>
      </c>
      <c r="B22" s="2072" t="str">
        <f>+SYS_4_3_Digitos!B20</f>
        <v>REMANENTE</v>
      </c>
      <c r="C22" s="2073">
        <f ca="1">+SYS_4_3_Digitos!I20</f>
        <v>0</v>
      </c>
      <c r="D22" s="2074">
        <f ca="1">+SYS_4_3_Digitos!J20</f>
        <v>0</v>
      </c>
      <c r="E22" s="2065" t="s">
        <v>1895</v>
      </c>
      <c r="F22" s="2066">
        <f t="shared" si="1"/>
        <v>0</v>
      </c>
      <c r="G22" s="2066">
        <f t="shared" ca="1" si="2"/>
        <v>0</v>
      </c>
      <c r="H22" s="2051" t="s">
        <v>1896</v>
      </c>
      <c r="I22" s="2052">
        <v>1</v>
      </c>
      <c r="J22" s="2049">
        <f t="shared" si="3"/>
        <v>0</v>
      </c>
      <c r="K22" s="2146">
        <f t="shared" ca="1" si="4"/>
        <v>0</v>
      </c>
      <c r="L22" s="2049">
        <f t="shared" si="5"/>
        <v>0</v>
      </c>
      <c r="M22" s="2157">
        <f t="shared" ca="1" si="6"/>
        <v>0</v>
      </c>
      <c r="N22" s="2049">
        <f t="shared" ca="1" si="7"/>
        <v>0</v>
      </c>
      <c r="O22" s="2157">
        <f t="shared" ca="1" si="8"/>
        <v>0</v>
      </c>
      <c r="P22" s="2049">
        <f t="shared" ca="1" si="0"/>
        <v>0</v>
      </c>
      <c r="Q22" s="2157">
        <f t="shared" ca="1" si="9"/>
        <v>0</v>
      </c>
    </row>
    <row r="23" spans="1:17" outlineLevel="1">
      <c r="A23" s="2071">
        <f>+SYS_4_3_Digitos!A21</f>
        <v>121</v>
      </c>
      <c r="B23" s="2072" t="str">
        <f>+SYS_4_3_Digitos!B21</f>
        <v>RESULTADOS NEGATIVOS DE EJERCICIOS ANTERIORES</v>
      </c>
      <c r="C23" s="2073">
        <f ca="1">+SYS_4_3_Digitos!I21</f>
        <v>0</v>
      </c>
      <c r="D23" s="2074">
        <f ca="1">+SYS_4_3_Digitos!J21</f>
        <v>0</v>
      </c>
      <c r="E23" s="2065" t="s">
        <v>1895</v>
      </c>
      <c r="F23" s="2066">
        <f t="shared" si="1"/>
        <v>0</v>
      </c>
      <c r="G23" s="2066">
        <f t="shared" ca="1" si="2"/>
        <v>0</v>
      </c>
      <c r="H23" s="2051" t="s">
        <v>1896</v>
      </c>
      <c r="I23" s="2052">
        <v>1</v>
      </c>
      <c r="J23" s="2049">
        <f t="shared" si="3"/>
        <v>0</v>
      </c>
      <c r="K23" s="2146">
        <f t="shared" ca="1" si="4"/>
        <v>0</v>
      </c>
      <c r="L23" s="2049">
        <f t="shared" si="5"/>
        <v>0</v>
      </c>
      <c r="M23" s="2157">
        <f t="shared" ca="1" si="6"/>
        <v>0</v>
      </c>
      <c r="N23" s="2049">
        <f t="shared" ca="1" si="7"/>
        <v>0</v>
      </c>
      <c r="O23" s="2157">
        <f t="shared" ca="1" si="8"/>
        <v>0</v>
      </c>
      <c r="P23" s="2049">
        <f t="shared" ca="1" si="0"/>
        <v>0</v>
      </c>
      <c r="Q23" s="2157">
        <f t="shared" ca="1" si="9"/>
        <v>0</v>
      </c>
    </row>
    <row r="24" spans="1:17" outlineLevel="1">
      <c r="A24" s="2085">
        <f>+SYS_4_3_Digitos!A22</f>
        <v>129</v>
      </c>
      <c r="B24" s="2086" t="str">
        <f>+SYS_4_3_Digitos!B22</f>
        <v>RESULTADO DEL EJERCICIO</v>
      </c>
      <c r="C24" s="2087">
        <f ca="1">+SYS_4_3_Digitos!I22</f>
        <v>0</v>
      </c>
      <c r="D24" s="2088">
        <f ca="1">+SYS_4_3_Digitos!J22</f>
        <v>0</v>
      </c>
      <c r="E24" s="2089" t="s">
        <v>1895</v>
      </c>
      <c r="F24" s="2090">
        <f t="shared" si="1"/>
        <v>0</v>
      </c>
      <c r="G24" s="2090">
        <f ca="1">IF(D399&gt;0,D399,-C399)</f>
        <v>14641500.340000018</v>
      </c>
      <c r="H24" s="2051" t="s">
        <v>1896</v>
      </c>
      <c r="I24" s="2052">
        <v>1</v>
      </c>
      <c r="J24" s="2049">
        <f t="shared" si="3"/>
        <v>0</v>
      </c>
      <c r="K24" s="2146">
        <f t="shared" ca="1" si="4"/>
        <v>0</v>
      </c>
      <c r="L24" s="2049">
        <f t="shared" si="5"/>
        <v>0</v>
      </c>
      <c r="M24" s="2157">
        <f t="shared" ca="1" si="6"/>
        <v>0</v>
      </c>
      <c r="N24" s="2049">
        <f t="shared" ca="1" si="7"/>
        <v>14641500.340000018</v>
      </c>
      <c r="O24" s="2157">
        <f t="shared" ca="1" si="8"/>
        <v>4.1553990444363594E-2</v>
      </c>
      <c r="P24" s="2049">
        <f t="shared" ca="1" si="0"/>
        <v>0</v>
      </c>
      <c r="Q24" s="2157">
        <f t="shared" ca="1" si="9"/>
        <v>0</v>
      </c>
    </row>
    <row r="25" spans="1:17" outlineLevel="1">
      <c r="A25" s="2071">
        <f>+SYS_4_3_Digitos!A23</f>
        <v>130</v>
      </c>
      <c r="B25" s="2072" t="str">
        <f>+SYS_4_3_Digitos!B23</f>
        <v>SUBVENCIONES OFICIALES DE CAPITAL</v>
      </c>
      <c r="C25" s="2073">
        <f ca="1">+SYS_4_3_Digitos!I23</f>
        <v>0</v>
      </c>
      <c r="D25" s="2074">
        <f ca="1">+SYS_4_3_Digitos!J23</f>
        <v>34973.649999999994</v>
      </c>
      <c r="E25" s="2065" t="s">
        <v>1895</v>
      </c>
      <c r="F25" s="2066">
        <f t="shared" si="1"/>
        <v>0</v>
      </c>
      <c r="G25" s="2066">
        <f t="shared" ca="1" si="2"/>
        <v>34973.649999999994</v>
      </c>
      <c r="H25" s="2051" t="s">
        <v>1896</v>
      </c>
      <c r="I25" s="2052">
        <v>1</v>
      </c>
      <c r="J25" s="2049">
        <f t="shared" si="3"/>
        <v>0</v>
      </c>
      <c r="K25" s="2146">
        <f t="shared" ca="1" si="4"/>
        <v>0</v>
      </c>
      <c r="L25" s="2049">
        <f t="shared" si="5"/>
        <v>0</v>
      </c>
      <c r="M25" s="2157">
        <f t="shared" ca="1" si="6"/>
        <v>0</v>
      </c>
      <c r="N25" s="2049">
        <f t="shared" ca="1" si="7"/>
        <v>34973.649999999994</v>
      </c>
      <c r="O25" s="2157">
        <f t="shared" ca="1" si="8"/>
        <v>9.9258592641231653E-5</v>
      </c>
      <c r="P25" s="2049">
        <f t="shared" ca="1" si="0"/>
        <v>0</v>
      </c>
      <c r="Q25" s="2157">
        <f t="shared" ca="1" si="9"/>
        <v>0</v>
      </c>
    </row>
    <row r="26" spans="1:17" outlineLevel="1">
      <c r="A26" s="2071">
        <f>+SYS_4_3_Digitos!A24</f>
        <v>131</v>
      </c>
      <c r="B26" s="2072" t="str">
        <f>+SYS_4_3_Digitos!B24</f>
        <v>DONACIONES Y LEGADOS DE CAPITAL</v>
      </c>
      <c r="C26" s="2073">
        <f ca="1">+SYS_4_3_Digitos!I24</f>
        <v>0</v>
      </c>
      <c r="D26" s="2074">
        <f ca="1">+SYS_4_3_Digitos!J24</f>
        <v>0</v>
      </c>
      <c r="E26" s="2065" t="s">
        <v>1895</v>
      </c>
      <c r="F26" s="2066">
        <f t="shared" si="1"/>
        <v>0</v>
      </c>
      <c r="G26" s="2066">
        <f t="shared" ca="1" si="2"/>
        <v>0</v>
      </c>
      <c r="H26" s="2051" t="s">
        <v>1896</v>
      </c>
      <c r="I26" s="2052">
        <v>1</v>
      </c>
      <c r="J26" s="2049">
        <f t="shared" si="3"/>
        <v>0</v>
      </c>
      <c r="K26" s="2146">
        <f t="shared" ca="1" si="4"/>
        <v>0</v>
      </c>
      <c r="L26" s="2049">
        <f t="shared" si="5"/>
        <v>0</v>
      </c>
      <c r="M26" s="2157">
        <f t="shared" ca="1" si="6"/>
        <v>0</v>
      </c>
      <c r="N26" s="2049">
        <f t="shared" ca="1" si="7"/>
        <v>0</v>
      </c>
      <c r="O26" s="2157">
        <f t="shared" ca="1" si="8"/>
        <v>0</v>
      </c>
      <c r="P26" s="2049">
        <f t="shared" ca="1" si="0"/>
        <v>0</v>
      </c>
      <c r="Q26" s="2157">
        <f t="shared" ca="1" si="9"/>
        <v>0</v>
      </c>
    </row>
    <row r="27" spans="1:17" outlineLevel="1">
      <c r="A27" s="2071">
        <f>+SYS_4_3_Digitos!A25</f>
        <v>132</v>
      </c>
      <c r="B27" s="2072" t="str">
        <f>+SYS_4_3_Digitos!B25</f>
        <v>OTRAS SUBVENCIONES, DONACIONES Y LEGADOS</v>
      </c>
      <c r="C27" s="2073">
        <f ca="1">+SYS_4_3_Digitos!I25</f>
        <v>0</v>
      </c>
      <c r="D27" s="2074">
        <f ca="1">+SYS_4_3_Digitos!J25</f>
        <v>0</v>
      </c>
      <c r="E27" s="2065" t="s">
        <v>1895</v>
      </c>
      <c r="F27" s="2066">
        <f t="shared" si="1"/>
        <v>0</v>
      </c>
      <c r="G27" s="2066">
        <f t="shared" ca="1" si="2"/>
        <v>0</v>
      </c>
      <c r="H27" s="2051" t="s">
        <v>1896</v>
      </c>
      <c r="I27" s="2052">
        <v>1</v>
      </c>
      <c r="J27" s="2049">
        <f t="shared" si="3"/>
        <v>0</v>
      </c>
      <c r="K27" s="2146">
        <f t="shared" ca="1" si="4"/>
        <v>0</v>
      </c>
      <c r="L27" s="2049">
        <f t="shared" si="5"/>
        <v>0</v>
      </c>
      <c r="M27" s="2157">
        <f t="shared" ca="1" si="6"/>
        <v>0</v>
      </c>
      <c r="N27" s="2049">
        <f t="shared" ca="1" si="7"/>
        <v>0</v>
      </c>
      <c r="O27" s="2157">
        <f t="shared" ca="1" si="8"/>
        <v>0</v>
      </c>
      <c r="P27" s="2049">
        <f t="shared" ca="1" si="0"/>
        <v>0</v>
      </c>
      <c r="Q27" s="2157">
        <f t="shared" ca="1" si="9"/>
        <v>0</v>
      </c>
    </row>
    <row r="28" spans="1:17" outlineLevel="1">
      <c r="A28" s="2071">
        <f>+SYS_4_3_Digitos!A26</f>
        <v>133</v>
      </c>
      <c r="B28" s="2072" t="str">
        <f>+SYS_4_3_Digitos!B26</f>
        <v>AJ. POR VALORACIÓN EN ACTIV. FROS DISP. PARA LA VTA</v>
      </c>
      <c r="C28" s="2073">
        <f ca="1">+SYS_4_3_Digitos!I26</f>
        <v>0</v>
      </c>
      <c r="D28" s="2074">
        <f ca="1">+SYS_4_3_Digitos!J26</f>
        <v>23713691.499999996</v>
      </c>
      <c r="E28" s="2065" t="s">
        <v>1895</v>
      </c>
      <c r="F28" s="2066">
        <f t="shared" si="1"/>
        <v>0</v>
      </c>
      <c r="G28" s="2066">
        <f t="shared" ca="1" si="2"/>
        <v>23713691.499999996</v>
      </c>
      <c r="H28" s="2051" t="s">
        <v>1896</v>
      </c>
      <c r="I28" s="2052">
        <v>1</v>
      </c>
      <c r="J28" s="2049">
        <f t="shared" si="3"/>
        <v>0</v>
      </c>
      <c r="K28" s="2146">
        <f t="shared" ca="1" si="4"/>
        <v>0</v>
      </c>
      <c r="L28" s="2049">
        <f t="shared" si="5"/>
        <v>0</v>
      </c>
      <c r="M28" s="2157">
        <f t="shared" ca="1" si="6"/>
        <v>0</v>
      </c>
      <c r="N28" s="2049">
        <f t="shared" ca="1" si="7"/>
        <v>23713691.499999996</v>
      </c>
      <c r="O28" s="2157">
        <f t="shared" ca="1" si="8"/>
        <v>6.7301744159341037E-2</v>
      </c>
      <c r="P28" s="2049">
        <f t="shared" ca="1" si="0"/>
        <v>0</v>
      </c>
      <c r="Q28" s="2157">
        <f t="shared" ca="1" si="9"/>
        <v>0</v>
      </c>
    </row>
    <row r="29" spans="1:17" outlineLevel="1">
      <c r="A29" s="2071">
        <f>+SYS_4_3_Digitos!A27</f>
        <v>134</v>
      </c>
      <c r="B29" s="2072" t="str">
        <f>+SYS_4_3_Digitos!B27</f>
        <v>OPERACIONES DE COBERTURA</v>
      </c>
      <c r="C29" s="2073">
        <f ca="1">+SYS_4_3_Digitos!I27</f>
        <v>0</v>
      </c>
      <c r="D29" s="2074">
        <f ca="1">+SYS_4_3_Digitos!J27</f>
        <v>0</v>
      </c>
      <c r="E29" s="2065" t="s">
        <v>1895</v>
      </c>
      <c r="F29" s="2066">
        <f t="shared" si="1"/>
        <v>0</v>
      </c>
      <c r="G29" s="2066">
        <f t="shared" ca="1" si="2"/>
        <v>0</v>
      </c>
      <c r="H29" s="2051" t="s">
        <v>1896</v>
      </c>
      <c r="I29" s="2052">
        <v>1</v>
      </c>
      <c r="J29" s="2049">
        <f t="shared" si="3"/>
        <v>0</v>
      </c>
      <c r="K29" s="2146">
        <f t="shared" ca="1" si="4"/>
        <v>0</v>
      </c>
      <c r="L29" s="2049">
        <f t="shared" si="5"/>
        <v>0</v>
      </c>
      <c r="M29" s="2157">
        <f t="shared" ca="1" si="6"/>
        <v>0</v>
      </c>
      <c r="N29" s="2049">
        <f t="shared" ca="1" si="7"/>
        <v>0</v>
      </c>
      <c r="O29" s="2157">
        <f t="shared" ca="1" si="8"/>
        <v>0</v>
      </c>
      <c r="P29" s="2049">
        <f t="shared" ca="1" si="0"/>
        <v>0</v>
      </c>
      <c r="Q29" s="2157">
        <f t="shared" ca="1" si="9"/>
        <v>0</v>
      </c>
    </row>
    <row r="30" spans="1:17" outlineLevel="1">
      <c r="A30" s="2071">
        <f>+SYS_4_3_Digitos!A28</f>
        <v>135</v>
      </c>
      <c r="B30" s="2072" t="str">
        <f>+SYS_4_3_Digitos!B28</f>
        <v>DIFERENCIAS DE CONVERSIÓN</v>
      </c>
      <c r="C30" s="2073">
        <f ca="1">+SYS_4_3_Digitos!I28</f>
        <v>0</v>
      </c>
      <c r="D30" s="2074">
        <f ca="1">+SYS_4_3_Digitos!J28</f>
        <v>0</v>
      </c>
      <c r="E30" s="2065" t="s">
        <v>1895</v>
      </c>
      <c r="F30" s="2066">
        <f t="shared" si="1"/>
        <v>0</v>
      </c>
      <c r="G30" s="2066">
        <f t="shared" ca="1" si="2"/>
        <v>0</v>
      </c>
      <c r="H30" s="2051" t="s">
        <v>1896</v>
      </c>
      <c r="I30" s="2052">
        <v>1</v>
      </c>
      <c r="J30" s="2049">
        <f t="shared" si="3"/>
        <v>0</v>
      </c>
      <c r="K30" s="2146">
        <f t="shared" ca="1" si="4"/>
        <v>0</v>
      </c>
      <c r="L30" s="2049">
        <f t="shared" si="5"/>
        <v>0</v>
      </c>
      <c r="M30" s="2157">
        <f t="shared" ca="1" si="6"/>
        <v>0</v>
      </c>
      <c r="N30" s="2049">
        <f t="shared" ca="1" si="7"/>
        <v>0</v>
      </c>
      <c r="O30" s="2157">
        <f t="shared" ca="1" si="8"/>
        <v>0</v>
      </c>
      <c r="P30" s="2049">
        <f t="shared" ca="1" si="0"/>
        <v>0</v>
      </c>
      <c r="Q30" s="2157">
        <f t="shared" ca="1" si="9"/>
        <v>0</v>
      </c>
    </row>
    <row r="31" spans="1:17" outlineLevel="1">
      <c r="A31" s="2071">
        <f>+SYS_4_3_Digitos!A29</f>
        <v>136</v>
      </c>
      <c r="B31" s="2072" t="str">
        <f>+SYS_4_3_Digitos!B29</f>
        <v>AJ. POR VALORAC. EN ACTIV. NO CORR. Y GRUP. ENA…</v>
      </c>
      <c r="C31" s="2073">
        <f ca="1">+SYS_4_3_Digitos!I29</f>
        <v>0</v>
      </c>
      <c r="D31" s="2074">
        <f ca="1">+SYS_4_3_Digitos!J29</f>
        <v>0</v>
      </c>
      <c r="E31" s="2065" t="s">
        <v>1895</v>
      </c>
      <c r="F31" s="2066">
        <f t="shared" si="1"/>
        <v>0</v>
      </c>
      <c r="G31" s="2066">
        <f t="shared" ca="1" si="2"/>
        <v>0</v>
      </c>
      <c r="H31" s="2051" t="s">
        <v>1896</v>
      </c>
      <c r="I31" s="2052">
        <v>1</v>
      </c>
      <c r="J31" s="2049">
        <f t="shared" si="3"/>
        <v>0</v>
      </c>
      <c r="K31" s="2146">
        <f t="shared" ca="1" si="4"/>
        <v>0</v>
      </c>
      <c r="L31" s="2049">
        <f t="shared" si="5"/>
        <v>0</v>
      </c>
      <c r="M31" s="2157">
        <f t="shared" ca="1" si="6"/>
        <v>0</v>
      </c>
      <c r="N31" s="2049">
        <f t="shared" ca="1" si="7"/>
        <v>0</v>
      </c>
      <c r="O31" s="2157">
        <f t="shared" ca="1" si="8"/>
        <v>0</v>
      </c>
      <c r="P31" s="2049">
        <f t="shared" ca="1" si="0"/>
        <v>0</v>
      </c>
      <c r="Q31" s="2157">
        <f t="shared" ca="1" si="9"/>
        <v>0</v>
      </c>
    </row>
    <row r="32" spans="1:17" outlineLevel="1">
      <c r="A32" s="2071">
        <f>+SYS_4_3_Digitos!A30</f>
        <v>137</v>
      </c>
      <c r="B32" s="2072" t="str">
        <f>+SYS_4_3_Digitos!B30</f>
        <v>INGRESOS FISCALES A DISTRIBUIR EN VARIOS EJERCICIOS</v>
      </c>
      <c r="C32" s="2073">
        <f ca="1">+SYS_4_3_Digitos!I30</f>
        <v>0</v>
      </c>
      <c r="D32" s="2074">
        <f ca="1">+SYS_4_3_Digitos!J30</f>
        <v>0</v>
      </c>
      <c r="E32" s="2065" t="s">
        <v>1895</v>
      </c>
      <c r="F32" s="2066">
        <f t="shared" si="1"/>
        <v>0</v>
      </c>
      <c r="G32" s="2066">
        <f t="shared" ca="1" si="2"/>
        <v>0</v>
      </c>
      <c r="H32" s="2051" t="s">
        <v>1896</v>
      </c>
      <c r="I32" s="2052">
        <v>1</v>
      </c>
      <c r="J32" s="2049">
        <f t="shared" si="3"/>
        <v>0</v>
      </c>
      <c r="K32" s="2146">
        <f t="shared" ca="1" si="4"/>
        <v>0</v>
      </c>
      <c r="L32" s="2049">
        <f t="shared" si="5"/>
        <v>0</v>
      </c>
      <c r="M32" s="2157">
        <f t="shared" ca="1" si="6"/>
        <v>0</v>
      </c>
      <c r="N32" s="2049">
        <f t="shared" ca="1" si="7"/>
        <v>0</v>
      </c>
      <c r="O32" s="2157">
        <f t="shared" ca="1" si="8"/>
        <v>0</v>
      </c>
      <c r="P32" s="2049">
        <f t="shared" ca="1" si="0"/>
        <v>0</v>
      </c>
      <c r="Q32" s="2157">
        <f t="shared" ca="1" si="9"/>
        <v>0</v>
      </c>
    </row>
    <row r="33" spans="1:17" outlineLevel="1">
      <c r="A33" s="2071">
        <f>+SYS_4_3_Digitos!A31</f>
        <v>140</v>
      </c>
      <c r="B33" s="2072" t="str">
        <f>+SYS_4_3_Digitos!B31</f>
        <v>PROV. POR RETRIBUCIONES A LP AL PERSONAL</v>
      </c>
      <c r="C33" s="2073">
        <f ca="1">+SYS_4_3_Digitos!I31</f>
        <v>0</v>
      </c>
      <c r="D33" s="2074">
        <f ca="1">+SYS_4_3_Digitos!J31</f>
        <v>0</v>
      </c>
      <c r="E33" s="2065" t="s">
        <v>1895</v>
      </c>
      <c r="F33" s="2066">
        <f t="shared" si="1"/>
        <v>0</v>
      </c>
      <c r="G33" s="2066">
        <f t="shared" ca="1" si="2"/>
        <v>0</v>
      </c>
      <c r="H33" s="2051" t="s">
        <v>1896</v>
      </c>
      <c r="I33" s="2052">
        <v>1</v>
      </c>
      <c r="J33" s="2049">
        <f t="shared" si="3"/>
        <v>0</v>
      </c>
      <c r="K33" s="2146">
        <f t="shared" ca="1" si="4"/>
        <v>0</v>
      </c>
      <c r="L33" s="2049">
        <f t="shared" si="5"/>
        <v>0</v>
      </c>
      <c r="M33" s="2157">
        <f t="shared" ca="1" si="6"/>
        <v>0</v>
      </c>
      <c r="N33" s="2049">
        <f t="shared" ca="1" si="7"/>
        <v>0</v>
      </c>
      <c r="O33" s="2157">
        <f t="shared" ca="1" si="8"/>
        <v>0</v>
      </c>
      <c r="P33" s="2049">
        <f t="shared" ca="1" si="0"/>
        <v>0</v>
      </c>
      <c r="Q33" s="2157">
        <f t="shared" ca="1" si="9"/>
        <v>0</v>
      </c>
    </row>
    <row r="34" spans="1:17" outlineLevel="1">
      <c r="A34" s="2071">
        <f>+SYS_4_3_Digitos!A32</f>
        <v>141</v>
      </c>
      <c r="B34" s="2072" t="str">
        <f>+SYS_4_3_Digitos!B32</f>
        <v>PROV. PARA IMPUESTOS</v>
      </c>
      <c r="C34" s="2073">
        <f ca="1">+SYS_4_3_Digitos!I32</f>
        <v>0</v>
      </c>
      <c r="D34" s="2074">
        <f ca="1">+SYS_4_3_Digitos!J32</f>
        <v>0</v>
      </c>
      <c r="E34" s="2065" t="s">
        <v>1895</v>
      </c>
      <c r="F34" s="2066">
        <f t="shared" si="1"/>
        <v>0</v>
      </c>
      <c r="G34" s="2066">
        <f t="shared" ca="1" si="2"/>
        <v>0</v>
      </c>
      <c r="H34" s="2051" t="s">
        <v>1896</v>
      </c>
      <c r="I34" s="2052">
        <v>1</v>
      </c>
      <c r="J34" s="2049">
        <f t="shared" si="3"/>
        <v>0</v>
      </c>
      <c r="K34" s="2146">
        <f t="shared" ca="1" si="4"/>
        <v>0</v>
      </c>
      <c r="L34" s="2049">
        <f t="shared" si="5"/>
        <v>0</v>
      </c>
      <c r="M34" s="2157">
        <f t="shared" ca="1" si="6"/>
        <v>0</v>
      </c>
      <c r="N34" s="2049">
        <f t="shared" ca="1" si="7"/>
        <v>0</v>
      </c>
      <c r="O34" s="2157">
        <f t="shared" ca="1" si="8"/>
        <v>0</v>
      </c>
      <c r="P34" s="2049">
        <f t="shared" ca="1" si="0"/>
        <v>0</v>
      </c>
      <c r="Q34" s="2157">
        <f t="shared" ca="1" si="9"/>
        <v>0</v>
      </c>
    </row>
    <row r="35" spans="1:17" outlineLevel="1">
      <c r="A35" s="2071">
        <f>+SYS_4_3_Digitos!A33</f>
        <v>142</v>
      </c>
      <c r="B35" s="2072" t="str">
        <f>+SYS_4_3_Digitos!B33</f>
        <v>PROV. PARA OTRAS RESPONSABILIDADES</v>
      </c>
      <c r="C35" s="2073">
        <f ca="1">+SYS_4_3_Digitos!I33</f>
        <v>0</v>
      </c>
      <c r="D35" s="2074">
        <f ca="1">+SYS_4_3_Digitos!J33</f>
        <v>0</v>
      </c>
      <c r="E35" s="2065" t="s">
        <v>1895</v>
      </c>
      <c r="F35" s="2066">
        <f t="shared" si="1"/>
        <v>0</v>
      </c>
      <c r="G35" s="2066">
        <f t="shared" ca="1" si="2"/>
        <v>0</v>
      </c>
      <c r="H35" s="2051" t="s">
        <v>1896</v>
      </c>
      <c r="I35" s="2052">
        <v>1</v>
      </c>
      <c r="J35" s="2049">
        <f t="shared" si="3"/>
        <v>0</v>
      </c>
      <c r="K35" s="2146">
        <f t="shared" ca="1" si="4"/>
        <v>0</v>
      </c>
      <c r="L35" s="2049">
        <f t="shared" si="5"/>
        <v>0</v>
      </c>
      <c r="M35" s="2157">
        <f t="shared" ca="1" si="6"/>
        <v>0</v>
      </c>
      <c r="N35" s="2049">
        <f t="shared" ca="1" si="7"/>
        <v>0</v>
      </c>
      <c r="O35" s="2157">
        <f t="shared" ca="1" si="8"/>
        <v>0</v>
      </c>
      <c r="P35" s="2049">
        <f t="shared" ca="1" si="0"/>
        <v>0</v>
      </c>
      <c r="Q35" s="2157">
        <f t="shared" ca="1" si="9"/>
        <v>0</v>
      </c>
    </row>
    <row r="36" spans="1:17" outlineLevel="1">
      <c r="A36" s="2071">
        <f>+SYS_4_3_Digitos!A34</f>
        <v>143</v>
      </c>
      <c r="B36" s="2072" t="str">
        <f>+SYS_4_3_Digitos!B34</f>
        <v>PROV. POR DESMANTEL. RETIRO O REHAB. DEL INMOBILIZ.</v>
      </c>
      <c r="C36" s="2073">
        <f ca="1">+SYS_4_3_Digitos!I34</f>
        <v>0</v>
      </c>
      <c r="D36" s="2074">
        <f ca="1">+SYS_4_3_Digitos!J34</f>
        <v>0</v>
      </c>
      <c r="E36" s="2065" t="s">
        <v>1895</v>
      </c>
      <c r="F36" s="2066">
        <f t="shared" si="1"/>
        <v>0</v>
      </c>
      <c r="G36" s="2066">
        <f t="shared" ca="1" si="2"/>
        <v>0</v>
      </c>
      <c r="H36" s="2051" t="s">
        <v>1896</v>
      </c>
      <c r="I36" s="2052">
        <v>1</v>
      </c>
      <c r="J36" s="2049">
        <f t="shared" si="3"/>
        <v>0</v>
      </c>
      <c r="K36" s="2146">
        <f t="shared" ca="1" si="4"/>
        <v>0</v>
      </c>
      <c r="L36" s="2049">
        <f t="shared" si="5"/>
        <v>0</v>
      </c>
      <c r="M36" s="2157">
        <f t="shared" ca="1" si="6"/>
        <v>0</v>
      </c>
      <c r="N36" s="2049">
        <f t="shared" ca="1" si="7"/>
        <v>0</v>
      </c>
      <c r="O36" s="2157">
        <f t="shared" ca="1" si="8"/>
        <v>0</v>
      </c>
      <c r="P36" s="2049">
        <f t="shared" ca="1" si="0"/>
        <v>0</v>
      </c>
      <c r="Q36" s="2157">
        <f t="shared" ca="1" si="9"/>
        <v>0</v>
      </c>
    </row>
    <row r="37" spans="1:17" outlineLevel="1">
      <c r="A37" s="2071">
        <f>+SYS_4_3_Digitos!A35</f>
        <v>145</v>
      </c>
      <c r="B37" s="2072" t="str">
        <f>+SYS_4_3_Digitos!B35</f>
        <v>PROV. PARA ACTUACIONES MEDIOAMBIENTALES</v>
      </c>
      <c r="C37" s="2073">
        <f ca="1">+SYS_4_3_Digitos!I35</f>
        <v>0</v>
      </c>
      <c r="D37" s="2074">
        <f ca="1">+SYS_4_3_Digitos!J35</f>
        <v>0</v>
      </c>
      <c r="E37" s="2065" t="s">
        <v>1895</v>
      </c>
      <c r="F37" s="2066">
        <f t="shared" si="1"/>
        <v>0</v>
      </c>
      <c r="G37" s="2066">
        <f t="shared" ca="1" si="2"/>
        <v>0</v>
      </c>
      <c r="H37" s="2051" t="s">
        <v>1896</v>
      </c>
      <c r="I37" s="2052">
        <v>1</v>
      </c>
      <c r="J37" s="2049">
        <f t="shared" si="3"/>
        <v>0</v>
      </c>
      <c r="K37" s="2146">
        <f t="shared" ca="1" si="4"/>
        <v>0</v>
      </c>
      <c r="L37" s="2049">
        <f t="shared" si="5"/>
        <v>0</v>
      </c>
      <c r="M37" s="2157">
        <f t="shared" ca="1" si="6"/>
        <v>0</v>
      </c>
      <c r="N37" s="2049">
        <f t="shared" ca="1" si="7"/>
        <v>0</v>
      </c>
      <c r="O37" s="2157">
        <f t="shared" ca="1" si="8"/>
        <v>0</v>
      </c>
      <c r="P37" s="2049">
        <f t="shared" ca="1" si="0"/>
        <v>0</v>
      </c>
      <c r="Q37" s="2157">
        <f t="shared" ca="1" si="9"/>
        <v>0</v>
      </c>
    </row>
    <row r="38" spans="1:17" outlineLevel="1">
      <c r="A38" s="2071">
        <f>+SYS_4_3_Digitos!A36</f>
        <v>146</v>
      </c>
      <c r="B38" s="2072" t="str">
        <f>+SYS_4_3_Digitos!B36</f>
        <v>PROV. PARA RESTRUCTURACIONES</v>
      </c>
      <c r="C38" s="2073">
        <f ca="1">+SYS_4_3_Digitos!I36</f>
        <v>0</v>
      </c>
      <c r="D38" s="2074">
        <f ca="1">+SYS_4_3_Digitos!J36</f>
        <v>0</v>
      </c>
      <c r="E38" s="2065" t="s">
        <v>1895</v>
      </c>
      <c r="F38" s="2066">
        <f t="shared" si="1"/>
        <v>0</v>
      </c>
      <c r="G38" s="2066">
        <f t="shared" ca="1" si="2"/>
        <v>0</v>
      </c>
      <c r="H38" s="2051" t="s">
        <v>1896</v>
      </c>
      <c r="I38" s="2052">
        <v>1</v>
      </c>
      <c r="J38" s="2049">
        <f t="shared" si="3"/>
        <v>0</v>
      </c>
      <c r="K38" s="2146">
        <f t="shared" ca="1" si="4"/>
        <v>0</v>
      </c>
      <c r="L38" s="2049">
        <f t="shared" si="5"/>
        <v>0</v>
      </c>
      <c r="M38" s="2157">
        <f t="shared" ca="1" si="6"/>
        <v>0</v>
      </c>
      <c r="N38" s="2049">
        <f t="shared" ca="1" si="7"/>
        <v>0</v>
      </c>
      <c r="O38" s="2157">
        <f t="shared" ca="1" si="8"/>
        <v>0</v>
      </c>
      <c r="P38" s="2049">
        <f t="shared" ca="1" si="0"/>
        <v>0</v>
      </c>
      <c r="Q38" s="2157">
        <f t="shared" ca="1" si="9"/>
        <v>0</v>
      </c>
    </row>
    <row r="39" spans="1:17" outlineLevel="1">
      <c r="A39" s="2071">
        <f>+SYS_4_3_Digitos!A37</f>
        <v>147</v>
      </c>
      <c r="B39" s="2072" t="str">
        <f>+SYS_4_3_Digitos!B37</f>
        <v>PROV. POR TRANSACC. CON PAGOS BASADOS EN INST. PAT.</v>
      </c>
      <c r="C39" s="2073">
        <f ca="1">+SYS_4_3_Digitos!I37</f>
        <v>0</v>
      </c>
      <c r="D39" s="2074">
        <f ca="1">+SYS_4_3_Digitos!J37</f>
        <v>0</v>
      </c>
      <c r="E39" s="2065" t="s">
        <v>1895</v>
      </c>
      <c r="F39" s="2066">
        <f t="shared" si="1"/>
        <v>0</v>
      </c>
      <c r="G39" s="2066">
        <f t="shared" ca="1" si="2"/>
        <v>0</v>
      </c>
      <c r="H39" s="2051" t="s">
        <v>1896</v>
      </c>
      <c r="I39" s="2052">
        <v>1</v>
      </c>
      <c r="J39" s="2049">
        <f t="shared" si="3"/>
        <v>0</v>
      </c>
      <c r="K39" s="2146">
        <f t="shared" ca="1" si="4"/>
        <v>0</v>
      </c>
      <c r="L39" s="2049">
        <f t="shared" si="5"/>
        <v>0</v>
      </c>
      <c r="M39" s="2157">
        <f t="shared" ca="1" si="6"/>
        <v>0</v>
      </c>
      <c r="N39" s="2049">
        <f t="shared" ca="1" si="7"/>
        <v>0</v>
      </c>
      <c r="O39" s="2157">
        <f t="shared" ca="1" si="8"/>
        <v>0</v>
      </c>
      <c r="P39" s="2049">
        <f t="shared" ca="1" si="0"/>
        <v>0</v>
      </c>
      <c r="Q39" s="2157">
        <f t="shared" ca="1" si="9"/>
        <v>0</v>
      </c>
    </row>
    <row r="40" spans="1:17" outlineLevel="1">
      <c r="A40" s="1310">
        <f>+SYS_4_3_Digitos!A38</f>
        <v>150</v>
      </c>
      <c r="B40" s="1311" t="str">
        <f>+SYS_4_3_Digitos!B38</f>
        <v>ACC. O PARTIC. A LP CONSIDERADAS COMO PASIVOS FINANC.</v>
      </c>
      <c r="C40" s="1314">
        <f ca="1">+SYS_4_3_Digitos!I38</f>
        <v>0</v>
      </c>
      <c r="D40" s="1315">
        <f ca="1">+SYS_4_3_Digitos!J38</f>
        <v>0</v>
      </c>
      <c r="E40" s="2045" t="s">
        <v>1895</v>
      </c>
      <c r="F40" s="2049">
        <f t="shared" si="1"/>
        <v>0</v>
      </c>
      <c r="G40" s="2049">
        <f t="shared" ca="1" si="2"/>
        <v>0</v>
      </c>
      <c r="H40" s="2051" t="s">
        <v>1896</v>
      </c>
      <c r="I40" s="2052">
        <v>1</v>
      </c>
      <c r="J40" s="2049">
        <f t="shared" si="3"/>
        <v>0</v>
      </c>
      <c r="K40" s="2146">
        <f t="shared" ca="1" si="4"/>
        <v>0</v>
      </c>
      <c r="L40" s="2049">
        <f t="shared" si="5"/>
        <v>0</v>
      </c>
      <c r="M40" s="2157">
        <f t="shared" ca="1" si="6"/>
        <v>0</v>
      </c>
      <c r="N40" s="2049">
        <f t="shared" ca="1" si="7"/>
        <v>0</v>
      </c>
      <c r="O40" s="2157">
        <f t="shared" ca="1" si="8"/>
        <v>0</v>
      </c>
      <c r="P40" s="2049">
        <f t="shared" ca="1" si="0"/>
        <v>0</v>
      </c>
      <c r="Q40" s="2157">
        <f t="shared" ca="1" si="9"/>
        <v>0</v>
      </c>
    </row>
    <row r="41" spans="1:17" outlineLevel="1">
      <c r="A41" s="1310">
        <f>+SYS_4_3_Digitos!A39</f>
        <v>153</v>
      </c>
      <c r="B41" s="1311" t="str">
        <f>+SYS_4_3_Digitos!B39</f>
        <v>DESEMB. NO EXIG. POR ACC. O PARTIC. CONSID. PAS. FROS</v>
      </c>
      <c r="C41" s="1314">
        <f ca="1">+SYS_4_3_Digitos!I39</f>
        <v>0</v>
      </c>
      <c r="D41" s="1315">
        <f ca="1">+SYS_4_3_Digitos!J39</f>
        <v>0</v>
      </c>
      <c r="E41" s="2045" t="s">
        <v>1895</v>
      </c>
      <c r="F41" s="2049">
        <f t="shared" si="1"/>
        <v>0</v>
      </c>
      <c r="G41" s="2049">
        <f t="shared" ca="1" si="2"/>
        <v>0</v>
      </c>
      <c r="H41" s="2051" t="s">
        <v>1896</v>
      </c>
      <c r="I41" s="2052">
        <v>1</v>
      </c>
      <c r="J41" s="2049">
        <f t="shared" si="3"/>
        <v>0</v>
      </c>
      <c r="K41" s="2146">
        <f t="shared" ca="1" si="4"/>
        <v>0</v>
      </c>
      <c r="L41" s="2049">
        <f t="shared" si="5"/>
        <v>0</v>
      </c>
      <c r="M41" s="2157">
        <f t="shared" ca="1" si="6"/>
        <v>0</v>
      </c>
      <c r="N41" s="2049">
        <f t="shared" ca="1" si="7"/>
        <v>0</v>
      </c>
      <c r="O41" s="2157">
        <f t="shared" ca="1" si="8"/>
        <v>0</v>
      </c>
      <c r="P41" s="2049">
        <f t="shared" ca="1" si="0"/>
        <v>0</v>
      </c>
      <c r="Q41" s="2157">
        <f t="shared" ca="1" si="9"/>
        <v>0</v>
      </c>
    </row>
    <row r="42" spans="1:17" outlineLevel="1">
      <c r="A42" s="1310">
        <f>+SYS_4_3_Digitos!A40</f>
        <v>154</v>
      </c>
      <c r="B42" s="1311" t="str">
        <f>+SYS_4_3_Digitos!B40</f>
        <v>APORT. NO DINE. PTES POR ACC. O PART. CONSID. PAS FROS</v>
      </c>
      <c r="C42" s="1314">
        <f ca="1">+SYS_4_3_Digitos!I40</f>
        <v>0</v>
      </c>
      <c r="D42" s="1315">
        <f ca="1">+SYS_4_3_Digitos!J40</f>
        <v>0</v>
      </c>
      <c r="E42" s="2045" t="s">
        <v>1895</v>
      </c>
      <c r="F42" s="2049">
        <f t="shared" si="1"/>
        <v>0</v>
      </c>
      <c r="G42" s="2049">
        <f t="shared" ca="1" si="2"/>
        <v>0</v>
      </c>
      <c r="H42" s="2051" t="s">
        <v>1896</v>
      </c>
      <c r="I42" s="2052">
        <v>1</v>
      </c>
      <c r="J42" s="2049">
        <f t="shared" si="3"/>
        <v>0</v>
      </c>
      <c r="K42" s="2146">
        <f t="shared" ca="1" si="4"/>
        <v>0</v>
      </c>
      <c r="L42" s="2049">
        <f t="shared" si="5"/>
        <v>0</v>
      </c>
      <c r="M42" s="2157">
        <f t="shared" ca="1" si="6"/>
        <v>0</v>
      </c>
      <c r="N42" s="2049">
        <f t="shared" ca="1" si="7"/>
        <v>0</v>
      </c>
      <c r="O42" s="2157">
        <f t="shared" ca="1" si="8"/>
        <v>0</v>
      </c>
      <c r="P42" s="2049">
        <f t="shared" ca="1" si="0"/>
        <v>0</v>
      </c>
      <c r="Q42" s="2157">
        <f t="shared" ca="1" si="9"/>
        <v>0</v>
      </c>
    </row>
    <row r="43" spans="1:17" outlineLevel="1">
      <c r="A43" s="1310">
        <f>+SYS_4_3_Digitos!A41</f>
        <v>160</v>
      </c>
      <c r="B43" s="1311" t="str">
        <f>+SYS_4_3_Digitos!B41</f>
        <v>DEUDAS A LP CON ENT. CRÉDITO VINCULADAS</v>
      </c>
      <c r="C43" s="1314">
        <f ca="1">+SYS_4_3_Digitos!I41</f>
        <v>0</v>
      </c>
      <c r="D43" s="1315">
        <f ca="1">+SYS_4_3_Digitos!J41</f>
        <v>0</v>
      </c>
      <c r="E43" s="2045" t="s">
        <v>1895</v>
      </c>
      <c r="F43" s="2049">
        <f t="shared" si="1"/>
        <v>0</v>
      </c>
      <c r="G43" s="2049">
        <f t="shared" ca="1" si="2"/>
        <v>0</v>
      </c>
      <c r="H43" s="2051" t="s">
        <v>1896</v>
      </c>
      <c r="I43" s="2052">
        <v>1</v>
      </c>
      <c r="J43" s="2049">
        <f t="shared" si="3"/>
        <v>0</v>
      </c>
      <c r="K43" s="2146">
        <f t="shared" ca="1" si="4"/>
        <v>0</v>
      </c>
      <c r="L43" s="2049">
        <f t="shared" si="5"/>
        <v>0</v>
      </c>
      <c r="M43" s="2157">
        <f t="shared" ca="1" si="6"/>
        <v>0</v>
      </c>
      <c r="N43" s="2049">
        <f t="shared" ca="1" si="7"/>
        <v>0</v>
      </c>
      <c r="O43" s="2157">
        <f t="shared" ca="1" si="8"/>
        <v>0</v>
      </c>
      <c r="P43" s="2049">
        <f t="shared" ca="1" si="0"/>
        <v>0</v>
      </c>
      <c r="Q43" s="2157">
        <f t="shared" ca="1" si="9"/>
        <v>0</v>
      </c>
    </row>
    <row r="44" spans="1:17" outlineLevel="1">
      <c r="A44" s="1310">
        <f>+SYS_4_3_Digitos!A42</f>
        <v>161</v>
      </c>
      <c r="B44" s="1311" t="str">
        <f>+SYS_4_3_Digitos!B42</f>
        <v>PROVEEDORES DE INMOVILIZADO A LP, PARTES VINCULADAS</v>
      </c>
      <c r="C44" s="1314">
        <f ca="1">+SYS_4_3_Digitos!I42</f>
        <v>0</v>
      </c>
      <c r="D44" s="1315">
        <f ca="1">+SYS_4_3_Digitos!J42</f>
        <v>0</v>
      </c>
      <c r="E44" s="2045" t="s">
        <v>1895</v>
      </c>
      <c r="F44" s="2049">
        <f t="shared" si="1"/>
        <v>0</v>
      </c>
      <c r="G44" s="2049">
        <f t="shared" ca="1" si="2"/>
        <v>0</v>
      </c>
      <c r="H44" s="2051" t="s">
        <v>1896</v>
      </c>
      <c r="I44" s="2052">
        <v>1</v>
      </c>
      <c r="J44" s="2049">
        <f t="shared" si="3"/>
        <v>0</v>
      </c>
      <c r="K44" s="2146">
        <f t="shared" ca="1" si="4"/>
        <v>0</v>
      </c>
      <c r="L44" s="2049">
        <f t="shared" si="5"/>
        <v>0</v>
      </c>
      <c r="M44" s="2157">
        <f t="shared" ca="1" si="6"/>
        <v>0</v>
      </c>
      <c r="N44" s="2049">
        <f t="shared" ca="1" si="7"/>
        <v>0</v>
      </c>
      <c r="O44" s="2157">
        <f t="shared" ca="1" si="8"/>
        <v>0</v>
      </c>
      <c r="P44" s="2049">
        <f t="shared" ca="1" si="0"/>
        <v>0</v>
      </c>
      <c r="Q44" s="2157">
        <f t="shared" ca="1" si="9"/>
        <v>0</v>
      </c>
    </row>
    <row r="45" spans="1:17" outlineLevel="1">
      <c r="A45" s="1310">
        <f>+SYS_4_3_Digitos!A43</f>
        <v>162</v>
      </c>
      <c r="B45" s="1311" t="str">
        <f>+SYS_4_3_Digitos!B43</f>
        <v>ACREEDORES POR ARREND. FRO. A LP, PARTES VINCULADAS</v>
      </c>
      <c r="C45" s="1314">
        <f ca="1">+SYS_4_3_Digitos!I43</f>
        <v>0</v>
      </c>
      <c r="D45" s="1315">
        <f ca="1">+SYS_4_3_Digitos!J43</f>
        <v>0</v>
      </c>
      <c r="E45" s="2045" t="s">
        <v>1895</v>
      </c>
      <c r="F45" s="2049">
        <f t="shared" si="1"/>
        <v>0</v>
      </c>
      <c r="G45" s="2049">
        <f t="shared" ca="1" si="2"/>
        <v>0</v>
      </c>
      <c r="H45" s="2051" t="s">
        <v>1896</v>
      </c>
      <c r="I45" s="2052">
        <v>1</v>
      </c>
      <c r="J45" s="2049">
        <f t="shared" si="3"/>
        <v>0</v>
      </c>
      <c r="K45" s="2146">
        <f t="shared" ca="1" si="4"/>
        <v>0</v>
      </c>
      <c r="L45" s="2049">
        <f t="shared" si="5"/>
        <v>0</v>
      </c>
      <c r="M45" s="2157">
        <f t="shared" ca="1" si="6"/>
        <v>0</v>
      </c>
      <c r="N45" s="2049">
        <f t="shared" ca="1" si="7"/>
        <v>0</v>
      </c>
      <c r="O45" s="2157">
        <f t="shared" ca="1" si="8"/>
        <v>0</v>
      </c>
      <c r="P45" s="2049">
        <f t="shared" ca="1" si="0"/>
        <v>0</v>
      </c>
      <c r="Q45" s="2157">
        <f t="shared" ca="1" si="9"/>
        <v>0</v>
      </c>
    </row>
    <row r="46" spans="1:17" outlineLevel="1">
      <c r="A46" s="2080">
        <f>+SYS_4_3_Digitos!A44</f>
        <v>1633</v>
      </c>
      <c r="B46" s="2081" t="str">
        <f>+SYS_4_3_Digitos!B44</f>
        <v>OTRAS DEUDAS A LP CON EMPRESAS DEL GRUPO</v>
      </c>
      <c r="C46" s="2082">
        <f ca="1">+SYS_4_3_Digitos!I44</f>
        <v>0</v>
      </c>
      <c r="D46" s="2083">
        <f ca="1">+SYS_4_3_Digitos!J44</f>
        <v>0</v>
      </c>
      <c r="E46" s="2084" t="s">
        <v>1895</v>
      </c>
      <c r="F46" s="2049">
        <f t="shared" si="1"/>
        <v>0</v>
      </c>
      <c r="G46" s="2049">
        <f t="shared" ca="1" si="2"/>
        <v>0</v>
      </c>
      <c r="H46" s="2051" t="s">
        <v>1896</v>
      </c>
      <c r="I46" s="2052">
        <v>1</v>
      </c>
      <c r="J46" s="2049">
        <f t="shared" si="3"/>
        <v>0</v>
      </c>
      <c r="K46" s="2146">
        <f t="shared" ca="1" si="4"/>
        <v>0</v>
      </c>
      <c r="L46" s="2049">
        <f t="shared" si="5"/>
        <v>0</v>
      </c>
      <c r="M46" s="2157">
        <f t="shared" ca="1" si="6"/>
        <v>0</v>
      </c>
      <c r="N46" s="2049">
        <f t="shared" ca="1" si="7"/>
        <v>0</v>
      </c>
      <c r="O46" s="2157">
        <f t="shared" ca="1" si="8"/>
        <v>0</v>
      </c>
      <c r="P46" s="2049">
        <f t="shared" ca="1" si="0"/>
        <v>0</v>
      </c>
      <c r="Q46" s="2157">
        <f t="shared" ca="1" si="9"/>
        <v>0</v>
      </c>
    </row>
    <row r="47" spans="1:17" outlineLevel="1">
      <c r="A47" s="2080">
        <f>+SYS_4_3_Digitos!A45</f>
        <v>1634</v>
      </c>
      <c r="B47" s="2081" t="str">
        <f>+SYS_4_3_Digitos!B45</f>
        <v>OTRAS DEUDAS A LP CON EMPRESAS ASOCIADAS</v>
      </c>
      <c r="C47" s="2082">
        <f ca="1">+SYS_4_3_Digitos!I45</f>
        <v>0</v>
      </c>
      <c r="D47" s="2083">
        <f ca="1">+SYS_4_3_Digitos!J45</f>
        <v>0</v>
      </c>
      <c r="E47" s="2084" t="s">
        <v>1895</v>
      </c>
      <c r="F47" s="2049">
        <f t="shared" si="1"/>
        <v>0</v>
      </c>
      <c r="G47" s="2049">
        <f t="shared" ca="1" si="2"/>
        <v>0</v>
      </c>
      <c r="H47" s="2051" t="s">
        <v>1896</v>
      </c>
      <c r="I47" s="2052">
        <v>1</v>
      </c>
      <c r="J47" s="2049">
        <f t="shared" si="3"/>
        <v>0</v>
      </c>
      <c r="K47" s="2146">
        <f t="shared" ca="1" si="4"/>
        <v>0</v>
      </c>
      <c r="L47" s="2049">
        <f t="shared" si="5"/>
        <v>0</v>
      </c>
      <c r="M47" s="2157">
        <f t="shared" ca="1" si="6"/>
        <v>0</v>
      </c>
      <c r="N47" s="2049">
        <f t="shared" ca="1" si="7"/>
        <v>0</v>
      </c>
      <c r="O47" s="2157">
        <f t="shared" ca="1" si="8"/>
        <v>0</v>
      </c>
      <c r="P47" s="2049">
        <f t="shared" ca="1" si="0"/>
        <v>0</v>
      </c>
      <c r="Q47" s="2157">
        <f t="shared" ca="1" si="9"/>
        <v>0</v>
      </c>
    </row>
    <row r="48" spans="1:17" outlineLevel="1">
      <c r="A48" s="2080">
        <f>+SYS_4_3_Digitos!A46</f>
        <v>1635</v>
      </c>
      <c r="B48" s="2081" t="str">
        <f>+SYS_4_3_Digitos!B46</f>
        <v>OTRAS DEUDAS A LP CON OTRAS PARTES VINCULADAS</v>
      </c>
      <c r="C48" s="2082">
        <f ca="1">+SYS_4_3_Digitos!I46</f>
        <v>0</v>
      </c>
      <c r="D48" s="2083">
        <f ca="1">+SYS_4_3_Digitos!J46</f>
        <v>0</v>
      </c>
      <c r="E48" s="2084" t="s">
        <v>1895</v>
      </c>
      <c r="F48" s="2049">
        <f t="shared" si="1"/>
        <v>0</v>
      </c>
      <c r="G48" s="2049">
        <f t="shared" ca="1" si="2"/>
        <v>0</v>
      </c>
      <c r="H48" s="2051" t="s">
        <v>1896</v>
      </c>
      <c r="I48" s="2052">
        <v>1</v>
      </c>
      <c r="J48" s="2049">
        <f t="shared" si="3"/>
        <v>0</v>
      </c>
      <c r="K48" s="2146">
        <f t="shared" ca="1" si="4"/>
        <v>0</v>
      </c>
      <c r="L48" s="2049">
        <f t="shared" si="5"/>
        <v>0</v>
      </c>
      <c r="M48" s="2157">
        <f t="shared" ca="1" si="6"/>
        <v>0</v>
      </c>
      <c r="N48" s="2049">
        <f t="shared" ca="1" si="7"/>
        <v>0</v>
      </c>
      <c r="O48" s="2157">
        <f t="shared" ca="1" si="8"/>
        <v>0</v>
      </c>
      <c r="P48" s="2049">
        <f t="shared" ca="1" si="0"/>
        <v>0</v>
      </c>
      <c r="Q48" s="2157">
        <f t="shared" ca="1" si="9"/>
        <v>0</v>
      </c>
    </row>
    <row r="49" spans="1:17" outlineLevel="1">
      <c r="A49" s="1310">
        <f>+SYS_4_3_Digitos!A47</f>
        <v>170</v>
      </c>
      <c r="B49" s="1311" t="str">
        <f>+SYS_4_3_Digitos!B47</f>
        <v>DEUDAS A LP CON ENTIDADES DE CRÉDITO</v>
      </c>
      <c r="C49" s="1314">
        <f ca="1">+SYS_4_3_Digitos!I47</f>
        <v>0</v>
      </c>
      <c r="D49" s="1315">
        <f ca="1">+SYS_4_3_Digitos!J47</f>
        <v>0</v>
      </c>
      <c r="E49" s="2045" t="s">
        <v>1895</v>
      </c>
      <c r="F49" s="2049">
        <f t="shared" si="1"/>
        <v>0</v>
      </c>
      <c r="G49" s="2049">
        <f t="shared" ca="1" si="2"/>
        <v>0</v>
      </c>
      <c r="H49" s="2051" t="s">
        <v>1896</v>
      </c>
      <c r="I49" s="2052">
        <v>1</v>
      </c>
      <c r="J49" s="2049">
        <f t="shared" si="3"/>
        <v>0</v>
      </c>
      <c r="K49" s="2146">
        <f t="shared" ca="1" si="4"/>
        <v>0</v>
      </c>
      <c r="L49" s="2049">
        <f t="shared" si="5"/>
        <v>0</v>
      </c>
      <c r="M49" s="2157">
        <f t="shared" ca="1" si="6"/>
        <v>0</v>
      </c>
      <c r="N49" s="2049">
        <f t="shared" ca="1" si="7"/>
        <v>0</v>
      </c>
      <c r="O49" s="2157">
        <f t="shared" ca="1" si="8"/>
        <v>0</v>
      </c>
      <c r="P49" s="2049">
        <f t="shared" ca="1" si="0"/>
        <v>0</v>
      </c>
      <c r="Q49" s="2157">
        <f t="shared" ca="1" si="9"/>
        <v>0</v>
      </c>
    </row>
    <row r="50" spans="1:17" outlineLevel="1">
      <c r="A50" s="1310">
        <f>+SYS_4_3_Digitos!A48</f>
        <v>171</v>
      </c>
      <c r="B50" s="1311" t="str">
        <f>+SYS_4_3_Digitos!B48</f>
        <v>DEUDAS A LP</v>
      </c>
      <c r="C50" s="1314">
        <f ca="1">+SYS_4_3_Digitos!I48</f>
        <v>0</v>
      </c>
      <c r="D50" s="1315">
        <f ca="1">+SYS_4_3_Digitos!J48</f>
        <v>0</v>
      </c>
      <c r="E50" s="2045" t="s">
        <v>1895</v>
      </c>
      <c r="F50" s="2049">
        <f t="shared" si="1"/>
        <v>0</v>
      </c>
      <c r="G50" s="2049">
        <f t="shared" ca="1" si="2"/>
        <v>0</v>
      </c>
      <c r="H50" s="2051" t="s">
        <v>1896</v>
      </c>
      <c r="I50" s="2052">
        <v>1</v>
      </c>
      <c r="J50" s="2049">
        <f t="shared" si="3"/>
        <v>0</v>
      </c>
      <c r="K50" s="2146">
        <f t="shared" ca="1" si="4"/>
        <v>0</v>
      </c>
      <c r="L50" s="2049">
        <f t="shared" si="5"/>
        <v>0</v>
      </c>
      <c r="M50" s="2157">
        <f t="shared" ca="1" si="6"/>
        <v>0</v>
      </c>
      <c r="N50" s="2049">
        <f t="shared" ca="1" si="7"/>
        <v>0</v>
      </c>
      <c r="O50" s="2157">
        <f t="shared" ca="1" si="8"/>
        <v>0</v>
      </c>
      <c r="P50" s="2049">
        <f t="shared" ca="1" si="0"/>
        <v>0</v>
      </c>
      <c r="Q50" s="2157">
        <f t="shared" ca="1" si="9"/>
        <v>0</v>
      </c>
    </row>
    <row r="51" spans="1:17" outlineLevel="1">
      <c r="A51" s="1310">
        <f>+SYS_4_3_Digitos!A49</f>
        <v>172</v>
      </c>
      <c r="B51" s="1311" t="str">
        <f>+SYS_4_3_Digitos!B49</f>
        <v>DEUDAS A LP TRANSFORMABLES EN SUBV. DONAC Y LEGAD.</v>
      </c>
      <c r="C51" s="1314">
        <f ca="1">+SYS_4_3_Digitos!I49</f>
        <v>0</v>
      </c>
      <c r="D51" s="1315">
        <f ca="1">+SYS_4_3_Digitos!J49</f>
        <v>0</v>
      </c>
      <c r="E51" s="2045" t="s">
        <v>1895</v>
      </c>
      <c r="F51" s="2049">
        <f t="shared" si="1"/>
        <v>0</v>
      </c>
      <c r="G51" s="2049">
        <f t="shared" ca="1" si="2"/>
        <v>0</v>
      </c>
      <c r="H51" s="2051" t="s">
        <v>1896</v>
      </c>
      <c r="I51" s="2052">
        <v>1</v>
      </c>
      <c r="J51" s="2049">
        <f t="shared" si="3"/>
        <v>0</v>
      </c>
      <c r="K51" s="2146">
        <f t="shared" ca="1" si="4"/>
        <v>0</v>
      </c>
      <c r="L51" s="2049">
        <f t="shared" si="5"/>
        <v>0</v>
      </c>
      <c r="M51" s="2157">
        <f t="shared" ca="1" si="6"/>
        <v>0</v>
      </c>
      <c r="N51" s="2049">
        <f t="shared" ca="1" si="7"/>
        <v>0</v>
      </c>
      <c r="O51" s="2157">
        <f t="shared" ca="1" si="8"/>
        <v>0</v>
      </c>
      <c r="P51" s="2049">
        <f t="shared" ca="1" si="0"/>
        <v>0</v>
      </c>
      <c r="Q51" s="2157">
        <f t="shared" ca="1" si="9"/>
        <v>0</v>
      </c>
    </row>
    <row r="52" spans="1:17" outlineLevel="1">
      <c r="A52" s="1310">
        <f>+SYS_4_3_Digitos!A50</f>
        <v>173</v>
      </c>
      <c r="B52" s="1311" t="str">
        <f>+SYS_4_3_Digitos!B50</f>
        <v>PROVEEDORES DE INMOVILIZADO A LP</v>
      </c>
      <c r="C52" s="1314">
        <f ca="1">+SYS_4_3_Digitos!I50</f>
        <v>0</v>
      </c>
      <c r="D52" s="1315">
        <f ca="1">+SYS_4_3_Digitos!J50</f>
        <v>0</v>
      </c>
      <c r="E52" s="2045" t="s">
        <v>1895</v>
      </c>
      <c r="F52" s="2049">
        <f t="shared" si="1"/>
        <v>0</v>
      </c>
      <c r="G52" s="2049">
        <f t="shared" ca="1" si="2"/>
        <v>0</v>
      </c>
      <c r="H52" s="2051" t="s">
        <v>1896</v>
      </c>
      <c r="I52" s="2052">
        <v>1</v>
      </c>
      <c r="J52" s="2049">
        <f t="shared" si="3"/>
        <v>0</v>
      </c>
      <c r="K52" s="2146">
        <f t="shared" ca="1" si="4"/>
        <v>0</v>
      </c>
      <c r="L52" s="2049">
        <f t="shared" si="5"/>
        <v>0</v>
      </c>
      <c r="M52" s="2157">
        <f t="shared" ca="1" si="6"/>
        <v>0</v>
      </c>
      <c r="N52" s="2049">
        <f t="shared" ca="1" si="7"/>
        <v>0</v>
      </c>
      <c r="O52" s="2157">
        <f t="shared" ca="1" si="8"/>
        <v>0</v>
      </c>
      <c r="P52" s="2049">
        <f t="shared" ca="1" si="0"/>
        <v>0</v>
      </c>
      <c r="Q52" s="2157">
        <f t="shared" ca="1" si="9"/>
        <v>0</v>
      </c>
    </row>
    <row r="53" spans="1:17" outlineLevel="1">
      <c r="A53" s="1310">
        <f>+SYS_4_3_Digitos!A51</f>
        <v>174</v>
      </c>
      <c r="B53" s="1311" t="str">
        <f>+SYS_4_3_Digitos!B51</f>
        <v>ACREEDORES POR ARRENDAMIENTO FINANCIERO A LP</v>
      </c>
      <c r="C53" s="1314">
        <f ca="1">+SYS_4_3_Digitos!I51</f>
        <v>0</v>
      </c>
      <c r="D53" s="1315">
        <f ca="1">+SYS_4_3_Digitos!J51</f>
        <v>0</v>
      </c>
      <c r="E53" s="2045" t="s">
        <v>1895</v>
      </c>
      <c r="F53" s="2049">
        <f t="shared" si="1"/>
        <v>0</v>
      </c>
      <c r="G53" s="2049">
        <f t="shared" ca="1" si="2"/>
        <v>0</v>
      </c>
      <c r="H53" s="2051" t="s">
        <v>1896</v>
      </c>
      <c r="I53" s="2052">
        <v>1</v>
      </c>
      <c r="J53" s="2049">
        <f t="shared" si="3"/>
        <v>0</v>
      </c>
      <c r="K53" s="2146">
        <f t="shared" ca="1" si="4"/>
        <v>0</v>
      </c>
      <c r="L53" s="2049">
        <f t="shared" si="5"/>
        <v>0</v>
      </c>
      <c r="M53" s="2157">
        <f t="shared" ca="1" si="6"/>
        <v>0</v>
      </c>
      <c r="N53" s="2049">
        <f t="shared" ca="1" si="7"/>
        <v>0</v>
      </c>
      <c r="O53" s="2157">
        <f t="shared" ca="1" si="8"/>
        <v>0</v>
      </c>
      <c r="P53" s="2049">
        <f t="shared" ca="1" si="0"/>
        <v>0</v>
      </c>
      <c r="Q53" s="2157">
        <f t="shared" ca="1" si="9"/>
        <v>0</v>
      </c>
    </row>
    <row r="54" spans="1:17" outlineLevel="1">
      <c r="A54" s="1310">
        <f>+SYS_4_3_Digitos!A52</f>
        <v>175</v>
      </c>
      <c r="B54" s="1311" t="str">
        <f>+SYS_4_3_Digitos!B52</f>
        <v>EFECTOS A PAGAR A LP</v>
      </c>
      <c r="C54" s="1314">
        <f ca="1">+SYS_4_3_Digitos!I52</f>
        <v>0</v>
      </c>
      <c r="D54" s="1315">
        <f ca="1">+SYS_4_3_Digitos!J52</f>
        <v>0</v>
      </c>
      <c r="E54" s="2045" t="s">
        <v>1895</v>
      </c>
      <c r="F54" s="2049">
        <f t="shared" si="1"/>
        <v>0</v>
      </c>
      <c r="G54" s="2049">
        <f t="shared" ca="1" si="2"/>
        <v>0</v>
      </c>
      <c r="H54" s="2051" t="s">
        <v>1896</v>
      </c>
      <c r="I54" s="2052">
        <v>1</v>
      </c>
      <c r="J54" s="2049">
        <f t="shared" si="3"/>
        <v>0</v>
      </c>
      <c r="K54" s="2146">
        <f t="shared" ca="1" si="4"/>
        <v>0</v>
      </c>
      <c r="L54" s="2049">
        <f t="shared" si="5"/>
        <v>0</v>
      </c>
      <c r="M54" s="2157">
        <f t="shared" ca="1" si="6"/>
        <v>0</v>
      </c>
      <c r="N54" s="2049">
        <f t="shared" ca="1" si="7"/>
        <v>0</v>
      </c>
      <c r="O54" s="2157">
        <f t="shared" ca="1" si="8"/>
        <v>0</v>
      </c>
      <c r="P54" s="2049">
        <f t="shared" ca="1" si="0"/>
        <v>0</v>
      </c>
      <c r="Q54" s="2157">
        <f t="shared" ca="1" si="9"/>
        <v>0</v>
      </c>
    </row>
    <row r="55" spans="1:17" outlineLevel="1">
      <c r="A55" s="1310">
        <f>+SYS_4_3_Digitos!A53</f>
        <v>176</v>
      </c>
      <c r="B55" s="1311" t="str">
        <f>+SYS_4_3_Digitos!B53</f>
        <v>PASIVOS POR DERIVADOS FINANCIEROS A LP</v>
      </c>
      <c r="C55" s="1314">
        <f ca="1">+SYS_4_3_Digitos!I53</f>
        <v>0</v>
      </c>
      <c r="D55" s="1315">
        <f ca="1">+SYS_4_3_Digitos!J53</f>
        <v>0</v>
      </c>
      <c r="E55" s="2045" t="s">
        <v>1895</v>
      </c>
      <c r="F55" s="2049">
        <f t="shared" si="1"/>
        <v>0</v>
      </c>
      <c r="G55" s="2049">
        <f t="shared" ca="1" si="2"/>
        <v>0</v>
      </c>
      <c r="H55" s="2051" t="s">
        <v>1896</v>
      </c>
      <c r="I55" s="2052">
        <v>1</v>
      </c>
      <c r="J55" s="2049">
        <f t="shared" si="3"/>
        <v>0</v>
      </c>
      <c r="K55" s="2146">
        <f t="shared" ca="1" si="4"/>
        <v>0</v>
      </c>
      <c r="L55" s="2049">
        <f t="shared" si="5"/>
        <v>0</v>
      </c>
      <c r="M55" s="2157">
        <f t="shared" ca="1" si="6"/>
        <v>0</v>
      </c>
      <c r="N55" s="2049">
        <f t="shared" ca="1" si="7"/>
        <v>0</v>
      </c>
      <c r="O55" s="2157">
        <f t="shared" ca="1" si="8"/>
        <v>0</v>
      </c>
      <c r="P55" s="2049">
        <f t="shared" ca="1" si="0"/>
        <v>0</v>
      </c>
      <c r="Q55" s="2157">
        <f t="shared" ca="1" si="9"/>
        <v>0</v>
      </c>
    </row>
    <row r="56" spans="1:17" outlineLevel="1">
      <c r="A56" s="1310">
        <f>+SYS_4_3_Digitos!A54</f>
        <v>177</v>
      </c>
      <c r="B56" s="1311" t="str">
        <f>+SYS_4_3_Digitos!B54</f>
        <v>OBLIGACIONES Y BONOS</v>
      </c>
      <c r="C56" s="1314">
        <f ca="1">+SYS_4_3_Digitos!I54</f>
        <v>0</v>
      </c>
      <c r="D56" s="1315">
        <f ca="1">+SYS_4_3_Digitos!J54</f>
        <v>0</v>
      </c>
      <c r="E56" s="2045" t="s">
        <v>1895</v>
      </c>
      <c r="F56" s="2049">
        <f t="shared" si="1"/>
        <v>0</v>
      </c>
      <c r="G56" s="2049">
        <f t="shared" ca="1" si="2"/>
        <v>0</v>
      </c>
      <c r="H56" s="2051" t="s">
        <v>1896</v>
      </c>
      <c r="I56" s="2052">
        <v>1</v>
      </c>
      <c r="J56" s="2049">
        <f t="shared" si="3"/>
        <v>0</v>
      </c>
      <c r="K56" s="2146">
        <f t="shared" ca="1" si="4"/>
        <v>0</v>
      </c>
      <c r="L56" s="2049">
        <f t="shared" si="5"/>
        <v>0</v>
      </c>
      <c r="M56" s="2157">
        <f t="shared" ca="1" si="6"/>
        <v>0</v>
      </c>
      <c r="N56" s="2049">
        <f t="shared" ca="1" si="7"/>
        <v>0</v>
      </c>
      <c r="O56" s="2157">
        <f t="shared" ca="1" si="8"/>
        <v>0</v>
      </c>
      <c r="P56" s="2049">
        <f t="shared" ca="1" si="0"/>
        <v>0</v>
      </c>
      <c r="Q56" s="2157">
        <f t="shared" ca="1" si="9"/>
        <v>0</v>
      </c>
    </row>
    <row r="57" spans="1:17" outlineLevel="1">
      <c r="A57" s="1310">
        <f>+SYS_4_3_Digitos!A55</f>
        <v>178</v>
      </c>
      <c r="B57" s="1311" t="str">
        <f>+SYS_4_3_Digitos!B55</f>
        <v>OBLIGACIONES Y BONOS CONVERTIBLES</v>
      </c>
      <c r="C57" s="1314">
        <f ca="1">+SYS_4_3_Digitos!I55</f>
        <v>0</v>
      </c>
      <c r="D57" s="1315">
        <f ca="1">+SYS_4_3_Digitos!J55</f>
        <v>0</v>
      </c>
      <c r="E57" s="2045" t="s">
        <v>1895</v>
      </c>
      <c r="F57" s="2049">
        <f t="shared" si="1"/>
        <v>0</v>
      </c>
      <c r="G57" s="2049">
        <f t="shared" ca="1" si="2"/>
        <v>0</v>
      </c>
      <c r="H57" s="2051" t="s">
        <v>1896</v>
      </c>
      <c r="I57" s="2052">
        <v>1</v>
      </c>
      <c r="J57" s="2049">
        <f t="shared" si="3"/>
        <v>0</v>
      </c>
      <c r="K57" s="2146">
        <f t="shared" ca="1" si="4"/>
        <v>0</v>
      </c>
      <c r="L57" s="2049">
        <f t="shared" si="5"/>
        <v>0</v>
      </c>
      <c r="M57" s="2157">
        <f t="shared" ca="1" si="6"/>
        <v>0</v>
      </c>
      <c r="N57" s="2049">
        <f t="shared" ca="1" si="7"/>
        <v>0</v>
      </c>
      <c r="O57" s="2157">
        <f t="shared" ca="1" si="8"/>
        <v>0</v>
      </c>
      <c r="P57" s="2049">
        <f t="shared" ca="1" si="0"/>
        <v>0</v>
      </c>
      <c r="Q57" s="2157">
        <f t="shared" ca="1" si="9"/>
        <v>0</v>
      </c>
    </row>
    <row r="58" spans="1:17" outlineLevel="1">
      <c r="A58" s="1310">
        <f>+SYS_4_3_Digitos!A56</f>
        <v>179</v>
      </c>
      <c r="B58" s="1311" t="str">
        <f>+SYS_4_3_Digitos!B56</f>
        <v>DEUDAS REPRESENTADAS EN OTROS VALORES NEGOCIAB.</v>
      </c>
      <c r="C58" s="1314">
        <f ca="1">+SYS_4_3_Digitos!I56</f>
        <v>0</v>
      </c>
      <c r="D58" s="1315">
        <f ca="1">+SYS_4_3_Digitos!J56</f>
        <v>0</v>
      </c>
      <c r="E58" s="2045" t="s">
        <v>1895</v>
      </c>
      <c r="F58" s="2049">
        <f t="shared" si="1"/>
        <v>0</v>
      </c>
      <c r="G58" s="2049">
        <f t="shared" ca="1" si="2"/>
        <v>0</v>
      </c>
      <c r="H58" s="2051" t="s">
        <v>1896</v>
      </c>
      <c r="I58" s="2052">
        <v>1</v>
      </c>
      <c r="J58" s="2049">
        <f t="shared" si="3"/>
        <v>0</v>
      </c>
      <c r="K58" s="2146">
        <f t="shared" ca="1" si="4"/>
        <v>0</v>
      </c>
      <c r="L58" s="2049">
        <f t="shared" si="5"/>
        <v>0</v>
      </c>
      <c r="M58" s="2157">
        <f t="shared" ca="1" si="6"/>
        <v>0</v>
      </c>
      <c r="N58" s="2049">
        <f t="shared" ca="1" si="7"/>
        <v>0</v>
      </c>
      <c r="O58" s="2157">
        <f t="shared" ca="1" si="8"/>
        <v>0</v>
      </c>
      <c r="P58" s="2049">
        <f t="shared" ca="1" si="0"/>
        <v>0</v>
      </c>
      <c r="Q58" s="2157">
        <f t="shared" ca="1" si="9"/>
        <v>0</v>
      </c>
    </row>
    <row r="59" spans="1:17" outlineLevel="1">
      <c r="A59" s="1310">
        <f>+SYS_4_3_Digitos!A57</f>
        <v>180</v>
      </c>
      <c r="B59" s="1311" t="str">
        <f>+SYS_4_3_Digitos!B57</f>
        <v>FIANZAS RECIBIDAS A LP</v>
      </c>
      <c r="C59" s="1314">
        <f ca="1">+SYS_4_3_Digitos!I57</f>
        <v>0</v>
      </c>
      <c r="D59" s="1315">
        <f ca="1">+SYS_4_3_Digitos!J57</f>
        <v>205434</v>
      </c>
      <c r="E59" s="2045" t="s">
        <v>1895</v>
      </c>
      <c r="F59" s="2049">
        <f t="shared" si="1"/>
        <v>0</v>
      </c>
      <c r="G59" s="2049">
        <f t="shared" ca="1" si="2"/>
        <v>205434</v>
      </c>
      <c r="H59" s="2051" t="s">
        <v>1896</v>
      </c>
      <c r="I59" s="2052">
        <v>1</v>
      </c>
      <c r="J59" s="2049">
        <f t="shared" si="3"/>
        <v>0</v>
      </c>
      <c r="K59" s="2146">
        <f t="shared" ca="1" si="4"/>
        <v>0</v>
      </c>
      <c r="L59" s="2049">
        <f t="shared" si="5"/>
        <v>0</v>
      </c>
      <c r="M59" s="2157">
        <f t="shared" ca="1" si="6"/>
        <v>0</v>
      </c>
      <c r="N59" s="2049">
        <f t="shared" ca="1" si="7"/>
        <v>205434</v>
      </c>
      <c r="O59" s="2157">
        <f t="shared" ca="1" si="8"/>
        <v>5.8304151041309066E-4</v>
      </c>
      <c r="P59" s="2049">
        <f t="shared" ca="1" si="0"/>
        <v>0</v>
      </c>
      <c r="Q59" s="2157">
        <f t="shared" ca="1" si="9"/>
        <v>0</v>
      </c>
    </row>
    <row r="60" spans="1:17" outlineLevel="1">
      <c r="A60" s="1310">
        <f>+SYS_4_3_Digitos!A58</f>
        <v>181</v>
      </c>
      <c r="B60" s="1311" t="str">
        <f>+SYS_4_3_Digitos!B58</f>
        <v>ANTICIPOS RECIBIDOS APOR VTAS O PREST. SERV. A LP</v>
      </c>
      <c r="C60" s="1314">
        <f ca="1">+SYS_4_3_Digitos!I58</f>
        <v>0</v>
      </c>
      <c r="D60" s="1315">
        <f ca="1">+SYS_4_3_Digitos!J58</f>
        <v>0</v>
      </c>
      <c r="E60" s="2045" t="s">
        <v>1895</v>
      </c>
      <c r="F60" s="2049">
        <f t="shared" si="1"/>
        <v>0</v>
      </c>
      <c r="G60" s="2049">
        <f t="shared" ca="1" si="2"/>
        <v>0</v>
      </c>
      <c r="H60" s="2051" t="s">
        <v>1896</v>
      </c>
      <c r="I60" s="2052">
        <v>1</v>
      </c>
      <c r="J60" s="2049">
        <f t="shared" si="3"/>
        <v>0</v>
      </c>
      <c r="K60" s="2146">
        <f t="shared" ca="1" si="4"/>
        <v>0</v>
      </c>
      <c r="L60" s="2049">
        <f t="shared" si="5"/>
        <v>0</v>
      </c>
      <c r="M60" s="2157">
        <f t="shared" ca="1" si="6"/>
        <v>0</v>
      </c>
      <c r="N60" s="2049">
        <f t="shared" ca="1" si="7"/>
        <v>0</v>
      </c>
      <c r="O60" s="2157">
        <f t="shared" ca="1" si="8"/>
        <v>0</v>
      </c>
      <c r="P60" s="2049">
        <f t="shared" ca="1" si="0"/>
        <v>0</v>
      </c>
      <c r="Q60" s="2157">
        <f t="shared" ca="1" si="9"/>
        <v>0</v>
      </c>
    </row>
    <row r="61" spans="1:17" outlineLevel="1">
      <c r="A61" s="1310">
        <f>+SYS_4_3_Digitos!A59</f>
        <v>185</v>
      </c>
      <c r="B61" s="1311" t="str">
        <f>+SYS_4_3_Digitos!B59</f>
        <v>DEPÓSITOS RECIBIDOS A LP</v>
      </c>
      <c r="C61" s="1314">
        <f ca="1">+SYS_4_3_Digitos!I59</f>
        <v>0</v>
      </c>
      <c r="D61" s="1315">
        <f ca="1">+SYS_4_3_Digitos!J59</f>
        <v>0</v>
      </c>
      <c r="E61" s="2045" t="s">
        <v>1895</v>
      </c>
      <c r="F61" s="2049">
        <f t="shared" si="1"/>
        <v>0</v>
      </c>
      <c r="G61" s="2049">
        <f t="shared" ca="1" si="2"/>
        <v>0</v>
      </c>
      <c r="H61" s="2051" t="s">
        <v>1896</v>
      </c>
      <c r="I61" s="2052">
        <v>1</v>
      </c>
      <c r="J61" s="2049">
        <f t="shared" si="3"/>
        <v>0</v>
      </c>
      <c r="K61" s="2146">
        <f t="shared" ca="1" si="4"/>
        <v>0</v>
      </c>
      <c r="L61" s="2049">
        <f t="shared" si="5"/>
        <v>0</v>
      </c>
      <c r="M61" s="2157">
        <f t="shared" ca="1" si="6"/>
        <v>0</v>
      </c>
      <c r="N61" s="2049">
        <f t="shared" ca="1" si="7"/>
        <v>0</v>
      </c>
      <c r="O61" s="2157">
        <f t="shared" ca="1" si="8"/>
        <v>0</v>
      </c>
      <c r="P61" s="2049">
        <f t="shared" ca="1" si="0"/>
        <v>0</v>
      </c>
      <c r="Q61" s="2157">
        <f t="shared" ca="1" si="9"/>
        <v>0</v>
      </c>
    </row>
    <row r="62" spans="1:17" outlineLevel="1">
      <c r="A62" s="1310">
        <f>+SYS_4_3_Digitos!A60</f>
        <v>189</v>
      </c>
      <c r="B62" s="1311" t="str">
        <f>+SYS_4_3_Digitos!B60</f>
        <v>GARANTÍAS FINANCIERAS A LP</v>
      </c>
      <c r="C62" s="1314">
        <f ca="1">+SYS_4_3_Digitos!I60</f>
        <v>0</v>
      </c>
      <c r="D62" s="1315">
        <f ca="1">+SYS_4_3_Digitos!J60</f>
        <v>0</v>
      </c>
      <c r="E62" s="2045" t="s">
        <v>1895</v>
      </c>
      <c r="F62" s="2049">
        <f t="shared" si="1"/>
        <v>0</v>
      </c>
      <c r="G62" s="2049">
        <f t="shared" ca="1" si="2"/>
        <v>0</v>
      </c>
      <c r="H62" s="2051" t="s">
        <v>1896</v>
      </c>
      <c r="I62" s="2052">
        <v>1</v>
      </c>
      <c r="J62" s="2049">
        <f t="shared" si="3"/>
        <v>0</v>
      </c>
      <c r="K62" s="2146">
        <f t="shared" ca="1" si="4"/>
        <v>0</v>
      </c>
      <c r="L62" s="2049">
        <f t="shared" si="5"/>
        <v>0</v>
      </c>
      <c r="M62" s="2157">
        <f t="shared" ca="1" si="6"/>
        <v>0</v>
      </c>
      <c r="N62" s="2049">
        <f t="shared" ca="1" si="7"/>
        <v>0</v>
      </c>
      <c r="O62" s="2157">
        <f t="shared" ca="1" si="8"/>
        <v>0</v>
      </c>
      <c r="P62" s="2049">
        <f t="shared" ca="1" si="0"/>
        <v>0</v>
      </c>
      <c r="Q62" s="2157">
        <f t="shared" ca="1" si="9"/>
        <v>0</v>
      </c>
    </row>
    <row r="63" spans="1:17" outlineLevel="1">
      <c r="A63" s="1310">
        <f>+SYS_4_3_Digitos!A61</f>
        <v>190</v>
      </c>
      <c r="B63" s="1311" t="str">
        <f>+SYS_4_3_Digitos!B61</f>
        <v>ACCIONES O PARTICIPACIONES EMITIDAS</v>
      </c>
      <c r="C63" s="1314">
        <f ca="1">+SYS_4_3_Digitos!I61</f>
        <v>0</v>
      </c>
      <c r="D63" s="1315">
        <f ca="1">+SYS_4_3_Digitos!J61</f>
        <v>0</v>
      </c>
      <c r="E63" s="2045" t="s">
        <v>1895</v>
      </c>
      <c r="F63" s="2049">
        <f t="shared" si="1"/>
        <v>0</v>
      </c>
      <c r="G63" s="2049">
        <f t="shared" ca="1" si="2"/>
        <v>0</v>
      </c>
      <c r="H63" s="2051" t="s">
        <v>1896</v>
      </c>
      <c r="I63" s="2052">
        <v>1</v>
      </c>
      <c r="J63" s="2049">
        <f t="shared" si="3"/>
        <v>0</v>
      </c>
      <c r="K63" s="2146">
        <f t="shared" ca="1" si="4"/>
        <v>0</v>
      </c>
      <c r="L63" s="2049">
        <f t="shared" si="5"/>
        <v>0</v>
      </c>
      <c r="M63" s="2157">
        <f t="shared" ca="1" si="6"/>
        <v>0</v>
      </c>
      <c r="N63" s="2049">
        <f t="shared" ca="1" si="7"/>
        <v>0</v>
      </c>
      <c r="O63" s="2157">
        <f t="shared" ca="1" si="8"/>
        <v>0</v>
      </c>
      <c r="P63" s="2049">
        <f t="shared" ca="1" si="0"/>
        <v>0</v>
      </c>
      <c r="Q63" s="2157">
        <f t="shared" ca="1" si="9"/>
        <v>0</v>
      </c>
    </row>
    <row r="64" spans="1:17" outlineLevel="1">
      <c r="A64" s="1310">
        <f>+SYS_4_3_Digitos!A62</f>
        <v>192</v>
      </c>
      <c r="B64" s="1311" t="str">
        <f>+SYS_4_3_Digitos!B62</f>
        <v>SUSCRIPTORES DE ACCIONES</v>
      </c>
      <c r="C64" s="1314">
        <f ca="1">+SYS_4_3_Digitos!I62</f>
        <v>0</v>
      </c>
      <c r="D64" s="1315">
        <f ca="1">+SYS_4_3_Digitos!J62</f>
        <v>0</v>
      </c>
      <c r="E64" s="2045" t="s">
        <v>1895</v>
      </c>
      <c r="F64" s="2049">
        <f t="shared" si="1"/>
        <v>0</v>
      </c>
      <c r="G64" s="2049">
        <f t="shared" ca="1" si="2"/>
        <v>0</v>
      </c>
      <c r="H64" s="2051" t="s">
        <v>1896</v>
      </c>
      <c r="I64" s="2052">
        <v>1</v>
      </c>
      <c r="J64" s="2049">
        <f t="shared" si="3"/>
        <v>0</v>
      </c>
      <c r="K64" s="2146">
        <f t="shared" ca="1" si="4"/>
        <v>0</v>
      </c>
      <c r="L64" s="2049">
        <f t="shared" si="5"/>
        <v>0</v>
      </c>
      <c r="M64" s="2157">
        <f t="shared" ca="1" si="6"/>
        <v>0</v>
      </c>
      <c r="N64" s="2049">
        <f t="shared" ca="1" si="7"/>
        <v>0</v>
      </c>
      <c r="O64" s="2157">
        <f t="shared" ca="1" si="8"/>
        <v>0</v>
      </c>
      <c r="P64" s="2049">
        <f t="shared" ca="1" si="0"/>
        <v>0</v>
      </c>
      <c r="Q64" s="2157">
        <f t="shared" ca="1" si="9"/>
        <v>0</v>
      </c>
    </row>
    <row r="65" spans="1:17" outlineLevel="1">
      <c r="A65" s="1310">
        <f>+SYS_4_3_Digitos!A63</f>
        <v>194</v>
      </c>
      <c r="B65" s="1311" t="str">
        <f>+SYS_4_3_Digitos!B63</f>
        <v>CAPITAL EMITIDO PENDIENTE DE INSCRIPCIÓN</v>
      </c>
      <c r="C65" s="1314">
        <f ca="1">+SYS_4_3_Digitos!I63</f>
        <v>0</v>
      </c>
      <c r="D65" s="1315">
        <f ca="1">+SYS_4_3_Digitos!J63</f>
        <v>0</v>
      </c>
      <c r="E65" s="2045" t="s">
        <v>1895</v>
      </c>
      <c r="F65" s="2049">
        <f t="shared" si="1"/>
        <v>0</v>
      </c>
      <c r="G65" s="2049">
        <f t="shared" ca="1" si="2"/>
        <v>0</v>
      </c>
      <c r="H65" s="2051" t="s">
        <v>1896</v>
      </c>
      <c r="I65" s="2052">
        <v>1</v>
      </c>
      <c r="J65" s="2049">
        <f t="shared" si="3"/>
        <v>0</v>
      </c>
      <c r="K65" s="2146">
        <f t="shared" ca="1" si="4"/>
        <v>0</v>
      </c>
      <c r="L65" s="2049">
        <f t="shared" si="5"/>
        <v>0</v>
      </c>
      <c r="M65" s="2157">
        <f t="shared" ca="1" si="6"/>
        <v>0</v>
      </c>
      <c r="N65" s="2049">
        <f t="shared" ca="1" si="7"/>
        <v>0</v>
      </c>
      <c r="O65" s="2157">
        <f t="shared" ca="1" si="8"/>
        <v>0</v>
      </c>
      <c r="P65" s="2049">
        <f t="shared" ca="1" si="0"/>
        <v>0</v>
      </c>
      <c r="Q65" s="2157">
        <f t="shared" ca="1" si="9"/>
        <v>0</v>
      </c>
    </row>
    <row r="66" spans="1:17" outlineLevel="1">
      <c r="A66" s="1310">
        <f>+SYS_4_3_Digitos!A64</f>
        <v>195</v>
      </c>
      <c r="B66" s="1311" t="str">
        <f>+SYS_4_3_Digitos!B64</f>
        <v>ACC. O PART. EMITIDAS CONSIDERADAS COMO PASIVOS FROS</v>
      </c>
      <c r="C66" s="1314">
        <f ca="1">+SYS_4_3_Digitos!I64</f>
        <v>0</v>
      </c>
      <c r="D66" s="1315">
        <f ca="1">+SYS_4_3_Digitos!J64</f>
        <v>0</v>
      </c>
      <c r="E66" s="2045" t="s">
        <v>1895</v>
      </c>
      <c r="F66" s="2049">
        <f t="shared" si="1"/>
        <v>0</v>
      </c>
      <c r="G66" s="2049">
        <f t="shared" ca="1" si="2"/>
        <v>0</v>
      </c>
      <c r="H66" s="2051" t="s">
        <v>1896</v>
      </c>
      <c r="I66" s="2052">
        <v>1</v>
      </c>
      <c r="J66" s="2049">
        <f t="shared" si="3"/>
        <v>0</v>
      </c>
      <c r="K66" s="2146">
        <f t="shared" ca="1" si="4"/>
        <v>0</v>
      </c>
      <c r="L66" s="2049">
        <f t="shared" si="5"/>
        <v>0</v>
      </c>
      <c r="M66" s="2157">
        <f t="shared" ca="1" si="6"/>
        <v>0</v>
      </c>
      <c r="N66" s="2049">
        <f t="shared" ca="1" si="7"/>
        <v>0</v>
      </c>
      <c r="O66" s="2157">
        <f t="shared" ca="1" si="8"/>
        <v>0</v>
      </c>
      <c r="P66" s="2049">
        <f t="shared" ca="1" si="0"/>
        <v>0</v>
      </c>
      <c r="Q66" s="2157">
        <f t="shared" ca="1" si="9"/>
        <v>0</v>
      </c>
    </row>
    <row r="67" spans="1:17" outlineLevel="1">
      <c r="A67" s="1310">
        <f>+SYS_4_3_Digitos!A65</f>
        <v>197</v>
      </c>
      <c r="B67" s="1311" t="str">
        <f>+SYS_4_3_Digitos!B65</f>
        <v>SUSCRIP. DE ACC. CONSIDERADAS COMO PASIVOS FROS</v>
      </c>
      <c r="C67" s="1314">
        <f ca="1">+SYS_4_3_Digitos!I65</f>
        <v>0</v>
      </c>
      <c r="D67" s="1315">
        <f ca="1">+SYS_4_3_Digitos!J65</f>
        <v>0</v>
      </c>
      <c r="E67" s="2045" t="s">
        <v>1895</v>
      </c>
      <c r="F67" s="2049">
        <f t="shared" si="1"/>
        <v>0</v>
      </c>
      <c r="G67" s="2049">
        <f t="shared" ca="1" si="2"/>
        <v>0</v>
      </c>
      <c r="H67" s="2051" t="s">
        <v>1896</v>
      </c>
      <c r="I67" s="2052">
        <v>1</v>
      </c>
      <c r="J67" s="2049">
        <f t="shared" si="3"/>
        <v>0</v>
      </c>
      <c r="K67" s="2146">
        <f t="shared" ca="1" si="4"/>
        <v>0</v>
      </c>
      <c r="L67" s="2049">
        <f t="shared" si="5"/>
        <v>0</v>
      </c>
      <c r="M67" s="2157">
        <f t="shared" ca="1" si="6"/>
        <v>0</v>
      </c>
      <c r="N67" s="2049">
        <f t="shared" ca="1" si="7"/>
        <v>0</v>
      </c>
      <c r="O67" s="2157">
        <f t="shared" ca="1" si="8"/>
        <v>0</v>
      </c>
      <c r="P67" s="2049">
        <f t="shared" ca="1" si="0"/>
        <v>0</v>
      </c>
      <c r="Q67" s="2157">
        <f t="shared" ca="1" si="9"/>
        <v>0</v>
      </c>
    </row>
    <row r="68" spans="1:17" outlineLevel="1">
      <c r="A68" s="1310">
        <f>+SYS_4_3_Digitos!A66</f>
        <v>199</v>
      </c>
      <c r="B68" s="1311" t="str">
        <f>+SYS_4_3_Digitos!B66</f>
        <v>ACC O PART.EMITIDAS CONSID.PAS.FROS.PTES.INSCRIPCIÓN</v>
      </c>
      <c r="C68" s="1314">
        <f ca="1">+SYS_4_3_Digitos!I66</f>
        <v>0</v>
      </c>
      <c r="D68" s="1315">
        <f ca="1">+SYS_4_3_Digitos!J66</f>
        <v>0</v>
      </c>
      <c r="E68" s="2045" t="s">
        <v>1895</v>
      </c>
      <c r="F68" s="2049">
        <f t="shared" si="1"/>
        <v>0</v>
      </c>
      <c r="G68" s="2049">
        <f t="shared" ca="1" si="2"/>
        <v>0</v>
      </c>
      <c r="H68" s="2051" t="s">
        <v>1896</v>
      </c>
      <c r="I68" s="2052">
        <v>1</v>
      </c>
      <c r="J68" s="2049">
        <f t="shared" si="3"/>
        <v>0</v>
      </c>
      <c r="K68" s="2146">
        <f t="shared" ca="1" si="4"/>
        <v>0</v>
      </c>
      <c r="L68" s="2049">
        <f t="shared" si="5"/>
        <v>0</v>
      </c>
      <c r="M68" s="2157">
        <f t="shared" ca="1" si="6"/>
        <v>0</v>
      </c>
      <c r="N68" s="2049">
        <f t="shared" ca="1" si="7"/>
        <v>0</v>
      </c>
      <c r="O68" s="2157">
        <f t="shared" ca="1" si="8"/>
        <v>0</v>
      </c>
      <c r="P68" s="2049">
        <f t="shared" ca="1" si="0"/>
        <v>0</v>
      </c>
      <c r="Q68" s="2157">
        <f t="shared" ca="1" si="9"/>
        <v>0</v>
      </c>
    </row>
    <row r="69" spans="1:17" outlineLevel="1">
      <c r="A69" s="1310">
        <f>+SYS_4_3_Digitos!A67</f>
        <v>200</v>
      </c>
      <c r="B69" s="1311" t="str">
        <f>+SYS_4_3_Digitos!B67</f>
        <v xml:space="preserve">INVESTIGACIÓN </v>
      </c>
      <c r="C69" s="1314">
        <f ca="1">+SYS_4_3_Digitos!I67</f>
        <v>0</v>
      </c>
      <c r="D69" s="1315">
        <f ca="1">+SYS_4_3_Digitos!J67</f>
        <v>0</v>
      </c>
      <c r="E69" s="2045" t="s">
        <v>1896</v>
      </c>
      <c r="F69" s="2049">
        <f t="shared" ca="1" si="1"/>
        <v>0</v>
      </c>
      <c r="G69" s="2049">
        <f t="shared" si="2"/>
        <v>0</v>
      </c>
      <c r="H69" s="2051" t="s">
        <v>1896</v>
      </c>
      <c r="I69" s="2052">
        <v>1</v>
      </c>
      <c r="J69" s="2049">
        <f t="shared" ca="1" si="3"/>
        <v>0</v>
      </c>
      <c r="K69" s="2146">
        <f t="shared" ca="1" si="4"/>
        <v>0</v>
      </c>
      <c r="L69" s="2049">
        <f t="shared" ca="1" si="5"/>
        <v>0</v>
      </c>
      <c r="M69" s="2157">
        <f t="shared" ca="1" si="6"/>
        <v>0</v>
      </c>
      <c r="N69" s="2049">
        <f t="shared" si="7"/>
        <v>0</v>
      </c>
      <c r="O69" s="2157">
        <f t="shared" ca="1" si="8"/>
        <v>0</v>
      </c>
      <c r="P69" s="2049">
        <f t="shared" si="0"/>
        <v>0</v>
      </c>
      <c r="Q69" s="2157">
        <f t="shared" ca="1" si="9"/>
        <v>0</v>
      </c>
    </row>
    <row r="70" spans="1:17" outlineLevel="1">
      <c r="A70" s="1310">
        <f>+SYS_4_3_Digitos!A68</f>
        <v>201</v>
      </c>
      <c r="B70" s="1311" t="str">
        <f>+SYS_4_3_Digitos!B68</f>
        <v>DESARROLLO</v>
      </c>
      <c r="C70" s="1314">
        <f ca="1">+SYS_4_3_Digitos!I68</f>
        <v>0</v>
      </c>
      <c r="D70" s="1315">
        <f ca="1">+SYS_4_3_Digitos!J68</f>
        <v>0</v>
      </c>
      <c r="E70" s="2045" t="s">
        <v>1896</v>
      </c>
      <c r="F70" s="2049">
        <f t="shared" ca="1" si="1"/>
        <v>0</v>
      </c>
      <c r="G70" s="2049">
        <f t="shared" si="2"/>
        <v>0</v>
      </c>
      <c r="H70" s="2051" t="s">
        <v>1896</v>
      </c>
      <c r="I70" s="2052">
        <v>1</v>
      </c>
      <c r="J70" s="2049">
        <f t="shared" ca="1" si="3"/>
        <v>0</v>
      </c>
      <c r="K70" s="2146">
        <f t="shared" ca="1" si="4"/>
        <v>0</v>
      </c>
      <c r="L70" s="2049">
        <f t="shared" ca="1" si="5"/>
        <v>0</v>
      </c>
      <c r="M70" s="2157">
        <f t="shared" ca="1" si="6"/>
        <v>0</v>
      </c>
      <c r="N70" s="2049">
        <f t="shared" si="7"/>
        <v>0</v>
      </c>
      <c r="O70" s="2157">
        <f t="shared" ca="1" si="8"/>
        <v>0</v>
      </c>
      <c r="P70" s="2049">
        <f t="shared" si="0"/>
        <v>0</v>
      </c>
      <c r="Q70" s="2157">
        <f t="shared" ca="1" si="9"/>
        <v>0</v>
      </c>
    </row>
    <row r="71" spans="1:17" outlineLevel="1">
      <c r="A71" s="1310">
        <f>+SYS_4_3_Digitos!A69</f>
        <v>202</v>
      </c>
      <c r="B71" s="1311" t="str">
        <f>+SYS_4_3_Digitos!B69</f>
        <v>CONCESIONES ADMINISTRATIVAS</v>
      </c>
      <c r="C71" s="1314">
        <f ca="1">+SYS_4_3_Digitos!I69</f>
        <v>20800</v>
      </c>
      <c r="D71" s="1315">
        <f ca="1">+SYS_4_3_Digitos!J69</f>
        <v>0</v>
      </c>
      <c r="E71" s="2045" t="s">
        <v>1896</v>
      </c>
      <c r="F71" s="2049">
        <f t="shared" ca="1" si="1"/>
        <v>20800</v>
      </c>
      <c r="G71" s="2049">
        <f t="shared" si="2"/>
        <v>0</v>
      </c>
      <c r="H71" s="2051" t="s">
        <v>1896</v>
      </c>
      <c r="I71" s="2052">
        <v>1</v>
      </c>
      <c r="J71" s="2049">
        <f t="shared" ca="1" si="3"/>
        <v>20800</v>
      </c>
      <c r="K71" s="2146">
        <f t="shared" ca="1" si="4"/>
        <v>5.9032406595754786E-5</v>
      </c>
      <c r="L71" s="2049">
        <f t="shared" ca="1" si="5"/>
        <v>0</v>
      </c>
      <c r="M71" s="2157">
        <f t="shared" ca="1" si="6"/>
        <v>0</v>
      </c>
      <c r="N71" s="2049">
        <f t="shared" si="7"/>
        <v>0</v>
      </c>
      <c r="O71" s="2157">
        <f t="shared" ca="1" si="8"/>
        <v>0</v>
      </c>
      <c r="P71" s="2049">
        <f t="shared" ref="P71:P134" si="10">+G71-N71</f>
        <v>0</v>
      </c>
      <c r="Q71" s="2157">
        <f t="shared" ca="1" si="9"/>
        <v>0</v>
      </c>
    </row>
    <row r="72" spans="1:17" outlineLevel="1">
      <c r="A72" s="1310">
        <f>+SYS_4_3_Digitos!A70</f>
        <v>203</v>
      </c>
      <c r="B72" s="1311" t="str">
        <f>+SYS_4_3_Digitos!B70</f>
        <v>PROPIEDAD INDUSTRIAL</v>
      </c>
      <c r="C72" s="1314">
        <f ca="1">+SYS_4_3_Digitos!I70</f>
        <v>0</v>
      </c>
      <c r="D72" s="1315">
        <f ca="1">+SYS_4_3_Digitos!J70</f>
        <v>0</v>
      </c>
      <c r="E72" s="2045" t="s">
        <v>1896</v>
      </c>
      <c r="F72" s="2049">
        <f t="shared" ref="F72:F135" ca="1" si="11">IF(E72="A",C72-D72,0)</f>
        <v>0</v>
      </c>
      <c r="G72" s="2049">
        <f t="shared" ref="G72:G135" si="12">IF(E72="P",D72-C72,0)</f>
        <v>0</v>
      </c>
      <c r="H72" s="2051" t="s">
        <v>1896</v>
      </c>
      <c r="I72" s="2052">
        <v>1</v>
      </c>
      <c r="J72" s="2049">
        <f t="shared" ref="J72:J135" ca="1" si="13">IF(H72="A",F72*I72,0)</f>
        <v>0</v>
      </c>
      <c r="K72" s="2146">
        <f t="shared" ref="K72:K135" ca="1" si="14">+J72/$F$397</f>
        <v>0</v>
      </c>
      <c r="L72" s="2049">
        <f t="shared" ref="L72:L135" ca="1" si="15">+F72-J72</f>
        <v>0</v>
      </c>
      <c r="M72" s="2157">
        <f t="shared" ref="M72:M135" ca="1" si="16">+L72/$F$397</f>
        <v>0</v>
      </c>
      <c r="N72" s="2049">
        <f t="shared" ref="N72:N135" si="17">IF(H72="A",G72*I72,0)</f>
        <v>0</v>
      </c>
      <c r="O72" s="2157">
        <f t="shared" ref="O72:O135" ca="1" si="18">+N72/$G$397</f>
        <v>0</v>
      </c>
      <c r="P72" s="2049">
        <f t="shared" si="10"/>
        <v>0</v>
      </c>
      <c r="Q72" s="2157">
        <f t="shared" ref="Q72:Q135" ca="1" si="19">+P72/$G$397</f>
        <v>0</v>
      </c>
    </row>
    <row r="73" spans="1:17" outlineLevel="1">
      <c r="A73" s="1310">
        <f>+SYS_4_3_Digitos!A71</f>
        <v>204</v>
      </c>
      <c r="B73" s="1311" t="str">
        <f>+SYS_4_3_Digitos!B71</f>
        <v>FONDO DE COMERCIO</v>
      </c>
      <c r="C73" s="1314">
        <f ca="1">+SYS_4_3_Digitos!I71</f>
        <v>0</v>
      </c>
      <c r="D73" s="1315">
        <f ca="1">+SYS_4_3_Digitos!J71</f>
        <v>0</v>
      </c>
      <c r="E73" s="2045" t="s">
        <v>1896</v>
      </c>
      <c r="F73" s="2049">
        <f t="shared" ca="1" si="11"/>
        <v>0</v>
      </c>
      <c r="G73" s="2049">
        <f t="shared" si="12"/>
        <v>0</v>
      </c>
      <c r="H73" s="2051" t="s">
        <v>1896</v>
      </c>
      <c r="I73" s="2052">
        <v>1</v>
      </c>
      <c r="J73" s="2049">
        <f t="shared" ca="1" si="13"/>
        <v>0</v>
      </c>
      <c r="K73" s="2146">
        <f t="shared" ca="1" si="14"/>
        <v>0</v>
      </c>
      <c r="L73" s="2049">
        <f t="shared" ca="1" si="15"/>
        <v>0</v>
      </c>
      <c r="M73" s="2157">
        <f t="shared" ca="1" si="16"/>
        <v>0</v>
      </c>
      <c r="N73" s="2049">
        <f t="shared" si="17"/>
        <v>0</v>
      </c>
      <c r="O73" s="2157">
        <f t="shared" ca="1" si="18"/>
        <v>0</v>
      </c>
      <c r="P73" s="2049">
        <f t="shared" si="10"/>
        <v>0</v>
      </c>
      <c r="Q73" s="2157">
        <f t="shared" ca="1" si="19"/>
        <v>0</v>
      </c>
    </row>
    <row r="74" spans="1:17" outlineLevel="1">
      <c r="A74" s="1310">
        <f>+SYS_4_3_Digitos!A72</f>
        <v>205</v>
      </c>
      <c r="B74" s="1311" t="str">
        <f>+SYS_4_3_Digitos!B72</f>
        <v>DERECHOS DE TRASPASO</v>
      </c>
      <c r="C74" s="1314">
        <f ca="1">+SYS_4_3_Digitos!I72</f>
        <v>0</v>
      </c>
      <c r="D74" s="1315">
        <f ca="1">+SYS_4_3_Digitos!J72</f>
        <v>0</v>
      </c>
      <c r="E74" s="2045" t="s">
        <v>1896</v>
      </c>
      <c r="F74" s="2049">
        <f t="shared" ca="1" si="11"/>
        <v>0</v>
      </c>
      <c r="G74" s="2049">
        <f t="shared" si="12"/>
        <v>0</v>
      </c>
      <c r="H74" s="2051" t="s">
        <v>1896</v>
      </c>
      <c r="I74" s="2052">
        <v>1</v>
      </c>
      <c r="J74" s="2049">
        <f t="shared" ca="1" si="13"/>
        <v>0</v>
      </c>
      <c r="K74" s="2146">
        <f t="shared" ca="1" si="14"/>
        <v>0</v>
      </c>
      <c r="L74" s="2049">
        <f t="shared" ca="1" si="15"/>
        <v>0</v>
      </c>
      <c r="M74" s="2157">
        <f t="shared" ca="1" si="16"/>
        <v>0</v>
      </c>
      <c r="N74" s="2049">
        <f t="shared" si="17"/>
        <v>0</v>
      </c>
      <c r="O74" s="2157">
        <f t="shared" ca="1" si="18"/>
        <v>0</v>
      </c>
      <c r="P74" s="2049">
        <f t="shared" si="10"/>
        <v>0</v>
      </c>
      <c r="Q74" s="2157">
        <f t="shared" ca="1" si="19"/>
        <v>0</v>
      </c>
    </row>
    <row r="75" spans="1:17" outlineLevel="1">
      <c r="A75" s="1310">
        <f>+SYS_4_3_Digitos!A73</f>
        <v>206</v>
      </c>
      <c r="B75" s="1311" t="str">
        <f>+SYS_4_3_Digitos!B73</f>
        <v>APLICACIONES INFORMÁTICAS</v>
      </c>
      <c r="C75" s="1314">
        <f ca="1">+SYS_4_3_Digitos!I73</f>
        <v>120967.7</v>
      </c>
      <c r="D75" s="1315">
        <f ca="1">+SYS_4_3_Digitos!J73</f>
        <v>0</v>
      </c>
      <c r="E75" s="2045" t="s">
        <v>1896</v>
      </c>
      <c r="F75" s="2049">
        <f t="shared" ca="1" si="11"/>
        <v>120967.7</v>
      </c>
      <c r="G75" s="2049">
        <f t="shared" si="12"/>
        <v>0</v>
      </c>
      <c r="H75" s="2051" t="s">
        <v>1896</v>
      </c>
      <c r="I75" s="2052">
        <v>1</v>
      </c>
      <c r="J75" s="2049">
        <f t="shared" ca="1" si="13"/>
        <v>120967.7</v>
      </c>
      <c r="K75" s="2146">
        <f t="shared" ca="1" si="14"/>
        <v>3.4331800246890801E-4</v>
      </c>
      <c r="L75" s="2049">
        <f t="shared" ca="1" si="15"/>
        <v>0</v>
      </c>
      <c r="M75" s="2157">
        <f t="shared" ca="1" si="16"/>
        <v>0</v>
      </c>
      <c r="N75" s="2049">
        <f t="shared" si="17"/>
        <v>0</v>
      </c>
      <c r="O75" s="2157">
        <f t="shared" ca="1" si="18"/>
        <v>0</v>
      </c>
      <c r="P75" s="2049">
        <f t="shared" si="10"/>
        <v>0</v>
      </c>
      <c r="Q75" s="2157">
        <f t="shared" ca="1" si="19"/>
        <v>0</v>
      </c>
    </row>
    <row r="76" spans="1:17" outlineLevel="1">
      <c r="A76" s="1310">
        <f>+SYS_4_3_Digitos!A74</f>
        <v>209</v>
      </c>
      <c r="B76" s="1311" t="str">
        <f>+SYS_4_3_Digitos!B74</f>
        <v>ANTICIPOS PARA INMOVILIZACIONES INTANGIBLES</v>
      </c>
      <c r="C76" s="1314">
        <f ca="1">+SYS_4_3_Digitos!I74</f>
        <v>0</v>
      </c>
      <c r="D76" s="1315">
        <f ca="1">+SYS_4_3_Digitos!J74</f>
        <v>0</v>
      </c>
      <c r="E76" s="2045" t="s">
        <v>1896</v>
      </c>
      <c r="F76" s="2049">
        <f t="shared" ca="1" si="11"/>
        <v>0</v>
      </c>
      <c r="G76" s="2049">
        <f t="shared" si="12"/>
        <v>0</v>
      </c>
      <c r="H76" s="2051" t="s">
        <v>1896</v>
      </c>
      <c r="I76" s="2052">
        <v>1</v>
      </c>
      <c r="J76" s="2049">
        <f t="shared" ca="1" si="13"/>
        <v>0</v>
      </c>
      <c r="K76" s="2146">
        <f t="shared" ca="1" si="14"/>
        <v>0</v>
      </c>
      <c r="L76" s="2049">
        <f t="shared" ca="1" si="15"/>
        <v>0</v>
      </c>
      <c r="M76" s="2157">
        <f t="shared" ca="1" si="16"/>
        <v>0</v>
      </c>
      <c r="N76" s="2049">
        <f t="shared" si="17"/>
        <v>0</v>
      </c>
      <c r="O76" s="2157">
        <f t="shared" ca="1" si="18"/>
        <v>0</v>
      </c>
      <c r="P76" s="2049">
        <f t="shared" si="10"/>
        <v>0</v>
      </c>
      <c r="Q76" s="2157">
        <f t="shared" ca="1" si="19"/>
        <v>0</v>
      </c>
    </row>
    <row r="77" spans="1:17" outlineLevel="1">
      <c r="A77" s="1310">
        <f>+SYS_4_3_Digitos!A75</f>
        <v>210</v>
      </c>
      <c r="B77" s="1311" t="str">
        <f>+SYS_4_3_Digitos!B75</f>
        <v>TERRENOS Y BIENES NATURALES</v>
      </c>
      <c r="C77" s="1314">
        <f ca="1">+SYS_4_3_Digitos!I75</f>
        <v>1217233.03</v>
      </c>
      <c r="D77" s="1315">
        <f ca="1">+SYS_4_3_Digitos!J75</f>
        <v>0</v>
      </c>
      <c r="E77" s="2045" t="s">
        <v>1896</v>
      </c>
      <c r="F77" s="2049">
        <f t="shared" ca="1" si="11"/>
        <v>1217233.03</v>
      </c>
      <c r="G77" s="2049">
        <f t="shared" si="12"/>
        <v>0</v>
      </c>
      <c r="H77" s="2051" t="s">
        <v>1896</v>
      </c>
      <c r="I77" s="2052">
        <v>1</v>
      </c>
      <c r="J77" s="2049">
        <f t="shared" ca="1" si="13"/>
        <v>1217233.03</v>
      </c>
      <c r="K77" s="2146">
        <f t="shared" ca="1" si="14"/>
        <v>3.4546247667664705E-3</v>
      </c>
      <c r="L77" s="2049">
        <f t="shared" ca="1" si="15"/>
        <v>0</v>
      </c>
      <c r="M77" s="2157">
        <f t="shared" ca="1" si="16"/>
        <v>0</v>
      </c>
      <c r="N77" s="2049">
        <f t="shared" si="17"/>
        <v>0</v>
      </c>
      <c r="O77" s="2157">
        <f t="shared" ca="1" si="18"/>
        <v>0</v>
      </c>
      <c r="P77" s="2049">
        <f t="shared" si="10"/>
        <v>0</v>
      </c>
      <c r="Q77" s="2157">
        <f t="shared" ca="1" si="19"/>
        <v>0</v>
      </c>
    </row>
    <row r="78" spans="1:17" outlineLevel="1">
      <c r="A78" s="1310">
        <f>+SYS_4_3_Digitos!A76</f>
        <v>211</v>
      </c>
      <c r="B78" s="1311" t="str">
        <f>+SYS_4_3_Digitos!B76</f>
        <v>CONSTRUCCIONES</v>
      </c>
      <c r="C78" s="1314">
        <f ca="1">+SYS_4_3_Digitos!I76</f>
        <v>4905408.5199999996</v>
      </c>
      <c r="D78" s="1315">
        <f ca="1">+SYS_4_3_Digitos!J76</f>
        <v>0</v>
      </c>
      <c r="E78" s="2045" t="s">
        <v>1896</v>
      </c>
      <c r="F78" s="2049">
        <f t="shared" ca="1" si="11"/>
        <v>4905408.5199999996</v>
      </c>
      <c r="G78" s="2049">
        <f t="shared" si="12"/>
        <v>0</v>
      </c>
      <c r="H78" s="2051" t="s">
        <v>1896</v>
      </c>
      <c r="I78" s="2052">
        <v>1</v>
      </c>
      <c r="J78" s="2049">
        <f t="shared" ca="1" si="13"/>
        <v>4905408.5199999996</v>
      </c>
      <c r="K78" s="2146">
        <f t="shared" ca="1" si="14"/>
        <v>1.3922022609178832E-2</v>
      </c>
      <c r="L78" s="2049">
        <f t="shared" ca="1" si="15"/>
        <v>0</v>
      </c>
      <c r="M78" s="2157">
        <f t="shared" ca="1" si="16"/>
        <v>0</v>
      </c>
      <c r="N78" s="2049">
        <f t="shared" si="17"/>
        <v>0</v>
      </c>
      <c r="O78" s="2157">
        <f t="shared" ca="1" si="18"/>
        <v>0</v>
      </c>
      <c r="P78" s="2049">
        <f t="shared" si="10"/>
        <v>0</v>
      </c>
      <c r="Q78" s="2157">
        <f t="shared" ca="1" si="19"/>
        <v>0</v>
      </c>
    </row>
    <row r="79" spans="1:17" outlineLevel="1">
      <c r="A79" s="1310">
        <f>+SYS_4_3_Digitos!A77</f>
        <v>212</v>
      </c>
      <c r="B79" s="1311" t="str">
        <f>+SYS_4_3_Digitos!B77</f>
        <v>INSTALACIONES TÉCNICAS</v>
      </c>
      <c r="C79" s="1314">
        <f ca="1">+SYS_4_3_Digitos!I77</f>
        <v>19677094.84</v>
      </c>
      <c r="D79" s="1315">
        <f ca="1">+SYS_4_3_Digitos!J77</f>
        <v>0</v>
      </c>
      <c r="E79" s="2045" t="s">
        <v>1896</v>
      </c>
      <c r="F79" s="2049">
        <f t="shared" ca="1" si="11"/>
        <v>19677094.84</v>
      </c>
      <c r="G79" s="2049">
        <f t="shared" si="12"/>
        <v>0</v>
      </c>
      <c r="H79" s="2051" t="s">
        <v>1896</v>
      </c>
      <c r="I79" s="2052">
        <v>1</v>
      </c>
      <c r="J79" s="2049">
        <f t="shared" ca="1" si="13"/>
        <v>19677094.84</v>
      </c>
      <c r="K79" s="2146">
        <f t="shared" ca="1" si="14"/>
        <v>5.5845493423947526E-2</v>
      </c>
      <c r="L79" s="2049">
        <f t="shared" ca="1" si="15"/>
        <v>0</v>
      </c>
      <c r="M79" s="2157">
        <f t="shared" ca="1" si="16"/>
        <v>0</v>
      </c>
      <c r="N79" s="2049">
        <f t="shared" si="17"/>
        <v>0</v>
      </c>
      <c r="O79" s="2157">
        <f t="shared" ca="1" si="18"/>
        <v>0</v>
      </c>
      <c r="P79" s="2049">
        <f t="shared" si="10"/>
        <v>0</v>
      </c>
      <c r="Q79" s="2157">
        <f t="shared" ca="1" si="19"/>
        <v>0</v>
      </c>
    </row>
    <row r="80" spans="1:17" outlineLevel="1">
      <c r="A80" s="1310">
        <f>+SYS_4_3_Digitos!A78</f>
        <v>213</v>
      </c>
      <c r="B80" s="1311" t="str">
        <f>+SYS_4_3_Digitos!B78</f>
        <v>MAQUINARIA</v>
      </c>
      <c r="C80" s="1314">
        <f ca="1">+SYS_4_3_Digitos!I78</f>
        <v>1060116.9099999999</v>
      </c>
      <c r="D80" s="1315">
        <f ca="1">+SYS_4_3_Digitos!J78</f>
        <v>0</v>
      </c>
      <c r="E80" s="2045" t="s">
        <v>1896</v>
      </c>
      <c r="F80" s="2049">
        <f t="shared" ca="1" si="11"/>
        <v>1060116.9099999999</v>
      </c>
      <c r="G80" s="2049">
        <f t="shared" si="12"/>
        <v>0</v>
      </c>
      <c r="H80" s="2051" t="s">
        <v>1896</v>
      </c>
      <c r="I80" s="2052">
        <v>1</v>
      </c>
      <c r="J80" s="2049">
        <f t="shared" ca="1" si="13"/>
        <v>1060116.9099999999</v>
      </c>
      <c r="K80" s="2146">
        <f t="shared" ca="1" si="14"/>
        <v>3.0087140610651529E-3</v>
      </c>
      <c r="L80" s="2049">
        <f t="shared" ca="1" si="15"/>
        <v>0</v>
      </c>
      <c r="M80" s="2157">
        <f t="shared" ca="1" si="16"/>
        <v>0</v>
      </c>
      <c r="N80" s="2049">
        <f t="shared" si="17"/>
        <v>0</v>
      </c>
      <c r="O80" s="2157">
        <f t="shared" ca="1" si="18"/>
        <v>0</v>
      </c>
      <c r="P80" s="2049">
        <f t="shared" si="10"/>
        <v>0</v>
      </c>
      <c r="Q80" s="2157">
        <f t="shared" ca="1" si="19"/>
        <v>0</v>
      </c>
    </row>
    <row r="81" spans="1:17" outlineLevel="1">
      <c r="A81" s="1310">
        <f>+SYS_4_3_Digitos!A79</f>
        <v>214</v>
      </c>
      <c r="B81" s="1311" t="str">
        <f>+SYS_4_3_Digitos!B79</f>
        <v>UTILLAJE</v>
      </c>
      <c r="C81" s="1314">
        <f ca="1">+SYS_4_3_Digitos!I79</f>
        <v>10306.1</v>
      </c>
      <c r="D81" s="1315">
        <f ca="1">+SYS_4_3_Digitos!J79</f>
        <v>0</v>
      </c>
      <c r="E81" s="2045" t="s">
        <v>1896</v>
      </c>
      <c r="F81" s="2049">
        <f t="shared" ca="1" si="11"/>
        <v>10306.1</v>
      </c>
      <c r="G81" s="2049">
        <f t="shared" si="12"/>
        <v>0</v>
      </c>
      <c r="H81" s="2051" t="s">
        <v>1896</v>
      </c>
      <c r="I81" s="2052">
        <v>1</v>
      </c>
      <c r="J81" s="2049">
        <f t="shared" ca="1" si="13"/>
        <v>10306.1</v>
      </c>
      <c r="K81" s="2146">
        <f t="shared" ca="1" si="14"/>
        <v>2.9249706039255215E-5</v>
      </c>
      <c r="L81" s="2049">
        <f t="shared" ca="1" si="15"/>
        <v>0</v>
      </c>
      <c r="M81" s="2157">
        <f t="shared" ca="1" si="16"/>
        <v>0</v>
      </c>
      <c r="N81" s="2049">
        <f t="shared" si="17"/>
        <v>0</v>
      </c>
      <c r="O81" s="2157">
        <f t="shared" ca="1" si="18"/>
        <v>0</v>
      </c>
      <c r="P81" s="2049">
        <f t="shared" si="10"/>
        <v>0</v>
      </c>
      <c r="Q81" s="2157">
        <f t="shared" ca="1" si="19"/>
        <v>0</v>
      </c>
    </row>
    <row r="82" spans="1:17" outlineLevel="1">
      <c r="A82" s="1310">
        <f>+SYS_4_3_Digitos!A80</f>
        <v>215</v>
      </c>
      <c r="B82" s="1311" t="str">
        <f>+SYS_4_3_Digitos!B80</f>
        <v>OTRAS INSTALACIONES</v>
      </c>
      <c r="C82" s="1314">
        <f ca="1">+SYS_4_3_Digitos!I80</f>
        <v>1162570.3500000001</v>
      </c>
      <c r="D82" s="1315">
        <f ca="1">+SYS_4_3_Digitos!J80</f>
        <v>0</v>
      </c>
      <c r="E82" s="2045" t="s">
        <v>1896</v>
      </c>
      <c r="F82" s="2049">
        <f t="shared" ca="1" si="11"/>
        <v>1162570.3500000001</v>
      </c>
      <c r="G82" s="2049">
        <f t="shared" si="12"/>
        <v>0</v>
      </c>
      <c r="H82" s="2051" t="s">
        <v>1896</v>
      </c>
      <c r="I82" s="2052">
        <v>1</v>
      </c>
      <c r="J82" s="2049">
        <f t="shared" ca="1" si="13"/>
        <v>1162570.3500000001</v>
      </c>
      <c r="K82" s="2146">
        <f t="shared" ca="1" si="14"/>
        <v>3.2994868075658153E-3</v>
      </c>
      <c r="L82" s="2049">
        <f t="shared" ca="1" si="15"/>
        <v>0</v>
      </c>
      <c r="M82" s="2157">
        <f t="shared" ca="1" si="16"/>
        <v>0</v>
      </c>
      <c r="N82" s="2049">
        <f t="shared" si="17"/>
        <v>0</v>
      </c>
      <c r="O82" s="2157">
        <f t="shared" ca="1" si="18"/>
        <v>0</v>
      </c>
      <c r="P82" s="2049">
        <f t="shared" si="10"/>
        <v>0</v>
      </c>
      <c r="Q82" s="2157">
        <f t="shared" ca="1" si="19"/>
        <v>0</v>
      </c>
    </row>
    <row r="83" spans="1:17" outlineLevel="1">
      <c r="A83" s="1310">
        <f>+SYS_4_3_Digitos!A81</f>
        <v>216</v>
      </c>
      <c r="B83" s="1311" t="str">
        <f>+SYS_4_3_Digitos!B81</f>
        <v>MOBILIARIO</v>
      </c>
      <c r="C83" s="1314">
        <f ca="1">+SYS_4_3_Digitos!I81</f>
        <v>454455.79</v>
      </c>
      <c r="D83" s="1315">
        <f ca="1">+SYS_4_3_Digitos!J81</f>
        <v>0</v>
      </c>
      <c r="E83" s="2045" t="s">
        <v>1896</v>
      </c>
      <c r="F83" s="2049">
        <f t="shared" ca="1" si="11"/>
        <v>454455.79</v>
      </c>
      <c r="G83" s="2049">
        <f t="shared" si="12"/>
        <v>0</v>
      </c>
      <c r="H83" s="2051" t="s">
        <v>1896</v>
      </c>
      <c r="I83" s="2052">
        <v>1</v>
      </c>
      <c r="J83" s="2049">
        <f t="shared" ca="1" si="13"/>
        <v>454455.79</v>
      </c>
      <c r="K83" s="2146">
        <f t="shared" ca="1" si="14"/>
        <v>1.2897893738016803E-3</v>
      </c>
      <c r="L83" s="2049">
        <f t="shared" ca="1" si="15"/>
        <v>0</v>
      </c>
      <c r="M83" s="2157">
        <f t="shared" ca="1" si="16"/>
        <v>0</v>
      </c>
      <c r="N83" s="2049">
        <f t="shared" si="17"/>
        <v>0</v>
      </c>
      <c r="O83" s="2157">
        <f t="shared" ca="1" si="18"/>
        <v>0</v>
      </c>
      <c r="P83" s="2049">
        <f t="shared" si="10"/>
        <v>0</v>
      </c>
      <c r="Q83" s="2157">
        <f t="shared" ca="1" si="19"/>
        <v>0</v>
      </c>
    </row>
    <row r="84" spans="1:17" outlineLevel="1">
      <c r="A84" s="1310">
        <f>+SYS_4_3_Digitos!A82</f>
        <v>217</v>
      </c>
      <c r="B84" s="1311" t="str">
        <f>+SYS_4_3_Digitos!B82</f>
        <v>EQUIPOS PARA PROCESOS DE INFORMACIÓN</v>
      </c>
      <c r="C84" s="1314">
        <f ca="1">+SYS_4_3_Digitos!I82</f>
        <v>53303.6</v>
      </c>
      <c r="D84" s="1315">
        <f ca="1">+SYS_4_3_Digitos!J82</f>
        <v>0</v>
      </c>
      <c r="E84" s="2045" t="s">
        <v>1896</v>
      </c>
      <c r="F84" s="2049">
        <f t="shared" ca="1" si="11"/>
        <v>53303.6</v>
      </c>
      <c r="G84" s="2049">
        <f t="shared" si="12"/>
        <v>0</v>
      </c>
      <c r="H84" s="2051" t="s">
        <v>1896</v>
      </c>
      <c r="I84" s="2052">
        <v>1</v>
      </c>
      <c r="J84" s="2049">
        <f t="shared" ca="1" si="13"/>
        <v>53303.6</v>
      </c>
      <c r="K84" s="2146">
        <f t="shared" ca="1" si="14"/>
        <v>1.5128075904891707E-4</v>
      </c>
      <c r="L84" s="2049">
        <f t="shared" ca="1" si="15"/>
        <v>0</v>
      </c>
      <c r="M84" s="2157">
        <f t="shared" ca="1" si="16"/>
        <v>0</v>
      </c>
      <c r="N84" s="2049">
        <f t="shared" si="17"/>
        <v>0</v>
      </c>
      <c r="O84" s="2157">
        <f t="shared" ca="1" si="18"/>
        <v>0</v>
      </c>
      <c r="P84" s="2049">
        <f t="shared" si="10"/>
        <v>0</v>
      </c>
      <c r="Q84" s="2157">
        <f t="shared" ca="1" si="19"/>
        <v>0</v>
      </c>
    </row>
    <row r="85" spans="1:17" outlineLevel="1">
      <c r="A85" s="1310">
        <f>+SYS_4_3_Digitos!A83</f>
        <v>218</v>
      </c>
      <c r="B85" s="1311" t="str">
        <f>+SYS_4_3_Digitos!B83</f>
        <v>ELEMENTOS DE TRANSPORTE</v>
      </c>
      <c r="C85" s="1314">
        <f ca="1">+SYS_4_3_Digitos!I83</f>
        <v>85249.7</v>
      </c>
      <c r="D85" s="1315">
        <f ca="1">+SYS_4_3_Digitos!J83</f>
        <v>0</v>
      </c>
      <c r="E85" s="2045" t="s">
        <v>1896</v>
      </c>
      <c r="F85" s="2049">
        <f t="shared" ca="1" si="11"/>
        <v>85249.7</v>
      </c>
      <c r="G85" s="2049">
        <f t="shared" si="12"/>
        <v>0</v>
      </c>
      <c r="H85" s="2051" t="s">
        <v>1896</v>
      </c>
      <c r="I85" s="2052">
        <v>1</v>
      </c>
      <c r="J85" s="2049">
        <f t="shared" ca="1" si="13"/>
        <v>85249.7</v>
      </c>
      <c r="K85" s="2146">
        <f t="shared" ca="1" si="14"/>
        <v>2.4194687271952484E-4</v>
      </c>
      <c r="L85" s="2049">
        <f t="shared" ca="1" si="15"/>
        <v>0</v>
      </c>
      <c r="M85" s="2157">
        <f t="shared" ca="1" si="16"/>
        <v>0</v>
      </c>
      <c r="N85" s="2049">
        <f t="shared" si="17"/>
        <v>0</v>
      </c>
      <c r="O85" s="2157">
        <f t="shared" ca="1" si="18"/>
        <v>0</v>
      </c>
      <c r="P85" s="2049">
        <f t="shared" si="10"/>
        <v>0</v>
      </c>
      <c r="Q85" s="2157">
        <f t="shared" ca="1" si="19"/>
        <v>0</v>
      </c>
    </row>
    <row r="86" spans="1:17" outlineLevel="1">
      <c r="A86" s="1310">
        <f>+SYS_4_3_Digitos!A84</f>
        <v>219</v>
      </c>
      <c r="B86" s="1311" t="str">
        <f>+SYS_4_3_Digitos!B84</f>
        <v>OTRO INMOvILIZADO MATERIAL</v>
      </c>
      <c r="C86" s="1314">
        <f ca="1">+SYS_4_3_Digitos!I84</f>
        <v>651219.30999999994</v>
      </c>
      <c r="D86" s="1315">
        <f ca="1">+SYS_4_3_Digitos!J84</f>
        <v>0</v>
      </c>
      <c r="E86" s="2045" t="s">
        <v>1896</v>
      </c>
      <c r="F86" s="2049">
        <f t="shared" ca="1" si="11"/>
        <v>651219.30999999994</v>
      </c>
      <c r="G86" s="2049">
        <f t="shared" si="12"/>
        <v>0</v>
      </c>
      <c r="H86" s="2051" t="s">
        <v>1896</v>
      </c>
      <c r="I86" s="2052">
        <v>1</v>
      </c>
      <c r="J86" s="2049">
        <f t="shared" ca="1" si="13"/>
        <v>651219.30999999994</v>
      </c>
      <c r="K86" s="2146">
        <f t="shared" ca="1" si="14"/>
        <v>1.8482232255253308E-3</v>
      </c>
      <c r="L86" s="2049">
        <f t="shared" ca="1" si="15"/>
        <v>0</v>
      </c>
      <c r="M86" s="2157">
        <f t="shared" ca="1" si="16"/>
        <v>0</v>
      </c>
      <c r="N86" s="2049">
        <f t="shared" si="17"/>
        <v>0</v>
      </c>
      <c r="O86" s="2157">
        <f t="shared" ca="1" si="18"/>
        <v>0</v>
      </c>
      <c r="P86" s="2049">
        <f t="shared" si="10"/>
        <v>0</v>
      </c>
      <c r="Q86" s="2157">
        <f t="shared" ca="1" si="19"/>
        <v>0</v>
      </c>
    </row>
    <row r="87" spans="1:17" outlineLevel="1">
      <c r="A87" s="1318">
        <f>+SYS_4_3_Digitos!A85</f>
        <v>220</v>
      </c>
      <c r="B87" s="1319" t="str">
        <f>+SYS_4_3_Digitos!B85</f>
        <v>INVERSIONES EN TERRENOS Y BIENES NATURALES</v>
      </c>
      <c r="C87" s="1322">
        <f ca="1">+SYS_4_3_Digitos!I85</f>
        <v>4595214.4400000004</v>
      </c>
      <c r="D87" s="1323">
        <f ca="1">+SYS_4_3_Digitos!J85</f>
        <v>0</v>
      </c>
      <c r="E87" s="2046" t="s">
        <v>1896</v>
      </c>
      <c r="F87" s="2049">
        <f t="shared" ca="1" si="11"/>
        <v>4595214.4400000004</v>
      </c>
      <c r="G87" s="2049">
        <f t="shared" si="12"/>
        <v>0</v>
      </c>
      <c r="H87" s="2051" t="s">
        <v>1896</v>
      </c>
      <c r="I87" s="2052">
        <v>1</v>
      </c>
      <c r="J87" s="2049">
        <f t="shared" ca="1" si="13"/>
        <v>4595214.4400000004</v>
      </c>
      <c r="K87" s="2146">
        <f t="shared" ca="1" si="14"/>
        <v>1.3041661885421331E-2</v>
      </c>
      <c r="L87" s="2049">
        <f t="shared" ca="1" si="15"/>
        <v>0</v>
      </c>
      <c r="M87" s="2157">
        <f t="shared" ca="1" si="16"/>
        <v>0</v>
      </c>
      <c r="N87" s="2049">
        <f t="shared" si="17"/>
        <v>0</v>
      </c>
      <c r="O87" s="2157">
        <f t="shared" ca="1" si="18"/>
        <v>0</v>
      </c>
      <c r="P87" s="2049">
        <f t="shared" si="10"/>
        <v>0</v>
      </c>
      <c r="Q87" s="2157">
        <f t="shared" ca="1" si="19"/>
        <v>0</v>
      </c>
    </row>
    <row r="88" spans="1:17" outlineLevel="1">
      <c r="A88" s="1318">
        <f>+SYS_4_3_Digitos!A86</f>
        <v>221</v>
      </c>
      <c r="B88" s="1319" t="str">
        <f>+SYS_4_3_Digitos!B86</f>
        <v>INVERSIONES EN CONSTRUCCIONES</v>
      </c>
      <c r="C88" s="1322">
        <f ca="1">+SYS_4_3_Digitos!I86</f>
        <v>18589908.699999999</v>
      </c>
      <c r="D88" s="1323">
        <f ca="1">+SYS_4_3_Digitos!J86</f>
        <v>0</v>
      </c>
      <c r="E88" s="2046" t="s">
        <v>1896</v>
      </c>
      <c r="F88" s="2049">
        <f t="shared" ca="1" si="11"/>
        <v>18589908.699999999</v>
      </c>
      <c r="G88" s="2049">
        <f t="shared" si="12"/>
        <v>0</v>
      </c>
      <c r="H88" s="2051" t="s">
        <v>1896</v>
      </c>
      <c r="I88" s="2052">
        <v>1</v>
      </c>
      <c r="J88" s="2049">
        <f t="shared" ca="1" si="13"/>
        <v>18589908.699999999</v>
      </c>
      <c r="K88" s="2146">
        <f t="shared" ca="1" si="14"/>
        <v>5.2759954276748046E-2</v>
      </c>
      <c r="L88" s="2049">
        <f t="shared" ca="1" si="15"/>
        <v>0</v>
      </c>
      <c r="M88" s="2157">
        <f t="shared" ca="1" si="16"/>
        <v>0</v>
      </c>
      <c r="N88" s="2049">
        <f t="shared" si="17"/>
        <v>0</v>
      </c>
      <c r="O88" s="2157">
        <f t="shared" ca="1" si="18"/>
        <v>0</v>
      </c>
      <c r="P88" s="2049">
        <f t="shared" si="10"/>
        <v>0</v>
      </c>
      <c r="Q88" s="2157">
        <f t="shared" ca="1" si="19"/>
        <v>0</v>
      </c>
    </row>
    <row r="89" spans="1:17" outlineLevel="1">
      <c r="A89" s="1310">
        <f>+SYS_4_3_Digitos!A87</f>
        <v>230</v>
      </c>
      <c r="B89" s="1311" t="str">
        <f>+SYS_4_3_Digitos!B87</f>
        <v>ADAPTACIÓN DE TERRENOS Y BIENES NATURALES</v>
      </c>
      <c r="C89" s="1314">
        <f ca="1">+SYS_4_3_Digitos!I87</f>
        <v>0</v>
      </c>
      <c r="D89" s="1315">
        <f ca="1">+SYS_4_3_Digitos!J87</f>
        <v>0</v>
      </c>
      <c r="E89" s="2045" t="s">
        <v>1896</v>
      </c>
      <c r="F89" s="2049">
        <f t="shared" ca="1" si="11"/>
        <v>0</v>
      </c>
      <c r="G89" s="2049">
        <f t="shared" si="12"/>
        <v>0</v>
      </c>
      <c r="H89" s="2051" t="s">
        <v>1896</v>
      </c>
      <c r="I89" s="2052">
        <v>1</v>
      </c>
      <c r="J89" s="2049">
        <f t="shared" ca="1" si="13"/>
        <v>0</v>
      </c>
      <c r="K89" s="2146">
        <f t="shared" ca="1" si="14"/>
        <v>0</v>
      </c>
      <c r="L89" s="2049">
        <f t="shared" ca="1" si="15"/>
        <v>0</v>
      </c>
      <c r="M89" s="2157">
        <f t="shared" ca="1" si="16"/>
        <v>0</v>
      </c>
      <c r="N89" s="2049">
        <f t="shared" si="17"/>
        <v>0</v>
      </c>
      <c r="O89" s="2157">
        <f t="shared" ca="1" si="18"/>
        <v>0</v>
      </c>
      <c r="P89" s="2049">
        <f t="shared" si="10"/>
        <v>0</v>
      </c>
      <c r="Q89" s="2157">
        <f t="shared" ca="1" si="19"/>
        <v>0</v>
      </c>
    </row>
    <row r="90" spans="1:17" outlineLevel="1">
      <c r="A90" s="1310">
        <f>+SYS_4_3_Digitos!A88</f>
        <v>231</v>
      </c>
      <c r="B90" s="1311" t="str">
        <f>+SYS_4_3_Digitos!B88</f>
        <v>CONSTRUCCIONES EN CURSO</v>
      </c>
      <c r="C90" s="1314">
        <f ca="1">+SYS_4_3_Digitos!I88</f>
        <v>0</v>
      </c>
      <c r="D90" s="1315">
        <f ca="1">+SYS_4_3_Digitos!J88</f>
        <v>0</v>
      </c>
      <c r="E90" s="2045" t="s">
        <v>1896</v>
      </c>
      <c r="F90" s="2049">
        <f t="shared" ca="1" si="11"/>
        <v>0</v>
      </c>
      <c r="G90" s="2049">
        <f t="shared" si="12"/>
        <v>0</v>
      </c>
      <c r="H90" s="2051" t="s">
        <v>1896</v>
      </c>
      <c r="I90" s="2052">
        <v>1</v>
      </c>
      <c r="J90" s="2049">
        <f t="shared" ca="1" si="13"/>
        <v>0</v>
      </c>
      <c r="K90" s="2146">
        <f t="shared" ca="1" si="14"/>
        <v>0</v>
      </c>
      <c r="L90" s="2049">
        <f t="shared" ca="1" si="15"/>
        <v>0</v>
      </c>
      <c r="M90" s="2157">
        <f t="shared" ca="1" si="16"/>
        <v>0</v>
      </c>
      <c r="N90" s="2049">
        <f t="shared" si="17"/>
        <v>0</v>
      </c>
      <c r="O90" s="2157">
        <f t="shared" ca="1" si="18"/>
        <v>0</v>
      </c>
      <c r="P90" s="2049">
        <f t="shared" si="10"/>
        <v>0</v>
      </c>
      <c r="Q90" s="2157">
        <f t="shared" ca="1" si="19"/>
        <v>0</v>
      </c>
    </row>
    <row r="91" spans="1:17" outlineLevel="1">
      <c r="A91" s="1310">
        <f>+SYS_4_3_Digitos!A89</f>
        <v>232</v>
      </c>
      <c r="B91" s="1311" t="str">
        <f>+SYS_4_3_Digitos!B89</f>
        <v>INSTALACIONES TÉCNICAS EN MONTAJE</v>
      </c>
      <c r="C91" s="1314">
        <f ca="1">+SYS_4_3_Digitos!I89</f>
        <v>0</v>
      </c>
      <c r="D91" s="1315">
        <f ca="1">+SYS_4_3_Digitos!J89</f>
        <v>0</v>
      </c>
      <c r="E91" s="2045" t="s">
        <v>1896</v>
      </c>
      <c r="F91" s="2049">
        <f t="shared" ca="1" si="11"/>
        <v>0</v>
      </c>
      <c r="G91" s="2049">
        <f t="shared" si="12"/>
        <v>0</v>
      </c>
      <c r="H91" s="2051" t="s">
        <v>1896</v>
      </c>
      <c r="I91" s="2052">
        <v>1</v>
      </c>
      <c r="J91" s="2049">
        <f t="shared" ca="1" si="13"/>
        <v>0</v>
      </c>
      <c r="K91" s="2146">
        <f t="shared" ca="1" si="14"/>
        <v>0</v>
      </c>
      <c r="L91" s="2049">
        <f t="shared" ca="1" si="15"/>
        <v>0</v>
      </c>
      <c r="M91" s="2157">
        <f t="shared" ca="1" si="16"/>
        <v>0</v>
      </c>
      <c r="N91" s="2049">
        <f t="shared" si="17"/>
        <v>0</v>
      </c>
      <c r="O91" s="2157">
        <f t="shared" ca="1" si="18"/>
        <v>0</v>
      </c>
      <c r="P91" s="2049">
        <f t="shared" si="10"/>
        <v>0</v>
      </c>
      <c r="Q91" s="2157">
        <f t="shared" ca="1" si="19"/>
        <v>0</v>
      </c>
    </row>
    <row r="92" spans="1:17" outlineLevel="1">
      <c r="A92" s="1310">
        <f>+SYS_4_3_Digitos!A90</f>
        <v>233</v>
      </c>
      <c r="B92" s="1311" t="str">
        <f>+SYS_4_3_Digitos!B90</f>
        <v>MAQUINARIAS EN MONTAJE</v>
      </c>
      <c r="C92" s="1314">
        <f ca="1">+SYS_4_3_Digitos!I90</f>
        <v>0</v>
      </c>
      <c r="D92" s="1315">
        <f ca="1">+SYS_4_3_Digitos!J90</f>
        <v>0</v>
      </c>
      <c r="E92" s="2045" t="s">
        <v>1896</v>
      </c>
      <c r="F92" s="2049">
        <f t="shared" ca="1" si="11"/>
        <v>0</v>
      </c>
      <c r="G92" s="2049">
        <f t="shared" si="12"/>
        <v>0</v>
      </c>
      <c r="H92" s="2051" t="s">
        <v>1896</v>
      </c>
      <c r="I92" s="2052">
        <v>1</v>
      </c>
      <c r="J92" s="2049">
        <f t="shared" ca="1" si="13"/>
        <v>0</v>
      </c>
      <c r="K92" s="2146">
        <f t="shared" ca="1" si="14"/>
        <v>0</v>
      </c>
      <c r="L92" s="2049">
        <f t="shared" ca="1" si="15"/>
        <v>0</v>
      </c>
      <c r="M92" s="2157">
        <f t="shared" ca="1" si="16"/>
        <v>0</v>
      </c>
      <c r="N92" s="2049">
        <f t="shared" si="17"/>
        <v>0</v>
      </c>
      <c r="O92" s="2157">
        <f t="shared" ca="1" si="18"/>
        <v>0</v>
      </c>
      <c r="P92" s="2049">
        <f t="shared" si="10"/>
        <v>0</v>
      </c>
      <c r="Q92" s="2157">
        <f t="shared" ca="1" si="19"/>
        <v>0</v>
      </c>
    </row>
    <row r="93" spans="1:17" outlineLevel="1">
      <c r="A93" s="1310">
        <f>+SYS_4_3_Digitos!A91</f>
        <v>237</v>
      </c>
      <c r="B93" s="1311" t="str">
        <f>+SYS_4_3_Digitos!B91</f>
        <v>EQUIPOS PARA PROCESOS DE INFORMACIÓN EN MONTAJE</v>
      </c>
      <c r="C93" s="1314">
        <f ca="1">+SYS_4_3_Digitos!I91</f>
        <v>0</v>
      </c>
      <c r="D93" s="1315">
        <f ca="1">+SYS_4_3_Digitos!J91</f>
        <v>0</v>
      </c>
      <c r="E93" s="2045" t="s">
        <v>1896</v>
      </c>
      <c r="F93" s="2049">
        <f t="shared" ca="1" si="11"/>
        <v>0</v>
      </c>
      <c r="G93" s="2049">
        <f t="shared" si="12"/>
        <v>0</v>
      </c>
      <c r="H93" s="2051" t="s">
        <v>1896</v>
      </c>
      <c r="I93" s="2052">
        <v>1</v>
      </c>
      <c r="J93" s="2049">
        <f t="shared" ca="1" si="13"/>
        <v>0</v>
      </c>
      <c r="K93" s="2146">
        <f t="shared" ca="1" si="14"/>
        <v>0</v>
      </c>
      <c r="L93" s="2049">
        <f t="shared" ca="1" si="15"/>
        <v>0</v>
      </c>
      <c r="M93" s="2157">
        <f t="shared" ca="1" si="16"/>
        <v>0</v>
      </c>
      <c r="N93" s="2049">
        <f t="shared" si="17"/>
        <v>0</v>
      </c>
      <c r="O93" s="2157">
        <f t="shared" ca="1" si="18"/>
        <v>0</v>
      </c>
      <c r="P93" s="2049">
        <f t="shared" si="10"/>
        <v>0</v>
      </c>
      <c r="Q93" s="2157">
        <f t="shared" ca="1" si="19"/>
        <v>0</v>
      </c>
    </row>
    <row r="94" spans="1:17" outlineLevel="1">
      <c r="A94" s="1310">
        <f>+SYS_4_3_Digitos!A92</f>
        <v>239</v>
      </c>
      <c r="B94" s="1311" t="str">
        <f>+SYS_4_3_Digitos!B92</f>
        <v>ANTICIPOS PARA INMOVILIZACIONES MATERIALES</v>
      </c>
      <c r="C94" s="1314">
        <f ca="1">+SYS_4_3_Digitos!I92</f>
        <v>0</v>
      </c>
      <c r="D94" s="1315">
        <f ca="1">+SYS_4_3_Digitos!J92</f>
        <v>0</v>
      </c>
      <c r="E94" s="2045" t="s">
        <v>1896</v>
      </c>
      <c r="F94" s="2049">
        <f t="shared" ca="1" si="11"/>
        <v>0</v>
      </c>
      <c r="G94" s="2049">
        <f t="shared" si="12"/>
        <v>0</v>
      </c>
      <c r="H94" s="2051" t="s">
        <v>1896</v>
      </c>
      <c r="I94" s="2052">
        <v>1</v>
      </c>
      <c r="J94" s="2049">
        <f t="shared" ca="1" si="13"/>
        <v>0</v>
      </c>
      <c r="K94" s="2146">
        <f t="shared" ca="1" si="14"/>
        <v>0</v>
      </c>
      <c r="L94" s="2049">
        <f t="shared" ca="1" si="15"/>
        <v>0</v>
      </c>
      <c r="M94" s="2157">
        <f t="shared" ca="1" si="16"/>
        <v>0</v>
      </c>
      <c r="N94" s="2049">
        <f t="shared" si="17"/>
        <v>0</v>
      </c>
      <c r="O94" s="2157">
        <f t="shared" ca="1" si="18"/>
        <v>0</v>
      </c>
      <c r="P94" s="2049">
        <f t="shared" si="10"/>
        <v>0</v>
      </c>
      <c r="Q94" s="2157">
        <f t="shared" ca="1" si="19"/>
        <v>0</v>
      </c>
    </row>
    <row r="95" spans="1:17" outlineLevel="1">
      <c r="A95" s="1318">
        <f>+SYS_4_3_Digitos!A93</f>
        <v>2403</v>
      </c>
      <c r="B95" s="1319" t="str">
        <f>+SYS_4_3_Digitos!B93</f>
        <v>PARTICIPACIONES A LP EN EMPRESAS DEL GRUPO</v>
      </c>
      <c r="C95" s="1322">
        <f ca="1">+SYS_4_3_Digitos!I93</f>
        <v>0</v>
      </c>
      <c r="D95" s="1323">
        <f ca="1">+SYS_4_3_Digitos!J93</f>
        <v>0</v>
      </c>
      <c r="E95" s="2046" t="s">
        <v>1896</v>
      </c>
      <c r="F95" s="2049">
        <f t="shared" ca="1" si="11"/>
        <v>0</v>
      </c>
      <c r="G95" s="2049">
        <f t="shared" si="12"/>
        <v>0</v>
      </c>
      <c r="H95" s="2051" t="s">
        <v>1896</v>
      </c>
      <c r="I95" s="2052">
        <v>1</v>
      </c>
      <c r="J95" s="2049">
        <f t="shared" ca="1" si="13"/>
        <v>0</v>
      </c>
      <c r="K95" s="2146">
        <f t="shared" ca="1" si="14"/>
        <v>0</v>
      </c>
      <c r="L95" s="2049">
        <f t="shared" ca="1" si="15"/>
        <v>0</v>
      </c>
      <c r="M95" s="2157">
        <f t="shared" ca="1" si="16"/>
        <v>0</v>
      </c>
      <c r="N95" s="2049">
        <f t="shared" si="17"/>
        <v>0</v>
      </c>
      <c r="O95" s="2157">
        <f t="shared" ca="1" si="18"/>
        <v>0</v>
      </c>
      <c r="P95" s="2049">
        <f t="shared" si="10"/>
        <v>0</v>
      </c>
      <c r="Q95" s="2157">
        <f t="shared" ca="1" si="19"/>
        <v>0</v>
      </c>
    </row>
    <row r="96" spans="1:17" outlineLevel="1">
      <c r="A96" s="1318">
        <f>+SYS_4_3_Digitos!A94</f>
        <v>2404</v>
      </c>
      <c r="B96" s="1319" t="str">
        <f>+SYS_4_3_Digitos!B94</f>
        <v>PARTICIPACIONES A LP EN EMPRESAS ASOCIADAS</v>
      </c>
      <c r="C96" s="1322">
        <f ca="1">+SYS_4_3_Digitos!I94</f>
        <v>0</v>
      </c>
      <c r="D96" s="1323">
        <f ca="1">+SYS_4_3_Digitos!J94</f>
        <v>0</v>
      </c>
      <c r="E96" s="2046" t="s">
        <v>1896</v>
      </c>
      <c r="F96" s="2049">
        <f t="shared" ca="1" si="11"/>
        <v>0</v>
      </c>
      <c r="G96" s="2049">
        <f t="shared" si="12"/>
        <v>0</v>
      </c>
      <c r="H96" s="2051" t="s">
        <v>1896</v>
      </c>
      <c r="I96" s="2052">
        <v>1</v>
      </c>
      <c r="J96" s="2049">
        <f t="shared" ca="1" si="13"/>
        <v>0</v>
      </c>
      <c r="K96" s="2146">
        <f t="shared" ca="1" si="14"/>
        <v>0</v>
      </c>
      <c r="L96" s="2049">
        <f t="shared" ca="1" si="15"/>
        <v>0</v>
      </c>
      <c r="M96" s="2157">
        <f t="shared" ca="1" si="16"/>
        <v>0</v>
      </c>
      <c r="N96" s="2049">
        <f t="shared" si="17"/>
        <v>0</v>
      </c>
      <c r="O96" s="2157">
        <f t="shared" ca="1" si="18"/>
        <v>0</v>
      </c>
      <c r="P96" s="2049">
        <f t="shared" si="10"/>
        <v>0</v>
      </c>
      <c r="Q96" s="2157">
        <f t="shared" ca="1" si="19"/>
        <v>0</v>
      </c>
    </row>
    <row r="97" spans="1:17" outlineLevel="1">
      <c r="A97" s="1318">
        <f>+SYS_4_3_Digitos!A95</f>
        <v>2405</v>
      </c>
      <c r="B97" s="1319" t="str">
        <f>+SYS_4_3_Digitos!B95</f>
        <v>PARTICIPACIONES A LP EN OTRAS VINCULADAS</v>
      </c>
      <c r="C97" s="1322">
        <f ca="1">+SYS_4_3_Digitos!I95</f>
        <v>0</v>
      </c>
      <c r="D97" s="1323">
        <f ca="1">+SYS_4_3_Digitos!J95</f>
        <v>0</v>
      </c>
      <c r="E97" s="2046" t="s">
        <v>1896</v>
      </c>
      <c r="F97" s="2049">
        <f t="shared" ca="1" si="11"/>
        <v>0</v>
      </c>
      <c r="G97" s="2049">
        <f t="shared" si="12"/>
        <v>0</v>
      </c>
      <c r="H97" s="2051" t="s">
        <v>1896</v>
      </c>
      <c r="I97" s="2052">
        <v>1</v>
      </c>
      <c r="J97" s="2049">
        <f t="shared" ca="1" si="13"/>
        <v>0</v>
      </c>
      <c r="K97" s="2146">
        <f t="shared" ca="1" si="14"/>
        <v>0</v>
      </c>
      <c r="L97" s="2049">
        <f t="shared" ca="1" si="15"/>
        <v>0</v>
      </c>
      <c r="M97" s="2157">
        <f t="shared" ca="1" si="16"/>
        <v>0</v>
      </c>
      <c r="N97" s="2049">
        <f t="shared" si="17"/>
        <v>0</v>
      </c>
      <c r="O97" s="2157">
        <f t="shared" ca="1" si="18"/>
        <v>0</v>
      </c>
      <c r="P97" s="2049">
        <f t="shared" si="10"/>
        <v>0</v>
      </c>
      <c r="Q97" s="2157">
        <f t="shared" ca="1" si="19"/>
        <v>0</v>
      </c>
    </row>
    <row r="98" spans="1:17" outlineLevel="1">
      <c r="A98" s="1318">
        <f>+SYS_4_3_Digitos!A96</f>
        <v>241</v>
      </c>
      <c r="B98" s="1319" t="str">
        <f>+SYS_4_3_Digitos!B96</f>
        <v>VALORES REPRESENTATIVOS DE DEUDA A LP PARTES VINCU.</v>
      </c>
      <c r="C98" s="1322">
        <f ca="1">+SYS_4_3_Digitos!I96</f>
        <v>0</v>
      </c>
      <c r="D98" s="1323">
        <f ca="1">+SYS_4_3_Digitos!J96</f>
        <v>0</v>
      </c>
      <c r="E98" s="2046" t="s">
        <v>1896</v>
      </c>
      <c r="F98" s="2049">
        <f t="shared" ca="1" si="11"/>
        <v>0</v>
      </c>
      <c r="G98" s="2049">
        <f t="shared" si="12"/>
        <v>0</v>
      </c>
      <c r="H98" s="2051" t="s">
        <v>1896</v>
      </c>
      <c r="I98" s="2052">
        <v>1</v>
      </c>
      <c r="J98" s="2049">
        <f t="shared" ca="1" si="13"/>
        <v>0</v>
      </c>
      <c r="K98" s="2146">
        <f t="shared" ca="1" si="14"/>
        <v>0</v>
      </c>
      <c r="L98" s="2049">
        <f t="shared" ca="1" si="15"/>
        <v>0</v>
      </c>
      <c r="M98" s="2157">
        <f t="shared" ca="1" si="16"/>
        <v>0</v>
      </c>
      <c r="N98" s="2049">
        <f t="shared" si="17"/>
        <v>0</v>
      </c>
      <c r="O98" s="2157">
        <f t="shared" ca="1" si="18"/>
        <v>0</v>
      </c>
      <c r="P98" s="2049">
        <f t="shared" si="10"/>
        <v>0</v>
      </c>
      <c r="Q98" s="2157">
        <f t="shared" ca="1" si="19"/>
        <v>0</v>
      </c>
    </row>
    <row r="99" spans="1:17" outlineLevel="1">
      <c r="A99" s="1318">
        <f>+SYS_4_3_Digitos!A97</f>
        <v>2423</v>
      </c>
      <c r="B99" s="1319" t="str">
        <f>+SYS_4_3_Digitos!B97</f>
        <v>CRÉDITOS A LP A EMPRESAS DEL GRUPO</v>
      </c>
      <c r="C99" s="1322">
        <f ca="1">+SYS_4_3_Digitos!I97</f>
        <v>0</v>
      </c>
      <c r="D99" s="1323">
        <f ca="1">+SYS_4_3_Digitos!J97</f>
        <v>0</v>
      </c>
      <c r="E99" s="2046" t="s">
        <v>1896</v>
      </c>
      <c r="F99" s="2049">
        <f t="shared" ca="1" si="11"/>
        <v>0</v>
      </c>
      <c r="G99" s="2049">
        <f t="shared" si="12"/>
        <v>0</v>
      </c>
      <c r="H99" s="2051" t="s">
        <v>1896</v>
      </c>
      <c r="I99" s="2052">
        <v>1</v>
      </c>
      <c r="J99" s="2049">
        <f t="shared" ca="1" si="13"/>
        <v>0</v>
      </c>
      <c r="K99" s="2146">
        <f t="shared" ca="1" si="14"/>
        <v>0</v>
      </c>
      <c r="L99" s="2049">
        <f t="shared" ca="1" si="15"/>
        <v>0</v>
      </c>
      <c r="M99" s="2157">
        <f t="shared" ca="1" si="16"/>
        <v>0</v>
      </c>
      <c r="N99" s="2049">
        <f t="shared" si="17"/>
        <v>0</v>
      </c>
      <c r="O99" s="2157">
        <f t="shared" ca="1" si="18"/>
        <v>0</v>
      </c>
      <c r="P99" s="2049">
        <f t="shared" si="10"/>
        <v>0</v>
      </c>
      <c r="Q99" s="2157">
        <f t="shared" ca="1" si="19"/>
        <v>0</v>
      </c>
    </row>
    <row r="100" spans="1:17" outlineLevel="1">
      <c r="A100" s="1318">
        <f>+SYS_4_3_Digitos!A98</f>
        <v>2424</v>
      </c>
      <c r="B100" s="1319" t="str">
        <f>+SYS_4_3_Digitos!B98</f>
        <v>CRÉDITOS A LP A EMPRESAS ASOCIADAS</v>
      </c>
      <c r="C100" s="1322">
        <f ca="1">+SYS_4_3_Digitos!I98</f>
        <v>0</v>
      </c>
      <c r="D100" s="1323">
        <f ca="1">+SYS_4_3_Digitos!J98</f>
        <v>0</v>
      </c>
      <c r="E100" s="2046" t="s">
        <v>1896</v>
      </c>
      <c r="F100" s="2049">
        <f t="shared" ca="1" si="11"/>
        <v>0</v>
      </c>
      <c r="G100" s="2049">
        <f t="shared" si="12"/>
        <v>0</v>
      </c>
      <c r="H100" s="2051" t="s">
        <v>1896</v>
      </c>
      <c r="I100" s="2052">
        <v>1</v>
      </c>
      <c r="J100" s="2049">
        <f t="shared" ca="1" si="13"/>
        <v>0</v>
      </c>
      <c r="K100" s="2146">
        <f t="shared" ca="1" si="14"/>
        <v>0</v>
      </c>
      <c r="L100" s="2049">
        <f t="shared" ca="1" si="15"/>
        <v>0</v>
      </c>
      <c r="M100" s="2157">
        <f t="shared" ca="1" si="16"/>
        <v>0</v>
      </c>
      <c r="N100" s="2049">
        <f t="shared" si="17"/>
        <v>0</v>
      </c>
      <c r="O100" s="2157">
        <f t="shared" ca="1" si="18"/>
        <v>0</v>
      </c>
      <c r="P100" s="2049">
        <f t="shared" si="10"/>
        <v>0</v>
      </c>
      <c r="Q100" s="2157">
        <f t="shared" ca="1" si="19"/>
        <v>0</v>
      </c>
    </row>
    <row r="101" spans="1:17" outlineLevel="1">
      <c r="A101" s="1318">
        <f>+SYS_4_3_Digitos!A99</f>
        <v>2425</v>
      </c>
      <c r="B101" s="1319" t="str">
        <f>+SYS_4_3_Digitos!B99</f>
        <v>CRÉDITOS A LP A OTRAS VINCULADAS</v>
      </c>
      <c r="C101" s="1322">
        <f ca="1">+SYS_4_3_Digitos!I99</f>
        <v>0</v>
      </c>
      <c r="D101" s="1323">
        <f ca="1">+SYS_4_3_Digitos!J99</f>
        <v>0</v>
      </c>
      <c r="E101" s="2046" t="s">
        <v>1896</v>
      </c>
      <c r="F101" s="2049">
        <f t="shared" ca="1" si="11"/>
        <v>0</v>
      </c>
      <c r="G101" s="2049">
        <f t="shared" si="12"/>
        <v>0</v>
      </c>
      <c r="H101" s="2051" t="s">
        <v>1896</v>
      </c>
      <c r="I101" s="2052">
        <v>1</v>
      </c>
      <c r="J101" s="2049">
        <f t="shared" ca="1" si="13"/>
        <v>0</v>
      </c>
      <c r="K101" s="2146">
        <f t="shared" ca="1" si="14"/>
        <v>0</v>
      </c>
      <c r="L101" s="2049">
        <f t="shared" ca="1" si="15"/>
        <v>0</v>
      </c>
      <c r="M101" s="2157">
        <f t="shared" ca="1" si="16"/>
        <v>0</v>
      </c>
      <c r="N101" s="2049">
        <f t="shared" si="17"/>
        <v>0</v>
      </c>
      <c r="O101" s="2157">
        <f t="shared" ca="1" si="18"/>
        <v>0</v>
      </c>
      <c r="P101" s="2049">
        <f t="shared" si="10"/>
        <v>0</v>
      </c>
      <c r="Q101" s="2157">
        <f t="shared" ca="1" si="19"/>
        <v>0</v>
      </c>
    </row>
    <row r="102" spans="1:17" outlineLevel="1">
      <c r="A102" s="1310">
        <f>+SYS_4_3_Digitos!A100</f>
        <v>2493</v>
      </c>
      <c r="B102" s="1311" t="str">
        <f>+SYS_4_3_Digitos!B100</f>
        <v>DESEMBOLSOS PTES SOBRE PARTICIP. A LP EN PARTES VINC.</v>
      </c>
      <c r="C102" s="1314">
        <f ca="1">+SYS_4_3_Digitos!I100</f>
        <v>0</v>
      </c>
      <c r="D102" s="1315">
        <f ca="1">+SYS_4_3_Digitos!J100</f>
        <v>0</v>
      </c>
      <c r="E102" s="2045" t="s">
        <v>1896</v>
      </c>
      <c r="F102" s="2049">
        <f t="shared" ca="1" si="11"/>
        <v>0</v>
      </c>
      <c r="G102" s="2049">
        <f t="shared" si="12"/>
        <v>0</v>
      </c>
      <c r="H102" s="2051" t="s">
        <v>1896</v>
      </c>
      <c r="I102" s="2052">
        <v>1</v>
      </c>
      <c r="J102" s="2049">
        <f t="shared" ca="1" si="13"/>
        <v>0</v>
      </c>
      <c r="K102" s="2146">
        <f t="shared" ca="1" si="14"/>
        <v>0</v>
      </c>
      <c r="L102" s="2049">
        <f t="shared" ca="1" si="15"/>
        <v>0</v>
      </c>
      <c r="M102" s="2157">
        <f t="shared" ca="1" si="16"/>
        <v>0</v>
      </c>
      <c r="N102" s="2049">
        <f t="shared" si="17"/>
        <v>0</v>
      </c>
      <c r="O102" s="2157">
        <f t="shared" ca="1" si="18"/>
        <v>0</v>
      </c>
      <c r="P102" s="2049">
        <f t="shared" si="10"/>
        <v>0</v>
      </c>
      <c r="Q102" s="2157">
        <f t="shared" ca="1" si="19"/>
        <v>0</v>
      </c>
    </row>
    <row r="103" spans="1:17" outlineLevel="1">
      <c r="A103" s="1318">
        <f>+SYS_4_3_Digitos!A101</f>
        <v>250</v>
      </c>
      <c r="B103" s="1319" t="str">
        <f>+SYS_4_3_Digitos!B101</f>
        <v>INVERSIONES FRAS A LP EN INSTRUMENTOS DE PATRIMONIO</v>
      </c>
      <c r="C103" s="1322">
        <f ca="1">+SYS_4_3_Digitos!I101</f>
        <v>163066826.97999999</v>
      </c>
      <c r="D103" s="1323">
        <f ca="1">+SYS_4_3_Digitos!J101</f>
        <v>0</v>
      </c>
      <c r="E103" s="2046" t="s">
        <v>1896</v>
      </c>
      <c r="F103" s="2049">
        <f t="shared" ca="1" si="11"/>
        <v>163066826.97999999</v>
      </c>
      <c r="G103" s="2049">
        <f t="shared" si="12"/>
        <v>0</v>
      </c>
      <c r="H103" s="2051" t="s">
        <v>1896</v>
      </c>
      <c r="I103" s="2052">
        <v>1</v>
      </c>
      <c r="J103" s="2049">
        <f t="shared" ca="1" si="13"/>
        <v>163066826.97999999</v>
      </c>
      <c r="K103" s="2146">
        <f t="shared" ca="1" si="14"/>
        <v>0.46279938618091138</v>
      </c>
      <c r="L103" s="2049">
        <f t="shared" ca="1" si="15"/>
        <v>0</v>
      </c>
      <c r="M103" s="2157">
        <f t="shared" ca="1" si="16"/>
        <v>0</v>
      </c>
      <c r="N103" s="2049">
        <f t="shared" si="17"/>
        <v>0</v>
      </c>
      <c r="O103" s="2157">
        <f t="shared" ca="1" si="18"/>
        <v>0</v>
      </c>
      <c r="P103" s="2049">
        <f t="shared" si="10"/>
        <v>0</v>
      </c>
      <c r="Q103" s="2157">
        <f t="shared" ca="1" si="19"/>
        <v>0</v>
      </c>
    </row>
    <row r="104" spans="1:17" outlineLevel="1">
      <c r="A104" s="1318">
        <f>+SYS_4_3_Digitos!A102</f>
        <v>251</v>
      </c>
      <c r="B104" s="1319" t="str">
        <f>+SYS_4_3_Digitos!B102</f>
        <v>VALORES REPRESENTATIVOS DE DEUDA A LP</v>
      </c>
      <c r="C104" s="1322">
        <f ca="1">+SYS_4_3_Digitos!I102</f>
        <v>0</v>
      </c>
      <c r="D104" s="1323">
        <f ca="1">+SYS_4_3_Digitos!J102</f>
        <v>0</v>
      </c>
      <c r="E104" s="2046" t="s">
        <v>1896</v>
      </c>
      <c r="F104" s="2049">
        <f t="shared" ca="1" si="11"/>
        <v>0</v>
      </c>
      <c r="G104" s="2049">
        <f t="shared" si="12"/>
        <v>0</v>
      </c>
      <c r="H104" s="2051" t="s">
        <v>1896</v>
      </c>
      <c r="I104" s="2052">
        <v>1</v>
      </c>
      <c r="J104" s="2049">
        <f t="shared" ca="1" si="13"/>
        <v>0</v>
      </c>
      <c r="K104" s="2146">
        <f t="shared" ca="1" si="14"/>
        <v>0</v>
      </c>
      <c r="L104" s="2049">
        <f t="shared" ca="1" si="15"/>
        <v>0</v>
      </c>
      <c r="M104" s="2157">
        <f t="shared" ca="1" si="16"/>
        <v>0</v>
      </c>
      <c r="N104" s="2049">
        <f t="shared" si="17"/>
        <v>0</v>
      </c>
      <c r="O104" s="2157">
        <f t="shared" ca="1" si="18"/>
        <v>0</v>
      </c>
      <c r="P104" s="2049">
        <f t="shared" si="10"/>
        <v>0</v>
      </c>
      <c r="Q104" s="2157">
        <f t="shared" ca="1" si="19"/>
        <v>0</v>
      </c>
    </row>
    <row r="105" spans="1:17" outlineLevel="1">
      <c r="A105" s="1318">
        <f>+SYS_4_3_Digitos!A103</f>
        <v>252</v>
      </c>
      <c r="B105" s="1319" t="str">
        <f>+SYS_4_3_Digitos!B103</f>
        <v xml:space="preserve">CRÉDITOS A LP  </v>
      </c>
      <c r="C105" s="1322">
        <f ca="1">+SYS_4_3_Digitos!I103</f>
        <v>0</v>
      </c>
      <c r="D105" s="1323">
        <f ca="1">+SYS_4_3_Digitos!J103</f>
        <v>0</v>
      </c>
      <c r="E105" s="2046" t="s">
        <v>1896</v>
      </c>
      <c r="F105" s="2049">
        <f t="shared" ca="1" si="11"/>
        <v>0</v>
      </c>
      <c r="G105" s="2049">
        <f t="shared" si="12"/>
        <v>0</v>
      </c>
      <c r="H105" s="2051" t="s">
        <v>1896</v>
      </c>
      <c r="I105" s="2052">
        <v>1</v>
      </c>
      <c r="J105" s="2049">
        <f t="shared" ca="1" si="13"/>
        <v>0</v>
      </c>
      <c r="K105" s="2146">
        <f t="shared" ca="1" si="14"/>
        <v>0</v>
      </c>
      <c r="L105" s="2049">
        <f t="shared" ca="1" si="15"/>
        <v>0</v>
      </c>
      <c r="M105" s="2157">
        <f t="shared" ca="1" si="16"/>
        <v>0</v>
      </c>
      <c r="N105" s="2049">
        <f t="shared" si="17"/>
        <v>0</v>
      </c>
      <c r="O105" s="2157">
        <f t="shared" ca="1" si="18"/>
        <v>0</v>
      </c>
      <c r="P105" s="2049">
        <f t="shared" si="10"/>
        <v>0</v>
      </c>
      <c r="Q105" s="2157">
        <f t="shared" ca="1" si="19"/>
        <v>0</v>
      </c>
    </row>
    <row r="106" spans="1:17" outlineLevel="1">
      <c r="A106" s="1310">
        <f>+SYS_4_3_Digitos!A104</f>
        <v>253</v>
      </c>
      <c r="B106" s="1311" t="str">
        <f>+SYS_4_3_Digitos!B104</f>
        <v>CRÉDITOS A LP POR ENAJENACIÓN DE INMOVILIZADO</v>
      </c>
      <c r="C106" s="1314">
        <f ca="1">+SYS_4_3_Digitos!I104</f>
        <v>0</v>
      </c>
      <c r="D106" s="1315">
        <f ca="1">+SYS_4_3_Digitos!J104</f>
        <v>0</v>
      </c>
      <c r="E106" s="2045" t="s">
        <v>1896</v>
      </c>
      <c r="F106" s="2049">
        <f t="shared" ca="1" si="11"/>
        <v>0</v>
      </c>
      <c r="G106" s="2049">
        <f t="shared" si="12"/>
        <v>0</v>
      </c>
      <c r="H106" s="2051" t="s">
        <v>1896</v>
      </c>
      <c r="I106" s="2052">
        <v>1</v>
      </c>
      <c r="J106" s="2049">
        <f t="shared" ca="1" si="13"/>
        <v>0</v>
      </c>
      <c r="K106" s="2146">
        <f t="shared" ca="1" si="14"/>
        <v>0</v>
      </c>
      <c r="L106" s="2049">
        <f t="shared" ca="1" si="15"/>
        <v>0</v>
      </c>
      <c r="M106" s="2157">
        <f t="shared" ca="1" si="16"/>
        <v>0</v>
      </c>
      <c r="N106" s="2049">
        <f t="shared" si="17"/>
        <v>0</v>
      </c>
      <c r="O106" s="2157">
        <f t="shared" ca="1" si="18"/>
        <v>0</v>
      </c>
      <c r="P106" s="2049">
        <f t="shared" si="10"/>
        <v>0</v>
      </c>
      <c r="Q106" s="2157">
        <f t="shared" ca="1" si="19"/>
        <v>0</v>
      </c>
    </row>
    <row r="107" spans="1:17" outlineLevel="1">
      <c r="A107" s="1310">
        <f>+SYS_4_3_Digitos!A105</f>
        <v>254</v>
      </c>
      <c r="B107" s="1311" t="str">
        <f>+SYS_4_3_Digitos!B105</f>
        <v>CRÉDITOS A LP AL PERSONAL</v>
      </c>
      <c r="C107" s="1314">
        <f ca="1">+SYS_4_3_Digitos!I105</f>
        <v>6095.42</v>
      </c>
      <c r="D107" s="1315">
        <f ca="1">+SYS_4_3_Digitos!J105</f>
        <v>0</v>
      </c>
      <c r="E107" s="2045" t="s">
        <v>1896</v>
      </c>
      <c r="F107" s="2049">
        <f t="shared" ca="1" si="11"/>
        <v>6095.42</v>
      </c>
      <c r="G107" s="2049">
        <f t="shared" si="12"/>
        <v>0</v>
      </c>
      <c r="H107" s="2051" t="s">
        <v>1896</v>
      </c>
      <c r="I107" s="2052">
        <v>1</v>
      </c>
      <c r="J107" s="2049">
        <f t="shared" ca="1" si="13"/>
        <v>6095.42</v>
      </c>
      <c r="K107" s="2146">
        <f t="shared" ca="1" si="14"/>
        <v>1.7299389990956522E-5</v>
      </c>
      <c r="L107" s="2049">
        <f t="shared" ca="1" si="15"/>
        <v>0</v>
      </c>
      <c r="M107" s="2157">
        <f t="shared" ca="1" si="16"/>
        <v>0</v>
      </c>
      <c r="N107" s="2049">
        <f t="shared" si="17"/>
        <v>0</v>
      </c>
      <c r="O107" s="2157">
        <f t="shared" ca="1" si="18"/>
        <v>0</v>
      </c>
      <c r="P107" s="2049">
        <f t="shared" si="10"/>
        <v>0</v>
      </c>
      <c r="Q107" s="2157">
        <f t="shared" ca="1" si="19"/>
        <v>0</v>
      </c>
    </row>
    <row r="108" spans="1:17" outlineLevel="1">
      <c r="A108" s="1310">
        <f>+SYS_4_3_Digitos!A106</f>
        <v>255</v>
      </c>
      <c r="B108" s="1311" t="str">
        <f>+SYS_4_3_Digitos!B106</f>
        <v>ACTIVOS POR DERIVADOS FINANCIEROS A LP</v>
      </c>
      <c r="C108" s="1314">
        <f ca="1">+SYS_4_3_Digitos!I106</f>
        <v>0</v>
      </c>
      <c r="D108" s="1315">
        <f ca="1">+SYS_4_3_Digitos!J106</f>
        <v>0</v>
      </c>
      <c r="E108" s="2045" t="s">
        <v>1896</v>
      </c>
      <c r="F108" s="2049">
        <f t="shared" ca="1" si="11"/>
        <v>0</v>
      </c>
      <c r="G108" s="2049">
        <f t="shared" si="12"/>
        <v>0</v>
      </c>
      <c r="H108" s="2051" t="s">
        <v>1896</v>
      </c>
      <c r="I108" s="2052">
        <v>1</v>
      </c>
      <c r="J108" s="2049">
        <f t="shared" ca="1" si="13"/>
        <v>0</v>
      </c>
      <c r="K108" s="2146">
        <f t="shared" ca="1" si="14"/>
        <v>0</v>
      </c>
      <c r="L108" s="2049">
        <f t="shared" ca="1" si="15"/>
        <v>0</v>
      </c>
      <c r="M108" s="2157">
        <f t="shared" ca="1" si="16"/>
        <v>0</v>
      </c>
      <c r="N108" s="2049">
        <f t="shared" si="17"/>
        <v>0</v>
      </c>
      <c r="O108" s="2157">
        <f t="shared" ca="1" si="18"/>
        <v>0</v>
      </c>
      <c r="P108" s="2049">
        <f t="shared" si="10"/>
        <v>0</v>
      </c>
      <c r="Q108" s="2157">
        <f t="shared" ca="1" si="19"/>
        <v>0</v>
      </c>
    </row>
    <row r="109" spans="1:17" outlineLevel="1">
      <c r="A109" s="1310">
        <f>+SYS_4_3_Digitos!A107</f>
        <v>257</v>
      </c>
      <c r="B109" s="1311" t="str">
        <f>+SYS_4_3_Digitos!B107</f>
        <v>DCHOS DE REEMB. DERIV. DE CONTR.DE SEGUROS RETR.LP</v>
      </c>
      <c r="C109" s="1314">
        <f ca="1">+SYS_4_3_Digitos!I107</f>
        <v>0</v>
      </c>
      <c r="D109" s="1315">
        <f ca="1">+SYS_4_3_Digitos!J107</f>
        <v>0</v>
      </c>
      <c r="E109" s="2045" t="s">
        <v>1896</v>
      </c>
      <c r="F109" s="2049">
        <f t="shared" ca="1" si="11"/>
        <v>0</v>
      </c>
      <c r="G109" s="2049">
        <f t="shared" si="12"/>
        <v>0</v>
      </c>
      <c r="H109" s="2051" t="s">
        <v>1896</v>
      </c>
      <c r="I109" s="2052">
        <v>1</v>
      </c>
      <c r="J109" s="2049">
        <f t="shared" ca="1" si="13"/>
        <v>0</v>
      </c>
      <c r="K109" s="2146">
        <f t="shared" ca="1" si="14"/>
        <v>0</v>
      </c>
      <c r="L109" s="2049">
        <f t="shared" ca="1" si="15"/>
        <v>0</v>
      </c>
      <c r="M109" s="2157">
        <f t="shared" ca="1" si="16"/>
        <v>0</v>
      </c>
      <c r="N109" s="2049">
        <f t="shared" si="17"/>
        <v>0</v>
      </c>
      <c r="O109" s="2157">
        <f t="shared" ca="1" si="18"/>
        <v>0</v>
      </c>
      <c r="P109" s="2049">
        <f t="shared" si="10"/>
        <v>0</v>
      </c>
      <c r="Q109" s="2157">
        <f t="shared" ca="1" si="19"/>
        <v>0</v>
      </c>
    </row>
    <row r="110" spans="1:17" outlineLevel="1">
      <c r="A110" s="1318">
        <f>+SYS_4_3_Digitos!A108</f>
        <v>258</v>
      </c>
      <c r="B110" s="1319" t="str">
        <f>+SYS_4_3_Digitos!B108</f>
        <v>IMPOSICIONES A LP</v>
      </c>
      <c r="C110" s="1322">
        <f ca="1">+SYS_4_3_Digitos!I108</f>
        <v>0</v>
      </c>
      <c r="D110" s="1323">
        <f ca="1">+SYS_4_3_Digitos!J108</f>
        <v>0</v>
      </c>
      <c r="E110" s="2046" t="s">
        <v>1896</v>
      </c>
      <c r="F110" s="2049">
        <f t="shared" ca="1" si="11"/>
        <v>0</v>
      </c>
      <c r="G110" s="2049">
        <f t="shared" si="12"/>
        <v>0</v>
      </c>
      <c r="H110" s="2051" t="s">
        <v>1896</v>
      </c>
      <c r="I110" s="2052">
        <v>1</v>
      </c>
      <c r="J110" s="2049">
        <f t="shared" ca="1" si="13"/>
        <v>0</v>
      </c>
      <c r="K110" s="2146">
        <f t="shared" ca="1" si="14"/>
        <v>0</v>
      </c>
      <c r="L110" s="2049">
        <f t="shared" ca="1" si="15"/>
        <v>0</v>
      </c>
      <c r="M110" s="2157">
        <f t="shared" ca="1" si="16"/>
        <v>0</v>
      </c>
      <c r="N110" s="2049">
        <f t="shared" si="17"/>
        <v>0</v>
      </c>
      <c r="O110" s="2157">
        <f t="shared" ca="1" si="18"/>
        <v>0</v>
      </c>
      <c r="P110" s="2049">
        <f t="shared" si="10"/>
        <v>0</v>
      </c>
      <c r="Q110" s="2157">
        <f t="shared" ca="1" si="19"/>
        <v>0</v>
      </c>
    </row>
    <row r="111" spans="1:17" outlineLevel="1">
      <c r="A111" s="1310">
        <f>+SYS_4_3_Digitos!A109</f>
        <v>259</v>
      </c>
      <c r="B111" s="1311" t="str">
        <f>+SYS_4_3_Digitos!B109</f>
        <v>DESEMBOLSOS PTES SOBRE PART. EN EL PATRIM. NETO A LP</v>
      </c>
      <c r="C111" s="1314">
        <f ca="1">+SYS_4_3_Digitos!I109</f>
        <v>0</v>
      </c>
      <c r="D111" s="1315">
        <f ca="1">+SYS_4_3_Digitos!J109</f>
        <v>0</v>
      </c>
      <c r="E111" s="2045" t="s">
        <v>1896</v>
      </c>
      <c r="F111" s="2049">
        <f t="shared" ca="1" si="11"/>
        <v>0</v>
      </c>
      <c r="G111" s="2049">
        <f t="shared" si="12"/>
        <v>0</v>
      </c>
      <c r="H111" s="2051" t="s">
        <v>1896</v>
      </c>
      <c r="I111" s="2052">
        <v>1</v>
      </c>
      <c r="J111" s="2049">
        <f t="shared" ca="1" si="13"/>
        <v>0</v>
      </c>
      <c r="K111" s="2146">
        <f t="shared" ca="1" si="14"/>
        <v>0</v>
      </c>
      <c r="L111" s="2049">
        <f t="shared" ca="1" si="15"/>
        <v>0</v>
      </c>
      <c r="M111" s="2157">
        <f t="shared" ca="1" si="16"/>
        <v>0</v>
      </c>
      <c r="N111" s="2049">
        <f t="shared" si="17"/>
        <v>0</v>
      </c>
      <c r="O111" s="2157">
        <f t="shared" ca="1" si="18"/>
        <v>0</v>
      </c>
      <c r="P111" s="2049">
        <f t="shared" si="10"/>
        <v>0</v>
      </c>
      <c r="Q111" s="2157">
        <f t="shared" ca="1" si="19"/>
        <v>0</v>
      </c>
    </row>
    <row r="112" spans="1:17" outlineLevel="1">
      <c r="A112" s="1310">
        <f>+SYS_4_3_Digitos!A110</f>
        <v>260</v>
      </c>
      <c r="B112" s="1311" t="str">
        <f>+SYS_4_3_Digitos!B110</f>
        <v>FIANZAS CONSTITUIDAS A LP</v>
      </c>
      <c r="C112" s="1314">
        <f ca="1">+SYS_4_3_Digitos!I110</f>
        <v>202851.78</v>
      </c>
      <c r="D112" s="1315">
        <f ca="1">+SYS_4_3_Digitos!J110</f>
        <v>0</v>
      </c>
      <c r="E112" s="2045" t="s">
        <v>1896</v>
      </c>
      <c r="F112" s="2049">
        <f t="shared" ca="1" si="11"/>
        <v>202851.78</v>
      </c>
      <c r="G112" s="2049">
        <f t="shared" si="12"/>
        <v>0</v>
      </c>
      <c r="H112" s="2051" t="s">
        <v>1896</v>
      </c>
      <c r="I112" s="2052">
        <v>1</v>
      </c>
      <c r="J112" s="2049">
        <f t="shared" ca="1" si="13"/>
        <v>202851.78</v>
      </c>
      <c r="K112" s="2146">
        <f t="shared" ca="1" si="14"/>
        <v>5.7571292094387501E-4</v>
      </c>
      <c r="L112" s="2049">
        <f t="shared" ca="1" si="15"/>
        <v>0</v>
      </c>
      <c r="M112" s="2157">
        <f t="shared" ca="1" si="16"/>
        <v>0</v>
      </c>
      <c r="N112" s="2049">
        <f t="shared" si="17"/>
        <v>0</v>
      </c>
      <c r="O112" s="2157">
        <f t="shared" ca="1" si="18"/>
        <v>0</v>
      </c>
      <c r="P112" s="2049">
        <f t="shared" si="10"/>
        <v>0</v>
      </c>
      <c r="Q112" s="2157">
        <f t="shared" ca="1" si="19"/>
        <v>0</v>
      </c>
    </row>
    <row r="113" spans="1:17" outlineLevel="1">
      <c r="A113" s="1310">
        <f>+SYS_4_3_Digitos!A111</f>
        <v>265</v>
      </c>
      <c r="B113" s="1311" t="str">
        <f>+SYS_4_3_Digitos!B111</f>
        <v>DEPÓSITOS CONSTITUIDOS A LP</v>
      </c>
      <c r="C113" s="1314">
        <f ca="1">+SYS_4_3_Digitos!I111</f>
        <v>0</v>
      </c>
      <c r="D113" s="1315">
        <f ca="1">+SYS_4_3_Digitos!J111</f>
        <v>18235.760000000002</v>
      </c>
      <c r="E113" s="2045" t="s">
        <v>1896</v>
      </c>
      <c r="F113" s="2049">
        <f t="shared" ca="1" si="11"/>
        <v>-18235.760000000002</v>
      </c>
      <c r="G113" s="2049">
        <f t="shared" si="12"/>
        <v>0</v>
      </c>
      <c r="H113" s="2051" t="s">
        <v>1896</v>
      </c>
      <c r="I113" s="2052">
        <v>1</v>
      </c>
      <c r="J113" s="2049">
        <f t="shared" ca="1" si="13"/>
        <v>-18235.760000000002</v>
      </c>
      <c r="K113" s="2146">
        <f t="shared" ca="1" si="14"/>
        <v>-5.1754846101086606E-5</v>
      </c>
      <c r="L113" s="2049">
        <f t="shared" ca="1" si="15"/>
        <v>0</v>
      </c>
      <c r="M113" s="2157">
        <f t="shared" ca="1" si="16"/>
        <v>0</v>
      </c>
      <c r="N113" s="2049">
        <f t="shared" si="17"/>
        <v>0</v>
      </c>
      <c r="O113" s="2157">
        <f t="shared" ca="1" si="18"/>
        <v>0</v>
      </c>
      <c r="P113" s="2049">
        <f t="shared" si="10"/>
        <v>0</v>
      </c>
      <c r="Q113" s="2157">
        <f t="shared" ca="1" si="19"/>
        <v>0</v>
      </c>
    </row>
    <row r="114" spans="1:17" outlineLevel="1">
      <c r="A114" s="1310">
        <f>+SYS_4_3_Digitos!A112</f>
        <v>2800</v>
      </c>
      <c r="B114" s="1311" t="str">
        <f>+SYS_4_3_Digitos!B112</f>
        <v>AMORT. ACUM. DE INVESTIGACIÓN</v>
      </c>
      <c r="C114" s="1314">
        <f ca="1">+SYS_4_3_Digitos!I112</f>
        <v>0</v>
      </c>
      <c r="D114" s="1315">
        <f ca="1">+SYS_4_3_Digitos!J112</f>
        <v>0</v>
      </c>
      <c r="E114" s="2045" t="s">
        <v>1896</v>
      </c>
      <c r="F114" s="2049">
        <f t="shared" ca="1" si="11"/>
        <v>0</v>
      </c>
      <c r="G114" s="2049">
        <f t="shared" si="12"/>
        <v>0</v>
      </c>
      <c r="H114" s="2051" t="s">
        <v>1896</v>
      </c>
      <c r="I114" s="2052">
        <v>1</v>
      </c>
      <c r="J114" s="2049">
        <f t="shared" ca="1" si="13"/>
        <v>0</v>
      </c>
      <c r="K114" s="2146">
        <f t="shared" ca="1" si="14"/>
        <v>0</v>
      </c>
      <c r="L114" s="2049">
        <f t="shared" ca="1" si="15"/>
        <v>0</v>
      </c>
      <c r="M114" s="2157">
        <f t="shared" ca="1" si="16"/>
        <v>0</v>
      </c>
      <c r="N114" s="2049">
        <f t="shared" si="17"/>
        <v>0</v>
      </c>
      <c r="O114" s="2157">
        <f t="shared" ca="1" si="18"/>
        <v>0</v>
      </c>
      <c r="P114" s="2049">
        <f t="shared" si="10"/>
        <v>0</v>
      </c>
      <c r="Q114" s="2157">
        <f t="shared" ca="1" si="19"/>
        <v>0</v>
      </c>
    </row>
    <row r="115" spans="1:17" outlineLevel="1">
      <c r="A115" s="1310">
        <f>+SYS_4_3_Digitos!A113</f>
        <v>2801</v>
      </c>
      <c r="B115" s="1311" t="str">
        <f>+SYS_4_3_Digitos!B113</f>
        <v>AMORT. ACUM. DE DESARROLLO</v>
      </c>
      <c r="C115" s="1314">
        <f ca="1">+SYS_4_3_Digitos!I113</f>
        <v>0</v>
      </c>
      <c r="D115" s="1315">
        <f ca="1">+SYS_4_3_Digitos!J113</f>
        <v>0</v>
      </c>
      <c r="E115" s="2045" t="s">
        <v>1896</v>
      </c>
      <c r="F115" s="2049">
        <f t="shared" ca="1" si="11"/>
        <v>0</v>
      </c>
      <c r="G115" s="2049">
        <f t="shared" si="12"/>
        <v>0</v>
      </c>
      <c r="H115" s="2051" t="s">
        <v>1896</v>
      </c>
      <c r="I115" s="2052">
        <v>1</v>
      </c>
      <c r="J115" s="2049">
        <f t="shared" ca="1" si="13"/>
        <v>0</v>
      </c>
      <c r="K115" s="2146">
        <f t="shared" ca="1" si="14"/>
        <v>0</v>
      </c>
      <c r="L115" s="2049">
        <f t="shared" ca="1" si="15"/>
        <v>0</v>
      </c>
      <c r="M115" s="2157">
        <f t="shared" ca="1" si="16"/>
        <v>0</v>
      </c>
      <c r="N115" s="2049">
        <f t="shared" si="17"/>
        <v>0</v>
      </c>
      <c r="O115" s="2157">
        <f t="shared" ca="1" si="18"/>
        <v>0</v>
      </c>
      <c r="P115" s="2049">
        <f t="shared" si="10"/>
        <v>0</v>
      </c>
      <c r="Q115" s="2157">
        <f t="shared" ca="1" si="19"/>
        <v>0</v>
      </c>
    </row>
    <row r="116" spans="1:17" outlineLevel="1">
      <c r="A116" s="1310">
        <f>+SYS_4_3_Digitos!A114</f>
        <v>2802</v>
      </c>
      <c r="B116" s="1311" t="str">
        <f>+SYS_4_3_Digitos!B114</f>
        <v>AMORT. ACUM. DE CONCESIONES ADMINISTRATIVAS</v>
      </c>
      <c r="C116" s="1314">
        <f ca="1">+SYS_4_3_Digitos!I114</f>
        <v>0</v>
      </c>
      <c r="D116" s="1315">
        <f ca="1">+SYS_4_3_Digitos!J114</f>
        <v>9628.74</v>
      </c>
      <c r="E116" s="2045" t="s">
        <v>1896</v>
      </c>
      <c r="F116" s="2049">
        <f t="shared" ca="1" si="11"/>
        <v>-9628.74</v>
      </c>
      <c r="G116" s="2049">
        <f t="shared" si="12"/>
        <v>0</v>
      </c>
      <c r="H116" s="2051" t="s">
        <v>1896</v>
      </c>
      <c r="I116" s="2052">
        <v>1</v>
      </c>
      <c r="J116" s="2049">
        <f t="shared" ca="1" si="13"/>
        <v>-9628.74</v>
      </c>
      <c r="K116" s="2146">
        <f t="shared" ca="1" si="14"/>
        <v>-2.732729301369269E-5</v>
      </c>
      <c r="L116" s="2049">
        <f t="shared" ca="1" si="15"/>
        <v>0</v>
      </c>
      <c r="M116" s="2157">
        <f t="shared" ca="1" si="16"/>
        <v>0</v>
      </c>
      <c r="N116" s="2049">
        <f t="shared" si="17"/>
        <v>0</v>
      </c>
      <c r="O116" s="2157">
        <f t="shared" ca="1" si="18"/>
        <v>0</v>
      </c>
      <c r="P116" s="2049">
        <f t="shared" si="10"/>
        <v>0</v>
      </c>
      <c r="Q116" s="2157">
        <f t="shared" ca="1" si="19"/>
        <v>0</v>
      </c>
    </row>
    <row r="117" spans="1:17" outlineLevel="1">
      <c r="A117" s="1310">
        <f>+SYS_4_3_Digitos!A115</f>
        <v>2803</v>
      </c>
      <c r="B117" s="1311" t="str">
        <f>+SYS_4_3_Digitos!B115</f>
        <v>AMORT. ACUM. DE PROPIEDAD INDUSTRIAL</v>
      </c>
      <c r="C117" s="1314">
        <f ca="1">+SYS_4_3_Digitos!I115</f>
        <v>0</v>
      </c>
      <c r="D117" s="1315">
        <f ca="1">+SYS_4_3_Digitos!J115</f>
        <v>0</v>
      </c>
      <c r="E117" s="2045" t="s">
        <v>1896</v>
      </c>
      <c r="F117" s="2049">
        <f t="shared" ca="1" si="11"/>
        <v>0</v>
      </c>
      <c r="G117" s="2049">
        <f t="shared" si="12"/>
        <v>0</v>
      </c>
      <c r="H117" s="2051" t="s">
        <v>1896</v>
      </c>
      <c r="I117" s="2052">
        <v>1</v>
      </c>
      <c r="J117" s="2049">
        <f t="shared" ca="1" si="13"/>
        <v>0</v>
      </c>
      <c r="K117" s="2146">
        <f t="shared" ca="1" si="14"/>
        <v>0</v>
      </c>
      <c r="L117" s="2049">
        <f t="shared" ca="1" si="15"/>
        <v>0</v>
      </c>
      <c r="M117" s="2157">
        <f t="shared" ca="1" si="16"/>
        <v>0</v>
      </c>
      <c r="N117" s="2049">
        <f t="shared" si="17"/>
        <v>0</v>
      </c>
      <c r="O117" s="2157">
        <f t="shared" ca="1" si="18"/>
        <v>0</v>
      </c>
      <c r="P117" s="2049">
        <f t="shared" si="10"/>
        <v>0</v>
      </c>
      <c r="Q117" s="2157">
        <f t="shared" ca="1" si="19"/>
        <v>0</v>
      </c>
    </row>
    <row r="118" spans="1:17" outlineLevel="1">
      <c r="A118" s="1310">
        <f>+SYS_4_3_Digitos!A117</f>
        <v>2805</v>
      </c>
      <c r="B118" s="1311" t="str">
        <f>+SYS_4_3_Digitos!B117</f>
        <v>AMORT. ACUM, DE DERECHOS DE TRASPASO</v>
      </c>
      <c r="C118" s="1314">
        <f ca="1">+SYS_4_3_Digitos!I117</f>
        <v>0</v>
      </c>
      <c r="D118" s="1315">
        <f ca="1">+SYS_4_3_Digitos!J117</f>
        <v>0</v>
      </c>
      <c r="E118" s="2045" t="s">
        <v>1896</v>
      </c>
      <c r="F118" s="2049">
        <f t="shared" ca="1" si="11"/>
        <v>0</v>
      </c>
      <c r="G118" s="2049">
        <f t="shared" si="12"/>
        <v>0</v>
      </c>
      <c r="H118" s="2051" t="s">
        <v>1896</v>
      </c>
      <c r="I118" s="2052">
        <v>1</v>
      </c>
      <c r="J118" s="2049">
        <f t="shared" ca="1" si="13"/>
        <v>0</v>
      </c>
      <c r="K118" s="2146">
        <f t="shared" ca="1" si="14"/>
        <v>0</v>
      </c>
      <c r="L118" s="2049">
        <f t="shared" ca="1" si="15"/>
        <v>0</v>
      </c>
      <c r="M118" s="2157">
        <f t="shared" ca="1" si="16"/>
        <v>0</v>
      </c>
      <c r="N118" s="2049">
        <f t="shared" si="17"/>
        <v>0</v>
      </c>
      <c r="O118" s="2157">
        <f t="shared" ca="1" si="18"/>
        <v>0</v>
      </c>
      <c r="P118" s="2049">
        <f t="shared" si="10"/>
        <v>0</v>
      </c>
      <c r="Q118" s="2157">
        <f t="shared" ca="1" si="19"/>
        <v>0</v>
      </c>
    </row>
    <row r="119" spans="1:17" outlineLevel="1">
      <c r="A119" s="1310">
        <f>+SYS_4_3_Digitos!A118</f>
        <v>2806</v>
      </c>
      <c r="B119" s="1311" t="str">
        <f>+SYS_4_3_Digitos!B118</f>
        <v>AMORT. ACUM. DE APLCACIONES INFORMÁTICAS</v>
      </c>
      <c r="C119" s="1314">
        <f ca="1">+SYS_4_3_Digitos!I118</f>
        <v>0</v>
      </c>
      <c r="D119" s="1315">
        <f ca="1">+SYS_4_3_Digitos!J118</f>
        <v>88931.13</v>
      </c>
      <c r="E119" s="2045" t="s">
        <v>1896</v>
      </c>
      <c r="F119" s="2049">
        <f t="shared" ca="1" si="11"/>
        <v>-88931.13</v>
      </c>
      <c r="G119" s="2049">
        <f t="shared" si="12"/>
        <v>0</v>
      </c>
      <c r="H119" s="2051" t="s">
        <v>1896</v>
      </c>
      <c r="I119" s="2052">
        <v>1</v>
      </c>
      <c r="J119" s="2049">
        <f t="shared" ca="1" si="13"/>
        <v>-88931.13</v>
      </c>
      <c r="K119" s="2146">
        <f t="shared" ca="1" si="14"/>
        <v>-2.5239512621057339E-4</v>
      </c>
      <c r="L119" s="2049">
        <f t="shared" ca="1" si="15"/>
        <v>0</v>
      </c>
      <c r="M119" s="2157">
        <f t="shared" ca="1" si="16"/>
        <v>0</v>
      </c>
      <c r="N119" s="2049">
        <f t="shared" si="17"/>
        <v>0</v>
      </c>
      <c r="O119" s="2157">
        <f t="shared" ca="1" si="18"/>
        <v>0</v>
      </c>
      <c r="P119" s="2049">
        <f t="shared" si="10"/>
        <v>0</v>
      </c>
      <c r="Q119" s="2157">
        <f t="shared" ca="1" si="19"/>
        <v>0</v>
      </c>
    </row>
    <row r="120" spans="1:17" outlineLevel="1">
      <c r="A120" s="1310">
        <f>+SYS_4_3_Digitos!A119</f>
        <v>2811</v>
      </c>
      <c r="B120" s="1311" t="str">
        <f>+SYS_4_3_Digitos!B119</f>
        <v>AMORT. ACUM. DE CONSTRUCCIONES</v>
      </c>
      <c r="C120" s="1314">
        <f ca="1">+SYS_4_3_Digitos!I119</f>
        <v>0</v>
      </c>
      <c r="D120" s="1315">
        <f ca="1">+SYS_4_3_Digitos!J119</f>
        <v>3128562.16</v>
      </c>
      <c r="E120" s="2045" t="s">
        <v>1896</v>
      </c>
      <c r="F120" s="2049">
        <f t="shared" ca="1" si="11"/>
        <v>-3128562.16</v>
      </c>
      <c r="G120" s="2049">
        <f t="shared" si="12"/>
        <v>0</v>
      </c>
      <c r="H120" s="2051" t="s">
        <v>1896</v>
      </c>
      <c r="I120" s="2052">
        <v>1</v>
      </c>
      <c r="J120" s="2049">
        <f t="shared" ca="1" si="13"/>
        <v>-3128562.16</v>
      </c>
      <c r="K120" s="2146">
        <f t="shared" ca="1" si="14"/>
        <v>-8.8791612254429265E-3</v>
      </c>
      <c r="L120" s="2049">
        <f t="shared" ca="1" si="15"/>
        <v>0</v>
      </c>
      <c r="M120" s="2157">
        <f t="shared" ca="1" si="16"/>
        <v>0</v>
      </c>
      <c r="N120" s="2049">
        <f t="shared" si="17"/>
        <v>0</v>
      </c>
      <c r="O120" s="2157">
        <f t="shared" ca="1" si="18"/>
        <v>0</v>
      </c>
      <c r="P120" s="2049">
        <f t="shared" si="10"/>
        <v>0</v>
      </c>
      <c r="Q120" s="2157">
        <f t="shared" ca="1" si="19"/>
        <v>0</v>
      </c>
    </row>
    <row r="121" spans="1:17" outlineLevel="1">
      <c r="A121" s="1310">
        <f>+SYS_4_3_Digitos!A120</f>
        <v>2812</v>
      </c>
      <c r="B121" s="1311" t="str">
        <f>+SYS_4_3_Digitos!B120</f>
        <v>AMORT. ACUM. DE INSTALACIONES TÉCNICAS</v>
      </c>
      <c r="C121" s="1314">
        <f ca="1">+SYS_4_3_Digitos!I120</f>
        <v>0</v>
      </c>
      <c r="D121" s="1315">
        <f ca="1">+SYS_4_3_Digitos!J120</f>
        <v>17859712.620000001</v>
      </c>
      <c r="E121" s="2045" t="s">
        <v>1896</v>
      </c>
      <c r="F121" s="2049">
        <f t="shared" ca="1" si="11"/>
        <v>-17859712.620000001</v>
      </c>
      <c r="G121" s="2049">
        <f t="shared" si="12"/>
        <v>0</v>
      </c>
      <c r="H121" s="2051" t="s">
        <v>1896</v>
      </c>
      <c r="I121" s="2052">
        <v>1</v>
      </c>
      <c r="J121" s="2049">
        <f t="shared" ca="1" si="13"/>
        <v>-17859712.620000001</v>
      </c>
      <c r="K121" s="2146">
        <f t="shared" ca="1" si="14"/>
        <v>-5.0687587358998705E-2</v>
      </c>
      <c r="L121" s="2049">
        <f t="shared" ca="1" si="15"/>
        <v>0</v>
      </c>
      <c r="M121" s="2157">
        <f t="shared" ca="1" si="16"/>
        <v>0</v>
      </c>
      <c r="N121" s="2049">
        <f t="shared" si="17"/>
        <v>0</v>
      </c>
      <c r="O121" s="2157">
        <f t="shared" ca="1" si="18"/>
        <v>0</v>
      </c>
      <c r="P121" s="2049">
        <f t="shared" si="10"/>
        <v>0</v>
      </c>
      <c r="Q121" s="2157">
        <f t="shared" ca="1" si="19"/>
        <v>0</v>
      </c>
    </row>
    <row r="122" spans="1:17" outlineLevel="1">
      <c r="A122" s="1310">
        <f>+SYS_4_3_Digitos!A121</f>
        <v>2813</v>
      </c>
      <c r="B122" s="1311" t="str">
        <f>+SYS_4_3_Digitos!B121</f>
        <v>AMORT. ACUM. DE MAQUINARIA</v>
      </c>
      <c r="C122" s="1314">
        <f ca="1">+SYS_4_3_Digitos!I121</f>
        <v>0</v>
      </c>
      <c r="D122" s="1315">
        <f ca="1">+SYS_4_3_Digitos!J121</f>
        <v>946983.86</v>
      </c>
      <c r="E122" s="2045" t="s">
        <v>1896</v>
      </c>
      <c r="F122" s="2049">
        <f t="shared" ca="1" si="11"/>
        <v>-946983.86</v>
      </c>
      <c r="G122" s="2049">
        <f t="shared" si="12"/>
        <v>0</v>
      </c>
      <c r="H122" s="2051" t="s">
        <v>1896</v>
      </c>
      <c r="I122" s="2052">
        <v>1</v>
      </c>
      <c r="J122" s="2049">
        <f t="shared" ca="1" si="13"/>
        <v>-946983.86</v>
      </c>
      <c r="K122" s="2146">
        <f t="shared" ca="1" si="14"/>
        <v>-2.6876315511123717E-3</v>
      </c>
      <c r="L122" s="2049">
        <f t="shared" ca="1" si="15"/>
        <v>0</v>
      </c>
      <c r="M122" s="2157">
        <f t="shared" ca="1" si="16"/>
        <v>0</v>
      </c>
      <c r="N122" s="2049">
        <f t="shared" si="17"/>
        <v>0</v>
      </c>
      <c r="O122" s="2157">
        <f t="shared" ca="1" si="18"/>
        <v>0</v>
      </c>
      <c r="P122" s="2049">
        <f t="shared" si="10"/>
        <v>0</v>
      </c>
      <c r="Q122" s="2157">
        <f t="shared" ca="1" si="19"/>
        <v>0</v>
      </c>
    </row>
    <row r="123" spans="1:17" outlineLevel="1">
      <c r="A123" s="1310">
        <f>+SYS_4_3_Digitos!A122</f>
        <v>2814</v>
      </c>
      <c r="B123" s="1311" t="str">
        <f>+SYS_4_3_Digitos!B122</f>
        <v>AMORT. ACUM. DE UTILLAJE</v>
      </c>
      <c r="C123" s="1314">
        <f ca="1">+SYS_4_3_Digitos!I122</f>
        <v>0</v>
      </c>
      <c r="D123" s="1315">
        <f ca="1">+SYS_4_3_Digitos!J122</f>
        <v>10306.1</v>
      </c>
      <c r="E123" s="2045" t="s">
        <v>1896</v>
      </c>
      <c r="F123" s="2049">
        <f t="shared" ca="1" si="11"/>
        <v>-10306.1</v>
      </c>
      <c r="G123" s="2049">
        <f t="shared" si="12"/>
        <v>0</v>
      </c>
      <c r="H123" s="2051" t="s">
        <v>1896</v>
      </c>
      <c r="I123" s="2052">
        <v>1</v>
      </c>
      <c r="J123" s="2049">
        <f t="shared" ca="1" si="13"/>
        <v>-10306.1</v>
      </c>
      <c r="K123" s="2146">
        <f t="shared" ca="1" si="14"/>
        <v>-2.9249706039255215E-5</v>
      </c>
      <c r="L123" s="2049">
        <f t="shared" ca="1" si="15"/>
        <v>0</v>
      </c>
      <c r="M123" s="2157">
        <f t="shared" ca="1" si="16"/>
        <v>0</v>
      </c>
      <c r="N123" s="2049">
        <f t="shared" si="17"/>
        <v>0</v>
      </c>
      <c r="O123" s="2157">
        <f t="shared" ca="1" si="18"/>
        <v>0</v>
      </c>
      <c r="P123" s="2049">
        <f t="shared" si="10"/>
        <v>0</v>
      </c>
      <c r="Q123" s="2157">
        <f t="shared" ca="1" si="19"/>
        <v>0</v>
      </c>
    </row>
    <row r="124" spans="1:17" outlineLevel="1">
      <c r="A124" s="1310">
        <f>+SYS_4_3_Digitos!A123</f>
        <v>2815</v>
      </c>
      <c r="B124" s="1311" t="str">
        <f>+SYS_4_3_Digitos!B123</f>
        <v>AMORT. ACUM. DE OTRAS INSTALACIONES</v>
      </c>
      <c r="C124" s="1314">
        <f ca="1">+SYS_4_3_Digitos!I123</f>
        <v>0</v>
      </c>
      <c r="D124" s="1315">
        <f ca="1">+SYS_4_3_Digitos!J123</f>
        <v>1078807.1499999999</v>
      </c>
      <c r="E124" s="2045" t="s">
        <v>1896</v>
      </c>
      <c r="F124" s="2049">
        <f t="shared" ca="1" si="11"/>
        <v>-1078807.1499999999</v>
      </c>
      <c r="G124" s="2049">
        <f t="shared" si="12"/>
        <v>0</v>
      </c>
      <c r="H124" s="2051" t="s">
        <v>1896</v>
      </c>
      <c r="I124" s="2052">
        <v>1</v>
      </c>
      <c r="J124" s="2049">
        <f t="shared" ca="1" si="13"/>
        <v>-1078807.1499999999</v>
      </c>
      <c r="K124" s="2146">
        <f t="shared" ca="1" si="14"/>
        <v>-3.0617587652503569E-3</v>
      </c>
      <c r="L124" s="2049">
        <f t="shared" ca="1" si="15"/>
        <v>0</v>
      </c>
      <c r="M124" s="2157">
        <f t="shared" ca="1" si="16"/>
        <v>0</v>
      </c>
      <c r="N124" s="2049">
        <f t="shared" si="17"/>
        <v>0</v>
      </c>
      <c r="O124" s="2157">
        <f t="shared" ca="1" si="18"/>
        <v>0</v>
      </c>
      <c r="P124" s="2049">
        <f t="shared" si="10"/>
        <v>0</v>
      </c>
      <c r="Q124" s="2157">
        <f t="shared" ca="1" si="19"/>
        <v>0</v>
      </c>
    </row>
    <row r="125" spans="1:17" outlineLevel="1">
      <c r="A125" s="1310">
        <f>+SYS_4_3_Digitos!A124</f>
        <v>2816</v>
      </c>
      <c r="B125" s="1311" t="str">
        <f>+SYS_4_3_Digitos!B124</f>
        <v>AMORT. ACUM. DE MOBILIARIO</v>
      </c>
      <c r="C125" s="1314">
        <f ca="1">+SYS_4_3_Digitos!I124</f>
        <v>0</v>
      </c>
      <c r="D125" s="1315">
        <f ca="1">+SYS_4_3_Digitos!J124</f>
        <v>87249.42</v>
      </c>
      <c r="E125" s="2045" t="s">
        <v>1896</v>
      </c>
      <c r="F125" s="2049">
        <f t="shared" ca="1" si="11"/>
        <v>-87249.42</v>
      </c>
      <c r="G125" s="2049">
        <f t="shared" si="12"/>
        <v>0</v>
      </c>
      <c r="H125" s="2051" t="s">
        <v>1896</v>
      </c>
      <c r="I125" s="2052">
        <v>1</v>
      </c>
      <c r="J125" s="2049">
        <f t="shared" ca="1" si="13"/>
        <v>-87249.42</v>
      </c>
      <c r="K125" s="2146">
        <f t="shared" ca="1" si="14"/>
        <v>-2.4762227099441248E-4</v>
      </c>
      <c r="L125" s="2049">
        <f t="shared" ca="1" si="15"/>
        <v>0</v>
      </c>
      <c r="M125" s="2157">
        <f t="shared" ca="1" si="16"/>
        <v>0</v>
      </c>
      <c r="N125" s="2049">
        <f t="shared" si="17"/>
        <v>0</v>
      </c>
      <c r="O125" s="2157">
        <f t="shared" ca="1" si="18"/>
        <v>0</v>
      </c>
      <c r="P125" s="2049">
        <f t="shared" si="10"/>
        <v>0</v>
      </c>
      <c r="Q125" s="2157">
        <f t="shared" ca="1" si="19"/>
        <v>0</v>
      </c>
    </row>
    <row r="126" spans="1:17" outlineLevel="1">
      <c r="A126" s="1310">
        <f>+SYS_4_3_Digitos!A125</f>
        <v>2817</v>
      </c>
      <c r="B126" s="1311" t="str">
        <f>+SYS_4_3_Digitos!B125</f>
        <v>AMORT. ACUM. DE EQUIPOS PARA PROCESOS DE INFORMAC.</v>
      </c>
      <c r="C126" s="1314">
        <f ca="1">+SYS_4_3_Digitos!I125</f>
        <v>0</v>
      </c>
      <c r="D126" s="1315">
        <f ca="1">+SYS_4_3_Digitos!J125</f>
        <v>46638.74</v>
      </c>
      <c r="E126" s="2045" t="s">
        <v>1896</v>
      </c>
      <c r="F126" s="2049">
        <f t="shared" ca="1" si="11"/>
        <v>-46638.74</v>
      </c>
      <c r="G126" s="2049">
        <f t="shared" si="12"/>
        <v>0</v>
      </c>
      <c r="H126" s="2051" t="s">
        <v>1896</v>
      </c>
      <c r="I126" s="2052">
        <v>1</v>
      </c>
      <c r="J126" s="2049">
        <f t="shared" ca="1" si="13"/>
        <v>-46638.74</v>
      </c>
      <c r="K126" s="2146">
        <f t="shared" ca="1" si="14"/>
        <v>-1.3236524340354291E-4</v>
      </c>
      <c r="L126" s="2049">
        <f t="shared" ca="1" si="15"/>
        <v>0</v>
      </c>
      <c r="M126" s="2157">
        <f t="shared" ca="1" si="16"/>
        <v>0</v>
      </c>
      <c r="N126" s="2049">
        <f t="shared" si="17"/>
        <v>0</v>
      </c>
      <c r="O126" s="2157">
        <f t="shared" ca="1" si="18"/>
        <v>0</v>
      </c>
      <c r="P126" s="2049">
        <f t="shared" si="10"/>
        <v>0</v>
      </c>
      <c r="Q126" s="2157">
        <f t="shared" ca="1" si="19"/>
        <v>0</v>
      </c>
    </row>
    <row r="127" spans="1:17" outlineLevel="1">
      <c r="A127" s="1310">
        <f>+SYS_4_3_Digitos!A126</f>
        <v>2818</v>
      </c>
      <c r="B127" s="1311" t="str">
        <f>+SYS_4_3_Digitos!B126</f>
        <v>AMORT. ACUM. DE ELEMENTOS DE TRANSPORTE</v>
      </c>
      <c r="C127" s="1314">
        <f ca="1">+SYS_4_3_Digitos!I126</f>
        <v>0</v>
      </c>
      <c r="D127" s="1315">
        <f ca="1">+SYS_4_3_Digitos!J126</f>
        <v>85249.7</v>
      </c>
      <c r="E127" s="2045" t="s">
        <v>1896</v>
      </c>
      <c r="F127" s="2049">
        <f t="shared" ca="1" si="11"/>
        <v>-85249.7</v>
      </c>
      <c r="G127" s="2049">
        <f t="shared" si="12"/>
        <v>0</v>
      </c>
      <c r="H127" s="2051" t="s">
        <v>1896</v>
      </c>
      <c r="I127" s="2052">
        <v>1</v>
      </c>
      <c r="J127" s="2049">
        <f t="shared" ca="1" si="13"/>
        <v>-85249.7</v>
      </c>
      <c r="K127" s="2146">
        <f t="shared" ca="1" si="14"/>
        <v>-2.4194687271952484E-4</v>
      </c>
      <c r="L127" s="2049">
        <f t="shared" ca="1" si="15"/>
        <v>0</v>
      </c>
      <c r="M127" s="2157">
        <f t="shared" ca="1" si="16"/>
        <v>0</v>
      </c>
      <c r="N127" s="2049">
        <f t="shared" si="17"/>
        <v>0</v>
      </c>
      <c r="O127" s="2157">
        <f t="shared" ca="1" si="18"/>
        <v>0</v>
      </c>
      <c r="P127" s="2049">
        <f t="shared" si="10"/>
        <v>0</v>
      </c>
      <c r="Q127" s="2157">
        <f t="shared" ca="1" si="19"/>
        <v>0</v>
      </c>
    </row>
    <row r="128" spans="1:17" outlineLevel="1">
      <c r="A128" s="1310">
        <f>+SYS_4_3_Digitos!A127</f>
        <v>2819</v>
      </c>
      <c r="B128" s="1311" t="str">
        <f>+SYS_4_3_Digitos!B127</f>
        <v>AMORT. ACUM. DE OTRO INMOVILIZADO MATERIAL</v>
      </c>
      <c r="C128" s="1314">
        <f ca="1">+SYS_4_3_Digitos!I127</f>
        <v>0</v>
      </c>
      <c r="D128" s="1315">
        <f ca="1">+SYS_4_3_Digitos!J127</f>
        <v>510483.56999999995</v>
      </c>
      <c r="E128" s="2045" t="s">
        <v>1896</v>
      </c>
      <c r="F128" s="2049">
        <f t="shared" ca="1" si="11"/>
        <v>-510483.56999999995</v>
      </c>
      <c r="G128" s="2049">
        <f t="shared" si="12"/>
        <v>0</v>
      </c>
      <c r="H128" s="2051" t="s">
        <v>1896</v>
      </c>
      <c r="I128" s="2052">
        <v>1</v>
      </c>
      <c r="J128" s="2049">
        <f t="shared" ca="1" si="13"/>
        <v>-510483.56999999995</v>
      </c>
      <c r="K128" s="2146">
        <f t="shared" ca="1" si="14"/>
        <v>-1.4488016184948293E-3</v>
      </c>
      <c r="L128" s="2049">
        <f t="shared" ca="1" si="15"/>
        <v>0</v>
      </c>
      <c r="M128" s="2157">
        <f t="shared" ca="1" si="16"/>
        <v>0</v>
      </c>
      <c r="N128" s="2049">
        <f t="shared" si="17"/>
        <v>0</v>
      </c>
      <c r="O128" s="2157">
        <f t="shared" ca="1" si="18"/>
        <v>0</v>
      </c>
      <c r="P128" s="2049">
        <f t="shared" si="10"/>
        <v>0</v>
      </c>
      <c r="Q128" s="2157">
        <f t="shared" ca="1" si="19"/>
        <v>0</v>
      </c>
    </row>
    <row r="129" spans="1:17" outlineLevel="1">
      <c r="A129" s="1310">
        <f>+SYS_4_3_Digitos!A128</f>
        <v>282</v>
      </c>
      <c r="B129" s="1311" t="str">
        <f>+SYS_4_3_Digitos!B128</f>
        <v>AMORT, ACUM DE LAS INVERSIONES INMOBILIARIAS</v>
      </c>
      <c r="C129" s="1314">
        <f ca="1">+SYS_4_3_Digitos!I128</f>
        <v>0</v>
      </c>
      <c r="D129" s="1315">
        <f ca="1">+SYS_4_3_Digitos!J128</f>
        <v>899558.49</v>
      </c>
      <c r="E129" s="2045" t="s">
        <v>1896</v>
      </c>
      <c r="F129" s="2049">
        <f t="shared" ca="1" si="11"/>
        <v>-899558.49</v>
      </c>
      <c r="G129" s="2049">
        <f t="shared" si="12"/>
        <v>0</v>
      </c>
      <c r="H129" s="2051" t="s">
        <v>1896</v>
      </c>
      <c r="I129" s="2052">
        <v>1</v>
      </c>
      <c r="J129" s="2049">
        <f t="shared" ca="1" si="13"/>
        <v>-899558.49</v>
      </c>
      <c r="K129" s="2146">
        <f t="shared" ca="1" si="14"/>
        <v>-2.5530337758818853E-3</v>
      </c>
      <c r="L129" s="2049">
        <f t="shared" ca="1" si="15"/>
        <v>0</v>
      </c>
      <c r="M129" s="2157">
        <f t="shared" ca="1" si="16"/>
        <v>0</v>
      </c>
      <c r="N129" s="2049">
        <f t="shared" si="17"/>
        <v>0</v>
      </c>
      <c r="O129" s="2157">
        <f t="shared" ca="1" si="18"/>
        <v>0</v>
      </c>
      <c r="P129" s="2049">
        <f t="shared" si="10"/>
        <v>0</v>
      </c>
      <c r="Q129" s="2157">
        <f t="shared" ca="1" si="19"/>
        <v>0</v>
      </c>
    </row>
    <row r="130" spans="1:17" outlineLevel="1">
      <c r="A130" s="1310">
        <f>+SYS_4_3_Digitos!A129</f>
        <v>290</v>
      </c>
      <c r="B130" s="1311" t="str">
        <f>+SYS_4_3_Digitos!B129</f>
        <v>DETERIORO DE VALOR DEL INMOVILIZADO INTANGIBLE</v>
      </c>
      <c r="C130" s="1314">
        <f ca="1">+SYS_4_3_Digitos!I129</f>
        <v>0</v>
      </c>
      <c r="D130" s="1315">
        <f ca="1">+SYS_4_3_Digitos!J129</f>
        <v>0</v>
      </c>
      <c r="E130" s="2045" t="s">
        <v>1896</v>
      </c>
      <c r="F130" s="2049">
        <f t="shared" ca="1" si="11"/>
        <v>0</v>
      </c>
      <c r="G130" s="2049">
        <f t="shared" si="12"/>
        <v>0</v>
      </c>
      <c r="H130" s="2051" t="s">
        <v>1896</v>
      </c>
      <c r="I130" s="2052">
        <v>1</v>
      </c>
      <c r="J130" s="2049">
        <f t="shared" ca="1" si="13"/>
        <v>0</v>
      </c>
      <c r="K130" s="2146">
        <f t="shared" ca="1" si="14"/>
        <v>0</v>
      </c>
      <c r="L130" s="2049">
        <f t="shared" ca="1" si="15"/>
        <v>0</v>
      </c>
      <c r="M130" s="2157">
        <f t="shared" ca="1" si="16"/>
        <v>0</v>
      </c>
      <c r="N130" s="2049">
        <f t="shared" si="17"/>
        <v>0</v>
      </c>
      <c r="O130" s="2157">
        <f t="shared" ca="1" si="18"/>
        <v>0</v>
      </c>
      <c r="P130" s="2049">
        <f t="shared" si="10"/>
        <v>0</v>
      </c>
      <c r="Q130" s="2157">
        <f t="shared" ca="1" si="19"/>
        <v>0</v>
      </c>
    </row>
    <row r="131" spans="1:17" outlineLevel="1">
      <c r="A131" s="1310">
        <f>+SYS_4_3_Digitos!A130</f>
        <v>291</v>
      </c>
      <c r="B131" s="1311" t="str">
        <f>+SYS_4_3_Digitos!B130</f>
        <v>DETERIORO DE VALOR DEL INMOVILIZADO MATERIAL</v>
      </c>
      <c r="C131" s="1314">
        <f ca="1">+SYS_4_3_Digitos!I130</f>
        <v>0</v>
      </c>
      <c r="D131" s="1315">
        <f ca="1">+SYS_4_3_Digitos!J130</f>
        <v>0</v>
      </c>
      <c r="E131" s="2045" t="s">
        <v>1896</v>
      </c>
      <c r="F131" s="2049">
        <f t="shared" ca="1" si="11"/>
        <v>0</v>
      </c>
      <c r="G131" s="2049">
        <f t="shared" si="12"/>
        <v>0</v>
      </c>
      <c r="H131" s="2051" t="s">
        <v>1896</v>
      </c>
      <c r="I131" s="2052">
        <v>1</v>
      </c>
      <c r="J131" s="2049">
        <f t="shared" ca="1" si="13"/>
        <v>0</v>
      </c>
      <c r="K131" s="2146">
        <f t="shared" ca="1" si="14"/>
        <v>0</v>
      </c>
      <c r="L131" s="2049">
        <f t="shared" ca="1" si="15"/>
        <v>0</v>
      </c>
      <c r="M131" s="2157">
        <f t="shared" ca="1" si="16"/>
        <v>0</v>
      </c>
      <c r="N131" s="2049">
        <f t="shared" si="17"/>
        <v>0</v>
      </c>
      <c r="O131" s="2157">
        <f t="shared" ca="1" si="18"/>
        <v>0</v>
      </c>
      <c r="P131" s="2049">
        <f t="shared" si="10"/>
        <v>0</v>
      </c>
      <c r="Q131" s="2157">
        <f t="shared" ca="1" si="19"/>
        <v>0</v>
      </c>
    </row>
    <row r="132" spans="1:17" outlineLevel="1">
      <c r="A132" s="1310">
        <f>+SYS_4_3_Digitos!A131</f>
        <v>292</v>
      </c>
      <c r="B132" s="1311" t="str">
        <f>+SYS_4_3_Digitos!B131</f>
        <v>DETERIORO DE VALOR DE LAS INVERSIONES INMOBILIARIAS</v>
      </c>
      <c r="C132" s="1314">
        <f ca="1">+SYS_4_3_Digitos!I131</f>
        <v>0</v>
      </c>
      <c r="D132" s="1315">
        <f ca="1">+SYS_4_3_Digitos!J131</f>
        <v>0</v>
      </c>
      <c r="E132" s="2045" t="s">
        <v>1896</v>
      </c>
      <c r="F132" s="2049">
        <f t="shared" ca="1" si="11"/>
        <v>0</v>
      </c>
      <c r="G132" s="2049">
        <f t="shared" si="12"/>
        <v>0</v>
      </c>
      <c r="H132" s="2051" t="s">
        <v>1896</v>
      </c>
      <c r="I132" s="2052">
        <v>1</v>
      </c>
      <c r="J132" s="2049">
        <f t="shared" ca="1" si="13"/>
        <v>0</v>
      </c>
      <c r="K132" s="2146">
        <f t="shared" ca="1" si="14"/>
        <v>0</v>
      </c>
      <c r="L132" s="2049">
        <f t="shared" ca="1" si="15"/>
        <v>0</v>
      </c>
      <c r="M132" s="2157">
        <f t="shared" ca="1" si="16"/>
        <v>0</v>
      </c>
      <c r="N132" s="2049">
        <f t="shared" si="17"/>
        <v>0</v>
      </c>
      <c r="O132" s="2157">
        <f t="shared" ca="1" si="18"/>
        <v>0</v>
      </c>
      <c r="P132" s="2049">
        <f t="shared" si="10"/>
        <v>0</v>
      </c>
      <c r="Q132" s="2157">
        <f t="shared" ca="1" si="19"/>
        <v>0</v>
      </c>
    </row>
    <row r="133" spans="1:17" outlineLevel="1">
      <c r="A133" s="1318">
        <f>+SYS_4_3_Digitos!A132</f>
        <v>2933</v>
      </c>
      <c r="B133" s="1319" t="str">
        <f>+SYS_4_3_Digitos!B132</f>
        <v>DETERIORO DE VALOR DE PART. A LP EN EMPRESAS DEL GRUPO</v>
      </c>
      <c r="C133" s="1322">
        <f ca="1">+SYS_4_3_Digitos!I132</f>
        <v>0</v>
      </c>
      <c r="D133" s="1323">
        <f ca="1">+SYS_4_3_Digitos!J132</f>
        <v>0</v>
      </c>
      <c r="E133" s="2046" t="s">
        <v>1896</v>
      </c>
      <c r="F133" s="2049">
        <f t="shared" ca="1" si="11"/>
        <v>0</v>
      </c>
      <c r="G133" s="2049">
        <f t="shared" si="12"/>
        <v>0</v>
      </c>
      <c r="H133" s="2051" t="s">
        <v>1896</v>
      </c>
      <c r="I133" s="2052">
        <v>1</v>
      </c>
      <c r="J133" s="2049">
        <f t="shared" ca="1" si="13"/>
        <v>0</v>
      </c>
      <c r="K133" s="2146">
        <f t="shared" ca="1" si="14"/>
        <v>0</v>
      </c>
      <c r="L133" s="2049">
        <f t="shared" ca="1" si="15"/>
        <v>0</v>
      </c>
      <c r="M133" s="2157">
        <f t="shared" ca="1" si="16"/>
        <v>0</v>
      </c>
      <c r="N133" s="2049">
        <f t="shared" si="17"/>
        <v>0</v>
      </c>
      <c r="O133" s="2157">
        <f t="shared" ca="1" si="18"/>
        <v>0</v>
      </c>
      <c r="P133" s="2049">
        <f t="shared" si="10"/>
        <v>0</v>
      </c>
      <c r="Q133" s="2157">
        <f t="shared" ca="1" si="19"/>
        <v>0</v>
      </c>
    </row>
    <row r="134" spans="1:17" outlineLevel="1">
      <c r="A134" s="1318">
        <f>+SYS_4_3_Digitos!A133</f>
        <v>2934</v>
      </c>
      <c r="B134" s="1319" t="str">
        <f>+SYS_4_3_Digitos!B133</f>
        <v>DETERIORO DE VALOR DE PART. A LP EN EMPRESAS ASOCIADAS</v>
      </c>
      <c r="C134" s="1322">
        <f ca="1">+SYS_4_3_Digitos!I133</f>
        <v>0</v>
      </c>
      <c r="D134" s="1323">
        <f ca="1">+SYS_4_3_Digitos!J133</f>
        <v>0</v>
      </c>
      <c r="E134" s="2046" t="s">
        <v>1896</v>
      </c>
      <c r="F134" s="2049">
        <f t="shared" ca="1" si="11"/>
        <v>0</v>
      </c>
      <c r="G134" s="2049">
        <f t="shared" si="12"/>
        <v>0</v>
      </c>
      <c r="H134" s="2051" t="s">
        <v>1896</v>
      </c>
      <c r="I134" s="2052">
        <v>1</v>
      </c>
      <c r="J134" s="2049">
        <f t="shared" ca="1" si="13"/>
        <v>0</v>
      </c>
      <c r="K134" s="2146">
        <f t="shared" ca="1" si="14"/>
        <v>0</v>
      </c>
      <c r="L134" s="2049">
        <f t="shared" ca="1" si="15"/>
        <v>0</v>
      </c>
      <c r="M134" s="2157">
        <f t="shared" ca="1" si="16"/>
        <v>0</v>
      </c>
      <c r="N134" s="2049">
        <f t="shared" si="17"/>
        <v>0</v>
      </c>
      <c r="O134" s="2157">
        <f t="shared" ca="1" si="18"/>
        <v>0</v>
      </c>
      <c r="P134" s="2049">
        <f t="shared" si="10"/>
        <v>0</v>
      </c>
      <c r="Q134" s="2157">
        <f t="shared" ca="1" si="19"/>
        <v>0</v>
      </c>
    </row>
    <row r="135" spans="1:17" outlineLevel="1">
      <c r="A135" s="1318">
        <f>+SYS_4_3_Digitos!A134</f>
        <v>294</v>
      </c>
      <c r="B135" s="1319" t="str">
        <f>+SYS_4_3_Digitos!B134</f>
        <v>DET. DE VALOR VALORES REPR. DE DEUDA A LP PARTES VINC</v>
      </c>
      <c r="C135" s="1322">
        <f ca="1">+SYS_4_3_Digitos!I134</f>
        <v>0</v>
      </c>
      <c r="D135" s="1323">
        <f ca="1">+SYS_4_3_Digitos!J134</f>
        <v>0</v>
      </c>
      <c r="E135" s="2046" t="s">
        <v>1896</v>
      </c>
      <c r="F135" s="2049">
        <f t="shared" ca="1" si="11"/>
        <v>0</v>
      </c>
      <c r="G135" s="2049">
        <f t="shared" si="12"/>
        <v>0</v>
      </c>
      <c r="H135" s="2051" t="s">
        <v>1896</v>
      </c>
      <c r="I135" s="2052">
        <v>1</v>
      </c>
      <c r="J135" s="2049">
        <f t="shared" ca="1" si="13"/>
        <v>0</v>
      </c>
      <c r="K135" s="2146">
        <f t="shared" ca="1" si="14"/>
        <v>0</v>
      </c>
      <c r="L135" s="2049">
        <f t="shared" ca="1" si="15"/>
        <v>0</v>
      </c>
      <c r="M135" s="2157">
        <f t="shared" ca="1" si="16"/>
        <v>0</v>
      </c>
      <c r="N135" s="2049">
        <f t="shared" si="17"/>
        <v>0</v>
      </c>
      <c r="O135" s="2157">
        <f t="shared" ca="1" si="18"/>
        <v>0</v>
      </c>
      <c r="P135" s="2049">
        <f t="shared" ref="P135:P198" si="20">+G135-N135</f>
        <v>0</v>
      </c>
      <c r="Q135" s="2157">
        <f t="shared" ca="1" si="19"/>
        <v>0</v>
      </c>
    </row>
    <row r="136" spans="1:17" outlineLevel="1">
      <c r="A136" s="1318">
        <f>+SYS_4_3_Digitos!A135</f>
        <v>2953</v>
      </c>
      <c r="B136" s="1319" t="str">
        <f>+SYS_4_3_Digitos!B135</f>
        <v>DET. DE VALOR DE CRÉDITOS A LP A EMPRESAS DEL GRUPO</v>
      </c>
      <c r="C136" s="1322">
        <f ca="1">+SYS_4_3_Digitos!I135</f>
        <v>0</v>
      </c>
      <c r="D136" s="1323">
        <f ca="1">+SYS_4_3_Digitos!J135</f>
        <v>0</v>
      </c>
      <c r="E136" s="2046" t="s">
        <v>1896</v>
      </c>
      <c r="F136" s="2049">
        <f t="shared" ref="F136:F199" ca="1" si="21">IF(E136="A",C136-D136,0)</f>
        <v>0</v>
      </c>
      <c r="G136" s="2049">
        <f t="shared" ref="G136:G199" si="22">IF(E136="P",D136-C136,0)</f>
        <v>0</v>
      </c>
      <c r="H136" s="2051" t="s">
        <v>1896</v>
      </c>
      <c r="I136" s="2052">
        <v>1</v>
      </c>
      <c r="J136" s="2049">
        <f t="shared" ref="J136:J199" ca="1" si="23">IF(H136="A",F136*I136,0)</f>
        <v>0</v>
      </c>
      <c r="K136" s="2146">
        <f t="shared" ref="K136:K199" ca="1" si="24">+J136/$F$397</f>
        <v>0</v>
      </c>
      <c r="L136" s="2049">
        <f t="shared" ref="L136:L199" ca="1" si="25">+F136-J136</f>
        <v>0</v>
      </c>
      <c r="M136" s="2157">
        <f t="shared" ref="M136:M199" ca="1" si="26">+L136/$F$397</f>
        <v>0</v>
      </c>
      <c r="N136" s="2049">
        <f t="shared" ref="N136:N199" si="27">IF(H136="A",G136*I136,0)</f>
        <v>0</v>
      </c>
      <c r="O136" s="2157">
        <f t="shared" ref="O136:O199" ca="1" si="28">+N136/$G$397</f>
        <v>0</v>
      </c>
      <c r="P136" s="2049">
        <f t="shared" si="20"/>
        <v>0</v>
      </c>
      <c r="Q136" s="2157">
        <f t="shared" ref="Q136:Q199" ca="1" si="29">+P136/$G$397</f>
        <v>0</v>
      </c>
    </row>
    <row r="137" spans="1:17" outlineLevel="1">
      <c r="A137" s="1318">
        <f>+SYS_4_3_Digitos!A136</f>
        <v>2954</v>
      </c>
      <c r="B137" s="1319" t="str">
        <f>+SYS_4_3_Digitos!B136</f>
        <v>DET. DE VALOR DE CRÉDITOS A LP A EMPRESAS ASOCIADAS</v>
      </c>
      <c r="C137" s="1322">
        <f ca="1">+SYS_4_3_Digitos!I136</f>
        <v>0</v>
      </c>
      <c r="D137" s="1323">
        <f ca="1">+SYS_4_3_Digitos!J136</f>
        <v>0</v>
      </c>
      <c r="E137" s="2046" t="s">
        <v>1896</v>
      </c>
      <c r="F137" s="2049">
        <f t="shared" ca="1" si="21"/>
        <v>0</v>
      </c>
      <c r="G137" s="2049">
        <f t="shared" si="22"/>
        <v>0</v>
      </c>
      <c r="H137" s="2051" t="s">
        <v>1896</v>
      </c>
      <c r="I137" s="2052">
        <v>1</v>
      </c>
      <c r="J137" s="2049">
        <f t="shared" ca="1" si="23"/>
        <v>0</v>
      </c>
      <c r="K137" s="2146">
        <f t="shared" ca="1" si="24"/>
        <v>0</v>
      </c>
      <c r="L137" s="2049">
        <f t="shared" ca="1" si="25"/>
        <v>0</v>
      </c>
      <c r="M137" s="2157">
        <f t="shared" ca="1" si="26"/>
        <v>0</v>
      </c>
      <c r="N137" s="2049">
        <f t="shared" si="27"/>
        <v>0</v>
      </c>
      <c r="O137" s="2157">
        <f t="shared" ca="1" si="28"/>
        <v>0</v>
      </c>
      <c r="P137" s="2049">
        <f t="shared" si="20"/>
        <v>0</v>
      </c>
      <c r="Q137" s="2157">
        <f t="shared" ca="1" si="29"/>
        <v>0</v>
      </c>
    </row>
    <row r="138" spans="1:17" outlineLevel="1">
      <c r="A138" s="1318">
        <f>+SYS_4_3_Digitos!A137</f>
        <v>2955</v>
      </c>
      <c r="B138" s="1319" t="str">
        <f>+SYS_4_3_Digitos!B137</f>
        <v>DET. DE VALOR DE CRÉDITOS A LP PARTES VINCULADAS</v>
      </c>
      <c r="C138" s="1322">
        <f ca="1">+SYS_4_3_Digitos!I137</f>
        <v>0</v>
      </c>
      <c r="D138" s="1323">
        <f ca="1">+SYS_4_3_Digitos!J137</f>
        <v>0</v>
      </c>
      <c r="E138" s="2046" t="s">
        <v>1896</v>
      </c>
      <c r="F138" s="2049">
        <f t="shared" ca="1" si="21"/>
        <v>0</v>
      </c>
      <c r="G138" s="2049">
        <f t="shared" si="22"/>
        <v>0</v>
      </c>
      <c r="H138" s="2051" t="s">
        <v>1896</v>
      </c>
      <c r="I138" s="2052">
        <v>1</v>
      </c>
      <c r="J138" s="2049">
        <f t="shared" ca="1" si="23"/>
        <v>0</v>
      </c>
      <c r="K138" s="2146">
        <f t="shared" ca="1" si="24"/>
        <v>0</v>
      </c>
      <c r="L138" s="2049">
        <f t="shared" ca="1" si="25"/>
        <v>0</v>
      </c>
      <c r="M138" s="2157">
        <f t="shared" ca="1" si="26"/>
        <v>0</v>
      </c>
      <c r="N138" s="2049">
        <f t="shared" si="27"/>
        <v>0</v>
      </c>
      <c r="O138" s="2157">
        <f t="shared" ca="1" si="28"/>
        <v>0</v>
      </c>
      <c r="P138" s="2049">
        <f t="shared" si="20"/>
        <v>0</v>
      </c>
      <c r="Q138" s="2157">
        <f t="shared" ca="1" si="29"/>
        <v>0</v>
      </c>
    </row>
    <row r="139" spans="1:17" outlineLevel="1">
      <c r="A139" s="1318">
        <f>+SYS_4_3_Digitos!A138</f>
        <v>296</v>
      </c>
      <c r="B139" s="1319" t="str">
        <f>+SYS_4_3_Digitos!B138</f>
        <v>DETERIORO DE VALOR DE PARTICIPACIONES EN EL PATRIMONIO NETO A LP</v>
      </c>
      <c r="C139" s="1322">
        <f ca="1">+SYS_4_3_Digitos!I138</f>
        <v>0</v>
      </c>
      <c r="D139" s="1323">
        <f ca="1">+SYS_4_3_Digitos!J138</f>
        <v>0</v>
      </c>
      <c r="E139" s="2046" t="s">
        <v>1896</v>
      </c>
      <c r="F139" s="2049">
        <f t="shared" ca="1" si="21"/>
        <v>0</v>
      </c>
      <c r="G139" s="2049">
        <f t="shared" si="22"/>
        <v>0</v>
      </c>
      <c r="H139" s="2051" t="s">
        <v>1896</v>
      </c>
      <c r="I139" s="2052">
        <v>1</v>
      </c>
      <c r="J139" s="2049">
        <f t="shared" ca="1" si="23"/>
        <v>0</v>
      </c>
      <c r="K139" s="2146">
        <f t="shared" ca="1" si="24"/>
        <v>0</v>
      </c>
      <c r="L139" s="2049">
        <f t="shared" ca="1" si="25"/>
        <v>0</v>
      </c>
      <c r="M139" s="2157">
        <f t="shared" ca="1" si="26"/>
        <v>0</v>
      </c>
      <c r="N139" s="2049">
        <f t="shared" si="27"/>
        <v>0</v>
      </c>
      <c r="O139" s="2157">
        <f t="shared" ca="1" si="28"/>
        <v>0</v>
      </c>
      <c r="P139" s="2049">
        <f t="shared" si="20"/>
        <v>0</v>
      </c>
      <c r="Q139" s="2157">
        <f t="shared" ca="1" si="29"/>
        <v>0</v>
      </c>
    </row>
    <row r="140" spans="1:17" outlineLevel="1">
      <c r="A140" s="1318">
        <f>+SYS_4_3_Digitos!A139</f>
        <v>297</v>
      </c>
      <c r="B140" s="1319" t="str">
        <f>+SYS_4_3_Digitos!B139</f>
        <v>DET. DE VALOR VALORES REPRESENTATIVOS DE DEUDA A LP</v>
      </c>
      <c r="C140" s="1322">
        <f ca="1">+SYS_4_3_Digitos!I139</f>
        <v>0</v>
      </c>
      <c r="D140" s="1323">
        <f ca="1">+SYS_4_3_Digitos!J139</f>
        <v>0</v>
      </c>
      <c r="E140" s="2046" t="s">
        <v>1896</v>
      </c>
      <c r="F140" s="2049">
        <f t="shared" ca="1" si="21"/>
        <v>0</v>
      </c>
      <c r="G140" s="2049">
        <f t="shared" si="22"/>
        <v>0</v>
      </c>
      <c r="H140" s="2051" t="s">
        <v>1896</v>
      </c>
      <c r="I140" s="2052">
        <v>1</v>
      </c>
      <c r="J140" s="2049">
        <f t="shared" ca="1" si="23"/>
        <v>0</v>
      </c>
      <c r="K140" s="2146">
        <f t="shared" ca="1" si="24"/>
        <v>0</v>
      </c>
      <c r="L140" s="2049">
        <f t="shared" ca="1" si="25"/>
        <v>0</v>
      </c>
      <c r="M140" s="2157">
        <f t="shared" ca="1" si="26"/>
        <v>0</v>
      </c>
      <c r="N140" s="2049">
        <f t="shared" si="27"/>
        <v>0</v>
      </c>
      <c r="O140" s="2157">
        <f t="shared" ca="1" si="28"/>
        <v>0</v>
      </c>
      <c r="P140" s="2049">
        <f t="shared" si="20"/>
        <v>0</v>
      </c>
      <c r="Q140" s="2157">
        <f t="shared" ca="1" si="29"/>
        <v>0</v>
      </c>
    </row>
    <row r="141" spans="1:17" outlineLevel="1">
      <c r="A141" s="1318">
        <f>+SYS_4_3_Digitos!A140</f>
        <v>298</v>
      </c>
      <c r="B141" s="1319" t="str">
        <f>+SYS_4_3_Digitos!B140</f>
        <v>DETERIORO DE VALOR DE CRÉDITOS A LP</v>
      </c>
      <c r="C141" s="1322">
        <f ca="1">+SYS_4_3_Digitos!I140</f>
        <v>0</v>
      </c>
      <c r="D141" s="1323">
        <f ca="1">+SYS_4_3_Digitos!J140</f>
        <v>0</v>
      </c>
      <c r="E141" s="2046" t="s">
        <v>1896</v>
      </c>
      <c r="F141" s="2049">
        <f t="shared" ca="1" si="21"/>
        <v>0</v>
      </c>
      <c r="G141" s="2049">
        <f t="shared" si="22"/>
        <v>0</v>
      </c>
      <c r="H141" s="2051" t="s">
        <v>1896</v>
      </c>
      <c r="I141" s="2052">
        <v>1</v>
      </c>
      <c r="J141" s="2049">
        <f t="shared" ca="1" si="23"/>
        <v>0</v>
      </c>
      <c r="K141" s="2146">
        <f t="shared" ca="1" si="24"/>
        <v>0</v>
      </c>
      <c r="L141" s="2049">
        <f t="shared" ca="1" si="25"/>
        <v>0</v>
      </c>
      <c r="M141" s="2157">
        <f t="shared" ca="1" si="26"/>
        <v>0</v>
      </c>
      <c r="N141" s="2049">
        <f t="shared" si="27"/>
        <v>0</v>
      </c>
      <c r="O141" s="2157">
        <f t="shared" ca="1" si="28"/>
        <v>0</v>
      </c>
      <c r="P141" s="2049">
        <f t="shared" si="20"/>
        <v>0</v>
      </c>
      <c r="Q141" s="2157">
        <f t="shared" ca="1" si="29"/>
        <v>0</v>
      </c>
    </row>
    <row r="142" spans="1:17" outlineLevel="1">
      <c r="A142" s="1310">
        <f>+SYS_4_3_Digitos!A141</f>
        <v>30</v>
      </c>
      <c r="B142" s="1311" t="str">
        <f>+SYS_4_3_Digitos!B141</f>
        <v>COMERCIALES</v>
      </c>
      <c r="C142" s="1314">
        <f ca="1">+SYS_4_3_Digitos!I141</f>
        <v>7571396.0500000007</v>
      </c>
      <c r="D142" s="1315">
        <f ca="1">+SYS_4_3_Digitos!J141</f>
        <v>0</v>
      </c>
      <c r="E142" s="2045" t="s">
        <v>1896</v>
      </c>
      <c r="F142" s="2049">
        <f t="shared" ca="1" si="21"/>
        <v>7571396.0500000007</v>
      </c>
      <c r="G142" s="2049">
        <f t="shared" si="22"/>
        <v>0</v>
      </c>
      <c r="H142" s="2051" t="s">
        <v>1896</v>
      </c>
      <c r="I142" s="2052">
        <v>1</v>
      </c>
      <c r="J142" s="2049">
        <f t="shared" ca="1" si="23"/>
        <v>7571396.0500000007</v>
      </c>
      <c r="K142" s="2146">
        <f t="shared" ca="1" si="24"/>
        <v>2.1488352409667875E-2</v>
      </c>
      <c r="L142" s="2049">
        <f t="shared" ca="1" si="25"/>
        <v>0</v>
      </c>
      <c r="M142" s="2157">
        <f t="shared" ca="1" si="26"/>
        <v>0</v>
      </c>
      <c r="N142" s="2049">
        <f t="shared" si="27"/>
        <v>0</v>
      </c>
      <c r="O142" s="2157">
        <f t="shared" ca="1" si="28"/>
        <v>0</v>
      </c>
      <c r="P142" s="2049">
        <f t="shared" si="20"/>
        <v>0</v>
      </c>
      <c r="Q142" s="2157">
        <f t="shared" ca="1" si="29"/>
        <v>0</v>
      </c>
    </row>
    <row r="143" spans="1:17" outlineLevel="1">
      <c r="A143" s="1310">
        <f>+SYS_4_3_Digitos!A142</f>
        <v>31</v>
      </c>
      <c r="B143" s="1311" t="str">
        <f>+SYS_4_3_Digitos!B142</f>
        <v>MATERIAS PRIMAS</v>
      </c>
      <c r="C143" s="1314">
        <f ca="1">+SYS_4_3_Digitos!I142</f>
        <v>33428757.619999997</v>
      </c>
      <c r="D143" s="1315">
        <f ca="1">+SYS_4_3_Digitos!J142</f>
        <v>0</v>
      </c>
      <c r="E143" s="2045" t="s">
        <v>1896</v>
      </c>
      <c r="F143" s="2049">
        <f t="shared" ca="1" si="21"/>
        <v>33428757.619999997</v>
      </c>
      <c r="G143" s="2049">
        <f t="shared" si="22"/>
        <v>0</v>
      </c>
      <c r="H143" s="2051" t="s">
        <v>1896</v>
      </c>
      <c r="I143" s="2052">
        <v>1</v>
      </c>
      <c r="J143" s="2049">
        <f t="shared" ca="1" si="23"/>
        <v>33428757.619999997</v>
      </c>
      <c r="K143" s="2146">
        <f t="shared" ca="1" si="24"/>
        <v>9.4874039029556545E-2</v>
      </c>
      <c r="L143" s="2049">
        <f t="shared" ca="1" si="25"/>
        <v>0</v>
      </c>
      <c r="M143" s="2157">
        <f t="shared" ca="1" si="26"/>
        <v>0</v>
      </c>
      <c r="N143" s="2049">
        <f t="shared" si="27"/>
        <v>0</v>
      </c>
      <c r="O143" s="2157">
        <f t="shared" ca="1" si="28"/>
        <v>0</v>
      </c>
      <c r="P143" s="2049">
        <f t="shared" si="20"/>
        <v>0</v>
      </c>
      <c r="Q143" s="2157">
        <f t="shared" ca="1" si="29"/>
        <v>0</v>
      </c>
    </row>
    <row r="144" spans="1:17" outlineLevel="1">
      <c r="A144" s="1310">
        <f>+SYS_4_3_Digitos!A143</f>
        <v>32</v>
      </c>
      <c r="B144" s="1311" t="str">
        <f>+SYS_4_3_Digitos!B143</f>
        <v>OTROS APROVISIONAMIENTOS</v>
      </c>
      <c r="C144" s="1314">
        <f ca="1">+SYS_4_3_Digitos!I143</f>
        <v>254479.54</v>
      </c>
      <c r="D144" s="1315">
        <f ca="1">+SYS_4_3_Digitos!J143</f>
        <v>0</v>
      </c>
      <c r="E144" s="2045" t="s">
        <v>1896</v>
      </c>
      <c r="F144" s="2049">
        <f t="shared" ca="1" si="21"/>
        <v>254479.54</v>
      </c>
      <c r="G144" s="2049">
        <f t="shared" si="22"/>
        <v>0</v>
      </c>
      <c r="H144" s="2051" t="s">
        <v>1896</v>
      </c>
      <c r="I144" s="2052">
        <v>1</v>
      </c>
      <c r="J144" s="2049">
        <f t="shared" ca="1" si="23"/>
        <v>254479.54</v>
      </c>
      <c r="K144" s="2146">
        <f t="shared" ca="1" si="24"/>
        <v>7.222374844029156E-4</v>
      </c>
      <c r="L144" s="2049">
        <f t="shared" ca="1" si="25"/>
        <v>0</v>
      </c>
      <c r="M144" s="2157">
        <f t="shared" ca="1" si="26"/>
        <v>0</v>
      </c>
      <c r="N144" s="2049">
        <f t="shared" si="27"/>
        <v>0</v>
      </c>
      <c r="O144" s="2157">
        <f t="shared" ca="1" si="28"/>
        <v>0</v>
      </c>
      <c r="P144" s="2049">
        <f t="shared" si="20"/>
        <v>0</v>
      </c>
      <c r="Q144" s="2157">
        <f t="shared" ca="1" si="29"/>
        <v>0</v>
      </c>
    </row>
    <row r="145" spans="1:17" outlineLevel="1">
      <c r="A145" s="1310">
        <f>+SYS_4_3_Digitos!A144</f>
        <v>33</v>
      </c>
      <c r="B145" s="1311" t="str">
        <f>+SYS_4_3_Digitos!B144</f>
        <v>PRODUCTOS EN CURSO</v>
      </c>
      <c r="C145" s="1314">
        <f ca="1">+SYS_4_3_Digitos!I144</f>
        <v>0</v>
      </c>
      <c r="D145" s="1315">
        <f ca="1">+SYS_4_3_Digitos!J144</f>
        <v>0</v>
      </c>
      <c r="E145" s="2045" t="s">
        <v>1896</v>
      </c>
      <c r="F145" s="2049">
        <f t="shared" ca="1" si="21"/>
        <v>0</v>
      </c>
      <c r="G145" s="2049">
        <f t="shared" si="22"/>
        <v>0</v>
      </c>
      <c r="H145" s="2051" t="s">
        <v>1896</v>
      </c>
      <c r="I145" s="2052">
        <v>1</v>
      </c>
      <c r="J145" s="2049">
        <f t="shared" ca="1" si="23"/>
        <v>0</v>
      </c>
      <c r="K145" s="2146">
        <f t="shared" ca="1" si="24"/>
        <v>0</v>
      </c>
      <c r="L145" s="2049">
        <f t="shared" ca="1" si="25"/>
        <v>0</v>
      </c>
      <c r="M145" s="2157">
        <f t="shared" ca="1" si="26"/>
        <v>0</v>
      </c>
      <c r="N145" s="2049">
        <f t="shared" si="27"/>
        <v>0</v>
      </c>
      <c r="O145" s="2157">
        <f t="shared" ca="1" si="28"/>
        <v>0</v>
      </c>
      <c r="P145" s="2049">
        <f t="shared" si="20"/>
        <v>0</v>
      </c>
      <c r="Q145" s="2157">
        <f t="shared" ca="1" si="29"/>
        <v>0</v>
      </c>
    </row>
    <row r="146" spans="1:17" outlineLevel="1">
      <c r="A146" s="1310">
        <f>+SYS_4_3_Digitos!A145</f>
        <v>34</v>
      </c>
      <c r="B146" s="1311" t="str">
        <f>+SYS_4_3_Digitos!B145</f>
        <v>PRODUCTOS SEMITERMINADOS</v>
      </c>
      <c r="C146" s="1314">
        <f ca="1">+SYS_4_3_Digitos!I145</f>
        <v>0</v>
      </c>
      <c r="D146" s="1315">
        <f ca="1">+SYS_4_3_Digitos!J145</f>
        <v>0</v>
      </c>
      <c r="E146" s="2045" t="s">
        <v>1896</v>
      </c>
      <c r="F146" s="2049">
        <f t="shared" ca="1" si="21"/>
        <v>0</v>
      </c>
      <c r="G146" s="2049">
        <f t="shared" si="22"/>
        <v>0</v>
      </c>
      <c r="H146" s="2051" t="s">
        <v>1896</v>
      </c>
      <c r="I146" s="2052">
        <v>1</v>
      </c>
      <c r="J146" s="2049">
        <f t="shared" ca="1" si="23"/>
        <v>0</v>
      </c>
      <c r="K146" s="2146">
        <f t="shared" ca="1" si="24"/>
        <v>0</v>
      </c>
      <c r="L146" s="2049">
        <f t="shared" ca="1" si="25"/>
        <v>0</v>
      </c>
      <c r="M146" s="2157">
        <f t="shared" ca="1" si="26"/>
        <v>0</v>
      </c>
      <c r="N146" s="2049">
        <f t="shared" si="27"/>
        <v>0</v>
      </c>
      <c r="O146" s="2157">
        <f t="shared" ca="1" si="28"/>
        <v>0</v>
      </c>
      <c r="P146" s="2049">
        <f t="shared" si="20"/>
        <v>0</v>
      </c>
      <c r="Q146" s="2157">
        <f t="shared" ca="1" si="29"/>
        <v>0</v>
      </c>
    </row>
    <row r="147" spans="1:17" outlineLevel="1">
      <c r="A147" s="1310">
        <f>+SYS_4_3_Digitos!A146</f>
        <v>35</v>
      </c>
      <c r="B147" s="1311" t="str">
        <f>+SYS_4_3_Digitos!B146</f>
        <v>PRODUCTOS TERMINADOS</v>
      </c>
      <c r="C147" s="1314">
        <f ca="1">+SYS_4_3_Digitos!I146</f>
        <v>4499319.3600000003</v>
      </c>
      <c r="D147" s="1315">
        <f ca="1">+SYS_4_3_Digitos!J146</f>
        <v>0</v>
      </c>
      <c r="E147" s="2045" t="s">
        <v>1896</v>
      </c>
      <c r="F147" s="2049">
        <f t="shared" ca="1" si="21"/>
        <v>4499319.3600000003</v>
      </c>
      <c r="G147" s="2049">
        <f t="shared" si="22"/>
        <v>0</v>
      </c>
      <c r="H147" s="2051" t="s">
        <v>1896</v>
      </c>
      <c r="I147" s="2052">
        <v>1</v>
      </c>
      <c r="J147" s="2049">
        <f t="shared" ca="1" si="23"/>
        <v>4499319.3600000003</v>
      </c>
      <c r="K147" s="2146">
        <f t="shared" ca="1" si="24"/>
        <v>1.2769502397291887E-2</v>
      </c>
      <c r="L147" s="2049">
        <f t="shared" ca="1" si="25"/>
        <v>0</v>
      </c>
      <c r="M147" s="2157">
        <f t="shared" ca="1" si="26"/>
        <v>0</v>
      </c>
      <c r="N147" s="2049">
        <f t="shared" si="27"/>
        <v>0</v>
      </c>
      <c r="O147" s="2157">
        <f t="shared" ca="1" si="28"/>
        <v>0</v>
      </c>
      <c r="P147" s="2049">
        <f t="shared" si="20"/>
        <v>0</v>
      </c>
      <c r="Q147" s="2157">
        <f t="shared" ca="1" si="29"/>
        <v>0</v>
      </c>
    </row>
    <row r="148" spans="1:17" outlineLevel="1">
      <c r="A148" s="1310">
        <f>+SYS_4_3_Digitos!A147</f>
        <v>36</v>
      </c>
      <c r="B148" s="1311" t="str">
        <f>+SYS_4_3_Digitos!B147</f>
        <v>SUBPRODUCTOS, RESIDUOS Y MATERIALES RECUPERADOS</v>
      </c>
      <c r="C148" s="1314">
        <f ca="1">+SYS_4_3_Digitos!I147</f>
        <v>0</v>
      </c>
      <c r="D148" s="1315">
        <f ca="1">+SYS_4_3_Digitos!J147</f>
        <v>0</v>
      </c>
      <c r="E148" s="2045" t="s">
        <v>1896</v>
      </c>
      <c r="F148" s="2049">
        <f t="shared" ca="1" si="21"/>
        <v>0</v>
      </c>
      <c r="G148" s="2049">
        <f t="shared" si="22"/>
        <v>0</v>
      </c>
      <c r="H148" s="2051" t="s">
        <v>1896</v>
      </c>
      <c r="I148" s="2052">
        <v>1</v>
      </c>
      <c r="J148" s="2049">
        <f t="shared" ca="1" si="23"/>
        <v>0</v>
      </c>
      <c r="K148" s="2146">
        <f t="shared" ca="1" si="24"/>
        <v>0</v>
      </c>
      <c r="L148" s="2049">
        <f t="shared" ca="1" si="25"/>
        <v>0</v>
      </c>
      <c r="M148" s="2157">
        <f t="shared" ca="1" si="26"/>
        <v>0</v>
      </c>
      <c r="N148" s="2049">
        <f t="shared" si="27"/>
        <v>0</v>
      </c>
      <c r="O148" s="2157">
        <f t="shared" ca="1" si="28"/>
        <v>0</v>
      </c>
      <c r="P148" s="2049">
        <f t="shared" si="20"/>
        <v>0</v>
      </c>
      <c r="Q148" s="2157">
        <f t="shared" ca="1" si="29"/>
        <v>0</v>
      </c>
    </row>
    <row r="149" spans="1:17" outlineLevel="1">
      <c r="A149" s="1310">
        <f>+SYS_4_3_Digitos!A148</f>
        <v>39</v>
      </c>
      <c r="B149" s="1311" t="str">
        <f>+SYS_4_3_Digitos!B148</f>
        <v>DETERIORO DE VALOR DE EXISTENCIAS</v>
      </c>
      <c r="C149" s="1314">
        <f ca="1">+SYS_4_3_Digitos!I148</f>
        <v>0</v>
      </c>
      <c r="D149" s="1315">
        <f ca="1">+SYS_4_3_Digitos!J148</f>
        <v>0</v>
      </c>
      <c r="E149" s="2045" t="s">
        <v>1896</v>
      </c>
      <c r="F149" s="2049">
        <f t="shared" ca="1" si="21"/>
        <v>0</v>
      </c>
      <c r="G149" s="2049">
        <f t="shared" si="22"/>
        <v>0</v>
      </c>
      <c r="H149" s="2051" t="s">
        <v>1896</v>
      </c>
      <c r="I149" s="2052">
        <v>1</v>
      </c>
      <c r="J149" s="2049">
        <f t="shared" ca="1" si="23"/>
        <v>0</v>
      </c>
      <c r="K149" s="2146">
        <f t="shared" ca="1" si="24"/>
        <v>0</v>
      </c>
      <c r="L149" s="2049">
        <f t="shared" ca="1" si="25"/>
        <v>0</v>
      </c>
      <c r="M149" s="2157">
        <f t="shared" ca="1" si="26"/>
        <v>0</v>
      </c>
      <c r="N149" s="2049">
        <f t="shared" si="27"/>
        <v>0</v>
      </c>
      <c r="O149" s="2157">
        <f t="shared" ca="1" si="28"/>
        <v>0</v>
      </c>
      <c r="P149" s="2049">
        <f t="shared" si="20"/>
        <v>0</v>
      </c>
      <c r="Q149" s="2157">
        <f t="shared" ca="1" si="29"/>
        <v>0</v>
      </c>
    </row>
    <row r="150" spans="1:17" outlineLevel="1">
      <c r="A150" s="1310">
        <f>+SYS_4_3_Digitos!A149</f>
        <v>400</v>
      </c>
      <c r="B150" s="1311" t="str">
        <f>+SYS_4_3_Digitos!B149</f>
        <v>PROVEEDORES</v>
      </c>
      <c r="C150" s="1314">
        <f ca="1">+SYS_4_3_Digitos!I149</f>
        <v>1168480.1300000001</v>
      </c>
      <c r="D150" s="1315">
        <f ca="1">+SYS_4_3_Digitos!J149</f>
        <v>0</v>
      </c>
      <c r="E150" s="2045" t="s">
        <v>1895</v>
      </c>
      <c r="F150" s="2049">
        <f t="shared" si="21"/>
        <v>0</v>
      </c>
      <c r="G150" s="2049">
        <f t="shared" ca="1" si="22"/>
        <v>-1168480.1300000001</v>
      </c>
      <c r="H150" s="2051" t="s">
        <v>1896</v>
      </c>
      <c r="I150" s="2052">
        <v>1</v>
      </c>
      <c r="J150" s="2049">
        <f t="shared" si="23"/>
        <v>0</v>
      </c>
      <c r="K150" s="2146">
        <f t="shared" ca="1" si="24"/>
        <v>0</v>
      </c>
      <c r="L150" s="2049">
        <f t="shared" si="25"/>
        <v>0</v>
      </c>
      <c r="M150" s="2157">
        <f t="shared" ca="1" si="26"/>
        <v>0</v>
      </c>
      <c r="N150" s="2049">
        <f t="shared" ca="1" si="27"/>
        <v>-1168480.1300000001</v>
      </c>
      <c r="O150" s="2157">
        <f t="shared" ca="1" si="28"/>
        <v>-3.3162593333279037E-3</v>
      </c>
      <c r="P150" s="2049">
        <f t="shared" ca="1" si="20"/>
        <v>0</v>
      </c>
      <c r="Q150" s="2157">
        <f t="shared" ca="1" si="29"/>
        <v>0</v>
      </c>
    </row>
    <row r="151" spans="1:17" outlineLevel="1">
      <c r="A151" s="1310">
        <f>+SYS_4_3_Digitos!A150</f>
        <v>401</v>
      </c>
      <c r="B151" s="1311" t="str">
        <f>+SYS_4_3_Digitos!B150</f>
        <v>PROVEEDORES EFECTOS COMERCIALES A PAGAR</v>
      </c>
      <c r="C151" s="1314">
        <f ca="1">+SYS_4_3_Digitos!I150</f>
        <v>0</v>
      </c>
      <c r="D151" s="1315">
        <f ca="1">+SYS_4_3_Digitos!J150</f>
        <v>1327511.8400000001</v>
      </c>
      <c r="E151" s="2045" t="s">
        <v>1895</v>
      </c>
      <c r="F151" s="2049">
        <f t="shared" si="21"/>
        <v>0</v>
      </c>
      <c r="G151" s="2049">
        <f t="shared" ca="1" si="22"/>
        <v>1327511.8400000001</v>
      </c>
      <c r="H151" s="2051" t="s">
        <v>1896</v>
      </c>
      <c r="I151" s="2052">
        <v>1</v>
      </c>
      <c r="J151" s="2049">
        <f t="shared" si="23"/>
        <v>0</v>
      </c>
      <c r="K151" s="2146">
        <f t="shared" ca="1" si="24"/>
        <v>0</v>
      </c>
      <c r="L151" s="2049">
        <f t="shared" si="25"/>
        <v>0</v>
      </c>
      <c r="M151" s="2157">
        <f t="shared" ca="1" si="26"/>
        <v>0</v>
      </c>
      <c r="N151" s="2049">
        <f t="shared" ca="1" si="27"/>
        <v>1327511.8400000001</v>
      </c>
      <c r="O151" s="2157">
        <f t="shared" ca="1" si="28"/>
        <v>3.7676066682480074E-3</v>
      </c>
      <c r="P151" s="2049">
        <f t="shared" ca="1" si="20"/>
        <v>0</v>
      </c>
      <c r="Q151" s="2157">
        <f t="shared" ca="1" si="29"/>
        <v>0</v>
      </c>
    </row>
    <row r="152" spans="1:17" outlineLevel="1">
      <c r="A152" s="1310">
        <f>+SYS_4_3_Digitos!A151</f>
        <v>403</v>
      </c>
      <c r="B152" s="1311" t="str">
        <f>+SYS_4_3_Digitos!B151</f>
        <v>PROVEEDORES EMPRESAS DEL GRUPO</v>
      </c>
      <c r="C152" s="1314">
        <f ca="1">+SYS_4_3_Digitos!I151</f>
        <v>0</v>
      </c>
      <c r="D152" s="1315">
        <f ca="1">+SYS_4_3_Digitos!J151</f>
        <v>0</v>
      </c>
      <c r="E152" s="2045" t="s">
        <v>1895</v>
      </c>
      <c r="F152" s="2049">
        <f t="shared" si="21"/>
        <v>0</v>
      </c>
      <c r="G152" s="2049">
        <f t="shared" ca="1" si="22"/>
        <v>0</v>
      </c>
      <c r="H152" s="2051" t="s">
        <v>1896</v>
      </c>
      <c r="I152" s="2052">
        <v>1</v>
      </c>
      <c r="J152" s="2049">
        <f t="shared" si="23"/>
        <v>0</v>
      </c>
      <c r="K152" s="2146">
        <f t="shared" ca="1" si="24"/>
        <v>0</v>
      </c>
      <c r="L152" s="2049">
        <f t="shared" si="25"/>
        <v>0</v>
      </c>
      <c r="M152" s="2157">
        <f t="shared" ca="1" si="26"/>
        <v>0</v>
      </c>
      <c r="N152" s="2049">
        <f t="shared" ca="1" si="27"/>
        <v>0</v>
      </c>
      <c r="O152" s="2157">
        <f t="shared" ca="1" si="28"/>
        <v>0</v>
      </c>
      <c r="P152" s="2049">
        <f t="shared" ca="1" si="20"/>
        <v>0</v>
      </c>
      <c r="Q152" s="2157">
        <f t="shared" ca="1" si="29"/>
        <v>0</v>
      </c>
    </row>
    <row r="153" spans="1:17" outlineLevel="1">
      <c r="A153" s="1310">
        <f>+SYS_4_3_Digitos!A152</f>
        <v>404</v>
      </c>
      <c r="B153" s="1311" t="str">
        <f>+SYS_4_3_Digitos!B152</f>
        <v>PROVEEDORES EMPRESAS ASOCIADAS</v>
      </c>
      <c r="C153" s="1314">
        <f ca="1">+SYS_4_3_Digitos!I152</f>
        <v>0</v>
      </c>
      <c r="D153" s="1315">
        <f ca="1">+SYS_4_3_Digitos!J152</f>
        <v>0</v>
      </c>
      <c r="E153" s="2045" t="s">
        <v>1895</v>
      </c>
      <c r="F153" s="2049">
        <f t="shared" si="21"/>
        <v>0</v>
      </c>
      <c r="G153" s="2049">
        <f t="shared" ca="1" si="22"/>
        <v>0</v>
      </c>
      <c r="H153" s="2051" t="s">
        <v>1896</v>
      </c>
      <c r="I153" s="2052">
        <v>1</v>
      </c>
      <c r="J153" s="2049">
        <f t="shared" si="23"/>
        <v>0</v>
      </c>
      <c r="K153" s="2146">
        <f t="shared" ca="1" si="24"/>
        <v>0</v>
      </c>
      <c r="L153" s="2049">
        <f t="shared" si="25"/>
        <v>0</v>
      </c>
      <c r="M153" s="2157">
        <f t="shared" ca="1" si="26"/>
        <v>0</v>
      </c>
      <c r="N153" s="2049">
        <f t="shared" ca="1" si="27"/>
        <v>0</v>
      </c>
      <c r="O153" s="2157">
        <f t="shared" ca="1" si="28"/>
        <v>0</v>
      </c>
      <c r="P153" s="2049">
        <f t="shared" ca="1" si="20"/>
        <v>0</v>
      </c>
      <c r="Q153" s="2157">
        <f t="shared" ca="1" si="29"/>
        <v>0</v>
      </c>
    </row>
    <row r="154" spans="1:17" outlineLevel="1">
      <c r="A154" s="1310">
        <f>+SYS_4_3_Digitos!A153</f>
        <v>405</v>
      </c>
      <c r="B154" s="1311" t="str">
        <f>+SYS_4_3_Digitos!B153</f>
        <v>PROVEEDORES OTRAS PARTES VINCULADAS</v>
      </c>
      <c r="C154" s="1314">
        <f ca="1">+SYS_4_3_Digitos!I153</f>
        <v>0</v>
      </c>
      <c r="D154" s="1315">
        <f ca="1">+SYS_4_3_Digitos!J153</f>
        <v>0</v>
      </c>
      <c r="E154" s="2045" t="s">
        <v>1895</v>
      </c>
      <c r="F154" s="2049">
        <f t="shared" si="21"/>
        <v>0</v>
      </c>
      <c r="G154" s="2049">
        <f t="shared" ca="1" si="22"/>
        <v>0</v>
      </c>
      <c r="H154" s="2051" t="s">
        <v>1896</v>
      </c>
      <c r="I154" s="2052">
        <v>1</v>
      </c>
      <c r="J154" s="2049">
        <f t="shared" si="23"/>
        <v>0</v>
      </c>
      <c r="K154" s="2146">
        <f t="shared" ca="1" si="24"/>
        <v>0</v>
      </c>
      <c r="L154" s="2049">
        <f t="shared" si="25"/>
        <v>0</v>
      </c>
      <c r="M154" s="2157">
        <f t="shared" ca="1" si="26"/>
        <v>0</v>
      </c>
      <c r="N154" s="2049">
        <f t="shared" ca="1" si="27"/>
        <v>0</v>
      </c>
      <c r="O154" s="2157">
        <f t="shared" ca="1" si="28"/>
        <v>0</v>
      </c>
      <c r="P154" s="2049">
        <f t="shared" ca="1" si="20"/>
        <v>0</v>
      </c>
      <c r="Q154" s="2157">
        <f t="shared" ca="1" si="29"/>
        <v>0</v>
      </c>
    </row>
    <row r="155" spans="1:17" outlineLevel="1">
      <c r="A155" s="1310">
        <f>+SYS_4_3_Digitos!A154</f>
        <v>406</v>
      </c>
      <c r="B155" s="1311" t="str">
        <f>+SYS_4_3_Digitos!B154</f>
        <v>ENVASES Y EMBALAJES A DEVOLVER A PROVEEDORES</v>
      </c>
      <c r="C155" s="1314">
        <f ca="1">+SYS_4_3_Digitos!I154</f>
        <v>0</v>
      </c>
      <c r="D155" s="1315">
        <f ca="1">+SYS_4_3_Digitos!J154</f>
        <v>0</v>
      </c>
      <c r="E155" s="2045" t="s">
        <v>1895</v>
      </c>
      <c r="F155" s="2049">
        <f t="shared" si="21"/>
        <v>0</v>
      </c>
      <c r="G155" s="2049">
        <f t="shared" ca="1" si="22"/>
        <v>0</v>
      </c>
      <c r="H155" s="2051" t="s">
        <v>1896</v>
      </c>
      <c r="I155" s="2052">
        <v>1</v>
      </c>
      <c r="J155" s="2049">
        <f t="shared" si="23"/>
        <v>0</v>
      </c>
      <c r="K155" s="2146">
        <f t="shared" ca="1" si="24"/>
        <v>0</v>
      </c>
      <c r="L155" s="2049">
        <f t="shared" si="25"/>
        <v>0</v>
      </c>
      <c r="M155" s="2157">
        <f t="shared" ca="1" si="26"/>
        <v>0</v>
      </c>
      <c r="N155" s="2049">
        <f t="shared" ca="1" si="27"/>
        <v>0</v>
      </c>
      <c r="O155" s="2157">
        <f t="shared" ca="1" si="28"/>
        <v>0</v>
      </c>
      <c r="P155" s="2049">
        <f t="shared" ca="1" si="20"/>
        <v>0</v>
      </c>
      <c r="Q155" s="2157">
        <f t="shared" ca="1" si="29"/>
        <v>0</v>
      </c>
    </row>
    <row r="156" spans="1:17" outlineLevel="1">
      <c r="A156" s="1310">
        <f>+SYS_4_3_Digitos!A155</f>
        <v>407</v>
      </c>
      <c r="B156" s="1311" t="str">
        <f>+SYS_4_3_Digitos!B155</f>
        <v>ANTICIPOS A PROVEEDORES</v>
      </c>
      <c r="C156" s="1314">
        <f ca="1">+SYS_4_3_Digitos!I155</f>
        <v>0</v>
      </c>
      <c r="D156" s="1315">
        <f ca="1">+SYS_4_3_Digitos!J155</f>
        <v>0</v>
      </c>
      <c r="E156" s="2045" t="s">
        <v>1896</v>
      </c>
      <c r="F156" s="2049">
        <f t="shared" ca="1" si="21"/>
        <v>0</v>
      </c>
      <c r="G156" s="2049">
        <f t="shared" si="22"/>
        <v>0</v>
      </c>
      <c r="H156" s="2051" t="s">
        <v>1896</v>
      </c>
      <c r="I156" s="2052">
        <v>1</v>
      </c>
      <c r="J156" s="2049">
        <f t="shared" ca="1" si="23"/>
        <v>0</v>
      </c>
      <c r="K156" s="2146">
        <f t="shared" ca="1" si="24"/>
        <v>0</v>
      </c>
      <c r="L156" s="2049">
        <f t="shared" ca="1" si="25"/>
        <v>0</v>
      </c>
      <c r="M156" s="2157">
        <f t="shared" ca="1" si="26"/>
        <v>0</v>
      </c>
      <c r="N156" s="2049">
        <f t="shared" si="27"/>
        <v>0</v>
      </c>
      <c r="O156" s="2157">
        <f t="shared" ca="1" si="28"/>
        <v>0</v>
      </c>
      <c r="P156" s="2049">
        <f t="shared" si="20"/>
        <v>0</v>
      </c>
      <c r="Q156" s="2157">
        <f t="shared" ca="1" si="29"/>
        <v>0</v>
      </c>
    </row>
    <row r="157" spans="1:17" outlineLevel="1">
      <c r="A157" s="1310">
        <f>+SYS_4_3_Digitos!A156</f>
        <v>410</v>
      </c>
      <c r="B157" s="1311" t="str">
        <f>+SYS_4_3_Digitos!B156</f>
        <v>ACREEDORES POR PRESTACIÓN DE SERVICIOS</v>
      </c>
      <c r="C157" s="1314">
        <f ca="1">+SYS_4_3_Digitos!I156</f>
        <v>0</v>
      </c>
      <c r="D157" s="1315">
        <f ca="1">+SYS_4_3_Digitos!J156</f>
        <v>47222.14</v>
      </c>
      <c r="E157" s="2045" t="s">
        <v>1895</v>
      </c>
      <c r="F157" s="2049">
        <f t="shared" si="21"/>
        <v>0</v>
      </c>
      <c r="G157" s="2049">
        <f t="shared" ca="1" si="22"/>
        <v>47222.14</v>
      </c>
      <c r="H157" s="2051" t="s">
        <v>1896</v>
      </c>
      <c r="I157" s="2052">
        <v>1</v>
      </c>
      <c r="J157" s="2049">
        <f t="shared" si="23"/>
        <v>0</v>
      </c>
      <c r="K157" s="2146">
        <f t="shared" ca="1" si="24"/>
        <v>0</v>
      </c>
      <c r="L157" s="2049">
        <f t="shared" si="25"/>
        <v>0</v>
      </c>
      <c r="M157" s="2157">
        <f t="shared" ca="1" si="26"/>
        <v>0</v>
      </c>
      <c r="N157" s="2049">
        <f t="shared" ca="1" si="27"/>
        <v>47222.14</v>
      </c>
      <c r="O157" s="2157">
        <f t="shared" ca="1" si="28"/>
        <v>1.3402098888469496E-4</v>
      </c>
      <c r="P157" s="2049">
        <f t="shared" ca="1" si="20"/>
        <v>0</v>
      </c>
      <c r="Q157" s="2157">
        <f t="shared" ca="1" si="29"/>
        <v>0</v>
      </c>
    </row>
    <row r="158" spans="1:17" outlineLevel="1">
      <c r="A158" s="1310">
        <f>+SYS_4_3_Digitos!A157</f>
        <v>411</v>
      </c>
      <c r="B158" s="1311" t="str">
        <f>+SYS_4_3_Digitos!B157</f>
        <v>ACREEDORES EFECTOS COMERCIALES A PAGAR</v>
      </c>
      <c r="C158" s="1314">
        <f ca="1">+SYS_4_3_Digitos!I157</f>
        <v>0</v>
      </c>
      <c r="D158" s="1315">
        <f ca="1">+SYS_4_3_Digitos!J157</f>
        <v>230293.61000000002</v>
      </c>
      <c r="E158" s="2045" t="s">
        <v>1895</v>
      </c>
      <c r="F158" s="2049">
        <f t="shared" si="21"/>
        <v>0</v>
      </c>
      <c r="G158" s="2049">
        <f t="shared" ca="1" si="22"/>
        <v>230293.61000000002</v>
      </c>
      <c r="H158" s="2051" t="s">
        <v>1896</v>
      </c>
      <c r="I158" s="2052">
        <v>1</v>
      </c>
      <c r="J158" s="2049">
        <f t="shared" si="23"/>
        <v>0</v>
      </c>
      <c r="K158" s="2146">
        <f t="shared" ca="1" si="24"/>
        <v>0</v>
      </c>
      <c r="L158" s="2049">
        <f t="shared" si="25"/>
        <v>0</v>
      </c>
      <c r="M158" s="2157">
        <f t="shared" ca="1" si="26"/>
        <v>0</v>
      </c>
      <c r="N158" s="2049">
        <f t="shared" ca="1" si="27"/>
        <v>230293.61000000002</v>
      </c>
      <c r="O158" s="2157">
        <f t="shared" ca="1" si="28"/>
        <v>6.5359548182327776E-4</v>
      </c>
      <c r="P158" s="2049">
        <f t="shared" ca="1" si="20"/>
        <v>0</v>
      </c>
      <c r="Q158" s="2157">
        <f t="shared" ca="1" si="29"/>
        <v>0</v>
      </c>
    </row>
    <row r="159" spans="1:17" outlineLevel="1">
      <c r="A159" s="1310">
        <f>+SYS_4_3_Digitos!A158</f>
        <v>419</v>
      </c>
      <c r="B159" s="1311" t="str">
        <f>+SYS_4_3_Digitos!B158</f>
        <v>ACREEDORES POR OPERACIONES EN COMÚN</v>
      </c>
      <c r="C159" s="1314">
        <f ca="1">+SYS_4_3_Digitos!I158</f>
        <v>0</v>
      </c>
      <c r="D159" s="1315">
        <f ca="1">+SYS_4_3_Digitos!J158</f>
        <v>0</v>
      </c>
      <c r="E159" s="2045" t="s">
        <v>1895</v>
      </c>
      <c r="F159" s="2049">
        <f t="shared" si="21"/>
        <v>0</v>
      </c>
      <c r="G159" s="2049">
        <f t="shared" ca="1" si="22"/>
        <v>0</v>
      </c>
      <c r="H159" s="2051" t="s">
        <v>1896</v>
      </c>
      <c r="I159" s="2052">
        <v>1</v>
      </c>
      <c r="J159" s="2049">
        <f t="shared" si="23"/>
        <v>0</v>
      </c>
      <c r="K159" s="2146">
        <f t="shared" ca="1" si="24"/>
        <v>0</v>
      </c>
      <c r="L159" s="2049">
        <f t="shared" si="25"/>
        <v>0</v>
      </c>
      <c r="M159" s="2157">
        <f t="shared" ca="1" si="26"/>
        <v>0</v>
      </c>
      <c r="N159" s="2049">
        <f t="shared" ca="1" si="27"/>
        <v>0</v>
      </c>
      <c r="O159" s="2157">
        <f t="shared" ca="1" si="28"/>
        <v>0</v>
      </c>
      <c r="P159" s="2049">
        <f t="shared" ca="1" si="20"/>
        <v>0</v>
      </c>
      <c r="Q159" s="2157">
        <f t="shared" ca="1" si="29"/>
        <v>0</v>
      </c>
    </row>
    <row r="160" spans="1:17" outlineLevel="1">
      <c r="A160" s="1310">
        <f>+SYS_4_3_Digitos!A159</f>
        <v>430</v>
      </c>
      <c r="B160" s="1311" t="str">
        <f>+SYS_4_3_Digitos!B159</f>
        <v>CLIENTES</v>
      </c>
      <c r="C160" s="1314">
        <f ca="1">+SYS_4_3_Digitos!I159</f>
        <v>0</v>
      </c>
      <c r="D160" s="1315">
        <f ca="1">+SYS_4_3_Digitos!J159</f>
        <v>1431356.3099999998</v>
      </c>
      <c r="E160" s="2045" t="s">
        <v>1896</v>
      </c>
      <c r="F160" s="2049">
        <f t="shared" ca="1" si="21"/>
        <v>-1431356.3099999998</v>
      </c>
      <c r="G160" s="2049">
        <f t="shared" si="22"/>
        <v>0</v>
      </c>
      <c r="H160" s="2051" t="s">
        <v>1896</v>
      </c>
      <c r="I160" s="2052">
        <v>1</v>
      </c>
      <c r="J160" s="2049">
        <f t="shared" ca="1" si="23"/>
        <v>-1431356.3099999998</v>
      </c>
      <c r="K160" s="2146">
        <f t="shared" ca="1" si="24"/>
        <v>-4.0623272920826551E-3</v>
      </c>
      <c r="L160" s="2049">
        <f t="shared" ca="1" si="25"/>
        <v>0</v>
      </c>
      <c r="M160" s="2157">
        <f t="shared" ca="1" si="26"/>
        <v>0</v>
      </c>
      <c r="N160" s="2049">
        <f t="shared" si="27"/>
        <v>0</v>
      </c>
      <c r="O160" s="2157">
        <f t="shared" ca="1" si="28"/>
        <v>0</v>
      </c>
      <c r="P160" s="2049">
        <f t="shared" si="20"/>
        <v>0</v>
      </c>
      <c r="Q160" s="2157">
        <f t="shared" ca="1" si="29"/>
        <v>0</v>
      </c>
    </row>
    <row r="161" spans="1:17" outlineLevel="1">
      <c r="A161" s="1310">
        <f>+SYS_4_3_Digitos!A160</f>
        <v>431</v>
      </c>
      <c r="B161" s="1311" t="str">
        <f>+SYS_4_3_Digitos!B160</f>
        <v>CLIENTES EFECTOS COMERCIALES A COBRAR</v>
      </c>
      <c r="C161" s="1314">
        <f ca="1">+SYS_4_3_Digitos!I160</f>
        <v>25768944.690000001</v>
      </c>
      <c r="D161" s="1315">
        <f ca="1">+SYS_4_3_Digitos!J160</f>
        <v>0</v>
      </c>
      <c r="E161" s="2045" t="s">
        <v>1896</v>
      </c>
      <c r="F161" s="2049">
        <f t="shared" ca="1" si="21"/>
        <v>25768944.690000001</v>
      </c>
      <c r="G161" s="2049">
        <f t="shared" si="22"/>
        <v>0</v>
      </c>
      <c r="H161" s="2051" t="s">
        <v>1896</v>
      </c>
      <c r="I161" s="2052">
        <v>1</v>
      </c>
      <c r="J161" s="2049">
        <f t="shared" ca="1" si="23"/>
        <v>25768944.690000001</v>
      </c>
      <c r="K161" s="2146">
        <f t="shared" ca="1" si="24"/>
        <v>7.3134750984788291E-2</v>
      </c>
      <c r="L161" s="2049">
        <f t="shared" ca="1" si="25"/>
        <v>0</v>
      </c>
      <c r="M161" s="2157">
        <f t="shared" ca="1" si="26"/>
        <v>0</v>
      </c>
      <c r="N161" s="2049">
        <f t="shared" si="27"/>
        <v>0</v>
      </c>
      <c r="O161" s="2157">
        <f t="shared" ca="1" si="28"/>
        <v>0</v>
      </c>
      <c r="P161" s="2049">
        <f t="shared" si="20"/>
        <v>0</v>
      </c>
      <c r="Q161" s="2157">
        <f t="shared" ca="1" si="29"/>
        <v>0</v>
      </c>
    </row>
    <row r="162" spans="1:17" outlineLevel="1">
      <c r="A162" s="1310">
        <f>+SYS_4_3_Digitos!A161</f>
        <v>432</v>
      </c>
      <c r="B162" s="1311" t="str">
        <f>+SYS_4_3_Digitos!B161</f>
        <v>CLIENTES OPERACIONES DE FACTORING</v>
      </c>
      <c r="C162" s="1314">
        <f ca="1">+SYS_4_3_Digitos!I161</f>
        <v>0</v>
      </c>
      <c r="D162" s="1315">
        <f ca="1">+SYS_4_3_Digitos!J161</f>
        <v>0</v>
      </c>
      <c r="E162" s="2045" t="s">
        <v>1896</v>
      </c>
      <c r="F162" s="2049">
        <f t="shared" ca="1" si="21"/>
        <v>0</v>
      </c>
      <c r="G162" s="2049">
        <f t="shared" si="22"/>
        <v>0</v>
      </c>
      <c r="H162" s="2051" t="s">
        <v>1896</v>
      </c>
      <c r="I162" s="2052">
        <v>1</v>
      </c>
      <c r="J162" s="2049">
        <f t="shared" ca="1" si="23"/>
        <v>0</v>
      </c>
      <c r="K162" s="2146">
        <f t="shared" ca="1" si="24"/>
        <v>0</v>
      </c>
      <c r="L162" s="2049">
        <f t="shared" ca="1" si="25"/>
        <v>0</v>
      </c>
      <c r="M162" s="2157">
        <f t="shared" ca="1" si="26"/>
        <v>0</v>
      </c>
      <c r="N162" s="2049">
        <f t="shared" si="27"/>
        <v>0</v>
      </c>
      <c r="O162" s="2157">
        <f t="shared" ca="1" si="28"/>
        <v>0</v>
      </c>
      <c r="P162" s="2049">
        <f t="shared" si="20"/>
        <v>0</v>
      </c>
      <c r="Q162" s="2157">
        <f t="shared" ca="1" si="29"/>
        <v>0</v>
      </c>
    </row>
    <row r="163" spans="1:17" outlineLevel="1">
      <c r="A163" s="1310">
        <f>+SYS_4_3_Digitos!A162</f>
        <v>433</v>
      </c>
      <c r="B163" s="1311" t="str">
        <f>+SYS_4_3_Digitos!B162</f>
        <v>CLIENTES EMPRESAS DEL GRUPO</v>
      </c>
      <c r="C163" s="1314">
        <f ca="1">+SYS_4_3_Digitos!I162</f>
        <v>0</v>
      </c>
      <c r="D163" s="1315">
        <f ca="1">+SYS_4_3_Digitos!J162</f>
        <v>0</v>
      </c>
      <c r="E163" s="2045" t="s">
        <v>1896</v>
      </c>
      <c r="F163" s="2049">
        <f t="shared" ca="1" si="21"/>
        <v>0</v>
      </c>
      <c r="G163" s="2049">
        <f t="shared" si="22"/>
        <v>0</v>
      </c>
      <c r="H163" s="2051" t="s">
        <v>1896</v>
      </c>
      <c r="I163" s="2052">
        <v>1</v>
      </c>
      <c r="J163" s="2049">
        <f t="shared" ca="1" si="23"/>
        <v>0</v>
      </c>
      <c r="K163" s="2146">
        <f t="shared" ca="1" si="24"/>
        <v>0</v>
      </c>
      <c r="L163" s="2049">
        <f t="shared" ca="1" si="25"/>
        <v>0</v>
      </c>
      <c r="M163" s="2157">
        <f t="shared" ca="1" si="26"/>
        <v>0</v>
      </c>
      <c r="N163" s="2049">
        <f t="shared" si="27"/>
        <v>0</v>
      </c>
      <c r="O163" s="2157">
        <f t="shared" ca="1" si="28"/>
        <v>0</v>
      </c>
      <c r="P163" s="2049">
        <f t="shared" si="20"/>
        <v>0</v>
      </c>
      <c r="Q163" s="2157">
        <f t="shared" ca="1" si="29"/>
        <v>0</v>
      </c>
    </row>
    <row r="164" spans="1:17" outlineLevel="1">
      <c r="A164" s="1310">
        <f>+SYS_4_3_Digitos!A163</f>
        <v>434</v>
      </c>
      <c r="B164" s="1311" t="str">
        <f>+SYS_4_3_Digitos!B163</f>
        <v>CLIENTES EMPRESAS ASOCIDAS</v>
      </c>
      <c r="C164" s="1314">
        <f ca="1">+SYS_4_3_Digitos!I163</f>
        <v>0</v>
      </c>
      <c r="D164" s="1315">
        <f ca="1">+SYS_4_3_Digitos!J163</f>
        <v>0</v>
      </c>
      <c r="E164" s="2045" t="s">
        <v>1896</v>
      </c>
      <c r="F164" s="2049">
        <f t="shared" ca="1" si="21"/>
        <v>0</v>
      </c>
      <c r="G164" s="2049">
        <f t="shared" si="22"/>
        <v>0</v>
      </c>
      <c r="H164" s="2051" t="s">
        <v>1896</v>
      </c>
      <c r="I164" s="2052">
        <v>1</v>
      </c>
      <c r="J164" s="2049">
        <f t="shared" ca="1" si="23"/>
        <v>0</v>
      </c>
      <c r="K164" s="2146">
        <f t="shared" ca="1" si="24"/>
        <v>0</v>
      </c>
      <c r="L164" s="2049">
        <f t="shared" ca="1" si="25"/>
        <v>0</v>
      </c>
      <c r="M164" s="2157">
        <f t="shared" ca="1" si="26"/>
        <v>0</v>
      </c>
      <c r="N164" s="2049">
        <f t="shared" si="27"/>
        <v>0</v>
      </c>
      <c r="O164" s="2157">
        <f t="shared" ca="1" si="28"/>
        <v>0</v>
      </c>
      <c r="P164" s="2049">
        <f t="shared" si="20"/>
        <v>0</v>
      </c>
      <c r="Q164" s="2157">
        <f t="shared" ca="1" si="29"/>
        <v>0</v>
      </c>
    </row>
    <row r="165" spans="1:17" outlineLevel="1">
      <c r="A165" s="1310">
        <f>+SYS_4_3_Digitos!A164</f>
        <v>435</v>
      </c>
      <c r="B165" s="1311" t="str">
        <f>+SYS_4_3_Digitos!B164</f>
        <v>CLIENTES OTRAS PARTES VINCULADAS</v>
      </c>
      <c r="C165" s="1314">
        <f ca="1">+SYS_4_3_Digitos!I164</f>
        <v>0</v>
      </c>
      <c r="D165" s="1315">
        <f ca="1">+SYS_4_3_Digitos!J164</f>
        <v>0</v>
      </c>
      <c r="E165" s="2045" t="s">
        <v>1896</v>
      </c>
      <c r="F165" s="2049">
        <f t="shared" ca="1" si="21"/>
        <v>0</v>
      </c>
      <c r="G165" s="2049">
        <f t="shared" si="22"/>
        <v>0</v>
      </c>
      <c r="H165" s="2051" t="s">
        <v>1896</v>
      </c>
      <c r="I165" s="2052">
        <v>1</v>
      </c>
      <c r="J165" s="2049">
        <f t="shared" ca="1" si="23"/>
        <v>0</v>
      </c>
      <c r="K165" s="2146">
        <f t="shared" ca="1" si="24"/>
        <v>0</v>
      </c>
      <c r="L165" s="2049">
        <f t="shared" ca="1" si="25"/>
        <v>0</v>
      </c>
      <c r="M165" s="2157">
        <f t="shared" ca="1" si="26"/>
        <v>0</v>
      </c>
      <c r="N165" s="2049">
        <f t="shared" si="27"/>
        <v>0</v>
      </c>
      <c r="O165" s="2157">
        <f t="shared" ca="1" si="28"/>
        <v>0</v>
      </c>
      <c r="P165" s="2049">
        <f t="shared" si="20"/>
        <v>0</v>
      </c>
      <c r="Q165" s="2157">
        <f t="shared" ca="1" si="29"/>
        <v>0</v>
      </c>
    </row>
    <row r="166" spans="1:17" outlineLevel="1">
      <c r="A166" s="1310">
        <f>+SYS_4_3_Digitos!A165</f>
        <v>436</v>
      </c>
      <c r="B166" s="1311" t="str">
        <f>+SYS_4_3_Digitos!B165</f>
        <v>CLIENTES DE DUDOSO COBRO</v>
      </c>
      <c r="C166" s="1314">
        <f ca="1">+SYS_4_3_Digitos!I165</f>
        <v>110160</v>
      </c>
      <c r="D166" s="1315">
        <f ca="1">+SYS_4_3_Digitos!J165</f>
        <v>0</v>
      </c>
      <c r="E166" s="2045" t="s">
        <v>1896</v>
      </c>
      <c r="F166" s="2049">
        <f t="shared" ca="1" si="21"/>
        <v>110160</v>
      </c>
      <c r="G166" s="2049">
        <f t="shared" si="22"/>
        <v>0</v>
      </c>
      <c r="H166" s="2051" t="s">
        <v>1896</v>
      </c>
      <c r="I166" s="2052">
        <v>1</v>
      </c>
      <c r="J166" s="2049">
        <f t="shared" ca="1" si="23"/>
        <v>110160</v>
      </c>
      <c r="K166" s="2146">
        <f t="shared" ca="1" si="24"/>
        <v>3.1264470723982443E-4</v>
      </c>
      <c r="L166" s="2049">
        <f t="shared" ca="1" si="25"/>
        <v>0</v>
      </c>
      <c r="M166" s="2157">
        <f t="shared" ca="1" si="26"/>
        <v>0</v>
      </c>
      <c r="N166" s="2049">
        <f t="shared" si="27"/>
        <v>0</v>
      </c>
      <c r="O166" s="2157">
        <f t="shared" ca="1" si="28"/>
        <v>0</v>
      </c>
      <c r="P166" s="2049">
        <f t="shared" si="20"/>
        <v>0</v>
      </c>
      <c r="Q166" s="2157">
        <f t="shared" ca="1" si="29"/>
        <v>0</v>
      </c>
    </row>
    <row r="167" spans="1:17" outlineLevel="1">
      <c r="A167" s="1310">
        <f>+SYS_4_3_Digitos!A166</f>
        <v>437</v>
      </c>
      <c r="B167" s="1311" t="str">
        <f>+SYS_4_3_Digitos!B166</f>
        <v>ENVASES Y EMBALAJES A DEVOLVER POR CLIENTES</v>
      </c>
      <c r="C167" s="1314">
        <f ca="1">+SYS_4_3_Digitos!I166</f>
        <v>0</v>
      </c>
      <c r="D167" s="1315">
        <f ca="1">+SYS_4_3_Digitos!J166</f>
        <v>0</v>
      </c>
      <c r="E167" s="2045" t="s">
        <v>1896</v>
      </c>
      <c r="F167" s="2049">
        <f t="shared" ca="1" si="21"/>
        <v>0</v>
      </c>
      <c r="G167" s="2049">
        <f t="shared" si="22"/>
        <v>0</v>
      </c>
      <c r="H167" s="2051" t="s">
        <v>1896</v>
      </c>
      <c r="I167" s="2052">
        <v>1</v>
      </c>
      <c r="J167" s="2049">
        <f t="shared" ca="1" si="23"/>
        <v>0</v>
      </c>
      <c r="K167" s="2146">
        <f t="shared" ca="1" si="24"/>
        <v>0</v>
      </c>
      <c r="L167" s="2049">
        <f t="shared" ca="1" si="25"/>
        <v>0</v>
      </c>
      <c r="M167" s="2157">
        <f t="shared" ca="1" si="26"/>
        <v>0</v>
      </c>
      <c r="N167" s="2049">
        <f t="shared" si="27"/>
        <v>0</v>
      </c>
      <c r="O167" s="2157">
        <f t="shared" ca="1" si="28"/>
        <v>0</v>
      </c>
      <c r="P167" s="2049">
        <f t="shared" si="20"/>
        <v>0</v>
      </c>
      <c r="Q167" s="2157">
        <f t="shared" ca="1" si="29"/>
        <v>0</v>
      </c>
    </row>
    <row r="168" spans="1:17" outlineLevel="1">
      <c r="A168" s="1310">
        <f>+SYS_4_3_Digitos!A167</f>
        <v>438</v>
      </c>
      <c r="B168" s="1311" t="str">
        <f>+SYS_4_3_Digitos!B167</f>
        <v>ANTICIPOS DE CLIENTES</v>
      </c>
      <c r="C168" s="1314">
        <f ca="1">+SYS_4_3_Digitos!I167</f>
        <v>0</v>
      </c>
      <c r="D168" s="1315">
        <f ca="1">+SYS_4_3_Digitos!J167</f>
        <v>0</v>
      </c>
      <c r="E168" s="2045" t="s">
        <v>1895</v>
      </c>
      <c r="F168" s="2049">
        <f t="shared" si="21"/>
        <v>0</v>
      </c>
      <c r="G168" s="2049">
        <f t="shared" ca="1" si="22"/>
        <v>0</v>
      </c>
      <c r="H168" s="2051" t="s">
        <v>1896</v>
      </c>
      <c r="I168" s="2052">
        <v>1</v>
      </c>
      <c r="J168" s="2049">
        <f t="shared" si="23"/>
        <v>0</v>
      </c>
      <c r="K168" s="2146">
        <f t="shared" ca="1" si="24"/>
        <v>0</v>
      </c>
      <c r="L168" s="2049">
        <f t="shared" si="25"/>
        <v>0</v>
      </c>
      <c r="M168" s="2157">
        <f t="shared" ca="1" si="26"/>
        <v>0</v>
      </c>
      <c r="N168" s="2049">
        <f t="shared" ca="1" si="27"/>
        <v>0</v>
      </c>
      <c r="O168" s="2157">
        <f t="shared" ca="1" si="28"/>
        <v>0</v>
      </c>
      <c r="P168" s="2049">
        <f t="shared" ca="1" si="20"/>
        <v>0</v>
      </c>
      <c r="Q168" s="2157">
        <f t="shared" ca="1" si="29"/>
        <v>0</v>
      </c>
    </row>
    <row r="169" spans="1:17" outlineLevel="1">
      <c r="A169" s="1310">
        <f>+SYS_4_3_Digitos!A168</f>
        <v>440</v>
      </c>
      <c r="B169" s="1311" t="str">
        <f>+SYS_4_3_Digitos!B168</f>
        <v>DEUDORES</v>
      </c>
      <c r="C169" s="1314">
        <f ca="1">+SYS_4_3_Digitos!I168</f>
        <v>652.07000000000005</v>
      </c>
      <c r="D169" s="1315">
        <f ca="1">+SYS_4_3_Digitos!J168</f>
        <v>0</v>
      </c>
      <c r="E169" s="2045" t="s">
        <v>1896</v>
      </c>
      <c r="F169" s="2049">
        <f t="shared" ca="1" si="21"/>
        <v>652.07000000000005</v>
      </c>
      <c r="G169" s="2049">
        <f t="shared" si="22"/>
        <v>0</v>
      </c>
      <c r="H169" s="2051" t="s">
        <v>1896</v>
      </c>
      <c r="I169" s="2052">
        <v>1</v>
      </c>
      <c r="J169" s="2049">
        <f t="shared" ca="1" si="23"/>
        <v>652.07000000000005</v>
      </c>
      <c r="K169" s="2146">
        <f t="shared" ca="1" si="24"/>
        <v>1.8506375658122033E-6</v>
      </c>
      <c r="L169" s="2049">
        <f t="shared" ca="1" si="25"/>
        <v>0</v>
      </c>
      <c r="M169" s="2157">
        <f t="shared" ca="1" si="26"/>
        <v>0</v>
      </c>
      <c r="N169" s="2049">
        <f t="shared" si="27"/>
        <v>0</v>
      </c>
      <c r="O169" s="2157">
        <f t="shared" ca="1" si="28"/>
        <v>0</v>
      </c>
      <c r="P169" s="2049">
        <f t="shared" si="20"/>
        <v>0</v>
      </c>
      <c r="Q169" s="2157">
        <f t="shared" ca="1" si="29"/>
        <v>0</v>
      </c>
    </row>
    <row r="170" spans="1:17" outlineLevel="1">
      <c r="A170" s="1310">
        <f>+SYS_4_3_Digitos!A169</f>
        <v>441</v>
      </c>
      <c r="B170" s="1311" t="str">
        <f>+SYS_4_3_Digitos!B169</f>
        <v>DEUDORES EFECTOS COMERCIALES A COBRAR</v>
      </c>
      <c r="C170" s="1314">
        <f ca="1">+SYS_4_3_Digitos!I169</f>
        <v>156.09</v>
      </c>
      <c r="D170" s="1315">
        <f ca="1">+SYS_4_3_Digitos!J169</f>
        <v>0</v>
      </c>
      <c r="E170" s="2045" t="s">
        <v>1896</v>
      </c>
      <c r="F170" s="2049">
        <f t="shared" ca="1" si="21"/>
        <v>156.09</v>
      </c>
      <c r="G170" s="2049">
        <f t="shared" si="22"/>
        <v>0</v>
      </c>
      <c r="H170" s="2051" t="s">
        <v>1896</v>
      </c>
      <c r="I170" s="2052">
        <v>1</v>
      </c>
      <c r="J170" s="2049">
        <f t="shared" ca="1" si="23"/>
        <v>156.09</v>
      </c>
      <c r="K170" s="2146">
        <f t="shared" ca="1" si="24"/>
        <v>4.4299847815054642E-7</v>
      </c>
      <c r="L170" s="2049">
        <f t="shared" ca="1" si="25"/>
        <v>0</v>
      </c>
      <c r="M170" s="2157">
        <f t="shared" ca="1" si="26"/>
        <v>0</v>
      </c>
      <c r="N170" s="2049">
        <f t="shared" si="27"/>
        <v>0</v>
      </c>
      <c r="O170" s="2157">
        <f t="shared" ca="1" si="28"/>
        <v>0</v>
      </c>
      <c r="P170" s="2049">
        <f t="shared" si="20"/>
        <v>0</v>
      </c>
      <c r="Q170" s="2157">
        <f t="shared" ca="1" si="29"/>
        <v>0</v>
      </c>
    </row>
    <row r="171" spans="1:17" outlineLevel="1">
      <c r="A171" s="1310">
        <f>+SYS_4_3_Digitos!A170</f>
        <v>446</v>
      </c>
      <c r="B171" s="1311" t="str">
        <f>+SYS_4_3_Digitos!B170</f>
        <v>DEUDORES DE DUDOSO COBRO</v>
      </c>
      <c r="C171" s="1314">
        <f ca="1">+SYS_4_3_Digitos!I170</f>
        <v>0</v>
      </c>
      <c r="D171" s="1315">
        <f ca="1">+SYS_4_3_Digitos!J170</f>
        <v>0</v>
      </c>
      <c r="E171" s="2045" t="s">
        <v>1896</v>
      </c>
      <c r="F171" s="2049">
        <f t="shared" ca="1" si="21"/>
        <v>0</v>
      </c>
      <c r="G171" s="2049">
        <f t="shared" si="22"/>
        <v>0</v>
      </c>
      <c r="H171" s="2051" t="s">
        <v>1896</v>
      </c>
      <c r="I171" s="2052">
        <v>1</v>
      </c>
      <c r="J171" s="2049">
        <f t="shared" ca="1" si="23"/>
        <v>0</v>
      </c>
      <c r="K171" s="2146">
        <f t="shared" ca="1" si="24"/>
        <v>0</v>
      </c>
      <c r="L171" s="2049">
        <f t="shared" ca="1" si="25"/>
        <v>0</v>
      </c>
      <c r="M171" s="2157">
        <f t="shared" ca="1" si="26"/>
        <v>0</v>
      </c>
      <c r="N171" s="2049">
        <f t="shared" si="27"/>
        <v>0</v>
      </c>
      <c r="O171" s="2157">
        <f t="shared" ca="1" si="28"/>
        <v>0</v>
      </c>
      <c r="P171" s="2049">
        <f t="shared" si="20"/>
        <v>0</v>
      </c>
      <c r="Q171" s="2157">
        <f t="shared" ca="1" si="29"/>
        <v>0</v>
      </c>
    </row>
    <row r="172" spans="1:17" outlineLevel="1">
      <c r="A172" s="1310">
        <f>+SYS_4_3_Digitos!A171</f>
        <v>449</v>
      </c>
      <c r="B172" s="1311" t="str">
        <f>+SYS_4_3_Digitos!B171</f>
        <v>DEUDORES POR OPERACIONES EN COMÚN</v>
      </c>
      <c r="C172" s="1314">
        <f ca="1">+SYS_4_3_Digitos!I171</f>
        <v>0</v>
      </c>
      <c r="D172" s="1315">
        <f ca="1">+SYS_4_3_Digitos!J171</f>
        <v>0</v>
      </c>
      <c r="E172" s="2045" t="s">
        <v>1896</v>
      </c>
      <c r="F172" s="2049">
        <f t="shared" ca="1" si="21"/>
        <v>0</v>
      </c>
      <c r="G172" s="2049">
        <f t="shared" si="22"/>
        <v>0</v>
      </c>
      <c r="H172" s="2051" t="s">
        <v>1896</v>
      </c>
      <c r="I172" s="2052">
        <v>1</v>
      </c>
      <c r="J172" s="2049">
        <f t="shared" ca="1" si="23"/>
        <v>0</v>
      </c>
      <c r="K172" s="2146">
        <f t="shared" ca="1" si="24"/>
        <v>0</v>
      </c>
      <c r="L172" s="2049">
        <f t="shared" ca="1" si="25"/>
        <v>0</v>
      </c>
      <c r="M172" s="2157">
        <f t="shared" ca="1" si="26"/>
        <v>0</v>
      </c>
      <c r="N172" s="2049">
        <f t="shared" si="27"/>
        <v>0</v>
      </c>
      <c r="O172" s="2157">
        <f t="shared" ca="1" si="28"/>
        <v>0</v>
      </c>
      <c r="P172" s="2049">
        <f t="shared" si="20"/>
        <v>0</v>
      </c>
      <c r="Q172" s="2157">
        <f t="shared" ca="1" si="29"/>
        <v>0</v>
      </c>
    </row>
    <row r="173" spans="1:17" outlineLevel="1">
      <c r="A173" s="1310">
        <f>+SYS_4_3_Digitos!A172</f>
        <v>460</v>
      </c>
      <c r="B173" s="1311" t="str">
        <f>+SYS_4_3_Digitos!B172</f>
        <v>ANTICIPOS DE REMUNERACIONES</v>
      </c>
      <c r="C173" s="1314">
        <f ca="1">+SYS_4_3_Digitos!I172</f>
        <v>525</v>
      </c>
      <c r="D173" s="1315">
        <f ca="1">+SYS_4_3_Digitos!J172</f>
        <v>0</v>
      </c>
      <c r="E173" s="2045" t="s">
        <v>1896</v>
      </c>
      <c r="F173" s="2049">
        <f t="shared" ca="1" si="21"/>
        <v>525</v>
      </c>
      <c r="G173" s="2049">
        <f t="shared" si="22"/>
        <v>0</v>
      </c>
      <c r="H173" s="2051" t="s">
        <v>1896</v>
      </c>
      <c r="I173" s="2052">
        <v>1</v>
      </c>
      <c r="J173" s="2049">
        <f t="shared" ca="1" si="23"/>
        <v>525</v>
      </c>
      <c r="K173" s="2146">
        <f t="shared" ca="1" si="24"/>
        <v>1.4900006472486184E-6</v>
      </c>
      <c r="L173" s="2049">
        <f t="shared" ca="1" si="25"/>
        <v>0</v>
      </c>
      <c r="M173" s="2157">
        <f t="shared" ca="1" si="26"/>
        <v>0</v>
      </c>
      <c r="N173" s="2049">
        <f t="shared" si="27"/>
        <v>0</v>
      </c>
      <c r="O173" s="2157">
        <f t="shared" ca="1" si="28"/>
        <v>0</v>
      </c>
      <c r="P173" s="2049">
        <f t="shared" si="20"/>
        <v>0</v>
      </c>
      <c r="Q173" s="2157">
        <f t="shared" ca="1" si="29"/>
        <v>0</v>
      </c>
    </row>
    <row r="174" spans="1:17" outlineLevel="1">
      <c r="A174" s="1310">
        <f>+SYS_4_3_Digitos!A173</f>
        <v>465</v>
      </c>
      <c r="B174" s="1311" t="str">
        <f>+SYS_4_3_Digitos!B173</f>
        <v>REMUNERACIONES PENDIENTES DE PAGO</v>
      </c>
      <c r="C174" s="1314">
        <f ca="1">+SYS_4_3_Digitos!I173</f>
        <v>155.01</v>
      </c>
      <c r="D174" s="1315">
        <f ca="1">+SYS_4_3_Digitos!J173</f>
        <v>0</v>
      </c>
      <c r="E174" s="2045" t="s">
        <v>1895</v>
      </c>
      <c r="F174" s="2049">
        <f t="shared" si="21"/>
        <v>0</v>
      </c>
      <c r="G174" s="2049">
        <f t="shared" ca="1" si="22"/>
        <v>-155.01</v>
      </c>
      <c r="H174" s="2051" t="s">
        <v>1896</v>
      </c>
      <c r="I174" s="2052">
        <v>1</v>
      </c>
      <c r="J174" s="2049">
        <f t="shared" si="23"/>
        <v>0</v>
      </c>
      <c r="K174" s="2146">
        <f t="shared" ca="1" si="24"/>
        <v>0</v>
      </c>
      <c r="L174" s="2049">
        <f t="shared" si="25"/>
        <v>0</v>
      </c>
      <c r="M174" s="2157">
        <f t="shared" ca="1" si="26"/>
        <v>0</v>
      </c>
      <c r="N174" s="2049">
        <f t="shared" ca="1" si="27"/>
        <v>-155.01</v>
      </c>
      <c r="O174" s="2157">
        <f t="shared" ca="1" si="28"/>
        <v>-4.3993333396192049E-7</v>
      </c>
      <c r="P174" s="2049">
        <f t="shared" ca="1" si="20"/>
        <v>0</v>
      </c>
      <c r="Q174" s="2157">
        <f t="shared" ca="1" si="29"/>
        <v>0</v>
      </c>
    </row>
    <row r="175" spans="1:17" outlineLevel="1">
      <c r="A175" s="1310">
        <f>+SYS_4_3_Digitos!A174</f>
        <v>466</v>
      </c>
      <c r="B175" s="1311" t="str">
        <f>+SYS_4_3_Digitos!B174</f>
        <v>REMUN MEDIANTE SIST DE APORTACIÓN DEF PTES DE PAGO</v>
      </c>
      <c r="C175" s="1314">
        <f ca="1">+SYS_4_3_Digitos!I174</f>
        <v>0</v>
      </c>
      <c r="D175" s="1315">
        <f ca="1">+SYS_4_3_Digitos!J174</f>
        <v>0</v>
      </c>
      <c r="E175" s="2045" t="s">
        <v>1895</v>
      </c>
      <c r="F175" s="2049">
        <f t="shared" si="21"/>
        <v>0</v>
      </c>
      <c r="G175" s="2049">
        <f t="shared" ca="1" si="22"/>
        <v>0</v>
      </c>
      <c r="H175" s="2051" t="s">
        <v>1896</v>
      </c>
      <c r="I175" s="2052">
        <v>1</v>
      </c>
      <c r="J175" s="2049">
        <f t="shared" si="23"/>
        <v>0</v>
      </c>
      <c r="K175" s="2146">
        <f t="shared" ca="1" si="24"/>
        <v>0</v>
      </c>
      <c r="L175" s="2049">
        <f t="shared" si="25"/>
        <v>0</v>
      </c>
      <c r="M175" s="2157">
        <f t="shared" ca="1" si="26"/>
        <v>0</v>
      </c>
      <c r="N175" s="2049">
        <f t="shared" ca="1" si="27"/>
        <v>0</v>
      </c>
      <c r="O175" s="2157">
        <f t="shared" ca="1" si="28"/>
        <v>0</v>
      </c>
      <c r="P175" s="2049">
        <f t="shared" ca="1" si="20"/>
        <v>0</v>
      </c>
      <c r="Q175" s="2157">
        <f t="shared" ca="1" si="29"/>
        <v>0</v>
      </c>
    </row>
    <row r="176" spans="1:17" outlineLevel="1">
      <c r="A176" s="1310">
        <f>+SYS_4_3_Digitos!A175</f>
        <v>4700</v>
      </c>
      <c r="B176" s="1311" t="str">
        <f>+SYS_4_3_Digitos!B175</f>
        <v>HP DEUDORA POR IVA</v>
      </c>
      <c r="C176" s="1314">
        <f ca="1">+SYS_4_3_Digitos!I175</f>
        <v>0</v>
      </c>
      <c r="D176" s="1315">
        <f ca="1">+SYS_4_3_Digitos!J175</f>
        <v>0</v>
      </c>
      <c r="E176" s="2045" t="s">
        <v>1896</v>
      </c>
      <c r="F176" s="2049">
        <f t="shared" ca="1" si="21"/>
        <v>0</v>
      </c>
      <c r="G176" s="2049">
        <f t="shared" si="22"/>
        <v>0</v>
      </c>
      <c r="H176" s="2051" t="s">
        <v>1896</v>
      </c>
      <c r="I176" s="2052">
        <v>1</v>
      </c>
      <c r="J176" s="2049">
        <f t="shared" ca="1" si="23"/>
        <v>0</v>
      </c>
      <c r="K176" s="2146">
        <f t="shared" ca="1" si="24"/>
        <v>0</v>
      </c>
      <c r="L176" s="2049">
        <f t="shared" ca="1" si="25"/>
        <v>0</v>
      </c>
      <c r="M176" s="2157">
        <f t="shared" ca="1" si="26"/>
        <v>0</v>
      </c>
      <c r="N176" s="2049">
        <f t="shared" si="27"/>
        <v>0</v>
      </c>
      <c r="O176" s="2157">
        <f t="shared" ca="1" si="28"/>
        <v>0</v>
      </c>
      <c r="P176" s="2049">
        <f t="shared" si="20"/>
        <v>0</v>
      </c>
      <c r="Q176" s="2157">
        <f t="shared" ca="1" si="29"/>
        <v>0</v>
      </c>
    </row>
    <row r="177" spans="1:17" outlineLevel="1">
      <c r="A177" s="1310">
        <f>+SYS_4_3_Digitos!A176</f>
        <v>4708</v>
      </c>
      <c r="B177" s="1311" t="str">
        <f>+SYS_4_3_Digitos!B176</f>
        <v>HP DEUDORA POR SUBVENCIONES CONCEDIDAS</v>
      </c>
      <c r="C177" s="1314">
        <f ca="1">+SYS_4_3_Digitos!I176</f>
        <v>0</v>
      </c>
      <c r="D177" s="1315">
        <f ca="1">+SYS_4_3_Digitos!J176</f>
        <v>0</v>
      </c>
      <c r="E177" s="2045" t="s">
        <v>1896</v>
      </c>
      <c r="F177" s="2049">
        <f t="shared" ca="1" si="21"/>
        <v>0</v>
      </c>
      <c r="G177" s="2049">
        <f t="shared" si="22"/>
        <v>0</v>
      </c>
      <c r="H177" s="2051" t="s">
        <v>1896</v>
      </c>
      <c r="I177" s="2052">
        <v>1</v>
      </c>
      <c r="J177" s="2049">
        <f t="shared" ca="1" si="23"/>
        <v>0</v>
      </c>
      <c r="K177" s="2146">
        <f t="shared" ca="1" si="24"/>
        <v>0</v>
      </c>
      <c r="L177" s="2049">
        <f t="shared" ca="1" si="25"/>
        <v>0</v>
      </c>
      <c r="M177" s="2157">
        <f t="shared" ca="1" si="26"/>
        <v>0</v>
      </c>
      <c r="N177" s="2049">
        <f t="shared" si="27"/>
        <v>0</v>
      </c>
      <c r="O177" s="2157">
        <f t="shared" ca="1" si="28"/>
        <v>0</v>
      </c>
      <c r="P177" s="2049">
        <f t="shared" si="20"/>
        <v>0</v>
      </c>
      <c r="Q177" s="2157">
        <f t="shared" ca="1" si="29"/>
        <v>0</v>
      </c>
    </row>
    <row r="178" spans="1:17" outlineLevel="1">
      <c r="A178" s="1310">
        <f>+SYS_4_3_Digitos!A177</f>
        <v>4709</v>
      </c>
      <c r="B178" s="1311" t="str">
        <f>+SYS_4_3_Digitos!B177</f>
        <v>HP DEUDORA POR DEVOLUCIÓN DE IMPUESTOS</v>
      </c>
      <c r="C178" s="1314">
        <f ca="1">+SYS_4_3_Digitos!I177</f>
        <v>3151475.96</v>
      </c>
      <c r="D178" s="1315">
        <f ca="1">+SYS_4_3_Digitos!J177</f>
        <v>0</v>
      </c>
      <c r="E178" s="2045" t="s">
        <v>1896</v>
      </c>
      <c r="F178" s="2049">
        <f t="shared" ca="1" si="21"/>
        <v>3151475.96</v>
      </c>
      <c r="G178" s="2049">
        <f t="shared" si="22"/>
        <v>0</v>
      </c>
      <c r="H178" s="2051" t="s">
        <v>1896</v>
      </c>
      <c r="I178" s="2052">
        <v>1</v>
      </c>
      <c r="J178" s="2049">
        <f t="shared" ca="1" si="23"/>
        <v>3151475.96</v>
      </c>
      <c r="K178" s="2146">
        <f t="shared" ca="1" si="24"/>
        <v>8.9441928003589737E-3</v>
      </c>
      <c r="L178" s="2049">
        <f t="shared" ca="1" si="25"/>
        <v>0</v>
      </c>
      <c r="M178" s="2157">
        <f t="shared" ca="1" si="26"/>
        <v>0</v>
      </c>
      <c r="N178" s="2049">
        <f t="shared" si="27"/>
        <v>0</v>
      </c>
      <c r="O178" s="2157">
        <f t="shared" ca="1" si="28"/>
        <v>0</v>
      </c>
      <c r="P178" s="2049">
        <f t="shared" si="20"/>
        <v>0</v>
      </c>
      <c r="Q178" s="2157">
        <f t="shared" ca="1" si="29"/>
        <v>0</v>
      </c>
    </row>
    <row r="179" spans="1:17" outlineLevel="1">
      <c r="A179" s="1310">
        <f>+SYS_4_3_Digitos!A178</f>
        <v>471</v>
      </c>
      <c r="B179" s="1311" t="str">
        <f>+SYS_4_3_Digitos!B178</f>
        <v>ORGANISMOS DE LA SEG. SOC. DEUDORES</v>
      </c>
      <c r="C179" s="1314">
        <f ca="1">+SYS_4_3_Digitos!I178</f>
        <v>0</v>
      </c>
      <c r="D179" s="1315">
        <f ca="1">+SYS_4_3_Digitos!J178</f>
        <v>0</v>
      </c>
      <c r="E179" s="2045" t="s">
        <v>1896</v>
      </c>
      <c r="F179" s="2049">
        <f t="shared" ca="1" si="21"/>
        <v>0</v>
      </c>
      <c r="G179" s="2049">
        <f t="shared" si="22"/>
        <v>0</v>
      </c>
      <c r="H179" s="2051" t="s">
        <v>1896</v>
      </c>
      <c r="I179" s="2052">
        <v>1</v>
      </c>
      <c r="J179" s="2049">
        <f t="shared" ca="1" si="23"/>
        <v>0</v>
      </c>
      <c r="K179" s="2146">
        <f t="shared" ca="1" si="24"/>
        <v>0</v>
      </c>
      <c r="L179" s="2049">
        <f t="shared" ca="1" si="25"/>
        <v>0</v>
      </c>
      <c r="M179" s="2157">
        <f t="shared" ca="1" si="26"/>
        <v>0</v>
      </c>
      <c r="N179" s="2049">
        <f t="shared" si="27"/>
        <v>0</v>
      </c>
      <c r="O179" s="2157">
        <f t="shared" ca="1" si="28"/>
        <v>0</v>
      </c>
      <c r="P179" s="2049">
        <f t="shared" si="20"/>
        <v>0</v>
      </c>
      <c r="Q179" s="2157">
        <f t="shared" ca="1" si="29"/>
        <v>0</v>
      </c>
    </row>
    <row r="180" spans="1:17" outlineLevel="1">
      <c r="A180" s="1310">
        <f>+SYS_4_3_Digitos!A179</f>
        <v>472</v>
      </c>
      <c r="B180" s="1311" t="str">
        <f>+SYS_4_3_Digitos!B179</f>
        <v>HP IVA SOPORTADO</v>
      </c>
      <c r="C180" s="1314">
        <f ca="1">+SYS_4_3_Digitos!I179</f>
        <v>0</v>
      </c>
      <c r="D180" s="1315">
        <f ca="1">+SYS_4_3_Digitos!J179</f>
        <v>0</v>
      </c>
      <c r="E180" s="2045" t="s">
        <v>1896</v>
      </c>
      <c r="F180" s="2049">
        <f t="shared" ca="1" si="21"/>
        <v>0</v>
      </c>
      <c r="G180" s="2049">
        <f t="shared" si="22"/>
        <v>0</v>
      </c>
      <c r="H180" s="2051" t="s">
        <v>1896</v>
      </c>
      <c r="I180" s="2052">
        <v>1</v>
      </c>
      <c r="J180" s="2049">
        <f t="shared" ca="1" si="23"/>
        <v>0</v>
      </c>
      <c r="K180" s="2146">
        <f t="shared" ca="1" si="24"/>
        <v>0</v>
      </c>
      <c r="L180" s="2049">
        <f t="shared" ca="1" si="25"/>
        <v>0</v>
      </c>
      <c r="M180" s="2157">
        <f t="shared" ca="1" si="26"/>
        <v>0</v>
      </c>
      <c r="N180" s="2049">
        <f t="shared" si="27"/>
        <v>0</v>
      </c>
      <c r="O180" s="2157">
        <f t="shared" ca="1" si="28"/>
        <v>0</v>
      </c>
      <c r="P180" s="2049">
        <f t="shared" si="20"/>
        <v>0</v>
      </c>
      <c r="Q180" s="2157">
        <f t="shared" ca="1" si="29"/>
        <v>0</v>
      </c>
    </row>
    <row r="181" spans="1:17" outlineLevel="1">
      <c r="A181" s="1310">
        <f>+SYS_4_3_Digitos!A180</f>
        <v>473</v>
      </c>
      <c r="B181" s="1311" t="str">
        <f>+SYS_4_3_Digitos!B180</f>
        <v>HP RETENCIONES Y PAGOS A CUENTA</v>
      </c>
      <c r="C181" s="1314">
        <f ca="1">+SYS_4_3_Digitos!I180</f>
        <v>0</v>
      </c>
      <c r="D181" s="1315">
        <f ca="1">+SYS_4_3_Digitos!J180</f>
        <v>0</v>
      </c>
      <c r="E181" s="2045" t="s">
        <v>1896</v>
      </c>
      <c r="F181" s="2049">
        <f t="shared" ca="1" si="21"/>
        <v>0</v>
      </c>
      <c r="G181" s="2049">
        <f t="shared" si="22"/>
        <v>0</v>
      </c>
      <c r="H181" s="2051" t="s">
        <v>1896</v>
      </c>
      <c r="I181" s="2052">
        <v>1</v>
      </c>
      <c r="J181" s="2049">
        <f t="shared" ca="1" si="23"/>
        <v>0</v>
      </c>
      <c r="K181" s="2146">
        <f t="shared" ca="1" si="24"/>
        <v>0</v>
      </c>
      <c r="L181" s="2049">
        <f t="shared" ca="1" si="25"/>
        <v>0</v>
      </c>
      <c r="M181" s="2157">
        <f t="shared" ca="1" si="26"/>
        <v>0</v>
      </c>
      <c r="N181" s="2049">
        <f t="shared" si="27"/>
        <v>0</v>
      </c>
      <c r="O181" s="2157">
        <f t="shared" ca="1" si="28"/>
        <v>0</v>
      </c>
      <c r="P181" s="2049">
        <f t="shared" si="20"/>
        <v>0</v>
      </c>
      <c r="Q181" s="2157">
        <f t="shared" ca="1" si="29"/>
        <v>0</v>
      </c>
    </row>
    <row r="182" spans="1:17" outlineLevel="1">
      <c r="A182" s="1310">
        <f>+SYS_4_3_Digitos!A181</f>
        <v>4740</v>
      </c>
      <c r="B182" s="1311" t="str">
        <f>+SYS_4_3_Digitos!B181</f>
        <v>ACTIVOS POR DIFERENCIAS TEMPORALES DEDUCIBLES</v>
      </c>
      <c r="C182" s="1314">
        <f ca="1">+SYS_4_3_Digitos!I181</f>
        <v>2082289.74</v>
      </c>
      <c r="D182" s="1315">
        <f ca="1">+SYS_4_3_Digitos!J181</f>
        <v>0</v>
      </c>
      <c r="E182" s="2045" t="s">
        <v>1896</v>
      </c>
      <c r="F182" s="2049">
        <f t="shared" ca="1" si="21"/>
        <v>2082289.74</v>
      </c>
      <c r="G182" s="2049">
        <f t="shared" si="22"/>
        <v>0</v>
      </c>
      <c r="H182" s="2051" t="s">
        <v>1896</v>
      </c>
      <c r="I182" s="2052">
        <v>1</v>
      </c>
      <c r="J182" s="2049">
        <f t="shared" ca="1" si="23"/>
        <v>2082289.74</v>
      </c>
      <c r="K182" s="2146">
        <f t="shared" ca="1" si="24"/>
        <v>5.909739162588871E-3</v>
      </c>
      <c r="L182" s="2049">
        <f t="shared" ca="1" si="25"/>
        <v>0</v>
      </c>
      <c r="M182" s="2157">
        <f t="shared" ca="1" si="26"/>
        <v>0</v>
      </c>
      <c r="N182" s="2049">
        <f t="shared" si="27"/>
        <v>0</v>
      </c>
      <c r="O182" s="2157">
        <f t="shared" ca="1" si="28"/>
        <v>0</v>
      </c>
      <c r="P182" s="2049">
        <f t="shared" si="20"/>
        <v>0</v>
      </c>
      <c r="Q182" s="2157">
        <f t="shared" ca="1" si="29"/>
        <v>0</v>
      </c>
    </row>
    <row r="183" spans="1:17" outlineLevel="1">
      <c r="A183" s="1310">
        <f>+SYS_4_3_Digitos!A182</f>
        <v>4742</v>
      </c>
      <c r="B183" s="1311" t="str">
        <f>+SYS_4_3_Digitos!B182</f>
        <v>DERECHOS POR DEDUCCIONES Y BONIF. PTES DE APLICAR</v>
      </c>
      <c r="C183" s="1314">
        <f ca="1">+SYS_4_3_Digitos!I182</f>
        <v>211328.52000000008</v>
      </c>
      <c r="D183" s="1315">
        <f ca="1">+SYS_4_3_Digitos!J182</f>
        <v>0</v>
      </c>
      <c r="E183" s="2045" t="s">
        <v>1896</v>
      </c>
      <c r="F183" s="2049">
        <f t="shared" ca="1" si="21"/>
        <v>211328.52000000008</v>
      </c>
      <c r="G183" s="2049">
        <f t="shared" si="22"/>
        <v>0</v>
      </c>
      <c r="H183" s="2051" t="s">
        <v>1896</v>
      </c>
      <c r="I183" s="2052">
        <v>1</v>
      </c>
      <c r="J183" s="2049">
        <f t="shared" ca="1" si="23"/>
        <v>211328.52000000008</v>
      </c>
      <c r="K183" s="2146">
        <f t="shared" ca="1" si="24"/>
        <v>5.9977072682303374E-4</v>
      </c>
      <c r="L183" s="2049">
        <f t="shared" ca="1" si="25"/>
        <v>0</v>
      </c>
      <c r="M183" s="2157">
        <f t="shared" ca="1" si="26"/>
        <v>0</v>
      </c>
      <c r="N183" s="2049">
        <f t="shared" si="27"/>
        <v>0</v>
      </c>
      <c r="O183" s="2157">
        <f t="shared" ca="1" si="28"/>
        <v>0</v>
      </c>
      <c r="P183" s="2049">
        <f t="shared" si="20"/>
        <v>0</v>
      </c>
      <c r="Q183" s="2157">
        <f t="shared" ca="1" si="29"/>
        <v>0</v>
      </c>
    </row>
    <row r="184" spans="1:17" outlineLevel="1">
      <c r="A184" s="1310">
        <f>+SYS_4_3_Digitos!A183</f>
        <v>4745</v>
      </c>
      <c r="B184" s="1311" t="str">
        <f>+SYS_4_3_Digitos!B183</f>
        <v>CRÉDITO POR PÉRDIDAS A COMPENSAR DEL EJERCICIO</v>
      </c>
      <c r="C184" s="1314">
        <f ca="1">+SYS_4_3_Digitos!I183</f>
        <v>0</v>
      </c>
      <c r="D184" s="1315">
        <f ca="1">+SYS_4_3_Digitos!J183</f>
        <v>0</v>
      </c>
      <c r="E184" s="2045" t="s">
        <v>1896</v>
      </c>
      <c r="F184" s="2049">
        <f t="shared" ca="1" si="21"/>
        <v>0</v>
      </c>
      <c r="G184" s="2049">
        <f t="shared" si="22"/>
        <v>0</v>
      </c>
      <c r="H184" s="2051" t="s">
        <v>1896</v>
      </c>
      <c r="I184" s="2052">
        <v>1</v>
      </c>
      <c r="J184" s="2049">
        <f t="shared" ca="1" si="23"/>
        <v>0</v>
      </c>
      <c r="K184" s="2146">
        <f t="shared" ca="1" si="24"/>
        <v>0</v>
      </c>
      <c r="L184" s="2049">
        <f t="shared" ca="1" si="25"/>
        <v>0</v>
      </c>
      <c r="M184" s="2157">
        <f t="shared" ca="1" si="26"/>
        <v>0</v>
      </c>
      <c r="N184" s="2049">
        <f t="shared" si="27"/>
        <v>0</v>
      </c>
      <c r="O184" s="2157">
        <f t="shared" ca="1" si="28"/>
        <v>0</v>
      </c>
      <c r="P184" s="2049">
        <f t="shared" si="20"/>
        <v>0</v>
      </c>
      <c r="Q184" s="2157">
        <f t="shared" ca="1" si="29"/>
        <v>0</v>
      </c>
    </row>
    <row r="185" spans="1:17" outlineLevel="1">
      <c r="A185" s="1310">
        <f>+SYS_4_3_Digitos!A184</f>
        <v>4750</v>
      </c>
      <c r="B185" s="1311" t="str">
        <f>+SYS_4_3_Digitos!B184</f>
        <v>HP ACREEDORA POR IVA</v>
      </c>
      <c r="C185" s="1314">
        <f ca="1">+SYS_4_3_Digitos!I184</f>
        <v>0</v>
      </c>
      <c r="D185" s="1315">
        <f ca="1">+SYS_4_3_Digitos!J184</f>
        <v>674546.61</v>
      </c>
      <c r="E185" s="2045" t="s">
        <v>1895</v>
      </c>
      <c r="F185" s="2049">
        <f t="shared" si="21"/>
        <v>0</v>
      </c>
      <c r="G185" s="2049">
        <f t="shared" ca="1" si="22"/>
        <v>674546.61</v>
      </c>
      <c r="H185" s="2051" t="s">
        <v>1896</v>
      </c>
      <c r="I185" s="2052">
        <v>1</v>
      </c>
      <c r="J185" s="2049">
        <f t="shared" si="23"/>
        <v>0</v>
      </c>
      <c r="K185" s="2146">
        <f t="shared" ca="1" si="24"/>
        <v>0</v>
      </c>
      <c r="L185" s="2049">
        <f t="shared" si="25"/>
        <v>0</v>
      </c>
      <c r="M185" s="2157">
        <f t="shared" ca="1" si="26"/>
        <v>0</v>
      </c>
      <c r="N185" s="2049">
        <f t="shared" ca="1" si="27"/>
        <v>674546.61</v>
      </c>
      <c r="O185" s="2157">
        <f t="shared" ca="1" si="28"/>
        <v>1.9144283533321163E-3</v>
      </c>
      <c r="P185" s="2049">
        <f t="shared" ca="1" si="20"/>
        <v>0</v>
      </c>
      <c r="Q185" s="2157">
        <f t="shared" ca="1" si="29"/>
        <v>0</v>
      </c>
    </row>
    <row r="186" spans="1:17" outlineLevel="1">
      <c r="A186" s="1310">
        <f>+SYS_4_3_Digitos!A185</f>
        <v>4751</v>
      </c>
      <c r="B186" s="1311" t="str">
        <f>+SYS_4_3_Digitos!B185</f>
        <v>HP ACREEDORA POR RETENCIONES PRACTICADAS</v>
      </c>
      <c r="C186" s="1314">
        <f ca="1">+SYS_4_3_Digitos!I185</f>
        <v>0</v>
      </c>
      <c r="D186" s="1315">
        <f ca="1">+SYS_4_3_Digitos!J185</f>
        <v>170101.03999999998</v>
      </c>
      <c r="E186" s="2045" t="s">
        <v>1895</v>
      </c>
      <c r="F186" s="2049">
        <f t="shared" si="21"/>
        <v>0</v>
      </c>
      <c r="G186" s="2049">
        <f t="shared" ca="1" si="22"/>
        <v>170101.03999999998</v>
      </c>
      <c r="H186" s="2051" t="s">
        <v>1896</v>
      </c>
      <c r="I186" s="2052">
        <v>1</v>
      </c>
      <c r="J186" s="2049">
        <f t="shared" si="23"/>
        <v>0</v>
      </c>
      <c r="K186" s="2146">
        <f t="shared" ca="1" si="24"/>
        <v>0</v>
      </c>
      <c r="L186" s="2049">
        <f t="shared" si="25"/>
        <v>0</v>
      </c>
      <c r="M186" s="2157">
        <f t="shared" ca="1" si="26"/>
        <v>0</v>
      </c>
      <c r="N186" s="2049">
        <f t="shared" ca="1" si="27"/>
        <v>170101.03999999998</v>
      </c>
      <c r="O186" s="2157">
        <f t="shared" ca="1" si="28"/>
        <v>4.8276316132888193E-4</v>
      </c>
      <c r="P186" s="2049">
        <f t="shared" ca="1" si="20"/>
        <v>0</v>
      </c>
      <c r="Q186" s="2157">
        <f t="shared" ca="1" si="29"/>
        <v>0</v>
      </c>
    </row>
    <row r="187" spans="1:17" outlineLevel="1">
      <c r="A187" s="1310">
        <f>+SYS_4_3_Digitos!A186</f>
        <v>4752</v>
      </c>
      <c r="B187" s="1311" t="str">
        <f>+SYS_4_3_Digitos!B186</f>
        <v>HP ACREEDORA POR IS</v>
      </c>
      <c r="C187" s="1314">
        <f ca="1">+SYS_4_3_Digitos!I186</f>
        <v>0</v>
      </c>
      <c r="D187" s="1315">
        <f ca="1">+SYS_4_3_Digitos!J186</f>
        <v>0</v>
      </c>
      <c r="E187" s="2045" t="s">
        <v>1895</v>
      </c>
      <c r="F187" s="2049">
        <f t="shared" si="21"/>
        <v>0</v>
      </c>
      <c r="G187" s="2049">
        <f t="shared" ca="1" si="22"/>
        <v>0</v>
      </c>
      <c r="H187" s="2051" t="s">
        <v>1896</v>
      </c>
      <c r="I187" s="2052">
        <v>1</v>
      </c>
      <c r="J187" s="2049">
        <f t="shared" si="23"/>
        <v>0</v>
      </c>
      <c r="K187" s="2146">
        <f t="shared" ca="1" si="24"/>
        <v>0</v>
      </c>
      <c r="L187" s="2049">
        <f t="shared" si="25"/>
        <v>0</v>
      </c>
      <c r="M187" s="2157">
        <f t="shared" ca="1" si="26"/>
        <v>0</v>
      </c>
      <c r="N187" s="2049">
        <f t="shared" ca="1" si="27"/>
        <v>0</v>
      </c>
      <c r="O187" s="2157">
        <f t="shared" ca="1" si="28"/>
        <v>0</v>
      </c>
      <c r="P187" s="2049">
        <f t="shared" ca="1" si="20"/>
        <v>0</v>
      </c>
      <c r="Q187" s="2157">
        <f t="shared" ca="1" si="29"/>
        <v>0</v>
      </c>
    </row>
    <row r="188" spans="1:17" outlineLevel="1">
      <c r="A188" s="1310">
        <f>+SYS_4_3_Digitos!A187</f>
        <v>4758</v>
      </c>
      <c r="B188" s="1311" t="str">
        <f>+SYS_4_3_Digitos!B187</f>
        <v>HP ACREEDORA POR SUBVENCIONES A REINTEGRAR</v>
      </c>
      <c r="C188" s="1314">
        <f ca="1">+SYS_4_3_Digitos!I187</f>
        <v>0</v>
      </c>
      <c r="D188" s="1315">
        <f ca="1">+SYS_4_3_Digitos!J187</f>
        <v>0</v>
      </c>
      <c r="E188" s="2045" t="s">
        <v>1895</v>
      </c>
      <c r="F188" s="2049">
        <f t="shared" si="21"/>
        <v>0</v>
      </c>
      <c r="G188" s="2049">
        <f t="shared" ca="1" si="22"/>
        <v>0</v>
      </c>
      <c r="H188" s="2051" t="s">
        <v>1896</v>
      </c>
      <c r="I188" s="2052">
        <v>1</v>
      </c>
      <c r="J188" s="2049">
        <f t="shared" si="23"/>
        <v>0</v>
      </c>
      <c r="K188" s="2146">
        <f t="shared" ca="1" si="24"/>
        <v>0</v>
      </c>
      <c r="L188" s="2049">
        <f t="shared" si="25"/>
        <v>0</v>
      </c>
      <c r="M188" s="2157">
        <f t="shared" ca="1" si="26"/>
        <v>0</v>
      </c>
      <c r="N188" s="2049">
        <f t="shared" ca="1" si="27"/>
        <v>0</v>
      </c>
      <c r="O188" s="2157">
        <f t="shared" ca="1" si="28"/>
        <v>0</v>
      </c>
      <c r="P188" s="2049">
        <f t="shared" ca="1" si="20"/>
        <v>0</v>
      </c>
      <c r="Q188" s="2157">
        <f t="shared" ca="1" si="29"/>
        <v>0</v>
      </c>
    </row>
    <row r="189" spans="1:17" outlineLevel="1">
      <c r="A189" s="1310">
        <f>+SYS_4_3_Digitos!A188</f>
        <v>476</v>
      </c>
      <c r="B189" s="1311" t="str">
        <f>+SYS_4_3_Digitos!B188</f>
        <v>ORGANISMOS DE LA SEG. SOC. ACREEDORES</v>
      </c>
      <c r="C189" s="1314">
        <f ca="1">+SYS_4_3_Digitos!I188</f>
        <v>0</v>
      </c>
      <c r="D189" s="1315">
        <f ca="1">+SYS_4_3_Digitos!J188</f>
        <v>52069.54</v>
      </c>
      <c r="E189" s="2045" t="s">
        <v>1895</v>
      </c>
      <c r="F189" s="2049">
        <f t="shared" si="21"/>
        <v>0</v>
      </c>
      <c r="G189" s="2049">
        <f t="shared" ca="1" si="22"/>
        <v>52069.54</v>
      </c>
      <c r="H189" s="2051" t="s">
        <v>1896</v>
      </c>
      <c r="I189" s="2052">
        <v>1</v>
      </c>
      <c r="J189" s="2049">
        <f t="shared" si="23"/>
        <v>0</v>
      </c>
      <c r="K189" s="2146">
        <f t="shared" ca="1" si="24"/>
        <v>0</v>
      </c>
      <c r="L189" s="2049">
        <f t="shared" si="25"/>
        <v>0</v>
      </c>
      <c r="M189" s="2157">
        <f t="shared" ca="1" si="26"/>
        <v>0</v>
      </c>
      <c r="N189" s="2049">
        <f t="shared" ca="1" si="27"/>
        <v>52069.54</v>
      </c>
      <c r="O189" s="2157">
        <f t="shared" ca="1" si="28"/>
        <v>1.4777837771797676E-4</v>
      </c>
      <c r="P189" s="2049">
        <f t="shared" ca="1" si="20"/>
        <v>0</v>
      </c>
      <c r="Q189" s="2157">
        <f t="shared" ca="1" si="29"/>
        <v>0</v>
      </c>
    </row>
    <row r="190" spans="1:17" outlineLevel="1">
      <c r="A190" s="1310">
        <f>+SYS_4_3_Digitos!A189</f>
        <v>477</v>
      </c>
      <c r="B190" s="1311" t="str">
        <f>+SYS_4_3_Digitos!B189</f>
        <v>HP IVA REPERCUTIDO</v>
      </c>
      <c r="C190" s="1314">
        <f ca="1">+SYS_4_3_Digitos!I189</f>
        <v>0</v>
      </c>
      <c r="D190" s="1315">
        <f ca="1">+SYS_4_3_Digitos!J189</f>
        <v>0</v>
      </c>
      <c r="E190" s="2045" t="s">
        <v>1895</v>
      </c>
      <c r="F190" s="2049">
        <f t="shared" si="21"/>
        <v>0</v>
      </c>
      <c r="G190" s="2049">
        <f t="shared" ca="1" si="22"/>
        <v>0</v>
      </c>
      <c r="H190" s="2051" t="s">
        <v>1896</v>
      </c>
      <c r="I190" s="2052">
        <v>1</v>
      </c>
      <c r="J190" s="2049">
        <f t="shared" si="23"/>
        <v>0</v>
      </c>
      <c r="K190" s="2146">
        <f t="shared" ca="1" si="24"/>
        <v>0</v>
      </c>
      <c r="L190" s="2049">
        <f t="shared" si="25"/>
        <v>0</v>
      </c>
      <c r="M190" s="2157">
        <f t="shared" ca="1" si="26"/>
        <v>0</v>
      </c>
      <c r="N190" s="2049">
        <f t="shared" ca="1" si="27"/>
        <v>0</v>
      </c>
      <c r="O190" s="2157">
        <f t="shared" ca="1" si="28"/>
        <v>0</v>
      </c>
      <c r="P190" s="2049">
        <f t="shared" ca="1" si="20"/>
        <v>0</v>
      </c>
      <c r="Q190" s="2157">
        <f t="shared" ca="1" si="29"/>
        <v>0</v>
      </c>
    </row>
    <row r="191" spans="1:17" outlineLevel="1">
      <c r="A191" s="1310">
        <f>+SYS_4_3_Digitos!A190</f>
        <v>479</v>
      </c>
      <c r="B191" s="1311" t="str">
        <f>+SYS_4_3_Digitos!B190</f>
        <v>PASIVOS POR DIFERENCIAS TEMPORARIAS IMPONIBLES</v>
      </c>
      <c r="C191" s="1314">
        <f ca="1">+SYS_4_3_Digitos!I190</f>
        <v>0</v>
      </c>
      <c r="D191" s="1315">
        <f ca="1">+SYS_4_3_Digitos!J190</f>
        <v>9998511.5600000005</v>
      </c>
      <c r="E191" s="2045" t="s">
        <v>1895</v>
      </c>
      <c r="F191" s="2049">
        <f t="shared" si="21"/>
        <v>0</v>
      </c>
      <c r="G191" s="2049">
        <f t="shared" ca="1" si="22"/>
        <v>9998511.5600000005</v>
      </c>
      <c r="H191" s="2051" t="s">
        <v>1896</v>
      </c>
      <c r="I191" s="2052">
        <v>1</v>
      </c>
      <c r="J191" s="2049">
        <f t="shared" si="23"/>
        <v>0</v>
      </c>
      <c r="K191" s="2146">
        <f t="shared" ca="1" si="24"/>
        <v>0</v>
      </c>
      <c r="L191" s="2049">
        <f t="shared" si="25"/>
        <v>0</v>
      </c>
      <c r="M191" s="2157">
        <f t="shared" ca="1" si="26"/>
        <v>0</v>
      </c>
      <c r="N191" s="2049">
        <f t="shared" ca="1" si="27"/>
        <v>9998511.5600000005</v>
      </c>
      <c r="O191" s="2157">
        <f t="shared" ca="1" si="28"/>
        <v>2.8376740373186268E-2</v>
      </c>
      <c r="P191" s="2049">
        <f t="shared" ca="1" si="20"/>
        <v>0</v>
      </c>
      <c r="Q191" s="2157">
        <f t="shared" ca="1" si="29"/>
        <v>0</v>
      </c>
    </row>
    <row r="192" spans="1:17" outlineLevel="1">
      <c r="A192" s="1310">
        <f>+SYS_4_3_Digitos!A191</f>
        <v>480</v>
      </c>
      <c r="B192" s="1311" t="str">
        <f>+SYS_4_3_Digitos!B191</f>
        <v>GASTOS ANTICIPADOS</v>
      </c>
      <c r="C192" s="1314">
        <f ca="1">+SYS_4_3_Digitos!I191</f>
        <v>18505.640000000003</v>
      </c>
      <c r="D192" s="1315">
        <f ca="1">+SYS_4_3_Digitos!J191</f>
        <v>0</v>
      </c>
      <c r="E192" s="2045" t="s">
        <v>1896</v>
      </c>
      <c r="F192" s="2049">
        <f t="shared" ca="1" si="21"/>
        <v>18505.640000000003</v>
      </c>
      <c r="G192" s="2049">
        <f t="shared" si="22"/>
        <v>0</v>
      </c>
      <c r="H192" s="2051" t="s">
        <v>1896</v>
      </c>
      <c r="I192" s="2052">
        <v>1</v>
      </c>
      <c r="J192" s="2049">
        <f t="shared" ca="1" si="23"/>
        <v>18505.640000000003</v>
      </c>
      <c r="K192" s="2146">
        <f t="shared" ca="1" si="24"/>
        <v>5.2520791576666531E-5</v>
      </c>
      <c r="L192" s="2049">
        <f t="shared" ca="1" si="25"/>
        <v>0</v>
      </c>
      <c r="M192" s="2157">
        <f t="shared" ca="1" si="26"/>
        <v>0</v>
      </c>
      <c r="N192" s="2049">
        <f t="shared" si="27"/>
        <v>0</v>
      </c>
      <c r="O192" s="2157">
        <f t="shared" ca="1" si="28"/>
        <v>0</v>
      </c>
      <c r="P192" s="2049">
        <f t="shared" si="20"/>
        <v>0</v>
      </c>
      <c r="Q192" s="2157">
        <f t="shared" ca="1" si="29"/>
        <v>0</v>
      </c>
    </row>
    <row r="193" spans="1:17" outlineLevel="1">
      <c r="A193" s="1310">
        <f>+SYS_4_3_Digitos!A192</f>
        <v>485</v>
      </c>
      <c r="B193" s="1311" t="str">
        <f>+SYS_4_3_Digitos!B192</f>
        <v>INGRESOS ANTICIPADOS</v>
      </c>
      <c r="C193" s="1314">
        <f ca="1">+SYS_4_3_Digitos!I192</f>
        <v>0</v>
      </c>
      <c r="D193" s="1315">
        <f ca="1">+SYS_4_3_Digitos!J192</f>
        <v>0</v>
      </c>
      <c r="E193" s="2045" t="s">
        <v>1895</v>
      </c>
      <c r="F193" s="2049">
        <f t="shared" si="21"/>
        <v>0</v>
      </c>
      <c r="G193" s="2049">
        <f t="shared" ca="1" si="22"/>
        <v>0</v>
      </c>
      <c r="H193" s="2051" t="s">
        <v>1896</v>
      </c>
      <c r="I193" s="2052">
        <v>1</v>
      </c>
      <c r="J193" s="2049">
        <f t="shared" si="23"/>
        <v>0</v>
      </c>
      <c r="K193" s="2146">
        <f t="shared" ca="1" si="24"/>
        <v>0</v>
      </c>
      <c r="L193" s="2049">
        <f t="shared" si="25"/>
        <v>0</v>
      </c>
      <c r="M193" s="2157">
        <f t="shared" ca="1" si="26"/>
        <v>0</v>
      </c>
      <c r="N193" s="2049">
        <f t="shared" ca="1" si="27"/>
        <v>0</v>
      </c>
      <c r="O193" s="2157">
        <f t="shared" ca="1" si="28"/>
        <v>0</v>
      </c>
      <c r="P193" s="2049">
        <f t="shared" ca="1" si="20"/>
        <v>0</v>
      </c>
      <c r="Q193" s="2157">
        <f t="shared" ca="1" si="29"/>
        <v>0</v>
      </c>
    </row>
    <row r="194" spans="1:17" outlineLevel="1">
      <c r="A194" s="1310">
        <f>+SYS_4_3_Digitos!A193</f>
        <v>490</v>
      </c>
      <c r="B194" s="1311" t="str">
        <f>+SYS_4_3_Digitos!B193</f>
        <v>DETERIORO DE VALOR DE CRÉDITOS POR OP COMERCIALES</v>
      </c>
      <c r="C194" s="1314">
        <f ca="1">+SYS_4_3_Digitos!I193</f>
        <v>0</v>
      </c>
      <c r="D194" s="1315">
        <f ca="1">+SYS_4_3_Digitos!J193</f>
        <v>110160</v>
      </c>
      <c r="E194" s="2045" t="s">
        <v>1896</v>
      </c>
      <c r="F194" s="2049">
        <f t="shared" ca="1" si="21"/>
        <v>-110160</v>
      </c>
      <c r="G194" s="2049">
        <f t="shared" si="22"/>
        <v>0</v>
      </c>
      <c r="H194" s="2051" t="s">
        <v>1896</v>
      </c>
      <c r="I194" s="2052">
        <v>1</v>
      </c>
      <c r="J194" s="2049">
        <f t="shared" ca="1" si="23"/>
        <v>-110160</v>
      </c>
      <c r="K194" s="2146">
        <f t="shared" ca="1" si="24"/>
        <v>-3.1264470723982443E-4</v>
      </c>
      <c r="L194" s="2049">
        <f t="shared" ca="1" si="25"/>
        <v>0</v>
      </c>
      <c r="M194" s="2157">
        <f t="shared" ca="1" si="26"/>
        <v>0</v>
      </c>
      <c r="N194" s="2049">
        <f t="shared" si="27"/>
        <v>0</v>
      </c>
      <c r="O194" s="2157">
        <f t="shared" ca="1" si="28"/>
        <v>0</v>
      </c>
      <c r="P194" s="2049">
        <f t="shared" si="20"/>
        <v>0</v>
      </c>
      <c r="Q194" s="2157">
        <f t="shared" ca="1" si="29"/>
        <v>0</v>
      </c>
    </row>
    <row r="195" spans="1:17" outlineLevel="1">
      <c r="A195" s="1310">
        <f>+SYS_4_3_Digitos!A194</f>
        <v>50</v>
      </c>
      <c r="B195" s="1311" t="str">
        <f>+SYS_4_3_Digitos!B194</f>
        <v>EMPRÉSTITOS DEUDAS CON CARAT. ESP. Y OTRAS A CP</v>
      </c>
      <c r="C195" s="1314">
        <f ca="1">+SYS_4_3_Digitos!I194</f>
        <v>0</v>
      </c>
      <c r="D195" s="1315">
        <f ca="1">+SYS_4_3_Digitos!J194</f>
        <v>0</v>
      </c>
      <c r="E195" s="2045" t="s">
        <v>1895</v>
      </c>
      <c r="F195" s="2049">
        <f t="shared" si="21"/>
        <v>0</v>
      </c>
      <c r="G195" s="2049">
        <f t="shared" ca="1" si="22"/>
        <v>0</v>
      </c>
      <c r="H195" s="2051" t="s">
        <v>1896</v>
      </c>
      <c r="I195" s="2052">
        <v>1</v>
      </c>
      <c r="J195" s="2049">
        <f t="shared" si="23"/>
        <v>0</v>
      </c>
      <c r="K195" s="2146">
        <f t="shared" ca="1" si="24"/>
        <v>0</v>
      </c>
      <c r="L195" s="2049">
        <f t="shared" si="25"/>
        <v>0</v>
      </c>
      <c r="M195" s="2157">
        <f t="shared" ca="1" si="26"/>
        <v>0</v>
      </c>
      <c r="N195" s="2049">
        <f t="shared" ca="1" si="27"/>
        <v>0</v>
      </c>
      <c r="O195" s="2157">
        <f t="shared" ca="1" si="28"/>
        <v>0</v>
      </c>
      <c r="P195" s="2049">
        <f t="shared" ca="1" si="20"/>
        <v>0</v>
      </c>
      <c r="Q195" s="2157">
        <f t="shared" ca="1" si="29"/>
        <v>0</v>
      </c>
    </row>
    <row r="196" spans="1:17" outlineLevel="1">
      <c r="A196" s="1318">
        <f>+SYS_4_3_Digitos!A195</f>
        <v>5133</v>
      </c>
      <c r="B196" s="1319" t="str">
        <f>+SYS_4_3_Digitos!B195</f>
        <v>OTRAS DEUDAS A CP CON EMPRESAS DEL GRUPO</v>
      </c>
      <c r="C196" s="1322">
        <f ca="1">+SYS_4_3_Digitos!I195</f>
        <v>0</v>
      </c>
      <c r="D196" s="1323">
        <f ca="1">+SYS_4_3_Digitos!J195</f>
        <v>0</v>
      </c>
      <c r="E196" s="2046" t="s">
        <v>1895</v>
      </c>
      <c r="F196" s="2049">
        <f t="shared" si="21"/>
        <v>0</v>
      </c>
      <c r="G196" s="2049">
        <f t="shared" ca="1" si="22"/>
        <v>0</v>
      </c>
      <c r="H196" s="2051" t="s">
        <v>1896</v>
      </c>
      <c r="I196" s="2052">
        <v>1</v>
      </c>
      <c r="J196" s="2049">
        <f t="shared" si="23"/>
        <v>0</v>
      </c>
      <c r="K196" s="2146">
        <f t="shared" ca="1" si="24"/>
        <v>0</v>
      </c>
      <c r="L196" s="2049">
        <f t="shared" si="25"/>
        <v>0</v>
      </c>
      <c r="M196" s="2157">
        <f t="shared" ca="1" si="26"/>
        <v>0</v>
      </c>
      <c r="N196" s="2049">
        <f t="shared" ca="1" si="27"/>
        <v>0</v>
      </c>
      <c r="O196" s="2157">
        <f t="shared" ca="1" si="28"/>
        <v>0</v>
      </c>
      <c r="P196" s="2049">
        <f t="shared" ca="1" si="20"/>
        <v>0</v>
      </c>
      <c r="Q196" s="2157">
        <f t="shared" ca="1" si="29"/>
        <v>0</v>
      </c>
    </row>
    <row r="197" spans="1:17" outlineLevel="1">
      <c r="A197" s="1318">
        <f>+SYS_4_3_Digitos!A196</f>
        <v>5134</v>
      </c>
      <c r="B197" s="1319" t="str">
        <f>+SYS_4_3_Digitos!B196</f>
        <v>OTRAS DEUDAS A CP CON EMPRESAS ASOCIADAS</v>
      </c>
      <c r="C197" s="1322">
        <f ca="1">+SYS_4_3_Digitos!I196</f>
        <v>0</v>
      </c>
      <c r="D197" s="1323">
        <f ca="1">+SYS_4_3_Digitos!J196</f>
        <v>0</v>
      </c>
      <c r="E197" s="2046" t="s">
        <v>1895</v>
      </c>
      <c r="F197" s="2049">
        <f t="shared" si="21"/>
        <v>0</v>
      </c>
      <c r="G197" s="2049">
        <f t="shared" ca="1" si="22"/>
        <v>0</v>
      </c>
      <c r="H197" s="2051" t="s">
        <v>1896</v>
      </c>
      <c r="I197" s="2052">
        <v>1</v>
      </c>
      <c r="J197" s="2049">
        <f t="shared" si="23"/>
        <v>0</v>
      </c>
      <c r="K197" s="2146">
        <f t="shared" ca="1" si="24"/>
        <v>0</v>
      </c>
      <c r="L197" s="2049">
        <f t="shared" si="25"/>
        <v>0</v>
      </c>
      <c r="M197" s="2157">
        <f t="shared" ca="1" si="26"/>
        <v>0</v>
      </c>
      <c r="N197" s="2049">
        <f t="shared" ca="1" si="27"/>
        <v>0</v>
      </c>
      <c r="O197" s="2157">
        <f t="shared" ca="1" si="28"/>
        <v>0</v>
      </c>
      <c r="P197" s="2049">
        <f t="shared" ca="1" si="20"/>
        <v>0</v>
      </c>
      <c r="Q197" s="2157">
        <f t="shared" ca="1" si="29"/>
        <v>0</v>
      </c>
    </row>
    <row r="198" spans="1:17" outlineLevel="1">
      <c r="A198" s="1318">
        <f>+SYS_4_3_Digitos!A197</f>
        <v>5135</v>
      </c>
      <c r="B198" s="1319" t="str">
        <f>+SYS_4_3_Digitos!B197</f>
        <v>OTRAS DEUDAS A CP CON OTRAS PARTES VINCULADAS</v>
      </c>
      <c r="C198" s="1322">
        <f ca="1">+SYS_4_3_Digitos!I197</f>
        <v>0</v>
      </c>
      <c r="D198" s="1323">
        <f ca="1">+SYS_4_3_Digitos!J197</f>
        <v>0</v>
      </c>
      <c r="E198" s="2046" t="s">
        <v>1895</v>
      </c>
      <c r="F198" s="2049">
        <f t="shared" si="21"/>
        <v>0</v>
      </c>
      <c r="G198" s="2049">
        <f t="shared" ca="1" si="22"/>
        <v>0</v>
      </c>
      <c r="H198" s="2051" t="s">
        <v>1896</v>
      </c>
      <c r="I198" s="2052">
        <v>1</v>
      </c>
      <c r="J198" s="2049">
        <f t="shared" si="23"/>
        <v>0</v>
      </c>
      <c r="K198" s="2146">
        <f t="shared" ca="1" si="24"/>
        <v>0</v>
      </c>
      <c r="L198" s="2049">
        <f t="shared" si="25"/>
        <v>0</v>
      </c>
      <c r="M198" s="2157">
        <f t="shared" ca="1" si="26"/>
        <v>0</v>
      </c>
      <c r="N198" s="2049">
        <f t="shared" ca="1" si="27"/>
        <v>0</v>
      </c>
      <c r="O198" s="2157">
        <f t="shared" ca="1" si="28"/>
        <v>0</v>
      </c>
      <c r="P198" s="2049">
        <f t="shared" ca="1" si="20"/>
        <v>0</v>
      </c>
      <c r="Q198" s="2157">
        <f t="shared" ca="1" si="29"/>
        <v>0</v>
      </c>
    </row>
    <row r="199" spans="1:17" outlineLevel="1">
      <c r="A199" s="1318">
        <f>+SYS_4_3_Digitos!A198</f>
        <v>5145</v>
      </c>
      <c r="B199" s="1319" t="str">
        <f>+SYS_4_3_Digitos!B198</f>
        <v>INTERESES A CP DE DEUDAS CON PARTES VINCULADAS</v>
      </c>
      <c r="C199" s="1322">
        <f ca="1">+SYS_4_3_Digitos!I198</f>
        <v>0</v>
      </c>
      <c r="D199" s="1323">
        <f ca="1">+SYS_4_3_Digitos!J198</f>
        <v>0</v>
      </c>
      <c r="E199" s="2046" t="s">
        <v>1895</v>
      </c>
      <c r="F199" s="2049">
        <f t="shared" si="21"/>
        <v>0</v>
      </c>
      <c r="G199" s="2049">
        <f t="shared" ca="1" si="22"/>
        <v>0</v>
      </c>
      <c r="H199" s="2051" t="s">
        <v>1896</v>
      </c>
      <c r="I199" s="2052">
        <v>1</v>
      </c>
      <c r="J199" s="2049">
        <f t="shared" si="23"/>
        <v>0</v>
      </c>
      <c r="K199" s="2146">
        <f t="shared" ca="1" si="24"/>
        <v>0</v>
      </c>
      <c r="L199" s="2049">
        <f t="shared" si="25"/>
        <v>0</v>
      </c>
      <c r="M199" s="2157">
        <f t="shared" ca="1" si="26"/>
        <v>0</v>
      </c>
      <c r="N199" s="2049">
        <f t="shared" ca="1" si="27"/>
        <v>0</v>
      </c>
      <c r="O199" s="2157">
        <f t="shared" ca="1" si="28"/>
        <v>0</v>
      </c>
      <c r="P199" s="2049">
        <f t="shared" ref="P199:P264" ca="1" si="30">+G199-N199</f>
        <v>0</v>
      </c>
      <c r="Q199" s="2157">
        <f t="shared" ca="1" si="29"/>
        <v>0</v>
      </c>
    </row>
    <row r="200" spans="1:17" outlineLevel="1">
      <c r="A200" s="1310">
        <f>+SYS_4_3_Digitos!A199</f>
        <v>520</v>
      </c>
      <c r="B200" s="1311" t="str">
        <f>+SYS_4_3_Digitos!B199</f>
        <v>DEUDAS A CP CON ENTIDADES DE CRÉDITO</v>
      </c>
      <c r="C200" s="1314">
        <f ca="1">+SYS_4_3_Digitos!I199</f>
        <v>0</v>
      </c>
      <c r="D200" s="1315">
        <f ca="1">+SYS_4_3_Digitos!J199</f>
        <v>0</v>
      </c>
      <c r="E200" s="2045" t="s">
        <v>1895</v>
      </c>
      <c r="F200" s="2049">
        <f t="shared" ref="F200:F263" si="31">IF(E200="A",C200-D200,0)</f>
        <v>0</v>
      </c>
      <c r="G200" s="2049">
        <f t="shared" ref="G200:G263" ca="1" si="32">IF(E200="P",D200-C200,0)</f>
        <v>0</v>
      </c>
      <c r="H200" s="2051" t="s">
        <v>1896</v>
      </c>
      <c r="I200" s="2052">
        <v>1</v>
      </c>
      <c r="J200" s="2049">
        <f t="shared" ref="J200:J263" si="33">IF(H200="A",F200*I200,0)</f>
        <v>0</v>
      </c>
      <c r="K200" s="2146">
        <f t="shared" ref="K200:K263" ca="1" si="34">+J200/$F$397</f>
        <v>0</v>
      </c>
      <c r="L200" s="2049">
        <f t="shared" ref="L200:L263" si="35">+F200-J200</f>
        <v>0</v>
      </c>
      <c r="M200" s="2157">
        <f t="shared" ref="M200:M263" ca="1" si="36">+L200/$F$397</f>
        <v>0</v>
      </c>
      <c r="N200" s="2049">
        <f t="shared" ref="N200:N263" ca="1" si="37">IF(H200="A",G200*I200,0)</f>
        <v>0</v>
      </c>
      <c r="O200" s="2157">
        <f t="shared" ref="O200:O263" ca="1" si="38">+N200/$G$397</f>
        <v>0</v>
      </c>
      <c r="P200" s="2049">
        <f t="shared" ca="1" si="30"/>
        <v>0</v>
      </c>
      <c r="Q200" s="2157">
        <f t="shared" ref="Q200:Q263" ca="1" si="39">+P200/$G$397</f>
        <v>0</v>
      </c>
    </row>
    <row r="201" spans="1:17" outlineLevel="1">
      <c r="A201" s="1310">
        <f>+SYS_4_3_Digitos!A200</f>
        <v>521</v>
      </c>
      <c r="B201" s="1311" t="str">
        <f>+SYS_4_3_Digitos!B200</f>
        <v>DEUDAS A CP</v>
      </c>
      <c r="C201" s="1314">
        <f ca="1">+SYS_4_3_Digitos!I200</f>
        <v>0</v>
      </c>
      <c r="D201" s="1315">
        <f ca="1">+SYS_4_3_Digitos!J200</f>
        <v>652.07000000000005</v>
      </c>
      <c r="E201" s="2045" t="s">
        <v>1895</v>
      </c>
      <c r="F201" s="2049">
        <f t="shared" si="31"/>
        <v>0</v>
      </c>
      <c r="G201" s="2049">
        <f t="shared" ca="1" si="32"/>
        <v>652.07000000000005</v>
      </c>
      <c r="H201" s="2051" t="s">
        <v>1896</v>
      </c>
      <c r="I201" s="2052">
        <v>1</v>
      </c>
      <c r="J201" s="2049">
        <f t="shared" si="33"/>
        <v>0</v>
      </c>
      <c r="K201" s="2146">
        <f t="shared" ca="1" si="34"/>
        <v>0</v>
      </c>
      <c r="L201" s="2049">
        <f t="shared" si="35"/>
        <v>0</v>
      </c>
      <c r="M201" s="2157">
        <f t="shared" ca="1" si="36"/>
        <v>0</v>
      </c>
      <c r="N201" s="2049">
        <f t="shared" ca="1" si="37"/>
        <v>652.07000000000005</v>
      </c>
      <c r="O201" s="2157">
        <f t="shared" ca="1" si="38"/>
        <v>1.8506375658122026E-6</v>
      </c>
      <c r="P201" s="2049">
        <f t="shared" ca="1" si="30"/>
        <v>0</v>
      </c>
      <c r="Q201" s="2157">
        <f t="shared" ca="1" si="39"/>
        <v>0</v>
      </c>
    </row>
    <row r="202" spans="1:17" outlineLevel="1">
      <c r="A202" s="1310">
        <f>+SYS_4_3_Digitos!A201</f>
        <v>522</v>
      </c>
      <c r="B202" s="1311" t="str">
        <f>+SYS_4_3_Digitos!B201</f>
        <v>DEUDAS A CP TRANSFORMABLES EN SUBVEN. DONAC. Y LEG.</v>
      </c>
      <c r="C202" s="1314">
        <f ca="1">+SYS_4_3_Digitos!I201</f>
        <v>0</v>
      </c>
      <c r="D202" s="1315">
        <f ca="1">+SYS_4_3_Digitos!J201</f>
        <v>0</v>
      </c>
      <c r="E202" s="2045" t="s">
        <v>1895</v>
      </c>
      <c r="F202" s="2049">
        <f t="shared" si="31"/>
        <v>0</v>
      </c>
      <c r="G202" s="2049">
        <f t="shared" ca="1" si="32"/>
        <v>0</v>
      </c>
      <c r="H202" s="2051" t="s">
        <v>1896</v>
      </c>
      <c r="I202" s="2052">
        <v>1</v>
      </c>
      <c r="J202" s="2049">
        <f t="shared" si="33"/>
        <v>0</v>
      </c>
      <c r="K202" s="2146">
        <f t="shared" ca="1" si="34"/>
        <v>0</v>
      </c>
      <c r="L202" s="2049">
        <f t="shared" si="35"/>
        <v>0</v>
      </c>
      <c r="M202" s="2157">
        <f t="shared" ca="1" si="36"/>
        <v>0</v>
      </c>
      <c r="N202" s="2049">
        <f t="shared" ca="1" si="37"/>
        <v>0</v>
      </c>
      <c r="O202" s="2157">
        <f t="shared" ca="1" si="38"/>
        <v>0</v>
      </c>
      <c r="P202" s="2049">
        <f t="shared" ca="1" si="30"/>
        <v>0</v>
      </c>
      <c r="Q202" s="2157">
        <f t="shared" ca="1" si="39"/>
        <v>0</v>
      </c>
    </row>
    <row r="203" spans="1:17" outlineLevel="1">
      <c r="A203" s="1310">
        <f>+SYS_4_3_Digitos!A202</f>
        <v>523</v>
      </c>
      <c r="B203" s="1311" t="str">
        <f>+SYS_4_3_Digitos!B202</f>
        <v>PROVEEDORES DE INMOVILIZAD A CP</v>
      </c>
      <c r="C203" s="1314">
        <f ca="1">+SYS_4_3_Digitos!I202</f>
        <v>0</v>
      </c>
      <c r="D203" s="1315">
        <f ca="1">+SYS_4_3_Digitos!J202</f>
        <v>0</v>
      </c>
      <c r="E203" s="2045" t="s">
        <v>1895</v>
      </c>
      <c r="F203" s="2049">
        <f t="shared" si="31"/>
        <v>0</v>
      </c>
      <c r="G203" s="2049">
        <f t="shared" ca="1" si="32"/>
        <v>0</v>
      </c>
      <c r="H203" s="2051" t="s">
        <v>1896</v>
      </c>
      <c r="I203" s="2052">
        <v>1</v>
      </c>
      <c r="J203" s="2049">
        <f t="shared" si="33"/>
        <v>0</v>
      </c>
      <c r="K203" s="2146">
        <f t="shared" ca="1" si="34"/>
        <v>0</v>
      </c>
      <c r="L203" s="2049">
        <f t="shared" si="35"/>
        <v>0</v>
      </c>
      <c r="M203" s="2157">
        <f t="shared" ca="1" si="36"/>
        <v>0</v>
      </c>
      <c r="N203" s="2049">
        <f t="shared" ca="1" si="37"/>
        <v>0</v>
      </c>
      <c r="O203" s="2157">
        <f t="shared" ca="1" si="38"/>
        <v>0</v>
      </c>
      <c r="P203" s="2049">
        <f t="shared" ca="1" si="30"/>
        <v>0</v>
      </c>
      <c r="Q203" s="2157">
        <f t="shared" ca="1" si="39"/>
        <v>0</v>
      </c>
    </row>
    <row r="204" spans="1:17" outlineLevel="1">
      <c r="A204" s="1310">
        <f>+SYS_4_3_Digitos!A203</f>
        <v>524</v>
      </c>
      <c r="B204" s="1311" t="str">
        <f>+SYS_4_3_Digitos!B203</f>
        <v>ACREEDORES POR ARREND. FRO. A CP</v>
      </c>
      <c r="C204" s="1314">
        <f ca="1">+SYS_4_3_Digitos!I203</f>
        <v>0</v>
      </c>
      <c r="D204" s="1315">
        <f ca="1">+SYS_4_3_Digitos!J203</f>
        <v>0</v>
      </c>
      <c r="E204" s="2045" t="s">
        <v>1895</v>
      </c>
      <c r="F204" s="2049">
        <f t="shared" si="31"/>
        <v>0</v>
      </c>
      <c r="G204" s="2049">
        <f t="shared" ca="1" si="32"/>
        <v>0</v>
      </c>
      <c r="H204" s="2051" t="s">
        <v>1896</v>
      </c>
      <c r="I204" s="2052">
        <v>1</v>
      </c>
      <c r="J204" s="2049">
        <f t="shared" si="33"/>
        <v>0</v>
      </c>
      <c r="K204" s="2146">
        <f t="shared" ca="1" si="34"/>
        <v>0</v>
      </c>
      <c r="L204" s="2049">
        <f t="shared" si="35"/>
        <v>0</v>
      </c>
      <c r="M204" s="2157">
        <f t="shared" ca="1" si="36"/>
        <v>0</v>
      </c>
      <c r="N204" s="2049">
        <f t="shared" ca="1" si="37"/>
        <v>0</v>
      </c>
      <c r="O204" s="2157">
        <f t="shared" ca="1" si="38"/>
        <v>0</v>
      </c>
      <c r="P204" s="2049">
        <f t="shared" ca="1" si="30"/>
        <v>0</v>
      </c>
      <c r="Q204" s="2157">
        <f t="shared" ca="1" si="39"/>
        <v>0</v>
      </c>
    </row>
    <row r="205" spans="1:17" outlineLevel="1">
      <c r="A205" s="1310">
        <f>+SYS_4_3_Digitos!A204</f>
        <v>525</v>
      </c>
      <c r="B205" s="1311" t="str">
        <f>+SYS_4_3_Digitos!B204</f>
        <v>EFECTOS A PAGAR A CP</v>
      </c>
      <c r="C205" s="1314">
        <f ca="1">+SYS_4_3_Digitos!I204</f>
        <v>0</v>
      </c>
      <c r="D205" s="1315">
        <f ca="1">+SYS_4_3_Digitos!J204</f>
        <v>0</v>
      </c>
      <c r="E205" s="2045" t="s">
        <v>1895</v>
      </c>
      <c r="F205" s="2049">
        <f t="shared" si="31"/>
        <v>0</v>
      </c>
      <c r="G205" s="2049">
        <f t="shared" ca="1" si="32"/>
        <v>0</v>
      </c>
      <c r="H205" s="2051" t="s">
        <v>1896</v>
      </c>
      <c r="I205" s="2052">
        <v>1</v>
      </c>
      <c r="J205" s="2049">
        <f t="shared" si="33"/>
        <v>0</v>
      </c>
      <c r="K205" s="2146">
        <f t="shared" ca="1" si="34"/>
        <v>0</v>
      </c>
      <c r="L205" s="2049">
        <f t="shared" si="35"/>
        <v>0</v>
      </c>
      <c r="M205" s="2157">
        <f t="shared" ca="1" si="36"/>
        <v>0</v>
      </c>
      <c r="N205" s="2049">
        <f t="shared" ca="1" si="37"/>
        <v>0</v>
      </c>
      <c r="O205" s="2157">
        <f t="shared" ca="1" si="38"/>
        <v>0</v>
      </c>
      <c r="P205" s="2049">
        <f t="shared" ca="1" si="30"/>
        <v>0</v>
      </c>
      <c r="Q205" s="2157">
        <f t="shared" ca="1" si="39"/>
        <v>0</v>
      </c>
    </row>
    <row r="206" spans="1:17" outlineLevel="1">
      <c r="A206" s="1310">
        <f>+SYS_4_3_Digitos!A205</f>
        <v>526</v>
      </c>
      <c r="B206" s="1311" t="str">
        <f>+SYS_4_3_Digitos!B205</f>
        <v>DIVIDENDO ACTIVO A PAGAR</v>
      </c>
      <c r="C206" s="1314">
        <f ca="1">+SYS_4_3_Digitos!I205</f>
        <v>0</v>
      </c>
      <c r="D206" s="1315">
        <f ca="1">+SYS_4_3_Digitos!J205</f>
        <v>0</v>
      </c>
      <c r="E206" s="2045" t="s">
        <v>1895</v>
      </c>
      <c r="F206" s="2049">
        <f t="shared" si="31"/>
        <v>0</v>
      </c>
      <c r="G206" s="2049">
        <f t="shared" ca="1" si="32"/>
        <v>0</v>
      </c>
      <c r="H206" s="2051" t="s">
        <v>1896</v>
      </c>
      <c r="I206" s="2052">
        <v>1</v>
      </c>
      <c r="J206" s="2049">
        <f t="shared" si="33"/>
        <v>0</v>
      </c>
      <c r="K206" s="2146">
        <f t="shared" ca="1" si="34"/>
        <v>0</v>
      </c>
      <c r="L206" s="2049">
        <f t="shared" si="35"/>
        <v>0</v>
      </c>
      <c r="M206" s="2157">
        <f t="shared" ca="1" si="36"/>
        <v>0</v>
      </c>
      <c r="N206" s="2049">
        <f t="shared" ca="1" si="37"/>
        <v>0</v>
      </c>
      <c r="O206" s="2157">
        <f t="shared" ca="1" si="38"/>
        <v>0</v>
      </c>
      <c r="P206" s="2049">
        <f t="shared" ca="1" si="30"/>
        <v>0</v>
      </c>
      <c r="Q206" s="2157">
        <f t="shared" ca="1" si="39"/>
        <v>0</v>
      </c>
    </row>
    <row r="207" spans="1:17" outlineLevel="1">
      <c r="A207" s="1310">
        <f>+SYS_4_3_Digitos!A206</f>
        <v>527</v>
      </c>
      <c r="B207" s="1311" t="str">
        <f>+SYS_4_3_Digitos!B206</f>
        <v>INTERESES A CP DE DEUDAS CON ENT. DE CRÉDITO</v>
      </c>
      <c r="C207" s="1314">
        <f ca="1">+SYS_4_3_Digitos!I206</f>
        <v>0</v>
      </c>
      <c r="D207" s="1315">
        <f ca="1">+SYS_4_3_Digitos!J206</f>
        <v>0</v>
      </c>
      <c r="E207" s="2045" t="s">
        <v>1895</v>
      </c>
      <c r="F207" s="2049">
        <f t="shared" si="31"/>
        <v>0</v>
      </c>
      <c r="G207" s="2049">
        <f t="shared" ca="1" si="32"/>
        <v>0</v>
      </c>
      <c r="H207" s="2051" t="s">
        <v>1896</v>
      </c>
      <c r="I207" s="2052">
        <v>1</v>
      </c>
      <c r="J207" s="2049">
        <f t="shared" si="33"/>
        <v>0</v>
      </c>
      <c r="K207" s="2146">
        <f t="shared" ca="1" si="34"/>
        <v>0</v>
      </c>
      <c r="L207" s="2049">
        <f t="shared" si="35"/>
        <v>0</v>
      </c>
      <c r="M207" s="2148">
        <f t="shared" ca="1" si="36"/>
        <v>0</v>
      </c>
      <c r="N207" s="2049">
        <f t="shared" ca="1" si="37"/>
        <v>0</v>
      </c>
      <c r="O207" s="2148">
        <f t="shared" ca="1" si="38"/>
        <v>0</v>
      </c>
      <c r="P207" s="2049">
        <f t="shared" ca="1" si="30"/>
        <v>0</v>
      </c>
      <c r="Q207" s="2148">
        <f t="shared" ca="1" si="39"/>
        <v>0</v>
      </c>
    </row>
    <row r="208" spans="1:17" outlineLevel="1">
      <c r="A208" s="1310">
        <f>+SYS_4_3_Digitos!A207</f>
        <v>528</v>
      </c>
      <c r="B208" s="1311" t="str">
        <f>+SYS_4_3_Digitos!B207</f>
        <v>INTERESES A CP DE DEUDAS</v>
      </c>
      <c r="C208" s="1314">
        <f ca="1">+SYS_4_3_Digitos!I207</f>
        <v>0</v>
      </c>
      <c r="D208" s="1315">
        <f ca="1">+SYS_4_3_Digitos!J207</f>
        <v>0</v>
      </c>
      <c r="E208" s="2045" t="s">
        <v>1895</v>
      </c>
      <c r="F208" s="2049">
        <f t="shared" si="31"/>
        <v>0</v>
      </c>
      <c r="G208" s="2049">
        <f t="shared" ca="1" si="32"/>
        <v>0</v>
      </c>
      <c r="H208" s="2051" t="s">
        <v>1896</v>
      </c>
      <c r="I208" s="2052">
        <v>1</v>
      </c>
      <c r="J208" s="2049">
        <f t="shared" si="33"/>
        <v>0</v>
      </c>
      <c r="K208" s="2146">
        <f t="shared" ca="1" si="34"/>
        <v>0</v>
      </c>
      <c r="L208" s="2049">
        <f t="shared" si="35"/>
        <v>0</v>
      </c>
      <c r="M208" s="2148">
        <f t="shared" ca="1" si="36"/>
        <v>0</v>
      </c>
      <c r="N208" s="2049">
        <f t="shared" ca="1" si="37"/>
        <v>0</v>
      </c>
      <c r="O208" s="2148">
        <f t="shared" ca="1" si="38"/>
        <v>0</v>
      </c>
      <c r="P208" s="2049">
        <f t="shared" ca="1" si="30"/>
        <v>0</v>
      </c>
      <c r="Q208" s="2148">
        <f t="shared" ca="1" si="39"/>
        <v>0</v>
      </c>
    </row>
    <row r="209" spans="1:17" outlineLevel="1">
      <c r="A209" s="1310">
        <f>+SYS_4_3_Digitos!A208</f>
        <v>529</v>
      </c>
      <c r="B209" s="1311" t="str">
        <f>+SYS_4_3_Digitos!B208</f>
        <v>PROVISIONES A CP</v>
      </c>
      <c r="C209" s="1314">
        <f ca="1">+SYS_4_3_Digitos!I208</f>
        <v>0</v>
      </c>
      <c r="D209" s="1315">
        <f ca="1">+SYS_4_3_Digitos!J208</f>
        <v>0</v>
      </c>
      <c r="E209" s="2045" t="s">
        <v>1895</v>
      </c>
      <c r="F209" s="2049">
        <f t="shared" si="31"/>
        <v>0</v>
      </c>
      <c r="G209" s="2049">
        <f t="shared" ca="1" si="32"/>
        <v>0</v>
      </c>
      <c r="H209" s="2051" t="s">
        <v>1896</v>
      </c>
      <c r="I209" s="2052">
        <v>1</v>
      </c>
      <c r="J209" s="2049">
        <f t="shared" si="33"/>
        <v>0</v>
      </c>
      <c r="K209" s="2146">
        <f t="shared" ca="1" si="34"/>
        <v>0</v>
      </c>
      <c r="L209" s="2049">
        <f t="shared" si="35"/>
        <v>0</v>
      </c>
      <c r="M209" s="2148">
        <f t="shared" ca="1" si="36"/>
        <v>0</v>
      </c>
      <c r="N209" s="2049">
        <f t="shared" ca="1" si="37"/>
        <v>0</v>
      </c>
      <c r="O209" s="2148">
        <f t="shared" ca="1" si="38"/>
        <v>0</v>
      </c>
      <c r="P209" s="2049">
        <f t="shared" ca="1" si="30"/>
        <v>0</v>
      </c>
      <c r="Q209" s="2148">
        <f t="shared" ca="1" si="39"/>
        <v>0</v>
      </c>
    </row>
    <row r="210" spans="1:17" outlineLevel="1">
      <c r="A210" s="1318">
        <f>+SYS_4_3_Digitos!A209</f>
        <v>5303</v>
      </c>
      <c r="B210" s="1319" t="str">
        <f>+SYS_4_3_Digitos!B209</f>
        <v>PARTICIPACIONES A CP EN EMPRESAS DEL GRUPO</v>
      </c>
      <c r="C210" s="1322">
        <f ca="1">+SYS_4_3_Digitos!I209</f>
        <v>0</v>
      </c>
      <c r="D210" s="1323">
        <f ca="1">+SYS_4_3_Digitos!J209</f>
        <v>0</v>
      </c>
      <c r="E210" s="2046" t="s">
        <v>1896</v>
      </c>
      <c r="F210" s="2049">
        <f t="shared" ca="1" si="31"/>
        <v>0</v>
      </c>
      <c r="G210" s="2049">
        <f t="shared" si="32"/>
        <v>0</v>
      </c>
      <c r="H210" s="2051" t="s">
        <v>1896</v>
      </c>
      <c r="I210" s="2052">
        <v>1</v>
      </c>
      <c r="J210" s="2049">
        <f t="shared" ca="1" si="33"/>
        <v>0</v>
      </c>
      <c r="K210" s="2146">
        <f t="shared" ca="1" si="34"/>
        <v>0</v>
      </c>
      <c r="L210" s="2049">
        <f t="shared" ca="1" si="35"/>
        <v>0</v>
      </c>
      <c r="M210" s="2148">
        <f t="shared" ca="1" si="36"/>
        <v>0</v>
      </c>
      <c r="N210" s="2049">
        <f t="shared" si="37"/>
        <v>0</v>
      </c>
      <c r="O210" s="2148">
        <f t="shared" ca="1" si="38"/>
        <v>0</v>
      </c>
      <c r="P210" s="2049">
        <f t="shared" si="30"/>
        <v>0</v>
      </c>
      <c r="Q210" s="2148">
        <f t="shared" ca="1" si="39"/>
        <v>0</v>
      </c>
    </row>
    <row r="211" spans="1:17" outlineLevel="1">
      <c r="A211" s="1318">
        <f>+SYS_4_3_Digitos!A210</f>
        <v>5304</v>
      </c>
      <c r="B211" s="1319" t="str">
        <f>+SYS_4_3_Digitos!B210</f>
        <v>PARTICIPACIONES A CP EN EMPRESAS ASOCIADAS</v>
      </c>
      <c r="C211" s="1322">
        <f ca="1">+SYS_4_3_Digitos!I210</f>
        <v>0</v>
      </c>
      <c r="D211" s="1323">
        <f ca="1">+SYS_4_3_Digitos!J210</f>
        <v>0</v>
      </c>
      <c r="E211" s="2046" t="s">
        <v>1896</v>
      </c>
      <c r="F211" s="2049">
        <f t="shared" ca="1" si="31"/>
        <v>0</v>
      </c>
      <c r="G211" s="2049">
        <f t="shared" si="32"/>
        <v>0</v>
      </c>
      <c r="H211" s="2051" t="s">
        <v>1896</v>
      </c>
      <c r="I211" s="2052">
        <v>1</v>
      </c>
      <c r="J211" s="2049">
        <f t="shared" ca="1" si="33"/>
        <v>0</v>
      </c>
      <c r="K211" s="2146">
        <f t="shared" ca="1" si="34"/>
        <v>0</v>
      </c>
      <c r="L211" s="2049">
        <f t="shared" ca="1" si="35"/>
        <v>0</v>
      </c>
      <c r="M211" s="2148">
        <f t="shared" ca="1" si="36"/>
        <v>0</v>
      </c>
      <c r="N211" s="2049">
        <f t="shared" si="37"/>
        <v>0</v>
      </c>
      <c r="O211" s="2148">
        <f t="shared" ca="1" si="38"/>
        <v>0</v>
      </c>
      <c r="P211" s="2049">
        <f t="shared" si="30"/>
        <v>0</v>
      </c>
      <c r="Q211" s="2148">
        <f t="shared" ca="1" si="39"/>
        <v>0</v>
      </c>
    </row>
    <row r="212" spans="1:17" outlineLevel="1">
      <c r="A212" s="1318">
        <f>+SYS_4_3_Digitos!A211</f>
        <v>5305</v>
      </c>
      <c r="B212" s="1319" t="str">
        <f>+SYS_4_3_Digitos!B211</f>
        <v>PARTICIPACIONES A CP EN OTRAS PARTES VINCULADAS</v>
      </c>
      <c r="C212" s="1322">
        <f ca="1">+SYS_4_3_Digitos!I211</f>
        <v>0</v>
      </c>
      <c r="D212" s="1323">
        <f ca="1">+SYS_4_3_Digitos!J211</f>
        <v>0</v>
      </c>
      <c r="E212" s="2046" t="s">
        <v>1896</v>
      </c>
      <c r="F212" s="2049">
        <f t="shared" ca="1" si="31"/>
        <v>0</v>
      </c>
      <c r="G212" s="2049">
        <f t="shared" si="32"/>
        <v>0</v>
      </c>
      <c r="H212" s="2051" t="s">
        <v>1896</v>
      </c>
      <c r="I212" s="2052">
        <v>1</v>
      </c>
      <c r="J212" s="2049">
        <f t="shared" ca="1" si="33"/>
        <v>0</v>
      </c>
      <c r="K212" s="2146">
        <f t="shared" ca="1" si="34"/>
        <v>0</v>
      </c>
      <c r="L212" s="2049">
        <f t="shared" ca="1" si="35"/>
        <v>0</v>
      </c>
      <c r="M212" s="2148">
        <f t="shared" ca="1" si="36"/>
        <v>0</v>
      </c>
      <c r="N212" s="2049">
        <f t="shared" si="37"/>
        <v>0</v>
      </c>
      <c r="O212" s="2148">
        <f t="shared" ca="1" si="38"/>
        <v>0</v>
      </c>
      <c r="P212" s="2049">
        <f t="shared" si="30"/>
        <v>0</v>
      </c>
      <c r="Q212" s="2148">
        <f t="shared" ca="1" si="39"/>
        <v>0</v>
      </c>
    </row>
    <row r="213" spans="1:17" outlineLevel="1">
      <c r="A213" s="1318">
        <f>+SYS_4_3_Digitos!A212</f>
        <v>5323</v>
      </c>
      <c r="B213" s="1319" t="str">
        <f>+SYS_4_3_Digitos!B212</f>
        <v>CRÉDITOS A CP A EMPRESAS DEL GRUPO</v>
      </c>
      <c r="C213" s="1322">
        <f ca="1">+SYS_4_3_Digitos!I212</f>
        <v>0</v>
      </c>
      <c r="D213" s="1323">
        <f ca="1">+SYS_4_3_Digitos!J212</f>
        <v>0</v>
      </c>
      <c r="E213" s="2046" t="s">
        <v>1896</v>
      </c>
      <c r="F213" s="2049">
        <f t="shared" ca="1" si="31"/>
        <v>0</v>
      </c>
      <c r="G213" s="2049">
        <f t="shared" si="32"/>
        <v>0</v>
      </c>
      <c r="H213" s="2051" t="s">
        <v>1896</v>
      </c>
      <c r="I213" s="2052">
        <v>1</v>
      </c>
      <c r="J213" s="2049">
        <f t="shared" ca="1" si="33"/>
        <v>0</v>
      </c>
      <c r="K213" s="2146">
        <f t="shared" ca="1" si="34"/>
        <v>0</v>
      </c>
      <c r="L213" s="2049">
        <f t="shared" ca="1" si="35"/>
        <v>0</v>
      </c>
      <c r="M213" s="2148">
        <f t="shared" ca="1" si="36"/>
        <v>0</v>
      </c>
      <c r="N213" s="2049">
        <f t="shared" si="37"/>
        <v>0</v>
      </c>
      <c r="O213" s="2148">
        <f t="shared" ca="1" si="38"/>
        <v>0</v>
      </c>
      <c r="P213" s="2049">
        <f t="shared" si="30"/>
        <v>0</v>
      </c>
      <c r="Q213" s="2148">
        <f t="shared" ca="1" si="39"/>
        <v>0</v>
      </c>
    </row>
    <row r="214" spans="1:17" outlineLevel="1">
      <c r="A214" s="1318">
        <f>+SYS_4_3_Digitos!A213</f>
        <v>5324</v>
      </c>
      <c r="B214" s="1319" t="str">
        <f>+SYS_4_3_Digitos!B213</f>
        <v>CRÉDITOS A CP A EMPRESAS ASOCIADAS</v>
      </c>
      <c r="C214" s="1322">
        <f ca="1">+SYS_4_3_Digitos!I213</f>
        <v>0</v>
      </c>
      <c r="D214" s="1323">
        <f ca="1">+SYS_4_3_Digitos!J213</f>
        <v>0</v>
      </c>
      <c r="E214" s="2046" t="s">
        <v>1896</v>
      </c>
      <c r="F214" s="2049">
        <f t="shared" ca="1" si="31"/>
        <v>0</v>
      </c>
      <c r="G214" s="2049">
        <f t="shared" si="32"/>
        <v>0</v>
      </c>
      <c r="H214" s="2051" t="s">
        <v>1896</v>
      </c>
      <c r="I214" s="2052">
        <v>1</v>
      </c>
      <c r="J214" s="2049">
        <f t="shared" ca="1" si="33"/>
        <v>0</v>
      </c>
      <c r="K214" s="2146">
        <f t="shared" ca="1" si="34"/>
        <v>0</v>
      </c>
      <c r="L214" s="2049">
        <f t="shared" ca="1" si="35"/>
        <v>0</v>
      </c>
      <c r="M214" s="2148">
        <f t="shared" ca="1" si="36"/>
        <v>0</v>
      </c>
      <c r="N214" s="2049">
        <f t="shared" si="37"/>
        <v>0</v>
      </c>
      <c r="O214" s="2148">
        <f t="shared" ca="1" si="38"/>
        <v>0</v>
      </c>
      <c r="P214" s="2049">
        <f t="shared" si="30"/>
        <v>0</v>
      </c>
      <c r="Q214" s="2148">
        <f t="shared" ca="1" si="39"/>
        <v>0</v>
      </c>
    </row>
    <row r="215" spans="1:17" outlineLevel="1">
      <c r="A215" s="1318">
        <f>+SYS_4_3_Digitos!A214</f>
        <v>5325</v>
      </c>
      <c r="B215" s="1319" t="str">
        <f>+SYS_4_3_Digitos!B214</f>
        <v>CRÉDITOS A CP A OTRAS PARTES VINCULADAS</v>
      </c>
      <c r="C215" s="1322">
        <f ca="1">+SYS_4_3_Digitos!I214</f>
        <v>0</v>
      </c>
      <c r="D215" s="1323">
        <f ca="1">+SYS_4_3_Digitos!J214</f>
        <v>0</v>
      </c>
      <c r="E215" s="2046" t="s">
        <v>1896</v>
      </c>
      <c r="F215" s="2049">
        <f t="shared" ca="1" si="31"/>
        <v>0</v>
      </c>
      <c r="G215" s="2049">
        <f t="shared" si="32"/>
        <v>0</v>
      </c>
      <c r="H215" s="2051" t="s">
        <v>1896</v>
      </c>
      <c r="I215" s="2052">
        <v>1</v>
      </c>
      <c r="J215" s="2049">
        <f t="shared" ca="1" si="33"/>
        <v>0</v>
      </c>
      <c r="K215" s="2146">
        <f t="shared" ca="1" si="34"/>
        <v>0</v>
      </c>
      <c r="L215" s="2049">
        <f t="shared" ca="1" si="35"/>
        <v>0</v>
      </c>
      <c r="M215" s="2148">
        <f t="shared" ca="1" si="36"/>
        <v>0</v>
      </c>
      <c r="N215" s="2049">
        <f t="shared" si="37"/>
        <v>0</v>
      </c>
      <c r="O215" s="2148">
        <f t="shared" ca="1" si="38"/>
        <v>0</v>
      </c>
      <c r="P215" s="2049">
        <f t="shared" si="30"/>
        <v>0</v>
      </c>
      <c r="Q215" s="2148">
        <f t="shared" ca="1" si="39"/>
        <v>0</v>
      </c>
    </row>
    <row r="216" spans="1:17" outlineLevel="1">
      <c r="A216" s="1318">
        <f>+SYS_4_3_Digitos!A215</f>
        <v>5345</v>
      </c>
      <c r="B216" s="1319" t="str">
        <f>+SYS_4_3_Digitos!B215</f>
        <v>INTERESES A CP A CRÉDITOS A PARTES VINCULADAS</v>
      </c>
      <c r="C216" s="1322">
        <f ca="1">+SYS_4_3_Digitos!I215</f>
        <v>0</v>
      </c>
      <c r="D216" s="1323">
        <f ca="1">+SYS_4_3_Digitos!J215</f>
        <v>0</v>
      </c>
      <c r="E216" s="2046" t="s">
        <v>1896</v>
      </c>
      <c r="F216" s="2049">
        <f t="shared" ca="1" si="31"/>
        <v>0</v>
      </c>
      <c r="G216" s="2049">
        <f t="shared" si="32"/>
        <v>0</v>
      </c>
      <c r="H216" s="2051" t="s">
        <v>1896</v>
      </c>
      <c r="I216" s="2052">
        <v>1</v>
      </c>
      <c r="J216" s="2049">
        <f t="shared" ca="1" si="33"/>
        <v>0</v>
      </c>
      <c r="K216" s="2146">
        <f t="shared" ca="1" si="34"/>
        <v>0</v>
      </c>
      <c r="L216" s="2049">
        <f t="shared" ca="1" si="35"/>
        <v>0</v>
      </c>
      <c r="M216" s="2148">
        <f t="shared" ca="1" si="36"/>
        <v>0</v>
      </c>
      <c r="N216" s="2049">
        <f t="shared" si="37"/>
        <v>0</v>
      </c>
      <c r="O216" s="2148">
        <f t="shared" ca="1" si="38"/>
        <v>0</v>
      </c>
      <c r="P216" s="2049">
        <f t="shared" si="30"/>
        <v>0</v>
      </c>
      <c r="Q216" s="2148">
        <f t="shared" ca="1" si="39"/>
        <v>0</v>
      </c>
    </row>
    <row r="217" spans="1:17" outlineLevel="1">
      <c r="A217" s="1318">
        <f>+SYS_4_3_Digitos!A216</f>
        <v>540</v>
      </c>
      <c r="B217" s="1319" t="str">
        <f>+SYS_4_3_Digitos!B216</f>
        <v>INVERSIONES FRAS A CP EN INSTRUMENTOS DE PATRIMONIO</v>
      </c>
      <c r="C217" s="1322">
        <f ca="1">+SYS_4_3_Digitos!I216</f>
        <v>0</v>
      </c>
      <c r="D217" s="1323">
        <f ca="1">+SYS_4_3_Digitos!J216</f>
        <v>0</v>
      </c>
      <c r="E217" s="2046" t="s">
        <v>1896</v>
      </c>
      <c r="F217" s="2049">
        <f t="shared" ca="1" si="31"/>
        <v>0</v>
      </c>
      <c r="G217" s="2049">
        <f t="shared" si="32"/>
        <v>0</v>
      </c>
      <c r="H217" s="2051" t="s">
        <v>1896</v>
      </c>
      <c r="I217" s="2052">
        <v>1</v>
      </c>
      <c r="J217" s="2049">
        <f t="shared" ca="1" si="33"/>
        <v>0</v>
      </c>
      <c r="K217" s="2146">
        <f t="shared" ca="1" si="34"/>
        <v>0</v>
      </c>
      <c r="L217" s="2049">
        <f t="shared" ca="1" si="35"/>
        <v>0</v>
      </c>
      <c r="M217" s="2148">
        <f t="shared" ca="1" si="36"/>
        <v>0</v>
      </c>
      <c r="N217" s="2049">
        <f t="shared" si="37"/>
        <v>0</v>
      </c>
      <c r="O217" s="2148">
        <f t="shared" ca="1" si="38"/>
        <v>0</v>
      </c>
      <c r="P217" s="2049">
        <f t="shared" si="30"/>
        <v>0</v>
      </c>
      <c r="Q217" s="2148">
        <f t="shared" ca="1" si="39"/>
        <v>0</v>
      </c>
    </row>
    <row r="218" spans="1:17" outlineLevel="1">
      <c r="A218" s="1318">
        <f>+SYS_4_3_Digitos!A217</f>
        <v>541</v>
      </c>
      <c r="B218" s="1319" t="str">
        <f>+SYS_4_3_Digitos!B217</f>
        <v>VALORES REPRESENTATIVOS DE DEUDAS A CP</v>
      </c>
      <c r="C218" s="1322">
        <f ca="1">+SYS_4_3_Digitos!I217</f>
        <v>0</v>
      </c>
      <c r="D218" s="1323">
        <f ca="1">+SYS_4_3_Digitos!J217</f>
        <v>0</v>
      </c>
      <c r="E218" s="2046" t="s">
        <v>1896</v>
      </c>
      <c r="F218" s="2049">
        <f t="shared" ca="1" si="31"/>
        <v>0</v>
      </c>
      <c r="G218" s="2049">
        <f t="shared" si="32"/>
        <v>0</v>
      </c>
      <c r="H218" s="2051" t="s">
        <v>1896</v>
      </c>
      <c r="I218" s="2052">
        <v>1</v>
      </c>
      <c r="J218" s="2049">
        <f t="shared" ca="1" si="33"/>
        <v>0</v>
      </c>
      <c r="K218" s="2146">
        <f t="shared" ca="1" si="34"/>
        <v>0</v>
      </c>
      <c r="L218" s="2049">
        <f t="shared" ca="1" si="35"/>
        <v>0</v>
      </c>
      <c r="M218" s="2148">
        <f t="shared" ca="1" si="36"/>
        <v>0</v>
      </c>
      <c r="N218" s="2049">
        <f t="shared" si="37"/>
        <v>0</v>
      </c>
      <c r="O218" s="2148">
        <f t="shared" ca="1" si="38"/>
        <v>0</v>
      </c>
      <c r="P218" s="2049">
        <f t="shared" si="30"/>
        <v>0</v>
      </c>
      <c r="Q218" s="2148">
        <f t="shared" ca="1" si="39"/>
        <v>0</v>
      </c>
    </row>
    <row r="219" spans="1:17" outlineLevel="1">
      <c r="A219" s="1318">
        <f>+SYS_4_3_Digitos!A218</f>
        <v>542</v>
      </c>
      <c r="B219" s="1319" t="str">
        <f>+SYS_4_3_Digitos!B218</f>
        <v>CRÉDITOS A CP</v>
      </c>
      <c r="C219" s="1322">
        <f ca="1">+SYS_4_3_Digitos!I218</f>
        <v>0</v>
      </c>
      <c r="D219" s="1323">
        <f ca="1">+SYS_4_3_Digitos!J218</f>
        <v>0</v>
      </c>
      <c r="E219" s="2046" t="s">
        <v>1896</v>
      </c>
      <c r="F219" s="2049">
        <f t="shared" ca="1" si="31"/>
        <v>0</v>
      </c>
      <c r="G219" s="2049">
        <f t="shared" si="32"/>
        <v>0</v>
      </c>
      <c r="H219" s="2051" t="s">
        <v>1896</v>
      </c>
      <c r="I219" s="2052">
        <v>1</v>
      </c>
      <c r="J219" s="2049">
        <f t="shared" ca="1" si="33"/>
        <v>0</v>
      </c>
      <c r="K219" s="2146">
        <f t="shared" ca="1" si="34"/>
        <v>0</v>
      </c>
      <c r="L219" s="2049">
        <f t="shared" ca="1" si="35"/>
        <v>0</v>
      </c>
      <c r="M219" s="2148">
        <f t="shared" ca="1" si="36"/>
        <v>0</v>
      </c>
      <c r="N219" s="2049">
        <f t="shared" si="37"/>
        <v>0</v>
      </c>
      <c r="O219" s="2148">
        <f t="shared" ca="1" si="38"/>
        <v>0</v>
      </c>
      <c r="P219" s="2049">
        <f t="shared" si="30"/>
        <v>0</v>
      </c>
      <c r="Q219" s="2148">
        <f t="shared" ca="1" si="39"/>
        <v>0</v>
      </c>
    </row>
    <row r="220" spans="1:17" outlineLevel="1">
      <c r="A220" s="1310">
        <f>+SYS_4_3_Digitos!A219</f>
        <v>543</v>
      </c>
      <c r="B220" s="1311" t="str">
        <f>+SYS_4_3_Digitos!B219</f>
        <v>CRÉDITOS A CP POR ENAJENACIÓN DE INMOVILIZADO</v>
      </c>
      <c r="C220" s="1314">
        <f ca="1">+SYS_4_3_Digitos!I219</f>
        <v>0</v>
      </c>
      <c r="D220" s="1315">
        <f ca="1">+SYS_4_3_Digitos!J219</f>
        <v>0</v>
      </c>
      <c r="E220" s="2045" t="s">
        <v>1896</v>
      </c>
      <c r="F220" s="2049">
        <f t="shared" ca="1" si="31"/>
        <v>0</v>
      </c>
      <c r="G220" s="2049">
        <f t="shared" si="32"/>
        <v>0</v>
      </c>
      <c r="H220" s="2051" t="s">
        <v>1896</v>
      </c>
      <c r="I220" s="2052">
        <v>1</v>
      </c>
      <c r="J220" s="2049">
        <f t="shared" ca="1" si="33"/>
        <v>0</v>
      </c>
      <c r="K220" s="2146">
        <f t="shared" ca="1" si="34"/>
        <v>0</v>
      </c>
      <c r="L220" s="2049">
        <f t="shared" ca="1" si="35"/>
        <v>0</v>
      </c>
      <c r="M220" s="2148">
        <f t="shared" ca="1" si="36"/>
        <v>0</v>
      </c>
      <c r="N220" s="2049">
        <f t="shared" si="37"/>
        <v>0</v>
      </c>
      <c r="O220" s="2148">
        <f t="shared" ca="1" si="38"/>
        <v>0</v>
      </c>
      <c r="P220" s="2049">
        <f t="shared" si="30"/>
        <v>0</v>
      </c>
      <c r="Q220" s="2148">
        <f t="shared" ca="1" si="39"/>
        <v>0</v>
      </c>
    </row>
    <row r="221" spans="1:17" outlineLevel="1">
      <c r="A221" s="1310">
        <f>+SYS_4_3_Digitos!A220</f>
        <v>544</v>
      </c>
      <c r="B221" s="1311" t="str">
        <f>+SYS_4_3_Digitos!B220</f>
        <v>CRÉDITOS A CP AL PERSONAL</v>
      </c>
      <c r="C221" s="1314">
        <f ca="1">+SYS_4_3_Digitos!I220</f>
        <v>2904.58</v>
      </c>
      <c r="D221" s="1315">
        <f ca="1">+SYS_4_3_Digitos!J220</f>
        <v>0</v>
      </c>
      <c r="E221" s="2045" t="s">
        <v>1896</v>
      </c>
      <c r="F221" s="2049">
        <f t="shared" ca="1" si="31"/>
        <v>2904.58</v>
      </c>
      <c r="G221" s="2049">
        <f t="shared" si="32"/>
        <v>0</v>
      </c>
      <c r="H221" s="2051" t="s">
        <v>1896</v>
      </c>
      <c r="I221" s="2052">
        <v>1</v>
      </c>
      <c r="J221" s="2049">
        <f t="shared" ca="1" si="33"/>
        <v>2904.58</v>
      </c>
      <c r="K221" s="2146">
        <f t="shared" ca="1" si="34"/>
        <v>8.2434782475912234E-6</v>
      </c>
      <c r="L221" s="2049">
        <f t="shared" ca="1" si="35"/>
        <v>0</v>
      </c>
      <c r="M221" s="2148">
        <f t="shared" ca="1" si="36"/>
        <v>0</v>
      </c>
      <c r="N221" s="2049">
        <f t="shared" si="37"/>
        <v>0</v>
      </c>
      <c r="O221" s="2148">
        <f t="shared" ca="1" si="38"/>
        <v>0</v>
      </c>
      <c r="P221" s="2049">
        <f t="shared" si="30"/>
        <v>0</v>
      </c>
      <c r="Q221" s="2148">
        <f t="shared" ca="1" si="39"/>
        <v>0</v>
      </c>
    </row>
    <row r="222" spans="1:17" outlineLevel="1">
      <c r="A222" s="1310">
        <f>+SYS_4_3_Digitos!A221</f>
        <v>545</v>
      </c>
      <c r="B222" s="1311" t="str">
        <f>+SYS_4_3_Digitos!B221</f>
        <v>DIVIDENDO A COBRAR</v>
      </c>
      <c r="C222" s="1314">
        <f ca="1">+SYS_4_3_Digitos!I221</f>
        <v>0</v>
      </c>
      <c r="D222" s="1315">
        <f ca="1">+SYS_4_3_Digitos!J221</f>
        <v>0</v>
      </c>
      <c r="E222" s="2045" t="s">
        <v>1896</v>
      </c>
      <c r="F222" s="2049">
        <f t="shared" ca="1" si="31"/>
        <v>0</v>
      </c>
      <c r="G222" s="2049">
        <f t="shared" si="32"/>
        <v>0</v>
      </c>
      <c r="H222" s="2051" t="s">
        <v>1896</v>
      </c>
      <c r="I222" s="2052">
        <v>1</v>
      </c>
      <c r="J222" s="2049">
        <f t="shared" ca="1" si="33"/>
        <v>0</v>
      </c>
      <c r="K222" s="2146">
        <f t="shared" ca="1" si="34"/>
        <v>0</v>
      </c>
      <c r="L222" s="2049">
        <f t="shared" ca="1" si="35"/>
        <v>0</v>
      </c>
      <c r="M222" s="2148">
        <f t="shared" ca="1" si="36"/>
        <v>0</v>
      </c>
      <c r="N222" s="2049">
        <f t="shared" si="37"/>
        <v>0</v>
      </c>
      <c r="O222" s="2148">
        <f t="shared" ca="1" si="38"/>
        <v>0</v>
      </c>
      <c r="P222" s="2049">
        <f t="shared" si="30"/>
        <v>0</v>
      </c>
      <c r="Q222" s="2148">
        <f t="shared" ca="1" si="39"/>
        <v>0</v>
      </c>
    </row>
    <row r="223" spans="1:17" outlineLevel="1">
      <c r="A223" s="1310">
        <f>+SYS_4_3_Digitos!A222</f>
        <v>546</v>
      </c>
      <c r="B223" s="1311" t="str">
        <f>+SYS_4_3_Digitos!B222</f>
        <v>INTERESES A CP  DE VALORES REPRESENTATIVOS DE DEUDA</v>
      </c>
      <c r="C223" s="1314">
        <f ca="1">+SYS_4_3_Digitos!I222</f>
        <v>0</v>
      </c>
      <c r="D223" s="1315">
        <f ca="1">+SYS_4_3_Digitos!J222</f>
        <v>0</v>
      </c>
      <c r="E223" s="2045" t="s">
        <v>1896</v>
      </c>
      <c r="F223" s="2049">
        <f t="shared" ca="1" si="31"/>
        <v>0</v>
      </c>
      <c r="G223" s="2049">
        <f t="shared" si="32"/>
        <v>0</v>
      </c>
      <c r="H223" s="2051" t="s">
        <v>1896</v>
      </c>
      <c r="I223" s="2052">
        <v>1</v>
      </c>
      <c r="J223" s="2049">
        <f t="shared" ca="1" si="33"/>
        <v>0</v>
      </c>
      <c r="K223" s="2146">
        <f t="shared" ca="1" si="34"/>
        <v>0</v>
      </c>
      <c r="L223" s="2049">
        <f t="shared" ca="1" si="35"/>
        <v>0</v>
      </c>
      <c r="M223" s="2148">
        <f t="shared" ca="1" si="36"/>
        <v>0</v>
      </c>
      <c r="N223" s="2049">
        <f t="shared" si="37"/>
        <v>0</v>
      </c>
      <c r="O223" s="2148">
        <f t="shared" ca="1" si="38"/>
        <v>0</v>
      </c>
      <c r="P223" s="2049">
        <f t="shared" si="30"/>
        <v>0</v>
      </c>
      <c r="Q223" s="2148">
        <f t="shared" ca="1" si="39"/>
        <v>0</v>
      </c>
    </row>
    <row r="224" spans="1:17" outlineLevel="1">
      <c r="A224" s="1310">
        <f>+SYS_4_3_Digitos!A223</f>
        <v>547</v>
      </c>
      <c r="B224" s="1311" t="str">
        <f>+SYS_4_3_Digitos!B223</f>
        <v>INTERESES A CP DE CRÉDITOS</v>
      </c>
      <c r="C224" s="1314">
        <f ca="1">+SYS_4_3_Digitos!I223</f>
        <v>0</v>
      </c>
      <c r="D224" s="1315">
        <f ca="1">+SYS_4_3_Digitos!J223</f>
        <v>0</v>
      </c>
      <c r="E224" s="2045" t="s">
        <v>1896</v>
      </c>
      <c r="F224" s="2049">
        <f t="shared" ca="1" si="31"/>
        <v>0</v>
      </c>
      <c r="G224" s="2049">
        <f t="shared" si="32"/>
        <v>0</v>
      </c>
      <c r="H224" s="2051" t="s">
        <v>1896</v>
      </c>
      <c r="I224" s="2052">
        <v>1</v>
      </c>
      <c r="J224" s="2049">
        <f t="shared" ca="1" si="33"/>
        <v>0</v>
      </c>
      <c r="K224" s="2146">
        <f t="shared" ca="1" si="34"/>
        <v>0</v>
      </c>
      <c r="L224" s="2049">
        <f t="shared" ca="1" si="35"/>
        <v>0</v>
      </c>
      <c r="M224" s="2148">
        <f t="shared" ca="1" si="36"/>
        <v>0</v>
      </c>
      <c r="N224" s="2049">
        <f t="shared" si="37"/>
        <v>0</v>
      </c>
      <c r="O224" s="2148">
        <f t="shared" ca="1" si="38"/>
        <v>0</v>
      </c>
      <c r="P224" s="2049">
        <f t="shared" si="30"/>
        <v>0</v>
      </c>
      <c r="Q224" s="2148">
        <f t="shared" ca="1" si="39"/>
        <v>0</v>
      </c>
    </row>
    <row r="225" spans="1:17" outlineLevel="1">
      <c r="A225" s="1318">
        <f>+SYS_4_3_Digitos!A224</f>
        <v>548</v>
      </c>
      <c r="B225" s="1319" t="str">
        <f>+SYS_4_3_Digitos!B224</f>
        <v>IMPOSICIONES A CP</v>
      </c>
      <c r="C225" s="1322">
        <f ca="1">+SYS_4_3_Digitos!I224</f>
        <v>0</v>
      </c>
      <c r="D225" s="1323">
        <f ca="1">+SYS_4_3_Digitos!J224</f>
        <v>0</v>
      </c>
      <c r="E225" s="2046" t="s">
        <v>1896</v>
      </c>
      <c r="F225" s="2049">
        <f t="shared" ca="1" si="31"/>
        <v>0</v>
      </c>
      <c r="G225" s="2049">
        <f t="shared" si="32"/>
        <v>0</v>
      </c>
      <c r="H225" s="2051" t="s">
        <v>1896</v>
      </c>
      <c r="I225" s="2052">
        <v>1</v>
      </c>
      <c r="J225" s="2049">
        <f t="shared" ca="1" si="33"/>
        <v>0</v>
      </c>
      <c r="K225" s="2146">
        <f t="shared" ca="1" si="34"/>
        <v>0</v>
      </c>
      <c r="L225" s="2049">
        <f t="shared" ca="1" si="35"/>
        <v>0</v>
      </c>
      <c r="M225" s="2148">
        <f t="shared" ca="1" si="36"/>
        <v>0</v>
      </c>
      <c r="N225" s="2049">
        <f t="shared" si="37"/>
        <v>0</v>
      </c>
      <c r="O225" s="2148">
        <f t="shared" ca="1" si="38"/>
        <v>0</v>
      </c>
      <c r="P225" s="2049">
        <f t="shared" si="30"/>
        <v>0</v>
      </c>
      <c r="Q225" s="2148">
        <f t="shared" ca="1" si="39"/>
        <v>0</v>
      </c>
    </row>
    <row r="226" spans="1:17" outlineLevel="1">
      <c r="A226" s="1310">
        <f>+SYS_4_3_Digitos!A225</f>
        <v>549</v>
      </c>
      <c r="B226" s="1311" t="str">
        <f>+SYS_4_3_Digitos!B225</f>
        <v>DESEMBOLSOS PTES SOBRE PART EN EL PATRIM NETO A CP</v>
      </c>
      <c r="C226" s="1314">
        <f ca="1">+SYS_4_3_Digitos!I225</f>
        <v>0</v>
      </c>
      <c r="D226" s="1315">
        <f ca="1">+SYS_4_3_Digitos!J225</f>
        <v>0</v>
      </c>
      <c r="E226" s="2045" t="s">
        <v>1896</v>
      </c>
      <c r="F226" s="2049">
        <f t="shared" ca="1" si="31"/>
        <v>0</v>
      </c>
      <c r="G226" s="2049">
        <f t="shared" si="32"/>
        <v>0</v>
      </c>
      <c r="H226" s="2051" t="s">
        <v>1896</v>
      </c>
      <c r="I226" s="2052">
        <v>1</v>
      </c>
      <c r="J226" s="2049">
        <f t="shared" ca="1" si="33"/>
        <v>0</v>
      </c>
      <c r="K226" s="2146">
        <f t="shared" ca="1" si="34"/>
        <v>0</v>
      </c>
      <c r="L226" s="2049">
        <f t="shared" ca="1" si="35"/>
        <v>0</v>
      </c>
      <c r="M226" s="2148">
        <f t="shared" ca="1" si="36"/>
        <v>0</v>
      </c>
      <c r="N226" s="2049">
        <f t="shared" si="37"/>
        <v>0</v>
      </c>
      <c r="O226" s="2148">
        <f t="shared" ca="1" si="38"/>
        <v>0</v>
      </c>
      <c r="P226" s="2049">
        <f t="shared" si="30"/>
        <v>0</v>
      </c>
      <c r="Q226" s="2148">
        <f t="shared" ca="1" si="39"/>
        <v>0</v>
      </c>
    </row>
    <row r="227" spans="1:17" outlineLevel="1">
      <c r="A227" s="1318">
        <f>+SYS_4_3_Digitos!A226</f>
        <v>550</v>
      </c>
      <c r="B227" s="1319" t="str">
        <f>+SYS_4_3_Digitos!B226</f>
        <v>TITULAR DE LA EXPLOTACIÓN</v>
      </c>
      <c r="C227" s="1322">
        <f ca="1">+SYS_4_3_Digitos!I226</f>
        <v>0</v>
      </c>
      <c r="D227" s="1323">
        <f ca="1">+SYS_4_3_Digitos!J226</f>
        <v>0</v>
      </c>
      <c r="E227" s="2046" t="s">
        <v>1897</v>
      </c>
      <c r="F227" s="2050">
        <f ca="1">IF(C227&gt;0,C227,0)</f>
        <v>0</v>
      </c>
      <c r="G227" s="2050">
        <f ca="1">IF(D227&gt;0,D227,0)</f>
        <v>0</v>
      </c>
      <c r="H227" s="2051" t="s">
        <v>1896</v>
      </c>
      <c r="I227" s="2052">
        <v>1</v>
      </c>
      <c r="J227" s="2049">
        <f t="shared" ca="1" si="33"/>
        <v>0</v>
      </c>
      <c r="K227" s="2146">
        <f t="shared" ca="1" si="34"/>
        <v>0</v>
      </c>
      <c r="L227" s="2049">
        <f t="shared" ca="1" si="35"/>
        <v>0</v>
      </c>
      <c r="M227" s="2148">
        <f t="shared" ca="1" si="36"/>
        <v>0</v>
      </c>
      <c r="N227" s="2049">
        <f t="shared" ca="1" si="37"/>
        <v>0</v>
      </c>
      <c r="O227" s="2148">
        <f t="shared" ca="1" si="38"/>
        <v>0</v>
      </c>
      <c r="P227" s="2049">
        <f t="shared" ca="1" si="30"/>
        <v>0</v>
      </c>
      <c r="Q227" s="2148">
        <f t="shared" ca="1" si="39"/>
        <v>0</v>
      </c>
    </row>
    <row r="228" spans="1:17" outlineLevel="1">
      <c r="A228" s="1318">
        <f>+SYS_4_3_Digitos!A227</f>
        <v>551</v>
      </c>
      <c r="B228" s="1319" t="str">
        <f>+SYS_4_3_Digitos!B227</f>
        <v>CUENTA CORRIENTE CON SOCIOS Y ADMINISTRADORES</v>
      </c>
      <c r="C228" s="1322">
        <f ca="1">+SYS_4_3_Digitos!I227</f>
        <v>0</v>
      </c>
      <c r="D228" s="1323">
        <f ca="1">+SYS_4_3_Digitos!J227</f>
        <v>0</v>
      </c>
      <c r="E228" s="2046" t="s">
        <v>1897</v>
      </c>
      <c r="F228" s="2050">
        <f t="shared" ref="F228:F234" ca="1" si="40">IF(C228&gt;0,C228,0)</f>
        <v>0</v>
      </c>
      <c r="G228" s="2050">
        <f t="shared" ref="G228:G234" ca="1" si="41">IF(D228&gt;0,D228,0)</f>
        <v>0</v>
      </c>
      <c r="H228" s="2051" t="s">
        <v>1896</v>
      </c>
      <c r="I228" s="2052">
        <v>1</v>
      </c>
      <c r="J228" s="2049">
        <f t="shared" ca="1" si="33"/>
        <v>0</v>
      </c>
      <c r="K228" s="2146">
        <f t="shared" ca="1" si="34"/>
        <v>0</v>
      </c>
      <c r="L228" s="2049">
        <f t="shared" ca="1" si="35"/>
        <v>0</v>
      </c>
      <c r="M228" s="2148">
        <f t="shared" ca="1" si="36"/>
        <v>0</v>
      </c>
      <c r="N228" s="2049">
        <f t="shared" ca="1" si="37"/>
        <v>0</v>
      </c>
      <c r="O228" s="2148">
        <f t="shared" ca="1" si="38"/>
        <v>0</v>
      </c>
      <c r="P228" s="2049">
        <f t="shared" ca="1" si="30"/>
        <v>0</v>
      </c>
      <c r="Q228" s="2148">
        <f t="shared" ca="1" si="39"/>
        <v>0</v>
      </c>
    </row>
    <row r="229" spans="1:17" outlineLevel="1">
      <c r="A229" s="1318">
        <f>+SYS_4_3_Digitos!A228</f>
        <v>5523</v>
      </c>
      <c r="B229" s="1319" t="str">
        <f>+SYS_4_3_Digitos!B228</f>
        <v>CUENTA CORRIENTE CON EMPRESAS DEL GRUPO</v>
      </c>
      <c r="C229" s="1322">
        <f ca="1">+SYS_4_3_Digitos!I228</f>
        <v>0</v>
      </c>
      <c r="D229" s="1323">
        <f ca="1">+SYS_4_3_Digitos!J228</f>
        <v>0</v>
      </c>
      <c r="E229" s="2046" t="s">
        <v>1897</v>
      </c>
      <c r="F229" s="2050">
        <f t="shared" ca="1" si="40"/>
        <v>0</v>
      </c>
      <c r="G229" s="2050">
        <f t="shared" ca="1" si="41"/>
        <v>0</v>
      </c>
      <c r="H229" s="2051" t="s">
        <v>1896</v>
      </c>
      <c r="I229" s="2052">
        <v>1</v>
      </c>
      <c r="J229" s="2049">
        <f t="shared" ca="1" si="33"/>
        <v>0</v>
      </c>
      <c r="K229" s="2146">
        <f t="shared" ca="1" si="34"/>
        <v>0</v>
      </c>
      <c r="L229" s="2049">
        <f t="shared" ca="1" si="35"/>
        <v>0</v>
      </c>
      <c r="M229" s="2148">
        <f t="shared" ca="1" si="36"/>
        <v>0</v>
      </c>
      <c r="N229" s="2049">
        <f t="shared" ca="1" si="37"/>
        <v>0</v>
      </c>
      <c r="O229" s="2148">
        <f t="shared" ca="1" si="38"/>
        <v>0</v>
      </c>
      <c r="P229" s="2049">
        <f t="shared" ca="1" si="30"/>
        <v>0</v>
      </c>
      <c r="Q229" s="2148">
        <f t="shared" ca="1" si="39"/>
        <v>0</v>
      </c>
    </row>
    <row r="230" spans="1:17" outlineLevel="1">
      <c r="A230" s="1318">
        <f>+SYS_4_3_Digitos!A229</f>
        <v>5524</v>
      </c>
      <c r="B230" s="1319" t="str">
        <f>+SYS_4_3_Digitos!B229</f>
        <v>CUENTA CORRIENTE CON EMPRESAS ASOCIADAS</v>
      </c>
      <c r="C230" s="1322">
        <f ca="1">+SYS_4_3_Digitos!I229</f>
        <v>0</v>
      </c>
      <c r="D230" s="1323">
        <f ca="1">+SYS_4_3_Digitos!J229</f>
        <v>0</v>
      </c>
      <c r="E230" s="2046" t="s">
        <v>1897</v>
      </c>
      <c r="F230" s="2050">
        <f t="shared" ca="1" si="40"/>
        <v>0</v>
      </c>
      <c r="G230" s="2050">
        <f t="shared" ca="1" si="41"/>
        <v>0</v>
      </c>
      <c r="H230" s="2051" t="s">
        <v>1896</v>
      </c>
      <c r="I230" s="2052">
        <v>1</v>
      </c>
      <c r="J230" s="2049">
        <f t="shared" ca="1" si="33"/>
        <v>0</v>
      </c>
      <c r="K230" s="2146">
        <f t="shared" ca="1" si="34"/>
        <v>0</v>
      </c>
      <c r="L230" s="2049">
        <f t="shared" ca="1" si="35"/>
        <v>0</v>
      </c>
      <c r="M230" s="2148">
        <f t="shared" ca="1" si="36"/>
        <v>0</v>
      </c>
      <c r="N230" s="2049">
        <f t="shared" ca="1" si="37"/>
        <v>0</v>
      </c>
      <c r="O230" s="2148">
        <f t="shared" ca="1" si="38"/>
        <v>0</v>
      </c>
      <c r="P230" s="2049">
        <f t="shared" ca="1" si="30"/>
        <v>0</v>
      </c>
      <c r="Q230" s="2148">
        <f t="shared" ca="1" si="39"/>
        <v>0</v>
      </c>
    </row>
    <row r="231" spans="1:17" outlineLevel="1">
      <c r="A231" s="1318">
        <f>+SYS_4_3_Digitos!A230</f>
        <v>5525</v>
      </c>
      <c r="B231" s="1319" t="str">
        <f>+SYS_4_3_Digitos!B230</f>
        <v>CUENTA CORRIENTE CON OTRAS PARTES VINCULADAS</v>
      </c>
      <c r="C231" s="1322">
        <f ca="1">+SYS_4_3_Digitos!I230</f>
        <v>0</v>
      </c>
      <c r="D231" s="1323">
        <f ca="1">+SYS_4_3_Digitos!J230</f>
        <v>0</v>
      </c>
      <c r="E231" s="2046" t="s">
        <v>1897</v>
      </c>
      <c r="F231" s="2050">
        <f t="shared" ca="1" si="40"/>
        <v>0</v>
      </c>
      <c r="G231" s="2050">
        <f t="shared" ca="1" si="41"/>
        <v>0</v>
      </c>
      <c r="H231" s="2051" t="s">
        <v>1896</v>
      </c>
      <c r="I231" s="2052">
        <v>1</v>
      </c>
      <c r="J231" s="2049">
        <f t="shared" ca="1" si="33"/>
        <v>0</v>
      </c>
      <c r="K231" s="2146">
        <f t="shared" ca="1" si="34"/>
        <v>0</v>
      </c>
      <c r="L231" s="2049">
        <f t="shared" ca="1" si="35"/>
        <v>0</v>
      </c>
      <c r="M231" s="2148">
        <f t="shared" ca="1" si="36"/>
        <v>0</v>
      </c>
      <c r="N231" s="2049">
        <f t="shared" ca="1" si="37"/>
        <v>0</v>
      </c>
      <c r="O231" s="2148">
        <f t="shared" ca="1" si="38"/>
        <v>0</v>
      </c>
      <c r="P231" s="2049">
        <f t="shared" ca="1" si="30"/>
        <v>0</v>
      </c>
      <c r="Q231" s="2148">
        <f t="shared" ca="1" si="39"/>
        <v>0</v>
      </c>
    </row>
    <row r="232" spans="1:17" outlineLevel="1">
      <c r="A232" s="1310">
        <f>+SYS_4_3_Digitos!A231</f>
        <v>553</v>
      </c>
      <c r="B232" s="1311" t="str">
        <f>+SYS_4_3_Digitos!B231</f>
        <v>CUENTAS CORRIENTES EN FUSIONES Y ESCISIONES</v>
      </c>
      <c r="C232" s="1314">
        <f ca="1">+SYS_4_3_Digitos!I231</f>
        <v>0</v>
      </c>
      <c r="D232" s="1315">
        <f ca="1">+SYS_4_3_Digitos!J231</f>
        <v>0</v>
      </c>
      <c r="E232" s="2045" t="s">
        <v>1897</v>
      </c>
      <c r="F232" s="2050">
        <f t="shared" ca="1" si="40"/>
        <v>0</v>
      </c>
      <c r="G232" s="2050">
        <f t="shared" ca="1" si="41"/>
        <v>0</v>
      </c>
      <c r="H232" s="2051" t="s">
        <v>1896</v>
      </c>
      <c r="I232" s="2052">
        <v>1</v>
      </c>
      <c r="J232" s="2049">
        <f t="shared" ca="1" si="33"/>
        <v>0</v>
      </c>
      <c r="K232" s="2146">
        <f t="shared" ca="1" si="34"/>
        <v>0</v>
      </c>
      <c r="L232" s="2049">
        <f t="shared" ca="1" si="35"/>
        <v>0</v>
      </c>
      <c r="M232" s="2148">
        <f t="shared" ca="1" si="36"/>
        <v>0</v>
      </c>
      <c r="N232" s="2049">
        <f t="shared" ca="1" si="37"/>
        <v>0</v>
      </c>
      <c r="O232" s="2148">
        <f t="shared" ca="1" si="38"/>
        <v>0</v>
      </c>
      <c r="P232" s="2049">
        <f t="shared" ca="1" si="30"/>
        <v>0</v>
      </c>
      <c r="Q232" s="2148">
        <f t="shared" ca="1" si="39"/>
        <v>0</v>
      </c>
    </row>
    <row r="233" spans="1:17" outlineLevel="1">
      <c r="A233" s="1310">
        <f>+SYS_4_3_Digitos!A232</f>
        <v>554</v>
      </c>
      <c r="B233" s="1311" t="str">
        <f>+SYS_4_3_Digitos!B232</f>
        <v>CUENTA CORRIENTE CON UTE Y CB</v>
      </c>
      <c r="C233" s="1314">
        <f ca="1">+SYS_4_3_Digitos!I232</f>
        <v>0</v>
      </c>
      <c r="D233" s="1315">
        <f ca="1">+SYS_4_3_Digitos!J232</f>
        <v>0</v>
      </c>
      <c r="E233" s="2045" t="s">
        <v>1897</v>
      </c>
      <c r="F233" s="2050">
        <f t="shared" ca="1" si="40"/>
        <v>0</v>
      </c>
      <c r="G233" s="2050">
        <f t="shared" ca="1" si="41"/>
        <v>0</v>
      </c>
      <c r="H233" s="2051" t="s">
        <v>1896</v>
      </c>
      <c r="I233" s="2052">
        <v>1</v>
      </c>
      <c r="J233" s="2049">
        <f t="shared" ca="1" si="33"/>
        <v>0</v>
      </c>
      <c r="K233" s="2146">
        <f t="shared" ca="1" si="34"/>
        <v>0</v>
      </c>
      <c r="L233" s="2049">
        <f t="shared" ca="1" si="35"/>
        <v>0</v>
      </c>
      <c r="M233" s="2148">
        <f t="shared" ca="1" si="36"/>
        <v>0</v>
      </c>
      <c r="N233" s="2049">
        <f t="shared" ca="1" si="37"/>
        <v>0</v>
      </c>
      <c r="O233" s="2148">
        <f t="shared" ca="1" si="38"/>
        <v>0</v>
      </c>
      <c r="P233" s="2049">
        <f t="shared" ca="1" si="30"/>
        <v>0</v>
      </c>
      <c r="Q233" s="2148">
        <f t="shared" ca="1" si="39"/>
        <v>0</v>
      </c>
    </row>
    <row r="234" spans="1:17" outlineLevel="1">
      <c r="A234" s="1318">
        <f>+SYS_4_3_Digitos!A233</f>
        <v>555</v>
      </c>
      <c r="B234" s="1319" t="str">
        <f>+SYS_4_3_Digitos!B233</f>
        <v>PARTIDAS PENDIENTES DE APLICACIÓN</v>
      </c>
      <c r="C234" s="1322">
        <f ca="1">+SYS_4_3_Digitos!I233</f>
        <v>0</v>
      </c>
      <c r="D234" s="1323">
        <f ca="1">+SYS_4_3_Digitos!J233</f>
        <v>0</v>
      </c>
      <c r="E234" s="2046" t="s">
        <v>1897</v>
      </c>
      <c r="F234" s="2050">
        <f t="shared" ca="1" si="40"/>
        <v>0</v>
      </c>
      <c r="G234" s="2050">
        <f t="shared" ca="1" si="41"/>
        <v>0</v>
      </c>
      <c r="H234" s="2051" t="s">
        <v>1896</v>
      </c>
      <c r="I234" s="2052">
        <v>1</v>
      </c>
      <c r="J234" s="2049">
        <f t="shared" ca="1" si="33"/>
        <v>0</v>
      </c>
      <c r="K234" s="2146">
        <f t="shared" ca="1" si="34"/>
        <v>0</v>
      </c>
      <c r="L234" s="2049">
        <f t="shared" ca="1" si="35"/>
        <v>0</v>
      </c>
      <c r="M234" s="2148">
        <f t="shared" ca="1" si="36"/>
        <v>0</v>
      </c>
      <c r="N234" s="2049">
        <f t="shared" ca="1" si="37"/>
        <v>0</v>
      </c>
      <c r="O234" s="2148">
        <f t="shared" ca="1" si="38"/>
        <v>0</v>
      </c>
      <c r="P234" s="2049">
        <f t="shared" ca="1" si="30"/>
        <v>0</v>
      </c>
      <c r="Q234" s="2148">
        <f t="shared" ca="1" si="39"/>
        <v>0</v>
      </c>
    </row>
    <row r="235" spans="1:17" outlineLevel="1">
      <c r="A235" s="1310">
        <f>+SYS_4_3_Digitos!A234</f>
        <v>556</v>
      </c>
      <c r="B235" s="1311" t="str">
        <f>+SYS_4_3_Digitos!B234</f>
        <v>DESEMBOLSOS EXIGIDOS SOBRE PARTIC. EN EL PAT. NETO</v>
      </c>
      <c r="C235" s="1314">
        <f ca="1">+SYS_4_3_Digitos!I234</f>
        <v>0</v>
      </c>
      <c r="D235" s="1315">
        <f ca="1">+SYS_4_3_Digitos!J234</f>
        <v>0</v>
      </c>
      <c r="E235" s="2045" t="s">
        <v>1895</v>
      </c>
      <c r="F235" s="2049">
        <f t="shared" si="31"/>
        <v>0</v>
      </c>
      <c r="G235" s="2049">
        <f t="shared" ca="1" si="32"/>
        <v>0</v>
      </c>
      <c r="H235" s="2051" t="s">
        <v>1896</v>
      </c>
      <c r="I235" s="2052">
        <v>1</v>
      </c>
      <c r="J235" s="2049">
        <f t="shared" si="33"/>
        <v>0</v>
      </c>
      <c r="K235" s="2146">
        <f t="shared" ca="1" si="34"/>
        <v>0</v>
      </c>
      <c r="L235" s="2049">
        <f t="shared" si="35"/>
        <v>0</v>
      </c>
      <c r="M235" s="2148">
        <f t="shared" ca="1" si="36"/>
        <v>0</v>
      </c>
      <c r="N235" s="2049">
        <f t="shared" ca="1" si="37"/>
        <v>0</v>
      </c>
      <c r="O235" s="2148">
        <f t="shared" ca="1" si="38"/>
        <v>0</v>
      </c>
      <c r="P235" s="2049">
        <f t="shared" ca="1" si="30"/>
        <v>0</v>
      </c>
      <c r="Q235" s="2148">
        <f t="shared" ca="1" si="39"/>
        <v>0</v>
      </c>
    </row>
    <row r="236" spans="1:17" outlineLevel="1">
      <c r="A236" s="2071">
        <f>+SYS_4_3_Digitos!A235</f>
        <v>557</v>
      </c>
      <c r="B236" s="2072" t="str">
        <f>+SYS_4_3_Digitos!B235</f>
        <v>DIVIDENDO ACTIVO A CUENTA</v>
      </c>
      <c r="C236" s="2073">
        <f ca="1">+SYS_4_3_Digitos!I235</f>
        <v>0</v>
      </c>
      <c r="D236" s="2074">
        <f ca="1">+SYS_4_3_Digitos!J235</f>
        <v>0</v>
      </c>
      <c r="E236" s="2065" t="s">
        <v>1895</v>
      </c>
      <c r="F236" s="2066">
        <f t="shared" si="31"/>
        <v>0</v>
      </c>
      <c r="G236" s="2066">
        <f t="shared" ca="1" si="32"/>
        <v>0</v>
      </c>
      <c r="H236" s="2051" t="s">
        <v>1896</v>
      </c>
      <c r="I236" s="2052">
        <v>1</v>
      </c>
      <c r="J236" s="2049">
        <f t="shared" si="33"/>
        <v>0</v>
      </c>
      <c r="K236" s="2146">
        <f t="shared" ca="1" si="34"/>
        <v>0</v>
      </c>
      <c r="L236" s="2049">
        <f t="shared" si="35"/>
        <v>0</v>
      </c>
      <c r="M236" s="2148">
        <f t="shared" ca="1" si="36"/>
        <v>0</v>
      </c>
      <c r="N236" s="2049">
        <f t="shared" ca="1" si="37"/>
        <v>0</v>
      </c>
      <c r="O236" s="2148">
        <f t="shared" ca="1" si="38"/>
        <v>0</v>
      </c>
      <c r="P236" s="2049">
        <f t="shared" ca="1" si="30"/>
        <v>0</v>
      </c>
      <c r="Q236" s="2148">
        <f t="shared" ca="1" si="39"/>
        <v>0</v>
      </c>
    </row>
    <row r="237" spans="1:17" outlineLevel="1">
      <c r="A237" s="1310">
        <f>+SYS_4_3_Digitos!A236</f>
        <v>558</v>
      </c>
      <c r="B237" s="1311" t="str">
        <f>+SYS_4_3_Digitos!B236</f>
        <v>SOCIOS POR DESEMBOLSOS EXIGIDOS</v>
      </c>
      <c r="C237" s="1314">
        <f ca="1">+SYS_4_3_Digitos!I236</f>
        <v>0</v>
      </c>
      <c r="D237" s="1315">
        <f ca="1">+SYS_4_3_Digitos!J236</f>
        <v>0</v>
      </c>
      <c r="E237" s="2045" t="s">
        <v>1896</v>
      </c>
      <c r="F237" s="2049">
        <f t="shared" ca="1" si="31"/>
        <v>0</v>
      </c>
      <c r="G237" s="2049">
        <f t="shared" si="32"/>
        <v>0</v>
      </c>
      <c r="H237" s="2051" t="s">
        <v>1896</v>
      </c>
      <c r="I237" s="2052">
        <v>1</v>
      </c>
      <c r="J237" s="2049">
        <f t="shared" ca="1" si="33"/>
        <v>0</v>
      </c>
      <c r="K237" s="2146">
        <f t="shared" ca="1" si="34"/>
        <v>0</v>
      </c>
      <c r="L237" s="2049">
        <f t="shared" ca="1" si="35"/>
        <v>0</v>
      </c>
      <c r="M237" s="2148">
        <f t="shared" ca="1" si="36"/>
        <v>0</v>
      </c>
      <c r="N237" s="2049">
        <f t="shared" si="37"/>
        <v>0</v>
      </c>
      <c r="O237" s="2148">
        <f t="shared" ca="1" si="38"/>
        <v>0</v>
      </c>
      <c r="P237" s="2049">
        <f t="shared" si="30"/>
        <v>0</v>
      </c>
      <c r="Q237" s="2148">
        <f t="shared" ca="1" si="39"/>
        <v>0</v>
      </c>
    </row>
    <row r="238" spans="1:17" outlineLevel="1">
      <c r="A238" s="1310">
        <f>+SYS_4_3_Digitos!A237</f>
        <v>559</v>
      </c>
      <c r="B238" s="1311" t="str">
        <f>+SYS_4_3_Digitos!B237</f>
        <v>DERIVADOS FROS A CP</v>
      </c>
      <c r="C238" s="1314">
        <f ca="1">+SYS_4_3_Digitos!I237</f>
        <v>0</v>
      </c>
      <c r="D238" s="1315">
        <f ca="1">+SYS_4_3_Digitos!J237</f>
        <v>0</v>
      </c>
      <c r="E238" s="2045" t="s">
        <v>1896</v>
      </c>
      <c r="F238" s="2049">
        <f t="shared" ca="1" si="31"/>
        <v>0</v>
      </c>
      <c r="G238" s="2049">
        <f t="shared" si="32"/>
        <v>0</v>
      </c>
      <c r="H238" s="2051" t="s">
        <v>1896</v>
      </c>
      <c r="I238" s="2052">
        <v>1</v>
      </c>
      <c r="J238" s="2049">
        <f t="shared" ca="1" si="33"/>
        <v>0</v>
      </c>
      <c r="K238" s="2146">
        <f t="shared" ca="1" si="34"/>
        <v>0</v>
      </c>
      <c r="L238" s="2049">
        <f t="shared" ca="1" si="35"/>
        <v>0</v>
      </c>
      <c r="M238" s="2148">
        <f t="shared" ca="1" si="36"/>
        <v>0</v>
      </c>
      <c r="N238" s="2049">
        <f t="shared" si="37"/>
        <v>0</v>
      </c>
      <c r="O238" s="2148">
        <f t="shared" ca="1" si="38"/>
        <v>0</v>
      </c>
      <c r="P238" s="2049">
        <f t="shared" si="30"/>
        <v>0</v>
      </c>
      <c r="Q238" s="2148">
        <f t="shared" ca="1" si="39"/>
        <v>0</v>
      </c>
    </row>
    <row r="239" spans="1:17" outlineLevel="1">
      <c r="A239" s="1310">
        <f>+SYS_4_3_Digitos!A238</f>
        <v>560</v>
      </c>
      <c r="B239" s="1311" t="str">
        <f>+SYS_4_3_Digitos!B238</f>
        <v>FIANZAS RECIBIDAS A CP</v>
      </c>
      <c r="C239" s="1314">
        <f ca="1">+SYS_4_3_Digitos!I238</f>
        <v>0</v>
      </c>
      <c r="D239" s="1315">
        <f ca="1">+SYS_4_3_Digitos!J238</f>
        <v>0</v>
      </c>
      <c r="E239" s="2045" t="s">
        <v>1895</v>
      </c>
      <c r="F239" s="2049">
        <f t="shared" si="31"/>
        <v>0</v>
      </c>
      <c r="G239" s="2049">
        <f t="shared" ca="1" si="32"/>
        <v>0</v>
      </c>
      <c r="H239" s="2051" t="s">
        <v>1896</v>
      </c>
      <c r="I239" s="2052">
        <v>1</v>
      </c>
      <c r="J239" s="2049">
        <f t="shared" si="33"/>
        <v>0</v>
      </c>
      <c r="K239" s="2146">
        <f t="shared" ca="1" si="34"/>
        <v>0</v>
      </c>
      <c r="L239" s="2049">
        <f t="shared" si="35"/>
        <v>0</v>
      </c>
      <c r="M239" s="2148">
        <f t="shared" ca="1" si="36"/>
        <v>0</v>
      </c>
      <c r="N239" s="2049">
        <f t="shared" ca="1" si="37"/>
        <v>0</v>
      </c>
      <c r="O239" s="2148">
        <f t="shared" ca="1" si="38"/>
        <v>0</v>
      </c>
      <c r="P239" s="2049">
        <f t="shared" ca="1" si="30"/>
        <v>0</v>
      </c>
      <c r="Q239" s="2148">
        <f t="shared" ca="1" si="39"/>
        <v>0</v>
      </c>
    </row>
    <row r="240" spans="1:17" outlineLevel="1">
      <c r="A240" s="1310">
        <f>+SYS_4_3_Digitos!A239</f>
        <v>561</v>
      </c>
      <c r="B240" s="1311" t="str">
        <f>+SYS_4_3_Digitos!B239</f>
        <v>DEPÓSITOS RECIBIDOS A CP</v>
      </c>
      <c r="C240" s="1314">
        <f ca="1">+SYS_4_3_Digitos!I239</f>
        <v>0</v>
      </c>
      <c r="D240" s="1315">
        <f ca="1">+SYS_4_3_Digitos!J239</f>
        <v>0</v>
      </c>
      <c r="E240" s="2045" t="s">
        <v>1895</v>
      </c>
      <c r="F240" s="2049">
        <f t="shared" si="31"/>
        <v>0</v>
      </c>
      <c r="G240" s="2049">
        <f t="shared" ca="1" si="32"/>
        <v>0</v>
      </c>
      <c r="H240" s="2051" t="s">
        <v>1896</v>
      </c>
      <c r="I240" s="2052">
        <v>1</v>
      </c>
      <c r="J240" s="2049">
        <f t="shared" si="33"/>
        <v>0</v>
      </c>
      <c r="K240" s="2146">
        <f t="shared" ca="1" si="34"/>
        <v>0</v>
      </c>
      <c r="L240" s="2049">
        <f t="shared" si="35"/>
        <v>0</v>
      </c>
      <c r="M240" s="2148">
        <f t="shared" ca="1" si="36"/>
        <v>0</v>
      </c>
      <c r="N240" s="2049">
        <f t="shared" ca="1" si="37"/>
        <v>0</v>
      </c>
      <c r="O240" s="2148">
        <f t="shared" ca="1" si="38"/>
        <v>0</v>
      </c>
      <c r="P240" s="2049">
        <f t="shared" ca="1" si="30"/>
        <v>0</v>
      </c>
      <c r="Q240" s="2148">
        <f t="shared" ca="1" si="39"/>
        <v>0</v>
      </c>
    </row>
    <row r="241" spans="1:17" outlineLevel="1">
      <c r="A241" s="1310">
        <f>+SYS_4_3_Digitos!A240</f>
        <v>565</v>
      </c>
      <c r="B241" s="1311" t="str">
        <f>+SYS_4_3_Digitos!B240</f>
        <v>FIANZAS CONSTITUIDDAS A CP</v>
      </c>
      <c r="C241" s="1314">
        <f ca="1">+SYS_4_3_Digitos!I240</f>
        <v>0</v>
      </c>
      <c r="D241" s="1315">
        <f ca="1">+SYS_4_3_Digitos!J240</f>
        <v>0</v>
      </c>
      <c r="E241" s="2045" t="s">
        <v>1896</v>
      </c>
      <c r="F241" s="2049">
        <f t="shared" ca="1" si="31"/>
        <v>0</v>
      </c>
      <c r="G241" s="2049">
        <f t="shared" si="32"/>
        <v>0</v>
      </c>
      <c r="H241" s="2051" t="s">
        <v>1896</v>
      </c>
      <c r="I241" s="2052">
        <v>1</v>
      </c>
      <c r="J241" s="2049">
        <f t="shared" ca="1" si="33"/>
        <v>0</v>
      </c>
      <c r="K241" s="2146">
        <f t="shared" ca="1" si="34"/>
        <v>0</v>
      </c>
      <c r="L241" s="2049">
        <f t="shared" ca="1" si="35"/>
        <v>0</v>
      </c>
      <c r="M241" s="2148">
        <f t="shared" ca="1" si="36"/>
        <v>0</v>
      </c>
      <c r="N241" s="2049">
        <f t="shared" si="37"/>
        <v>0</v>
      </c>
      <c r="O241" s="2148">
        <f t="shared" ca="1" si="38"/>
        <v>0</v>
      </c>
      <c r="P241" s="2049">
        <f t="shared" si="30"/>
        <v>0</v>
      </c>
      <c r="Q241" s="2148">
        <f t="shared" ca="1" si="39"/>
        <v>0</v>
      </c>
    </row>
    <row r="242" spans="1:17" outlineLevel="1">
      <c r="A242" s="1310">
        <f>+SYS_4_3_Digitos!A241</f>
        <v>566</v>
      </c>
      <c r="B242" s="1311" t="str">
        <f>+SYS_4_3_Digitos!B241</f>
        <v>DEPÓSITOS CONSTITUIDOS A CP</v>
      </c>
      <c r="C242" s="1314">
        <f ca="1">+SYS_4_3_Digitos!I241</f>
        <v>103027.25</v>
      </c>
      <c r="D242" s="1315">
        <f ca="1">+SYS_4_3_Digitos!J241</f>
        <v>0</v>
      </c>
      <c r="E242" s="2045" t="s">
        <v>1896</v>
      </c>
      <c r="F242" s="2049">
        <f t="shared" ca="1" si="31"/>
        <v>103027.25</v>
      </c>
      <c r="G242" s="2049">
        <f t="shared" si="32"/>
        <v>0</v>
      </c>
      <c r="H242" s="2051" t="s">
        <v>1896</v>
      </c>
      <c r="I242" s="2052">
        <v>1</v>
      </c>
      <c r="J242" s="2049">
        <f t="shared" ca="1" si="33"/>
        <v>103027.25</v>
      </c>
      <c r="K242" s="2146">
        <f t="shared" ca="1" si="34"/>
        <v>2.9240127463665757E-4</v>
      </c>
      <c r="L242" s="2049">
        <f t="shared" ca="1" si="35"/>
        <v>0</v>
      </c>
      <c r="M242" s="2148">
        <f t="shared" ca="1" si="36"/>
        <v>0</v>
      </c>
      <c r="N242" s="2049">
        <f t="shared" si="37"/>
        <v>0</v>
      </c>
      <c r="O242" s="2148">
        <f t="shared" ca="1" si="38"/>
        <v>0</v>
      </c>
      <c r="P242" s="2049">
        <f t="shared" si="30"/>
        <v>0</v>
      </c>
      <c r="Q242" s="2148">
        <f t="shared" ca="1" si="39"/>
        <v>0</v>
      </c>
    </row>
    <row r="243" spans="1:17" outlineLevel="1">
      <c r="A243" s="1310">
        <f>+SYS_4_3_Digitos!A242</f>
        <v>567</v>
      </c>
      <c r="B243" s="1311" t="str">
        <f>+SYS_4_3_Digitos!B242</f>
        <v>INTERESES PAGADOS POR ANTICIPADO</v>
      </c>
      <c r="C243" s="1314">
        <f ca="1">+SYS_4_3_Digitos!I242</f>
        <v>0</v>
      </c>
      <c r="D243" s="1315">
        <f ca="1">+SYS_4_3_Digitos!J242</f>
        <v>0</v>
      </c>
      <c r="E243" s="2045" t="s">
        <v>1896</v>
      </c>
      <c r="F243" s="2049">
        <f t="shared" ca="1" si="31"/>
        <v>0</v>
      </c>
      <c r="G243" s="2049">
        <f t="shared" si="32"/>
        <v>0</v>
      </c>
      <c r="H243" s="2051" t="s">
        <v>1896</v>
      </c>
      <c r="I243" s="2052">
        <v>1</v>
      </c>
      <c r="J243" s="2049">
        <f t="shared" ca="1" si="33"/>
        <v>0</v>
      </c>
      <c r="K243" s="2146">
        <f t="shared" ca="1" si="34"/>
        <v>0</v>
      </c>
      <c r="L243" s="2049">
        <f t="shared" ca="1" si="35"/>
        <v>0</v>
      </c>
      <c r="M243" s="2148">
        <f t="shared" ca="1" si="36"/>
        <v>0</v>
      </c>
      <c r="N243" s="2049">
        <f t="shared" si="37"/>
        <v>0</v>
      </c>
      <c r="O243" s="2148">
        <f t="shared" ca="1" si="38"/>
        <v>0</v>
      </c>
      <c r="P243" s="2049">
        <f t="shared" si="30"/>
        <v>0</v>
      </c>
      <c r="Q243" s="2148">
        <f t="shared" ca="1" si="39"/>
        <v>0</v>
      </c>
    </row>
    <row r="244" spans="1:17" outlineLevel="1">
      <c r="A244" s="1310">
        <f>+SYS_4_3_Digitos!A243</f>
        <v>568</v>
      </c>
      <c r="B244" s="1311" t="str">
        <f>+SYS_4_3_Digitos!B243</f>
        <v>INTERESES COBRADOS POR ANTICIPADO</v>
      </c>
      <c r="C244" s="1314">
        <f ca="1">+SYS_4_3_Digitos!I243</f>
        <v>0</v>
      </c>
      <c r="D244" s="1315">
        <f ca="1">+SYS_4_3_Digitos!J243</f>
        <v>0</v>
      </c>
      <c r="E244" s="2045" t="s">
        <v>1895</v>
      </c>
      <c r="F244" s="2049">
        <f t="shared" si="31"/>
        <v>0</v>
      </c>
      <c r="G244" s="2049">
        <f t="shared" ca="1" si="32"/>
        <v>0</v>
      </c>
      <c r="H244" s="2051" t="s">
        <v>1896</v>
      </c>
      <c r="I244" s="2052">
        <v>1</v>
      </c>
      <c r="J244" s="2049">
        <f t="shared" si="33"/>
        <v>0</v>
      </c>
      <c r="K244" s="2146">
        <f t="shared" ca="1" si="34"/>
        <v>0</v>
      </c>
      <c r="L244" s="2049">
        <f t="shared" si="35"/>
        <v>0</v>
      </c>
      <c r="M244" s="2148">
        <f t="shared" ca="1" si="36"/>
        <v>0</v>
      </c>
      <c r="N244" s="2049">
        <f t="shared" ca="1" si="37"/>
        <v>0</v>
      </c>
      <c r="O244" s="2148">
        <f t="shared" ca="1" si="38"/>
        <v>0</v>
      </c>
      <c r="P244" s="2049">
        <f t="shared" ca="1" si="30"/>
        <v>0</v>
      </c>
      <c r="Q244" s="2148">
        <f t="shared" ca="1" si="39"/>
        <v>0</v>
      </c>
    </row>
    <row r="245" spans="1:17" outlineLevel="1">
      <c r="A245" s="1310">
        <f>+SYS_4_3_Digitos!A244</f>
        <v>569</v>
      </c>
      <c r="B245" s="1311" t="str">
        <f>+SYS_4_3_Digitos!B244</f>
        <v>GARANTÍAS FINANCIERAS A CP</v>
      </c>
      <c r="C245" s="1314">
        <f ca="1">+SYS_4_3_Digitos!I244</f>
        <v>0</v>
      </c>
      <c r="D245" s="1315">
        <f ca="1">+SYS_4_3_Digitos!J244</f>
        <v>0</v>
      </c>
      <c r="E245" s="2045" t="s">
        <v>1895</v>
      </c>
      <c r="F245" s="2049">
        <f t="shared" si="31"/>
        <v>0</v>
      </c>
      <c r="G245" s="2049">
        <f t="shared" ca="1" si="32"/>
        <v>0</v>
      </c>
      <c r="H245" s="2051" t="s">
        <v>1896</v>
      </c>
      <c r="I245" s="2052">
        <v>1</v>
      </c>
      <c r="J245" s="2049">
        <f t="shared" si="33"/>
        <v>0</v>
      </c>
      <c r="K245" s="2146">
        <f t="shared" ca="1" si="34"/>
        <v>0</v>
      </c>
      <c r="L245" s="2049">
        <f t="shared" si="35"/>
        <v>0</v>
      </c>
      <c r="M245" s="2148">
        <f t="shared" ca="1" si="36"/>
        <v>0</v>
      </c>
      <c r="N245" s="2049">
        <f t="shared" ca="1" si="37"/>
        <v>0</v>
      </c>
      <c r="O245" s="2148">
        <f t="shared" ca="1" si="38"/>
        <v>0</v>
      </c>
      <c r="P245" s="2049">
        <f t="shared" ca="1" si="30"/>
        <v>0</v>
      </c>
      <c r="Q245" s="2148">
        <f t="shared" ca="1" si="39"/>
        <v>0</v>
      </c>
    </row>
    <row r="246" spans="1:17" outlineLevel="1">
      <c r="A246" s="1310">
        <f>+SYS_4_3_Digitos!A245</f>
        <v>570</v>
      </c>
      <c r="B246" s="1311" t="str">
        <f>+SYS_4_3_Digitos!B245</f>
        <v>CAJA, EUROS</v>
      </c>
      <c r="C246" s="1314">
        <f ca="1">+SYS_4_3_Digitos!I245</f>
        <v>793.1</v>
      </c>
      <c r="D246" s="1315">
        <f ca="1">+SYS_4_3_Digitos!J245</f>
        <v>0</v>
      </c>
      <c r="E246" s="2045" t="s">
        <v>1896</v>
      </c>
      <c r="F246" s="2049">
        <f t="shared" ca="1" si="31"/>
        <v>793.1</v>
      </c>
      <c r="G246" s="2049">
        <f t="shared" si="32"/>
        <v>0</v>
      </c>
      <c r="H246" s="2051" t="s">
        <v>1896</v>
      </c>
      <c r="I246" s="2051">
        <f ca="1">+(SUM($J$7:$J$245)+SUM($J$250:$J$264))/(SUM($F$7:$F$245)+SUM($F$250:$F$396))</f>
        <v>1</v>
      </c>
      <c r="J246" s="2049">
        <f t="shared" ca="1" si="33"/>
        <v>793.1</v>
      </c>
      <c r="K246" s="2146">
        <f t="shared" ca="1" si="34"/>
        <v>2.2508943111102466E-6</v>
      </c>
      <c r="L246" s="2049">
        <f t="shared" ca="1" si="35"/>
        <v>0</v>
      </c>
      <c r="M246" s="2148">
        <f t="shared" ca="1" si="36"/>
        <v>0</v>
      </c>
      <c r="N246" s="2049">
        <f t="shared" ca="1" si="37"/>
        <v>0</v>
      </c>
      <c r="O246" s="2148">
        <f t="shared" ca="1" si="38"/>
        <v>0</v>
      </c>
      <c r="P246" s="2049">
        <f t="shared" ca="1" si="30"/>
        <v>0</v>
      </c>
      <c r="Q246" s="2148">
        <f t="shared" ca="1" si="39"/>
        <v>0</v>
      </c>
    </row>
    <row r="247" spans="1:17" outlineLevel="1">
      <c r="A247" s="1318">
        <f>+SYS_4_3_Digitos!A246</f>
        <v>572</v>
      </c>
      <c r="B247" s="1319" t="str">
        <f>+SYS_4_3_Digitos!B246</f>
        <v>BANCOS E INSTITUCIONES DE CRÉDITO C/C VISTA, EUROS</v>
      </c>
      <c r="C247" s="1322">
        <f ca="1">+SYS_4_3_Digitos!I246</f>
        <v>85566358.589999989</v>
      </c>
      <c r="D247" s="1323">
        <f ca="1">+SYS_4_3_Digitos!J246</f>
        <v>0</v>
      </c>
      <c r="E247" s="2046" t="s">
        <v>1896</v>
      </c>
      <c r="F247" s="2049">
        <f t="shared" ca="1" si="31"/>
        <v>85566358.589999989</v>
      </c>
      <c r="G247" s="2049">
        <f t="shared" si="32"/>
        <v>0</v>
      </c>
      <c r="H247" s="2051" t="s">
        <v>1896</v>
      </c>
      <c r="I247" s="2051">
        <f ca="1">+(SUM($J$7:$J$245)+SUM($J$250:$J$264))/(SUM($F$7:$F$245)+SUM($F$250:$F$396))</f>
        <v>1</v>
      </c>
      <c r="J247" s="2049">
        <f t="shared" ca="1" si="33"/>
        <v>85566358.589999989</v>
      </c>
      <c r="K247" s="2146">
        <f t="shared" ca="1" si="34"/>
        <v>0.24284558034629974</v>
      </c>
      <c r="L247" s="2049">
        <f t="shared" ca="1" si="35"/>
        <v>0</v>
      </c>
      <c r="M247" s="2148">
        <f t="shared" ca="1" si="36"/>
        <v>0</v>
      </c>
      <c r="N247" s="2049">
        <f t="shared" ca="1" si="37"/>
        <v>0</v>
      </c>
      <c r="O247" s="2148">
        <f t="shared" ca="1" si="38"/>
        <v>0</v>
      </c>
      <c r="P247" s="2049">
        <f t="shared" ca="1" si="30"/>
        <v>0</v>
      </c>
      <c r="Q247" s="2148">
        <f t="shared" ca="1" si="39"/>
        <v>0</v>
      </c>
    </row>
    <row r="248" spans="1:17" outlineLevel="1">
      <c r="A248" s="1310">
        <f>+SYS_4_3_Digitos!A247</f>
        <v>573</v>
      </c>
      <c r="B248" s="1311" t="str">
        <f>+SYS_4_3_Digitos!B247</f>
        <v>BANCOS E INSTIT. DE CRÉDITO C/C VISTA, MONEDA EXTR.</v>
      </c>
      <c r="C248" s="1314">
        <f ca="1">+SYS_4_3_Digitos!I247</f>
        <v>10007.01</v>
      </c>
      <c r="D248" s="1315">
        <f ca="1">+SYS_4_3_Digitos!J247</f>
        <v>0</v>
      </c>
      <c r="E248" s="2045" t="s">
        <v>1896</v>
      </c>
      <c r="F248" s="2049">
        <f t="shared" ca="1" si="31"/>
        <v>10007.01</v>
      </c>
      <c r="G248" s="2049">
        <f t="shared" si="32"/>
        <v>0</v>
      </c>
      <c r="H248" s="2051" t="s">
        <v>1896</v>
      </c>
      <c r="I248" s="2051">
        <f t="shared" ref="I248:I249" ca="1" si="42">+(SUM($J$7:$J$245)+SUM($J$250:$J$264))/(SUM($F$7:$F$245)+SUM($F$250:$F$396))</f>
        <v>1</v>
      </c>
      <c r="J248" s="2049">
        <f t="shared" ca="1" si="33"/>
        <v>10007.01</v>
      </c>
      <c r="K248" s="2146">
        <f t="shared" ca="1" si="34"/>
        <v>2.8400859765758854E-5</v>
      </c>
      <c r="L248" s="2049">
        <f t="shared" ca="1" si="35"/>
        <v>0</v>
      </c>
      <c r="M248" s="2148">
        <f t="shared" ca="1" si="36"/>
        <v>0</v>
      </c>
      <c r="N248" s="2049">
        <f t="shared" ca="1" si="37"/>
        <v>0</v>
      </c>
      <c r="O248" s="2148">
        <f t="shared" ca="1" si="38"/>
        <v>0</v>
      </c>
      <c r="P248" s="2049">
        <f t="shared" ca="1" si="30"/>
        <v>0</v>
      </c>
      <c r="Q248" s="2148">
        <f t="shared" ca="1" si="39"/>
        <v>0</v>
      </c>
    </row>
    <row r="249" spans="1:17" outlineLevel="1">
      <c r="A249" s="1310">
        <f>+SYS_4_3_Digitos!A248</f>
        <v>574</v>
      </c>
      <c r="B249" s="1311" t="str">
        <f>+SYS_4_3_Digitos!B248</f>
        <v>BANCOS E INSTIT. DE CRÉDITO CTAS AHORRO, EUROS</v>
      </c>
      <c r="C249" s="1314">
        <f ca="1">+SYS_4_3_Digitos!I248</f>
        <v>0</v>
      </c>
      <c r="D249" s="1315">
        <f ca="1">+SYS_4_3_Digitos!J248</f>
        <v>0</v>
      </c>
      <c r="E249" s="2045" t="s">
        <v>1896</v>
      </c>
      <c r="F249" s="2049">
        <f t="shared" ca="1" si="31"/>
        <v>0</v>
      </c>
      <c r="G249" s="2049">
        <f t="shared" si="32"/>
        <v>0</v>
      </c>
      <c r="H249" s="2051" t="s">
        <v>1896</v>
      </c>
      <c r="I249" s="2051">
        <f t="shared" ca="1" si="42"/>
        <v>1</v>
      </c>
      <c r="J249" s="2049">
        <f t="shared" ca="1" si="33"/>
        <v>0</v>
      </c>
      <c r="K249" s="2146">
        <f t="shared" ca="1" si="34"/>
        <v>0</v>
      </c>
      <c r="L249" s="2049">
        <f t="shared" ca="1" si="35"/>
        <v>0</v>
      </c>
      <c r="M249" s="2148">
        <f t="shared" ca="1" si="36"/>
        <v>0</v>
      </c>
      <c r="N249" s="2049">
        <f t="shared" ca="1" si="37"/>
        <v>0</v>
      </c>
      <c r="O249" s="2148">
        <f t="shared" ca="1" si="38"/>
        <v>0</v>
      </c>
      <c r="P249" s="2049">
        <f t="shared" ca="1" si="30"/>
        <v>0</v>
      </c>
      <c r="Q249" s="2148">
        <f t="shared" ca="1" si="39"/>
        <v>0</v>
      </c>
    </row>
    <row r="250" spans="1:17" outlineLevel="1">
      <c r="A250" s="1310">
        <f>+SYS_4_3_Digitos!A249</f>
        <v>580</v>
      </c>
      <c r="B250" s="1311" t="str">
        <f>+SYS_4_3_Digitos!B249</f>
        <v>INMOVILIZADO</v>
      </c>
      <c r="C250" s="1314">
        <f ca="1">+SYS_4_3_Digitos!I249</f>
        <v>0</v>
      </c>
      <c r="D250" s="1315">
        <f ca="1">+SYS_4_3_Digitos!J249</f>
        <v>0</v>
      </c>
      <c r="E250" s="2045" t="s">
        <v>1896</v>
      </c>
      <c r="F250" s="2049">
        <f t="shared" ca="1" si="31"/>
        <v>0</v>
      </c>
      <c r="G250" s="2049">
        <f t="shared" si="32"/>
        <v>0</v>
      </c>
      <c r="H250" s="2051" t="s">
        <v>1896</v>
      </c>
      <c r="I250" s="2052">
        <v>1</v>
      </c>
      <c r="J250" s="2049">
        <f t="shared" ca="1" si="33"/>
        <v>0</v>
      </c>
      <c r="K250" s="2146">
        <f t="shared" ca="1" si="34"/>
        <v>0</v>
      </c>
      <c r="L250" s="2049">
        <f t="shared" ca="1" si="35"/>
        <v>0</v>
      </c>
      <c r="M250" s="2148">
        <f t="shared" ca="1" si="36"/>
        <v>0</v>
      </c>
      <c r="N250" s="2049">
        <f t="shared" si="37"/>
        <v>0</v>
      </c>
      <c r="O250" s="2148">
        <f t="shared" ca="1" si="38"/>
        <v>0</v>
      </c>
      <c r="P250" s="2049">
        <f t="shared" si="30"/>
        <v>0</v>
      </c>
      <c r="Q250" s="2148">
        <f t="shared" ca="1" si="39"/>
        <v>0</v>
      </c>
    </row>
    <row r="251" spans="1:17" outlineLevel="1">
      <c r="A251" s="1310">
        <f>+SYS_4_3_Digitos!A250</f>
        <v>581</v>
      </c>
      <c r="B251" s="1311" t="str">
        <f>+SYS_4_3_Digitos!B250</f>
        <v>INVERSIONES CON PERSONAS Y ENTIDADES VINCUADAS</v>
      </c>
      <c r="C251" s="1314">
        <f ca="1">+SYS_4_3_Digitos!I250</f>
        <v>0</v>
      </c>
      <c r="D251" s="1315">
        <f ca="1">+SYS_4_3_Digitos!J250</f>
        <v>0</v>
      </c>
      <c r="E251" s="2045" t="s">
        <v>1896</v>
      </c>
      <c r="F251" s="2049">
        <f t="shared" ca="1" si="31"/>
        <v>0</v>
      </c>
      <c r="G251" s="2049">
        <f t="shared" si="32"/>
        <v>0</v>
      </c>
      <c r="H251" s="2051" t="s">
        <v>1896</v>
      </c>
      <c r="I251" s="2052">
        <v>1</v>
      </c>
      <c r="J251" s="2049">
        <f t="shared" ca="1" si="33"/>
        <v>0</v>
      </c>
      <c r="K251" s="2146">
        <f t="shared" ca="1" si="34"/>
        <v>0</v>
      </c>
      <c r="L251" s="2049">
        <f t="shared" ca="1" si="35"/>
        <v>0</v>
      </c>
      <c r="M251" s="2148">
        <f t="shared" ca="1" si="36"/>
        <v>0</v>
      </c>
      <c r="N251" s="2049">
        <f t="shared" si="37"/>
        <v>0</v>
      </c>
      <c r="O251" s="2148">
        <f t="shared" ca="1" si="38"/>
        <v>0</v>
      </c>
      <c r="P251" s="2049">
        <f t="shared" si="30"/>
        <v>0</v>
      </c>
      <c r="Q251" s="2148">
        <f t="shared" ca="1" si="39"/>
        <v>0</v>
      </c>
    </row>
    <row r="252" spans="1:17" outlineLevel="1">
      <c r="A252" s="1310">
        <f>+SYS_4_3_Digitos!A251</f>
        <v>582</v>
      </c>
      <c r="B252" s="1311" t="str">
        <f>+SYS_4_3_Digitos!B251</f>
        <v xml:space="preserve">INVERSIONES FINANCIERAS  </v>
      </c>
      <c r="C252" s="1314">
        <f ca="1">+SYS_4_3_Digitos!I251</f>
        <v>0</v>
      </c>
      <c r="D252" s="1315">
        <f ca="1">+SYS_4_3_Digitos!J251</f>
        <v>0</v>
      </c>
      <c r="E252" s="2045" t="s">
        <v>1896</v>
      </c>
      <c r="F252" s="2049">
        <f t="shared" ca="1" si="31"/>
        <v>0</v>
      </c>
      <c r="G252" s="2049">
        <f t="shared" si="32"/>
        <v>0</v>
      </c>
      <c r="H252" s="2051" t="s">
        <v>1896</v>
      </c>
      <c r="I252" s="2052">
        <v>1</v>
      </c>
      <c r="J252" s="2049">
        <f t="shared" ca="1" si="33"/>
        <v>0</v>
      </c>
      <c r="K252" s="2146">
        <f t="shared" ca="1" si="34"/>
        <v>0</v>
      </c>
      <c r="L252" s="2049">
        <f t="shared" ca="1" si="35"/>
        <v>0</v>
      </c>
      <c r="M252" s="2148">
        <f t="shared" ca="1" si="36"/>
        <v>0</v>
      </c>
      <c r="N252" s="2049">
        <f t="shared" si="37"/>
        <v>0</v>
      </c>
      <c r="O252" s="2148">
        <f t="shared" ca="1" si="38"/>
        <v>0</v>
      </c>
      <c r="P252" s="2049">
        <f t="shared" si="30"/>
        <v>0</v>
      </c>
      <c r="Q252" s="2148">
        <f t="shared" ca="1" si="39"/>
        <v>0</v>
      </c>
    </row>
    <row r="253" spans="1:17" outlineLevel="1">
      <c r="A253" s="1310">
        <f>+SYS_4_3_Digitos!A252</f>
        <v>583</v>
      </c>
      <c r="B253" s="1311" t="str">
        <f>+SYS_4_3_Digitos!B252</f>
        <v>EXISTENCIAS, DEUDORES COMER. Y OTRAS CTAS A COBRAR</v>
      </c>
      <c r="C253" s="1314">
        <f ca="1">+SYS_4_3_Digitos!I252</f>
        <v>0</v>
      </c>
      <c r="D253" s="1315">
        <f ca="1">+SYS_4_3_Digitos!J252</f>
        <v>0</v>
      </c>
      <c r="E253" s="2045" t="s">
        <v>1896</v>
      </c>
      <c r="F253" s="2049">
        <f t="shared" ca="1" si="31"/>
        <v>0</v>
      </c>
      <c r="G253" s="2049">
        <f t="shared" si="32"/>
        <v>0</v>
      </c>
      <c r="H253" s="2051" t="s">
        <v>1896</v>
      </c>
      <c r="I253" s="2052">
        <v>1</v>
      </c>
      <c r="J253" s="2049">
        <f t="shared" ca="1" si="33"/>
        <v>0</v>
      </c>
      <c r="K253" s="2146">
        <f t="shared" ca="1" si="34"/>
        <v>0</v>
      </c>
      <c r="L253" s="2049">
        <f t="shared" ca="1" si="35"/>
        <v>0</v>
      </c>
      <c r="M253" s="2148">
        <f t="shared" ca="1" si="36"/>
        <v>0</v>
      </c>
      <c r="N253" s="2049">
        <f t="shared" si="37"/>
        <v>0</v>
      </c>
      <c r="O253" s="2148">
        <f t="shared" ca="1" si="38"/>
        <v>0</v>
      </c>
      <c r="P253" s="2049">
        <f t="shared" si="30"/>
        <v>0</v>
      </c>
      <c r="Q253" s="2148">
        <f t="shared" ca="1" si="39"/>
        <v>0</v>
      </c>
    </row>
    <row r="254" spans="1:17" outlineLevel="1">
      <c r="A254" s="1310">
        <f>+SYS_4_3_Digitos!A253</f>
        <v>584</v>
      </c>
      <c r="B254" s="1311" t="str">
        <f>+SYS_4_3_Digitos!B253</f>
        <v>OTROS ACTIVOS</v>
      </c>
      <c r="C254" s="1314">
        <f ca="1">+SYS_4_3_Digitos!I253</f>
        <v>0</v>
      </c>
      <c r="D254" s="1315">
        <f ca="1">+SYS_4_3_Digitos!J253</f>
        <v>0</v>
      </c>
      <c r="E254" s="2045" t="s">
        <v>1896</v>
      </c>
      <c r="F254" s="2049">
        <f t="shared" ca="1" si="31"/>
        <v>0</v>
      </c>
      <c r="G254" s="2049">
        <f t="shared" si="32"/>
        <v>0</v>
      </c>
      <c r="H254" s="2051" t="s">
        <v>1896</v>
      </c>
      <c r="I254" s="2052">
        <v>1</v>
      </c>
      <c r="J254" s="2049">
        <f t="shared" ca="1" si="33"/>
        <v>0</v>
      </c>
      <c r="K254" s="2146">
        <f t="shared" ca="1" si="34"/>
        <v>0</v>
      </c>
      <c r="L254" s="2049">
        <f t="shared" ca="1" si="35"/>
        <v>0</v>
      </c>
      <c r="M254" s="2148">
        <f t="shared" ca="1" si="36"/>
        <v>0</v>
      </c>
      <c r="N254" s="2049">
        <f t="shared" si="37"/>
        <v>0</v>
      </c>
      <c r="O254" s="2148">
        <f t="shared" ca="1" si="38"/>
        <v>0</v>
      </c>
      <c r="P254" s="2049">
        <f t="shared" si="30"/>
        <v>0</v>
      </c>
      <c r="Q254" s="2148">
        <f t="shared" ca="1" si="39"/>
        <v>0</v>
      </c>
    </row>
    <row r="255" spans="1:17" outlineLevel="1">
      <c r="A255" s="1310">
        <f>+SYS_4_3_Digitos!A254</f>
        <v>585</v>
      </c>
      <c r="B255" s="1311" t="str">
        <f>+SYS_4_3_Digitos!B254</f>
        <v xml:space="preserve">PROVISIONES  </v>
      </c>
      <c r="C255" s="1314">
        <f ca="1">+SYS_4_3_Digitos!I254</f>
        <v>0</v>
      </c>
      <c r="D255" s="1315">
        <f ca="1">+SYS_4_3_Digitos!J254</f>
        <v>0</v>
      </c>
      <c r="E255" s="2045" t="s">
        <v>1896</v>
      </c>
      <c r="F255" s="2049">
        <f t="shared" ca="1" si="31"/>
        <v>0</v>
      </c>
      <c r="G255" s="2049">
        <f t="shared" si="32"/>
        <v>0</v>
      </c>
      <c r="H255" s="2051" t="s">
        <v>1896</v>
      </c>
      <c r="I255" s="2052">
        <v>1</v>
      </c>
      <c r="J255" s="2049">
        <f t="shared" ca="1" si="33"/>
        <v>0</v>
      </c>
      <c r="K255" s="2146">
        <f t="shared" ca="1" si="34"/>
        <v>0</v>
      </c>
      <c r="L255" s="2049">
        <f t="shared" ca="1" si="35"/>
        <v>0</v>
      </c>
      <c r="M255" s="2148">
        <f t="shared" ca="1" si="36"/>
        <v>0</v>
      </c>
      <c r="N255" s="2049">
        <f t="shared" si="37"/>
        <v>0</v>
      </c>
      <c r="O255" s="2148">
        <f t="shared" ca="1" si="38"/>
        <v>0</v>
      </c>
      <c r="P255" s="2049">
        <f t="shared" si="30"/>
        <v>0</v>
      </c>
      <c r="Q255" s="2148">
        <f t="shared" ca="1" si="39"/>
        <v>0</v>
      </c>
    </row>
    <row r="256" spans="1:17" outlineLevel="1">
      <c r="A256" s="1310">
        <f>+SYS_4_3_Digitos!A255</f>
        <v>586</v>
      </c>
      <c r="B256" s="1311" t="str">
        <f>+SYS_4_3_Digitos!B255</f>
        <v>DEUDAS CON CARACTERÍSTICAS ESPECIALES</v>
      </c>
      <c r="C256" s="1314">
        <f ca="1">+SYS_4_3_Digitos!I255</f>
        <v>0</v>
      </c>
      <c r="D256" s="1315">
        <f ca="1">+SYS_4_3_Digitos!J255</f>
        <v>0</v>
      </c>
      <c r="E256" s="2045" t="s">
        <v>1895</v>
      </c>
      <c r="F256" s="2049">
        <f t="shared" si="31"/>
        <v>0</v>
      </c>
      <c r="G256" s="2049">
        <f t="shared" ca="1" si="32"/>
        <v>0</v>
      </c>
      <c r="H256" s="2051" t="s">
        <v>1896</v>
      </c>
      <c r="I256" s="2052">
        <v>1</v>
      </c>
      <c r="J256" s="2049">
        <f t="shared" si="33"/>
        <v>0</v>
      </c>
      <c r="K256" s="2146">
        <f t="shared" ca="1" si="34"/>
        <v>0</v>
      </c>
      <c r="L256" s="2049">
        <f t="shared" si="35"/>
        <v>0</v>
      </c>
      <c r="M256" s="2148">
        <f t="shared" ca="1" si="36"/>
        <v>0</v>
      </c>
      <c r="N256" s="2049">
        <f t="shared" ca="1" si="37"/>
        <v>0</v>
      </c>
      <c r="O256" s="2148">
        <f t="shared" ca="1" si="38"/>
        <v>0</v>
      </c>
      <c r="P256" s="2049">
        <f t="shared" ca="1" si="30"/>
        <v>0</v>
      </c>
      <c r="Q256" s="2148">
        <f t="shared" ca="1" si="39"/>
        <v>0</v>
      </c>
    </row>
    <row r="257" spans="1:17" outlineLevel="1">
      <c r="A257" s="1310">
        <f>+SYS_4_3_Digitos!A256</f>
        <v>587</v>
      </c>
      <c r="B257" s="1311" t="str">
        <f>+SYS_4_3_Digitos!B256</f>
        <v>DEUDAS CON PERSONAS Y ENTIDADES VINCULADAS</v>
      </c>
      <c r="C257" s="1314">
        <f ca="1">+SYS_4_3_Digitos!I256</f>
        <v>0</v>
      </c>
      <c r="D257" s="1315">
        <f ca="1">+SYS_4_3_Digitos!J256</f>
        <v>0</v>
      </c>
      <c r="E257" s="2045" t="s">
        <v>1895</v>
      </c>
      <c r="F257" s="2049">
        <f t="shared" si="31"/>
        <v>0</v>
      </c>
      <c r="G257" s="2049">
        <f t="shared" ca="1" si="32"/>
        <v>0</v>
      </c>
      <c r="H257" s="2051" t="s">
        <v>1896</v>
      </c>
      <c r="I257" s="2052">
        <v>1</v>
      </c>
      <c r="J257" s="2049">
        <f t="shared" si="33"/>
        <v>0</v>
      </c>
      <c r="K257" s="2146">
        <f t="shared" ca="1" si="34"/>
        <v>0</v>
      </c>
      <c r="L257" s="2049">
        <f t="shared" si="35"/>
        <v>0</v>
      </c>
      <c r="M257" s="2148">
        <f t="shared" ca="1" si="36"/>
        <v>0</v>
      </c>
      <c r="N257" s="2049">
        <f t="shared" ca="1" si="37"/>
        <v>0</v>
      </c>
      <c r="O257" s="2148">
        <f t="shared" ca="1" si="38"/>
        <v>0</v>
      </c>
      <c r="P257" s="2049">
        <f t="shared" ca="1" si="30"/>
        <v>0</v>
      </c>
      <c r="Q257" s="2148">
        <f t="shared" ca="1" si="39"/>
        <v>0</v>
      </c>
    </row>
    <row r="258" spans="1:17" outlineLevel="1">
      <c r="A258" s="1310">
        <f>+SYS_4_3_Digitos!A257</f>
        <v>588</v>
      </c>
      <c r="B258" s="1311" t="str">
        <f>+SYS_4_3_Digitos!B257</f>
        <v>ACREEDORES COMERCIALES Y OTRAS CUENTAS A PAGAR</v>
      </c>
      <c r="C258" s="1314">
        <f ca="1">+SYS_4_3_Digitos!I257</f>
        <v>0</v>
      </c>
      <c r="D258" s="1315">
        <f ca="1">+SYS_4_3_Digitos!J257</f>
        <v>0</v>
      </c>
      <c r="E258" s="2045" t="s">
        <v>1895</v>
      </c>
      <c r="F258" s="2049">
        <f t="shared" si="31"/>
        <v>0</v>
      </c>
      <c r="G258" s="2049">
        <f t="shared" ca="1" si="32"/>
        <v>0</v>
      </c>
      <c r="H258" s="2051" t="s">
        <v>1896</v>
      </c>
      <c r="I258" s="2052">
        <v>1</v>
      </c>
      <c r="J258" s="2049">
        <f t="shared" si="33"/>
        <v>0</v>
      </c>
      <c r="K258" s="2146">
        <f t="shared" ca="1" si="34"/>
        <v>0</v>
      </c>
      <c r="L258" s="2049">
        <f t="shared" si="35"/>
        <v>0</v>
      </c>
      <c r="M258" s="2148">
        <f t="shared" ca="1" si="36"/>
        <v>0</v>
      </c>
      <c r="N258" s="2049">
        <f t="shared" ca="1" si="37"/>
        <v>0</v>
      </c>
      <c r="O258" s="2148">
        <f t="shared" ca="1" si="38"/>
        <v>0</v>
      </c>
      <c r="P258" s="2049">
        <f t="shared" ca="1" si="30"/>
        <v>0</v>
      </c>
      <c r="Q258" s="2148">
        <f t="shared" ca="1" si="39"/>
        <v>0</v>
      </c>
    </row>
    <row r="259" spans="1:17" outlineLevel="1">
      <c r="A259" s="1310">
        <f>+SYS_4_3_Digitos!A258</f>
        <v>589</v>
      </c>
      <c r="B259" s="1311" t="str">
        <f>+SYS_4_3_Digitos!B258</f>
        <v>OTROS PASIVOS</v>
      </c>
      <c r="C259" s="1314">
        <f ca="1">+SYS_4_3_Digitos!I258</f>
        <v>0</v>
      </c>
      <c r="D259" s="1315">
        <f ca="1">+SYS_4_3_Digitos!J258</f>
        <v>0</v>
      </c>
      <c r="E259" s="2045" t="s">
        <v>1895</v>
      </c>
      <c r="F259" s="2049">
        <f t="shared" si="31"/>
        <v>0</v>
      </c>
      <c r="G259" s="2049">
        <f t="shared" ca="1" si="32"/>
        <v>0</v>
      </c>
      <c r="H259" s="2051" t="s">
        <v>1896</v>
      </c>
      <c r="I259" s="2052">
        <v>1</v>
      </c>
      <c r="J259" s="2049">
        <f t="shared" si="33"/>
        <v>0</v>
      </c>
      <c r="K259" s="2146">
        <f t="shared" ca="1" si="34"/>
        <v>0</v>
      </c>
      <c r="L259" s="2049">
        <f t="shared" si="35"/>
        <v>0</v>
      </c>
      <c r="M259" s="2148">
        <f t="shared" ca="1" si="36"/>
        <v>0</v>
      </c>
      <c r="N259" s="2049">
        <f t="shared" ca="1" si="37"/>
        <v>0</v>
      </c>
      <c r="O259" s="2148">
        <f t="shared" ca="1" si="38"/>
        <v>0</v>
      </c>
      <c r="P259" s="2049">
        <f t="shared" ca="1" si="30"/>
        <v>0</v>
      </c>
      <c r="Q259" s="2148">
        <f t="shared" ca="1" si="39"/>
        <v>0</v>
      </c>
    </row>
    <row r="260" spans="1:17" outlineLevel="1">
      <c r="A260" s="1318">
        <f>+SYS_4_3_Digitos!A259</f>
        <v>5933</v>
      </c>
      <c r="B260" s="1319" t="str">
        <f>+SYS_4_3_Digitos!B259</f>
        <v>DET. VALOR PARTIC. CP EMPRESAS GRUPO</v>
      </c>
      <c r="C260" s="1322">
        <f ca="1">+SYS_4_3_Digitos!I259</f>
        <v>0</v>
      </c>
      <c r="D260" s="1323">
        <f ca="1">+SYS_4_3_Digitos!J259</f>
        <v>0</v>
      </c>
      <c r="E260" s="2046" t="s">
        <v>1896</v>
      </c>
      <c r="F260" s="2049">
        <f t="shared" ca="1" si="31"/>
        <v>0</v>
      </c>
      <c r="G260" s="2049">
        <f t="shared" si="32"/>
        <v>0</v>
      </c>
      <c r="H260" s="2051" t="s">
        <v>1896</v>
      </c>
      <c r="I260" s="2052">
        <v>1</v>
      </c>
      <c r="J260" s="2049">
        <f t="shared" ca="1" si="33"/>
        <v>0</v>
      </c>
      <c r="K260" s="2146">
        <f t="shared" ca="1" si="34"/>
        <v>0</v>
      </c>
      <c r="L260" s="2049">
        <f t="shared" ca="1" si="35"/>
        <v>0</v>
      </c>
      <c r="M260" s="2148">
        <f t="shared" ca="1" si="36"/>
        <v>0</v>
      </c>
      <c r="N260" s="2049">
        <f t="shared" si="37"/>
        <v>0</v>
      </c>
      <c r="O260" s="2148">
        <f t="shared" ca="1" si="38"/>
        <v>0</v>
      </c>
      <c r="P260" s="2049">
        <f t="shared" si="30"/>
        <v>0</v>
      </c>
      <c r="Q260" s="2148">
        <f t="shared" ca="1" si="39"/>
        <v>0</v>
      </c>
    </row>
    <row r="261" spans="1:17" outlineLevel="1">
      <c r="A261" s="1318">
        <f>+SYS_4_3_Digitos!A260</f>
        <v>5934</v>
      </c>
      <c r="B261" s="1319" t="str">
        <f>+SYS_4_3_Digitos!B260</f>
        <v>DET. VALOR PARTIC. CP EMPRESAS ASOCIADAS</v>
      </c>
      <c r="C261" s="1322">
        <f ca="1">+SYS_4_3_Digitos!I260</f>
        <v>0</v>
      </c>
      <c r="D261" s="1323">
        <f ca="1">+SYS_4_3_Digitos!J260</f>
        <v>0</v>
      </c>
      <c r="E261" s="2046" t="s">
        <v>1896</v>
      </c>
      <c r="F261" s="2049">
        <f t="shared" ca="1" si="31"/>
        <v>0</v>
      </c>
      <c r="G261" s="2049">
        <f t="shared" si="32"/>
        <v>0</v>
      </c>
      <c r="H261" s="2051" t="s">
        <v>1896</v>
      </c>
      <c r="I261" s="2052">
        <v>1</v>
      </c>
      <c r="J261" s="2049">
        <f t="shared" ca="1" si="33"/>
        <v>0</v>
      </c>
      <c r="K261" s="2146">
        <f t="shared" ca="1" si="34"/>
        <v>0</v>
      </c>
      <c r="L261" s="2049">
        <f t="shared" ca="1" si="35"/>
        <v>0</v>
      </c>
      <c r="M261" s="2148">
        <f t="shared" ca="1" si="36"/>
        <v>0</v>
      </c>
      <c r="N261" s="2049">
        <f t="shared" si="37"/>
        <v>0</v>
      </c>
      <c r="O261" s="2148">
        <f t="shared" ca="1" si="38"/>
        <v>0</v>
      </c>
      <c r="P261" s="2049">
        <f t="shared" si="30"/>
        <v>0</v>
      </c>
      <c r="Q261" s="2148">
        <f t="shared" ca="1" si="39"/>
        <v>0</v>
      </c>
    </row>
    <row r="262" spans="1:17" outlineLevel="1">
      <c r="A262" s="1318">
        <f>+SYS_4_3_Digitos!A261</f>
        <v>5953</v>
      </c>
      <c r="B262" s="1319" t="str">
        <f>+SYS_4_3_Digitos!B261</f>
        <v>DET. VALOR CRÉDITOS CP EMPRESAS GRUPO</v>
      </c>
      <c r="C262" s="1322">
        <f ca="1">+SYS_4_3_Digitos!I261</f>
        <v>0</v>
      </c>
      <c r="D262" s="1323">
        <f ca="1">+SYS_4_3_Digitos!J261</f>
        <v>0</v>
      </c>
      <c r="E262" s="2046" t="s">
        <v>1896</v>
      </c>
      <c r="F262" s="2049">
        <f t="shared" ca="1" si="31"/>
        <v>0</v>
      </c>
      <c r="G262" s="2049">
        <f t="shared" si="32"/>
        <v>0</v>
      </c>
      <c r="H262" s="2051" t="s">
        <v>1896</v>
      </c>
      <c r="I262" s="2052">
        <v>1</v>
      </c>
      <c r="J262" s="2049">
        <f t="shared" ca="1" si="33"/>
        <v>0</v>
      </c>
      <c r="K262" s="2146">
        <f t="shared" ca="1" si="34"/>
        <v>0</v>
      </c>
      <c r="L262" s="2049">
        <f t="shared" ca="1" si="35"/>
        <v>0</v>
      </c>
      <c r="M262" s="2148">
        <f t="shared" ca="1" si="36"/>
        <v>0</v>
      </c>
      <c r="N262" s="2049">
        <f t="shared" si="37"/>
        <v>0</v>
      </c>
      <c r="O262" s="2148">
        <f t="shared" ca="1" si="38"/>
        <v>0</v>
      </c>
      <c r="P262" s="2049">
        <f t="shared" si="30"/>
        <v>0</v>
      </c>
      <c r="Q262" s="2148">
        <f t="shared" ca="1" si="39"/>
        <v>0</v>
      </c>
    </row>
    <row r="263" spans="1:17" outlineLevel="1">
      <c r="A263" s="1318">
        <f>+SYS_4_3_Digitos!A262</f>
        <v>5954</v>
      </c>
      <c r="B263" s="1319" t="str">
        <f>+SYS_4_3_Digitos!B262</f>
        <v>DET. VALOR CRÉDITOS CP EMPRESAS ASOCIADAS</v>
      </c>
      <c r="C263" s="1322">
        <f ca="1">+SYS_4_3_Digitos!I262</f>
        <v>0</v>
      </c>
      <c r="D263" s="1323">
        <f ca="1">+SYS_4_3_Digitos!J262</f>
        <v>0</v>
      </c>
      <c r="E263" s="2046" t="s">
        <v>1896</v>
      </c>
      <c r="F263" s="2049">
        <f t="shared" ca="1" si="31"/>
        <v>0</v>
      </c>
      <c r="G263" s="2049">
        <f t="shared" si="32"/>
        <v>0</v>
      </c>
      <c r="H263" s="2051" t="s">
        <v>1896</v>
      </c>
      <c r="I263" s="2052">
        <v>1</v>
      </c>
      <c r="J263" s="2049">
        <f t="shared" ca="1" si="33"/>
        <v>0</v>
      </c>
      <c r="K263" s="2146">
        <f t="shared" ca="1" si="34"/>
        <v>0</v>
      </c>
      <c r="L263" s="2049">
        <f t="shared" ca="1" si="35"/>
        <v>0</v>
      </c>
      <c r="M263" s="2148">
        <f t="shared" ca="1" si="36"/>
        <v>0</v>
      </c>
      <c r="N263" s="2049">
        <f t="shared" si="37"/>
        <v>0</v>
      </c>
      <c r="O263" s="2148">
        <f t="shared" ca="1" si="38"/>
        <v>0</v>
      </c>
      <c r="P263" s="2049">
        <f t="shared" si="30"/>
        <v>0</v>
      </c>
      <c r="Q263" s="2148">
        <f t="shared" ca="1" si="39"/>
        <v>0</v>
      </c>
    </row>
    <row r="264" spans="1:17">
      <c r="A264" s="1318">
        <f>+SYS_4_3_Digitos!A263</f>
        <v>5955</v>
      </c>
      <c r="B264" s="1319" t="str">
        <f>+SYS_4_3_Digitos!B263</f>
        <v>DET. VALOR CRÉDITOS CP OTRAS PARTES VINCULADAS</v>
      </c>
      <c r="C264" s="1322">
        <f ca="1">+SYS_4_3_Digitos!I263</f>
        <v>0</v>
      </c>
      <c r="D264" s="1323">
        <f ca="1">+SYS_4_3_Digitos!J263</f>
        <v>0</v>
      </c>
      <c r="E264" s="2046" t="s">
        <v>1896</v>
      </c>
      <c r="F264" s="2049">
        <f t="shared" ref="F264" ca="1" si="43">IF(E264="A",C264-D264,0)</f>
        <v>0</v>
      </c>
      <c r="G264" s="2049">
        <f t="shared" ref="G264" si="44">IF(E264="P",D264-C264,0)</f>
        <v>0</v>
      </c>
      <c r="H264" s="2051" t="s">
        <v>1896</v>
      </c>
      <c r="I264" s="2052">
        <v>1</v>
      </c>
      <c r="J264" s="2049">
        <f t="shared" ref="J264" ca="1" si="45">IF(H264="A",F264*I264,0)</f>
        <v>0</v>
      </c>
      <c r="K264" s="2146">
        <f t="shared" ref="K264:K327" ca="1" si="46">+J264/$F$397</f>
        <v>0</v>
      </c>
      <c r="L264" s="2049">
        <f t="shared" ref="L264" ca="1" si="47">+F264-J264</f>
        <v>0</v>
      </c>
      <c r="M264" s="2148">
        <f t="shared" ref="M264:M327" ca="1" si="48">+L264/$F$397</f>
        <v>0</v>
      </c>
      <c r="N264" s="2049">
        <f t="shared" ref="N264" si="49">IF(H264="A",G264*I264,0)</f>
        <v>0</v>
      </c>
      <c r="O264" s="2148">
        <f t="shared" ref="O264:O327" ca="1" si="50">+N264/$G$397</f>
        <v>0</v>
      </c>
      <c r="P264" s="2049">
        <f t="shared" si="30"/>
        <v>0</v>
      </c>
      <c r="Q264" s="2148">
        <f t="shared" ref="Q264:Q327" ca="1" si="51">+P264/$G$397</f>
        <v>0</v>
      </c>
    </row>
    <row r="265" spans="1:17" hidden="1" outlineLevel="1">
      <c r="A265" s="1310">
        <f>+SYS_4_3_Digitos!A264</f>
        <v>600</v>
      </c>
      <c r="B265" s="1311" t="str">
        <f>+SYS_4_3_Digitos!B264</f>
        <v>COMPRAS DE MERCADERÍAS</v>
      </c>
      <c r="C265" s="1314">
        <f ca="1">+SYS_4_3_Digitos!I264</f>
        <v>21680440.560000002</v>
      </c>
      <c r="D265" s="1315">
        <f ca="1">+SYS_4_3_Digitos!J264</f>
        <v>0</v>
      </c>
      <c r="E265" s="2045"/>
      <c r="K265" s="2146">
        <f t="shared" ca="1" si="46"/>
        <v>0</v>
      </c>
      <c r="M265" s="2149">
        <f t="shared" ca="1" si="48"/>
        <v>0</v>
      </c>
      <c r="O265" s="2149">
        <f t="shared" ca="1" si="50"/>
        <v>0</v>
      </c>
      <c r="Q265" s="2149">
        <f t="shared" ca="1" si="51"/>
        <v>0</v>
      </c>
    </row>
    <row r="266" spans="1:17" hidden="1" outlineLevel="1">
      <c r="A266" s="1310">
        <f>+SYS_4_3_Digitos!A265</f>
        <v>601</v>
      </c>
      <c r="B266" s="1311" t="str">
        <f>+SYS_4_3_Digitos!B265</f>
        <v>COMPRAS DE MATERIAS PRIMAS</v>
      </c>
      <c r="C266" s="1314">
        <f ca="1">+SYS_4_3_Digitos!I265</f>
        <v>41519643.559999987</v>
      </c>
      <c r="D266" s="1315">
        <f ca="1">+SYS_4_3_Digitos!J265</f>
        <v>0</v>
      </c>
      <c r="E266" s="2045"/>
      <c r="K266" s="2146">
        <f t="shared" ca="1" si="46"/>
        <v>0</v>
      </c>
      <c r="M266" s="2149">
        <f t="shared" ca="1" si="48"/>
        <v>0</v>
      </c>
      <c r="O266" s="2149">
        <f t="shared" ca="1" si="50"/>
        <v>0</v>
      </c>
      <c r="Q266" s="2149">
        <f t="shared" ca="1" si="51"/>
        <v>0</v>
      </c>
    </row>
    <row r="267" spans="1:17" hidden="1" outlineLevel="1">
      <c r="A267" s="1310">
        <f>+SYS_4_3_Digitos!A266</f>
        <v>602</v>
      </c>
      <c r="B267" s="1311" t="str">
        <f>+SYS_4_3_Digitos!B266</f>
        <v>COMPRAS DE OTROS APROVISIONAMIENTOS</v>
      </c>
      <c r="C267" s="1314">
        <f ca="1">+SYS_4_3_Digitos!I266</f>
        <v>397772.66</v>
      </c>
      <c r="D267" s="1315">
        <f ca="1">+SYS_4_3_Digitos!J266</f>
        <v>0</v>
      </c>
      <c r="E267" s="2045"/>
      <c r="K267" s="2146">
        <f t="shared" ca="1" si="46"/>
        <v>0</v>
      </c>
      <c r="M267" s="2149">
        <f t="shared" ca="1" si="48"/>
        <v>0</v>
      </c>
      <c r="O267" s="2149">
        <f t="shared" ca="1" si="50"/>
        <v>0</v>
      </c>
      <c r="Q267" s="2149">
        <f t="shared" ca="1" si="51"/>
        <v>0</v>
      </c>
    </row>
    <row r="268" spans="1:17" hidden="1" outlineLevel="1">
      <c r="A268" s="1310">
        <f>+SYS_4_3_Digitos!A267</f>
        <v>606</v>
      </c>
      <c r="B268" s="1311" t="str">
        <f>+SYS_4_3_Digitos!B267</f>
        <v>DESCUENTOS SOBRE COMPRAS POR PRONTO PAGO</v>
      </c>
      <c r="C268" s="1314">
        <f ca="1">+SYS_4_3_Digitos!I267</f>
        <v>0</v>
      </c>
      <c r="D268" s="1315">
        <f ca="1">+SYS_4_3_Digitos!J267</f>
        <v>831.47</v>
      </c>
      <c r="E268" s="2045"/>
      <c r="K268" s="2146">
        <f t="shared" ca="1" si="46"/>
        <v>0</v>
      </c>
      <c r="M268" s="2149">
        <f t="shared" ca="1" si="48"/>
        <v>0</v>
      </c>
      <c r="O268" s="2149">
        <f t="shared" ca="1" si="50"/>
        <v>0</v>
      </c>
      <c r="Q268" s="2149">
        <f t="shared" ca="1" si="51"/>
        <v>0</v>
      </c>
    </row>
    <row r="269" spans="1:17" hidden="1" outlineLevel="1">
      <c r="A269" s="1310">
        <f>+SYS_4_3_Digitos!A268</f>
        <v>607</v>
      </c>
      <c r="B269" s="1311" t="str">
        <f>+SYS_4_3_Digitos!B268</f>
        <v>TRABAJOS REALIZADOS POR OTRAS EMPRESAS</v>
      </c>
      <c r="C269" s="1314">
        <f ca="1">+SYS_4_3_Digitos!I268</f>
        <v>0</v>
      </c>
      <c r="D269" s="1315">
        <f ca="1">+SYS_4_3_Digitos!J268</f>
        <v>0</v>
      </c>
      <c r="E269" s="2045"/>
      <c r="K269" s="2146">
        <f t="shared" ca="1" si="46"/>
        <v>0</v>
      </c>
      <c r="M269" s="2149">
        <f t="shared" ca="1" si="48"/>
        <v>0</v>
      </c>
      <c r="O269" s="2149">
        <f t="shared" ca="1" si="50"/>
        <v>0</v>
      </c>
      <c r="Q269" s="2149">
        <f t="shared" ca="1" si="51"/>
        <v>0</v>
      </c>
    </row>
    <row r="270" spans="1:17" hidden="1" outlineLevel="1">
      <c r="A270" s="1310">
        <f>+SYS_4_3_Digitos!A269</f>
        <v>608</v>
      </c>
      <c r="B270" s="1311" t="str">
        <f>+SYS_4_3_Digitos!B269</f>
        <v>DEVOLUCIONES DE COMPRAS Y OP SIMILARES</v>
      </c>
      <c r="C270" s="1314">
        <f ca="1">+SYS_4_3_Digitos!I269</f>
        <v>0</v>
      </c>
      <c r="D270" s="1315">
        <f ca="1">+SYS_4_3_Digitos!J269</f>
        <v>0</v>
      </c>
      <c r="E270" s="2045"/>
      <c r="K270" s="2146">
        <f t="shared" ca="1" si="46"/>
        <v>0</v>
      </c>
      <c r="M270" s="2149">
        <f t="shared" ca="1" si="48"/>
        <v>0</v>
      </c>
      <c r="O270" s="2149">
        <f t="shared" ca="1" si="50"/>
        <v>0</v>
      </c>
      <c r="Q270" s="2149">
        <f t="shared" ca="1" si="51"/>
        <v>0</v>
      </c>
    </row>
    <row r="271" spans="1:17" hidden="1" outlineLevel="1">
      <c r="A271" s="1310">
        <f>+SYS_4_3_Digitos!A270</f>
        <v>609</v>
      </c>
      <c r="B271" s="1311" t="str">
        <f>+SYS_4_3_Digitos!B270</f>
        <v>RAPPELS POR COMPRAS</v>
      </c>
      <c r="C271" s="1314">
        <f ca="1">+SYS_4_3_Digitos!I270</f>
        <v>0</v>
      </c>
      <c r="D271" s="1315">
        <f ca="1">+SYS_4_3_Digitos!J270</f>
        <v>0</v>
      </c>
      <c r="E271" s="2045"/>
      <c r="K271" s="2146">
        <f t="shared" ca="1" si="46"/>
        <v>0</v>
      </c>
      <c r="M271" s="2149">
        <f t="shared" ca="1" si="48"/>
        <v>0</v>
      </c>
      <c r="O271" s="2149">
        <f t="shared" ca="1" si="50"/>
        <v>0</v>
      </c>
      <c r="Q271" s="2149">
        <f t="shared" ca="1" si="51"/>
        <v>0</v>
      </c>
    </row>
    <row r="272" spans="1:17" hidden="1" outlineLevel="1">
      <c r="A272" s="1310">
        <f>+SYS_4_3_Digitos!A271</f>
        <v>610</v>
      </c>
      <c r="B272" s="1311" t="str">
        <f>+SYS_4_3_Digitos!B271</f>
        <v>VARIACIÓN DE EXISTENCIAS DE MERCADERÍAS</v>
      </c>
      <c r="C272" s="1314">
        <f ca="1">+SYS_4_3_Digitos!I271</f>
        <v>0</v>
      </c>
      <c r="D272" s="1315">
        <f ca="1">+SYS_4_3_Digitos!J271</f>
        <v>1232212.9099999999</v>
      </c>
      <c r="E272" s="2045"/>
      <c r="K272" s="2146">
        <f t="shared" ca="1" si="46"/>
        <v>0</v>
      </c>
      <c r="M272" s="2149">
        <f t="shared" ca="1" si="48"/>
        <v>0</v>
      </c>
      <c r="O272" s="2149">
        <f t="shared" ca="1" si="50"/>
        <v>0</v>
      </c>
      <c r="Q272" s="2149">
        <f t="shared" ca="1" si="51"/>
        <v>0</v>
      </c>
    </row>
    <row r="273" spans="1:17" hidden="1" outlineLevel="1">
      <c r="A273" s="1310">
        <f>+SYS_4_3_Digitos!A272</f>
        <v>611</v>
      </c>
      <c r="B273" s="1311" t="str">
        <f>+SYS_4_3_Digitos!B272</f>
        <v>VARIACIÓN DE EXISTENCIAS DE MATERIAS PRIMAS</v>
      </c>
      <c r="C273" s="1314">
        <f ca="1">+SYS_4_3_Digitos!I272</f>
        <v>0</v>
      </c>
      <c r="D273" s="1315">
        <f ca="1">+SYS_4_3_Digitos!J272</f>
        <v>5456381.5499999998</v>
      </c>
      <c r="E273" s="2045"/>
      <c r="K273" s="2146">
        <f t="shared" ca="1" si="46"/>
        <v>0</v>
      </c>
      <c r="M273" s="2149">
        <f t="shared" ca="1" si="48"/>
        <v>0</v>
      </c>
      <c r="O273" s="2149">
        <f t="shared" ca="1" si="50"/>
        <v>0</v>
      </c>
      <c r="Q273" s="2149">
        <f t="shared" ca="1" si="51"/>
        <v>0</v>
      </c>
    </row>
    <row r="274" spans="1:17" hidden="1" outlineLevel="1">
      <c r="A274" s="1310">
        <f>+SYS_4_3_Digitos!A273</f>
        <v>612</v>
      </c>
      <c r="B274" s="1311" t="str">
        <f>+SYS_4_3_Digitos!B273</f>
        <v>VARIACIÓN DE EXISTENCIAS DE OTROS APROVISIONAMIENT.</v>
      </c>
      <c r="C274" s="1314">
        <f ca="1">+SYS_4_3_Digitos!I273</f>
        <v>25977.61</v>
      </c>
      <c r="D274" s="1315">
        <f ca="1">+SYS_4_3_Digitos!J273</f>
        <v>0</v>
      </c>
      <c r="E274" s="2045"/>
      <c r="K274" s="2146">
        <f t="shared" ca="1" si="46"/>
        <v>0</v>
      </c>
      <c r="M274" s="2149">
        <f t="shared" ca="1" si="48"/>
        <v>0</v>
      </c>
      <c r="O274" s="2149">
        <f t="shared" ca="1" si="50"/>
        <v>0</v>
      </c>
      <c r="Q274" s="2149">
        <f t="shared" ca="1" si="51"/>
        <v>0</v>
      </c>
    </row>
    <row r="275" spans="1:17" hidden="1" outlineLevel="1">
      <c r="A275" s="1310">
        <f>+SYS_4_3_Digitos!A274</f>
        <v>620</v>
      </c>
      <c r="B275" s="1311" t="str">
        <f>+SYS_4_3_Digitos!B274</f>
        <v>GASTOS EN INVESTIGACIÓN Y DESARROLLO DEL EJERCICIO</v>
      </c>
      <c r="C275" s="1314">
        <f ca="1">+SYS_4_3_Digitos!I274</f>
        <v>0</v>
      </c>
      <c r="D275" s="1315">
        <f ca="1">+SYS_4_3_Digitos!J274</f>
        <v>0</v>
      </c>
      <c r="E275" s="2045"/>
      <c r="K275" s="2146">
        <f t="shared" ca="1" si="46"/>
        <v>0</v>
      </c>
      <c r="M275" s="2149">
        <f t="shared" ca="1" si="48"/>
        <v>0</v>
      </c>
      <c r="O275" s="2149">
        <f t="shared" ca="1" si="50"/>
        <v>0</v>
      </c>
      <c r="Q275" s="2149">
        <f t="shared" ca="1" si="51"/>
        <v>0</v>
      </c>
    </row>
    <row r="276" spans="1:17" hidden="1" outlineLevel="1">
      <c r="A276" s="1310">
        <f>+SYS_4_3_Digitos!A275</f>
        <v>621</v>
      </c>
      <c r="B276" s="1311" t="str">
        <f>+SYS_4_3_Digitos!B275</f>
        <v>ARRENDAMIENTOS Y CÁNONES</v>
      </c>
      <c r="C276" s="1314">
        <f ca="1">+SYS_4_3_Digitos!I275</f>
        <v>45607.610000000008</v>
      </c>
      <c r="D276" s="1315">
        <f ca="1">+SYS_4_3_Digitos!J275</f>
        <v>0</v>
      </c>
      <c r="E276" s="2045"/>
      <c r="K276" s="2146">
        <f t="shared" ca="1" si="46"/>
        <v>0</v>
      </c>
      <c r="M276" s="2149">
        <f t="shared" ca="1" si="48"/>
        <v>0</v>
      </c>
      <c r="O276" s="2149">
        <f t="shared" ca="1" si="50"/>
        <v>0</v>
      </c>
      <c r="Q276" s="2149">
        <f t="shared" ca="1" si="51"/>
        <v>0</v>
      </c>
    </row>
    <row r="277" spans="1:17" hidden="1" outlineLevel="1">
      <c r="A277" s="1310">
        <f>+SYS_4_3_Digitos!A276</f>
        <v>622</v>
      </c>
      <c r="B277" s="1311" t="str">
        <f>+SYS_4_3_Digitos!B276</f>
        <v>REPARACIONES Y CONSERVACIÓN</v>
      </c>
      <c r="C277" s="1314">
        <f ca="1">+SYS_4_3_Digitos!I276</f>
        <v>408157.99</v>
      </c>
      <c r="D277" s="1315">
        <f ca="1">+SYS_4_3_Digitos!J276</f>
        <v>0</v>
      </c>
      <c r="E277" s="2045"/>
      <c r="K277" s="2146">
        <f t="shared" ca="1" si="46"/>
        <v>0</v>
      </c>
      <c r="M277" s="2149">
        <f t="shared" ca="1" si="48"/>
        <v>0</v>
      </c>
      <c r="O277" s="2149">
        <f t="shared" ca="1" si="50"/>
        <v>0</v>
      </c>
      <c r="Q277" s="2149">
        <f t="shared" ca="1" si="51"/>
        <v>0</v>
      </c>
    </row>
    <row r="278" spans="1:17" hidden="1" outlineLevel="1">
      <c r="A278" s="1310">
        <f>+SYS_4_3_Digitos!A277</f>
        <v>623</v>
      </c>
      <c r="B278" s="1311" t="str">
        <f>+SYS_4_3_Digitos!B277</f>
        <v>SERVICIOS DE PROFESIONALES INDEPENDIENTES</v>
      </c>
      <c r="C278" s="1314">
        <f ca="1">+SYS_4_3_Digitos!I277</f>
        <v>1289990.83</v>
      </c>
      <c r="D278" s="1315">
        <f ca="1">+SYS_4_3_Digitos!J277</f>
        <v>0</v>
      </c>
      <c r="E278" s="2045"/>
      <c r="K278" s="2146">
        <f t="shared" ca="1" si="46"/>
        <v>0</v>
      </c>
      <c r="M278" s="2149">
        <f t="shared" ca="1" si="48"/>
        <v>0</v>
      </c>
      <c r="O278" s="2149">
        <f t="shared" ca="1" si="50"/>
        <v>0</v>
      </c>
      <c r="Q278" s="2149">
        <f t="shared" ca="1" si="51"/>
        <v>0</v>
      </c>
    </row>
    <row r="279" spans="1:17" hidden="1" outlineLevel="1">
      <c r="A279" s="1310">
        <f>+SYS_4_3_Digitos!A278</f>
        <v>624</v>
      </c>
      <c r="B279" s="1311" t="str">
        <f>+SYS_4_3_Digitos!B278</f>
        <v>TRANSPORTES</v>
      </c>
      <c r="C279" s="1314">
        <f ca="1">+SYS_4_3_Digitos!I278</f>
        <v>969386.08000000007</v>
      </c>
      <c r="D279" s="1315">
        <f ca="1">+SYS_4_3_Digitos!J278</f>
        <v>0</v>
      </c>
      <c r="E279" s="2045"/>
      <c r="K279" s="2146">
        <f t="shared" ca="1" si="46"/>
        <v>0</v>
      </c>
      <c r="M279" s="2149">
        <f t="shared" ca="1" si="48"/>
        <v>0</v>
      </c>
      <c r="O279" s="2149">
        <f t="shared" ca="1" si="50"/>
        <v>0</v>
      </c>
      <c r="Q279" s="2149">
        <f t="shared" ca="1" si="51"/>
        <v>0</v>
      </c>
    </row>
    <row r="280" spans="1:17" hidden="1" outlineLevel="1">
      <c r="A280" s="1310">
        <f>+SYS_4_3_Digitos!A279</f>
        <v>625</v>
      </c>
      <c r="B280" s="1311" t="str">
        <f>+SYS_4_3_Digitos!B279</f>
        <v>PRIMAS DE SEGUROS</v>
      </c>
      <c r="C280" s="1314">
        <f ca="1">+SYS_4_3_Digitos!I279</f>
        <v>103906.21</v>
      </c>
      <c r="D280" s="1315">
        <f ca="1">+SYS_4_3_Digitos!J279</f>
        <v>0</v>
      </c>
      <c r="E280" s="2045"/>
      <c r="K280" s="2146">
        <f t="shared" ca="1" si="46"/>
        <v>0</v>
      </c>
      <c r="M280" s="2149">
        <f t="shared" ca="1" si="48"/>
        <v>0</v>
      </c>
      <c r="O280" s="2149">
        <f t="shared" ca="1" si="50"/>
        <v>0</v>
      </c>
      <c r="Q280" s="2149">
        <f t="shared" ca="1" si="51"/>
        <v>0</v>
      </c>
    </row>
    <row r="281" spans="1:17" hidden="1" outlineLevel="1">
      <c r="A281" s="1310">
        <f>+SYS_4_3_Digitos!A280</f>
        <v>626</v>
      </c>
      <c r="B281" s="1311" t="str">
        <f>+SYS_4_3_Digitos!B280</f>
        <v>SERVICIOS BANCARIOS Y SIMILARES</v>
      </c>
      <c r="C281" s="1314">
        <f ca="1">+SYS_4_3_Digitos!I280</f>
        <v>58684.98</v>
      </c>
      <c r="D281" s="1315">
        <f ca="1">+SYS_4_3_Digitos!J280</f>
        <v>0</v>
      </c>
      <c r="E281" s="2045"/>
      <c r="K281" s="2146">
        <f t="shared" ca="1" si="46"/>
        <v>0</v>
      </c>
      <c r="M281" s="2149">
        <f t="shared" ca="1" si="48"/>
        <v>0</v>
      </c>
      <c r="O281" s="2149">
        <f t="shared" ca="1" si="50"/>
        <v>0</v>
      </c>
      <c r="Q281" s="2149">
        <f t="shared" ca="1" si="51"/>
        <v>0</v>
      </c>
    </row>
    <row r="282" spans="1:17" hidden="1" outlineLevel="1">
      <c r="A282" s="1310">
        <f>+SYS_4_3_Digitos!A281</f>
        <v>627</v>
      </c>
      <c r="B282" s="1311" t="str">
        <f>+SYS_4_3_Digitos!B281</f>
        <v>PUBLICIDAD, PROPAGANDA Y RELACIONES PÚBLICAS</v>
      </c>
      <c r="C282" s="1314">
        <f ca="1">+SYS_4_3_Digitos!I281</f>
        <v>49008.95</v>
      </c>
      <c r="D282" s="1315">
        <f ca="1">+SYS_4_3_Digitos!J281</f>
        <v>0</v>
      </c>
      <c r="E282" s="2045"/>
      <c r="K282" s="2146">
        <f t="shared" ca="1" si="46"/>
        <v>0</v>
      </c>
      <c r="M282" s="2149">
        <f t="shared" ca="1" si="48"/>
        <v>0</v>
      </c>
      <c r="O282" s="2149">
        <f t="shared" ca="1" si="50"/>
        <v>0</v>
      </c>
      <c r="Q282" s="2149">
        <f t="shared" ca="1" si="51"/>
        <v>0</v>
      </c>
    </row>
    <row r="283" spans="1:17" hidden="1" outlineLevel="1">
      <c r="A283" s="1310">
        <f>+SYS_4_3_Digitos!A282</f>
        <v>628</v>
      </c>
      <c r="B283" s="1311" t="str">
        <f>+SYS_4_3_Digitos!B282</f>
        <v>SUMINISTROS</v>
      </c>
      <c r="C283" s="1314">
        <f ca="1">+SYS_4_3_Digitos!I282</f>
        <v>1387300.6999999995</v>
      </c>
      <c r="D283" s="1315">
        <f ca="1">+SYS_4_3_Digitos!J282</f>
        <v>0</v>
      </c>
      <c r="E283" s="2045"/>
      <c r="K283" s="2146">
        <f t="shared" ca="1" si="46"/>
        <v>0</v>
      </c>
      <c r="M283" s="2149">
        <f t="shared" ca="1" si="48"/>
        <v>0</v>
      </c>
      <c r="O283" s="2149">
        <f t="shared" ca="1" si="50"/>
        <v>0</v>
      </c>
      <c r="Q283" s="2149">
        <f t="shared" ca="1" si="51"/>
        <v>0</v>
      </c>
    </row>
    <row r="284" spans="1:17" hidden="1" outlineLevel="1">
      <c r="A284" s="1310">
        <f>+SYS_4_3_Digitos!A283</f>
        <v>629</v>
      </c>
      <c r="B284" s="1311" t="str">
        <f>+SYS_4_3_Digitos!B283</f>
        <v>OTROS SERVICIOS</v>
      </c>
      <c r="C284" s="1314">
        <f ca="1">+SYS_4_3_Digitos!I283</f>
        <v>367677.30000000005</v>
      </c>
      <c r="D284" s="1315">
        <f ca="1">+SYS_4_3_Digitos!J283</f>
        <v>0</v>
      </c>
      <c r="E284" s="2045"/>
      <c r="K284" s="2146">
        <f t="shared" ca="1" si="46"/>
        <v>0</v>
      </c>
      <c r="M284" s="2149">
        <f t="shared" ca="1" si="48"/>
        <v>0</v>
      </c>
      <c r="O284" s="2149">
        <f t="shared" ca="1" si="50"/>
        <v>0</v>
      </c>
      <c r="Q284" s="2149">
        <f t="shared" ca="1" si="51"/>
        <v>0</v>
      </c>
    </row>
    <row r="285" spans="1:17" hidden="1" outlineLevel="1">
      <c r="A285" s="1310">
        <f>+SYS_4_3_Digitos!A284</f>
        <v>6300</v>
      </c>
      <c r="B285" s="1311" t="str">
        <f>+SYS_4_3_Digitos!B284</f>
        <v>IMPUESTO CORRIENTE</v>
      </c>
      <c r="C285" s="1314">
        <f ca="1">+SYS_4_3_Digitos!I284</f>
        <v>2477666.92</v>
      </c>
      <c r="D285" s="1315">
        <f ca="1">+SYS_4_3_Digitos!J284</f>
        <v>0</v>
      </c>
      <c r="E285" s="2045"/>
      <c r="K285" s="2146">
        <f t="shared" ca="1" si="46"/>
        <v>0</v>
      </c>
      <c r="M285" s="2149">
        <f t="shared" ca="1" si="48"/>
        <v>0</v>
      </c>
      <c r="O285" s="2149">
        <f t="shared" ca="1" si="50"/>
        <v>0</v>
      </c>
      <c r="Q285" s="2149">
        <f t="shared" ca="1" si="51"/>
        <v>0</v>
      </c>
    </row>
    <row r="286" spans="1:17" hidden="1" outlineLevel="1">
      <c r="A286" s="1310">
        <f>+SYS_4_3_Digitos!A285</f>
        <v>6301</v>
      </c>
      <c r="B286" s="1311" t="str">
        <f>+SYS_4_3_Digitos!B285</f>
        <v>IMPUESTO DIFERIDO</v>
      </c>
      <c r="C286" s="1314">
        <f ca="1">+SYS_4_3_Digitos!I285</f>
        <v>65906.049999999988</v>
      </c>
      <c r="D286" s="1315">
        <f ca="1">+SYS_4_3_Digitos!J285</f>
        <v>0</v>
      </c>
      <c r="E286" s="2045"/>
      <c r="K286" s="2146">
        <f t="shared" ca="1" si="46"/>
        <v>0</v>
      </c>
      <c r="M286" s="2149">
        <f t="shared" ca="1" si="48"/>
        <v>0</v>
      </c>
      <c r="O286" s="2149">
        <f t="shared" ca="1" si="50"/>
        <v>0</v>
      </c>
      <c r="Q286" s="2149">
        <f t="shared" ca="1" si="51"/>
        <v>0</v>
      </c>
    </row>
    <row r="287" spans="1:17" hidden="1" outlineLevel="1">
      <c r="A287" s="1310">
        <f>+SYS_4_3_Digitos!A286</f>
        <v>631</v>
      </c>
      <c r="B287" s="1311" t="str">
        <f>+SYS_4_3_Digitos!B286</f>
        <v>OTROS TRIBUTOS</v>
      </c>
      <c r="C287" s="1314">
        <f ca="1">+SYS_4_3_Digitos!I286</f>
        <v>217821.86999999997</v>
      </c>
      <c r="D287" s="1315">
        <f ca="1">+SYS_4_3_Digitos!J286</f>
        <v>0</v>
      </c>
      <c r="E287" s="2045"/>
      <c r="K287" s="2146">
        <f t="shared" ca="1" si="46"/>
        <v>0</v>
      </c>
      <c r="M287" s="2149">
        <f t="shared" ca="1" si="48"/>
        <v>0</v>
      </c>
      <c r="O287" s="2149">
        <f t="shared" ca="1" si="50"/>
        <v>0</v>
      </c>
      <c r="Q287" s="2149">
        <f t="shared" ca="1" si="51"/>
        <v>0</v>
      </c>
    </row>
    <row r="288" spans="1:17" hidden="1" outlineLevel="1">
      <c r="A288" s="1310">
        <f>+SYS_4_3_Digitos!A287</f>
        <v>633</v>
      </c>
      <c r="B288" s="1311" t="str">
        <f>+SYS_4_3_Digitos!B287</f>
        <v>AJUSTES NEGATIVOS EN LA IMPOSICIÓN SOBRE BENEFICIOS</v>
      </c>
      <c r="C288" s="1314">
        <f ca="1">+SYS_4_3_Digitos!I287</f>
        <v>0</v>
      </c>
      <c r="D288" s="1315">
        <f ca="1">+SYS_4_3_Digitos!J287</f>
        <v>0</v>
      </c>
      <c r="E288" s="2045"/>
      <c r="K288" s="2146">
        <f t="shared" ca="1" si="46"/>
        <v>0</v>
      </c>
      <c r="M288" s="2149">
        <f t="shared" ca="1" si="48"/>
        <v>0</v>
      </c>
      <c r="O288" s="2149">
        <f t="shared" ca="1" si="50"/>
        <v>0</v>
      </c>
      <c r="Q288" s="2149">
        <f t="shared" ca="1" si="51"/>
        <v>0</v>
      </c>
    </row>
    <row r="289" spans="1:17" hidden="1" outlineLevel="1">
      <c r="A289" s="1310">
        <f>+SYS_4_3_Digitos!A288</f>
        <v>6341</v>
      </c>
      <c r="B289" s="1311" t="str">
        <f>+SYS_4_3_Digitos!B288</f>
        <v>AJUSTES NEGATIVOS EN IVA DE ACTIVO CORRIENTE</v>
      </c>
      <c r="C289" s="1314">
        <f ca="1">+SYS_4_3_Digitos!I288</f>
        <v>0</v>
      </c>
      <c r="D289" s="1315">
        <f ca="1">+SYS_4_3_Digitos!J288</f>
        <v>0</v>
      </c>
      <c r="E289" s="2045"/>
      <c r="K289" s="2146">
        <f t="shared" ca="1" si="46"/>
        <v>0</v>
      </c>
      <c r="M289" s="2149">
        <f t="shared" ca="1" si="48"/>
        <v>0</v>
      </c>
      <c r="O289" s="2149">
        <f t="shared" ca="1" si="50"/>
        <v>0</v>
      </c>
      <c r="Q289" s="2149">
        <f t="shared" ca="1" si="51"/>
        <v>0</v>
      </c>
    </row>
    <row r="290" spans="1:17" hidden="1" outlineLevel="1">
      <c r="A290" s="1310">
        <f>+SYS_4_3_Digitos!A289</f>
        <v>6342</v>
      </c>
      <c r="B290" s="1311" t="str">
        <f>+SYS_4_3_Digitos!B289</f>
        <v>AJUSTES NEGATIVOS EN IVA DE INVERSIONES</v>
      </c>
      <c r="C290" s="1314">
        <f ca="1">+SYS_4_3_Digitos!I289</f>
        <v>0</v>
      </c>
      <c r="D290" s="1315">
        <f ca="1">+SYS_4_3_Digitos!J289</f>
        <v>0</v>
      </c>
      <c r="E290" s="2045"/>
      <c r="K290" s="2146">
        <f t="shared" ca="1" si="46"/>
        <v>0</v>
      </c>
      <c r="M290" s="2149">
        <f t="shared" ca="1" si="48"/>
        <v>0</v>
      </c>
      <c r="O290" s="2149">
        <f t="shared" ca="1" si="50"/>
        <v>0</v>
      </c>
      <c r="Q290" s="2149">
        <f t="shared" ca="1" si="51"/>
        <v>0</v>
      </c>
    </row>
    <row r="291" spans="1:17" hidden="1" outlineLevel="1">
      <c r="A291" s="1310">
        <f>+SYS_4_3_Digitos!A290</f>
        <v>636</v>
      </c>
      <c r="B291" s="1311" t="str">
        <f>+SYS_4_3_Digitos!B290</f>
        <v>DEVOLUCIÓN DE IMPUESTOS</v>
      </c>
      <c r="C291" s="1314">
        <f ca="1">+SYS_4_3_Digitos!I290</f>
        <v>0</v>
      </c>
      <c r="D291" s="1315">
        <f ca="1">+SYS_4_3_Digitos!J290</f>
        <v>0</v>
      </c>
      <c r="E291" s="2045"/>
      <c r="K291" s="2146">
        <f t="shared" ca="1" si="46"/>
        <v>0</v>
      </c>
      <c r="M291" s="2149">
        <f t="shared" ca="1" si="48"/>
        <v>0</v>
      </c>
      <c r="O291" s="2149">
        <f t="shared" ca="1" si="50"/>
        <v>0</v>
      </c>
      <c r="Q291" s="2149">
        <f t="shared" ca="1" si="51"/>
        <v>0</v>
      </c>
    </row>
    <row r="292" spans="1:17" hidden="1" outlineLevel="1">
      <c r="A292" s="1310">
        <f>+SYS_4_3_Digitos!A291</f>
        <v>638</v>
      </c>
      <c r="B292" s="1311" t="str">
        <f>+SYS_4_3_Digitos!B291</f>
        <v>AJUSTES POSITIVOS EN LA IMPOSICIÓN SOBRE BENEFICIOS</v>
      </c>
      <c r="C292" s="1314">
        <f ca="1">+SYS_4_3_Digitos!I291</f>
        <v>0</v>
      </c>
      <c r="D292" s="1315">
        <f ca="1">+SYS_4_3_Digitos!J291</f>
        <v>0</v>
      </c>
      <c r="E292" s="2045"/>
      <c r="K292" s="2146">
        <f t="shared" ca="1" si="46"/>
        <v>0</v>
      </c>
      <c r="M292" s="2149">
        <f t="shared" ca="1" si="48"/>
        <v>0</v>
      </c>
      <c r="O292" s="2149">
        <f t="shared" ca="1" si="50"/>
        <v>0</v>
      </c>
      <c r="Q292" s="2149">
        <f t="shared" ca="1" si="51"/>
        <v>0</v>
      </c>
    </row>
    <row r="293" spans="1:17" hidden="1" outlineLevel="1">
      <c r="A293" s="1310">
        <f>+SYS_4_3_Digitos!A292</f>
        <v>6391</v>
      </c>
      <c r="B293" s="1311" t="str">
        <f>+SYS_4_3_Digitos!B292</f>
        <v>AJUSTES POSITIVOS EN IVA DE ACTIVO CORRIENTE</v>
      </c>
      <c r="C293" s="1314">
        <f ca="1">+SYS_4_3_Digitos!I292</f>
        <v>0</v>
      </c>
      <c r="D293" s="1315">
        <f ca="1">+SYS_4_3_Digitos!J292</f>
        <v>0</v>
      </c>
      <c r="E293" s="2045"/>
      <c r="K293" s="2146">
        <f t="shared" ca="1" si="46"/>
        <v>0</v>
      </c>
      <c r="M293" s="2149">
        <f t="shared" ca="1" si="48"/>
        <v>0</v>
      </c>
      <c r="O293" s="2149">
        <f t="shared" ca="1" si="50"/>
        <v>0</v>
      </c>
      <c r="Q293" s="2149">
        <f t="shared" ca="1" si="51"/>
        <v>0</v>
      </c>
    </row>
    <row r="294" spans="1:17" hidden="1" outlineLevel="1">
      <c r="A294" s="1310">
        <f>+SYS_4_3_Digitos!A293</f>
        <v>6392</v>
      </c>
      <c r="B294" s="1311" t="str">
        <f>+SYS_4_3_Digitos!B293</f>
        <v>AJUSTES POSITIVOS EN IVA DE INVERSIONES</v>
      </c>
      <c r="C294" s="1314">
        <f ca="1">+SYS_4_3_Digitos!I293</f>
        <v>0</v>
      </c>
      <c r="D294" s="1315">
        <f ca="1">+SYS_4_3_Digitos!J293</f>
        <v>0</v>
      </c>
      <c r="E294" s="2045"/>
      <c r="K294" s="2146">
        <f t="shared" ca="1" si="46"/>
        <v>0</v>
      </c>
      <c r="M294" s="2149">
        <f t="shared" ca="1" si="48"/>
        <v>0</v>
      </c>
      <c r="O294" s="2149">
        <f t="shared" ca="1" si="50"/>
        <v>0</v>
      </c>
      <c r="Q294" s="2149">
        <f t="shared" ca="1" si="51"/>
        <v>0</v>
      </c>
    </row>
    <row r="295" spans="1:17" hidden="1" outlineLevel="1">
      <c r="A295" s="1310">
        <f>+SYS_4_3_Digitos!A294</f>
        <v>640</v>
      </c>
      <c r="B295" s="1311" t="str">
        <f>+SYS_4_3_Digitos!B294</f>
        <v>SUELDOS Y SALARIOS</v>
      </c>
      <c r="C295" s="1314">
        <f ca="1">+SYS_4_3_Digitos!I294</f>
        <v>3352261.73</v>
      </c>
      <c r="D295" s="1315">
        <f ca="1">+SYS_4_3_Digitos!J294</f>
        <v>0</v>
      </c>
      <c r="E295" s="2045"/>
      <c r="K295" s="2146">
        <f t="shared" ca="1" si="46"/>
        <v>0</v>
      </c>
      <c r="M295" s="2149">
        <f t="shared" ca="1" si="48"/>
        <v>0</v>
      </c>
      <c r="O295" s="2149">
        <f t="shared" ca="1" si="50"/>
        <v>0</v>
      </c>
      <c r="Q295" s="2149">
        <f t="shared" ca="1" si="51"/>
        <v>0</v>
      </c>
    </row>
    <row r="296" spans="1:17" hidden="1" outlineLevel="1">
      <c r="A296" s="1310">
        <f>+SYS_4_3_Digitos!A295</f>
        <v>641</v>
      </c>
      <c r="B296" s="1311" t="str">
        <f>+SYS_4_3_Digitos!B295</f>
        <v>INDEMNIZACIONES</v>
      </c>
      <c r="C296" s="1314">
        <f ca="1">+SYS_4_3_Digitos!I295</f>
        <v>37352.629999999997</v>
      </c>
      <c r="D296" s="1315">
        <f ca="1">+SYS_4_3_Digitos!J295</f>
        <v>0</v>
      </c>
      <c r="E296" s="2045"/>
      <c r="K296" s="2146">
        <f t="shared" ca="1" si="46"/>
        <v>0</v>
      </c>
      <c r="M296" s="2149">
        <f t="shared" ca="1" si="48"/>
        <v>0</v>
      </c>
      <c r="O296" s="2149">
        <f t="shared" ca="1" si="50"/>
        <v>0</v>
      </c>
      <c r="Q296" s="2149">
        <f t="shared" ca="1" si="51"/>
        <v>0</v>
      </c>
    </row>
    <row r="297" spans="1:17" hidden="1" outlineLevel="1">
      <c r="A297" s="1310">
        <f>+SYS_4_3_Digitos!A296</f>
        <v>642</v>
      </c>
      <c r="B297" s="1311" t="str">
        <f>+SYS_4_3_Digitos!B296</f>
        <v>SEGURIDAD SOCIAL A CARGO DE LA EMPRESA</v>
      </c>
      <c r="C297" s="1314">
        <f ca="1">+SYS_4_3_Digitos!I296</f>
        <v>622414.17000000004</v>
      </c>
      <c r="D297" s="1315">
        <f ca="1">+SYS_4_3_Digitos!J296</f>
        <v>0</v>
      </c>
      <c r="E297" s="2045"/>
      <c r="K297" s="2146">
        <f t="shared" ca="1" si="46"/>
        <v>0</v>
      </c>
      <c r="M297" s="2149">
        <f t="shared" ca="1" si="48"/>
        <v>0</v>
      </c>
      <c r="O297" s="2149">
        <f t="shared" ca="1" si="50"/>
        <v>0</v>
      </c>
      <c r="Q297" s="2149">
        <f t="shared" ca="1" si="51"/>
        <v>0</v>
      </c>
    </row>
    <row r="298" spans="1:17" hidden="1" outlineLevel="1">
      <c r="A298" s="1310">
        <f>+SYS_4_3_Digitos!A297</f>
        <v>643</v>
      </c>
      <c r="B298" s="1311" t="str">
        <f>+SYS_4_3_Digitos!B297</f>
        <v>RETRIBUCIONES A LP MEDIANTE SIST DE APORTACIÓN DEF</v>
      </c>
      <c r="C298" s="1314">
        <f ca="1">+SYS_4_3_Digitos!I297</f>
        <v>0</v>
      </c>
      <c r="D298" s="1315">
        <f ca="1">+SYS_4_3_Digitos!J297</f>
        <v>0</v>
      </c>
      <c r="E298" s="2045"/>
      <c r="K298" s="2146">
        <f t="shared" ca="1" si="46"/>
        <v>0</v>
      </c>
      <c r="M298" s="2149">
        <f t="shared" ca="1" si="48"/>
        <v>0</v>
      </c>
      <c r="O298" s="2149">
        <f t="shared" ca="1" si="50"/>
        <v>0</v>
      </c>
      <c r="Q298" s="2149">
        <f t="shared" ca="1" si="51"/>
        <v>0</v>
      </c>
    </row>
    <row r="299" spans="1:17" hidden="1" outlineLevel="1">
      <c r="A299" s="1310">
        <f>+SYS_4_3_Digitos!A298</f>
        <v>644</v>
      </c>
      <c r="B299" s="1311" t="str">
        <f>+SYS_4_3_Digitos!B298</f>
        <v>RETRIBUCIONES A LP MEDIANTE SIST DE PRESTACIÓN DEF</v>
      </c>
      <c r="C299" s="1314">
        <f ca="1">+SYS_4_3_Digitos!I298</f>
        <v>0</v>
      </c>
      <c r="D299" s="1315">
        <f ca="1">+SYS_4_3_Digitos!J298</f>
        <v>0</v>
      </c>
      <c r="E299" s="2045"/>
      <c r="K299" s="2146">
        <f t="shared" ca="1" si="46"/>
        <v>0</v>
      </c>
      <c r="M299" s="2149">
        <f t="shared" ca="1" si="48"/>
        <v>0</v>
      </c>
      <c r="O299" s="2149">
        <f t="shared" ca="1" si="50"/>
        <v>0</v>
      </c>
      <c r="Q299" s="2149">
        <f t="shared" ca="1" si="51"/>
        <v>0</v>
      </c>
    </row>
    <row r="300" spans="1:17" hidden="1" outlineLevel="1">
      <c r="A300" s="1310">
        <f>+SYS_4_3_Digitos!A299</f>
        <v>645</v>
      </c>
      <c r="B300" s="1311" t="str">
        <f>+SYS_4_3_Digitos!B299</f>
        <v>RETRIBUCIONES AL PERSONAL MEDIANTE INST DE PATRIM</v>
      </c>
      <c r="C300" s="1314">
        <f ca="1">+SYS_4_3_Digitos!I299</f>
        <v>0</v>
      </c>
      <c r="D300" s="1315">
        <f ca="1">+SYS_4_3_Digitos!J299</f>
        <v>0</v>
      </c>
      <c r="E300" s="2045"/>
      <c r="K300" s="2146">
        <f t="shared" ca="1" si="46"/>
        <v>0</v>
      </c>
      <c r="M300" s="2149">
        <f t="shared" ca="1" si="48"/>
        <v>0</v>
      </c>
      <c r="O300" s="2149">
        <f t="shared" ca="1" si="50"/>
        <v>0</v>
      </c>
      <c r="Q300" s="2149">
        <f t="shared" ca="1" si="51"/>
        <v>0</v>
      </c>
    </row>
    <row r="301" spans="1:17" hidden="1" outlineLevel="1">
      <c r="A301" s="1310">
        <f>+SYS_4_3_Digitos!A300</f>
        <v>649</v>
      </c>
      <c r="B301" s="1311" t="str">
        <f>+SYS_4_3_Digitos!B300</f>
        <v>OTROS GASTOS SOCIALES</v>
      </c>
      <c r="C301" s="1314">
        <f ca="1">+SYS_4_3_Digitos!I300</f>
        <v>11816.43</v>
      </c>
      <c r="D301" s="1315">
        <f ca="1">+SYS_4_3_Digitos!J300</f>
        <v>0</v>
      </c>
      <c r="E301" s="2045"/>
      <c r="K301" s="2146">
        <f t="shared" ca="1" si="46"/>
        <v>0</v>
      </c>
      <c r="M301" s="2149">
        <f t="shared" ca="1" si="48"/>
        <v>0</v>
      </c>
      <c r="O301" s="2149">
        <f t="shared" ca="1" si="50"/>
        <v>0</v>
      </c>
      <c r="Q301" s="2149">
        <f t="shared" ca="1" si="51"/>
        <v>0</v>
      </c>
    </row>
    <row r="302" spans="1:17" hidden="1" outlineLevel="1">
      <c r="A302" s="1310">
        <f>+SYS_4_3_Digitos!A301</f>
        <v>650</v>
      </c>
      <c r="B302" s="1311" t="str">
        <f>+SYS_4_3_Digitos!B301</f>
        <v>PÉRDIDAS DE CRÉDITOS COMERCIALES INCOBRABLES</v>
      </c>
      <c r="C302" s="1314">
        <f ca="1">+SYS_4_3_Digitos!I301</f>
        <v>0</v>
      </c>
      <c r="D302" s="1315">
        <f ca="1">+SYS_4_3_Digitos!J301</f>
        <v>0</v>
      </c>
      <c r="E302" s="2045"/>
      <c r="K302" s="2146">
        <f t="shared" ca="1" si="46"/>
        <v>0</v>
      </c>
      <c r="M302" s="2149">
        <f t="shared" ca="1" si="48"/>
        <v>0</v>
      </c>
      <c r="O302" s="2149">
        <f t="shared" ca="1" si="50"/>
        <v>0</v>
      </c>
      <c r="Q302" s="2149">
        <f t="shared" ca="1" si="51"/>
        <v>0</v>
      </c>
    </row>
    <row r="303" spans="1:17" hidden="1" outlineLevel="1">
      <c r="A303" s="1310">
        <f>+SYS_4_3_Digitos!A302</f>
        <v>651</v>
      </c>
      <c r="B303" s="1311" t="str">
        <f>+SYS_4_3_Digitos!B302</f>
        <v>RESULTADOS DE OPERACIONES EN COMÚN</v>
      </c>
      <c r="C303" s="1314">
        <f ca="1">+SYS_4_3_Digitos!I302</f>
        <v>0</v>
      </c>
      <c r="D303" s="1315">
        <f ca="1">+SYS_4_3_Digitos!J302</f>
        <v>0</v>
      </c>
      <c r="E303" s="2045"/>
      <c r="K303" s="2146">
        <f t="shared" ca="1" si="46"/>
        <v>0</v>
      </c>
      <c r="M303" s="2149">
        <f t="shared" ca="1" si="48"/>
        <v>0</v>
      </c>
      <c r="O303" s="2149">
        <f t="shared" ca="1" si="50"/>
        <v>0</v>
      </c>
      <c r="Q303" s="2149">
        <f t="shared" ca="1" si="51"/>
        <v>0</v>
      </c>
    </row>
    <row r="304" spans="1:17" hidden="1" outlineLevel="1">
      <c r="A304" s="1310">
        <f>+SYS_4_3_Digitos!A303</f>
        <v>659</v>
      </c>
      <c r="B304" s="1311" t="str">
        <f>+SYS_4_3_Digitos!B303</f>
        <v>OTRAS PÉRDIDAS EN GESTIÓN CORRIENTE</v>
      </c>
      <c r="C304" s="1314">
        <f ca="1">+SYS_4_3_Digitos!I303</f>
        <v>0</v>
      </c>
      <c r="D304" s="1315">
        <f ca="1">+SYS_4_3_Digitos!J303</f>
        <v>0</v>
      </c>
      <c r="E304" s="2045"/>
      <c r="K304" s="2146">
        <f t="shared" ca="1" si="46"/>
        <v>0</v>
      </c>
      <c r="M304" s="2149">
        <f t="shared" ca="1" si="48"/>
        <v>0</v>
      </c>
      <c r="O304" s="2149">
        <f t="shared" ca="1" si="50"/>
        <v>0</v>
      </c>
      <c r="Q304" s="2149">
        <f t="shared" ca="1" si="51"/>
        <v>0</v>
      </c>
    </row>
    <row r="305" spans="1:17" hidden="1" outlineLevel="1">
      <c r="A305" s="1310">
        <f>+SYS_4_3_Digitos!A304</f>
        <v>660</v>
      </c>
      <c r="B305" s="1311" t="str">
        <f>+SYS_4_3_Digitos!B304</f>
        <v>GASTOS FINANCIEROS POR ACTUALIZACIONES DE PROV.</v>
      </c>
      <c r="C305" s="1314">
        <f ca="1">+SYS_4_3_Digitos!I304</f>
        <v>0</v>
      </c>
      <c r="D305" s="1315">
        <f ca="1">+SYS_4_3_Digitos!J304</f>
        <v>0</v>
      </c>
      <c r="E305" s="2045"/>
      <c r="K305" s="2146">
        <f t="shared" ca="1" si="46"/>
        <v>0</v>
      </c>
      <c r="M305" s="2149">
        <f t="shared" ca="1" si="48"/>
        <v>0</v>
      </c>
      <c r="O305" s="2149">
        <f t="shared" ca="1" si="50"/>
        <v>0</v>
      </c>
      <c r="Q305" s="2149">
        <f t="shared" ca="1" si="51"/>
        <v>0</v>
      </c>
    </row>
    <row r="306" spans="1:17" hidden="1" outlineLevel="1">
      <c r="A306" s="1310">
        <f>+SYS_4_3_Digitos!A305</f>
        <v>661</v>
      </c>
      <c r="B306" s="1311" t="str">
        <f>+SYS_4_3_Digitos!B305</f>
        <v>INTERESES DE OBLIGACIONES Y BONOS</v>
      </c>
      <c r="C306" s="1314">
        <f ca="1">+SYS_4_3_Digitos!I305</f>
        <v>0</v>
      </c>
      <c r="D306" s="1315">
        <f ca="1">+SYS_4_3_Digitos!J305</f>
        <v>0</v>
      </c>
      <c r="E306" s="2045"/>
      <c r="K306" s="2146">
        <f t="shared" ca="1" si="46"/>
        <v>0</v>
      </c>
      <c r="M306" s="2149">
        <f t="shared" ca="1" si="48"/>
        <v>0</v>
      </c>
      <c r="O306" s="2149">
        <f t="shared" ca="1" si="50"/>
        <v>0</v>
      </c>
      <c r="Q306" s="2149">
        <f t="shared" ca="1" si="51"/>
        <v>0</v>
      </c>
    </row>
    <row r="307" spans="1:17" hidden="1" outlineLevel="1">
      <c r="A307" s="1310">
        <f>+SYS_4_3_Digitos!A306</f>
        <v>6620</v>
      </c>
      <c r="B307" s="1311" t="str">
        <f>+SYS_4_3_Digitos!B306</f>
        <v>INTERESES DE DEUDAS, EMPRESAS DEL GRUPO</v>
      </c>
      <c r="C307" s="1314">
        <f ca="1">+SYS_4_3_Digitos!I306</f>
        <v>0</v>
      </c>
      <c r="D307" s="1315">
        <f ca="1">+SYS_4_3_Digitos!J306</f>
        <v>0</v>
      </c>
      <c r="E307" s="2045"/>
      <c r="K307" s="2146">
        <f t="shared" ca="1" si="46"/>
        <v>0</v>
      </c>
      <c r="M307" s="2149">
        <f t="shared" ca="1" si="48"/>
        <v>0</v>
      </c>
      <c r="O307" s="2149">
        <f t="shared" ca="1" si="50"/>
        <v>0</v>
      </c>
      <c r="Q307" s="2149">
        <f t="shared" ca="1" si="51"/>
        <v>0</v>
      </c>
    </row>
    <row r="308" spans="1:17" hidden="1" outlineLevel="1">
      <c r="A308" s="1310">
        <f>+SYS_4_3_Digitos!A307</f>
        <v>6621</v>
      </c>
      <c r="B308" s="1311" t="str">
        <f>+SYS_4_3_Digitos!B307</f>
        <v>INTERESES DE DEUDAS, EMPRESAS ASOCIADAS</v>
      </c>
      <c r="C308" s="1314">
        <f ca="1">+SYS_4_3_Digitos!I307</f>
        <v>0</v>
      </c>
      <c r="D308" s="1315">
        <f ca="1">+SYS_4_3_Digitos!J307</f>
        <v>0</v>
      </c>
      <c r="E308" s="2045"/>
      <c r="K308" s="2146">
        <f t="shared" ca="1" si="46"/>
        <v>0</v>
      </c>
      <c r="M308" s="2149">
        <f t="shared" ca="1" si="48"/>
        <v>0</v>
      </c>
      <c r="O308" s="2149">
        <f t="shared" ca="1" si="50"/>
        <v>0</v>
      </c>
      <c r="Q308" s="2149">
        <f t="shared" ca="1" si="51"/>
        <v>0</v>
      </c>
    </row>
    <row r="309" spans="1:17" hidden="1" outlineLevel="1">
      <c r="A309" s="1310">
        <f>+SYS_4_3_Digitos!A308</f>
        <v>6622</v>
      </c>
      <c r="B309" s="1311" t="str">
        <f>+SYS_4_3_Digitos!B308</f>
        <v>INTERESES DE DEUDAS, OTRAS PARTES VINCULADAS</v>
      </c>
      <c r="C309" s="1314">
        <f ca="1">+SYS_4_3_Digitos!I308</f>
        <v>0</v>
      </c>
      <c r="D309" s="1315">
        <f ca="1">+SYS_4_3_Digitos!J308</f>
        <v>0</v>
      </c>
      <c r="E309" s="2045"/>
      <c r="K309" s="2146">
        <f t="shared" ca="1" si="46"/>
        <v>0</v>
      </c>
      <c r="M309" s="2149">
        <f t="shared" ca="1" si="48"/>
        <v>0</v>
      </c>
      <c r="O309" s="2149">
        <f t="shared" ca="1" si="50"/>
        <v>0</v>
      </c>
      <c r="Q309" s="2149">
        <f t="shared" ca="1" si="51"/>
        <v>0</v>
      </c>
    </row>
    <row r="310" spans="1:17" hidden="1" outlineLevel="1">
      <c r="A310" s="1310">
        <f>+SYS_4_3_Digitos!A309</f>
        <v>6623</v>
      </c>
      <c r="B310" s="1311" t="str">
        <f>+SYS_4_3_Digitos!B309</f>
        <v>INTERESES DE DEUDAS CON ENTIDADES DE CRÉDITO</v>
      </c>
      <c r="C310" s="1314">
        <f ca="1">+SYS_4_3_Digitos!I309</f>
        <v>0</v>
      </c>
      <c r="D310" s="1315">
        <f ca="1">+SYS_4_3_Digitos!J309</f>
        <v>0</v>
      </c>
      <c r="E310" s="2045"/>
      <c r="K310" s="2146">
        <f t="shared" ca="1" si="46"/>
        <v>0</v>
      </c>
      <c r="M310" s="2149">
        <f t="shared" ca="1" si="48"/>
        <v>0</v>
      </c>
      <c r="O310" s="2149">
        <f t="shared" ca="1" si="50"/>
        <v>0</v>
      </c>
      <c r="Q310" s="2149">
        <f t="shared" ca="1" si="51"/>
        <v>0</v>
      </c>
    </row>
    <row r="311" spans="1:17" hidden="1" outlineLevel="1">
      <c r="A311" s="1310">
        <f>+SYS_4_3_Digitos!A310</f>
        <v>6624</v>
      </c>
      <c r="B311" s="1311" t="str">
        <f>+SYS_4_3_Digitos!B310</f>
        <v>INTERESES DE DEUDAS, OTRAS EMPRESAS</v>
      </c>
      <c r="C311" s="1314">
        <f ca="1">+SYS_4_3_Digitos!I310</f>
        <v>0</v>
      </c>
      <c r="D311" s="1315">
        <f ca="1">+SYS_4_3_Digitos!J310</f>
        <v>0</v>
      </c>
      <c r="E311" s="2045"/>
      <c r="K311" s="2146">
        <f t="shared" ca="1" si="46"/>
        <v>0</v>
      </c>
      <c r="M311" s="2149">
        <f t="shared" ca="1" si="48"/>
        <v>0</v>
      </c>
      <c r="O311" s="2149">
        <f t="shared" ca="1" si="50"/>
        <v>0</v>
      </c>
      <c r="Q311" s="2149">
        <f t="shared" ca="1" si="51"/>
        <v>0</v>
      </c>
    </row>
    <row r="312" spans="1:17" hidden="1" outlineLevel="1">
      <c r="A312" s="1310">
        <f>+SYS_4_3_Digitos!A311</f>
        <v>663</v>
      </c>
      <c r="B312" s="1311" t="str">
        <f>+SYS_4_3_Digitos!B311</f>
        <v>PÉRD. POR VALORACIÓN DE INSTR. FROS POR VALOR RAZON.</v>
      </c>
      <c r="C312" s="1314">
        <f ca="1">+SYS_4_3_Digitos!I311</f>
        <v>0</v>
      </c>
      <c r="D312" s="1315">
        <f ca="1">+SYS_4_3_Digitos!J311</f>
        <v>0</v>
      </c>
      <c r="E312" s="2045"/>
      <c r="K312" s="2146">
        <f t="shared" ca="1" si="46"/>
        <v>0</v>
      </c>
      <c r="M312" s="2149">
        <f t="shared" ca="1" si="48"/>
        <v>0</v>
      </c>
      <c r="O312" s="2149">
        <f t="shared" ca="1" si="50"/>
        <v>0</v>
      </c>
      <c r="Q312" s="2149">
        <f t="shared" ca="1" si="51"/>
        <v>0</v>
      </c>
    </row>
    <row r="313" spans="1:17" hidden="1" outlineLevel="1">
      <c r="A313" s="1310">
        <f>+SYS_4_3_Digitos!A312</f>
        <v>664</v>
      </c>
      <c r="B313" s="1311" t="str">
        <f>+SYS_4_3_Digitos!B312</f>
        <v>DIVIDENDOS DE ACC O PART. CONSID. COMO PASIVOS FROS</v>
      </c>
      <c r="C313" s="1314">
        <f ca="1">+SYS_4_3_Digitos!I312</f>
        <v>0</v>
      </c>
      <c r="D313" s="1315">
        <f ca="1">+SYS_4_3_Digitos!J312</f>
        <v>0</v>
      </c>
      <c r="E313" s="2045"/>
      <c r="K313" s="2146">
        <f t="shared" ca="1" si="46"/>
        <v>0</v>
      </c>
      <c r="M313" s="2149">
        <f t="shared" ca="1" si="48"/>
        <v>0</v>
      </c>
      <c r="O313" s="2149">
        <f t="shared" ca="1" si="50"/>
        <v>0</v>
      </c>
      <c r="Q313" s="2149">
        <f t="shared" ca="1" si="51"/>
        <v>0</v>
      </c>
    </row>
    <row r="314" spans="1:17" hidden="1" outlineLevel="1">
      <c r="A314" s="1310">
        <f>+SYS_4_3_Digitos!A313</f>
        <v>665</v>
      </c>
      <c r="B314" s="1311" t="str">
        <f>+SYS_4_3_Digitos!B313</f>
        <v>INTERESES POR DTO DE EFECTOS Y OP FACTORING</v>
      </c>
      <c r="C314" s="1314">
        <f ca="1">+SYS_4_3_Digitos!I313</f>
        <v>0</v>
      </c>
      <c r="D314" s="1315">
        <f ca="1">+SYS_4_3_Digitos!J313</f>
        <v>0</v>
      </c>
      <c r="E314" s="2045"/>
      <c r="K314" s="2146">
        <f t="shared" ca="1" si="46"/>
        <v>0</v>
      </c>
      <c r="M314" s="2149">
        <f t="shared" ca="1" si="48"/>
        <v>0</v>
      </c>
      <c r="O314" s="2149">
        <f t="shared" ca="1" si="50"/>
        <v>0</v>
      </c>
      <c r="Q314" s="2149">
        <f t="shared" ca="1" si="51"/>
        <v>0</v>
      </c>
    </row>
    <row r="315" spans="1:17" hidden="1" outlineLevel="1">
      <c r="A315" s="1310">
        <f>+SYS_4_3_Digitos!A314</f>
        <v>666</v>
      </c>
      <c r="B315" s="1311" t="str">
        <f>+SYS_4_3_Digitos!B314</f>
        <v>PÉRD. EN PARTICIP. Y VALORES REPRESENTATIVOS DEUDA</v>
      </c>
      <c r="C315" s="1314">
        <f ca="1">+SYS_4_3_Digitos!I314</f>
        <v>0</v>
      </c>
      <c r="D315" s="1315">
        <f ca="1">+SYS_4_3_Digitos!J314</f>
        <v>0</v>
      </c>
      <c r="E315" s="2045"/>
      <c r="K315" s="2146">
        <f t="shared" ca="1" si="46"/>
        <v>0</v>
      </c>
      <c r="M315" s="2149">
        <f t="shared" ca="1" si="48"/>
        <v>0</v>
      </c>
      <c r="O315" s="2149">
        <f t="shared" ca="1" si="50"/>
        <v>0</v>
      </c>
      <c r="Q315" s="2149">
        <f t="shared" ca="1" si="51"/>
        <v>0</v>
      </c>
    </row>
    <row r="316" spans="1:17" hidden="1" outlineLevel="1">
      <c r="A316" s="1310">
        <f>+SYS_4_3_Digitos!A315</f>
        <v>667</v>
      </c>
      <c r="B316" s="1311" t="str">
        <f>+SYS_4_3_Digitos!B315</f>
        <v>PÉRDIDAS DE CRÉDITOS NO COMERCIALES</v>
      </c>
      <c r="C316" s="1314">
        <f ca="1">+SYS_4_3_Digitos!I315</f>
        <v>0</v>
      </c>
      <c r="D316" s="1315">
        <f ca="1">+SYS_4_3_Digitos!J315</f>
        <v>0</v>
      </c>
      <c r="E316" s="2045"/>
      <c r="K316" s="2146">
        <f t="shared" ca="1" si="46"/>
        <v>0</v>
      </c>
      <c r="M316" s="2149">
        <f t="shared" ca="1" si="48"/>
        <v>0</v>
      </c>
      <c r="O316" s="2149">
        <f t="shared" ca="1" si="50"/>
        <v>0</v>
      </c>
      <c r="Q316" s="2149">
        <f t="shared" ca="1" si="51"/>
        <v>0</v>
      </c>
    </row>
    <row r="317" spans="1:17" hidden="1" outlineLevel="1">
      <c r="A317" s="1310">
        <f>+SYS_4_3_Digitos!A316</f>
        <v>668</v>
      </c>
      <c r="B317" s="1311" t="str">
        <f>+SYS_4_3_Digitos!B316</f>
        <v>DIFERENCIAS NEGATIVAS DE CAMBIO</v>
      </c>
      <c r="C317" s="1314">
        <f ca="1">+SYS_4_3_Digitos!I316</f>
        <v>163783.06</v>
      </c>
      <c r="D317" s="1315">
        <f ca="1">+SYS_4_3_Digitos!J316</f>
        <v>0</v>
      </c>
      <c r="E317" s="2045"/>
      <c r="K317" s="2146">
        <f t="shared" ca="1" si="46"/>
        <v>0</v>
      </c>
      <c r="M317" s="2149">
        <f t="shared" ca="1" si="48"/>
        <v>0</v>
      </c>
      <c r="O317" s="2149">
        <f t="shared" ca="1" si="50"/>
        <v>0</v>
      </c>
      <c r="Q317" s="2149">
        <f t="shared" ca="1" si="51"/>
        <v>0</v>
      </c>
    </row>
    <row r="318" spans="1:17" hidden="1" outlineLevel="1">
      <c r="A318" s="1310">
        <f>+SYS_4_3_Digitos!A317</f>
        <v>669</v>
      </c>
      <c r="B318" s="1311" t="str">
        <f>+SYS_4_3_Digitos!B317</f>
        <v>OTROS GASTOS FINANCIEROS</v>
      </c>
      <c r="C318" s="1314">
        <f ca="1">+SYS_4_3_Digitos!I317</f>
        <v>138283.04</v>
      </c>
      <c r="D318" s="1315">
        <f ca="1">+SYS_4_3_Digitos!J317</f>
        <v>0</v>
      </c>
      <c r="E318" s="2045"/>
      <c r="K318" s="2146">
        <f t="shared" ca="1" si="46"/>
        <v>0</v>
      </c>
      <c r="M318" s="2149">
        <f t="shared" ca="1" si="48"/>
        <v>0</v>
      </c>
      <c r="O318" s="2149">
        <f t="shared" ca="1" si="50"/>
        <v>0</v>
      </c>
      <c r="Q318" s="2149">
        <f t="shared" ca="1" si="51"/>
        <v>0</v>
      </c>
    </row>
    <row r="319" spans="1:17" hidden="1" outlineLevel="1">
      <c r="A319" s="1310">
        <f>+SYS_4_3_Digitos!A318</f>
        <v>670</v>
      </c>
      <c r="B319" s="1311" t="str">
        <f>+SYS_4_3_Digitos!B318</f>
        <v>PÉRDIDAS PROCEDENTES DEL INMOV. INTANGIBLE</v>
      </c>
      <c r="C319" s="1314">
        <f ca="1">+SYS_4_3_Digitos!I318</f>
        <v>0</v>
      </c>
      <c r="D319" s="1315">
        <f ca="1">+SYS_4_3_Digitos!J318</f>
        <v>0</v>
      </c>
      <c r="E319" s="2045"/>
      <c r="K319" s="2146">
        <f t="shared" ca="1" si="46"/>
        <v>0</v>
      </c>
      <c r="M319" s="2149">
        <f t="shared" ca="1" si="48"/>
        <v>0</v>
      </c>
      <c r="O319" s="2149">
        <f t="shared" ca="1" si="50"/>
        <v>0</v>
      </c>
      <c r="Q319" s="2149">
        <f t="shared" ca="1" si="51"/>
        <v>0</v>
      </c>
    </row>
    <row r="320" spans="1:17" hidden="1" outlineLevel="1">
      <c r="A320" s="1310">
        <f>+SYS_4_3_Digitos!A319</f>
        <v>671</v>
      </c>
      <c r="B320" s="1311" t="str">
        <f>+SYS_4_3_Digitos!B319</f>
        <v>PÉRDIDAS PROCEDENTES DEL INMOV. MATERIAL</v>
      </c>
      <c r="C320" s="1314">
        <f ca="1">+SYS_4_3_Digitos!I319</f>
        <v>0</v>
      </c>
      <c r="D320" s="1315">
        <f ca="1">+SYS_4_3_Digitos!J319</f>
        <v>0</v>
      </c>
      <c r="E320" s="2045"/>
      <c r="K320" s="2146">
        <f t="shared" ca="1" si="46"/>
        <v>0</v>
      </c>
      <c r="M320" s="2149">
        <f t="shared" ca="1" si="48"/>
        <v>0</v>
      </c>
      <c r="O320" s="2149">
        <f t="shared" ca="1" si="50"/>
        <v>0</v>
      </c>
      <c r="Q320" s="2149">
        <f t="shared" ca="1" si="51"/>
        <v>0</v>
      </c>
    </row>
    <row r="321" spans="1:17" hidden="1" outlineLevel="1">
      <c r="A321" s="1310">
        <f>+SYS_4_3_Digitos!A320</f>
        <v>672</v>
      </c>
      <c r="B321" s="1311" t="str">
        <f>+SYS_4_3_Digitos!B320</f>
        <v>PÉRD. PROCEDENTES DE LAS INVERSIONES INMOBILIARIAS</v>
      </c>
      <c r="C321" s="1314">
        <f ca="1">+SYS_4_3_Digitos!I320</f>
        <v>0</v>
      </c>
      <c r="D321" s="1315">
        <f ca="1">+SYS_4_3_Digitos!J320</f>
        <v>0</v>
      </c>
      <c r="E321" s="2045"/>
      <c r="K321" s="2146">
        <f t="shared" ca="1" si="46"/>
        <v>0</v>
      </c>
      <c r="M321" s="2149">
        <f t="shared" ca="1" si="48"/>
        <v>0</v>
      </c>
      <c r="O321" s="2149">
        <f t="shared" ca="1" si="50"/>
        <v>0</v>
      </c>
      <c r="Q321" s="2149">
        <f t="shared" ca="1" si="51"/>
        <v>0</v>
      </c>
    </row>
    <row r="322" spans="1:17" hidden="1" outlineLevel="1">
      <c r="A322" s="1310">
        <f>+SYS_4_3_Digitos!A321</f>
        <v>673</v>
      </c>
      <c r="B322" s="1311" t="str">
        <f>+SYS_4_3_Digitos!B321</f>
        <v>PÉRD. PROCEDENTES DE PARTICIP A LP EN PARTES VINC</v>
      </c>
      <c r="C322" s="1314">
        <f ca="1">+SYS_4_3_Digitos!I321</f>
        <v>0</v>
      </c>
      <c r="D322" s="1315">
        <f ca="1">+SYS_4_3_Digitos!J321</f>
        <v>0</v>
      </c>
      <c r="E322" s="2045"/>
      <c r="K322" s="2146">
        <f t="shared" ca="1" si="46"/>
        <v>0</v>
      </c>
      <c r="M322" s="2149">
        <f t="shared" ca="1" si="48"/>
        <v>0</v>
      </c>
      <c r="O322" s="2149">
        <f t="shared" ca="1" si="50"/>
        <v>0</v>
      </c>
      <c r="Q322" s="2149">
        <f t="shared" ca="1" si="51"/>
        <v>0</v>
      </c>
    </row>
    <row r="323" spans="1:17" hidden="1" outlineLevel="1">
      <c r="A323" s="1310">
        <f>+SYS_4_3_Digitos!A322</f>
        <v>675</v>
      </c>
      <c r="B323" s="1311" t="str">
        <f>+SYS_4_3_Digitos!B322</f>
        <v>PÉRDIDAS POR OP CON OBLIGACIONES PROPIAS</v>
      </c>
      <c r="C323" s="1314">
        <f ca="1">+SYS_4_3_Digitos!I322</f>
        <v>0</v>
      </c>
      <c r="D323" s="1315">
        <f ca="1">+SYS_4_3_Digitos!J322</f>
        <v>0</v>
      </c>
      <c r="E323" s="2045"/>
      <c r="K323" s="2146">
        <f t="shared" ca="1" si="46"/>
        <v>0</v>
      </c>
      <c r="M323" s="2149">
        <f t="shared" ca="1" si="48"/>
        <v>0</v>
      </c>
      <c r="O323" s="2149">
        <f t="shared" ca="1" si="50"/>
        <v>0</v>
      </c>
      <c r="Q323" s="2149">
        <f t="shared" ca="1" si="51"/>
        <v>0</v>
      </c>
    </row>
    <row r="324" spans="1:17" hidden="1" outlineLevel="1">
      <c r="A324" s="1310">
        <f>+SYS_4_3_Digitos!A323</f>
        <v>678</v>
      </c>
      <c r="B324" s="1311" t="str">
        <f>+SYS_4_3_Digitos!B323</f>
        <v>GASTOS EXCEPCIONALES</v>
      </c>
      <c r="C324" s="1314">
        <f ca="1">+SYS_4_3_Digitos!I323</f>
        <v>3.17</v>
      </c>
      <c r="D324" s="1315">
        <f ca="1">+SYS_4_3_Digitos!J323</f>
        <v>0</v>
      </c>
      <c r="E324" s="2045"/>
      <c r="K324" s="2146">
        <f t="shared" ca="1" si="46"/>
        <v>0</v>
      </c>
      <c r="M324" s="2149">
        <f t="shared" ca="1" si="48"/>
        <v>0</v>
      </c>
      <c r="O324" s="2149">
        <f t="shared" ca="1" si="50"/>
        <v>0</v>
      </c>
      <c r="Q324" s="2149">
        <f t="shared" ca="1" si="51"/>
        <v>0</v>
      </c>
    </row>
    <row r="325" spans="1:17" hidden="1" outlineLevel="1">
      <c r="A325" s="1310">
        <f>+SYS_4_3_Digitos!A324</f>
        <v>680</v>
      </c>
      <c r="B325" s="1311" t="str">
        <f>+SYS_4_3_Digitos!B324</f>
        <v>AMORTIZ. DEL INMOVILIZADO INTANGIBLE</v>
      </c>
      <c r="C325" s="1314">
        <f ca="1">+SYS_4_3_Digitos!I324</f>
        <v>24706.46</v>
      </c>
      <c r="D325" s="1315">
        <f ca="1">+SYS_4_3_Digitos!J324</f>
        <v>0</v>
      </c>
      <c r="E325" s="2045"/>
      <c r="K325" s="2146">
        <f t="shared" ca="1" si="46"/>
        <v>0</v>
      </c>
      <c r="M325" s="2149">
        <f t="shared" ca="1" si="48"/>
        <v>0</v>
      </c>
      <c r="O325" s="2149">
        <f t="shared" ca="1" si="50"/>
        <v>0</v>
      </c>
      <c r="Q325" s="2149">
        <f t="shared" ca="1" si="51"/>
        <v>0</v>
      </c>
    </row>
    <row r="326" spans="1:17" hidden="1" outlineLevel="1">
      <c r="A326" s="1310">
        <f>+SYS_4_3_Digitos!A325</f>
        <v>681</v>
      </c>
      <c r="B326" s="1311" t="str">
        <f>+SYS_4_3_Digitos!B325</f>
        <v>AMORTIZ. DEL INMOVILIZADO MATERIAL</v>
      </c>
      <c r="C326" s="1314">
        <f ca="1">+SYS_4_3_Digitos!I325</f>
        <v>527719.55000000005</v>
      </c>
      <c r="D326" s="1315">
        <f ca="1">+SYS_4_3_Digitos!J325</f>
        <v>0</v>
      </c>
      <c r="E326" s="2045"/>
      <c r="K326" s="2146">
        <f t="shared" ca="1" si="46"/>
        <v>0</v>
      </c>
      <c r="M326" s="2149">
        <f t="shared" ca="1" si="48"/>
        <v>0</v>
      </c>
      <c r="O326" s="2149">
        <f t="shared" ca="1" si="50"/>
        <v>0</v>
      </c>
      <c r="Q326" s="2149">
        <f t="shared" ca="1" si="51"/>
        <v>0</v>
      </c>
    </row>
    <row r="327" spans="1:17" hidden="1" outlineLevel="1">
      <c r="A327" s="1310">
        <f>+SYS_4_3_Digitos!A326</f>
        <v>682</v>
      </c>
      <c r="B327" s="1311" t="str">
        <f>+SYS_4_3_Digitos!B326</f>
        <v>AMORTIZ. DE LAS INVERSIONES INMOBILIARIAS</v>
      </c>
      <c r="C327" s="1314">
        <f ca="1">+SYS_4_3_Digitos!I326</f>
        <v>358611.1</v>
      </c>
      <c r="D327" s="1315">
        <f ca="1">+SYS_4_3_Digitos!J326</f>
        <v>0</v>
      </c>
      <c r="E327" s="2045"/>
      <c r="K327" s="2146">
        <f t="shared" ca="1" si="46"/>
        <v>0</v>
      </c>
      <c r="M327" s="2149">
        <f t="shared" ca="1" si="48"/>
        <v>0</v>
      </c>
      <c r="O327" s="2149">
        <f t="shared" ca="1" si="50"/>
        <v>0</v>
      </c>
      <c r="Q327" s="2149">
        <f t="shared" ca="1" si="51"/>
        <v>0</v>
      </c>
    </row>
    <row r="328" spans="1:17" hidden="1" outlineLevel="1">
      <c r="A328" s="1310">
        <f>+SYS_4_3_Digitos!A327</f>
        <v>690</v>
      </c>
      <c r="B328" s="1311" t="str">
        <f>+SYS_4_3_Digitos!B327</f>
        <v>PÉRDIDAS POR DETERIORO DEL INMOVILIZADO INTANGIBLE</v>
      </c>
      <c r="C328" s="1314">
        <f ca="1">+SYS_4_3_Digitos!I327</f>
        <v>0</v>
      </c>
      <c r="D328" s="1315">
        <f ca="1">+SYS_4_3_Digitos!J327</f>
        <v>0</v>
      </c>
      <c r="E328" s="2045"/>
      <c r="K328" s="2146">
        <f t="shared" ref="K328:K391" ca="1" si="52">+J328/$F$397</f>
        <v>0</v>
      </c>
      <c r="M328" s="2149">
        <f t="shared" ref="M328:M391" ca="1" si="53">+L328/$F$397</f>
        <v>0</v>
      </c>
      <c r="O328" s="2149">
        <f t="shared" ref="O328:O391" ca="1" si="54">+N328/$G$397</f>
        <v>0</v>
      </c>
      <c r="Q328" s="2149">
        <f t="shared" ref="Q328:Q391" ca="1" si="55">+P328/$G$397</f>
        <v>0</v>
      </c>
    </row>
    <row r="329" spans="1:17" hidden="1" outlineLevel="1">
      <c r="A329" s="1310">
        <f>+SYS_4_3_Digitos!A328</f>
        <v>691</v>
      </c>
      <c r="B329" s="1311" t="str">
        <f>+SYS_4_3_Digitos!B328</f>
        <v>PÉRDIDAS POR DETERIORO DEL INMOVILIZADO MATERIAL</v>
      </c>
      <c r="C329" s="1314">
        <f ca="1">+SYS_4_3_Digitos!I328</f>
        <v>0</v>
      </c>
      <c r="D329" s="1315">
        <f ca="1">+SYS_4_3_Digitos!J328</f>
        <v>0</v>
      </c>
      <c r="E329" s="2045"/>
      <c r="K329" s="2146">
        <f t="shared" ca="1" si="52"/>
        <v>0</v>
      </c>
      <c r="M329" s="2149">
        <f t="shared" ca="1" si="53"/>
        <v>0</v>
      </c>
      <c r="O329" s="2149">
        <f t="shared" ca="1" si="54"/>
        <v>0</v>
      </c>
      <c r="Q329" s="2149">
        <f t="shared" ca="1" si="55"/>
        <v>0</v>
      </c>
    </row>
    <row r="330" spans="1:17" hidden="1" outlineLevel="1">
      <c r="A330" s="1310">
        <f>+SYS_4_3_Digitos!A329</f>
        <v>692</v>
      </c>
      <c r="B330" s="1311" t="str">
        <f>+SYS_4_3_Digitos!B329</f>
        <v>PÉRDIDAS POR DETERIORO DE LAS INVERSIONES INMOB.</v>
      </c>
      <c r="C330" s="1314">
        <f ca="1">+SYS_4_3_Digitos!I329</f>
        <v>0</v>
      </c>
      <c r="D330" s="1315">
        <f ca="1">+SYS_4_3_Digitos!J329</f>
        <v>0</v>
      </c>
      <c r="E330" s="2045"/>
      <c r="K330" s="2146">
        <f t="shared" ca="1" si="52"/>
        <v>0</v>
      </c>
      <c r="M330" s="2149">
        <f t="shared" ca="1" si="53"/>
        <v>0</v>
      </c>
      <c r="O330" s="2149">
        <f t="shared" ca="1" si="54"/>
        <v>0</v>
      </c>
      <c r="Q330" s="2149">
        <f t="shared" ca="1" si="55"/>
        <v>0</v>
      </c>
    </row>
    <row r="331" spans="1:17" hidden="1" outlineLevel="1">
      <c r="A331" s="1310">
        <f>+SYS_4_3_Digitos!A330</f>
        <v>693</v>
      </c>
      <c r="B331" s="1311" t="str">
        <f>+SYS_4_3_Digitos!B330</f>
        <v>PÉRDIDAS POR DETERIORO DE LAS EXISTENCIAS</v>
      </c>
      <c r="C331" s="1314">
        <f ca="1">+SYS_4_3_Digitos!I330</f>
        <v>0</v>
      </c>
      <c r="D331" s="1315">
        <f ca="1">+SYS_4_3_Digitos!J330</f>
        <v>0</v>
      </c>
      <c r="E331" s="2045"/>
      <c r="K331" s="2146">
        <f t="shared" ca="1" si="52"/>
        <v>0</v>
      </c>
      <c r="M331" s="2149">
        <f t="shared" ca="1" si="53"/>
        <v>0</v>
      </c>
      <c r="O331" s="2149">
        <f t="shared" ca="1" si="54"/>
        <v>0</v>
      </c>
      <c r="Q331" s="2149">
        <f t="shared" ca="1" si="55"/>
        <v>0</v>
      </c>
    </row>
    <row r="332" spans="1:17" hidden="1" outlineLevel="1">
      <c r="A332" s="1310">
        <f>+SYS_4_3_Digitos!A331</f>
        <v>694</v>
      </c>
      <c r="B332" s="1311" t="str">
        <f>+SYS_4_3_Digitos!B331</f>
        <v>PÉRDIDAS POR DETERIORO DE CRÉDITOS POR OP COMERC.</v>
      </c>
      <c r="C332" s="1314">
        <f ca="1">+SYS_4_3_Digitos!I331</f>
        <v>110160</v>
      </c>
      <c r="D332" s="1315">
        <f ca="1">+SYS_4_3_Digitos!J331</f>
        <v>0</v>
      </c>
      <c r="E332" s="2045"/>
      <c r="K332" s="2146">
        <f t="shared" ca="1" si="52"/>
        <v>0</v>
      </c>
      <c r="M332" s="2149">
        <f t="shared" ca="1" si="53"/>
        <v>0</v>
      </c>
      <c r="O332" s="2149">
        <f t="shared" ca="1" si="54"/>
        <v>0</v>
      </c>
      <c r="Q332" s="2149">
        <f t="shared" ca="1" si="55"/>
        <v>0</v>
      </c>
    </row>
    <row r="333" spans="1:17" hidden="1" outlineLevel="1">
      <c r="A333" s="1310">
        <f>+SYS_4_3_Digitos!A332</f>
        <v>695</v>
      </c>
      <c r="B333" s="1311" t="str">
        <f>+SYS_4_3_Digitos!B332</f>
        <v>DOTACIÓN A LA PROVISIÓN POR OP COMERCIALES</v>
      </c>
      <c r="C333" s="1314">
        <f ca="1">+SYS_4_3_Digitos!I332</f>
        <v>0</v>
      </c>
      <c r="D333" s="1315">
        <f ca="1">+SYS_4_3_Digitos!J332</f>
        <v>0</v>
      </c>
      <c r="E333" s="2045"/>
      <c r="K333" s="2146">
        <f t="shared" ca="1" si="52"/>
        <v>0</v>
      </c>
      <c r="M333" s="2149">
        <f t="shared" ca="1" si="53"/>
        <v>0</v>
      </c>
      <c r="O333" s="2149">
        <f t="shared" ca="1" si="54"/>
        <v>0</v>
      </c>
      <c r="Q333" s="2149">
        <f t="shared" ca="1" si="55"/>
        <v>0</v>
      </c>
    </row>
    <row r="334" spans="1:17" hidden="1" outlineLevel="1">
      <c r="A334" s="1318">
        <f>+SYS_4_3_Digitos!A333</f>
        <v>6960</v>
      </c>
      <c r="B334" s="1319" t="str">
        <f>+SYS_4_3_Digitos!B333</f>
        <v>PÉRD. POR DET. PART. LP EMPRESAS DEL GRUPO</v>
      </c>
      <c r="C334" s="1322">
        <f ca="1">+SYS_4_3_Digitos!I333</f>
        <v>0</v>
      </c>
      <c r="D334" s="1323">
        <f ca="1">+SYS_4_3_Digitos!J333</f>
        <v>0</v>
      </c>
      <c r="E334" s="2046"/>
      <c r="K334" s="2146">
        <f t="shared" ca="1" si="52"/>
        <v>0</v>
      </c>
      <c r="M334" s="2149">
        <f t="shared" ca="1" si="53"/>
        <v>0</v>
      </c>
      <c r="O334" s="2149">
        <f t="shared" ca="1" si="54"/>
        <v>0</v>
      </c>
      <c r="Q334" s="2149">
        <f t="shared" ca="1" si="55"/>
        <v>0</v>
      </c>
    </row>
    <row r="335" spans="1:17" hidden="1" outlineLevel="1">
      <c r="A335" s="1318">
        <f>+SYS_4_3_Digitos!A334</f>
        <v>6961</v>
      </c>
      <c r="B335" s="1319" t="str">
        <f>+SYS_4_3_Digitos!B334</f>
        <v>PÉRD. POR DET. PART. LP EMPRESAS ASOCIADAS</v>
      </c>
      <c r="C335" s="1322">
        <f ca="1">+SYS_4_3_Digitos!I334</f>
        <v>0</v>
      </c>
      <c r="D335" s="1323">
        <f ca="1">+SYS_4_3_Digitos!J334</f>
        <v>0</v>
      </c>
      <c r="E335" s="2046"/>
      <c r="K335" s="2146">
        <f t="shared" ca="1" si="52"/>
        <v>0</v>
      </c>
      <c r="M335" s="2149">
        <f t="shared" ca="1" si="53"/>
        <v>0</v>
      </c>
      <c r="O335" s="2149">
        <f t="shared" ca="1" si="54"/>
        <v>0</v>
      </c>
      <c r="Q335" s="2149">
        <f t="shared" ca="1" si="55"/>
        <v>0</v>
      </c>
    </row>
    <row r="336" spans="1:17" hidden="1" outlineLevel="1">
      <c r="A336" s="1318">
        <f>+SYS_4_3_Digitos!A335</f>
        <v>6962</v>
      </c>
      <c r="B336" s="1319" t="str">
        <f>+SYS_4_3_Digitos!B335</f>
        <v>PÉRD. POR DET. PART. LP OTRAS PARTES VINCULADAS</v>
      </c>
      <c r="C336" s="1322">
        <f ca="1">+SYS_4_3_Digitos!I335</f>
        <v>0</v>
      </c>
      <c r="D336" s="1323">
        <f ca="1">+SYS_4_3_Digitos!J335</f>
        <v>0</v>
      </c>
      <c r="E336" s="2046"/>
      <c r="K336" s="2146">
        <f t="shared" ca="1" si="52"/>
        <v>0</v>
      </c>
      <c r="M336" s="2149">
        <f t="shared" ca="1" si="53"/>
        <v>0</v>
      </c>
      <c r="O336" s="2149">
        <f t="shared" ca="1" si="54"/>
        <v>0</v>
      </c>
      <c r="Q336" s="2149">
        <f t="shared" ca="1" si="55"/>
        <v>0</v>
      </c>
    </row>
    <row r="337" spans="1:17" hidden="1" outlineLevel="1">
      <c r="A337" s="1318">
        <f>+SYS_4_3_Digitos!A336</f>
        <v>6963</v>
      </c>
      <c r="B337" s="1319" t="str">
        <f>+SYS_4_3_Digitos!B336</f>
        <v>PÉRD. POR DET. PART. LP OTRAS EMPRESAS</v>
      </c>
      <c r="C337" s="1322">
        <f ca="1">+SYS_4_3_Digitos!I336</f>
        <v>0</v>
      </c>
      <c r="D337" s="1323">
        <f ca="1">+SYS_4_3_Digitos!J336</f>
        <v>0</v>
      </c>
      <c r="E337" s="2046"/>
      <c r="K337" s="2146">
        <f t="shared" ca="1" si="52"/>
        <v>0</v>
      </c>
      <c r="M337" s="2149">
        <f t="shared" ca="1" si="53"/>
        <v>0</v>
      </c>
      <c r="O337" s="2149">
        <f t="shared" ca="1" si="54"/>
        <v>0</v>
      </c>
      <c r="Q337" s="2149">
        <f t="shared" ca="1" si="55"/>
        <v>0</v>
      </c>
    </row>
    <row r="338" spans="1:17" hidden="1" outlineLevel="1">
      <c r="A338" s="1310">
        <f>+SYS_4_3_Digitos!A337</f>
        <v>6970</v>
      </c>
      <c r="B338" s="1311" t="str">
        <f>+SYS_4_3_Digitos!B337</f>
        <v>PÉRD. POR DET. DE CRÉDITOS A LP, EMP. GRUPO</v>
      </c>
      <c r="C338" s="1314">
        <f ca="1">+SYS_4_3_Digitos!I337</f>
        <v>0</v>
      </c>
      <c r="D338" s="1315">
        <f ca="1">+SYS_4_3_Digitos!J337</f>
        <v>0</v>
      </c>
      <c r="E338" s="2045"/>
      <c r="K338" s="2146">
        <f t="shared" ca="1" si="52"/>
        <v>0</v>
      </c>
      <c r="M338" s="2149">
        <f t="shared" ca="1" si="53"/>
        <v>0</v>
      </c>
      <c r="O338" s="2149">
        <f t="shared" ca="1" si="54"/>
        <v>0</v>
      </c>
      <c r="Q338" s="2149">
        <f t="shared" ca="1" si="55"/>
        <v>0</v>
      </c>
    </row>
    <row r="339" spans="1:17" hidden="1" outlineLevel="1">
      <c r="A339" s="1310">
        <f>+SYS_4_3_Digitos!A338</f>
        <v>6971</v>
      </c>
      <c r="B339" s="1311" t="str">
        <f>+SYS_4_3_Digitos!B338</f>
        <v>PÉRD. POR DET. DE CRÉDITOS A LP, EMP. ASOCIADAS</v>
      </c>
      <c r="C339" s="1314">
        <f ca="1">+SYS_4_3_Digitos!I338</f>
        <v>0</v>
      </c>
      <c r="D339" s="1315">
        <f ca="1">+SYS_4_3_Digitos!J338</f>
        <v>0</v>
      </c>
      <c r="E339" s="2045"/>
      <c r="K339" s="2146">
        <f t="shared" ca="1" si="52"/>
        <v>0</v>
      </c>
      <c r="M339" s="2149">
        <f t="shared" ca="1" si="53"/>
        <v>0</v>
      </c>
      <c r="O339" s="2149">
        <f t="shared" ca="1" si="54"/>
        <v>0</v>
      </c>
      <c r="Q339" s="2149">
        <f t="shared" ca="1" si="55"/>
        <v>0</v>
      </c>
    </row>
    <row r="340" spans="1:17" hidden="1" outlineLevel="1">
      <c r="A340" s="1310">
        <f>+SYS_4_3_Digitos!A339</f>
        <v>6972</v>
      </c>
      <c r="B340" s="1311" t="str">
        <f>+SYS_4_3_Digitos!B339</f>
        <v>PÉRD. POR DET. DE CRÉDITOS A LP, OTRAS PARTES VINC.</v>
      </c>
      <c r="C340" s="1314">
        <f ca="1">+SYS_4_3_Digitos!I339</f>
        <v>0</v>
      </c>
      <c r="D340" s="1315">
        <f ca="1">+SYS_4_3_Digitos!J339</f>
        <v>0</v>
      </c>
      <c r="E340" s="2045"/>
      <c r="K340" s="2146">
        <f t="shared" ca="1" si="52"/>
        <v>0</v>
      </c>
      <c r="M340" s="2149">
        <f t="shared" ca="1" si="53"/>
        <v>0</v>
      </c>
      <c r="O340" s="2149">
        <f t="shared" ca="1" si="54"/>
        <v>0</v>
      </c>
      <c r="Q340" s="2149">
        <f t="shared" ca="1" si="55"/>
        <v>0</v>
      </c>
    </row>
    <row r="341" spans="1:17" hidden="1" outlineLevel="1">
      <c r="A341" s="1310">
        <f>+SYS_4_3_Digitos!A340</f>
        <v>6973</v>
      </c>
      <c r="B341" s="1311" t="str">
        <f>+SYS_4_3_Digitos!B340</f>
        <v>PÉRD. POR DET. DE CRÉDITOS A LP, OTRAS EMPRESAS</v>
      </c>
      <c r="C341" s="1314">
        <f ca="1">+SYS_4_3_Digitos!I340</f>
        <v>0</v>
      </c>
      <c r="D341" s="1315">
        <f ca="1">+SYS_4_3_Digitos!J340</f>
        <v>0</v>
      </c>
      <c r="E341" s="2045"/>
      <c r="K341" s="2146">
        <f t="shared" ca="1" si="52"/>
        <v>0</v>
      </c>
      <c r="M341" s="2149">
        <f t="shared" ca="1" si="53"/>
        <v>0</v>
      </c>
      <c r="O341" s="2149">
        <f t="shared" ca="1" si="54"/>
        <v>0</v>
      </c>
      <c r="Q341" s="2149">
        <f t="shared" ca="1" si="55"/>
        <v>0</v>
      </c>
    </row>
    <row r="342" spans="1:17" hidden="1" outlineLevel="1">
      <c r="A342" s="1310">
        <f>+SYS_4_3_Digitos!A341</f>
        <v>698</v>
      </c>
      <c r="B342" s="1311" t="str">
        <f>+SYS_4_3_Digitos!B341</f>
        <v>PÉRD. POR DET. DE PART. Y VALORES REP. DE DEUDA CP</v>
      </c>
      <c r="C342" s="1314">
        <f ca="1">+SYS_4_3_Digitos!I341</f>
        <v>0</v>
      </c>
      <c r="D342" s="1315">
        <f ca="1">+SYS_4_3_Digitos!J341</f>
        <v>0</v>
      </c>
      <c r="E342" s="2045"/>
      <c r="K342" s="2146">
        <f t="shared" ca="1" si="52"/>
        <v>0</v>
      </c>
      <c r="M342" s="2149">
        <f t="shared" ca="1" si="53"/>
        <v>0</v>
      </c>
      <c r="O342" s="2149">
        <f t="shared" ca="1" si="54"/>
        <v>0</v>
      </c>
      <c r="Q342" s="2149">
        <f t="shared" ca="1" si="55"/>
        <v>0</v>
      </c>
    </row>
    <row r="343" spans="1:17" hidden="1" outlineLevel="1">
      <c r="A343" s="1310">
        <f>+SYS_4_3_Digitos!A342</f>
        <v>699</v>
      </c>
      <c r="B343" s="1311" t="str">
        <f>+SYS_4_3_Digitos!B342</f>
        <v>PÉRD. POR DET. DE CRÉDITOS A CP</v>
      </c>
      <c r="C343" s="1314">
        <f ca="1">+SYS_4_3_Digitos!I342</f>
        <v>0</v>
      </c>
      <c r="D343" s="1315">
        <f ca="1">+SYS_4_3_Digitos!J342</f>
        <v>0</v>
      </c>
      <c r="E343" s="2045"/>
      <c r="K343" s="2146">
        <f t="shared" ca="1" si="52"/>
        <v>0</v>
      </c>
      <c r="M343" s="2149">
        <f t="shared" ca="1" si="53"/>
        <v>0</v>
      </c>
      <c r="O343" s="2149">
        <f t="shared" ca="1" si="54"/>
        <v>0</v>
      </c>
      <c r="Q343" s="2149">
        <f t="shared" ca="1" si="55"/>
        <v>0</v>
      </c>
    </row>
    <row r="344" spans="1:17" hidden="1" outlineLevel="1">
      <c r="A344" s="1310">
        <f>+SYS_4_3_Digitos!A343</f>
        <v>700</v>
      </c>
      <c r="B344" s="1311" t="str">
        <f>+SYS_4_3_Digitos!B343</f>
        <v>VTAS DE MERCADERÍAS</v>
      </c>
      <c r="C344" s="1314">
        <f ca="1">+SYS_4_3_Digitos!I343</f>
        <v>0</v>
      </c>
      <c r="D344" s="1315">
        <f ca="1">+SYS_4_3_Digitos!J343</f>
        <v>23781582.580000002</v>
      </c>
      <c r="E344" s="2045"/>
      <c r="K344" s="2146">
        <f t="shared" ca="1" si="52"/>
        <v>0</v>
      </c>
      <c r="M344" s="2149">
        <f t="shared" ca="1" si="53"/>
        <v>0</v>
      </c>
      <c r="O344" s="2149">
        <f t="shared" ca="1" si="54"/>
        <v>0</v>
      </c>
      <c r="Q344" s="2149">
        <f t="shared" ca="1" si="55"/>
        <v>0</v>
      </c>
    </row>
    <row r="345" spans="1:17" hidden="1" outlineLevel="1">
      <c r="A345" s="1310">
        <f>+SYS_4_3_Digitos!A344</f>
        <v>701</v>
      </c>
      <c r="B345" s="1311" t="str">
        <f>+SYS_4_3_Digitos!B344</f>
        <v>VTAS DE PRODUCTOS TERMINADOS</v>
      </c>
      <c r="C345" s="1314">
        <f ca="1">+SYS_4_3_Digitos!I344</f>
        <v>0</v>
      </c>
      <c r="D345" s="1315">
        <f ca="1">+SYS_4_3_Digitos!J344</f>
        <v>48356916.410000004</v>
      </c>
      <c r="E345" s="2045"/>
      <c r="K345" s="2146">
        <f t="shared" ca="1" si="52"/>
        <v>0</v>
      </c>
      <c r="M345" s="2149">
        <f t="shared" ca="1" si="53"/>
        <v>0</v>
      </c>
      <c r="O345" s="2149">
        <f t="shared" ca="1" si="54"/>
        <v>0</v>
      </c>
      <c r="Q345" s="2149">
        <f t="shared" ca="1" si="55"/>
        <v>0</v>
      </c>
    </row>
    <row r="346" spans="1:17" hidden="1" outlineLevel="1">
      <c r="A346" s="1310">
        <f>+SYS_4_3_Digitos!A345</f>
        <v>702</v>
      </c>
      <c r="B346" s="1311" t="str">
        <f>+SYS_4_3_Digitos!B345</f>
        <v>VTAS DE PRODUCTOS SEMITERMINADOS</v>
      </c>
      <c r="C346" s="1314">
        <f ca="1">+SYS_4_3_Digitos!I345</f>
        <v>0</v>
      </c>
      <c r="D346" s="1315">
        <f ca="1">+SYS_4_3_Digitos!J345</f>
        <v>0</v>
      </c>
      <c r="E346" s="2045"/>
      <c r="K346" s="2146">
        <f t="shared" ca="1" si="52"/>
        <v>0</v>
      </c>
      <c r="M346" s="2149">
        <f t="shared" ca="1" si="53"/>
        <v>0</v>
      </c>
      <c r="O346" s="2149">
        <f t="shared" ca="1" si="54"/>
        <v>0</v>
      </c>
      <c r="Q346" s="2149">
        <f t="shared" ca="1" si="55"/>
        <v>0</v>
      </c>
    </row>
    <row r="347" spans="1:17" hidden="1" outlineLevel="1">
      <c r="A347" s="1310">
        <f>+SYS_4_3_Digitos!A346</f>
        <v>703</v>
      </c>
      <c r="B347" s="1311" t="str">
        <f>+SYS_4_3_Digitos!B346</f>
        <v>VTAS DE SUBPRODUCTOS Y RESIDUOS</v>
      </c>
      <c r="C347" s="1314">
        <f ca="1">+SYS_4_3_Digitos!I346</f>
        <v>0</v>
      </c>
      <c r="D347" s="1315">
        <f ca="1">+SYS_4_3_Digitos!J346</f>
        <v>0</v>
      </c>
      <c r="E347" s="2045"/>
      <c r="K347" s="2146">
        <f t="shared" ca="1" si="52"/>
        <v>0</v>
      </c>
      <c r="M347" s="2149">
        <f t="shared" ca="1" si="53"/>
        <v>0</v>
      </c>
      <c r="O347" s="2149">
        <f t="shared" ca="1" si="54"/>
        <v>0</v>
      </c>
      <c r="Q347" s="2149">
        <f t="shared" ca="1" si="55"/>
        <v>0</v>
      </c>
    </row>
    <row r="348" spans="1:17" hidden="1" outlineLevel="1">
      <c r="A348" s="1310">
        <f>+SYS_4_3_Digitos!A347</f>
        <v>704</v>
      </c>
      <c r="B348" s="1311" t="str">
        <f>+SYS_4_3_Digitos!B347</f>
        <v>VTAS DE ENVASES Y EMBALAJES</v>
      </c>
      <c r="C348" s="1314">
        <f ca="1">+SYS_4_3_Digitos!I347</f>
        <v>0</v>
      </c>
      <c r="D348" s="1315">
        <f ca="1">+SYS_4_3_Digitos!J347</f>
        <v>0</v>
      </c>
      <c r="E348" s="2045"/>
      <c r="K348" s="2146">
        <f t="shared" ca="1" si="52"/>
        <v>0</v>
      </c>
      <c r="M348" s="2149">
        <f t="shared" ca="1" si="53"/>
        <v>0</v>
      </c>
      <c r="O348" s="2149">
        <f t="shared" ca="1" si="54"/>
        <v>0</v>
      </c>
      <c r="Q348" s="2149">
        <f t="shared" ca="1" si="55"/>
        <v>0</v>
      </c>
    </row>
    <row r="349" spans="1:17" hidden="1" outlineLevel="1">
      <c r="A349" s="1310">
        <f>+SYS_4_3_Digitos!A348</f>
        <v>705</v>
      </c>
      <c r="B349" s="1311" t="str">
        <f>+SYS_4_3_Digitos!B348</f>
        <v>PRESTACIONES DE SERVICIOS</v>
      </c>
      <c r="C349" s="1314">
        <f ca="1">+SYS_4_3_Digitos!I348</f>
        <v>0</v>
      </c>
      <c r="D349" s="1315">
        <f ca="1">+SYS_4_3_Digitos!J348</f>
        <v>1677197.1400000001</v>
      </c>
      <c r="E349" s="2045"/>
      <c r="K349" s="2146">
        <f t="shared" ca="1" si="52"/>
        <v>0</v>
      </c>
      <c r="M349" s="2149">
        <f t="shared" ca="1" si="53"/>
        <v>0</v>
      </c>
      <c r="O349" s="2149">
        <f t="shared" ca="1" si="54"/>
        <v>0</v>
      </c>
      <c r="Q349" s="2149">
        <f t="shared" ca="1" si="55"/>
        <v>0</v>
      </c>
    </row>
    <row r="350" spans="1:17" hidden="1" outlineLevel="1">
      <c r="A350" s="1310">
        <f>+SYS_4_3_Digitos!A349</f>
        <v>706</v>
      </c>
      <c r="B350" s="1311" t="str">
        <f>+SYS_4_3_Digitos!B349</f>
        <v>DTOS SOBRE VTAS POR PRONTO PAGO</v>
      </c>
      <c r="C350" s="1314">
        <f ca="1">+SYS_4_3_Digitos!I349</f>
        <v>3003.21</v>
      </c>
      <c r="D350" s="1315">
        <f ca="1">+SYS_4_3_Digitos!J349</f>
        <v>0</v>
      </c>
      <c r="E350" s="2045"/>
      <c r="K350" s="2146">
        <f t="shared" ca="1" si="52"/>
        <v>0</v>
      </c>
      <c r="M350" s="2149">
        <f t="shared" ca="1" si="53"/>
        <v>0</v>
      </c>
      <c r="O350" s="2149">
        <f t="shared" ca="1" si="54"/>
        <v>0</v>
      </c>
      <c r="Q350" s="2149">
        <f t="shared" ca="1" si="55"/>
        <v>0</v>
      </c>
    </row>
    <row r="351" spans="1:17" hidden="1" outlineLevel="1">
      <c r="A351" s="1310">
        <f>+SYS_4_3_Digitos!A350</f>
        <v>708</v>
      </c>
      <c r="B351" s="1311" t="str">
        <f>+SYS_4_3_Digitos!B350</f>
        <v>DEVOLUCIONES DE VENTAS Y OP SIMILARES</v>
      </c>
      <c r="C351" s="1314">
        <f ca="1">+SYS_4_3_Digitos!I350</f>
        <v>0</v>
      </c>
      <c r="D351" s="1315">
        <f ca="1">+SYS_4_3_Digitos!J350</f>
        <v>0</v>
      </c>
      <c r="E351" s="2045"/>
      <c r="K351" s="2146">
        <f t="shared" ca="1" si="52"/>
        <v>0</v>
      </c>
      <c r="M351" s="2149">
        <f t="shared" ca="1" si="53"/>
        <v>0</v>
      </c>
      <c r="O351" s="2149">
        <f t="shared" ca="1" si="54"/>
        <v>0</v>
      </c>
      <c r="Q351" s="2149">
        <f t="shared" ca="1" si="55"/>
        <v>0</v>
      </c>
    </row>
    <row r="352" spans="1:17" hidden="1" outlineLevel="1">
      <c r="A352" s="1310">
        <f>+SYS_4_3_Digitos!A351</f>
        <v>709</v>
      </c>
      <c r="B352" s="1311" t="str">
        <f>+SYS_4_3_Digitos!B351</f>
        <v>RAPPELS SOBRE VENTAS</v>
      </c>
      <c r="C352" s="1314">
        <f ca="1">+SYS_4_3_Digitos!I351</f>
        <v>29652.65</v>
      </c>
      <c r="D352" s="1315">
        <f ca="1">+SYS_4_3_Digitos!J351</f>
        <v>0</v>
      </c>
      <c r="E352" s="2045"/>
      <c r="K352" s="2146">
        <f t="shared" ca="1" si="52"/>
        <v>0</v>
      </c>
      <c r="M352" s="2149">
        <f t="shared" ca="1" si="53"/>
        <v>0</v>
      </c>
      <c r="O352" s="2149">
        <f t="shared" ca="1" si="54"/>
        <v>0</v>
      </c>
      <c r="Q352" s="2149">
        <f t="shared" ca="1" si="55"/>
        <v>0</v>
      </c>
    </row>
    <row r="353" spans="1:17" hidden="1" outlineLevel="1">
      <c r="A353" s="1310">
        <f>+SYS_4_3_Digitos!A352</f>
        <v>710</v>
      </c>
      <c r="B353" s="1311" t="str">
        <f>+SYS_4_3_Digitos!B352</f>
        <v>VARIACION DE EXISTENCIAS DE PRODUCTOS EN CURSO</v>
      </c>
      <c r="C353" s="1314">
        <f ca="1">+SYS_4_3_Digitos!I352</f>
        <v>0</v>
      </c>
      <c r="D353" s="1315">
        <f ca="1">+SYS_4_3_Digitos!J352</f>
        <v>0</v>
      </c>
      <c r="E353" s="2045"/>
      <c r="K353" s="2146">
        <f t="shared" ca="1" si="52"/>
        <v>0</v>
      </c>
      <c r="M353" s="2149">
        <f t="shared" ca="1" si="53"/>
        <v>0</v>
      </c>
      <c r="O353" s="2149">
        <f t="shared" ca="1" si="54"/>
        <v>0</v>
      </c>
      <c r="Q353" s="2149">
        <f t="shared" ca="1" si="55"/>
        <v>0</v>
      </c>
    </row>
    <row r="354" spans="1:17" hidden="1" outlineLevel="1">
      <c r="A354" s="1310">
        <f>+SYS_4_3_Digitos!A353</f>
        <v>711</v>
      </c>
      <c r="B354" s="1311" t="str">
        <f>+SYS_4_3_Digitos!B353</f>
        <v>VARIACIÓN DE EXISTENCIAS DE PROD. SEMITERMINADOS</v>
      </c>
      <c r="C354" s="1314">
        <f ca="1">+SYS_4_3_Digitos!I353</f>
        <v>0</v>
      </c>
      <c r="D354" s="1315">
        <f ca="1">+SYS_4_3_Digitos!J353</f>
        <v>0</v>
      </c>
      <c r="E354" s="2045"/>
      <c r="K354" s="2146">
        <f t="shared" ca="1" si="52"/>
        <v>0</v>
      </c>
      <c r="M354" s="2149">
        <f t="shared" ca="1" si="53"/>
        <v>0</v>
      </c>
      <c r="O354" s="2149">
        <f t="shared" ca="1" si="54"/>
        <v>0</v>
      </c>
      <c r="Q354" s="2149">
        <f t="shared" ca="1" si="55"/>
        <v>0</v>
      </c>
    </row>
    <row r="355" spans="1:17" hidden="1" outlineLevel="1">
      <c r="A355" s="1310">
        <f>+SYS_4_3_Digitos!A354</f>
        <v>712</v>
      </c>
      <c r="B355" s="1311" t="str">
        <f>+SYS_4_3_Digitos!B354</f>
        <v>VARIACIÓN DE EXISTENCIAS DE PROD. TERMINADOS</v>
      </c>
      <c r="C355" s="1314">
        <f ca="1">+SYS_4_3_Digitos!I354</f>
        <v>2581878.4300000002</v>
      </c>
      <c r="D355" s="1315">
        <f ca="1">+SYS_4_3_Digitos!J354</f>
        <v>0</v>
      </c>
      <c r="E355" s="2045"/>
      <c r="K355" s="2146">
        <f t="shared" ca="1" si="52"/>
        <v>0</v>
      </c>
      <c r="M355" s="2149">
        <f t="shared" ca="1" si="53"/>
        <v>0</v>
      </c>
      <c r="O355" s="2149">
        <f t="shared" ca="1" si="54"/>
        <v>0</v>
      </c>
      <c r="Q355" s="2149">
        <f t="shared" ca="1" si="55"/>
        <v>0</v>
      </c>
    </row>
    <row r="356" spans="1:17" hidden="1" outlineLevel="1">
      <c r="A356" s="1310">
        <f>+SYS_4_3_Digitos!A355</f>
        <v>713</v>
      </c>
      <c r="B356" s="1311" t="str">
        <f>+SYS_4_3_Digitos!B355</f>
        <v>VAR DE EXIST DE SUBPROD, RESIDUOS Y MAT RECUP</v>
      </c>
      <c r="C356" s="1314">
        <f ca="1">+SYS_4_3_Digitos!I355</f>
        <v>0</v>
      </c>
      <c r="D356" s="1315">
        <f ca="1">+SYS_4_3_Digitos!J355</f>
        <v>0</v>
      </c>
      <c r="E356" s="2045"/>
      <c r="K356" s="2146">
        <f t="shared" ca="1" si="52"/>
        <v>0</v>
      </c>
      <c r="M356" s="2149">
        <f t="shared" ca="1" si="53"/>
        <v>0</v>
      </c>
      <c r="O356" s="2149">
        <f t="shared" ca="1" si="54"/>
        <v>0</v>
      </c>
      <c r="Q356" s="2149">
        <f t="shared" ca="1" si="55"/>
        <v>0</v>
      </c>
    </row>
    <row r="357" spans="1:17" hidden="1" outlineLevel="1">
      <c r="A357" s="1310">
        <f>+SYS_4_3_Digitos!A356</f>
        <v>73</v>
      </c>
      <c r="B357" s="1311" t="str">
        <f>+SYS_4_3_Digitos!B356</f>
        <v>TRABAJOS REALIZADOS PARA LA EMPRESA</v>
      </c>
      <c r="C357" s="1314">
        <f ca="1">+SYS_4_3_Digitos!I356</f>
        <v>0</v>
      </c>
      <c r="D357" s="1315">
        <f ca="1">+SYS_4_3_Digitos!J356</f>
        <v>0</v>
      </c>
      <c r="E357" s="2045"/>
      <c r="K357" s="2146">
        <f t="shared" ca="1" si="52"/>
        <v>0</v>
      </c>
      <c r="M357" s="2149">
        <f t="shared" ca="1" si="53"/>
        <v>0</v>
      </c>
      <c r="O357" s="2149">
        <f t="shared" ca="1" si="54"/>
        <v>0</v>
      </c>
      <c r="Q357" s="2149">
        <f t="shared" ca="1" si="55"/>
        <v>0</v>
      </c>
    </row>
    <row r="358" spans="1:17" hidden="1" outlineLevel="1">
      <c r="A358" s="1310">
        <f>+SYS_4_3_Digitos!A357</f>
        <v>740</v>
      </c>
      <c r="B358" s="1311" t="str">
        <f>+SYS_4_3_Digitos!B357</f>
        <v>SUBVENCIONES , DONACIONES Y LEGADOS DE EXPLOTACIÓN</v>
      </c>
      <c r="C358" s="1314">
        <f ca="1">+SYS_4_3_Digitos!I357</f>
        <v>0</v>
      </c>
      <c r="D358" s="1315">
        <f ca="1">+SYS_4_3_Digitos!J357</f>
        <v>6654.87</v>
      </c>
      <c r="E358" s="2045"/>
      <c r="K358" s="2146">
        <f t="shared" ca="1" si="52"/>
        <v>0</v>
      </c>
      <c r="M358" s="2149">
        <f t="shared" ca="1" si="53"/>
        <v>0</v>
      </c>
      <c r="O358" s="2149">
        <f t="shared" ca="1" si="54"/>
        <v>0</v>
      </c>
      <c r="Q358" s="2149">
        <f t="shared" ca="1" si="55"/>
        <v>0</v>
      </c>
    </row>
    <row r="359" spans="1:17" hidden="1" outlineLevel="1">
      <c r="A359" s="1310">
        <f>+SYS_4_3_Digitos!A358</f>
        <v>746</v>
      </c>
      <c r="B359" s="1311" t="str">
        <f>+SYS_4_3_Digitos!B358</f>
        <v>SUBV. DONAC. Y LEGADOS DE CAPITAL TRANSF AL RDO EJER</v>
      </c>
      <c r="C359" s="1314">
        <f ca="1">+SYS_4_3_Digitos!I358</f>
        <v>0</v>
      </c>
      <c r="D359" s="1315">
        <f ca="1">+SYS_4_3_Digitos!J358</f>
        <v>0</v>
      </c>
      <c r="E359" s="2045"/>
      <c r="K359" s="2146">
        <f t="shared" ca="1" si="52"/>
        <v>0</v>
      </c>
      <c r="M359" s="2149">
        <f t="shared" ca="1" si="53"/>
        <v>0</v>
      </c>
      <c r="O359" s="2149">
        <f t="shared" ca="1" si="54"/>
        <v>0</v>
      </c>
      <c r="Q359" s="2149">
        <f t="shared" ca="1" si="55"/>
        <v>0</v>
      </c>
    </row>
    <row r="360" spans="1:17" hidden="1" outlineLevel="1">
      <c r="A360" s="1310">
        <f>+SYS_4_3_Digitos!A359</f>
        <v>747</v>
      </c>
      <c r="B360" s="1311" t="str">
        <f>+SYS_4_3_Digitos!B359</f>
        <v>OTRAS SUBV. DONAC Y LEGADOS TRANSF A RDO EJER</v>
      </c>
      <c r="C360" s="1314">
        <f ca="1">+SYS_4_3_Digitos!I359</f>
        <v>0</v>
      </c>
      <c r="D360" s="1315">
        <f ca="1">+SYS_4_3_Digitos!J359</f>
        <v>8449.84</v>
      </c>
      <c r="E360" s="2045"/>
      <c r="K360" s="2146">
        <f t="shared" ca="1" si="52"/>
        <v>0</v>
      </c>
      <c r="M360" s="2149">
        <f t="shared" ca="1" si="53"/>
        <v>0</v>
      </c>
      <c r="O360" s="2149">
        <f t="shared" ca="1" si="54"/>
        <v>0</v>
      </c>
      <c r="Q360" s="2149">
        <f t="shared" ca="1" si="55"/>
        <v>0</v>
      </c>
    </row>
    <row r="361" spans="1:17" hidden="1" outlineLevel="1">
      <c r="A361" s="1310">
        <f>+SYS_4_3_Digitos!A360</f>
        <v>751</v>
      </c>
      <c r="B361" s="1311" t="str">
        <f>+SYS_4_3_Digitos!B360</f>
        <v>RESULTADOS DE OPERACIONES EN COMÚN</v>
      </c>
      <c r="C361" s="1314">
        <f ca="1">+SYS_4_3_Digitos!I360</f>
        <v>0</v>
      </c>
      <c r="D361" s="1315">
        <f ca="1">+SYS_4_3_Digitos!J360</f>
        <v>0</v>
      </c>
      <c r="E361" s="2045"/>
      <c r="K361" s="2146">
        <f t="shared" ca="1" si="52"/>
        <v>0</v>
      </c>
      <c r="M361" s="2149">
        <f t="shared" ca="1" si="53"/>
        <v>0</v>
      </c>
      <c r="O361" s="2149">
        <f t="shared" ca="1" si="54"/>
        <v>0</v>
      </c>
      <c r="Q361" s="2149">
        <f t="shared" ca="1" si="55"/>
        <v>0</v>
      </c>
    </row>
    <row r="362" spans="1:17" hidden="1" outlineLevel="1">
      <c r="A362" s="1310">
        <f>+SYS_4_3_Digitos!A361</f>
        <v>752</v>
      </c>
      <c r="B362" s="1311" t="str">
        <f>+SYS_4_3_Digitos!B361</f>
        <v>INGRESOS POR ARRENDAMIENTOS</v>
      </c>
      <c r="C362" s="1314">
        <f ca="1">+SYS_4_3_Digitos!I361</f>
        <v>0</v>
      </c>
      <c r="D362" s="1315">
        <f ca="1">+SYS_4_3_Digitos!J361</f>
        <v>0</v>
      </c>
      <c r="E362" s="2045"/>
      <c r="K362" s="2146">
        <f t="shared" ca="1" si="52"/>
        <v>0</v>
      </c>
      <c r="M362" s="2149">
        <f t="shared" ca="1" si="53"/>
        <v>0</v>
      </c>
      <c r="O362" s="2149">
        <f t="shared" ca="1" si="54"/>
        <v>0</v>
      </c>
      <c r="Q362" s="2149">
        <f t="shared" ca="1" si="55"/>
        <v>0</v>
      </c>
    </row>
    <row r="363" spans="1:17" hidden="1" outlineLevel="1">
      <c r="A363" s="1310">
        <f>+SYS_4_3_Digitos!A362</f>
        <v>753</v>
      </c>
      <c r="B363" s="1311" t="str">
        <f>+SYS_4_3_Digitos!B362</f>
        <v>INGRESOS DE PROP INDUSTRIAL CEDIDA EN EXPLOTACIÓN</v>
      </c>
      <c r="C363" s="1314">
        <f ca="1">+SYS_4_3_Digitos!I362</f>
        <v>0</v>
      </c>
      <c r="D363" s="1315">
        <f ca="1">+SYS_4_3_Digitos!J362</f>
        <v>0</v>
      </c>
      <c r="E363" s="2045"/>
      <c r="K363" s="2146">
        <f t="shared" ca="1" si="52"/>
        <v>0</v>
      </c>
      <c r="M363" s="2149">
        <f t="shared" ca="1" si="53"/>
        <v>0</v>
      </c>
      <c r="O363" s="2149">
        <f t="shared" ca="1" si="54"/>
        <v>0</v>
      </c>
      <c r="Q363" s="2149">
        <f t="shared" ca="1" si="55"/>
        <v>0</v>
      </c>
    </row>
    <row r="364" spans="1:17" hidden="1" outlineLevel="1">
      <c r="A364" s="1310">
        <f>+SYS_4_3_Digitos!A363</f>
        <v>754</v>
      </c>
      <c r="B364" s="1311" t="str">
        <f>+SYS_4_3_Digitos!B363</f>
        <v>INGRESOS  POR COMISIONES</v>
      </c>
      <c r="C364" s="1314">
        <f ca="1">+SYS_4_3_Digitos!I363</f>
        <v>0</v>
      </c>
      <c r="D364" s="1315">
        <f ca="1">+SYS_4_3_Digitos!J363</f>
        <v>0</v>
      </c>
      <c r="E364" s="2045"/>
      <c r="K364" s="2146">
        <f t="shared" ca="1" si="52"/>
        <v>0</v>
      </c>
      <c r="M364" s="2149">
        <f t="shared" ca="1" si="53"/>
        <v>0</v>
      </c>
      <c r="O364" s="2149">
        <f t="shared" ca="1" si="54"/>
        <v>0</v>
      </c>
      <c r="Q364" s="2149">
        <f t="shared" ca="1" si="55"/>
        <v>0</v>
      </c>
    </row>
    <row r="365" spans="1:17" hidden="1" outlineLevel="1">
      <c r="A365" s="1310">
        <f>+SYS_4_3_Digitos!A364</f>
        <v>755</v>
      </c>
      <c r="B365" s="1311" t="str">
        <f>+SYS_4_3_Digitos!B364</f>
        <v>INGRESOS POR SERVICIOS AL PERSONAL</v>
      </c>
      <c r="C365" s="1314">
        <f ca="1">+SYS_4_3_Digitos!I364</f>
        <v>0</v>
      </c>
      <c r="D365" s="1315">
        <f ca="1">+SYS_4_3_Digitos!J364</f>
        <v>0</v>
      </c>
      <c r="E365" s="2045"/>
      <c r="K365" s="2146">
        <f t="shared" ca="1" si="52"/>
        <v>0</v>
      </c>
      <c r="M365" s="2149">
        <f t="shared" ca="1" si="53"/>
        <v>0</v>
      </c>
      <c r="O365" s="2149">
        <f t="shared" ca="1" si="54"/>
        <v>0</v>
      </c>
      <c r="Q365" s="2149">
        <f t="shared" ca="1" si="55"/>
        <v>0</v>
      </c>
    </row>
    <row r="366" spans="1:17" hidden="1" outlineLevel="1">
      <c r="A366" s="1310">
        <f>+SYS_4_3_Digitos!A365</f>
        <v>759</v>
      </c>
      <c r="B366" s="1311" t="str">
        <f>+SYS_4_3_Digitos!B365</f>
        <v>INGRESOS POR SERVICIOS DIVERSOS</v>
      </c>
      <c r="C366" s="1314">
        <f ca="1">+SYS_4_3_Digitos!I365</f>
        <v>0</v>
      </c>
      <c r="D366" s="1315">
        <f ca="1">+SYS_4_3_Digitos!J365</f>
        <v>5048.42</v>
      </c>
      <c r="E366" s="2045"/>
      <c r="K366" s="2146">
        <f t="shared" ca="1" si="52"/>
        <v>0</v>
      </c>
      <c r="M366" s="2149">
        <f t="shared" ca="1" si="53"/>
        <v>0</v>
      </c>
      <c r="O366" s="2149">
        <f t="shared" ca="1" si="54"/>
        <v>0</v>
      </c>
      <c r="Q366" s="2149">
        <f t="shared" ca="1" si="55"/>
        <v>0</v>
      </c>
    </row>
    <row r="367" spans="1:17" hidden="1" outlineLevel="1">
      <c r="A367" s="1310">
        <f>+SYS_4_3_Digitos!A366</f>
        <v>760</v>
      </c>
      <c r="B367" s="1311" t="str">
        <f>+SYS_4_3_Digitos!B366</f>
        <v>INGRESOS DE PART. EN INSTRUMENTOS DE PATRIMONIO</v>
      </c>
      <c r="C367" s="1314">
        <f ca="1">+SYS_4_3_Digitos!I366</f>
        <v>0</v>
      </c>
      <c r="D367" s="1315">
        <f ca="1">+SYS_4_3_Digitos!J366</f>
        <v>6524020.6900000004</v>
      </c>
      <c r="E367" s="2045"/>
      <c r="K367" s="2146">
        <f t="shared" ca="1" si="52"/>
        <v>0</v>
      </c>
      <c r="M367" s="2149">
        <f t="shared" ca="1" si="53"/>
        <v>0</v>
      </c>
      <c r="O367" s="2149">
        <f t="shared" ca="1" si="54"/>
        <v>0</v>
      </c>
      <c r="Q367" s="2149">
        <f t="shared" ca="1" si="55"/>
        <v>0</v>
      </c>
    </row>
    <row r="368" spans="1:17" hidden="1" outlineLevel="1">
      <c r="A368" s="1310">
        <f>+SYS_4_3_Digitos!A367</f>
        <v>761</v>
      </c>
      <c r="B368" s="1311" t="str">
        <f>+SYS_4_3_Digitos!B367</f>
        <v>INGRESOS DE VALORES REPRESENT. DE DEUDA</v>
      </c>
      <c r="C368" s="1314">
        <f ca="1">+SYS_4_3_Digitos!I367</f>
        <v>0</v>
      </c>
      <c r="D368" s="1315">
        <f ca="1">+SYS_4_3_Digitos!J367</f>
        <v>0</v>
      </c>
      <c r="E368" s="2045"/>
      <c r="K368" s="2146">
        <f t="shared" ca="1" si="52"/>
        <v>0</v>
      </c>
      <c r="M368" s="2149">
        <f t="shared" ca="1" si="53"/>
        <v>0</v>
      </c>
      <c r="O368" s="2149">
        <f t="shared" ca="1" si="54"/>
        <v>0</v>
      </c>
      <c r="Q368" s="2149">
        <f t="shared" ca="1" si="55"/>
        <v>0</v>
      </c>
    </row>
    <row r="369" spans="1:17" hidden="1" outlineLevel="1">
      <c r="A369" s="1310">
        <f>+SYS_4_3_Digitos!A368</f>
        <v>762</v>
      </c>
      <c r="B369" s="1311" t="str">
        <f>+SYS_4_3_Digitos!B368</f>
        <v>INGRESOS DE CRÉDITOS</v>
      </c>
      <c r="C369" s="1314">
        <f ca="1">+SYS_4_3_Digitos!I368</f>
        <v>0</v>
      </c>
      <c r="D369" s="1315">
        <f ca="1">+SYS_4_3_Digitos!J368</f>
        <v>0</v>
      </c>
      <c r="E369" s="2045"/>
      <c r="K369" s="2146">
        <f t="shared" ca="1" si="52"/>
        <v>0</v>
      </c>
      <c r="M369" s="2149">
        <f t="shared" ca="1" si="53"/>
        <v>0</v>
      </c>
      <c r="O369" s="2149">
        <f t="shared" ca="1" si="54"/>
        <v>0</v>
      </c>
      <c r="Q369" s="2149">
        <f t="shared" ca="1" si="55"/>
        <v>0</v>
      </c>
    </row>
    <row r="370" spans="1:17" hidden="1" outlineLevel="1">
      <c r="A370" s="1310">
        <f>+SYS_4_3_Digitos!A369</f>
        <v>763</v>
      </c>
      <c r="B370" s="1311" t="str">
        <f>+SYS_4_3_Digitos!B369</f>
        <v>BENEF POR VALORACIÓN DE INSTR FROS POR VALOR RAZON</v>
      </c>
      <c r="C370" s="1314">
        <f ca="1">+SYS_4_3_Digitos!I369</f>
        <v>0</v>
      </c>
      <c r="D370" s="1315">
        <f ca="1">+SYS_4_3_Digitos!J369</f>
        <v>3504561.87</v>
      </c>
      <c r="E370" s="2045"/>
      <c r="K370" s="2146">
        <f t="shared" ca="1" si="52"/>
        <v>0</v>
      </c>
      <c r="M370" s="2149">
        <f t="shared" ca="1" si="53"/>
        <v>0</v>
      </c>
      <c r="O370" s="2149">
        <f t="shared" ca="1" si="54"/>
        <v>0</v>
      </c>
      <c r="Q370" s="2149">
        <f t="shared" ca="1" si="55"/>
        <v>0</v>
      </c>
    </row>
    <row r="371" spans="1:17" hidden="1" outlineLevel="1">
      <c r="A371" s="1310">
        <f>+SYS_4_3_Digitos!A370</f>
        <v>766</v>
      </c>
      <c r="B371" s="1311" t="str">
        <f>+SYS_4_3_Digitos!B370</f>
        <v>BENEF EN PARTICIP. Y VALORES REPRESENT. DE DEUDA</v>
      </c>
      <c r="C371" s="1314">
        <f ca="1">+SYS_4_3_Digitos!I370</f>
        <v>0</v>
      </c>
      <c r="D371" s="1315">
        <f ca="1">+SYS_4_3_Digitos!J370</f>
        <v>639120.5</v>
      </c>
      <c r="E371" s="2045"/>
      <c r="K371" s="2146">
        <f t="shared" ca="1" si="52"/>
        <v>0</v>
      </c>
      <c r="M371" s="2149">
        <f t="shared" ca="1" si="53"/>
        <v>0</v>
      </c>
      <c r="O371" s="2149">
        <f t="shared" ca="1" si="54"/>
        <v>0</v>
      </c>
      <c r="Q371" s="2149">
        <f t="shared" ca="1" si="55"/>
        <v>0</v>
      </c>
    </row>
    <row r="372" spans="1:17" hidden="1" outlineLevel="1">
      <c r="A372" s="1310">
        <f>+SYS_4_3_Digitos!A371</f>
        <v>767</v>
      </c>
      <c r="B372" s="1311" t="str">
        <f>+SYS_4_3_Digitos!B371</f>
        <v>INGRES. DE ACTIV AFECTOS Y DE DCHOS REEMB. RETRIB LP</v>
      </c>
      <c r="C372" s="1314">
        <f ca="1">+SYS_4_3_Digitos!I371</f>
        <v>0</v>
      </c>
      <c r="D372" s="1315">
        <f ca="1">+SYS_4_3_Digitos!J371</f>
        <v>0</v>
      </c>
      <c r="E372" s="2045"/>
      <c r="K372" s="2146">
        <f t="shared" ca="1" si="52"/>
        <v>0</v>
      </c>
      <c r="M372" s="2149">
        <f t="shared" ca="1" si="53"/>
        <v>0</v>
      </c>
      <c r="O372" s="2149">
        <f t="shared" ca="1" si="54"/>
        <v>0</v>
      </c>
      <c r="Q372" s="2149">
        <f t="shared" ca="1" si="55"/>
        <v>0</v>
      </c>
    </row>
    <row r="373" spans="1:17" hidden="1" outlineLevel="1">
      <c r="A373" s="1310">
        <f>+SYS_4_3_Digitos!A372</f>
        <v>768</v>
      </c>
      <c r="B373" s="1311" t="str">
        <f>+SYS_4_3_Digitos!B372</f>
        <v>DIFERENCIAS POSITIVAS DE CAMBIO</v>
      </c>
      <c r="C373" s="1314">
        <f ca="1">+SYS_4_3_Digitos!I372</f>
        <v>0</v>
      </c>
      <c r="D373" s="1315">
        <f ca="1">+SYS_4_3_Digitos!J372</f>
        <v>160702.71000000002</v>
      </c>
      <c r="E373" s="2045"/>
      <c r="K373" s="2146">
        <f t="shared" ca="1" si="52"/>
        <v>0</v>
      </c>
      <c r="M373" s="2149">
        <f t="shared" ca="1" si="53"/>
        <v>0</v>
      </c>
      <c r="O373" s="2149">
        <f t="shared" ca="1" si="54"/>
        <v>0</v>
      </c>
      <c r="Q373" s="2149">
        <f t="shared" ca="1" si="55"/>
        <v>0</v>
      </c>
    </row>
    <row r="374" spans="1:17" hidden="1" outlineLevel="1">
      <c r="A374" s="1310">
        <f>+SYS_4_3_Digitos!A373</f>
        <v>769</v>
      </c>
      <c r="B374" s="1311" t="str">
        <f>+SYS_4_3_Digitos!B373</f>
        <v>OTROS INGRESOS FINANCIEROS</v>
      </c>
      <c r="C374" s="1314">
        <f ca="1">+SYS_4_3_Digitos!I373</f>
        <v>0</v>
      </c>
      <c r="D374" s="1315">
        <f ca="1">+SYS_4_3_Digitos!J373</f>
        <v>2309646.29</v>
      </c>
      <c r="E374" s="2045"/>
      <c r="K374" s="2146">
        <f t="shared" ca="1" si="52"/>
        <v>0</v>
      </c>
      <c r="M374" s="2149">
        <f t="shared" ca="1" si="53"/>
        <v>0</v>
      </c>
      <c r="O374" s="2149">
        <f t="shared" ca="1" si="54"/>
        <v>0</v>
      </c>
      <c r="Q374" s="2149">
        <f t="shared" ca="1" si="55"/>
        <v>0</v>
      </c>
    </row>
    <row r="375" spans="1:17" hidden="1" outlineLevel="1">
      <c r="A375" s="1310">
        <f>+SYS_4_3_Digitos!A374</f>
        <v>770</v>
      </c>
      <c r="B375" s="1311" t="str">
        <f>+SYS_4_3_Digitos!B374</f>
        <v>BENEFICIOS PROCEDENTES DEL INMOV. INTANGIBLE</v>
      </c>
      <c r="C375" s="1314">
        <f ca="1">+SYS_4_3_Digitos!I374</f>
        <v>0</v>
      </c>
      <c r="D375" s="1315">
        <f ca="1">+SYS_4_3_Digitos!J374</f>
        <v>0</v>
      </c>
      <c r="E375" s="2045"/>
      <c r="K375" s="2146">
        <f t="shared" ca="1" si="52"/>
        <v>0</v>
      </c>
      <c r="M375" s="2149">
        <f t="shared" ca="1" si="53"/>
        <v>0</v>
      </c>
      <c r="O375" s="2149">
        <f t="shared" ca="1" si="54"/>
        <v>0</v>
      </c>
      <c r="Q375" s="2149">
        <f t="shared" ca="1" si="55"/>
        <v>0</v>
      </c>
    </row>
    <row r="376" spans="1:17" hidden="1" outlineLevel="1">
      <c r="A376" s="1310">
        <f>+SYS_4_3_Digitos!A375</f>
        <v>771</v>
      </c>
      <c r="B376" s="1311" t="str">
        <f>+SYS_4_3_Digitos!B375</f>
        <v>BENEFICIOS PROCEDENTES DEL INMOV. MATERIAL</v>
      </c>
      <c r="C376" s="1314">
        <f ca="1">+SYS_4_3_Digitos!I375</f>
        <v>0</v>
      </c>
      <c r="D376" s="1315">
        <f ca="1">+SYS_4_3_Digitos!J375</f>
        <v>4500</v>
      </c>
      <c r="E376" s="2045"/>
      <c r="K376" s="2146">
        <f t="shared" ca="1" si="52"/>
        <v>0</v>
      </c>
      <c r="M376" s="2149">
        <f t="shared" ca="1" si="53"/>
        <v>0</v>
      </c>
      <c r="O376" s="2149">
        <f t="shared" ca="1" si="54"/>
        <v>0</v>
      </c>
      <c r="Q376" s="2149">
        <f t="shared" ca="1" si="55"/>
        <v>0</v>
      </c>
    </row>
    <row r="377" spans="1:17" hidden="1" outlineLevel="1">
      <c r="A377" s="1310">
        <f>+SYS_4_3_Digitos!A376</f>
        <v>772</v>
      </c>
      <c r="B377" s="1311" t="str">
        <f>+SYS_4_3_Digitos!B376</f>
        <v>BENEFICIOS PROCEDENTES DE LAS INVER. INMOBILIARIAS</v>
      </c>
      <c r="C377" s="1314">
        <f ca="1">+SYS_4_3_Digitos!I376</f>
        <v>0</v>
      </c>
      <c r="D377" s="1315">
        <f ca="1">+SYS_4_3_Digitos!J376</f>
        <v>0</v>
      </c>
      <c r="E377" s="2045"/>
      <c r="K377" s="2146">
        <f t="shared" ca="1" si="52"/>
        <v>0</v>
      </c>
      <c r="M377" s="2149">
        <f t="shared" ca="1" si="53"/>
        <v>0</v>
      </c>
      <c r="O377" s="2149">
        <f t="shared" ca="1" si="54"/>
        <v>0</v>
      </c>
      <c r="Q377" s="2149">
        <f t="shared" ca="1" si="55"/>
        <v>0</v>
      </c>
    </row>
    <row r="378" spans="1:17" hidden="1" outlineLevel="1">
      <c r="A378" s="1310">
        <f>+SYS_4_3_Digitos!A377</f>
        <v>773</v>
      </c>
      <c r="B378" s="1311" t="str">
        <f>+SYS_4_3_Digitos!B377</f>
        <v>BENEFICIOS PROC. DEPARTIC. A LP EN PARTES VINC</v>
      </c>
      <c r="C378" s="1314">
        <f ca="1">+SYS_4_3_Digitos!I377</f>
        <v>0</v>
      </c>
      <c r="D378" s="1315">
        <f ca="1">+SYS_4_3_Digitos!J377</f>
        <v>0</v>
      </c>
      <c r="E378" s="2045"/>
      <c r="K378" s="2146">
        <f t="shared" ca="1" si="52"/>
        <v>0</v>
      </c>
      <c r="M378" s="2149">
        <f t="shared" ca="1" si="53"/>
        <v>0</v>
      </c>
      <c r="O378" s="2149">
        <f t="shared" ca="1" si="54"/>
        <v>0</v>
      </c>
      <c r="Q378" s="2149">
        <f t="shared" ca="1" si="55"/>
        <v>0</v>
      </c>
    </row>
    <row r="379" spans="1:17" hidden="1" outlineLevel="1">
      <c r="A379" s="1310">
        <f>+SYS_4_3_Digitos!A378</f>
        <v>774</v>
      </c>
      <c r="B379" s="1311" t="str">
        <f>+SYS_4_3_Digitos!B378</f>
        <v>DIFERENCIA NEGATIVA EN COMBINACIONES DE NEGOCIOS</v>
      </c>
      <c r="C379" s="1314">
        <f ca="1">+SYS_4_3_Digitos!I378</f>
        <v>0</v>
      </c>
      <c r="D379" s="1315">
        <f ca="1">+SYS_4_3_Digitos!J378</f>
        <v>0</v>
      </c>
      <c r="E379" s="2045"/>
      <c r="K379" s="2146">
        <f t="shared" ca="1" si="52"/>
        <v>0</v>
      </c>
      <c r="M379" s="2149">
        <f t="shared" ca="1" si="53"/>
        <v>0</v>
      </c>
      <c r="O379" s="2149">
        <f t="shared" ca="1" si="54"/>
        <v>0</v>
      </c>
      <c r="Q379" s="2149">
        <f t="shared" ca="1" si="55"/>
        <v>0</v>
      </c>
    </row>
    <row r="380" spans="1:17" hidden="1" outlineLevel="1">
      <c r="A380" s="1310">
        <f>+SYS_4_3_Digitos!A379</f>
        <v>775</v>
      </c>
      <c r="B380" s="1311" t="str">
        <f>+SYS_4_3_Digitos!B379</f>
        <v>BENEFICIOS POR OP CON OBLIGACIONES PROPIAS</v>
      </c>
      <c r="C380" s="1314">
        <f ca="1">+SYS_4_3_Digitos!I379</f>
        <v>0</v>
      </c>
      <c r="D380" s="1315">
        <f ca="1">+SYS_4_3_Digitos!J379</f>
        <v>0</v>
      </c>
      <c r="E380" s="2045"/>
      <c r="K380" s="2146">
        <f t="shared" ca="1" si="52"/>
        <v>0</v>
      </c>
      <c r="M380" s="2149">
        <f t="shared" ca="1" si="53"/>
        <v>0</v>
      </c>
      <c r="O380" s="2149">
        <f t="shared" ca="1" si="54"/>
        <v>0</v>
      </c>
      <c r="Q380" s="2149">
        <f t="shared" ca="1" si="55"/>
        <v>0</v>
      </c>
    </row>
    <row r="381" spans="1:17" hidden="1" outlineLevel="1">
      <c r="A381" s="1310">
        <f>+SYS_4_3_Digitos!A380</f>
        <v>778</v>
      </c>
      <c r="B381" s="1311" t="str">
        <f>+SYS_4_3_Digitos!B380</f>
        <v>INGRESOS EXCEPCIONALES</v>
      </c>
      <c r="C381" s="1314">
        <f ca="1">+SYS_4_3_Digitos!I380</f>
        <v>0</v>
      </c>
      <c r="D381" s="1315">
        <f ca="1">+SYS_4_3_Digitos!J380</f>
        <v>268.60000000000002</v>
      </c>
      <c r="E381" s="2045"/>
      <c r="K381" s="2146">
        <f t="shared" ca="1" si="52"/>
        <v>0</v>
      </c>
      <c r="M381" s="2149">
        <f t="shared" ca="1" si="53"/>
        <v>0</v>
      </c>
      <c r="O381" s="2149">
        <f t="shared" ca="1" si="54"/>
        <v>0</v>
      </c>
      <c r="Q381" s="2149">
        <f t="shared" ca="1" si="55"/>
        <v>0</v>
      </c>
    </row>
    <row r="382" spans="1:17" hidden="1" outlineLevel="1">
      <c r="A382" s="1310">
        <f>+SYS_4_3_Digitos!A381</f>
        <v>790</v>
      </c>
      <c r="B382" s="1311" t="str">
        <f>+SYS_4_3_Digitos!B381</f>
        <v>REVERSIÓN DEL DETERIORO DEL INMOVILIZADO INTANGIBLE</v>
      </c>
      <c r="C382" s="1314">
        <f ca="1">+SYS_4_3_Digitos!I381</f>
        <v>0</v>
      </c>
      <c r="D382" s="1315">
        <f ca="1">+SYS_4_3_Digitos!J381</f>
        <v>0</v>
      </c>
      <c r="E382" s="2045"/>
      <c r="K382" s="2146">
        <f t="shared" ca="1" si="52"/>
        <v>0</v>
      </c>
      <c r="M382" s="2149">
        <f t="shared" ca="1" si="53"/>
        <v>0</v>
      </c>
      <c r="O382" s="2149">
        <f t="shared" ca="1" si="54"/>
        <v>0</v>
      </c>
      <c r="Q382" s="2149">
        <f t="shared" ca="1" si="55"/>
        <v>0</v>
      </c>
    </row>
    <row r="383" spans="1:17" hidden="1" outlineLevel="1">
      <c r="A383" s="1310">
        <f>+SYS_4_3_Digitos!A382</f>
        <v>791</v>
      </c>
      <c r="B383" s="1311" t="str">
        <f>+SYS_4_3_Digitos!B382</f>
        <v>REVERSIÓN DEL DETERIORO DEL INMOVILIZADO MATERIAL</v>
      </c>
      <c r="C383" s="1314">
        <f ca="1">+SYS_4_3_Digitos!I382</f>
        <v>0</v>
      </c>
      <c r="D383" s="1315">
        <f ca="1">+SYS_4_3_Digitos!J382</f>
        <v>0</v>
      </c>
      <c r="E383" s="2045"/>
      <c r="K383" s="2146">
        <f t="shared" ca="1" si="52"/>
        <v>0</v>
      </c>
      <c r="M383" s="2149">
        <f t="shared" ca="1" si="53"/>
        <v>0</v>
      </c>
      <c r="O383" s="2149">
        <f t="shared" ca="1" si="54"/>
        <v>0</v>
      </c>
      <c r="Q383" s="2149">
        <f t="shared" ca="1" si="55"/>
        <v>0</v>
      </c>
    </row>
    <row r="384" spans="1:17" hidden="1" outlineLevel="1">
      <c r="A384" s="1310">
        <f>+SYS_4_3_Digitos!A383</f>
        <v>792</v>
      </c>
      <c r="B384" s="1311" t="str">
        <f>+SYS_4_3_Digitos!B383</f>
        <v>REVERSIÓN DEL DETERIORO DE LAS INV, INMOBILIARIAS</v>
      </c>
      <c r="C384" s="1314">
        <f ca="1">+SYS_4_3_Digitos!I383</f>
        <v>0</v>
      </c>
      <c r="D384" s="1315">
        <f ca="1">+SYS_4_3_Digitos!J383</f>
        <v>0</v>
      </c>
      <c r="E384" s="2045"/>
      <c r="K384" s="2146">
        <f t="shared" ca="1" si="52"/>
        <v>0</v>
      </c>
      <c r="M384" s="2149">
        <f t="shared" ca="1" si="53"/>
        <v>0</v>
      </c>
      <c r="O384" s="2149">
        <f t="shared" ca="1" si="54"/>
        <v>0</v>
      </c>
      <c r="Q384" s="2149">
        <f t="shared" ca="1" si="55"/>
        <v>0</v>
      </c>
    </row>
    <row r="385" spans="1:17" hidden="1" outlineLevel="1">
      <c r="A385" s="1310">
        <f>+SYS_4_3_Digitos!A384</f>
        <v>793</v>
      </c>
      <c r="B385" s="1311" t="str">
        <f>+SYS_4_3_Digitos!B384</f>
        <v>REVERSIÓN DEL DETERIORO DE EXISTENCIAS</v>
      </c>
      <c r="C385" s="1314">
        <f ca="1">+SYS_4_3_Digitos!I384</f>
        <v>0</v>
      </c>
      <c r="D385" s="1315">
        <f ca="1">+SYS_4_3_Digitos!J384</f>
        <v>0</v>
      </c>
      <c r="E385" s="2045"/>
      <c r="K385" s="2146">
        <f t="shared" ca="1" si="52"/>
        <v>0</v>
      </c>
      <c r="M385" s="2149">
        <f t="shared" ca="1" si="53"/>
        <v>0</v>
      </c>
      <c r="O385" s="2149">
        <f t="shared" ca="1" si="54"/>
        <v>0</v>
      </c>
      <c r="Q385" s="2149">
        <f t="shared" ca="1" si="55"/>
        <v>0</v>
      </c>
    </row>
    <row r="386" spans="1:17" hidden="1" outlineLevel="1">
      <c r="A386" s="1310">
        <f>+SYS_4_3_Digitos!A385</f>
        <v>794</v>
      </c>
      <c r="B386" s="1311" t="str">
        <f>+SYS_4_3_Digitos!B385</f>
        <v>REVERSIÓN DEL DETERIORO DE CRÉDITOS POR OP COMER</v>
      </c>
      <c r="C386" s="1314">
        <f ca="1">+SYS_4_3_Digitos!I385</f>
        <v>0</v>
      </c>
      <c r="D386" s="1315">
        <f ca="1">+SYS_4_3_Digitos!J385</f>
        <v>0</v>
      </c>
      <c r="E386" s="2045"/>
      <c r="K386" s="2146">
        <f t="shared" ca="1" si="52"/>
        <v>0</v>
      </c>
      <c r="M386" s="2149">
        <f t="shared" ca="1" si="53"/>
        <v>0</v>
      </c>
      <c r="O386" s="2149">
        <f t="shared" ca="1" si="54"/>
        <v>0</v>
      </c>
      <c r="Q386" s="2149">
        <f t="shared" ca="1" si="55"/>
        <v>0</v>
      </c>
    </row>
    <row r="387" spans="1:17" hidden="1" outlineLevel="1">
      <c r="A387" s="1310">
        <f>+SYS_4_3_Digitos!A386</f>
        <v>795</v>
      </c>
      <c r="B387" s="1311" t="str">
        <f>+SYS_4_3_Digitos!B386</f>
        <v>EXCESO DE PROVISIONES</v>
      </c>
      <c r="C387" s="1314">
        <f ca="1">+SYS_4_3_Digitos!I386</f>
        <v>0</v>
      </c>
      <c r="D387" s="1315">
        <f ca="1">+SYS_4_3_Digitos!J386</f>
        <v>0</v>
      </c>
      <c r="E387" s="2045"/>
      <c r="K387" s="2146">
        <f t="shared" ca="1" si="52"/>
        <v>0</v>
      </c>
      <c r="M387" s="2149">
        <f t="shared" ca="1" si="53"/>
        <v>0</v>
      </c>
      <c r="O387" s="2149">
        <f t="shared" ca="1" si="54"/>
        <v>0</v>
      </c>
      <c r="Q387" s="2149">
        <f t="shared" ca="1" si="55"/>
        <v>0</v>
      </c>
    </row>
    <row r="388" spans="1:17" hidden="1" outlineLevel="1">
      <c r="A388" s="1310">
        <f>+SYS_4_3_Digitos!A387</f>
        <v>796</v>
      </c>
      <c r="B388" s="1311" t="str">
        <f>+SYS_4_3_Digitos!B387</f>
        <v>REVER. DEL DET. DE PART. Y VALORES REPR. DE  DEUDA LP</v>
      </c>
      <c r="C388" s="1314">
        <f ca="1">+SYS_4_3_Digitos!I387</f>
        <v>0</v>
      </c>
      <c r="D388" s="1315">
        <f ca="1">+SYS_4_3_Digitos!J387</f>
        <v>0</v>
      </c>
      <c r="E388" s="2045"/>
      <c r="K388" s="2146">
        <f t="shared" ca="1" si="52"/>
        <v>0</v>
      </c>
      <c r="M388" s="2149">
        <f t="shared" ca="1" si="53"/>
        <v>0</v>
      </c>
      <c r="O388" s="2149">
        <f t="shared" ca="1" si="54"/>
        <v>0</v>
      </c>
      <c r="Q388" s="2149">
        <f t="shared" ca="1" si="55"/>
        <v>0</v>
      </c>
    </row>
    <row r="389" spans="1:17" hidden="1" outlineLevel="1">
      <c r="A389" s="1310">
        <f>+SYS_4_3_Digitos!A388</f>
        <v>797</v>
      </c>
      <c r="B389" s="1311" t="str">
        <f>+SYS_4_3_Digitos!B388</f>
        <v>REVERSIÓN DEL DETERIORO DE CRÉDITOS A LP</v>
      </c>
      <c r="C389" s="1314">
        <f ca="1">+SYS_4_3_Digitos!I388</f>
        <v>0</v>
      </c>
      <c r="D389" s="1315">
        <f ca="1">+SYS_4_3_Digitos!J388</f>
        <v>0</v>
      </c>
      <c r="E389" s="2045"/>
      <c r="K389" s="2146">
        <f t="shared" ca="1" si="52"/>
        <v>0</v>
      </c>
      <c r="M389" s="2149">
        <f t="shared" ca="1" si="53"/>
        <v>0</v>
      </c>
      <c r="O389" s="2149">
        <f t="shared" ca="1" si="54"/>
        <v>0</v>
      </c>
      <c r="Q389" s="2149">
        <f t="shared" ca="1" si="55"/>
        <v>0</v>
      </c>
    </row>
    <row r="390" spans="1:17" hidden="1" outlineLevel="1">
      <c r="A390" s="1310">
        <f>+SYS_4_3_Digitos!A389</f>
        <v>798</v>
      </c>
      <c r="B390" s="1311" t="str">
        <f>+SYS_4_3_Digitos!B389</f>
        <v>REVER. DEL DET. DE PART. Y VALORES REPR. DE  DEUDA CP</v>
      </c>
      <c r="C390" s="1314">
        <f ca="1">+SYS_4_3_Digitos!I389</f>
        <v>0</v>
      </c>
      <c r="D390" s="1315">
        <f ca="1">+SYS_4_3_Digitos!J389</f>
        <v>0</v>
      </c>
      <c r="E390" s="2045"/>
      <c r="K390" s="2146">
        <f t="shared" ca="1" si="52"/>
        <v>0</v>
      </c>
      <c r="M390" s="2149">
        <f t="shared" ca="1" si="53"/>
        <v>0</v>
      </c>
      <c r="O390" s="2149">
        <f t="shared" ca="1" si="54"/>
        <v>0</v>
      </c>
      <c r="Q390" s="2149">
        <f t="shared" ca="1" si="55"/>
        <v>0</v>
      </c>
    </row>
    <row r="391" spans="1:17" hidden="1" outlineLevel="1">
      <c r="A391" s="1310">
        <f>+SYS_4_3_Digitos!A390</f>
        <v>799</v>
      </c>
      <c r="B391" s="1311" t="str">
        <f>+SYS_4_3_Digitos!B390</f>
        <v>REVERSIÓN DEL DETERIORO DE CRÉDITOS A CP</v>
      </c>
      <c r="C391" s="1314">
        <f ca="1">+SYS_4_3_Digitos!I390</f>
        <v>0</v>
      </c>
      <c r="D391" s="1315">
        <f ca="1">+SYS_4_3_Digitos!J390</f>
        <v>0</v>
      </c>
      <c r="E391" s="2045"/>
      <c r="K391" s="2146">
        <f t="shared" ca="1" si="52"/>
        <v>0</v>
      </c>
      <c r="M391" s="2149">
        <f t="shared" ca="1" si="53"/>
        <v>0</v>
      </c>
      <c r="O391" s="2149">
        <f t="shared" ca="1" si="54"/>
        <v>0</v>
      </c>
      <c r="Q391" s="2149">
        <f t="shared" ca="1" si="55"/>
        <v>0</v>
      </c>
    </row>
    <row r="392" spans="1:17" hidden="1" outlineLevel="1">
      <c r="A392" s="1310">
        <f>+SYS_4_3_Digitos!A391</f>
        <v>800</v>
      </c>
      <c r="B392" s="1311" t="str">
        <f>+SYS_4_3_Digitos!B391</f>
        <v>PERD.ACT.FIN.DISPONIBLES PARA LA VENTA</v>
      </c>
      <c r="C392" s="1314">
        <f>+SYS_4_3_Digitos!I391</f>
        <v>0</v>
      </c>
      <c r="D392" s="1315">
        <f>+SYS_4_3_Digitos!J391</f>
        <v>0</v>
      </c>
      <c r="E392" s="2045"/>
      <c r="K392" s="2146">
        <f t="shared" ref="K392:K396" ca="1" si="56">+J392/$F$397</f>
        <v>0</v>
      </c>
      <c r="M392" s="2149">
        <f t="shared" ref="M392:M396" ca="1" si="57">+L392/$F$397</f>
        <v>0</v>
      </c>
      <c r="O392" s="2149">
        <f t="shared" ref="O392:O396" ca="1" si="58">+N392/$G$397</f>
        <v>0</v>
      </c>
      <c r="Q392" s="2149">
        <f t="shared" ref="Q392:Q396" ca="1" si="59">+P392/$G$397</f>
        <v>0</v>
      </c>
    </row>
    <row r="393" spans="1:17" hidden="1" outlineLevel="1">
      <c r="A393" s="1310">
        <f>+SYS_4_3_Digitos!A392</f>
        <v>8301</v>
      </c>
      <c r="B393" s="1311" t="str">
        <f>+SYS_4_3_Digitos!B392</f>
        <v>IMPUESTO DIFERIDO</v>
      </c>
      <c r="C393" s="1314">
        <f>+SYS_4_3_Digitos!I392</f>
        <v>0</v>
      </c>
      <c r="D393" s="1315">
        <f>+SYS_4_3_Digitos!J392</f>
        <v>0</v>
      </c>
      <c r="E393" s="2045"/>
      <c r="K393" s="2146">
        <f t="shared" ca="1" si="56"/>
        <v>0</v>
      </c>
      <c r="M393" s="2149">
        <f t="shared" ca="1" si="57"/>
        <v>0</v>
      </c>
      <c r="O393" s="2149">
        <f t="shared" ca="1" si="58"/>
        <v>0</v>
      </c>
      <c r="Q393" s="2149">
        <f t="shared" ca="1" si="59"/>
        <v>0</v>
      </c>
    </row>
    <row r="394" spans="1:17" hidden="1" outlineLevel="1">
      <c r="A394" s="1310">
        <f>+SYS_4_3_Digitos!A393</f>
        <v>840</v>
      </c>
      <c r="B394" s="1311" t="str">
        <f>+SYS_4_3_Digitos!B393</f>
        <v>TRANSF.SUBV. OFICIALES DE CAPITAL</v>
      </c>
      <c r="C394" s="1314">
        <f>+SYS_4_3_Digitos!I393</f>
        <v>0</v>
      </c>
      <c r="D394" s="1315">
        <f>+SYS_4_3_Digitos!J393</f>
        <v>0</v>
      </c>
      <c r="E394" s="2045"/>
      <c r="K394" s="2146">
        <f t="shared" ca="1" si="56"/>
        <v>0</v>
      </c>
      <c r="M394" s="2149">
        <f t="shared" ca="1" si="57"/>
        <v>0</v>
      </c>
      <c r="O394" s="2149">
        <f t="shared" ca="1" si="58"/>
        <v>0</v>
      </c>
      <c r="Q394" s="2149">
        <f t="shared" ca="1" si="59"/>
        <v>0</v>
      </c>
    </row>
    <row r="395" spans="1:17" hidden="1" outlineLevel="1">
      <c r="A395" s="1310">
        <f>+SYS_4_3_Digitos!A394</f>
        <v>900</v>
      </c>
      <c r="B395" s="1311" t="str">
        <f>+SYS_4_3_Digitos!B394</f>
        <v>BFOS.ACT.FIN.DISPONIBLES PARA LA VENTA</v>
      </c>
      <c r="C395" s="1314">
        <f>+SYS_4_3_Digitos!I394</f>
        <v>0</v>
      </c>
      <c r="D395" s="1315">
        <f>+SYS_4_3_Digitos!J394</f>
        <v>0</v>
      </c>
      <c r="E395" s="2045"/>
      <c r="K395" s="2146">
        <f t="shared" ca="1" si="56"/>
        <v>0</v>
      </c>
      <c r="M395" s="2149">
        <f t="shared" ca="1" si="57"/>
        <v>0</v>
      </c>
      <c r="O395" s="2149">
        <f t="shared" ca="1" si="58"/>
        <v>0</v>
      </c>
      <c r="Q395" s="2149">
        <f t="shared" ca="1" si="59"/>
        <v>0</v>
      </c>
    </row>
    <row r="396" spans="1:17" hidden="1" outlineLevel="1">
      <c r="A396" s="1310">
        <f>+SYS_4_3_Digitos!A395</f>
        <v>940</v>
      </c>
      <c r="B396" s="1311" t="str">
        <f>+SYS_4_3_Digitos!B395</f>
        <v>ING.SUBV.OFICIALES DE CAPITAL</v>
      </c>
      <c r="C396" s="1314">
        <f>+SYS_4_3_Digitos!I395</f>
        <v>0</v>
      </c>
      <c r="D396" s="1315">
        <f>+SYS_4_3_Digitos!J395</f>
        <v>0</v>
      </c>
      <c r="E396" s="2045"/>
      <c r="K396" s="2146">
        <f t="shared" ca="1" si="56"/>
        <v>0</v>
      </c>
      <c r="M396" s="2149">
        <f t="shared" ca="1" si="57"/>
        <v>0</v>
      </c>
      <c r="O396" s="2149">
        <f t="shared" ca="1" si="58"/>
        <v>0</v>
      </c>
      <c r="Q396" s="2149">
        <f t="shared" ca="1" si="59"/>
        <v>0</v>
      </c>
    </row>
    <row r="397" spans="1:17" collapsed="1">
      <c r="A397" s="1310"/>
      <c r="B397" s="2163" t="s">
        <v>1035</v>
      </c>
      <c r="C397" s="2047">
        <f ca="1">SUM(C7:C396)</f>
        <v>458855934.63</v>
      </c>
      <c r="D397" s="2048">
        <f ca="1">SUM(D7:D396)</f>
        <v>458855934.63000017</v>
      </c>
      <c r="E397" s="2164"/>
      <c r="F397" s="2165">
        <f ca="1">SUM(F7:F264)</f>
        <v>352348840.22999996</v>
      </c>
      <c r="G397" s="2165">
        <f ca="1">SUM(G7:G264)</f>
        <v>352348840.23000008</v>
      </c>
      <c r="H397" s="2165"/>
      <c r="I397" s="2165"/>
      <c r="J397" s="2165">
        <f ca="1">SUM(J7:J264)</f>
        <v>352348840.22999996</v>
      </c>
      <c r="K397" s="2166">
        <f t="shared" ref="K397:Q397" ca="1" si="60">SUM(K7:K264)</f>
        <v>1.0000000000000002</v>
      </c>
      <c r="L397" s="2165">
        <f t="shared" ca="1" si="60"/>
        <v>0</v>
      </c>
      <c r="M397" s="2166">
        <f ca="1">SUM(M7:M264)</f>
        <v>0</v>
      </c>
      <c r="N397" s="2165">
        <f t="shared" ca="1" si="60"/>
        <v>352348840.23000008</v>
      </c>
      <c r="O397" s="2166">
        <f t="shared" ca="1" si="60"/>
        <v>0.99999999999999989</v>
      </c>
      <c r="P397" s="2165">
        <f t="shared" ca="1" si="60"/>
        <v>0</v>
      </c>
      <c r="Q397" s="2166">
        <f t="shared" ca="1" si="60"/>
        <v>0</v>
      </c>
    </row>
    <row r="398" spans="1:17">
      <c r="A398" s="1310"/>
      <c r="B398" s="1311" t="s">
        <v>1899</v>
      </c>
      <c r="C398" s="2047">
        <f ca="1">SUM(C265:C391)</f>
        <v>79026595.50999999</v>
      </c>
      <c r="D398" s="2048">
        <f ca="1">SUM(D265:D391)</f>
        <v>93668095.850000009</v>
      </c>
      <c r="E398" s="2045"/>
    </row>
    <row r="399" spans="1:17" ht="15" thickBot="1">
      <c r="A399" s="1310"/>
      <c r="B399" s="1311" t="s">
        <v>1900</v>
      </c>
      <c r="C399" s="2047">
        <f ca="1">IF(C398&gt;D398,C398-D398,0)</f>
        <v>0</v>
      </c>
      <c r="D399" s="2048">
        <f ca="1">IF(D398&gt;C398,D398-C398,0)</f>
        <v>14641500.340000018</v>
      </c>
    </row>
    <row r="400" spans="1:17" ht="15" thickBot="1">
      <c r="B400" s="2056" t="s">
        <v>1901</v>
      </c>
      <c r="C400" s="2057"/>
      <c r="D400" s="2058">
        <f ca="1">+C399+D399-PG!E81</f>
        <v>0</v>
      </c>
      <c r="E400" s="2059"/>
      <c r="F400" s="2058">
        <f ca="1">+F397-BALANCE!E82</f>
        <v>0</v>
      </c>
      <c r="G400" s="2058">
        <f ca="1">+G397-BALANCE!M82</f>
        <v>0</v>
      </c>
      <c r="H400" s="2167">
        <f ca="1">+G402-BALANCE!M15</f>
        <v>0</v>
      </c>
      <c r="I400" s="2060"/>
      <c r="J400" s="2057"/>
      <c r="K400" s="2057"/>
      <c r="L400" s="2058">
        <f ca="1">+F397-J397-L397</f>
        <v>0</v>
      </c>
      <c r="M400" s="2058"/>
      <c r="N400" s="2057"/>
      <c r="O400" s="2151"/>
      <c r="P400" s="2058">
        <f ca="1">+G397-N397-P397</f>
        <v>0</v>
      </c>
      <c r="Q400" s="2155"/>
    </row>
    <row r="401" spans="1:33">
      <c r="F401" s="2055" t="s">
        <v>52</v>
      </c>
      <c r="G401" s="2055" t="s">
        <v>1238</v>
      </c>
      <c r="J401" s="2053" t="s">
        <v>1902</v>
      </c>
      <c r="K401" s="2053"/>
      <c r="L401" s="2054" t="s">
        <v>1903</v>
      </c>
      <c r="M401" s="2054"/>
      <c r="N401" s="2053" t="s">
        <v>1904</v>
      </c>
      <c r="O401" s="2152"/>
      <c r="P401" s="2054" t="s">
        <v>1905</v>
      </c>
      <c r="Q401" s="2156"/>
    </row>
    <row r="402" spans="1:33">
      <c r="F402" s="2049">
        <f ca="1">+F397</f>
        <v>352348840.22999996</v>
      </c>
      <c r="G402" s="2049">
        <f ca="1">+G7+G8+G9+G10+G11+G12+G13+G14+G15+G16+G17+G18+G19+G20+G21+G22+G23+G24+G25+G26+G27+G28+G29+G30+G31+G32+G236</f>
        <v>340811132.96000004</v>
      </c>
      <c r="J402" s="2049">
        <f ca="1">+J397</f>
        <v>352348840.22999996</v>
      </c>
      <c r="K402" s="2049"/>
      <c r="L402" s="2049">
        <f t="shared" ref="L402:P402" ca="1" si="61">+L397</f>
        <v>0</v>
      </c>
      <c r="M402" s="2049"/>
      <c r="N402" s="2049">
        <f ca="1">+N397-G402</f>
        <v>11537707.270000041</v>
      </c>
      <c r="O402" s="2147"/>
      <c r="P402" s="2049">
        <f t="shared" ca="1" si="61"/>
        <v>0</v>
      </c>
      <c r="Q402" s="2147"/>
    </row>
    <row r="403" spans="1:33">
      <c r="D403" s="1145"/>
      <c r="G403" s="2049">
        <f ca="1">+T426</f>
        <v>0</v>
      </c>
      <c r="I403" s="2078" t="s">
        <v>1906</v>
      </c>
      <c r="J403" s="2049">
        <f ca="1">+G403</f>
        <v>0</v>
      </c>
      <c r="K403" s="2049"/>
    </row>
    <row r="404" spans="1:33">
      <c r="R404" s="9"/>
    </row>
    <row r="405" spans="1:33">
      <c r="C405" s="5" t="s">
        <v>1919</v>
      </c>
      <c r="I405" s="2078" t="s">
        <v>1916</v>
      </c>
      <c r="J405" s="2144">
        <f ca="1">+(J402+J403)/F402</f>
        <v>1</v>
      </c>
      <c r="K405" s="2049"/>
      <c r="L405" s="2158" t="str">
        <f ca="1">IF(J405&gt;50%,"CUMPLE","INCUMPLE")</f>
        <v>CUMPLE</v>
      </c>
    </row>
    <row r="406" spans="1:33">
      <c r="C406" s="5" t="s">
        <v>1920</v>
      </c>
      <c r="I406" s="2079" t="s">
        <v>1917</v>
      </c>
      <c r="J406" s="2144">
        <f ca="1">+(J402-N402)/G402</f>
        <v>0.99999999999999967</v>
      </c>
      <c r="K406" s="2049"/>
      <c r="L406" s="2158" t="str">
        <f ca="1">IF(J406&gt;100%,"REVISAR","NO SUPERA 100%")</f>
        <v>NO SUPERA 100%</v>
      </c>
    </row>
    <row r="407" spans="1:33">
      <c r="I407" s="2079" t="s">
        <v>1918</v>
      </c>
      <c r="J407" s="2049">
        <f ca="1">IF(L405="CUMPLE",G402*J406,0)</f>
        <v>340811132.95999992</v>
      </c>
      <c r="K407" s="2049"/>
      <c r="L407" s="2158" t="str">
        <f ca="1">IF(J406&gt;100%,"REVISAR","NO SUPERA 100%")</f>
        <v>NO SUPERA 100%</v>
      </c>
    </row>
    <row r="409" spans="1:33" ht="15" thickBot="1"/>
    <row r="410" spans="1:33" ht="89.25" customHeight="1" outlineLevel="1">
      <c r="A410" s="2282" t="s">
        <v>1925</v>
      </c>
      <c r="B410" s="2283"/>
      <c r="C410" s="2283"/>
      <c r="D410" s="2283"/>
      <c r="E410" s="2283"/>
      <c r="F410" s="2284"/>
    </row>
    <row r="411" spans="1:33" ht="15" outlineLevel="1" thickBot="1">
      <c r="A411" s="2112" t="s">
        <v>1921</v>
      </c>
      <c r="B411" s="2113" t="s">
        <v>1922</v>
      </c>
      <c r="C411" s="2114" t="s">
        <v>1636</v>
      </c>
      <c r="D411" s="2114" t="s">
        <v>1893</v>
      </c>
      <c r="E411" s="2114" t="s">
        <v>1923</v>
      </c>
      <c r="F411" s="2115" t="s">
        <v>1924</v>
      </c>
      <c r="S411" s="5" t="s">
        <v>1439</v>
      </c>
      <c r="T411" s="5" t="s">
        <v>1970</v>
      </c>
      <c r="U411" s="5" t="s">
        <v>1971</v>
      </c>
      <c r="V411" s="5" t="s">
        <v>1907</v>
      </c>
      <c r="W411" s="5" t="s">
        <v>1239</v>
      </c>
      <c r="X411" s="5" t="s">
        <v>1983</v>
      </c>
      <c r="Y411" s="5" t="s">
        <v>1240</v>
      </c>
      <c r="Z411" s="5" t="s">
        <v>1984</v>
      </c>
      <c r="AA411" s="5" t="s">
        <v>1989</v>
      </c>
      <c r="AB411" s="5" t="s">
        <v>1985</v>
      </c>
      <c r="AC411" s="5" t="s">
        <v>1986</v>
      </c>
      <c r="AD411" s="5" t="s">
        <v>1987</v>
      </c>
      <c r="AE411" s="5" t="s">
        <v>1988</v>
      </c>
      <c r="AF411" s="5" t="s">
        <v>1500</v>
      </c>
      <c r="AG411" s="5" t="s">
        <v>1908</v>
      </c>
    </row>
    <row r="412" spans="1:33" outlineLevel="1">
      <c r="A412" s="2091"/>
      <c r="B412" s="2092"/>
      <c r="C412" s="2109"/>
      <c r="D412" s="2093"/>
      <c r="E412" s="2105"/>
      <c r="F412" s="2116">
        <f>IF(D412="A",C412*E412,0)</f>
        <v>0</v>
      </c>
      <c r="S412" s="2077" t="s">
        <v>2029</v>
      </c>
      <c r="T412" s="538"/>
      <c r="U412" s="538">
        <f ca="1">+V412-T412</f>
        <v>14641500.340000015</v>
      </c>
      <c r="V412" s="538">
        <f ca="1">+BALANCE!M31</f>
        <v>14641500.340000015</v>
      </c>
      <c r="W412" s="538">
        <f ca="1">+BALANCE!M19</f>
        <v>140000005.09999999</v>
      </c>
      <c r="X412" s="538">
        <f ca="1">+BALANCE!M22</f>
        <v>0</v>
      </c>
      <c r="Y412" s="538">
        <f ca="1">+BALANCE!M23</f>
        <v>162420962.37</v>
      </c>
      <c r="Z412" s="538">
        <f ca="1">+BALANCE!M26</f>
        <v>0</v>
      </c>
      <c r="AA412" s="538">
        <f ca="1">+BALANCE!M27</f>
        <v>0</v>
      </c>
      <c r="AB412" s="538">
        <f ca="1">+BALANCE!M30</f>
        <v>0</v>
      </c>
      <c r="AC412" s="538">
        <f ca="1">+BALANCE!M32</f>
        <v>0</v>
      </c>
      <c r="AD412" s="538">
        <f ca="1">+BALANCE!M33</f>
        <v>0</v>
      </c>
      <c r="AE412" s="538">
        <f ca="1">+BALANCE!M35</f>
        <v>23713691.499999996</v>
      </c>
      <c r="AF412" s="538">
        <f ca="1">+BALANCE!M41</f>
        <v>34973.649999999994</v>
      </c>
      <c r="AG412" s="538">
        <f t="shared" ref="AG412:AG422" ca="1" si="62">SUM(V412:AF412)</f>
        <v>340811132.95999998</v>
      </c>
    </row>
    <row r="413" spans="1:33" outlineLevel="1">
      <c r="A413" s="2094"/>
      <c r="B413" s="2095"/>
      <c r="C413" s="538"/>
      <c r="E413" s="2106"/>
      <c r="F413" s="2117">
        <f t="shared" ref="F413:F432" si="63">IF(D413="A",C413*E413,0)</f>
        <v>0</v>
      </c>
      <c r="S413" s="2077" t="s">
        <v>2030</v>
      </c>
      <c r="T413" s="538"/>
      <c r="U413" s="538">
        <f t="shared" ref="U413:U420" si="64">+V413-T413</f>
        <v>10805343.500000006</v>
      </c>
      <c r="V413" s="538">
        <f>+BALANCE!P31</f>
        <v>10805343.500000006</v>
      </c>
      <c r="W413" s="538">
        <f>+BALANCE!P19</f>
        <v>140000005.09999999</v>
      </c>
      <c r="X413" s="538">
        <f>+BALANCE!P22</f>
        <v>0</v>
      </c>
      <c r="Y413" s="538">
        <f>+BALANCE!P23</f>
        <v>151615618.87</v>
      </c>
      <c r="Z413" s="538">
        <f>+BALANCE!P26</f>
        <v>0</v>
      </c>
      <c r="AA413" s="538">
        <f>+BALANCE!P27</f>
        <v>0</v>
      </c>
      <c r="AB413" s="538">
        <f>+BALANCE!P30</f>
        <v>0</v>
      </c>
      <c r="AC413" s="538">
        <f>+BALANCE!P32</f>
        <v>0</v>
      </c>
      <c r="AD413" s="538">
        <f>+BALANCE!P33</f>
        <v>0</v>
      </c>
      <c r="AE413" s="538">
        <f>+BALANCE!P35</f>
        <v>11088325.029999999</v>
      </c>
      <c r="AF413" s="538">
        <f>+BALANCE!P41</f>
        <v>16574.64</v>
      </c>
      <c r="AG413" s="538">
        <f t="shared" si="62"/>
        <v>313525867.13999999</v>
      </c>
    </row>
    <row r="414" spans="1:33" outlineLevel="1">
      <c r="A414" s="2094"/>
      <c r="B414" s="2095"/>
      <c r="C414" s="538"/>
      <c r="E414" s="2106"/>
      <c r="F414" s="2117">
        <f t="shared" si="63"/>
        <v>0</v>
      </c>
      <c r="S414" s="2077" t="s">
        <v>2031</v>
      </c>
      <c r="T414" s="538"/>
      <c r="U414" s="538">
        <f t="shared" si="64"/>
        <v>0</v>
      </c>
      <c r="V414" s="538"/>
      <c r="W414" s="538"/>
      <c r="X414" s="538"/>
      <c r="Y414" s="538"/>
      <c r="Z414" s="538"/>
      <c r="AA414" s="538"/>
      <c r="AB414" s="538"/>
      <c r="AC414" s="538"/>
      <c r="AD414" s="538"/>
      <c r="AE414" s="538"/>
      <c r="AF414" s="538"/>
      <c r="AG414" s="538">
        <f t="shared" si="62"/>
        <v>0</v>
      </c>
    </row>
    <row r="415" spans="1:33" outlineLevel="1">
      <c r="A415" s="2094"/>
      <c r="B415" s="2095"/>
      <c r="C415" s="538"/>
      <c r="E415" s="2106"/>
      <c r="F415" s="2117">
        <f t="shared" si="63"/>
        <v>0</v>
      </c>
      <c r="S415" s="2077" t="s">
        <v>1910</v>
      </c>
      <c r="T415" s="538"/>
      <c r="U415" s="538">
        <f t="shared" si="64"/>
        <v>0</v>
      </c>
      <c r="V415" s="538"/>
      <c r="W415" s="538"/>
      <c r="X415" s="538"/>
      <c r="Y415" s="538"/>
      <c r="Z415" s="538"/>
      <c r="AA415" s="538"/>
      <c r="AB415" s="538"/>
      <c r="AC415" s="538"/>
      <c r="AD415" s="538"/>
      <c r="AE415" s="538"/>
      <c r="AF415" s="538"/>
      <c r="AG415" s="538">
        <f t="shared" si="62"/>
        <v>0</v>
      </c>
    </row>
    <row r="416" spans="1:33" outlineLevel="1">
      <c r="A416" s="2094"/>
      <c r="B416" s="2095"/>
      <c r="C416" s="2110"/>
      <c r="D416" s="2095"/>
      <c r="E416" s="2107"/>
      <c r="F416" s="2117">
        <f t="shared" si="63"/>
        <v>0</v>
      </c>
      <c r="G416" s="9"/>
      <c r="H416" s="9"/>
      <c r="I416" s="9"/>
      <c r="J416" s="9"/>
      <c r="K416" s="9"/>
      <c r="L416" s="9"/>
      <c r="M416" s="9"/>
      <c r="N416" s="9"/>
      <c r="O416" s="2153"/>
      <c r="P416" s="9"/>
      <c r="Q416" s="2153"/>
      <c r="S416" s="2077" t="s">
        <v>1909</v>
      </c>
      <c r="T416" s="538"/>
      <c r="U416" s="538">
        <f t="shared" si="64"/>
        <v>0</v>
      </c>
      <c r="V416" s="538"/>
      <c r="W416" s="538"/>
      <c r="X416" s="538"/>
      <c r="Y416" s="538"/>
      <c r="Z416" s="538"/>
      <c r="AA416" s="538"/>
      <c r="AB416" s="538"/>
      <c r="AC416" s="538"/>
      <c r="AD416" s="538"/>
      <c r="AE416" s="538"/>
      <c r="AF416" s="538"/>
      <c r="AG416" s="538">
        <f t="shared" si="62"/>
        <v>0</v>
      </c>
    </row>
    <row r="417" spans="1:33" outlineLevel="1">
      <c r="A417" s="2094"/>
      <c r="B417" s="2095"/>
      <c r="C417" s="538"/>
      <c r="E417" s="2106"/>
      <c r="F417" s="2117">
        <f t="shared" si="63"/>
        <v>0</v>
      </c>
      <c r="S417" s="2077" t="s">
        <v>1911</v>
      </c>
      <c r="T417" s="538"/>
      <c r="U417" s="538">
        <f t="shared" si="64"/>
        <v>0</v>
      </c>
      <c r="V417" s="538"/>
      <c r="W417" s="538"/>
      <c r="X417" s="538"/>
      <c r="Y417" s="538"/>
      <c r="Z417" s="538"/>
      <c r="AA417" s="538"/>
      <c r="AB417" s="538"/>
      <c r="AC417" s="538"/>
      <c r="AD417" s="538"/>
      <c r="AE417" s="538"/>
      <c r="AF417" s="538"/>
      <c r="AG417" s="538">
        <f t="shared" si="62"/>
        <v>0</v>
      </c>
    </row>
    <row r="418" spans="1:33" outlineLevel="1">
      <c r="A418" s="2094"/>
      <c r="B418" s="2095"/>
      <c r="C418" s="538"/>
      <c r="E418" s="2106"/>
      <c r="F418" s="2117">
        <f t="shared" si="63"/>
        <v>0</v>
      </c>
      <c r="S418" s="2077" t="s">
        <v>1912</v>
      </c>
      <c r="T418" s="538"/>
      <c r="U418" s="538">
        <f t="shared" si="64"/>
        <v>0</v>
      </c>
      <c r="V418" s="538"/>
      <c r="W418" s="538"/>
      <c r="X418" s="538"/>
      <c r="Y418" s="538"/>
      <c r="Z418" s="538"/>
      <c r="AA418" s="538"/>
      <c r="AB418" s="538"/>
      <c r="AC418" s="538"/>
      <c r="AD418" s="538"/>
      <c r="AE418" s="538"/>
      <c r="AF418" s="538"/>
      <c r="AG418" s="538">
        <f t="shared" si="62"/>
        <v>0</v>
      </c>
    </row>
    <row r="419" spans="1:33" outlineLevel="1">
      <c r="A419" s="2094"/>
      <c r="B419" s="2095"/>
      <c r="C419" s="538"/>
      <c r="E419" s="2106"/>
      <c r="F419" s="2117">
        <f t="shared" si="63"/>
        <v>0</v>
      </c>
      <c r="S419" s="2077" t="s">
        <v>1913</v>
      </c>
      <c r="T419" s="538"/>
      <c r="U419" s="538">
        <f t="shared" si="64"/>
        <v>0</v>
      </c>
      <c r="V419" s="538"/>
      <c r="W419" s="538"/>
      <c r="X419" s="538"/>
      <c r="Y419" s="538"/>
      <c r="Z419" s="538"/>
      <c r="AA419" s="538"/>
      <c r="AB419" s="538"/>
      <c r="AC419" s="538"/>
      <c r="AD419" s="538"/>
      <c r="AE419" s="538"/>
      <c r="AF419" s="538"/>
      <c r="AG419" s="538">
        <f t="shared" si="62"/>
        <v>0</v>
      </c>
    </row>
    <row r="420" spans="1:33" outlineLevel="1">
      <c r="A420" s="2094"/>
      <c r="B420" s="2095"/>
      <c r="C420" s="538"/>
      <c r="E420" s="2106"/>
      <c r="F420" s="2117">
        <f t="shared" si="63"/>
        <v>0</v>
      </c>
      <c r="S420" s="2077" t="s">
        <v>1914</v>
      </c>
      <c r="T420" s="538"/>
      <c r="U420" s="538">
        <f t="shared" si="64"/>
        <v>0</v>
      </c>
      <c r="V420" s="538"/>
      <c r="W420" s="538"/>
      <c r="X420" s="538"/>
      <c r="Y420" s="538"/>
      <c r="Z420" s="538"/>
      <c r="AA420" s="538"/>
      <c r="AB420" s="538"/>
      <c r="AC420" s="538"/>
      <c r="AD420" s="538"/>
      <c r="AE420" s="538"/>
      <c r="AF420" s="538"/>
      <c r="AG420" s="538">
        <f t="shared" si="62"/>
        <v>0</v>
      </c>
    </row>
    <row r="421" spans="1:33" outlineLevel="1">
      <c r="A421" s="2094"/>
      <c r="B421" s="2095"/>
      <c r="C421" s="538"/>
      <c r="E421" s="2106"/>
      <c r="F421" s="2117">
        <f t="shared" si="63"/>
        <v>0</v>
      </c>
      <c r="S421" s="2077" t="s">
        <v>1915</v>
      </c>
      <c r="T421" s="538"/>
      <c r="U421" s="538">
        <f>+V421-T421</f>
        <v>0</v>
      </c>
      <c r="V421" s="538"/>
      <c r="W421" s="538"/>
      <c r="X421" s="538"/>
      <c r="Y421" s="538"/>
      <c r="Z421" s="538"/>
      <c r="AA421" s="538"/>
      <c r="AB421" s="538"/>
      <c r="AC421" s="538"/>
      <c r="AD421" s="538"/>
      <c r="AE421" s="538"/>
      <c r="AF421" s="538"/>
      <c r="AG421" s="538">
        <f t="shared" si="62"/>
        <v>0</v>
      </c>
    </row>
    <row r="422" spans="1:33" ht="14.25" customHeight="1" outlineLevel="1">
      <c r="A422" s="2094"/>
      <c r="B422" s="2095"/>
      <c r="C422" s="538"/>
      <c r="E422" s="2106"/>
      <c r="F422" s="2117">
        <f t="shared" si="63"/>
        <v>0</v>
      </c>
      <c r="S422" s="2077" t="s">
        <v>1942</v>
      </c>
      <c r="U422" s="538">
        <f>+V422-T422</f>
        <v>0</v>
      </c>
      <c r="AG422" s="538">
        <f t="shared" si="62"/>
        <v>0</v>
      </c>
    </row>
    <row r="423" spans="1:33" outlineLevel="1">
      <c r="A423" s="2094"/>
      <c r="B423" s="2095"/>
      <c r="C423" s="538"/>
      <c r="E423" s="2106"/>
      <c r="F423" s="2117">
        <f t="shared" si="63"/>
        <v>0</v>
      </c>
      <c r="S423" s="5" t="s">
        <v>1978</v>
      </c>
      <c r="T423" s="2076">
        <f>SUM(T412:T422)</f>
        <v>0</v>
      </c>
      <c r="U423" s="2076">
        <f ca="1">SUM(U412:U422)</f>
        <v>25446843.840000018</v>
      </c>
      <c r="V423" s="2076">
        <f ca="1">SUM(V412:V422)</f>
        <v>25446843.840000018</v>
      </c>
      <c r="W423" s="2075"/>
      <c r="X423" s="2075"/>
      <c r="Y423" s="2075"/>
      <c r="Z423" s="2075"/>
      <c r="AA423" s="2075"/>
      <c r="AB423" s="2075"/>
      <c r="AC423" s="2075"/>
      <c r="AD423" s="2075"/>
      <c r="AE423" s="2075"/>
      <c r="AF423" s="2075"/>
      <c r="AG423" s="2075"/>
    </row>
    <row r="424" spans="1:33" ht="14.25" customHeight="1" outlineLevel="1">
      <c r="A424" s="2094"/>
      <c r="B424" s="2095"/>
      <c r="C424" s="538"/>
      <c r="E424" s="2106"/>
      <c r="F424" s="2117">
        <f t="shared" si="63"/>
        <v>0</v>
      </c>
      <c r="S424" s="2077" t="s">
        <v>1972</v>
      </c>
      <c r="T424" s="2076">
        <f ca="1">+BALANCE!M23+BALANCE!M27+BALANCE!M31+BALANCE!M32</f>
        <v>177062462.71000001</v>
      </c>
    </row>
    <row r="425" spans="1:33" outlineLevel="1">
      <c r="A425" s="2094"/>
      <c r="B425" s="2095"/>
      <c r="C425" s="538"/>
      <c r="E425" s="2106"/>
      <c r="F425" s="2117">
        <f t="shared" si="63"/>
        <v>0</v>
      </c>
      <c r="S425" s="2077" t="s">
        <v>1980</v>
      </c>
      <c r="T425" s="2076">
        <f ca="1">IF(T423&lt;T424,T423,T424)</f>
        <v>0</v>
      </c>
    </row>
    <row r="426" spans="1:33" outlineLevel="1">
      <c r="A426" s="2094"/>
      <c r="B426" s="2095"/>
      <c r="C426" s="538"/>
      <c r="E426" s="2106"/>
      <c r="F426" s="2117">
        <f t="shared" si="63"/>
        <v>0</v>
      </c>
      <c r="S426" s="2077" t="s">
        <v>1979</v>
      </c>
      <c r="T426" s="2076">
        <f ca="1">IF(T425&lt;L402,T425,L402)</f>
        <v>0</v>
      </c>
    </row>
    <row r="427" spans="1:33" outlineLevel="1">
      <c r="A427" s="2094"/>
      <c r="B427" s="2095"/>
      <c r="C427" s="538"/>
      <c r="E427" s="2106"/>
      <c r="F427" s="2117">
        <f t="shared" si="63"/>
        <v>0</v>
      </c>
    </row>
    <row r="428" spans="1:33" outlineLevel="1">
      <c r="A428" s="2094"/>
      <c r="B428" s="2095"/>
      <c r="C428" s="538"/>
      <c r="E428" s="2106"/>
      <c r="F428" s="2117">
        <f t="shared" si="63"/>
        <v>0</v>
      </c>
    </row>
    <row r="429" spans="1:33" outlineLevel="1">
      <c r="A429" s="2094"/>
      <c r="B429" s="2095"/>
      <c r="C429" s="538"/>
      <c r="E429" s="2106"/>
      <c r="F429" s="2117">
        <f t="shared" si="63"/>
        <v>0</v>
      </c>
    </row>
    <row r="430" spans="1:33" outlineLevel="1">
      <c r="A430" s="2094"/>
      <c r="B430" s="2095"/>
      <c r="C430" s="538"/>
      <c r="E430" s="2106"/>
      <c r="F430" s="2117">
        <f t="shared" si="63"/>
        <v>0</v>
      </c>
    </row>
    <row r="431" spans="1:33" outlineLevel="1">
      <c r="A431" s="2094"/>
      <c r="B431" s="2095"/>
      <c r="C431" s="538"/>
      <c r="E431" s="2106"/>
      <c r="F431" s="2117">
        <f t="shared" si="63"/>
        <v>0</v>
      </c>
    </row>
    <row r="432" spans="1:33" outlineLevel="1">
      <c r="A432" s="2094"/>
      <c r="B432" s="2095"/>
      <c r="C432" s="538"/>
      <c r="E432" s="2106"/>
      <c r="F432" s="2117">
        <f t="shared" si="63"/>
        <v>0</v>
      </c>
    </row>
    <row r="433" spans="1:6" ht="15" outlineLevel="1" thickBot="1">
      <c r="A433" s="2096"/>
      <c r="B433" s="2097"/>
      <c r="C433" s="2111"/>
      <c r="D433" s="2098"/>
      <c r="E433" s="2108"/>
      <c r="F433" s="2118">
        <f>IF(D433="A",C433*E433,0)</f>
        <v>0</v>
      </c>
    </row>
    <row r="434" spans="1:6" ht="15" thickBot="1"/>
    <row r="435" spans="1:6">
      <c r="A435" s="2264" t="s">
        <v>1941</v>
      </c>
      <c r="B435" s="2265"/>
      <c r="C435" s="2265"/>
      <c r="D435" s="2265"/>
      <c r="E435" s="2265"/>
      <c r="F435" s="2266"/>
    </row>
    <row r="436" spans="1:6" outlineLevel="1">
      <c r="A436" s="2273" t="s">
        <v>1926</v>
      </c>
      <c r="B436" s="2274"/>
      <c r="C436" s="2274"/>
      <c r="D436" s="2274"/>
      <c r="E436" s="2274"/>
      <c r="F436" s="2275"/>
    </row>
    <row r="437" spans="1:6" ht="75" customHeight="1" outlineLevel="1">
      <c r="A437" s="2099" t="s">
        <v>1927</v>
      </c>
      <c r="B437" s="2279" t="s">
        <v>1928</v>
      </c>
      <c r="C437" s="2279"/>
      <c r="D437" s="2279"/>
      <c r="E437" s="2279"/>
      <c r="F437" s="2280"/>
    </row>
    <row r="438" spans="1:6" outlineLevel="1">
      <c r="A438" s="2100"/>
      <c r="B438" s="2279" t="s">
        <v>1929</v>
      </c>
      <c r="C438" s="2279"/>
      <c r="D438" s="2279"/>
      <c r="E438" s="2279"/>
      <c r="F438" s="2280"/>
    </row>
    <row r="439" spans="1:6" outlineLevel="1">
      <c r="A439" s="2101"/>
      <c r="B439" s="2279"/>
      <c r="C439" s="2279"/>
      <c r="D439" s="2279"/>
      <c r="E439" s="2279"/>
      <c r="F439" s="2280"/>
    </row>
    <row r="440" spans="1:6" outlineLevel="1">
      <c r="A440" s="2101"/>
      <c r="B440" s="2279" t="s">
        <v>1930</v>
      </c>
      <c r="C440" s="2279"/>
      <c r="D440" s="2279"/>
      <c r="E440" s="2279"/>
      <c r="F440" s="2280"/>
    </row>
    <row r="441" spans="1:6" outlineLevel="1">
      <c r="A441" s="2101"/>
      <c r="B441" s="2279"/>
      <c r="C441" s="2279"/>
      <c r="D441" s="2279"/>
      <c r="E441" s="2279"/>
      <c r="F441" s="2280"/>
    </row>
    <row r="442" spans="1:6" outlineLevel="1">
      <c r="A442" s="2099" t="s">
        <v>1931</v>
      </c>
      <c r="B442" s="2279" t="s">
        <v>1932</v>
      </c>
      <c r="C442" s="2279"/>
      <c r="D442" s="2279"/>
      <c r="E442" s="2279"/>
      <c r="F442" s="2280"/>
    </row>
    <row r="443" spans="1:6" outlineLevel="1">
      <c r="A443" s="2099"/>
      <c r="B443" s="2279"/>
      <c r="C443" s="2279"/>
      <c r="D443" s="2279"/>
      <c r="E443" s="2279"/>
      <c r="F443" s="2280"/>
    </row>
    <row r="444" spans="1:6" outlineLevel="1">
      <c r="A444" s="2099" t="s">
        <v>1933</v>
      </c>
      <c r="B444" s="2279" t="s">
        <v>1934</v>
      </c>
      <c r="C444" s="2279"/>
      <c r="D444" s="2279"/>
      <c r="E444" s="2279"/>
      <c r="F444" s="2280"/>
    </row>
    <row r="445" spans="1:6" outlineLevel="1">
      <c r="A445" s="2101"/>
      <c r="B445" s="2279"/>
      <c r="C445" s="2279"/>
      <c r="D445" s="2279"/>
      <c r="E445" s="2279"/>
      <c r="F445" s="2280"/>
    </row>
    <row r="446" spans="1:6" outlineLevel="1">
      <c r="A446" s="2276" t="s">
        <v>1935</v>
      </c>
      <c r="B446" s="2277"/>
      <c r="C446" s="2277"/>
      <c r="D446" s="2277"/>
      <c r="E446" s="2277"/>
      <c r="F446" s="2278"/>
    </row>
    <row r="447" spans="1:6" ht="14.25" customHeight="1" outlineLevel="1">
      <c r="A447" s="2102"/>
      <c r="B447" s="2271"/>
      <c r="C447" s="2271"/>
      <c r="D447" s="2271"/>
      <c r="E447" s="2271"/>
      <c r="F447" s="2272"/>
    </row>
    <row r="448" spans="1:6" outlineLevel="1">
      <c r="A448" s="2103" t="s">
        <v>1937</v>
      </c>
      <c r="B448" s="2271" t="s">
        <v>1936</v>
      </c>
      <c r="C448" s="2271"/>
      <c r="D448" s="2271"/>
      <c r="E448" s="2271"/>
      <c r="F448" s="2272"/>
    </row>
    <row r="449" spans="1:6" ht="14.25" customHeight="1" outlineLevel="1">
      <c r="A449" s="2102"/>
      <c r="B449" s="2271"/>
      <c r="C449" s="2271"/>
      <c r="D449" s="2271"/>
      <c r="E449" s="2271"/>
      <c r="F449" s="2272"/>
    </row>
    <row r="450" spans="1:6" outlineLevel="1">
      <c r="A450" s="2103" t="s">
        <v>1937</v>
      </c>
      <c r="B450" s="2271" t="s">
        <v>1938</v>
      </c>
      <c r="C450" s="2271"/>
      <c r="D450" s="2271"/>
      <c r="E450" s="2271"/>
      <c r="F450" s="2272"/>
    </row>
    <row r="451" spans="1:6" outlineLevel="1">
      <c r="A451" s="2102"/>
      <c r="B451" s="2271"/>
      <c r="C451" s="2271"/>
      <c r="D451" s="2271"/>
      <c r="E451" s="2271"/>
      <c r="F451" s="2272"/>
    </row>
    <row r="452" spans="1:6" outlineLevel="1">
      <c r="A452" s="2103" t="s">
        <v>1937</v>
      </c>
      <c r="B452" s="2271" t="s">
        <v>1939</v>
      </c>
      <c r="C452" s="2271"/>
      <c r="D452" s="2271"/>
      <c r="E452" s="2271"/>
      <c r="F452" s="2272"/>
    </row>
    <row r="453" spans="1:6" outlineLevel="1">
      <c r="A453" s="2102"/>
      <c r="B453" s="2271"/>
      <c r="C453" s="2271"/>
      <c r="D453" s="2271"/>
      <c r="E453" s="2271"/>
      <c r="F453" s="2272"/>
    </row>
    <row r="454" spans="1:6" outlineLevel="1">
      <c r="A454" s="2102"/>
      <c r="B454" s="2267" t="s">
        <v>1940</v>
      </c>
      <c r="C454" s="2267"/>
      <c r="D454" s="2267"/>
      <c r="E454" s="2267"/>
      <c r="F454" s="2268"/>
    </row>
    <row r="455" spans="1:6" ht="15" outlineLevel="1" thickBot="1">
      <c r="A455" s="2104"/>
      <c r="B455" s="2269"/>
      <c r="C455" s="2269"/>
      <c r="D455" s="2269"/>
      <c r="E455" s="2269"/>
      <c r="F455" s="2270"/>
    </row>
  </sheetData>
  <mergeCells count="26">
    <mergeCell ref="C5:D5"/>
    <mergeCell ref="A410:F410"/>
    <mergeCell ref="B1:C1"/>
    <mergeCell ref="D1:E1"/>
    <mergeCell ref="B3:C3"/>
    <mergeCell ref="B442:F442"/>
    <mergeCell ref="B444:F444"/>
    <mergeCell ref="B441:F441"/>
    <mergeCell ref="B443:F443"/>
    <mergeCell ref="B445:F445"/>
    <mergeCell ref="A435:F435"/>
    <mergeCell ref="B454:F454"/>
    <mergeCell ref="B455:F455"/>
    <mergeCell ref="B447:F447"/>
    <mergeCell ref="B449:F449"/>
    <mergeCell ref="B451:F451"/>
    <mergeCell ref="B453:F453"/>
    <mergeCell ref="A436:F436"/>
    <mergeCell ref="A446:F446"/>
    <mergeCell ref="B448:F448"/>
    <mergeCell ref="B450:F450"/>
    <mergeCell ref="B452:F452"/>
    <mergeCell ref="B437:F437"/>
    <mergeCell ref="B438:F438"/>
    <mergeCell ref="B440:F440"/>
    <mergeCell ref="B439:F439"/>
  </mergeCells>
  <phoneticPr fontId="246" type="noConversion"/>
  <conditionalFormatting sqref="C8:E396 E397:E398 C397:D399">
    <cfRule type="expression" dxfId="517" priority="16">
      <formula>C8=""</formula>
    </cfRule>
  </conditionalFormatting>
  <conditionalFormatting sqref="C7:E7">
    <cfRule type="expression" dxfId="516" priority="15">
      <formula>C7=""</formula>
    </cfRule>
  </conditionalFormatting>
  <conditionalFormatting sqref="A8:B399">
    <cfRule type="expression" dxfId="515" priority="14">
      <formula>A8=""</formula>
    </cfRule>
  </conditionalFormatting>
  <conditionalFormatting sqref="A7:B7">
    <cfRule type="expression" dxfId="514" priority="13">
      <formula>A7=""</formula>
    </cfRule>
  </conditionalFormatting>
  <conditionalFormatting sqref="L405">
    <cfRule type="cellIs" dxfId="513" priority="5" operator="equal">
      <formula>"INCUMPLE"</formula>
    </cfRule>
    <cfRule type="cellIs" dxfId="512" priority="6" operator="equal">
      <formula>"CUMPLE"</formula>
    </cfRule>
  </conditionalFormatting>
  <conditionalFormatting sqref="L406">
    <cfRule type="cellIs" dxfId="511" priority="3" operator="equal">
      <formula>"NO SUPERA 100%"</formula>
    </cfRule>
    <cfRule type="cellIs" dxfId="510" priority="4" operator="equal">
      <formula>"REVISAR"</formula>
    </cfRule>
  </conditionalFormatting>
  <conditionalFormatting sqref="L407">
    <cfRule type="cellIs" dxfId="509" priority="1" operator="equal">
      <formula>"NO SUPERA 100%"</formula>
    </cfRule>
    <cfRule type="cellIs" dxfId="508" priority="2" operator="equal">
      <formula>"REVISAR"</formula>
    </cfRule>
  </conditionalFormatting>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AD25B-EDF6-4D13-ACD3-407AA5074318}">
  <sheetPr codeName="Hoja55"/>
  <dimension ref="A1:M135"/>
  <sheetViews>
    <sheetView showGridLines="0" showRowColHeaders="0" zoomScaleNormal="100" workbookViewId="0">
      <selection activeCell="I18" sqref="I18"/>
    </sheetView>
  </sheetViews>
  <sheetFormatPr baseColWidth="10" defaultColWidth="0" defaultRowHeight="0" customHeight="1" zeroHeight="1"/>
  <cols>
    <col min="1" max="2" width="2" customWidth="1"/>
    <col min="3" max="5" width="16" customWidth="1"/>
    <col min="6" max="6" width="21" customWidth="1"/>
    <col min="7" max="7" width="22" customWidth="1"/>
    <col min="8" max="8" width="18" customWidth="1"/>
    <col min="9" max="9" width="19" customWidth="1"/>
    <col min="10" max="10" width="32" customWidth="1"/>
    <col min="11" max="11" width="50" customWidth="1"/>
    <col min="12" max="12" width="5" customWidth="1"/>
    <col min="13" max="13" width="0" hidden="1" customWidth="1"/>
    <col min="14" max="16384" width="13" hidden="1"/>
  </cols>
  <sheetData>
    <row r="1" spans="3:11" ht="15" customHeight="1"/>
    <row r="2" spans="3:11" ht="9" customHeight="1"/>
    <row r="3" spans="3:11" ht="5.25" customHeight="1"/>
    <row r="4" spans="3:11" ht="5.25" customHeight="1">
      <c r="C4" s="1230"/>
      <c r="D4" s="1230"/>
    </row>
    <row r="5" spans="3:11" ht="21" hidden="1" customHeight="1"/>
    <row r="6" spans="3:11" ht="19.5" customHeight="1">
      <c r="C6" s="2296">
        <f>+MENU!D5</f>
        <v>6578</v>
      </c>
      <c r="D6" s="2297"/>
      <c r="E6" s="2285" t="str">
        <f>+MENU!E5</f>
        <v>MARIO PILATO BLAT, S.A.</v>
      </c>
      <c r="F6" s="2286"/>
    </row>
    <row r="7" spans="3:11" ht="15.75" customHeight="1">
      <c r="C7" s="218"/>
      <c r="D7" s="218"/>
      <c r="E7" s="218"/>
      <c r="F7" s="218"/>
    </row>
    <row r="8" spans="3:11" ht="24" customHeight="1">
      <c r="C8" s="2252" t="str">
        <f>+MENU!C7</f>
        <v>Fecha cierre</v>
      </c>
      <c r="D8" s="2298"/>
      <c r="E8" s="2299">
        <f>+MENU!D7</f>
        <v>45657</v>
      </c>
      <c r="F8" s="2300"/>
      <c r="H8" s="3"/>
      <c r="I8" s="3"/>
    </row>
    <row r="9" spans="3:11" ht="15" customHeight="1">
      <c r="C9" s="2"/>
      <c r="D9" s="2"/>
      <c r="F9" s="3"/>
      <c r="G9" s="3"/>
    </row>
    <row r="10" spans="3:11" ht="5.25" customHeight="1"/>
    <row r="11" spans="3:11" ht="5.25" customHeight="1"/>
    <row r="12" spans="3:11" ht="6" customHeight="1"/>
    <row r="13" spans="3:11" ht="22.5" customHeight="1"/>
    <row r="14" spans="3:11" ht="6" customHeight="1"/>
    <row r="15" spans="3:11" s="33" customFormat="1" ht="21" customHeight="1">
      <c r="C15" s="2294" t="s">
        <v>1957</v>
      </c>
      <c r="D15" s="2295"/>
      <c r="E15" s="2295"/>
      <c r="F15" s="2295"/>
      <c r="G15" s="2295"/>
      <c r="H15" s="2295"/>
      <c r="I15" s="2295"/>
      <c r="J15" s="2295"/>
      <c r="K15" s="2295"/>
    </row>
    <row r="16" spans="3:11" ht="15" customHeight="1">
      <c r="C16" s="1992"/>
      <c r="D16" s="1993"/>
      <c r="E16" s="1993"/>
      <c r="F16" s="1993"/>
      <c r="G16" s="1993"/>
      <c r="H16" s="1993"/>
      <c r="I16" s="1993"/>
      <c r="J16" s="1993"/>
      <c r="K16" s="1994"/>
    </row>
    <row r="17" spans="3:11" ht="15" customHeight="1">
      <c r="C17" s="2301" t="s">
        <v>1943</v>
      </c>
      <c r="D17" s="2302"/>
      <c r="E17" s="2302"/>
      <c r="F17" s="2302"/>
      <c r="G17" s="444"/>
      <c r="H17" s="2011" t="s">
        <v>1863</v>
      </c>
      <c r="I17" s="2012" t="s">
        <v>1668</v>
      </c>
      <c r="J17" s="444"/>
      <c r="K17" s="1995"/>
    </row>
    <row r="18" spans="3:11" ht="15" customHeight="1">
      <c r="C18" s="1996"/>
      <c r="D18" s="444"/>
      <c r="E18" s="444"/>
      <c r="F18" s="444"/>
      <c r="G18" s="444"/>
      <c r="H18" s="444"/>
      <c r="I18" s="444"/>
      <c r="J18" s="444"/>
      <c r="K18" s="1995"/>
    </row>
    <row r="19" spans="3:11" ht="15" customHeight="1">
      <c r="C19" s="2303" t="s">
        <v>1944</v>
      </c>
      <c r="D19" s="2304"/>
      <c r="E19" s="2305"/>
      <c r="F19" s="2000" t="s">
        <v>1843</v>
      </c>
      <c r="G19" s="2001" t="s">
        <v>1945</v>
      </c>
      <c r="H19" s="2000" t="s">
        <v>1946</v>
      </c>
      <c r="I19" s="2000" t="s">
        <v>1947</v>
      </c>
      <c r="J19" s="2000" t="s">
        <v>1948</v>
      </c>
      <c r="K19" s="2002" t="s">
        <v>1849</v>
      </c>
    </row>
    <row r="20" spans="3:11" ht="15" customHeight="1">
      <c r="C20" s="2306" t="s">
        <v>2920</v>
      </c>
      <c r="D20" s="2307"/>
      <c r="E20" s="2308"/>
      <c r="F20" s="2003" t="s">
        <v>2936</v>
      </c>
      <c r="G20" s="2004" t="s">
        <v>2937</v>
      </c>
      <c r="H20" s="2003" t="s">
        <v>2938</v>
      </c>
      <c r="I20" s="2003"/>
      <c r="J20" s="2003" t="s">
        <v>2939</v>
      </c>
      <c r="K20" s="2005"/>
    </row>
    <row r="21" spans="3:11" ht="15" customHeight="1">
      <c r="C21" s="2291" t="s">
        <v>2940</v>
      </c>
      <c r="D21" s="2292"/>
      <c r="E21" s="2293"/>
      <c r="F21" s="2006"/>
      <c r="G21" s="2006" t="s">
        <v>2941</v>
      </c>
      <c r="H21" s="2006" t="s">
        <v>2938</v>
      </c>
      <c r="I21" s="2006"/>
      <c r="J21" s="2006" t="s">
        <v>2942</v>
      </c>
      <c r="K21" s="2007"/>
    </row>
    <row r="22" spans="3:11" ht="15" customHeight="1">
      <c r="C22" s="2291" t="s">
        <v>2940</v>
      </c>
      <c r="D22" s="2292"/>
      <c r="E22" s="2293"/>
      <c r="F22" s="2006"/>
      <c r="G22" s="2006" t="s">
        <v>2943</v>
      </c>
      <c r="H22" s="2006" t="s">
        <v>2938</v>
      </c>
      <c r="I22" s="2006"/>
      <c r="J22" s="2006" t="s">
        <v>2942</v>
      </c>
      <c r="K22" s="2007"/>
    </row>
    <row r="23" spans="3:11" ht="15" customHeight="1">
      <c r="C23" s="2291"/>
      <c r="D23" s="2292"/>
      <c r="E23" s="2293"/>
      <c r="F23" s="2006"/>
      <c r="G23" s="2006"/>
      <c r="H23" s="2006"/>
      <c r="I23" s="2006"/>
      <c r="J23" s="2006"/>
      <c r="K23" s="2007"/>
    </row>
    <row r="24" spans="3:11" ht="15" customHeight="1">
      <c r="C24" s="2291"/>
      <c r="D24" s="2292"/>
      <c r="E24" s="2293"/>
      <c r="F24" s="2006"/>
      <c r="G24" s="2006"/>
      <c r="H24" s="2006"/>
      <c r="I24" s="2006"/>
      <c r="J24" s="2006"/>
      <c r="K24" s="2007"/>
    </row>
    <row r="25" spans="3:11" ht="15" customHeight="1">
      <c r="C25" s="2291"/>
      <c r="D25" s="2292"/>
      <c r="E25" s="2293"/>
      <c r="F25" s="2006"/>
      <c r="G25" s="2006"/>
      <c r="H25" s="2006"/>
      <c r="I25" s="2006"/>
      <c r="J25" s="2006"/>
      <c r="K25" s="2007"/>
    </row>
    <row r="26" spans="3:11" ht="15" customHeight="1">
      <c r="C26" s="2291"/>
      <c r="D26" s="2292"/>
      <c r="E26" s="2293"/>
      <c r="F26" s="2006"/>
      <c r="G26" s="2006"/>
      <c r="H26" s="2006"/>
      <c r="I26" s="2006"/>
      <c r="J26" s="2006"/>
      <c r="K26" s="2007"/>
    </row>
    <row r="27" spans="3:11" ht="15" customHeight="1">
      <c r="C27" s="2291"/>
      <c r="D27" s="2292"/>
      <c r="E27" s="2293"/>
      <c r="F27" s="2006"/>
      <c r="G27" s="2006"/>
      <c r="H27" s="2006"/>
      <c r="I27" s="2006"/>
      <c r="J27" s="2006"/>
      <c r="K27" s="2007"/>
    </row>
    <row r="28" spans="3:11" ht="15" customHeight="1">
      <c r="C28" s="2291"/>
      <c r="D28" s="2292"/>
      <c r="E28" s="2293"/>
      <c r="F28" s="2006"/>
      <c r="G28" s="2006"/>
      <c r="H28" s="2006"/>
      <c r="I28" s="2006"/>
      <c r="J28" s="2006"/>
      <c r="K28" s="2007"/>
    </row>
    <row r="29" spans="3:11" ht="15" customHeight="1">
      <c r="C29" s="2309"/>
      <c r="D29" s="2310"/>
      <c r="E29" s="2311"/>
      <c r="F29" s="2123"/>
      <c r="G29" s="2123"/>
      <c r="H29" s="2123"/>
      <c r="I29" s="2120"/>
      <c r="J29" s="2123"/>
      <c r="K29" s="2124"/>
    </row>
    <row r="30" spans="3:11" ht="15" customHeight="1">
      <c r="C30" s="2125"/>
      <c r="D30" s="2122"/>
      <c r="E30" s="2122"/>
      <c r="F30" s="2122"/>
      <c r="G30" s="2122"/>
      <c r="H30" s="2122"/>
      <c r="I30" s="2122"/>
      <c r="J30" s="2122"/>
      <c r="K30" s="2126"/>
    </row>
    <row r="31" spans="3:11" ht="15" customHeight="1">
      <c r="C31" s="2127" t="s">
        <v>1952</v>
      </c>
      <c r="D31" s="444"/>
      <c r="E31" s="444"/>
      <c r="F31" s="444"/>
      <c r="G31" s="444"/>
      <c r="H31" s="444"/>
      <c r="I31" s="444"/>
      <c r="J31" s="444"/>
      <c r="K31" s="2121"/>
    </row>
    <row r="32" spans="3:11" ht="15" customHeight="1">
      <c r="C32" s="2128"/>
      <c r="D32" s="444"/>
      <c r="E32" s="444"/>
      <c r="F32" s="444"/>
      <c r="G32" s="444"/>
      <c r="H32" s="444"/>
      <c r="I32" s="444"/>
      <c r="J32" s="444"/>
      <c r="K32" s="2121"/>
    </row>
    <row r="33" spans="3:11" ht="15" customHeight="1">
      <c r="C33" s="2128" t="s">
        <v>1949</v>
      </c>
      <c r="E33" s="2010"/>
      <c r="F33" s="444"/>
      <c r="G33" s="444"/>
      <c r="H33" s="1991"/>
      <c r="I33" s="444"/>
      <c r="J33" s="2010"/>
      <c r="K33" s="2121"/>
    </row>
    <row r="34" spans="3:11" ht="15" customHeight="1">
      <c r="C34" s="2128" t="s">
        <v>1975</v>
      </c>
      <c r="E34" s="444"/>
      <c r="F34" s="444"/>
      <c r="G34" s="444"/>
      <c r="H34" s="444"/>
      <c r="I34" s="444"/>
      <c r="J34" s="444"/>
      <c r="K34" s="2121"/>
    </row>
    <row r="35" spans="3:11" ht="15" customHeight="1">
      <c r="C35" s="2128" t="s">
        <v>1950</v>
      </c>
      <c r="D35" s="444"/>
      <c r="E35" s="444"/>
      <c r="F35" s="444"/>
      <c r="G35" s="444"/>
      <c r="H35" s="444"/>
      <c r="I35" s="444"/>
      <c r="J35" s="444"/>
      <c r="K35" s="2121"/>
    </row>
    <row r="36" spans="3:11" ht="15" customHeight="1">
      <c r="C36" s="2128"/>
      <c r="D36" s="444"/>
      <c r="E36" s="444"/>
      <c r="F36" s="444"/>
      <c r="G36" s="444"/>
      <c r="H36" s="444"/>
      <c r="I36" s="444"/>
      <c r="J36" s="444"/>
      <c r="K36" s="2121"/>
    </row>
    <row r="37" spans="3:11" ht="15" customHeight="1">
      <c r="C37" s="2128" t="s">
        <v>1977</v>
      </c>
      <c r="D37" s="444"/>
      <c r="E37" s="444"/>
      <c r="F37" s="444"/>
      <c r="G37" s="444"/>
      <c r="H37" s="444"/>
      <c r="I37" s="444"/>
      <c r="J37" s="444"/>
      <c r="K37" s="2121"/>
    </row>
    <row r="38" spans="3:11" ht="15" customHeight="1">
      <c r="C38" s="2128" t="s">
        <v>1976</v>
      </c>
      <c r="D38" s="444"/>
      <c r="E38" s="444"/>
      <c r="F38" s="444"/>
      <c r="G38" s="444"/>
      <c r="H38" s="444"/>
      <c r="I38" s="444"/>
      <c r="J38" s="444"/>
      <c r="K38" s="2121"/>
    </row>
    <row r="39" spans="3:11" ht="15" customHeight="1">
      <c r="C39" s="2128"/>
      <c r="D39" s="444"/>
      <c r="E39" s="444"/>
      <c r="F39" s="444"/>
      <c r="G39" s="444"/>
      <c r="H39" s="444"/>
      <c r="I39" s="444"/>
      <c r="J39" s="444"/>
      <c r="K39" s="2121"/>
    </row>
    <row r="40" spans="3:11" ht="15" customHeight="1">
      <c r="C40" s="2128"/>
      <c r="D40" s="444"/>
      <c r="E40" s="444"/>
      <c r="F40" s="444"/>
      <c r="G40" s="444"/>
      <c r="H40" s="444"/>
      <c r="I40" s="444"/>
      <c r="J40" s="444"/>
      <c r="K40" s="2121"/>
    </row>
    <row r="41" spans="3:11" ht="15" customHeight="1">
      <c r="C41" s="2128"/>
      <c r="D41" s="444"/>
      <c r="E41" s="444"/>
      <c r="F41" s="444"/>
      <c r="G41" s="444"/>
      <c r="H41" s="444"/>
      <c r="I41" s="444"/>
      <c r="J41" s="444"/>
      <c r="K41" s="2121"/>
    </row>
    <row r="42" spans="3:11" ht="15" customHeight="1">
      <c r="C42" s="2128"/>
      <c r="D42" s="444"/>
      <c r="E42" s="444"/>
      <c r="F42" s="444"/>
      <c r="G42" s="444"/>
      <c r="H42" s="444"/>
      <c r="I42" s="444"/>
      <c r="J42" s="444"/>
      <c r="K42" s="2121"/>
    </row>
    <row r="43" spans="3:11" ht="15" customHeight="1">
      <c r="C43" s="2128"/>
      <c r="D43" s="444"/>
      <c r="E43" s="444"/>
      <c r="F43" s="444"/>
      <c r="G43" s="444"/>
      <c r="H43" s="444"/>
      <c r="I43" s="444"/>
      <c r="J43" s="444"/>
      <c r="K43" s="2121"/>
    </row>
    <row r="44" spans="3:11" ht="15" customHeight="1">
      <c r="C44" s="2128"/>
      <c r="D44" s="444"/>
      <c r="E44" s="444"/>
      <c r="F44" s="444"/>
      <c r="G44" s="444"/>
      <c r="H44" s="444"/>
      <c r="I44" s="444"/>
      <c r="J44" s="444"/>
      <c r="K44" s="2121"/>
    </row>
    <row r="45" spans="3:11" ht="15" customHeight="1">
      <c r="C45" s="2128"/>
      <c r="D45" s="444"/>
      <c r="E45" s="444"/>
      <c r="F45" s="444"/>
      <c r="G45" s="444"/>
      <c r="H45" s="444"/>
      <c r="I45" s="444"/>
      <c r="J45" s="444"/>
      <c r="K45" s="2121"/>
    </row>
    <row r="46" spans="3:11" ht="15" customHeight="1">
      <c r="C46" s="2128"/>
      <c r="D46" s="444"/>
      <c r="E46" s="444"/>
      <c r="F46" s="444"/>
      <c r="G46" s="444"/>
      <c r="H46" s="444"/>
      <c r="I46" s="444"/>
      <c r="J46" s="444"/>
      <c r="K46" s="2121"/>
    </row>
    <row r="47" spans="3:11" ht="15" customHeight="1">
      <c r="C47" s="2128"/>
      <c r="D47" s="444"/>
      <c r="E47" s="444"/>
      <c r="F47" s="444"/>
      <c r="G47" s="444"/>
      <c r="H47" s="444"/>
      <c r="I47" s="444"/>
      <c r="J47" s="444"/>
      <c r="K47" s="2121"/>
    </row>
    <row r="48" spans="3:11" ht="15" customHeight="1">
      <c r="C48" s="2128"/>
      <c r="D48" s="444"/>
      <c r="E48" s="444"/>
      <c r="F48" s="444"/>
      <c r="G48" s="444"/>
      <c r="H48" s="444"/>
      <c r="I48" s="444"/>
      <c r="J48" s="444"/>
      <c r="K48" s="2121"/>
    </row>
    <row r="49" spans="3:11" ht="15" customHeight="1">
      <c r="C49" s="2128"/>
      <c r="D49" s="444"/>
      <c r="E49" s="444"/>
      <c r="F49" s="444"/>
      <c r="G49" s="444"/>
      <c r="H49" s="444"/>
      <c r="I49" s="444"/>
      <c r="J49" s="444"/>
      <c r="K49" s="2121"/>
    </row>
    <row r="50" spans="3:11" ht="15" customHeight="1">
      <c r="C50" s="2128"/>
      <c r="D50" s="444"/>
      <c r="E50" s="444"/>
      <c r="F50" s="444"/>
      <c r="G50" s="444"/>
      <c r="H50" s="444"/>
      <c r="I50" s="444"/>
      <c r="J50" s="444"/>
      <c r="K50" s="2121"/>
    </row>
    <row r="51" spans="3:11" ht="15" customHeight="1">
      <c r="C51" s="2128"/>
      <c r="D51" s="444"/>
      <c r="E51" s="444"/>
      <c r="F51" s="444"/>
      <c r="G51" s="444"/>
      <c r="H51" s="444"/>
      <c r="I51" s="444"/>
      <c r="J51" s="444"/>
      <c r="K51" s="2121"/>
    </row>
    <row r="52" spans="3:11" ht="15" customHeight="1">
      <c r="C52" s="2129"/>
      <c r="D52" s="2130"/>
      <c r="E52" s="2130"/>
      <c r="F52" s="2130"/>
      <c r="G52" s="2130"/>
      <c r="H52" s="2130"/>
      <c r="I52" s="2130"/>
      <c r="J52" s="2130"/>
      <c r="K52" s="2131"/>
    </row>
    <row r="53" spans="3:11" ht="15" customHeight="1">
      <c r="C53" s="2122"/>
      <c r="D53" s="444"/>
      <c r="E53" s="444"/>
      <c r="F53" s="444"/>
      <c r="G53" s="444"/>
      <c r="H53" s="444"/>
      <c r="I53" s="444"/>
      <c r="J53" s="444"/>
      <c r="K53" s="444"/>
    </row>
    <row r="54" spans="3:11" ht="15" customHeight="1">
      <c r="C54" s="444"/>
      <c r="D54" s="444"/>
      <c r="E54" s="444"/>
      <c r="F54" s="444"/>
      <c r="G54" s="444"/>
      <c r="H54" s="444"/>
      <c r="I54" s="444"/>
      <c r="J54" s="444"/>
      <c r="K54" s="444"/>
    </row>
    <row r="55" spans="3:11" ht="15" customHeight="1">
      <c r="C55" s="444"/>
      <c r="D55" s="444"/>
      <c r="E55" s="444"/>
      <c r="F55" s="444"/>
      <c r="G55" s="444"/>
      <c r="H55" s="444"/>
      <c r="I55" s="444"/>
      <c r="J55" s="444"/>
      <c r="K55" s="444"/>
    </row>
    <row r="56" spans="3:11" ht="15" customHeight="1">
      <c r="C56" s="444"/>
      <c r="D56" s="444"/>
      <c r="E56" s="444"/>
      <c r="F56" s="444"/>
      <c r="G56" s="444"/>
      <c r="H56" s="444"/>
      <c r="I56" s="444"/>
      <c r="J56" s="444"/>
      <c r="K56" s="444"/>
    </row>
    <row r="57" spans="3:11" ht="15" customHeight="1">
      <c r="C57" s="444"/>
      <c r="D57" s="444"/>
      <c r="E57" s="444"/>
      <c r="F57" s="444"/>
      <c r="G57" s="444"/>
      <c r="H57" s="444"/>
      <c r="I57" s="444"/>
      <c r="J57" s="444"/>
      <c r="K57" s="444"/>
    </row>
    <row r="58" spans="3:11" ht="15" customHeight="1">
      <c r="C58" s="444"/>
      <c r="D58" s="444"/>
      <c r="E58" s="444"/>
      <c r="F58" s="444"/>
      <c r="G58" s="444"/>
      <c r="H58" s="444"/>
      <c r="I58" s="444"/>
      <c r="J58" s="444"/>
      <c r="K58" s="444"/>
    </row>
    <row r="59" spans="3:11" ht="15" customHeight="1">
      <c r="C59" s="444"/>
      <c r="D59" s="444"/>
      <c r="E59" s="444"/>
      <c r="F59" s="444"/>
      <c r="G59" s="444"/>
      <c r="H59" s="444"/>
      <c r="I59" s="444"/>
      <c r="J59" s="444"/>
      <c r="K59" s="444"/>
    </row>
    <row r="60" spans="3:11" ht="15" customHeight="1">
      <c r="C60" s="444"/>
      <c r="D60" s="444"/>
      <c r="E60" s="444"/>
      <c r="F60" s="444"/>
      <c r="G60" s="444"/>
      <c r="H60" s="444"/>
      <c r="I60" s="444"/>
      <c r="J60" s="444"/>
      <c r="K60" s="444"/>
    </row>
    <row r="61" spans="3:11" ht="15" customHeight="1">
      <c r="C61" s="444"/>
      <c r="D61" s="444"/>
      <c r="E61" s="444"/>
      <c r="F61" s="444"/>
      <c r="G61" s="444"/>
      <c r="H61" s="444"/>
      <c r="I61" s="444"/>
      <c r="J61" s="444"/>
      <c r="K61" s="444"/>
    </row>
    <row r="62" spans="3:11" ht="15" customHeight="1">
      <c r="C62" s="444"/>
      <c r="D62" s="444"/>
      <c r="E62" s="444"/>
      <c r="F62" s="444"/>
      <c r="G62" s="444"/>
      <c r="H62" s="444"/>
      <c r="I62" s="444"/>
      <c r="J62" s="444"/>
      <c r="K62" s="444"/>
    </row>
    <row r="63" spans="3:11" ht="15" customHeight="1">
      <c r="C63" s="444"/>
      <c r="D63" s="444"/>
      <c r="E63" s="444"/>
      <c r="F63" s="444"/>
      <c r="G63" s="444"/>
      <c r="H63" s="444"/>
      <c r="I63" s="444"/>
      <c r="J63" s="444"/>
      <c r="K63" s="444"/>
    </row>
    <row r="64" spans="3:11" ht="15" customHeight="1">
      <c r="C64" s="444"/>
      <c r="D64" s="444"/>
      <c r="E64" s="444"/>
      <c r="F64" s="444"/>
      <c r="G64" s="444"/>
      <c r="H64" s="444"/>
      <c r="I64" s="444"/>
      <c r="J64" s="444"/>
      <c r="K64" s="444"/>
    </row>
    <row r="65" spans="3:11" ht="15" customHeight="1">
      <c r="C65" s="444"/>
      <c r="D65" s="444"/>
      <c r="E65" s="444"/>
      <c r="F65" s="444"/>
      <c r="G65" s="444"/>
      <c r="H65" s="444"/>
      <c r="I65" s="444"/>
      <c r="J65" s="444"/>
      <c r="K65" s="444"/>
    </row>
    <row r="66" spans="3:11" ht="15" customHeight="1">
      <c r="C66" s="444"/>
      <c r="D66" s="444"/>
      <c r="E66" s="444"/>
      <c r="F66" s="444"/>
      <c r="G66" s="444"/>
      <c r="H66" s="444"/>
      <c r="I66" s="444"/>
      <c r="J66" s="444"/>
      <c r="K66" s="444"/>
    </row>
    <row r="67" spans="3:11" ht="15" customHeight="1">
      <c r="C67" s="444"/>
      <c r="D67" s="444"/>
      <c r="E67" s="444"/>
      <c r="F67" s="444"/>
      <c r="G67" s="444"/>
      <c r="H67" s="444"/>
      <c r="I67" s="444"/>
      <c r="J67" s="444"/>
      <c r="K67" s="444"/>
    </row>
    <row r="68" spans="3:11" ht="15" customHeight="1">
      <c r="C68" s="444"/>
      <c r="D68" s="444"/>
      <c r="E68" s="444"/>
      <c r="F68" s="444"/>
      <c r="G68" s="444"/>
      <c r="H68" s="444"/>
      <c r="I68" s="444"/>
      <c r="J68" s="444"/>
      <c r="K68" s="444"/>
    </row>
    <row r="69" spans="3:11" ht="15" customHeight="1">
      <c r="C69" s="444"/>
      <c r="D69" s="444"/>
      <c r="E69" s="444"/>
      <c r="F69" s="444"/>
      <c r="G69" s="444"/>
      <c r="H69" s="444"/>
      <c r="I69" s="444"/>
      <c r="J69" s="444"/>
      <c r="K69" s="444"/>
    </row>
    <row r="70" spans="3:11" ht="15" customHeight="1">
      <c r="C70" s="444"/>
      <c r="D70" s="444"/>
      <c r="E70" s="444"/>
      <c r="F70" s="444"/>
      <c r="G70" s="444"/>
      <c r="H70" s="444"/>
      <c r="I70" s="444"/>
      <c r="J70" s="444"/>
      <c r="K70" s="444"/>
    </row>
    <row r="71" spans="3:11" ht="15" customHeight="1">
      <c r="C71" s="444"/>
      <c r="D71" s="444"/>
      <c r="E71" s="444"/>
      <c r="F71" s="444"/>
      <c r="G71" s="444"/>
      <c r="H71" s="444"/>
      <c r="I71" s="444"/>
      <c r="J71" s="444"/>
      <c r="K71" s="444"/>
    </row>
    <row r="72" spans="3:11" ht="15" customHeight="1">
      <c r="C72" s="444"/>
      <c r="D72" s="444"/>
      <c r="E72" s="444"/>
      <c r="F72" s="444"/>
      <c r="G72" s="444"/>
      <c r="H72" s="444"/>
      <c r="I72" s="444"/>
      <c r="J72" s="444"/>
      <c r="K72" s="444"/>
    </row>
    <row r="73" spans="3:11" ht="15" customHeight="1">
      <c r="C73" s="444"/>
      <c r="D73" s="444"/>
      <c r="E73" s="444"/>
      <c r="F73" s="444"/>
      <c r="G73" s="444"/>
      <c r="H73" s="444"/>
      <c r="I73" s="444"/>
      <c r="J73" s="444"/>
      <c r="K73" s="444"/>
    </row>
    <row r="74" spans="3:11" ht="15" customHeight="1">
      <c r="C74" s="444"/>
      <c r="D74" s="444"/>
      <c r="E74" s="444"/>
      <c r="F74" s="444"/>
      <c r="G74" s="444"/>
      <c r="H74" s="444"/>
      <c r="I74" s="444"/>
      <c r="J74" s="444"/>
      <c r="K74" s="444"/>
    </row>
    <row r="75" spans="3:11" ht="15" customHeight="1">
      <c r="C75" s="444"/>
      <c r="D75" s="444"/>
      <c r="E75" s="444"/>
      <c r="F75" s="444"/>
      <c r="G75" s="444"/>
      <c r="H75" s="444"/>
      <c r="I75" s="444"/>
      <c r="J75" s="444"/>
      <c r="K75" s="444"/>
    </row>
    <row r="76" spans="3:11" ht="15" customHeight="1">
      <c r="C76" s="444"/>
      <c r="D76" s="444"/>
      <c r="E76" s="444"/>
      <c r="F76" s="444"/>
      <c r="G76" s="444"/>
      <c r="H76" s="444"/>
      <c r="I76" s="444"/>
      <c r="J76" s="444"/>
      <c r="K76" s="444"/>
    </row>
    <row r="77" spans="3:11" ht="15" customHeight="1">
      <c r="C77" s="444"/>
      <c r="D77" s="444"/>
      <c r="E77" s="444"/>
      <c r="F77" s="444"/>
      <c r="G77" s="444"/>
      <c r="H77" s="444"/>
      <c r="I77" s="444"/>
      <c r="J77" s="444"/>
      <c r="K77" s="444"/>
    </row>
    <row r="78" spans="3:11" ht="15" customHeight="1">
      <c r="C78" s="444"/>
      <c r="D78" s="444"/>
      <c r="E78" s="444"/>
      <c r="F78" s="444"/>
      <c r="G78" s="444"/>
      <c r="H78" s="444"/>
      <c r="I78" s="444"/>
      <c r="J78" s="444"/>
      <c r="K78" s="444"/>
    </row>
    <row r="79" spans="3:11" ht="15" customHeight="1">
      <c r="C79" s="444"/>
      <c r="D79" s="444"/>
      <c r="E79" s="444"/>
      <c r="F79" s="444"/>
      <c r="G79" s="444"/>
      <c r="H79" s="444"/>
      <c r="I79" s="444"/>
      <c r="J79" s="444"/>
      <c r="K79" s="444"/>
    </row>
    <row r="80" spans="3:11" ht="15" customHeight="1">
      <c r="C80" s="444"/>
      <c r="D80" s="444"/>
      <c r="E80" s="444"/>
      <c r="F80" s="444"/>
      <c r="G80" s="444"/>
      <c r="H80" s="444"/>
      <c r="I80" s="444"/>
      <c r="J80" s="444"/>
      <c r="K80" s="444"/>
    </row>
    <row r="81" spans="3:11" ht="15" customHeight="1">
      <c r="C81" s="444"/>
      <c r="D81" s="444"/>
      <c r="E81" s="444"/>
      <c r="F81" s="444"/>
      <c r="G81" s="444"/>
      <c r="H81" s="444"/>
      <c r="I81" s="444"/>
      <c r="J81" s="444"/>
      <c r="K81" s="444"/>
    </row>
    <row r="82" spans="3:11" ht="15" customHeight="1">
      <c r="C82" s="444"/>
      <c r="D82" s="444"/>
      <c r="E82" s="444"/>
      <c r="F82" s="444"/>
      <c r="G82" s="444"/>
      <c r="H82" s="444"/>
      <c r="I82" s="444"/>
      <c r="J82" s="444"/>
      <c r="K82" s="444"/>
    </row>
    <row r="83" spans="3:11" ht="15" customHeight="1">
      <c r="C83" s="444"/>
      <c r="D83" s="444"/>
      <c r="E83" s="444"/>
      <c r="F83" s="444"/>
      <c r="G83" s="444"/>
      <c r="H83" s="444"/>
      <c r="I83" s="444"/>
      <c r="J83" s="444"/>
      <c r="K83" s="444"/>
    </row>
    <row r="84" spans="3:11" ht="15" customHeight="1">
      <c r="C84" s="444"/>
      <c r="D84" s="444"/>
      <c r="E84" s="444"/>
      <c r="F84" s="444"/>
      <c r="G84" s="444"/>
      <c r="H84" s="444"/>
      <c r="I84" s="444"/>
      <c r="J84" s="444"/>
      <c r="K84" s="444"/>
    </row>
    <row r="85" spans="3:11" ht="15" customHeight="1">
      <c r="C85" s="444"/>
      <c r="D85" s="444"/>
      <c r="E85" s="444"/>
      <c r="F85" s="444"/>
      <c r="G85" s="444"/>
      <c r="H85" s="444"/>
      <c r="I85" s="444"/>
      <c r="J85" s="444"/>
      <c r="K85" s="444"/>
    </row>
    <row r="86" spans="3:11" ht="15" customHeight="1">
      <c r="C86" s="444"/>
      <c r="D86" s="444"/>
      <c r="E86" s="444"/>
      <c r="F86" s="444"/>
      <c r="G86" s="444"/>
      <c r="H86" s="444"/>
      <c r="I86" s="444"/>
      <c r="J86" s="444"/>
      <c r="K86" s="444"/>
    </row>
    <row r="87" spans="3:11" ht="15" customHeight="1">
      <c r="C87" s="444"/>
      <c r="D87" s="444"/>
      <c r="E87" s="444"/>
      <c r="F87" s="444"/>
      <c r="G87" s="444"/>
      <c r="H87" s="444"/>
      <c r="I87" s="444"/>
      <c r="J87" s="444"/>
      <c r="K87" s="444"/>
    </row>
    <row r="88" spans="3:11" ht="15" customHeight="1">
      <c r="C88" s="444"/>
      <c r="D88" s="444"/>
      <c r="E88" s="444"/>
      <c r="F88" s="444"/>
      <c r="G88" s="444"/>
      <c r="H88" s="444"/>
      <c r="I88" s="444"/>
      <c r="J88" s="444"/>
      <c r="K88" s="444"/>
    </row>
    <row r="89" spans="3:11" ht="15" customHeight="1">
      <c r="C89" s="444"/>
      <c r="D89" s="444"/>
      <c r="E89" s="444"/>
      <c r="F89" s="444"/>
      <c r="G89" s="444"/>
      <c r="H89" s="444"/>
      <c r="I89" s="444"/>
      <c r="J89" s="444"/>
      <c r="K89" s="444"/>
    </row>
    <row r="90" spans="3:11" ht="15" customHeight="1">
      <c r="C90" s="444"/>
      <c r="D90" s="444"/>
      <c r="E90" s="444"/>
      <c r="F90" s="444"/>
      <c r="G90" s="444"/>
      <c r="H90" s="444"/>
      <c r="I90" s="444"/>
      <c r="J90" s="444"/>
      <c r="K90" s="444"/>
    </row>
    <row r="91" spans="3:11" ht="15" customHeight="1">
      <c r="C91" s="444"/>
      <c r="D91" s="444"/>
      <c r="E91" s="444"/>
      <c r="F91" s="444"/>
      <c r="G91" s="444"/>
      <c r="H91" s="444"/>
      <c r="I91" s="444"/>
      <c r="J91" s="444"/>
      <c r="K91" s="444"/>
    </row>
    <row r="92" spans="3:11" ht="15" customHeight="1">
      <c r="C92" s="444"/>
      <c r="D92" s="444"/>
      <c r="E92" s="444"/>
      <c r="F92" s="444"/>
      <c r="G92" s="444"/>
      <c r="H92" s="444"/>
      <c r="I92" s="444"/>
      <c r="J92" s="444"/>
      <c r="K92" s="444"/>
    </row>
    <row r="93" spans="3:11" ht="15" customHeight="1">
      <c r="C93" s="444"/>
      <c r="D93" s="444"/>
      <c r="E93" s="444"/>
      <c r="F93" s="444"/>
      <c r="G93" s="444"/>
      <c r="H93" s="444"/>
      <c r="I93" s="444"/>
      <c r="J93" s="444"/>
      <c r="K93" s="444"/>
    </row>
    <row r="94" spans="3:11" ht="15" customHeight="1">
      <c r="C94" s="444"/>
      <c r="D94" s="444"/>
      <c r="E94" s="444"/>
      <c r="F94" s="444"/>
      <c r="G94" s="444"/>
      <c r="H94" s="444"/>
      <c r="I94" s="444"/>
      <c r="J94" s="444"/>
      <c r="K94" s="444"/>
    </row>
    <row r="95" spans="3:11" ht="15" customHeight="1">
      <c r="C95" s="444"/>
      <c r="D95" s="444"/>
      <c r="E95" s="444"/>
      <c r="F95" s="444"/>
      <c r="G95" s="444"/>
      <c r="H95" s="444"/>
      <c r="I95" s="444"/>
      <c r="J95" s="444"/>
      <c r="K95" s="444"/>
    </row>
    <row r="96" spans="3:11" ht="15" customHeight="1">
      <c r="C96" s="444"/>
      <c r="D96" s="444"/>
      <c r="E96" s="444"/>
      <c r="F96" s="444"/>
      <c r="G96" s="444"/>
      <c r="H96" s="444"/>
      <c r="I96" s="444"/>
      <c r="J96" s="444"/>
      <c r="K96" s="444"/>
    </row>
    <row r="97" spans="3:11" ht="15" customHeight="1">
      <c r="C97" s="444"/>
      <c r="D97" s="444"/>
      <c r="E97" s="444"/>
      <c r="F97" s="444"/>
      <c r="G97" s="444"/>
      <c r="H97" s="444"/>
      <c r="I97" s="444"/>
      <c r="J97" s="444"/>
      <c r="K97" s="444"/>
    </row>
    <row r="98" spans="3:11" ht="15" customHeight="1">
      <c r="C98" s="444"/>
      <c r="D98" s="444"/>
      <c r="E98" s="444"/>
      <c r="F98" s="444"/>
      <c r="G98" s="444"/>
      <c r="H98" s="444"/>
      <c r="I98" s="444"/>
      <c r="J98" s="444"/>
      <c r="K98" s="444"/>
    </row>
    <row r="99" spans="3:11" ht="15" customHeight="1">
      <c r="C99" s="444"/>
      <c r="D99" s="444"/>
      <c r="E99" s="444"/>
      <c r="F99" s="444"/>
      <c r="G99" s="444"/>
      <c r="H99" s="444"/>
      <c r="I99" s="444"/>
      <c r="J99" s="444"/>
      <c r="K99" s="444"/>
    </row>
    <row r="100" spans="3:11" ht="15" customHeight="1">
      <c r="C100" s="444"/>
      <c r="D100" s="444"/>
      <c r="E100" s="444"/>
      <c r="F100" s="444"/>
      <c r="G100" s="444"/>
      <c r="H100" s="444"/>
      <c r="I100" s="444"/>
      <c r="J100" s="444"/>
      <c r="K100" s="444"/>
    </row>
    <row r="101" spans="3:11" ht="15" customHeight="1">
      <c r="C101" s="444"/>
      <c r="D101" s="444"/>
      <c r="E101" s="444"/>
      <c r="F101" s="444"/>
      <c r="G101" s="444"/>
      <c r="H101" s="444"/>
      <c r="I101" s="444"/>
      <c r="J101" s="444"/>
      <c r="K101" s="444"/>
    </row>
    <row r="102" spans="3:11" ht="15" customHeight="1">
      <c r="C102" s="444"/>
      <c r="D102" s="444"/>
      <c r="E102" s="444"/>
      <c r="F102" s="444"/>
      <c r="G102" s="444"/>
      <c r="H102" s="444"/>
      <c r="I102" s="444"/>
      <c r="J102" s="444"/>
      <c r="K102" s="444"/>
    </row>
    <row r="103" spans="3:11" ht="15" customHeight="1">
      <c r="C103" s="444"/>
      <c r="D103" s="444"/>
      <c r="E103" s="444"/>
      <c r="F103" s="444"/>
      <c r="G103" s="444"/>
      <c r="H103" s="444"/>
      <c r="I103" s="444"/>
      <c r="J103" s="444"/>
      <c r="K103" s="444"/>
    </row>
    <row r="104" spans="3:11" ht="15" customHeight="1">
      <c r="C104" s="444"/>
      <c r="D104" s="444"/>
      <c r="E104" s="444"/>
      <c r="F104" s="444"/>
      <c r="G104" s="444"/>
      <c r="H104" s="444"/>
      <c r="I104" s="444"/>
      <c r="J104" s="444"/>
      <c r="K104" s="444"/>
    </row>
    <row r="105" spans="3:11" ht="15" customHeight="1">
      <c r="C105" s="444"/>
      <c r="D105" s="444"/>
      <c r="E105" s="444"/>
      <c r="F105" s="444"/>
      <c r="G105" s="444"/>
      <c r="H105" s="444"/>
      <c r="I105" s="444"/>
      <c r="J105" s="444"/>
      <c r="K105" s="444"/>
    </row>
    <row r="106" spans="3:11" ht="15" customHeight="1">
      <c r="C106" s="444"/>
      <c r="D106" s="444"/>
      <c r="E106" s="444"/>
      <c r="F106" s="444"/>
      <c r="G106" s="444"/>
      <c r="H106" s="444"/>
      <c r="I106" s="444"/>
      <c r="J106" s="444"/>
      <c r="K106" s="444"/>
    </row>
    <row r="107" spans="3:11" ht="15" customHeight="1">
      <c r="C107" s="444"/>
      <c r="D107" s="444"/>
      <c r="E107" s="444"/>
      <c r="F107" s="444"/>
      <c r="G107" s="444"/>
      <c r="H107" s="444"/>
      <c r="I107" s="444"/>
      <c r="J107" s="444"/>
      <c r="K107" s="444"/>
    </row>
    <row r="108" spans="3:11" ht="15" customHeight="1">
      <c r="C108" s="444"/>
      <c r="D108" s="444"/>
      <c r="E108" s="444"/>
      <c r="F108" s="444"/>
      <c r="G108" s="444"/>
      <c r="H108" s="444"/>
      <c r="I108" s="444"/>
      <c r="J108" s="444"/>
      <c r="K108" s="444"/>
    </row>
    <row r="109" spans="3:11" ht="15" customHeight="1">
      <c r="C109" s="444"/>
      <c r="D109" s="444"/>
      <c r="E109" s="444"/>
      <c r="F109" s="444"/>
      <c r="G109" s="444"/>
      <c r="H109" s="444"/>
      <c r="I109" s="444"/>
      <c r="J109" s="444"/>
      <c r="K109" s="444"/>
    </row>
    <row r="110" spans="3:11" ht="15" customHeight="1">
      <c r="C110" s="444"/>
      <c r="D110" s="444"/>
      <c r="E110" s="444"/>
      <c r="F110" s="444"/>
      <c r="G110" s="444"/>
      <c r="H110" s="444"/>
      <c r="I110" s="444"/>
      <c r="J110" s="444"/>
      <c r="K110" s="444"/>
    </row>
    <row r="111" spans="3:11" ht="15" customHeight="1">
      <c r="C111" s="444"/>
      <c r="D111" s="444"/>
      <c r="E111" s="444"/>
      <c r="F111" s="444"/>
      <c r="G111" s="444"/>
      <c r="H111" s="444"/>
      <c r="I111" s="444"/>
      <c r="J111" s="444"/>
      <c r="K111" s="444"/>
    </row>
    <row r="112" spans="3:11" ht="15" customHeight="1">
      <c r="C112" s="444"/>
      <c r="D112" s="444"/>
      <c r="E112" s="444"/>
      <c r="F112" s="444"/>
      <c r="G112" s="444"/>
      <c r="H112" s="444"/>
      <c r="I112" s="444"/>
      <c r="J112" s="444"/>
      <c r="K112" s="444"/>
    </row>
    <row r="113" spans="3:11" ht="15" customHeight="1">
      <c r="C113" s="444"/>
      <c r="D113" s="444"/>
      <c r="E113" s="444"/>
      <c r="F113" s="444"/>
      <c r="G113" s="444"/>
      <c r="H113" s="444"/>
      <c r="I113" s="444"/>
      <c r="J113" s="444"/>
      <c r="K113" s="444"/>
    </row>
    <row r="114" spans="3:11" ht="15" customHeight="1">
      <c r="C114" s="444"/>
      <c r="D114" s="444"/>
      <c r="E114" s="444"/>
      <c r="F114" s="444"/>
      <c r="G114" s="444"/>
      <c r="H114" s="444"/>
      <c r="I114" s="444"/>
      <c r="J114" s="444"/>
      <c r="K114" s="444"/>
    </row>
    <row r="115" spans="3:11" ht="15" customHeight="1">
      <c r="C115" s="444"/>
      <c r="D115" s="444"/>
      <c r="E115" s="444"/>
      <c r="F115" s="444"/>
      <c r="G115" s="444"/>
      <c r="H115" s="444"/>
      <c r="I115" s="444"/>
      <c r="J115" s="444"/>
      <c r="K115" s="444"/>
    </row>
    <row r="116" spans="3:11" ht="15" customHeight="1">
      <c r="C116" s="444"/>
      <c r="D116" s="444"/>
      <c r="E116" s="444"/>
      <c r="F116" s="444"/>
      <c r="G116" s="444"/>
      <c r="H116" s="444"/>
      <c r="I116" s="444"/>
      <c r="J116" s="444"/>
      <c r="K116" s="444"/>
    </row>
    <row r="117" spans="3:11" ht="15" customHeight="1">
      <c r="C117" s="444"/>
      <c r="D117" s="444"/>
      <c r="E117" s="444"/>
      <c r="F117" s="444"/>
      <c r="G117" s="444"/>
      <c r="H117" s="444"/>
      <c r="I117" s="444"/>
      <c r="J117" s="444"/>
      <c r="K117" s="444"/>
    </row>
    <row r="118" spans="3:11" ht="15" customHeight="1">
      <c r="C118" s="444"/>
      <c r="D118" s="444"/>
      <c r="E118" s="444"/>
      <c r="F118" s="444"/>
      <c r="G118" s="444"/>
      <c r="H118" s="444"/>
      <c r="I118" s="444"/>
      <c r="J118" s="444"/>
      <c r="K118" s="444"/>
    </row>
    <row r="119" spans="3:11" ht="15" customHeight="1">
      <c r="C119" s="444"/>
      <c r="D119" s="444"/>
      <c r="E119" s="444"/>
      <c r="F119" s="444"/>
      <c r="G119" s="444"/>
      <c r="H119" s="444"/>
      <c r="I119" s="444"/>
      <c r="J119" s="444"/>
      <c r="K119" s="444"/>
    </row>
    <row r="120" spans="3:11" ht="15" customHeight="1">
      <c r="C120" s="444"/>
      <c r="D120" s="444"/>
      <c r="E120" s="444"/>
      <c r="F120" s="444"/>
      <c r="G120" s="444"/>
      <c r="H120" s="444"/>
      <c r="I120" s="444"/>
      <c r="J120" s="444"/>
      <c r="K120" s="444"/>
    </row>
    <row r="121" spans="3:11" ht="15" customHeight="1">
      <c r="C121" s="444"/>
      <c r="D121" s="444"/>
      <c r="E121" s="444"/>
      <c r="F121" s="444"/>
      <c r="G121" s="444"/>
      <c r="H121" s="444"/>
      <c r="I121" s="444"/>
      <c r="J121" s="444"/>
      <c r="K121" s="444"/>
    </row>
    <row r="122" spans="3:11" ht="15" customHeight="1">
      <c r="C122" s="444"/>
      <c r="D122" s="444"/>
      <c r="E122" s="444"/>
      <c r="F122" s="444"/>
      <c r="G122" s="444"/>
      <c r="H122" s="444"/>
      <c r="I122" s="444"/>
      <c r="J122" s="444"/>
      <c r="K122" s="444"/>
    </row>
    <row r="123" spans="3:11" ht="15" customHeight="1">
      <c r="C123" s="444"/>
      <c r="D123" s="444"/>
      <c r="E123" s="444"/>
      <c r="F123" s="444"/>
      <c r="G123" s="444"/>
      <c r="H123" s="444"/>
      <c r="I123" s="444"/>
      <c r="J123" s="444"/>
      <c r="K123" s="444"/>
    </row>
    <row r="124" spans="3:11" ht="15" customHeight="1">
      <c r="C124" s="444"/>
      <c r="D124" s="444"/>
      <c r="E124" s="444"/>
      <c r="F124" s="444"/>
      <c r="G124" s="444"/>
      <c r="H124" s="444"/>
      <c r="I124" s="444"/>
      <c r="J124" s="444"/>
      <c r="K124" s="444"/>
    </row>
    <row r="125" spans="3:11" ht="15" customHeight="1">
      <c r="C125" s="444"/>
      <c r="D125" s="444"/>
      <c r="E125" s="444"/>
      <c r="F125" s="444"/>
      <c r="G125" s="444"/>
      <c r="H125" s="444"/>
      <c r="I125" s="444"/>
      <c r="J125" s="444"/>
      <c r="K125" s="444"/>
    </row>
    <row r="126" spans="3:11" ht="15" customHeight="1">
      <c r="C126" s="444"/>
      <c r="D126" s="444"/>
      <c r="E126" s="444"/>
      <c r="F126" s="444"/>
      <c r="G126" s="444"/>
      <c r="H126" s="444"/>
      <c r="I126" s="444"/>
      <c r="J126" s="444"/>
      <c r="K126" s="444"/>
    </row>
    <row r="127" spans="3:11" ht="15" customHeight="1">
      <c r="C127" s="444"/>
      <c r="D127" s="444"/>
      <c r="E127" s="444"/>
      <c r="F127" s="444"/>
      <c r="G127" s="444"/>
      <c r="H127" s="444"/>
      <c r="I127" s="444"/>
      <c r="J127" s="444"/>
      <c r="K127" s="444"/>
    </row>
    <row r="128" spans="3:11" ht="15" customHeight="1">
      <c r="C128" s="444"/>
      <c r="D128" s="444"/>
      <c r="E128" s="444"/>
      <c r="F128" s="444"/>
      <c r="G128" s="444"/>
      <c r="H128" s="444"/>
      <c r="I128" s="444"/>
      <c r="J128" s="444"/>
      <c r="K128" s="444"/>
    </row>
    <row r="129" spans="3:11" ht="15" customHeight="1">
      <c r="C129" s="444"/>
      <c r="D129" s="444"/>
      <c r="E129" s="444"/>
      <c r="F129" s="444"/>
      <c r="G129" s="444"/>
      <c r="H129" s="444"/>
      <c r="I129" s="444"/>
      <c r="J129" s="444"/>
      <c r="K129" s="444"/>
    </row>
    <row r="130" spans="3:11" ht="15" customHeight="1">
      <c r="C130" s="444"/>
      <c r="D130" s="444"/>
      <c r="E130" s="444"/>
      <c r="F130" s="444"/>
      <c r="G130" s="444"/>
      <c r="H130" s="444"/>
      <c r="I130" s="444"/>
      <c r="J130" s="444"/>
      <c r="K130" s="444"/>
    </row>
    <row r="131" spans="3:11" ht="15" customHeight="1">
      <c r="C131" s="444"/>
      <c r="D131" s="444"/>
      <c r="E131" s="444"/>
      <c r="F131" s="444"/>
      <c r="G131" s="444"/>
      <c r="H131" s="444"/>
      <c r="I131" s="444"/>
      <c r="J131" s="444"/>
      <c r="K131" s="444"/>
    </row>
    <row r="132" spans="3:11" ht="15" customHeight="1">
      <c r="C132" s="444"/>
      <c r="D132" s="444"/>
      <c r="E132" s="444"/>
      <c r="F132" s="444"/>
      <c r="G132" s="444"/>
      <c r="H132" s="444"/>
      <c r="I132" s="444"/>
      <c r="J132" s="444"/>
      <c r="K132" s="444"/>
    </row>
    <row r="133" spans="3:11" ht="15" customHeight="1">
      <c r="C133" s="444"/>
      <c r="D133" s="444"/>
      <c r="E133" s="444"/>
      <c r="F133" s="444"/>
      <c r="G133" s="444"/>
      <c r="H133" s="444"/>
      <c r="I133" s="444"/>
      <c r="J133" s="444"/>
      <c r="K133" s="444"/>
    </row>
    <row r="134" spans="3:11" ht="15" customHeight="1">
      <c r="C134" s="444"/>
      <c r="D134" s="444"/>
      <c r="E134" s="444"/>
      <c r="F134" s="444"/>
      <c r="G134" s="444"/>
      <c r="H134" s="444"/>
      <c r="I134" s="444"/>
      <c r="J134" s="444"/>
      <c r="K134" s="444"/>
    </row>
    <row r="135" spans="3:11" ht="15" customHeight="1"/>
  </sheetData>
  <mergeCells count="17">
    <mergeCell ref="C25:E25"/>
    <mergeCell ref="C26:E26"/>
    <mergeCell ref="C27:E27"/>
    <mergeCell ref="C28:E28"/>
    <mergeCell ref="C29:E29"/>
    <mergeCell ref="C23:E23"/>
    <mergeCell ref="C24:E24"/>
    <mergeCell ref="C15:K15"/>
    <mergeCell ref="C6:D6"/>
    <mergeCell ref="E6:F6"/>
    <mergeCell ref="C8:D8"/>
    <mergeCell ref="E8:F8"/>
    <mergeCell ref="C17:F17"/>
    <mergeCell ref="C19:E19"/>
    <mergeCell ref="C20:E20"/>
    <mergeCell ref="C21:E21"/>
    <mergeCell ref="C22:E22"/>
  </mergeCells>
  <pageMargins left="0.70866141732283472" right="0.70866141732283472" top="0.74803149606299213" bottom="0.74803149606299213" header="0.31496062992125984" footer="0.31496062992125984"/>
  <pageSetup paperSize="9" scale="65"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0DA39-6E2B-4EE6-B1A0-F7907BA22DAC}">
  <sheetPr codeName="Hoja56"/>
  <dimension ref="A1:L463"/>
  <sheetViews>
    <sheetView showGridLines="0" showRowColHeaders="0" zoomScaleNormal="100" workbookViewId="0">
      <pane ySplit="8" topLeftCell="A9" activePane="bottomLeft" state="frozen"/>
      <selection pane="bottomLeft"/>
    </sheetView>
  </sheetViews>
  <sheetFormatPr baseColWidth="10" defaultRowHeight="14.4" zeroHeight="1"/>
  <cols>
    <col min="1" max="1" width="14.44140625" style="20" customWidth="1"/>
    <col min="2" max="2" width="40.44140625" style="9" customWidth="1"/>
    <col min="3" max="3" width="22" customWidth="1"/>
    <col min="4" max="4" width="19" customWidth="1"/>
    <col min="5" max="5" width="29.5546875" customWidth="1"/>
    <col min="6" max="6" width="28.5546875" customWidth="1"/>
    <col min="7" max="7" width="17.109375" customWidth="1"/>
    <col min="8" max="8" width="51.88671875" customWidth="1"/>
  </cols>
  <sheetData>
    <row r="1" spans="1:8"/>
    <row r="2" spans="1:8" ht="30" customHeight="1">
      <c r="B2" s="2285" t="s">
        <v>1966</v>
      </c>
      <c r="C2" s="2286"/>
    </row>
    <row r="3" spans="1:8" ht="11.25" customHeight="1">
      <c r="B3" s="2139"/>
      <c r="C3" s="2143"/>
    </row>
    <row r="4" spans="1:8" ht="21">
      <c r="A4" s="2312">
        <f>+MENU!D5</f>
        <v>6578</v>
      </c>
      <c r="B4" s="2313"/>
      <c r="C4" s="2285" t="str">
        <f>+MENU!E5</f>
        <v>MARIO PILATO BLAT, S.A.</v>
      </c>
      <c r="D4" s="2286"/>
      <c r="E4" s="2139"/>
      <c r="F4" s="2139"/>
      <c r="G4" s="2139"/>
    </row>
    <row r="5" spans="1:8" ht="21">
      <c r="A5" s="2314" t="str">
        <f>+MENU!C7</f>
        <v>Fecha cierre</v>
      </c>
      <c r="B5" s="2315"/>
      <c r="C5" s="2299">
        <f>+MENU!D7</f>
        <v>45657</v>
      </c>
      <c r="D5" s="2300"/>
      <c r="E5" s="2132"/>
      <c r="F5" s="2011" t="s">
        <v>1863</v>
      </c>
      <c r="G5" s="2012" t="s">
        <v>1670</v>
      </c>
    </row>
    <row r="6" spans="1:8">
      <c r="A6" s="2119"/>
      <c r="B6" s="5"/>
      <c r="D6" s="1145"/>
      <c r="E6" s="1145"/>
      <c r="F6" s="1145"/>
      <c r="G6" s="1145"/>
    </row>
    <row r="7" spans="1:8">
      <c r="B7" s="2042">
        <f>+SYS_4_3_Digitos!F3</f>
        <v>45657</v>
      </c>
      <c r="C7" s="2281" t="str">
        <f>+SYS_4_3_Digitos!I3</f>
        <v xml:space="preserve"> SALDOS AJUSTADOS (BCE. FINAL)</v>
      </c>
      <c r="D7" s="2281"/>
      <c r="E7" s="2044"/>
      <c r="F7" s="2044"/>
      <c r="G7" s="2044"/>
      <c r="H7" s="2044"/>
    </row>
    <row r="8" spans="1:8">
      <c r="A8" s="19" t="str">
        <f>+SYS_4_3_Digitos!A4</f>
        <v>Cuenta</v>
      </c>
      <c r="B8" s="10" t="str">
        <f>+SYS_4_3_Digitos!B4</f>
        <v>Título</v>
      </c>
      <c r="C8" s="2043" t="str">
        <f>+SYS_4_3_Digitos!I4</f>
        <v>DEBE</v>
      </c>
      <c r="D8" s="2043" t="str">
        <f>+SYS_4_3_Digitos!J4</f>
        <v>HABER</v>
      </c>
      <c r="E8" s="2133" t="s">
        <v>1973</v>
      </c>
      <c r="F8" s="2133" t="s">
        <v>1974</v>
      </c>
      <c r="G8" s="2133" t="s">
        <v>1956</v>
      </c>
      <c r="H8" s="2133" t="s">
        <v>1849</v>
      </c>
    </row>
    <row r="9" spans="1:8">
      <c r="A9" s="2080">
        <f>+SYS_4_3_Digitos!A44</f>
        <v>1633</v>
      </c>
      <c r="B9" s="2081" t="str">
        <f>+SYS_4_3_Digitos!B44</f>
        <v>OTRAS DEUDAS A LP CON EMPRESAS DEL GRUPO</v>
      </c>
      <c r="C9" s="2082">
        <f ca="1">+SYS_4_3_Digitos!I44</f>
        <v>0</v>
      </c>
      <c r="D9" s="2134">
        <f ca="1">+SYS_4_3_Digitos!J44</f>
        <v>0</v>
      </c>
      <c r="E9" s="2136"/>
      <c r="F9" s="2136"/>
      <c r="G9" s="2136"/>
      <c r="H9" s="2136"/>
    </row>
    <row r="10" spans="1:8">
      <c r="A10" s="2080">
        <f>+SYS_4_3_Digitos!A45</f>
        <v>1634</v>
      </c>
      <c r="B10" s="2081" t="str">
        <f>+SYS_4_3_Digitos!B45</f>
        <v>OTRAS DEUDAS A LP CON EMPRESAS ASOCIADAS</v>
      </c>
      <c r="C10" s="2082">
        <f ca="1">+SYS_4_3_Digitos!I45</f>
        <v>0</v>
      </c>
      <c r="D10" s="2134">
        <f ca="1">+SYS_4_3_Digitos!J45</f>
        <v>0</v>
      </c>
      <c r="E10" s="2137"/>
      <c r="F10" s="2137"/>
      <c r="G10" s="2137"/>
      <c r="H10" s="2137"/>
    </row>
    <row r="11" spans="1:8">
      <c r="A11" s="2080">
        <f>+SYS_4_3_Digitos!A46</f>
        <v>1635</v>
      </c>
      <c r="B11" s="2081" t="str">
        <f>+SYS_4_3_Digitos!B46</f>
        <v>OTRAS DEUDAS A LP CON OTRAS PARTES VINCULADAS</v>
      </c>
      <c r="C11" s="2082">
        <f ca="1">+SYS_4_3_Digitos!I46</f>
        <v>0</v>
      </c>
      <c r="D11" s="2134">
        <f ca="1">+SYS_4_3_Digitos!J46</f>
        <v>0</v>
      </c>
      <c r="E11" s="2137"/>
      <c r="F11" s="2137"/>
      <c r="G11" s="2137"/>
      <c r="H11" s="2137"/>
    </row>
    <row r="12" spans="1:8">
      <c r="A12" s="2080">
        <f>+SYS_4_3_Digitos!A97</f>
        <v>2423</v>
      </c>
      <c r="B12" s="2081" t="str">
        <f>+SYS_4_3_Digitos!B97</f>
        <v>CRÉDITOS A LP A EMPRESAS DEL GRUPO</v>
      </c>
      <c r="C12" s="2082">
        <f ca="1">+SYS_4_3_Digitos!I97</f>
        <v>0</v>
      </c>
      <c r="D12" s="2134">
        <f ca="1">+SYS_4_3_Digitos!J97</f>
        <v>0</v>
      </c>
      <c r="E12" s="2138"/>
      <c r="F12" s="2138"/>
      <c r="G12" s="2138"/>
      <c r="H12" s="2138"/>
    </row>
    <row r="13" spans="1:8">
      <c r="A13" s="2080">
        <f>+SYS_4_3_Digitos!A98</f>
        <v>2424</v>
      </c>
      <c r="B13" s="2081" t="str">
        <f>+SYS_4_3_Digitos!B98</f>
        <v>CRÉDITOS A LP A EMPRESAS ASOCIADAS</v>
      </c>
      <c r="C13" s="2082">
        <f ca="1">+SYS_4_3_Digitos!I98</f>
        <v>0</v>
      </c>
      <c r="D13" s="2134">
        <f ca="1">+SYS_4_3_Digitos!J98</f>
        <v>0</v>
      </c>
      <c r="E13" s="2138"/>
      <c r="F13" s="2138"/>
      <c r="G13" s="2138"/>
      <c r="H13" s="2138"/>
    </row>
    <row r="14" spans="1:8">
      <c r="A14" s="2080">
        <f>+SYS_4_3_Digitos!A99</f>
        <v>2425</v>
      </c>
      <c r="B14" s="2081" t="str">
        <f>+SYS_4_3_Digitos!B99</f>
        <v>CRÉDITOS A LP A OTRAS VINCULADAS</v>
      </c>
      <c r="C14" s="2082">
        <f ca="1">+SYS_4_3_Digitos!I99</f>
        <v>0</v>
      </c>
      <c r="D14" s="2134">
        <f ca="1">+SYS_4_3_Digitos!J99</f>
        <v>0</v>
      </c>
      <c r="E14" s="2138"/>
      <c r="F14" s="2138"/>
      <c r="G14" s="2138"/>
      <c r="H14" s="2138"/>
    </row>
    <row r="15" spans="1:8">
      <c r="A15" s="2080">
        <f>+SYS_4_3_Digitos!A195</f>
        <v>5133</v>
      </c>
      <c r="B15" s="2081" t="str">
        <f>+SYS_4_3_Digitos!B195</f>
        <v>OTRAS DEUDAS A CP CON EMPRESAS DEL GRUPO</v>
      </c>
      <c r="C15" s="2082">
        <f ca="1">+SYS_4_3_Digitos!I195</f>
        <v>0</v>
      </c>
      <c r="D15" s="2134">
        <f ca="1">+SYS_4_3_Digitos!J195</f>
        <v>0</v>
      </c>
      <c r="E15" s="2138"/>
      <c r="F15" s="2138"/>
      <c r="G15" s="2138"/>
      <c r="H15" s="2138"/>
    </row>
    <row r="16" spans="1:8">
      <c r="A16" s="2080">
        <f>+SYS_4_3_Digitos!A196</f>
        <v>5134</v>
      </c>
      <c r="B16" s="2081" t="str">
        <f>+SYS_4_3_Digitos!B196</f>
        <v>OTRAS DEUDAS A CP CON EMPRESAS ASOCIADAS</v>
      </c>
      <c r="C16" s="2082">
        <f ca="1">+SYS_4_3_Digitos!I196</f>
        <v>0</v>
      </c>
      <c r="D16" s="2134">
        <f ca="1">+SYS_4_3_Digitos!J196</f>
        <v>0</v>
      </c>
      <c r="E16" s="2138"/>
      <c r="F16" s="2138"/>
      <c r="G16" s="2138"/>
      <c r="H16" s="2138"/>
    </row>
    <row r="17" spans="1:12">
      <c r="A17" s="2080">
        <f>+SYS_4_3_Digitos!A197</f>
        <v>5135</v>
      </c>
      <c r="B17" s="2081" t="str">
        <f>+SYS_4_3_Digitos!B197</f>
        <v>OTRAS DEUDAS A CP CON OTRAS PARTES VINCULADAS</v>
      </c>
      <c r="C17" s="2082">
        <f ca="1">+SYS_4_3_Digitos!I197</f>
        <v>0</v>
      </c>
      <c r="D17" s="2134">
        <f ca="1">+SYS_4_3_Digitos!J197</f>
        <v>0</v>
      </c>
      <c r="E17" s="2138"/>
      <c r="F17" s="2138"/>
      <c r="G17" s="2138"/>
      <c r="H17" s="2138"/>
    </row>
    <row r="18" spans="1:12">
      <c r="A18" s="2080">
        <f>+SYS_4_3_Digitos!A198</f>
        <v>5145</v>
      </c>
      <c r="B18" s="2081" t="str">
        <f>+SYS_4_3_Digitos!B198</f>
        <v>INTERESES A CP DE DEUDAS CON PARTES VINCULADAS</v>
      </c>
      <c r="C18" s="2082">
        <f ca="1">+SYS_4_3_Digitos!I198</f>
        <v>0</v>
      </c>
      <c r="D18" s="2134">
        <f ca="1">+SYS_4_3_Digitos!J198</f>
        <v>0</v>
      </c>
      <c r="E18" s="2138"/>
      <c r="F18" s="2138"/>
      <c r="G18" s="2138"/>
      <c r="H18" s="2138"/>
    </row>
    <row r="19" spans="1:12">
      <c r="A19" s="2080">
        <f>+SYS_4_3_Digitos!A209</f>
        <v>5303</v>
      </c>
      <c r="B19" s="2081" t="str">
        <f>+SYS_4_3_Digitos!B209</f>
        <v>PARTICIPACIONES A CP EN EMPRESAS DEL GRUPO</v>
      </c>
      <c r="C19" s="2082">
        <f ca="1">+SYS_4_3_Digitos!I209</f>
        <v>0</v>
      </c>
      <c r="D19" s="2134">
        <f ca="1">+SYS_4_3_Digitos!J209</f>
        <v>0</v>
      </c>
      <c r="E19" s="2138"/>
      <c r="F19" s="2138"/>
      <c r="G19" s="2138"/>
      <c r="H19" s="2138"/>
    </row>
    <row r="20" spans="1:12">
      <c r="A20" s="2080">
        <f>+SYS_4_3_Digitos!A210</f>
        <v>5304</v>
      </c>
      <c r="B20" s="2081" t="str">
        <f>+SYS_4_3_Digitos!B210</f>
        <v>PARTICIPACIONES A CP EN EMPRESAS ASOCIADAS</v>
      </c>
      <c r="C20" s="2082">
        <f ca="1">+SYS_4_3_Digitos!I210</f>
        <v>0</v>
      </c>
      <c r="D20" s="2134">
        <f ca="1">+SYS_4_3_Digitos!J210</f>
        <v>0</v>
      </c>
      <c r="E20" s="2138"/>
      <c r="F20" s="2138"/>
      <c r="G20" s="2138"/>
      <c r="H20" s="2138"/>
    </row>
    <row r="21" spans="1:12">
      <c r="A21" s="2080">
        <f>+SYS_4_3_Digitos!A211</f>
        <v>5305</v>
      </c>
      <c r="B21" s="2081" t="str">
        <f>+SYS_4_3_Digitos!B211</f>
        <v>PARTICIPACIONES A CP EN OTRAS PARTES VINCULADAS</v>
      </c>
      <c r="C21" s="2082">
        <f ca="1">+SYS_4_3_Digitos!I211</f>
        <v>0</v>
      </c>
      <c r="D21" s="2134">
        <f ca="1">+SYS_4_3_Digitos!J211</f>
        <v>0</v>
      </c>
      <c r="E21" s="2138"/>
      <c r="F21" s="2138"/>
      <c r="G21" s="2138"/>
      <c r="H21" s="2138"/>
    </row>
    <row r="22" spans="1:12">
      <c r="A22" s="2080">
        <f>+SYS_4_3_Digitos!A212</f>
        <v>5323</v>
      </c>
      <c r="B22" s="2081" t="str">
        <f>+SYS_4_3_Digitos!B212</f>
        <v>CRÉDITOS A CP A EMPRESAS DEL GRUPO</v>
      </c>
      <c r="C22" s="2082">
        <f ca="1">+SYS_4_3_Digitos!I212</f>
        <v>0</v>
      </c>
      <c r="D22" s="2134">
        <f ca="1">+SYS_4_3_Digitos!J212</f>
        <v>0</v>
      </c>
      <c r="E22" s="2138"/>
      <c r="F22" s="2138"/>
      <c r="G22" s="2138"/>
      <c r="H22" s="2138"/>
    </row>
    <row r="23" spans="1:12">
      <c r="A23" s="2080">
        <f>+SYS_4_3_Digitos!A213</f>
        <v>5324</v>
      </c>
      <c r="B23" s="2081" t="str">
        <f>+SYS_4_3_Digitos!B213</f>
        <v>CRÉDITOS A CP A EMPRESAS ASOCIADAS</v>
      </c>
      <c r="C23" s="2082">
        <f ca="1">+SYS_4_3_Digitos!I213</f>
        <v>0</v>
      </c>
      <c r="D23" s="2134">
        <f ca="1">+SYS_4_3_Digitos!J213</f>
        <v>0</v>
      </c>
      <c r="E23" s="2138"/>
      <c r="F23" s="2138"/>
      <c r="G23" s="2138"/>
      <c r="H23" s="2138"/>
    </row>
    <row r="24" spans="1:12">
      <c r="A24" s="2080">
        <f>+SYS_4_3_Digitos!A214</f>
        <v>5325</v>
      </c>
      <c r="B24" s="2081" t="str">
        <f>+SYS_4_3_Digitos!B214</f>
        <v>CRÉDITOS A CP A OTRAS PARTES VINCULADAS</v>
      </c>
      <c r="C24" s="2082">
        <f ca="1">+SYS_4_3_Digitos!I214</f>
        <v>0</v>
      </c>
      <c r="D24" s="2134">
        <f ca="1">+SYS_4_3_Digitos!J214</f>
        <v>0</v>
      </c>
      <c r="E24" s="2138"/>
      <c r="F24" s="2138"/>
      <c r="G24" s="2138"/>
      <c r="H24" s="2138"/>
    </row>
    <row r="25" spans="1:12">
      <c r="A25" s="2080">
        <f>+SYS_4_3_Digitos!A215</f>
        <v>5345</v>
      </c>
      <c r="B25" s="2081" t="str">
        <f>+SYS_4_3_Digitos!B215</f>
        <v>INTERESES A CP A CRÉDITOS A PARTES VINCULADAS</v>
      </c>
      <c r="C25" s="2082">
        <f ca="1">+SYS_4_3_Digitos!I215</f>
        <v>0</v>
      </c>
      <c r="D25" s="2134">
        <f ca="1">+SYS_4_3_Digitos!J215</f>
        <v>0</v>
      </c>
      <c r="E25" s="2138"/>
      <c r="F25" s="2138"/>
      <c r="G25" s="2138"/>
      <c r="H25" s="2138"/>
    </row>
    <row r="26" spans="1:12">
      <c r="A26" s="2080">
        <f>+SYS_4_3_Digitos!A226</f>
        <v>550</v>
      </c>
      <c r="B26" s="2081" t="str">
        <f>+SYS_4_3_Digitos!B226</f>
        <v>TITULAR DE LA EXPLOTACIÓN</v>
      </c>
      <c r="C26" s="2082">
        <f ca="1">+SYS_4_3_Digitos!I226</f>
        <v>0</v>
      </c>
      <c r="D26" s="2134">
        <f ca="1">+SYS_4_3_Digitos!J226</f>
        <v>0</v>
      </c>
      <c r="E26" s="2138"/>
      <c r="F26" s="2138"/>
      <c r="G26" s="2138"/>
      <c r="H26" s="2138"/>
    </row>
    <row r="27" spans="1:12">
      <c r="A27" s="1318">
        <f>+SYS_4_3_Digitos!A227</f>
        <v>551</v>
      </c>
      <c r="B27" s="1319" t="str">
        <f>+SYS_4_3_Digitos!B227</f>
        <v>CUENTA CORRIENTE CON SOCIOS Y ADMINISTRADORES</v>
      </c>
      <c r="C27" s="1322">
        <f ca="1">+SYS_4_3_Digitos!I227</f>
        <v>0</v>
      </c>
      <c r="D27" s="2135">
        <f ca="1">+SYS_4_3_Digitos!J227</f>
        <v>0</v>
      </c>
      <c r="E27" s="2138"/>
      <c r="F27" s="2138"/>
      <c r="G27" s="2138"/>
      <c r="H27" s="2138"/>
    </row>
    <row r="28" spans="1:12">
      <c r="A28" s="2080">
        <f>+SYS_4_3_Digitos!A228</f>
        <v>5523</v>
      </c>
      <c r="B28" s="2081" t="str">
        <f>+SYS_4_3_Digitos!B228</f>
        <v>CUENTA CORRIENTE CON EMPRESAS DEL GRUPO</v>
      </c>
      <c r="C28" s="2082">
        <f ca="1">+SYS_4_3_Digitos!I228</f>
        <v>0</v>
      </c>
      <c r="D28" s="2134">
        <f ca="1">+SYS_4_3_Digitos!J228</f>
        <v>0</v>
      </c>
      <c r="E28" s="2138"/>
      <c r="F28" s="2138"/>
      <c r="G28" s="2138"/>
      <c r="H28" s="2138"/>
    </row>
    <row r="29" spans="1:12">
      <c r="A29" s="2080">
        <f>+SYS_4_3_Digitos!A229</f>
        <v>5524</v>
      </c>
      <c r="B29" s="2081" t="str">
        <f>+SYS_4_3_Digitos!B229</f>
        <v>CUENTA CORRIENTE CON EMPRESAS ASOCIADAS</v>
      </c>
      <c r="C29" s="2082">
        <f ca="1">+SYS_4_3_Digitos!I229</f>
        <v>0</v>
      </c>
      <c r="D29" s="2134">
        <f ca="1">+SYS_4_3_Digitos!J229</f>
        <v>0</v>
      </c>
      <c r="E29" s="2138"/>
      <c r="F29" s="2138"/>
      <c r="G29" s="2138"/>
      <c r="H29" s="2138"/>
    </row>
    <row r="30" spans="1:12">
      <c r="A30" s="2159">
        <f>+SYS_4_3_Digitos!A230</f>
        <v>5525</v>
      </c>
      <c r="B30" s="2160" t="str">
        <f>+SYS_4_3_Digitos!B230</f>
        <v>CUENTA CORRIENTE CON OTRAS PARTES VINCULADAS</v>
      </c>
      <c r="C30" s="2161">
        <f ca="1">+SYS_4_3_Digitos!I230</f>
        <v>0</v>
      </c>
      <c r="D30" s="2162">
        <f ca="1">+SYS_4_3_Digitos!J230</f>
        <v>0</v>
      </c>
      <c r="E30" s="2138"/>
      <c r="F30" s="2138"/>
      <c r="G30" s="2138"/>
      <c r="H30" s="2138"/>
    </row>
    <row r="31" spans="1:12">
      <c r="A31" s="2140"/>
      <c r="B31" s="2122"/>
      <c r="C31" s="2122"/>
      <c r="D31" s="2122"/>
      <c r="E31" s="2122"/>
      <c r="F31" s="2125"/>
      <c r="G31" s="2122"/>
      <c r="H31" s="2126"/>
      <c r="I31" s="444"/>
      <c r="J31" s="444"/>
      <c r="K31" s="444"/>
      <c r="L31" s="444"/>
    </row>
    <row r="32" spans="1:12">
      <c r="A32" s="2127" t="s">
        <v>1951</v>
      </c>
      <c r="B32" s="444"/>
      <c r="C32" s="444"/>
      <c r="D32" s="444"/>
      <c r="E32" s="444"/>
      <c r="F32" s="2128"/>
      <c r="G32" s="444"/>
      <c r="H32" s="2121"/>
      <c r="I32" s="444"/>
      <c r="J32" s="444"/>
      <c r="K32" s="444"/>
      <c r="L32" s="444"/>
    </row>
    <row r="33" spans="1:12">
      <c r="A33" s="2128"/>
      <c r="B33"/>
      <c r="C33" s="2010"/>
      <c r="D33" s="444"/>
      <c r="E33" s="444"/>
      <c r="F33" s="2128"/>
      <c r="G33" s="444"/>
      <c r="H33" s="2121"/>
      <c r="I33" s="1991"/>
      <c r="J33" s="444"/>
      <c r="K33" s="2010"/>
      <c r="L33" s="444"/>
    </row>
    <row r="34" spans="1:12">
      <c r="A34" s="2128" t="s">
        <v>1960</v>
      </c>
      <c r="B34"/>
      <c r="C34" s="444"/>
      <c r="D34" s="444"/>
      <c r="E34" s="444"/>
      <c r="F34" s="2128"/>
      <c r="G34" s="444"/>
      <c r="H34" s="2121"/>
      <c r="I34" s="444"/>
      <c r="J34" s="444"/>
      <c r="K34" s="444"/>
      <c r="L34" s="444"/>
    </row>
    <row r="35" spans="1:12">
      <c r="A35" s="2128" t="s">
        <v>1959</v>
      </c>
      <c r="B35" s="444"/>
      <c r="C35" s="444"/>
      <c r="D35" s="444"/>
      <c r="E35" s="444"/>
      <c r="F35" s="2128"/>
      <c r="G35" s="444"/>
      <c r="H35" s="2121"/>
      <c r="I35" s="444"/>
      <c r="J35" s="444"/>
      <c r="K35" s="444"/>
      <c r="L35" s="444"/>
    </row>
    <row r="36" spans="1:12">
      <c r="A36" s="2128" t="s">
        <v>1953</v>
      </c>
      <c r="B36" s="444"/>
      <c r="C36" s="444"/>
      <c r="D36" s="444"/>
      <c r="E36" s="444"/>
      <c r="F36" s="2128"/>
      <c r="G36" s="444"/>
      <c r="H36" s="2121"/>
      <c r="I36" s="444"/>
      <c r="J36" s="444"/>
      <c r="K36" s="444"/>
      <c r="L36" s="444"/>
    </row>
    <row r="37" spans="1:12">
      <c r="A37" s="2128"/>
      <c r="B37" s="444"/>
      <c r="C37" s="444"/>
      <c r="D37" s="444"/>
      <c r="E37" s="444"/>
      <c r="F37" s="2128"/>
      <c r="G37" s="444"/>
      <c r="H37" s="2121"/>
      <c r="I37" s="444"/>
      <c r="J37" s="444"/>
      <c r="K37" s="444"/>
      <c r="L37" s="444"/>
    </row>
    <row r="38" spans="1:12">
      <c r="A38" s="2128" t="s">
        <v>1961</v>
      </c>
      <c r="B38" s="444"/>
      <c r="C38" s="444"/>
      <c r="D38" s="444"/>
      <c r="E38" s="444"/>
      <c r="F38" s="2128"/>
      <c r="G38" s="444"/>
      <c r="H38" s="2121"/>
      <c r="I38" s="444"/>
      <c r="J38" s="444"/>
      <c r="K38" s="444"/>
      <c r="L38" s="444"/>
    </row>
    <row r="39" spans="1:12">
      <c r="A39" s="2128" t="s">
        <v>1964</v>
      </c>
      <c r="B39" s="444"/>
      <c r="C39" s="444"/>
      <c r="D39" s="444"/>
      <c r="E39" s="444"/>
      <c r="F39" s="2128"/>
      <c r="G39" s="444"/>
      <c r="H39" s="2121"/>
      <c r="I39" s="444"/>
      <c r="J39" s="444"/>
      <c r="K39" s="444"/>
      <c r="L39" s="444"/>
    </row>
    <row r="40" spans="1:12">
      <c r="A40" s="2128" t="s">
        <v>1955</v>
      </c>
      <c r="B40" s="444"/>
      <c r="C40" s="444"/>
      <c r="D40" s="444"/>
      <c r="E40" s="444"/>
      <c r="F40" s="2128"/>
      <c r="G40" s="444"/>
      <c r="H40" s="2121"/>
      <c r="I40" s="444"/>
      <c r="J40" s="444"/>
      <c r="K40" s="444"/>
      <c r="L40" s="444"/>
    </row>
    <row r="41" spans="1:12">
      <c r="A41" s="2128" t="s">
        <v>1963</v>
      </c>
      <c r="B41" s="444"/>
      <c r="C41" s="444"/>
      <c r="D41" s="444"/>
      <c r="E41" s="444"/>
      <c r="F41" s="2128"/>
      <c r="G41" s="444"/>
      <c r="H41" s="2121"/>
      <c r="I41" s="444"/>
      <c r="J41" s="444"/>
      <c r="K41" s="444"/>
      <c r="L41" s="444"/>
    </row>
    <row r="42" spans="1:12">
      <c r="A42" s="2128" t="s">
        <v>1962</v>
      </c>
      <c r="B42" s="444"/>
      <c r="C42" s="444"/>
      <c r="D42" s="444"/>
      <c r="E42" s="444"/>
      <c r="F42" s="2128"/>
      <c r="G42" s="444"/>
      <c r="H42" s="2121"/>
      <c r="I42" s="444"/>
      <c r="J42" s="444"/>
      <c r="K42" s="444"/>
      <c r="L42" s="444"/>
    </row>
    <row r="43" spans="1:12">
      <c r="A43" s="2128" t="s">
        <v>1954</v>
      </c>
      <c r="B43" s="444"/>
      <c r="C43" s="444"/>
      <c r="D43" s="444"/>
      <c r="E43" s="444"/>
      <c r="F43" s="2128"/>
      <c r="G43" s="444"/>
      <c r="H43" s="2121"/>
      <c r="I43" s="444"/>
      <c r="J43" s="444"/>
      <c r="K43" s="444"/>
      <c r="L43" s="444"/>
    </row>
    <row r="44" spans="1:12">
      <c r="A44" s="2128"/>
      <c r="B44" s="444"/>
      <c r="C44" s="444"/>
      <c r="D44" s="444"/>
      <c r="E44" s="444"/>
      <c r="F44" s="2128"/>
      <c r="G44" s="444"/>
      <c r="H44" s="2121"/>
      <c r="I44" s="444"/>
      <c r="J44" s="444"/>
      <c r="K44" s="444"/>
      <c r="L44" s="444"/>
    </row>
    <row r="45" spans="1:12">
      <c r="A45" s="2127" t="s">
        <v>1958</v>
      </c>
      <c r="B45" s="444"/>
      <c r="C45" s="444"/>
      <c r="D45" s="444"/>
      <c r="E45" s="444"/>
      <c r="F45" s="2128"/>
      <c r="G45" s="444"/>
      <c r="H45" s="2121"/>
      <c r="I45" s="444"/>
      <c r="J45" s="444"/>
      <c r="K45" s="444"/>
      <c r="L45" s="444"/>
    </row>
    <row r="46" spans="1:12">
      <c r="A46" s="2128"/>
      <c r="B46" s="444"/>
      <c r="C46" s="444"/>
      <c r="D46" s="444"/>
      <c r="E46" s="444"/>
      <c r="F46" s="2128"/>
      <c r="G46" s="444"/>
      <c r="H46" s="2121"/>
      <c r="I46" s="444"/>
      <c r="J46" s="444"/>
      <c r="K46" s="444"/>
      <c r="L46" s="444"/>
    </row>
    <row r="47" spans="1:12">
      <c r="A47" s="2127" t="s">
        <v>1965</v>
      </c>
      <c r="B47" s="444"/>
      <c r="C47" s="444"/>
      <c r="D47" s="444"/>
      <c r="E47" s="444"/>
      <c r="F47" s="2128"/>
      <c r="G47" s="444"/>
      <c r="H47" s="2121"/>
      <c r="I47" s="444"/>
      <c r="J47" s="444"/>
      <c r="K47" s="444"/>
      <c r="L47" s="444"/>
    </row>
    <row r="48" spans="1:12">
      <c r="A48" s="2128"/>
      <c r="B48" s="444"/>
      <c r="C48" s="444"/>
      <c r="D48" s="444"/>
      <c r="E48" s="444"/>
      <c r="F48" s="2128"/>
      <c r="G48" s="444"/>
      <c r="H48" s="2121"/>
      <c r="I48" s="444"/>
      <c r="J48" s="444"/>
      <c r="K48" s="444"/>
      <c r="L48" s="444"/>
    </row>
    <row r="49" spans="1:12">
      <c r="A49" s="2129"/>
      <c r="B49" s="2130"/>
      <c r="C49" s="2130"/>
      <c r="D49" s="2130"/>
      <c r="E49" s="2130"/>
      <c r="F49" s="2129"/>
      <c r="G49" s="2130"/>
      <c r="H49" s="2131"/>
      <c r="I49" s="444"/>
      <c r="J49" s="444"/>
      <c r="K49" s="444"/>
      <c r="L49" s="444"/>
    </row>
    <row r="50" spans="1:12">
      <c r="A50" s="444"/>
      <c r="B50" s="444"/>
      <c r="C50" s="444"/>
      <c r="D50" s="444"/>
      <c r="E50" s="444"/>
      <c r="F50" s="444"/>
      <c r="G50" s="444"/>
      <c r="H50" s="444"/>
      <c r="I50" s="444"/>
      <c r="J50" s="444"/>
      <c r="K50" s="444"/>
      <c r="L50" s="444"/>
    </row>
    <row r="51" spans="1:12">
      <c r="A51" s="444"/>
      <c r="B51" s="444"/>
      <c r="C51" s="444"/>
      <c r="D51" s="444"/>
      <c r="E51" s="444"/>
      <c r="F51" s="444"/>
      <c r="G51" s="444"/>
      <c r="H51" s="444"/>
      <c r="I51" s="444"/>
      <c r="J51" s="444"/>
      <c r="K51" s="444"/>
      <c r="L51" s="444"/>
    </row>
    <row r="52" spans="1:12">
      <c r="A52" s="444"/>
      <c r="B52" s="444"/>
      <c r="C52" s="444"/>
      <c r="D52" s="444"/>
      <c r="E52" s="444"/>
      <c r="F52" s="444"/>
      <c r="G52" s="444"/>
      <c r="H52" s="444"/>
      <c r="I52" s="444"/>
      <c r="J52" s="444"/>
      <c r="K52" s="444"/>
      <c r="L52" s="444"/>
    </row>
    <row r="53" spans="1:12">
      <c r="A53" s="1996"/>
      <c r="B53" s="444"/>
      <c r="C53" s="444"/>
      <c r="D53" s="444"/>
      <c r="E53" s="444"/>
      <c r="F53" s="444"/>
      <c r="G53" s="444"/>
      <c r="H53" s="444"/>
      <c r="I53" s="444"/>
      <c r="J53" s="444"/>
      <c r="K53" s="444"/>
      <c r="L53" s="444"/>
    </row>
    <row r="54" spans="1:12">
      <c r="A54" s="1996"/>
      <c r="B54" s="444"/>
      <c r="C54" s="444"/>
      <c r="D54" s="444"/>
      <c r="E54" s="444"/>
      <c r="F54" s="444"/>
      <c r="G54" s="444"/>
      <c r="H54" s="444"/>
      <c r="I54" s="444"/>
      <c r="J54" s="444"/>
      <c r="K54" s="444"/>
      <c r="L54" s="444"/>
    </row>
    <row r="55" spans="1:12"/>
    <row r="56" spans="1:12"/>
    <row r="57" spans="1:12"/>
    <row r="58" spans="1:12"/>
    <row r="59" spans="1:12"/>
    <row r="60" spans="1:12"/>
    <row r="61" spans="1:12"/>
    <row r="62" spans="1:12"/>
    <row r="63" spans="1:12"/>
    <row r="64" spans="1:12"/>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sheetData>
  <mergeCells count="6">
    <mergeCell ref="B2:C2"/>
    <mergeCell ref="C7:D7"/>
    <mergeCell ref="A4:B4"/>
    <mergeCell ref="C4:D4"/>
    <mergeCell ref="A5:B5"/>
    <mergeCell ref="C5:D5"/>
  </mergeCells>
  <conditionalFormatting sqref="A9:G30">
    <cfRule type="expression" dxfId="507" priority="5">
      <formula>A9=""</formula>
    </cfRule>
  </conditionalFormatting>
  <conditionalFormatting sqref="H9:H30">
    <cfRule type="expression" dxfId="506" priority="1">
      <formula>H9=""</formula>
    </cfRule>
  </conditionalFormatting>
  <pageMargins left="0.70866141732283472" right="0.70866141732283472" top="0.74803149606299213" bottom="0.74803149606299213" header="0.31496062992125984" footer="0.31496062992125984"/>
  <pageSetup paperSize="9" scale="60" orientation="landscape" r:id="rId1"/>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9">
    <pageSetUpPr autoPageBreaks="0"/>
  </sheetPr>
  <dimension ref="C1:XEF2109"/>
  <sheetViews>
    <sheetView showGridLines="0" showRowColHeaders="0" zoomScale="70" zoomScaleNormal="70" zoomScaleSheetLayoutView="85" zoomScalePageLayoutView="55" workbookViewId="0">
      <pane xSplit="3" ySplit="10" topLeftCell="D43" activePane="bottomRight" state="frozen"/>
      <selection activeCell="G9" sqref="G9"/>
      <selection pane="topRight" activeCell="G9" sqref="G9"/>
      <selection pane="bottomLeft" activeCell="G9" sqref="G9"/>
      <selection pane="bottomRight" activeCell="C13" sqref="C13"/>
    </sheetView>
  </sheetViews>
  <sheetFormatPr baseColWidth="10" defaultColWidth="0" defaultRowHeight="15" customHeight="1" zeroHeight="1" outlineLevelRow="1" outlineLevelCol="1"/>
  <cols>
    <col min="1" max="2" width="2" customWidth="1"/>
    <col min="3" max="3" width="65" customWidth="1"/>
    <col min="4" max="4" width="13" customWidth="1"/>
    <col min="5" max="5" width="19.44140625" customWidth="1"/>
    <col min="6" max="6" width="23" customWidth="1"/>
    <col min="7" max="8" width="19" customWidth="1"/>
    <col min="9" max="10" width="17.5546875" customWidth="1"/>
    <col min="11" max="11" width="20" customWidth="1"/>
    <col min="12" max="12" width="17" bestFit="1" customWidth="1"/>
    <col min="13" max="13" width="5" customWidth="1"/>
    <col min="14" max="14" width="19.5546875" customWidth="1" outlineLevel="1"/>
    <col min="15" max="15" width="1.44140625" customWidth="1" outlineLevel="1"/>
    <col min="16" max="16" width="21" customWidth="1" outlineLevel="1"/>
    <col min="17" max="17" width="9" style="13" customWidth="1"/>
    <col min="18" max="18" width="4.5546875" hidden="1" customWidth="1"/>
    <col min="19" max="20" width="11.44140625" hidden="1" customWidth="1"/>
    <col min="21" max="21" width="46" hidden="1" customWidth="1"/>
    <col min="22" max="22" width="40" hidden="1" customWidth="1"/>
    <col min="23" max="23" width="16" hidden="1" customWidth="1"/>
    <col min="24" max="25" width="11.44140625" hidden="1" customWidth="1"/>
    <col min="26" max="26" width="49" hidden="1" customWidth="1"/>
    <col min="27" max="27" width="47.5546875" hidden="1" customWidth="1"/>
    <col min="28" max="28" width="18" hidden="1" customWidth="1"/>
    <col min="29" max="16360" width="11.44140625" hidden="1"/>
  </cols>
  <sheetData>
    <row r="1" spans="3:17" ht="15" customHeight="1"/>
    <row r="2" spans="3:17" ht="9" customHeight="1"/>
    <row r="3" spans="3:17" ht="5.25" customHeight="1">
      <c r="C3" s="1"/>
    </row>
    <row r="4" spans="3:17" ht="5.25" customHeight="1"/>
    <row r="5" spans="3:17" ht="21">
      <c r="C5" s="35" t="str">
        <f>+MENU!C5</f>
        <v>Sociedad:</v>
      </c>
      <c r="D5" s="2254" t="str">
        <f>+MENU!E5</f>
        <v>MARIO PILATO BLAT, S.A.</v>
      </c>
      <c r="E5" s="2255"/>
      <c r="F5" s="2255"/>
      <c r="J5" s="40"/>
      <c r="M5" s="12"/>
      <c r="P5" s="14"/>
      <c r="Q5"/>
    </row>
    <row r="6" spans="3:17" ht="12.75" customHeight="1">
      <c r="P6" s="13"/>
      <c r="Q6"/>
    </row>
    <row r="7" spans="3:17" ht="18">
      <c r="C7" s="35" t="str">
        <f>+instrucciones!$C$7</f>
        <v>Fecha de cierre</v>
      </c>
      <c r="D7" s="2261">
        <f>+MENU!D7</f>
        <v>45657</v>
      </c>
      <c r="E7" s="2261"/>
      <c r="F7" s="2261"/>
      <c r="I7" s="34"/>
      <c r="P7" s="13"/>
      <c r="Q7"/>
    </row>
    <row r="8" spans="3:17" ht="15" customHeight="1">
      <c r="C8" s="2"/>
      <c r="E8" s="3"/>
      <c r="F8" s="3"/>
      <c r="G8" s="3"/>
      <c r="H8" s="3"/>
      <c r="I8" s="3"/>
      <c r="J8" s="3"/>
    </row>
    <row r="9" spans="3:17" ht="15" customHeight="1"/>
    <row r="10" spans="3:17" ht="15" customHeight="1"/>
    <row r="11" spans="3:17" ht="14.4">
      <c r="Q11"/>
    </row>
    <row r="12" spans="3:17" ht="6" customHeight="1">
      <c r="Q12"/>
    </row>
    <row r="13" spans="3:17" ht="18">
      <c r="C13" s="11" t="s">
        <v>12</v>
      </c>
      <c r="D13" s="449">
        <f ca="1">+SUM(E56:L56)+P48</f>
        <v>1.3038516044616699E-8</v>
      </c>
      <c r="Q13"/>
    </row>
    <row r="14" spans="3:17" ht="6" customHeight="1">
      <c r="Q14"/>
    </row>
    <row r="15" spans="3:17" s="41" customFormat="1" ht="31.2">
      <c r="C15" s="42" t="s">
        <v>171</v>
      </c>
      <c r="D15" s="42" t="s">
        <v>643</v>
      </c>
      <c r="E15" s="42" t="s">
        <v>635</v>
      </c>
      <c r="F15" s="42" t="s">
        <v>637</v>
      </c>
      <c r="G15" s="42" t="s">
        <v>636</v>
      </c>
      <c r="H15" s="42" t="s">
        <v>638</v>
      </c>
      <c r="I15" s="42" t="s">
        <v>639</v>
      </c>
      <c r="J15" s="42" t="s">
        <v>640</v>
      </c>
      <c r="K15" s="42" t="s">
        <v>1488</v>
      </c>
      <c r="L15" s="42" t="s">
        <v>642</v>
      </c>
      <c r="N15" s="58" t="s">
        <v>645</v>
      </c>
      <c r="P15" s="58" t="s">
        <v>646</v>
      </c>
    </row>
    <row r="16" spans="3:17" ht="7.5" customHeight="1" outlineLevel="1">
      <c r="C16" s="49"/>
      <c r="D16" s="45"/>
      <c r="E16" s="48"/>
      <c r="F16" s="44"/>
      <c r="G16" s="44"/>
      <c r="H16" s="44"/>
      <c r="I16" s="65"/>
      <c r="J16" s="65"/>
      <c r="K16" s="65"/>
      <c r="L16" s="44"/>
      <c r="N16" s="44"/>
      <c r="P16" s="44"/>
      <c r="Q16"/>
    </row>
    <row r="17" spans="3:17" ht="15.6" outlineLevel="1">
      <c r="C17" s="52" t="s">
        <v>348</v>
      </c>
      <c r="D17" s="50">
        <v>210</v>
      </c>
      <c r="E17" s="51">
        <f>IF(D17=0,"",+SUMIF(SYS_4_3_Digitos!$A$5:$A$6004,D17,SYS_4_3_Digitos!$C$5:$C$6004)-+SUMIF(SYS_4_3_Digitos!$A$5:$A$6004,D17,SYS_4_3_Digitos!$D$5:$D$6004))</f>
        <v>1215419.22</v>
      </c>
      <c r="F17" s="51">
        <f>IF($D17=0,"",+SUMIF(Inversiones!$J$16:$J$1700,$D17,Inversiones!$G$16:$G$1700))</f>
        <v>1813.8100000000002</v>
      </c>
      <c r="G17" s="51">
        <f>IF($D17=0,"",+SUMIF(Inversiones!$J$16:$J$1700,$D17,Inversiones!$H$16:$H$1700))</f>
        <v>0</v>
      </c>
      <c r="H17" s="51"/>
      <c r="I17" s="66"/>
      <c r="J17" s="66"/>
      <c r="K17" s="66"/>
      <c r="L17" s="51">
        <f ca="1">IF(D17=0,"",+SUMIF(SYS_4_3_Digitos!$A$5:$A$6004,D17,SYS_4_3_Digitos!$I$5:$I$6004)-+SUMIF(SYS_4_3_Digitos!$A$5:$A$6004,D17,SYS_4_3_Digitos!$J$5:$J$6004))</f>
        <v>1217233.03</v>
      </c>
      <c r="N17" s="51">
        <f>+SUM(E17:K17)</f>
        <v>1217233.03</v>
      </c>
      <c r="P17" s="51">
        <f ca="1">+L17-N17</f>
        <v>0</v>
      </c>
      <c r="Q17"/>
    </row>
    <row r="18" spans="3:17" ht="7.5" customHeight="1" outlineLevel="1">
      <c r="C18" s="53"/>
      <c r="D18" s="45"/>
      <c r="E18" s="48"/>
      <c r="F18" s="48" t="str">
        <f>IF(D18=0,"",+SUMIF(Inversiones!$J$16:$J$1700,D18,Inversiones!$G$16:$G$1700))</f>
        <v/>
      </c>
      <c r="G18" s="48" t="str">
        <f>IF($D18=0,"",+SUMIF(Inversiones!$J$16:$J$1700,$D18,Inversiones!$F$16:$F$1700))</f>
        <v/>
      </c>
      <c r="H18" s="48"/>
      <c r="I18" s="67"/>
      <c r="J18" s="67"/>
      <c r="K18" s="67"/>
      <c r="L18" s="48"/>
      <c r="N18" s="48"/>
      <c r="P18" s="48"/>
      <c r="Q18"/>
    </row>
    <row r="19" spans="3:17" ht="15.6" outlineLevel="1">
      <c r="C19" s="53" t="s">
        <v>349</v>
      </c>
      <c r="D19" s="45">
        <v>211</v>
      </c>
      <c r="E19" s="48">
        <f>IF(D19=0,"",+SUMIF(SYS_4_3_Digitos!$A$5:$A$6004,D19,SYS_4_3_Digitos!$C$5:$C$6004)-+SUMIF(SYS_4_3_Digitos!$A$5:$A$6004,D19,SYS_4_3_Digitos!$D$5:$D$6004))</f>
        <v>4890742.3</v>
      </c>
      <c r="F19" s="48">
        <f>IF(D19=0,"",+SUMIF(Inversiones!$J$16:$J$1700,D19,Inversiones!$G$16:$G$1700))</f>
        <v>14666.220000000001</v>
      </c>
      <c r="G19" s="48">
        <f>IF($D19=0,"",+SUMIF(Inversiones!$J$16:$J$1700,$D19,Inversiones!$H$16:$H$1700))</f>
        <v>0</v>
      </c>
      <c r="H19" s="48"/>
      <c r="I19" s="67"/>
      <c r="J19" s="67"/>
      <c r="K19" s="67"/>
      <c r="L19" s="48">
        <f ca="1">IF(D19=0,"",+SUMIF(SYS_4_3_Digitos!$A$5:$A$6004,D19,SYS_4_3_Digitos!$I$5:$I$6004)-+SUMIF(SYS_4_3_Digitos!$A$5:$A$6004,D19,SYS_4_3_Digitos!$J$5:$J$6004))</f>
        <v>4905408.5199999996</v>
      </c>
      <c r="N19" s="48">
        <f t="shared" ref="N19:N48" si="0">+SUM(E19:K19)</f>
        <v>4905408.5199999996</v>
      </c>
      <c r="P19" s="48">
        <f ca="1">+L19-N19</f>
        <v>0</v>
      </c>
      <c r="Q19"/>
    </row>
    <row r="20" spans="3:17" ht="15.6" outlineLevel="1">
      <c r="C20" s="54" t="s">
        <v>385</v>
      </c>
      <c r="D20" s="50">
        <v>2811</v>
      </c>
      <c r="E20" s="51">
        <f>IF(D20=0,"",-SUMIF(SYS_4_3_Digitos!$A$5:$A$6004,D20,SYS_4_3_Digitos!$C$5:$C$6004)+SUMIF(SYS_4_3_Digitos!$A$5:$A$6004,D20,SYS_4_3_Digitos!$D$5:$D$6004))</f>
        <v>2993059.28</v>
      </c>
      <c r="F20" s="51">
        <f>IF(D20=0,"",+SUMIF(Inversiones!$J$16:$J$1700,D20,Inversiones!$G$16:$G$1700))</f>
        <v>0</v>
      </c>
      <c r="G20" s="51">
        <f>IF($D20=0,"",+SUMIF(Inversiones!$J$16:$J$1700,$D20,Inversiones!$H$16:$H$1700))</f>
        <v>0</v>
      </c>
      <c r="H20" s="51">
        <f ca="1">+L20-E20-SUM(I20:K20)</f>
        <v>135502.88000000035</v>
      </c>
      <c r="I20" s="66"/>
      <c r="J20" s="66"/>
      <c r="K20" s="66"/>
      <c r="L20" s="51">
        <f ca="1">IF(D20=0,"",-SUMIF(SYS_4_3_Digitos!$A$5:$A$6004,D20,SYS_4_3_Digitos!$I$5:$I$6004)+SUMIF(SYS_4_3_Digitos!$A$5:$A$6004,D20,SYS_4_3_Digitos!$J$5:$J$6004))</f>
        <v>3128562.16</v>
      </c>
      <c r="N20" s="51">
        <f t="shared" ca="1" si="0"/>
        <v>3128562.16</v>
      </c>
      <c r="P20" s="51">
        <f ca="1">+L20-N20</f>
        <v>0</v>
      </c>
      <c r="Q20"/>
    </row>
    <row r="21" spans="3:17" ht="7.5" customHeight="1" outlineLevel="1">
      <c r="C21" s="53"/>
      <c r="D21" s="45"/>
      <c r="E21" s="48"/>
      <c r="F21" s="48" t="str">
        <f>IF(D21=0,"",+SUMIF(Inversiones!$J$16:$J$1700,D21,Inversiones!$G$16:$G$1700))</f>
        <v/>
      </c>
      <c r="G21" s="48" t="str">
        <f>IF($D21=0,"",+SUMIF(Inversiones!$J$16:$J$1700,$D21,Inversiones!$F$16:$F$1700))</f>
        <v/>
      </c>
      <c r="H21" s="48"/>
      <c r="I21" s="67"/>
      <c r="J21" s="67"/>
      <c r="K21" s="67"/>
      <c r="L21" s="48"/>
      <c r="N21" s="48"/>
      <c r="P21" s="48"/>
      <c r="Q21"/>
    </row>
    <row r="22" spans="3:17" ht="15.6" outlineLevel="1">
      <c r="C22" s="53" t="s">
        <v>350</v>
      </c>
      <c r="D22" s="45">
        <v>212</v>
      </c>
      <c r="E22" s="48">
        <f>IF(D22=0,"",+SUMIF(SYS_4_3_Digitos!$A$5:$A$6004,D22,SYS_4_3_Digitos!$C$5:$C$6004)-+SUMIF(SYS_4_3_Digitos!$A$5:$A$6004,D22,SYS_4_3_Digitos!$D$5:$D$6004))</f>
        <v>19400570.43</v>
      </c>
      <c r="F22" s="48">
        <f>IF(D22=0,"",+SUMIF(Inversiones!$J$16:$J$1700,D22,Inversiones!$G$16:$G$1700))</f>
        <v>276524.40999999997</v>
      </c>
      <c r="G22" s="48">
        <f>IF($D22=0,"",+SUMIF(Inversiones!$J$16:$J$1700,$D22,Inversiones!$H$16:$H$1700))</f>
        <v>0</v>
      </c>
      <c r="H22" s="48"/>
      <c r="I22" s="67"/>
      <c r="J22" s="67"/>
      <c r="K22" s="67"/>
      <c r="L22" s="48">
        <f ca="1">IF(D22=0,"",+SUMIF(SYS_4_3_Digitos!$A$5:$A$6004,D22,SYS_4_3_Digitos!$I$5:$I$6004)-+SUMIF(SYS_4_3_Digitos!$A$5:$A$6004,D22,SYS_4_3_Digitos!$J$5:$J$6004))</f>
        <v>19677094.84</v>
      </c>
      <c r="N22" s="48">
        <f t="shared" si="0"/>
        <v>19677094.84</v>
      </c>
      <c r="P22" s="48">
        <f ca="1">+L22-N22</f>
        <v>0</v>
      </c>
      <c r="Q22"/>
    </row>
    <row r="23" spans="3:17" ht="15.6" outlineLevel="1">
      <c r="C23" s="54" t="s">
        <v>386</v>
      </c>
      <c r="D23" s="50">
        <v>2812</v>
      </c>
      <c r="E23" s="51">
        <f>IF(D23=0,"",-SUMIF(SYS_4_3_Digitos!$A$5:$A$6004,D23,SYS_4_3_Digitos!$C$5:$C$6004)+SUMIF(SYS_4_3_Digitos!$A$5:$A$6004,D23,SYS_4_3_Digitos!$D$5:$D$6004))</f>
        <v>17595547.829999998</v>
      </c>
      <c r="F23" s="51">
        <f>IF(D23=0,"",+SUMIF(Inversiones!$J$16:$J$1700,D23,Inversiones!$G$16:$G$1700))</f>
        <v>0</v>
      </c>
      <c r="G23" s="51">
        <f>IF($D23=0,"",+SUMIF(Inversiones!$J$16:$J$1700,$D23,Inversiones!$H$16:$H$1700))</f>
        <v>0</v>
      </c>
      <c r="H23" s="51">
        <f ca="1">+L23-E23-SUM(I23:K23)</f>
        <v>264164.79000000283</v>
      </c>
      <c r="I23" s="66"/>
      <c r="J23" s="66"/>
      <c r="K23" s="66"/>
      <c r="L23" s="51">
        <f ca="1">IF(D23=0,"",-SUMIF(SYS_4_3_Digitos!$A$5:$A$6004,D23,SYS_4_3_Digitos!$I$5:$I$6004)+SUMIF(SYS_4_3_Digitos!$A$5:$A$6004,D23,SYS_4_3_Digitos!$J$5:$J$6004))</f>
        <v>17859712.620000001</v>
      </c>
      <c r="N23" s="51">
        <f t="shared" ca="1" si="0"/>
        <v>17859712.620000001</v>
      </c>
      <c r="P23" s="51">
        <f ca="1">+L23-N23</f>
        <v>0</v>
      </c>
      <c r="Q23"/>
    </row>
    <row r="24" spans="3:17" ht="7.5" customHeight="1" outlineLevel="1">
      <c r="C24" s="53"/>
      <c r="D24" s="45"/>
      <c r="E24" s="48"/>
      <c r="F24" s="48" t="str">
        <f>IF(D24=0,"",+SUMIF(Inversiones!$J$16:$J$1700,D24,Inversiones!$G$16:$G$1700))</f>
        <v/>
      </c>
      <c r="G24" s="48" t="str">
        <f>IF($D24=0,"",+SUMIF(Inversiones!$J$16:$J$1700,$D24,Inversiones!$F$16:$F$1700))</f>
        <v/>
      </c>
      <c r="H24" s="48"/>
      <c r="I24" s="67"/>
      <c r="J24" s="67"/>
      <c r="K24" s="67"/>
      <c r="L24" s="48"/>
      <c r="N24" s="48"/>
      <c r="P24" s="48"/>
      <c r="Q24"/>
    </row>
    <row r="25" spans="3:17" ht="15.6" outlineLevel="1">
      <c r="C25" s="53" t="s">
        <v>351</v>
      </c>
      <c r="D25" s="45">
        <v>213</v>
      </c>
      <c r="E25" s="48">
        <f>IF(D25=0,"",+SUMIF(SYS_4_3_Digitos!$A$5:$A$6004,D25,SYS_4_3_Digitos!$C$5:$C$6004)-+SUMIF(SYS_4_3_Digitos!$A$5:$A$6004,D25,SYS_4_3_Digitos!$D$5:$D$6004))</f>
        <v>1035576.91</v>
      </c>
      <c r="F25" s="48">
        <f>IF(D25=0,"",+SUMIF(Inversiones!$J$16:$J$1700,D25,Inversiones!$G$16:$G$1700))</f>
        <v>69650</v>
      </c>
      <c r="G25" s="48">
        <f>IF($D25=0,"",+SUMIF(Inversiones!$J$16:$J$1700,$D25,Inversiones!$H$16:$H$1700))</f>
        <v>0</v>
      </c>
      <c r="H25" s="48"/>
      <c r="I25" s="67"/>
      <c r="J25" s="67"/>
      <c r="K25" s="67">
        <f>-23610-10500-11000</f>
        <v>-45110</v>
      </c>
      <c r="L25" s="48">
        <f ca="1">IF(D25=0,"",+SUMIF(SYS_4_3_Digitos!$A$5:$A$6004,D25,SYS_4_3_Digitos!$I$5:$I$6004)-+SUMIF(SYS_4_3_Digitos!$A$5:$A$6004,D25,SYS_4_3_Digitos!$J$5:$J$6004))</f>
        <v>1060116.9099999999</v>
      </c>
      <c r="N25" s="48">
        <f t="shared" si="0"/>
        <v>1060116.9100000001</v>
      </c>
      <c r="P25" s="48">
        <f ca="1">+L25-N25</f>
        <v>0</v>
      </c>
      <c r="Q25"/>
    </row>
    <row r="26" spans="3:17" ht="15.6" outlineLevel="1">
      <c r="C26" s="54" t="s">
        <v>387</v>
      </c>
      <c r="D26" s="50">
        <v>2813</v>
      </c>
      <c r="E26" s="51">
        <f>IF(D26=0,"",-SUMIF(SYS_4_3_Digitos!$A$5:$A$6004,D26,SYS_4_3_Digitos!$C$5:$C$6004)+SUMIF(SYS_4_3_Digitos!$A$5:$A$6004,D26,SYS_4_3_Digitos!$D$5:$D$6004))</f>
        <v>961579.2</v>
      </c>
      <c r="F26" s="51">
        <f>IF(D26=0,"",+SUMIF(Inversiones!$J$16:$J$1700,D26,Inversiones!$G$16:$G$1700))</f>
        <v>0</v>
      </c>
      <c r="G26" s="51">
        <f>IF($D26=0,"",+SUMIF(Inversiones!$J$16:$J$1700,$D26,Inversiones!$H$16:$H$1700))</f>
        <v>0</v>
      </c>
      <c r="H26" s="51">
        <f ca="1">+L26-E26-SUM(I26:K26)</f>
        <v>30514.660000000033</v>
      </c>
      <c r="I26" s="66"/>
      <c r="J26" s="66"/>
      <c r="K26" s="66">
        <v>-45110</v>
      </c>
      <c r="L26" s="51">
        <f ca="1">IF(D26=0,"",-SUMIF(SYS_4_3_Digitos!$A$5:$A$6004,D26,SYS_4_3_Digitos!$I$5:$I$6004)+SUMIF(SYS_4_3_Digitos!$A$5:$A$6004,D26,SYS_4_3_Digitos!$J$5:$J$6004))</f>
        <v>946983.86</v>
      </c>
      <c r="N26" s="51">
        <f t="shared" ca="1" si="0"/>
        <v>946983.86</v>
      </c>
      <c r="P26" s="51">
        <f ca="1">+L26-N26</f>
        <v>0</v>
      </c>
      <c r="Q26"/>
    </row>
    <row r="27" spans="3:17" ht="7.5" customHeight="1" outlineLevel="1">
      <c r="C27" s="53"/>
      <c r="D27" s="45"/>
      <c r="E27" s="48"/>
      <c r="F27" s="48" t="str">
        <f>IF(D27=0,"",+SUMIF(Inversiones!$J$16:$J$1700,D27,Inversiones!$G$16:$G$1700))</f>
        <v/>
      </c>
      <c r="G27" s="48" t="str">
        <f>IF($D27=0,"",+SUMIF(Inversiones!$J$16:$J$1700,$D27,Inversiones!$F$16:$F$1700))</f>
        <v/>
      </c>
      <c r="H27" s="48"/>
      <c r="I27" s="67"/>
      <c r="J27" s="67"/>
      <c r="K27" s="67"/>
      <c r="L27" s="48"/>
      <c r="N27" s="48"/>
      <c r="P27" s="48"/>
      <c r="Q27"/>
    </row>
    <row r="28" spans="3:17" ht="15.6" outlineLevel="1">
      <c r="C28" s="53" t="s">
        <v>352</v>
      </c>
      <c r="D28" s="45">
        <v>214</v>
      </c>
      <c r="E28" s="48">
        <f>IF(D28=0,"",+SUMIF(SYS_4_3_Digitos!$A$5:$A$6004,D28,SYS_4_3_Digitos!$C$5:$C$6004)-+SUMIF(SYS_4_3_Digitos!$A$5:$A$6004,D28,SYS_4_3_Digitos!$D$5:$D$6004))</f>
        <v>10306.1</v>
      </c>
      <c r="F28" s="48">
        <f>IF(D28=0,"",+SUMIF(Inversiones!$J$16:$J$1700,D28,Inversiones!$G$16:$G$1700))</f>
        <v>0</v>
      </c>
      <c r="G28" s="48">
        <f>IF($D28=0,"",+SUMIF(Inversiones!$J$16:$J$1700,$D28,Inversiones!$H$16:$H$1700))</f>
        <v>0</v>
      </c>
      <c r="H28" s="48"/>
      <c r="I28" s="67"/>
      <c r="J28" s="67"/>
      <c r="K28" s="67"/>
      <c r="L28" s="48">
        <f ca="1">IF(D28=0,"",+SUMIF(SYS_4_3_Digitos!$A$5:$A$6004,D28,SYS_4_3_Digitos!$I$5:$I$6004)-+SUMIF(SYS_4_3_Digitos!$A$5:$A$6004,D28,SYS_4_3_Digitos!$J$5:$J$6004))</f>
        <v>10306.1</v>
      </c>
      <c r="N28" s="48">
        <f t="shared" si="0"/>
        <v>10306.1</v>
      </c>
      <c r="P28" s="48">
        <f ca="1">+L28-N28</f>
        <v>0</v>
      </c>
      <c r="Q28"/>
    </row>
    <row r="29" spans="3:17" ht="15.6" outlineLevel="1">
      <c r="C29" s="54" t="s">
        <v>388</v>
      </c>
      <c r="D29" s="50">
        <v>2814</v>
      </c>
      <c r="E29" s="51">
        <f>IF(D29=0,"",-SUMIF(SYS_4_3_Digitos!$A$5:$A$6004,D29,SYS_4_3_Digitos!$C$5:$C$6004)+SUMIF(SYS_4_3_Digitos!$A$5:$A$6004,D29,SYS_4_3_Digitos!$D$5:$D$6004))</f>
        <v>10306.1</v>
      </c>
      <c r="F29" s="51">
        <f>IF(D29=0,"",+SUMIF(Inversiones!$J$16:$J$1700,D29,Inversiones!$G$16:$G$1700))</f>
        <v>0</v>
      </c>
      <c r="G29" s="51">
        <f>IF($D29=0,"",+SUMIF(Inversiones!$J$16:$J$1700,$D29,Inversiones!$H$16:$H$1700))</f>
        <v>0</v>
      </c>
      <c r="H29" s="51">
        <f ca="1">+L29-E29-SUM(I29:K29)</f>
        <v>0</v>
      </c>
      <c r="I29" s="66"/>
      <c r="J29" s="66"/>
      <c r="K29" s="66"/>
      <c r="L29" s="51">
        <f ca="1">IF(D29=0,"",-SUMIF(SYS_4_3_Digitos!$A$5:$A$6004,D29,SYS_4_3_Digitos!$I$5:$I$6004)+SUMIF(SYS_4_3_Digitos!$A$5:$A$6004,D29,SYS_4_3_Digitos!$J$5:$J$6004))</f>
        <v>10306.1</v>
      </c>
      <c r="N29" s="51">
        <f t="shared" ca="1" si="0"/>
        <v>10306.1</v>
      </c>
      <c r="P29" s="51">
        <f ca="1">+L29-N29</f>
        <v>0</v>
      </c>
      <c r="Q29"/>
    </row>
    <row r="30" spans="3:17" ht="7.5" customHeight="1" outlineLevel="1">
      <c r="C30" s="53"/>
      <c r="D30" s="45"/>
      <c r="E30" s="48"/>
      <c r="F30" s="48" t="str">
        <f>IF(D30=0,"",+SUMIF(Inversiones!$J$16:$J$1700,D30,Inversiones!$G$16:$G$1700))</f>
        <v/>
      </c>
      <c r="G30" s="48" t="str">
        <f>IF($D30=0,"",+SUMIF(Inversiones!$J$16:$J$1700,$D30,Inversiones!$F$16:$F$1700))</f>
        <v/>
      </c>
      <c r="H30" s="48"/>
      <c r="I30" s="67"/>
      <c r="J30" s="67"/>
      <c r="K30" s="67"/>
      <c r="L30" s="48"/>
      <c r="N30" s="48"/>
      <c r="P30" s="48"/>
      <c r="Q30"/>
    </row>
    <row r="31" spans="3:17" ht="15.6" outlineLevel="1">
      <c r="C31" s="53" t="s">
        <v>353</v>
      </c>
      <c r="D31" s="45">
        <v>215</v>
      </c>
      <c r="E31" s="48">
        <f>IF(D31=0,"",+SUMIF(SYS_4_3_Digitos!$A$5:$A$6004,D31,SYS_4_3_Digitos!$C$5:$C$6004)-+SUMIF(SYS_4_3_Digitos!$A$5:$A$6004,D31,SYS_4_3_Digitos!$D$5:$D$6004))</f>
        <v>1099223.83</v>
      </c>
      <c r="F31" s="48">
        <f>IF(D31=0,"",+SUMIF(Inversiones!$J$16:$J$1700,D31,Inversiones!$G$16:$G$1700))</f>
        <v>14332.37</v>
      </c>
      <c r="G31" s="48">
        <f>IF($D31=0,"",+SUMIF(Inversiones!$J$16:$J$1700,$D31,Inversiones!$H$16:$H$1700))</f>
        <v>0</v>
      </c>
      <c r="H31" s="48"/>
      <c r="I31" s="67">
        <f>7784.77+41229.38</f>
        <v>49014.149999999994</v>
      </c>
      <c r="J31" s="67"/>
      <c r="K31" s="67"/>
      <c r="L31" s="48">
        <f ca="1">IF(D31=0,"",+SUMIF(SYS_4_3_Digitos!$A$5:$A$6004,D31,SYS_4_3_Digitos!$I$5:$I$6004)-+SUMIF(SYS_4_3_Digitos!$A$5:$A$6004,D31,SYS_4_3_Digitos!$J$5:$J$6004))</f>
        <v>1162570.3500000001</v>
      </c>
      <c r="N31" s="48">
        <f t="shared" si="0"/>
        <v>1162570.3500000001</v>
      </c>
      <c r="P31" s="48">
        <f ca="1">+L31-N31</f>
        <v>0</v>
      </c>
      <c r="Q31"/>
    </row>
    <row r="32" spans="3:17" ht="15.6" outlineLevel="1">
      <c r="C32" s="54" t="s">
        <v>389</v>
      </c>
      <c r="D32" s="50">
        <v>2815</v>
      </c>
      <c r="E32" s="51">
        <f>IF(D32=0,"",-SUMIF(SYS_4_3_Digitos!$A$5:$A$6004,D32,SYS_4_3_Digitos!$C$5:$C$6004)+SUMIF(SYS_4_3_Digitos!$A$5:$A$6004,D32,SYS_4_3_Digitos!$D$5:$D$6004))</f>
        <v>1066538.94</v>
      </c>
      <c r="F32" s="51">
        <f>IF(D32=0,"",+SUMIF(Inversiones!$J$16:$J$1700,D32,Inversiones!$G$16:$G$1700))</f>
        <v>0</v>
      </c>
      <c r="G32" s="51">
        <f>IF($D32=0,"",+SUMIF(Inversiones!$J$16:$J$1700,$D32,Inversiones!$H$16:$H$1700))</f>
        <v>0</v>
      </c>
      <c r="H32" s="51">
        <f ca="1">+L32-E32-SUM(I32:K32)</f>
        <v>12268.209999999963</v>
      </c>
      <c r="I32" s="66"/>
      <c r="J32" s="66"/>
      <c r="K32" s="66"/>
      <c r="L32" s="51">
        <f ca="1">IF(D32=0,"",-SUMIF(SYS_4_3_Digitos!$A$5:$A$6004,D32,SYS_4_3_Digitos!$I$5:$I$6004)+SUMIF(SYS_4_3_Digitos!$A$5:$A$6004,D32,SYS_4_3_Digitos!$J$5:$J$6004))</f>
        <v>1078807.1499999999</v>
      </c>
      <c r="N32" s="51">
        <f t="shared" ca="1" si="0"/>
        <v>1078807.1499999999</v>
      </c>
      <c r="P32" s="51">
        <f ca="1">+L32-N32</f>
        <v>0</v>
      </c>
      <c r="Q32"/>
    </row>
    <row r="33" spans="3:17" ht="7.5" customHeight="1" outlineLevel="1">
      <c r="C33" s="53"/>
      <c r="D33" s="45"/>
      <c r="E33" s="48"/>
      <c r="F33" s="48" t="str">
        <f>IF(D33=0,"",+SUMIF(Inversiones!$J$16:$J$1700,D33,Inversiones!$G$16:$G$1700))</f>
        <v/>
      </c>
      <c r="G33" s="48" t="str">
        <f>IF($D33=0,"",+SUMIF(Inversiones!$J$16:$J$1700,$D33,Inversiones!$F$16:$F$1700))</f>
        <v/>
      </c>
      <c r="H33" s="48"/>
      <c r="I33" s="67"/>
      <c r="J33" s="67"/>
      <c r="K33" s="67"/>
      <c r="L33" s="48"/>
      <c r="N33" s="48"/>
      <c r="P33" s="48"/>
      <c r="Q33"/>
    </row>
    <row r="34" spans="3:17" ht="15.6" outlineLevel="1">
      <c r="C34" s="53" t="s">
        <v>354</v>
      </c>
      <c r="D34" s="45">
        <v>216</v>
      </c>
      <c r="E34" s="48">
        <f>IF(D34=0,"",+SUMIF(SYS_4_3_Digitos!$A$5:$A$6004,D34,SYS_4_3_Digitos!$C$5:$C$6004)-+SUMIF(SYS_4_3_Digitos!$A$5:$A$6004,D34,SYS_4_3_Digitos!$D$5:$D$6004))</f>
        <v>431758.79</v>
      </c>
      <c r="F34" s="48">
        <f>IF(D34=0,"",+SUMIF(Inversiones!$J$16:$J$1700,D34,Inversiones!$G$16:$G$1700))</f>
        <v>22697</v>
      </c>
      <c r="G34" s="48">
        <f>IF($D34=0,"",+SUMIF(Inversiones!$J$16:$J$1700,$D34,Inversiones!$H$16:$H$1700))</f>
        <v>0</v>
      </c>
      <c r="H34" s="48"/>
      <c r="I34" s="67"/>
      <c r="J34" s="67"/>
      <c r="K34" s="67"/>
      <c r="L34" s="48">
        <f ca="1">IF(D34=0,"",+SUMIF(SYS_4_3_Digitos!$A$5:$A$6004,D34,SYS_4_3_Digitos!$I$5:$I$6004)-+SUMIF(SYS_4_3_Digitos!$A$5:$A$6004,D34,SYS_4_3_Digitos!$J$5:$J$6004))</f>
        <v>454455.79</v>
      </c>
      <c r="N34" s="48">
        <f t="shared" si="0"/>
        <v>454455.79</v>
      </c>
      <c r="P34" s="48">
        <f ca="1">+L34-N34</f>
        <v>0</v>
      </c>
      <c r="Q34"/>
    </row>
    <row r="35" spans="3:17" ht="15.6" outlineLevel="1">
      <c r="C35" s="54" t="s">
        <v>390</v>
      </c>
      <c r="D35" s="50">
        <v>2816</v>
      </c>
      <c r="E35" s="51">
        <f>IF(D35=0,"",-SUMIF(SYS_4_3_Digitos!$A$5:$A$6004,D35,SYS_4_3_Digitos!$C$5:$C$6004)+SUMIF(SYS_4_3_Digitos!$A$5:$A$6004,D35,SYS_4_3_Digitos!$D$5:$D$6004))</f>
        <v>46043.520000000004</v>
      </c>
      <c r="F35" s="51">
        <f>IF(D35=0,"",+SUMIF(Inversiones!$J$16:$J$1700,D35,Inversiones!$G$16:$G$1700))</f>
        <v>0</v>
      </c>
      <c r="G35" s="51">
        <f>IF($D35=0,"",+SUMIF(Inversiones!$J$16:$J$1700,$D35,Inversiones!$H$16:$H$1700))</f>
        <v>0</v>
      </c>
      <c r="H35" s="51">
        <f ca="1">+L35-E35-SUM(I35:K35)</f>
        <v>41205.899999999994</v>
      </c>
      <c r="I35" s="66"/>
      <c r="J35" s="66"/>
      <c r="K35" s="66"/>
      <c r="L35" s="51">
        <f ca="1">IF(D35=0,"",-SUMIF(SYS_4_3_Digitos!$A$5:$A$6004,D35,SYS_4_3_Digitos!$I$5:$I$6004)+SUMIF(SYS_4_3_Digitos!$A$5:$A$6004,D35,SYS_4_3_Digitos!$J$5:$J$6004))</f>
        <v>87249.42</v>
      </c>
      <c r="N35" s="51">
        <f t="shared" ca="1" si="0"/>
        <v>87249.42</v>
      </c>
      <c r="P35" s="51">
        <f ca="1">+L35-N35</f>
        <v>0</v>
      </c>
      <c r="Q35"/>
    </row>
    <row r="36" spans="3:17" ht="7.5" customHeight="1" outlineLevel="1">
      <c r="C36" s="53"/>
      <c r="D36" s="45"/>
      <c r="E36" s="48"/>
      <c r="F36" s="48" t="str">
        <f>IF(D36=0,"",+SUMIF(Inversiones!$J$16:$J$1700,D36,Inversiones!$G$16:$G$1700))</f>
        <v/>
      </c>
      <c r="G36" s="48" t="str">
        <f>IF($D36=0,"",+SUMIF(Inversiones!$J$16:$J$1700,$D36,Inversiones!$F$16:$F$1700))</f>
        <v/>
      </c>
      <c r="H36" s="48"/>
      <c r="I36" s="67"/>
      <c r="J36" s="67"/>
      <c r="K36" s="67"/>
      <c r="L36" s="48"/>
      <c r="N36" s="48"/>
      <c r="P36" s="48"/>
      <c r="Q36"/>
    </row>
    <row r="37" spans="3:17" ht="15.6" outlineLevel="1">
      <c r="C37" s="53" t="s">
        <v>355</v>
      </c>
      <c r="D37" s="45">
        <v>217</v>
      </c>
      <c r="E37" s="48">
        <f>IF(D37=0,"",+SUMIF(SYS_4_3_Digitos!$A$5:$A$6004,D37,SYS_4_3_Digitos!$C$5:$C$6004)-+SUMIF(SYS_4_3_Digitos!$A$5:$A$6004,D37,SYS_4_3_Digitos!$D$5:$D$6004))</f>
        <v>53303.6</v>
      </c>
      <c r="F37" s="48">
        <f>IF(D37=0,"",+SUMIF(Inversiones!$J$16:$J$1700,D37,Inversiones!$G$16:$G$1700))</f>
        <v>0</v>
      </c>
      <c r="G37" s="48">
        <f>IF($D37=0,"",+SUMIF(Inversiones!$J$16:$J$1700,$D37,Inversiones!$H$16:$H$1700))</f>
        <v>0</v>
      </c>
      <c r="H37" s="48"/>
      <c r="I37" s="67"/>
      <c r="J37" s="67"/>
      <c r="K37" s="67"/>
      <c r="L37" s="48">
        <f ca="1">IF(D37=0,"",+SUMIF(SYS_4_3_Digitos!$A$5:$A$6004,D37,SYS_4_3_Digitos!$I$5:$I$6004)-+SUMIF(SYS_4_3_Digitos!$A$5:$A$6004,D37,SYS_4_3_Digitos!$J$5:$J$6004))</f>
        <v>53303.6</v>
      </c>
      <c r="N37" s="48">
        <f t="shared" si="0"/>
        <v>53303.6</v>
      </c>
      <c r="P37" s="48">
        <f ca="1">+L37-N37</f>
        <v>0</v>
      </c>
      <c r="Q37"/>
    </row>
    <row r="38" spans="3:17" ht="15.6" outlineLevel="1">
      <c r="C38" s="54" t="s">
        <v>391</v>
      </c>
      <c r="D38" s="50">
        <v>2817</v>
      </c>
      <c r="E38" s="51">
        <f>IF(D38=0,"",-SUMIF(SYS_4_3_Digitos!$A$5:$A$6004,D38,SYS_4_3_Digitos!$C$5:$C$6004)+SUMIF(SYS_4_3_Digitos!$A$5:$A$6004,D38,SYS_4_3_Digitos!$D$5:$D$6004))</f>
        <v>42033.19</v>
      </c>
      <c r="F38" s="51">
        <f>IF(D38=0,"",+SUMIF(Inversiones!$J$16:$J$1700,D38,Inversiones!$G$16:$G$1700))</f>
        <v>0</v>
      </c>
      <c r="G38" s="51">
        <f>IF($D38=0,"",+SUMIF(Inversiones!$J$16:$J$1700,$D38,Inversiones!$H$16:$H$1700))</f>
        <v>0</v>
      </c>
      <c r="H38" s="51">
        <f ca="1">+L38-E38-SUM(I38:K38)</f>
        <v>4605.5499999999956</v>
      </c>
      <c r="I38" s="66"/>
      <c r="J38" s="66"/>
      <c r="K38" s="66"/>
      <c r="L38" s="51">
        <f ca="1">IF(D38=0,"",-SUMIF(SYS_4_3_Digitos!$A$5:$A$6004,D38,SYS_4_3_Digitos!$I$5:$I$6004)+SUMIF(SYS_4_3_Digitos!$A$5:$A$6004,D38,SYS_4_3_Digitos!$J$5:$J$6004))</f>
        <v>46638.74</v>
      </c>
      <c r="N38" s="51">
        <f t="shared" ca="1" si="0"/>
        <v>46638.74</v>
      </c>
      <c r="P38" s="51">
        <f ca="1">+L38-N38</f>
        <v>0</v>
      </c>
      <c r="Q38"/>
    </row>
    <row r="39" spans="3:17" ht="7.5" customHeight="1" outlineLevel="1">
      <c r="C39" s="53"/>
      <c r="D39" s="45"/>
      <c r="E39" s="48"/>
      <c r="F39" s="48" t="str">
        <f>IF(D39=0,"",+SUMIF(Inversiones!$J$16:$J$1700,D39,Inversiones!$G$16:$G$1700))</f>
        <v/>
      </c>
      <c r="G39" s="48" t="str">
        <f>IF($D39=0,"",+SUMIF(Inversiones!$J$16:$J$1700,$D39,Inversiones!$F$16:$F$1700))</f>
        <v/>
      </c>
      <c r="H39" s="48"/>
      <c r="I39" s="67"/>
      <c r="J39" s="67"/>
      <c r="K39" s="67"/>
      <c r="L39" s="48"/>
      <c r="N39" s="48"/>
      <c r="P39" s="48"/>
      <c r="Q39"/>
    </row>
    <row r="40" spans="3:17" ht="15.6" outlineLevel="1">
      <c r="C40" s="53" t="s">
        <v>356</v>
      </c>
      <c r="D40" s="45">
        <v>218</v>
      </c>
      <c r="E40" s="48">
        <f>IF(D40=0,"",+SUMIF(SYS_4_3_Digitos!$A$5:$A$6004,D40,SYS_4_3_Digitos!$C$5:$C$6004)-+SUMIF(SYS_4_3_Digitos!$A$5:$A$6004,D40,SYS_4_3_Digitos!$D$5:$D$6004))</f>
        <v>85249.7</v>
      </c>
      <c r="F40" s="48">
        <f>IF(D40=0,"",+SUMIF(Inversiones!$J$16:$J$1700,D40,Inversiones!$G$16:$G$1700))</f>
        <v>0</v>
      </c>
      <c r="G40" s="48">
        <f>IF($D40=0,"",+SUMIF(Inversiones!$J$16:$J$1700,$D40,Inversiones!$H$16:$H$1700))</f>
        <v>0</v>
      </c>
      <c r="H40" s="48"/>
      <c r="I40" s="67"/>
      <c r="J40" s="67"/>
      <c r="K40" s="67"/>
      <c r="L40" s="48">
        <f ca="1">IF(D40=0,"",+SUMIF(SYS_4_3_Digitos!$A$5:$A$6004,D40,SYS_4_3_Digitos!$I$5:$I$6004)-+SUMIF(SYS_4_3_Digitos!$A$5:$A$6004,D40,SYS_4_3_Digitos!$J$5:$J$6004))</f>
        <v>85249.7</v>
      </c>
      <c r="N40" s="48">
        <f t="shared" si="0"/>
        <v>85249.7</v>
      </c>
      <c r="P40" s="48">
        <f ca="1">+L40-N40</f>
        <v>0</v>
      </c>
      <c r="Q40"/>
    </row>
    <row r="41" spans="3:17" ht="15.6" outlineLevel="1">
      <c r="C41" s="54" t="s">
        <v>392</v>
      </c>
      <c r="D41" s="50">
        <v>2818</v>
      </c>
      <c r="E41" s="51">
        <f>IF(D41=0,"",-SUMIF(SYS_4_3_Digitos!$A$5:$A$6004,D41,SYS_4_3_Digitos!$C$5:$C$6004)+SUMIF(SYS_4_3_Digitos!$A$5:$A$6004,D41,SYS_4_3_Digitos!$D$5:$D$6004))</f>
        <v>85249.7</v>
      </c>
      <c r="F41" s="51">
        <f>IF(D41=0,"",+SUMIF(Inversiones!$J$16:$J$1700,D41,Inversiones!$G$16:$G$1700))</f>
        <v>0</v>
      </c>
      <c r="G41" s="51">
        <f>IF($D41=0,"",+SUMIF(Inversiones!$J$16:$J$1700,$D41,Inversiones!$H$16:$H$1700))</f>
        <v>0</v>
      </c>
      <c r="H41" s="51">
        <f ca="1">+L41-E41-SUM(I41:K41)</f>
        <v>0</v>
      </c>
      <c r="I41" s="66"/>
      <c r="J41" s="66"/>
      <c r="K41" s="66"/>
      <c r="L41" s="51">
        <f ca="1">IF(D41=0,"",-SUMIF(SYS_4_3_Digitos!$A$5:$A$6004,D41,SYS_4_3_Digitos!$I$5:$I$6004)+SUMIF(SYS_4_3_Digitos!$A$5:$A$6004,D41,SYS_4_3_Digitos!$J$5:$J$6004))</f>
        <v>85249.7</v>
      </c>
      <c r="N41" s="51">
        <f t="shared" ca="1" si="0"/>
        <v>85249.7</v>
      </c>
      <c r="P41" s="51">
        <f ca="1">+L41-N41</f>
        <v>0</v>
      </c>
      <c r="Q41"/>
    </row>
    <row r="42" spans="3:17" ht="7.5" customHeight="1" outlineLevel="1">
      <c r="C42" s="53"/>
      <c r="D42" s="45"/>
      <c r="E42" s="48"/>
      <c r="F42" s="48"/>
      <c r="G42" s="48"/>
      <c r="H42" s="48"/>
      <c r="I42" s="67"/>
      <c r="J42" s="67"/>
      <c r="K42" s="67"/>
      <c r="L42" s="48"/>
      <c r="N42" s="48"/>
      <c r="P42" s="48"/>
      <c r="Q42"/>
    </row>
    <row r="43" spans="3:17" ht="15.6" outlineLevel="1">
      <c r="C43" s="53" t="s">
        <v>357</v>
      </c>
      <c r="D43" s="45">
        <v>219</v>
      </c>
      <c r="E43" s="48">
        <f>IF(D43=0,"",+SUMIF(SYS_4_3_Digitos!$A$5:$A$6004,D43,SYS_4_3_Digitos!$C$5:$C$6004)-+SUMIF(SYS_4_3_Digitos!$A$5:$A$6004,D43,SYS_4_3_Digitos!$D$5:$D$6004))</f>
        <v>651219.30999999994</v>
      </c>
      <c r="F43" s="48">
        <f>IF(D43=0,"",+SUMIF(Inversiones!$J$16:$J$1700,D43,Inversiones!$G$16:$G$1700))</f>
        <v>0</v>
      </c>
      <c r="G43" s="48">
        <f>IF($D43=0,"",+SUMIF(Inversiones!$J$16:$J$1700,$D43,Inversiones!$H$16:$H$1700))</f>
        <v>0</v>
      </c>
      <c r="H43" s="48"/>
      <c r="I43" s="67"/>
      <c r="J43" s="67"/>
      <c r="K43" s="67"/>
      <c r="L43" s="48">
        <f ca="1">IF(D43=0,"",+SUMIF(SYS_4_3_Digitos!$A$5:$A$6004,D43,SYS_4_3_Digitos!$I$5:$I$6004)-+SUMIF(SYS_4_3_Digitos!$A$5:$A$6004,D43,SYS_4_3_Digitos!$J$5:$J$6004))</f>
        <v>651219.30999999994</v>
      </c>
      <c r="N43" s="48">
        <f t="shared" ref="N43:N44" si="1">+SUM(E43:K43)</f>
        <v>651219.30999999994</v>
      </c>
      <c r="P43" s="48">
        <f ca="1">+L43-N43</f>
        <v>0</v>
      </c>
      <c r="Q43"/>
    </row>
    <row r="44" spans="3:17" ht="15.6" outlineLevel="1">
      <c r="C44" s="54" t="s">
        <v>393</v>
      </c>
      <c r="D44" s="50">
        <v>2819</v>
      </c>
      <c r="E44" s="51">
        <f>IF(D44=0,"",-SUMIF(SYS_4_3_Digitos!$A$5:$A$6004,D44,SYS_4_3_Digitos!$C$5:$C$6004)+SUMIF(SYS_4_3_Digitos!$A$5:$A$6004,D44,SYS_4_3_Digitos!$D$5:$D$6004))</f>
        <v>471026.01</v>
      </c>
      <c r="F44" s="51">
        <f>IF(D44=0,"",+SUMIF(Inversiones!$J$16:$J$1700,D44,Inversiones!$G$16:$G$1700))</f>
        <v>0</v>
      </c>
      <c r="G44" s="51">
        <f>IF($D44=0,"",+SUMIF(Inversiones!$J$16:$J$1700,$D44,Inversiones!$H$16:$H$1700))</f>
        <v>0</v>
      </c>
      <c r="H44" s="51">
        <f ca="1">+L44-E44-SUM(I44:K44)</f>
        <v>39457.559999999939</v>
      </c>
      <c r="I44" s="66"/>
      <c r="J44" s="66"/>
      <c r="K44" s="66"/>
      <c r="L44" s="51">
        <f ca="1">IF(D44=0,"",-SUMIF(SYS_4_3_Digitos!$A$5:$A$6004,D44,SYS_4_3_Digitos!$I$5:$I$6004)+SUMIF(SYS_4_3_Digitos!$A$5:$A$6004,D44,SYS_4_3_Digitos!$J$5:$J$6004))</f>
        <v>510483.56999999995</v>
      </c>
      <c r="N44" s="51">
        <f t="shared" ca="1" si="1"/>
        <v>510483.56999999995</v>
      </c>
      <c r="P44" s="51">
        <f ca="1">+L44-N44</f>
        <v>0</v>
      </c>
      <c r="Q44"/>
    </row>
    <row r="45" spans="3:17" ht="7.5" customHeight="1" outlineLevel="1">
      <c r="C45" s="53"/>
      <c r="D45" s="45"/>
      <c r="E45" s="48"/>
      <c r="F45" s="48" t="str">
        <f>IF(D45=0,"",+SUMIF(Inversiones!$J$16:$J$1700,D45,Inversiones!$G$16:$G$1700))</f>
        <v/>
      </c>
      <c r="G45" s="48" t="str">
        <f>IF($D45=0,"",+SUMIF(Inversiones!$J$16:$J$1700,$D45,Inversiones!$F$16:$F$1700))</f>
        <v/>
      </c>
      <c r="H45" s="48"/>
      <c r="I45" s="67"/>
      <c r="J45" s="67"/>
      <c r="K45" s="67"/>
      <c r="L45" s="48"/>
      <c r="N45" s="48"/>
      <c r="P45" s="48"/>
      <c r="Q45"/>
    </row>
    <row r="46" spans="3:17" ht="15.6" outlineLevel="1">
      <c r="C46" s="53" t="s">
        <v>357</v>
      </c>
      <c r="D46" s="45">
        <v>23</v>
      </c>
      <c r="E46" s="48">
        <f>IF(D46=0,"",+SUMIF(SYS_4_3_Digitos!$O$5:$O$6004,D46,SYS_4_3_Digitos!$C$5:$C$6004)-+SUMIF(SYS_4_3_Digitos!$O$5:$O$6004,D46,SYS_4_3_Digitos!$D$5:$D$6004))</f>
        <v>49014.15</v>
      </c>
      <c r="F46" s="48">
        <f>IF(D46=0,"",+SUMIF(Inversiones!$J$16:$J$1700,D46,Inversiones!$G$16:$G$1700))</f>
        <v>0</v>
      </c>
      <c r="G46" s="48">
        <f>IF($D46=0,"",+SUMIF(Inversiones!$J$16:$J$1700,$D46,Inversiones!$H$16:$H$1700))</f>
        <v>0</v>
      </c>
      <c r="H46" s="48"/>
      <c r="I46" s="67">
        <v>-49014.15</v>
      </c>
      <c r="J46" s="67"/>
      <c r="K46" s="67"/>
      <c r="L46" s="48">
        <f ca="1">IF(D46=0,"",+SUMIF(SYS_4_3_Digitos!$O$5:$O$6004,D46,SYS_4_3_Digitos!$I$5:$I$6004)-+SUMIF(SYS_4_3_Digitos!$O$5:$O$6004,D46,SYS_4_3_Digitos!$J$5:$J$6004))</f>
        <v>0</v>
      </c>
      <c r="N46" s="48">
        <f t="shared" si="0"/>
        <v>0</v>
      </c>
      <c r="P46" s="48">
        <f ca="1">+L46-N46</f>
        <v>0</v>
      </c>
      <c r="Q46"/>
    </row>
    <row r="47" spans="3:17" ht="15.6" outlineLevel="1">
      <c r="C47" s="55"/>
      <c r="D47" s="46"/>
      <c r="E47" s="51"/>
      <c r="F47" s="48"/>
      <c r="G47" s="48"/>
      <c r="H47" s="48"/>
      <c r="I47" s="67"/>
      <c r="J47" s="67"/>
      <c r="K47" s="67"/>
      <c r="L47" s="51"/>
      <c r="N47" s="48"/>
      <c r="P47" s="48"/>
      <c r="Q47"/>
    </row>
    <row r="48" spans="3:17" ht="15.6">
      <c r="E48" s="47">
        <f>+E52</f>
        <v>5651000.5699999928</v>
      </c>
      <c r="F48" s="47">
        <f t="shared" ref="F48:L48" si="2">+F52</f>
        <v>399683.81</v>
      </c>
      <c r="G48" s="47">
        <f t="shared" si="2"/>
        <v>0</v>
      </c>
      <c r="H48" s="47">
        <f t="shared" ca="1" si="2"/>
        <v>-527719.55000000307</v>
      </c>
      <c r="I48" s="47">
        <f t="shared" si="2"/>
        <v>-7.2759576141834259E-12</v>
      </c>
      <c r="J48" s="47">
        <f t="shared" si="2"/>
        <v>0</v>
      </c>
      <c r="K48" s="47">
        <f t="shared" si="2"/>
        <v>0</v>
      </c>
      <c r="L48" s="47">
        <f t="shared" ca="1" si="2"/>
        <v>5522964.8300000019</v>
      </c>
      <c r="N48" s="47">
        <f t="shared" ca="1" si="0"/>
        <v>5522964.8299999889</v>
      </c>
      <c r="P48" s="47">
        <f ca="1">+L48-N48</f>
        <v>1.3038516044616699E-8</v>
      </c>
      <c r="Q48"/>
    </row>
    <row r="49" spans="3:17" ht="14.4">
      <c r="Q49"/>
    </row>
    <row r="50" spans="3:17" ht="18">
      <c r="C50" s="2317" t="s">
        <v>916</v>
      </c>
      <c r="D50" s="2317"/>
      <c r="E50" s="57">
        <f>+E17+E19+E22+E25+E28+E31+E34+E37+E40+E46+E43</f>
        <v>28922384.339999996</v>
      </c>
      <c r="F50" s="57">
        <f t="shared" ref="F50:L50" si="3">+F17+F19+F22+F25+F28+F31+F34+F37+F40+F46+F43</f>
        <v>399683.81</v>
      </c>
      <c r="G50" s="57">
        <f t="shared" si="3"/>
        <v>0</v>
      </c>
      <c r="H50" s="57">
        <f t="shared" si="3"/>
        <v>0</v>
      </c>
      <c r="I50" s="57">
        <f t="shared" si="3"/>
        <v>-7.2759576141834259E-12</v>
      </c>
      <c r="J50" s="57">
        <f t="shared" si="3"/>
        <v>0</v>
      </c>
      <c r="K50" s="57">
        <f t="shared" si="3"/>
        <v>-45110</v>
      </c>
      <c r="L50" s="57">
        <f t="shared" ca="1" si="3"/>
        <v>29276958.150000002</v>
      </c>
      <c r="Q50"/>
    </row>
    <row r="51" spans="3:17" ht="18">
      <c r="C51" s="2316" t="s">
        <v>917</v>
      </c>
      <c r="D51" s="2316"/>
      <c r="E51" s="167">
        <f>+E20+E23+E26+E29+E32+E35+E38+E41+E47+E44</f>
        <v>23271383.770000003</v>
      </c>
      <c r="F51" s="167">
        <f t="shared" ref="F51:L51" si="4">+F20+F23+F26+F29+F32+F35+F38+F41+F47+F44</f>
        <v>0</v>
      </c>
      <c r="G51" s="167">
        <f t="shared" si="4"/>
        <v>0</v>
      </c>
      <c r="H51" s="167">
        <f t="shared" ca="1" si="4"/>
        <v>527719.55000000307</v>
      </c>
      <c r="I51" s="167">
        <f t="shared" si="4"/>
        <v>0</v>
      </c>
      <c r="J51" s="167">
        <f t="shared" si="4"/>
        <v>0</v>
      </c>
      <c r="K51" s="167">
        <f t="shared" si="4"/>
        <v>-45110</v>
      </c>
      <c r="L51" s="167">
        <f t="shared" ca="1" si="4"/>
        <v>23753993.32</v>
      </c>
      <c r="Q51"/>
    </row>
    <row r="52" spans="3:17" ht="15.6">
      <c r="E52" s="166">
        <f>+E50-E51</f>
        <v>5651000.5699999928</v>
      </c>
      <c r="F52" s="166">
        <f t="shared" ref="F52:L52" si="5">+F50-F51</f>
        <v>399683.81</v>
      </c>
      <c r="G52" s="166">
        <f t="shared" si="5"/>
        <v>0</v>
      </c>
      <c r="H52" s="166">
        <f t="shared" ca="1" si="5"/>
        <v>-527719.55000000307</v>
      </c>
      <c r="I52" s="166">
        <f t="shared" si="5"/>
        <v>-7.2759576141834259E-12</v>
      </c>
      <c r="J52" s="166">
        <f t="shared" si="5"/>
        <v>0</v>
      </c>
      <c r="K52" s="166">
        <f t="shared" si="5"/>
        <v>0</v>
      </c>
      <c r="L52" s="166">
        <f t="shared" ca="1" si="5"/>
        <v>5522964.8300000019</v>
      </c>
      <c r="Q52"/>
    </row>
    <row r="53" spans="3:17" ht="14.4">
      <c r="Q53"/>
    </row>
    <row r="54" spans="3:17" ht="15.6" outlineLevel="1">
      <c r="D54" s="56">
        <v>681</v>
      </c>
      <c r="E54" s="61">
        <f>-+BALANCE!H23</f>
        <v>-5651000.570000004</v>
      </c>
      <c r="F54" s="57">
        <f>-SUMIF(Inversiones!$L$16:$L$301,Inmovilizado!$C$13,Inversiones!G16:G301)</f>
        <v>-399683.81</v>
      </c>
      <c r="G54" s="57">
        <f>-SUMIF(Inversiones!$L$16:$L$301,Inmovilizado!$C$13,Inversiones!H16:H301)</f>
        <v>0</v>
      </c>
      <c r="H54" s="57">
        <f ca="1">IF(D54=0,"",-SUMIF(SYS_4_3_Digitos!$A$5:$A$6004,D54,SYS_4_3_Digitos!$I$5:$I$6004)+SUMIF(SYS_4_3_Digitos!$A$5:$A$6004,D54,SYS_4_3_Digitos!$J$5:$J$6004))</f>
        <v>-527719.55000000005</v>
      </c>
      <c r="L54" s="61">
        <f ca="1">-BALANCE!E23</f>
        <v>-5522964.8300000001</v>
      </c>
      <c r="Q54"/>
    </row>
    <row r="55" spans="3:17" ht="6.75" customHeight="1" outlineLevel="1">
      <c r="Q55"/>
    </row>
    <row r="56" spans="3:17" ht="15.6" outlineLevel="1">
      <c r="D56" s="60" t="s">
        <v>644</v>
      </c>
      <c r="E56" s="59">
        <f>ROUND(+E48+E54,1)</f>
        <v>0</v>
      </c>
      <c r="F56" s="59">
        <f>ROUND(+F48+F54,1)</f>
        <v>0</v>
      </c>
      <c r="G56" s="59">
        <f>ROUND(+G48+G54,1)</f>
        <v>0</v>
      </c>
      <c r="H56" s="59">
        <f ca="1">ROUND(+H48-H54,1)</f>
        <v>0</v>
      </c>
      <c r="L56" s="59">
        <f ca="1">ROUND(+L48+L54,1)</f>
        <v>0</v>
      </c>
      <c r="Q56"/>
    </row>
    <row r="57" spans="3:17" ht="14.4" outlineLevel="1">
      <c r="Q57"/>
    </row>
    <row r="58" spans="3:17" ht="14.4" outlineLevel="1">
      <c r="Q58"/>
    </row>
    <row r="59" spans="3:17" ht="14.4">
      <c r="Q59"/>
    </row>
    <row r="60" spans="3:17" ht="18">
      <c r="C60" s="11" t="s">
        <v>16</v>
      </c>
      <c r="D60" s="449">
        <f ca="1">+SUM(E78:L78)+P70</f>
        <v>0</v>
      </c>
      <c r="Q60"/>
    </row>
    <row r="61" spans="3:17" ht="6" customHeight="1">
      <c r="Q61"/>
    </row>
    <row r="62" spans="3:17" s="41" customFormat="1" ht="31.2">
      <c r="C62" s="42" t="s">
        <v>171</v>
      </c>
      <c r="D62" s="42" t="s">
        <v>643</v>
      </c>
      <c r="E62" s="42" t="s">
        <v>635</v>
      </c>
      <c r="F62" s="42" t="s">
        <v>637</v>
      </c>
      <c r="G62" s="42" t="s">
        <v>636</v>
      </c>
      <c r="H62" s="42" t="s">
        <v>638</v>
      </c>
      <c r="I62" s="42" t="s">
        <v>639</v>
      </c>
      <c r="J62" s="42" t="s">
        <v>640</v>
      </c>
      <c r="K62" s="42" t="s">
        <v>641</v>
      </c>
      <c r="L62" s="42" t="s">
        <v>642</v>
      </c>
      <c r="N62" s="58" t="s">
        <v>645</v>
      </c>
      <c r="P62" s="58" t="s">
        <v>646</v>
      </c>
    </row>
    <row r="63" spans="3:17" ht="7.5" customHeight="1" outlineLevel="1">
      <c r="C63" s="53"/>
      <c r="D63" s="45"/>
      <c r="E63" s="48" t="str">
        <f>IF(D63=0,"",+SUMIF(SYS_4_3_Digitos!$A$5:$A$6004,D63,SYS_4_3_Digitos!$C$5:$C$6004)-+SUMIF(SYS_4_3_Digitos!$A$5:$A$6004,D63,SYS_4_3_Digitos!$D$5:$D$6004))</f>
        <v/>
      </c>
      <c r="F63" s="48" t="str">
        <f>IF(D63=0,"",+SUMIF(Inversiones!$J$16:$J$1700,D63,Inversiones!$G$16:$G$1700))</f>
        <v/>
      </c>
      <c r="G63" s="48" t="str">
        <f>IF($D63=0,"",+SUMIF(Inversiones!$J$16:$J$1700,$D63,Inversiones!$F$16:$F$1700))</f>
        <v/>
      </c>
      <c r="H63" s="48"/>
      <c r="I63" s="67"/>
      <c r="J63" s="67"/>
      <c r="K63" s="67"/>
      <c r="L63" s="48" t="str">
        <f>IF(D63=0,"",+SUMIF(SYS_4_3_Digitos!$A$5:$A$6004,D63,SYS_4_3_Digitos!$I$5:$I$6004)-+SUMIF(SYS_4_3_Digitos!$A$5:$A$6004,D63,SYS_4_3_Digitos!$J$5:$J$6004))</f>
        <v/>
      </c>
      <c r="N63" s="48"/>
      <c r="P63" s="48"/>
      <c r="Q63"/>
    </row>
    <row r="64" spans="3:17" ht="15.6" outlineLevel="1">
      <c r="C64" s="53" t="s">
        <v>358</v>
      </c>
      <c r="D64" s="45">
        <v>220</v>
      </c>
      <c r="E64" s="48">
        <f>IF(D64=0,"",+SUMIF(SYS_4_3_Digitos!$A$5:$A$6004,D64,SYS_4_3_Digitos!$C$5:$C$6004)-+SUMIF(SYS_4_3_Digitos!$A$5:$A$6004,D64,SYS_4_3_Digitos!$D$5:$D$6004))</f>
        <v>3981136.05</v>
      </c>
      <c r="F64" s="48">
        <f>IF(D64=0,"",+SUMIF(Inversiones!$J$16:$J$1700,D64,Inversiones!$G$16:$G$1700))</f>
        <v>614078.38999999966</v>
      </c>
      <c r="G64" s="48">
        <f>IF($D64=0,"",+SUMIF(Inversiones!$J$16:$J$1700,$D64,Inversiones!$H$16:$H$1700))</f>
        <v>0</v>
      </c>
      <c r="H64" s="48"/>
      <c r="I64" s="67"/>
      <c r="J64" s="67"/>
      <c r="K64" s="67"/>
      <c r="L64" s="48">
        <f ca="1">IF(D64=0,"",+SUMIF(SYS_4_3_Digitos!$A$5:$A$6004,D64,SYS_4_3_Digitos!$I$5:$I$6004)-+SUMIF(SYS_4_3_Digitos!$A$5:$A$6004,D64,SYS_4_3_Digitos!$J$5:$J$6004))</f>
        <v>4595214.4400000004</v>
      </c>
      <c r="N64" s="48">
        <f>+SUM(E64:K64)</f>
        <v>4595214.4399999995</v>
      </c>
      <c r="P64" s="48">
        <f ca="1">+L64-N64</f>
        <v>0</v>
      </c>
      <c r="Q64"/>
    </row>
    <row r="65" spans="3:17" ht="15.6" outlineLevel="1">
      <c r="C65" s="54" t="s">
        <v>397</v>
      </c>
      <c r="D65" s="50">
        <v>292</v>
      </c>
      <c r="E65" s="51">
        <f>IF(D65=0,"",-SUMIF(SYS_4_3_Digitos!$A$5:$A$6004,D65,SYS_4_3_Digitos!$C$5:$C$6004)+SUMIF(SYS_4_3_Digitos!$A$5:$A$6004,D65,SYS_4_3_Digitos!$D$5:$D$6004))</f>
        <v>0</v>
      </c>
      <c r="F65" s="51">
        <f>IF(D65=0,"",+SUMIF(Inversiones!$J$16:$J$1700,D65,Inversiones!$G$16:$G$1700))</f>
        <v>0</v>
      </c>
      <c r="G65" s="51">
        <f>IF($D65=0,"",+SUMIF(Inversiones!$J$16:$J$1700,$D65,Inversiones!$H$16:$H$1700))</f>
        <v>0</v>
      </c>
      <c r="H65" s="51">
        <f ca="1">+L65-E65-SUM(I65:K65)</f>
        <v>0</v>
      </c>
      <c r="I65" s="66"/>
      <c r="J65" s="66"/>
      <c r="K65" s="66"/>
      <c r="L65" s="51">
        <f ca="1">IF(D65=0,"",-SUMIF(SYS_4_3_Digitos!$A$5:$A$6004,D65,SYS_4_3_Digitos!$I$5:$I$6004)+SUMIF(SYS_4_3_Digitos!$A$5:$A$6004,D65,SYS_4_3_Digitos!$J$5:$J$6004))</f>
        <v>0</v>
      </c>
      <c r="N65" s="51">
        <f ca="1">+SUM(E65:K65)</f>
        <v>0</v>
      </c>
      <c r="P65" s="51">
        <f ca="1">+L65-N65</f>
        <v>0</v>
      </c>
      <c r="Q65"/>
    </row>
    <row r="66" spans="3:17" ht="7.5" customHeight="1" outlineLevel="1">
      <c r="C66" s="53"/>
      <c r="D66" s="45"/>
      <c r="E66" s="48" t="str">
        <f>IF(D66=0,"",+SUMIF(SYS_4_3_Digitos!$A$5:$A$6004,D66,SYS_4_3_Digitos!$C$5:$C$6004)-+SUMIF(SYS_4_3_Digitos!$A$5:$A$6004,D66,SYS_4_3_Digitos!$D$5:$D$6004))</f>
        <v/>
      </c>
      <c r="F66" s="48" t="str">
        <f>IF(D66=0,"",+SUMIF(Inversiones!$J$16:$J$1700,D66,Inversiones!$G$16:$G$1700))</f>
        <v/>
      </c>
      <c r="G66" s="48" t="str">
        <f>IF($D66=0,"",+SUMIF(Inversiones!$J$16:$J$1700,$D66,Inversiones!$F$16:$F$1700))</f>
        <v/>
      </c>
      <c r="H66" s="48"/>
      <c r="I66" s="67"/>
      <c r="J66" s="67"/>
      <c r="K66" s="67"/>
      <c r="L66" s="48" t="str">
        <f>IF(D66=0,"",+SUMIF(SYS_4_3_Digitos!$A$5:$A$6004,D66,SYS_4_3_Digitos!$I$5:$I$6004)-+SUMIF(SYS_4_3_Digitos!$A$5:$A$6004,D66,SYS_4_3_Digitos!$J$5:$J$6004))</f>
        <v/>
      </c>
      <c r="N66" s="48"/>
      <c r="P66" s="48"/>
      <c r="Q66"/>
    </row>
    <row r="67" spans="3:17" ht="15.6" outlineLevel="1">
      <c r="C67" s="53" t="s">
        <v>359</v>
      </c>
      <c r="D67" s="45">
        <v>221</v>
      </c>
      <c r="E67" s="48">
        <f>IF(D67=0,"",+SUMIF(SYS_4_3_Digitos!$A$5:$A$6004,D67,SYS_4_3_Digitos!$C$5:$C$6004)-+SUMIF(SYS_4_3_Digitos!$A$5:$A$6004,D67,SYS_4_3_Digitos!$D$5:$D$6004))</f>
        <v>15084095.629999999</v>
      </c>
      <c r="F67" s="48">
        <f>IF(D67=0,"",+SUMIF(Inversiones!$J$16:$J$1700,D67,Inversiones!$G$16:$G$1700))</f>
        <v>3505813.0700000003</v>
      </c>
      <c r="G67" s="48">
        <f>IF($D67=0,"",+SUMIF(Inversiones!$J$16:$J$1700,$D67,Inversiones!$H$16:$H$1700))</f>
        <v>0</v>
      </c>
      <c r="H67" s="48"/>
      <c r="I67" s="67"/>
      <c r="J67" s="67"/>
      <c r="K67" s="67"/>
      <c r="L67" s="48">
        <f ca="1">IF(D67=0,"",+SUMIF(SYS_4_3_Digitos!$A$5:$A$6004,D67,SYS_4_3_Digitos!$I$5:$I$6004)-+SUMIF(SYS_4_3_Digitos!$A$5:$A$6004,D67,SYS_4_3_Digitos!$J$5:$J$6004))</f>
        <v>18589908.699999999</v>
      </c>
      <c r="N67" s="48">
        <f>+SUM(E67:K67)</f>
        <v>18589908.699999999</v>
      </c>
      <c r="P67" s="48">
        <f ca="1">+L67-N67</f>
        <v>0</v>
      </c>
      <c r="Q67"/>
    </row>
    <row r="68" spans="3:17" ht="15.6" outlineLevel="1">
      <c r="C68" s="54" t="s">
        <v>394</v>
      </c>
      <c r="D68" s="50">
        <v>282</v>
      </c>
      <c r="E68" s="51">
        <f>IF(D68=0,"",-SUMIF(SYS_4_3_Digitos!$A$5:$A$6004,D68,SYS_4_3_Digitos!$C$5:$C$6004)+SUMIF(SYS_4_3_Digitos!$A$5:$A$6004,D68,SYS_4_3_Digitos!$D$5:$D$6004))</f>
        <v>540947.39</v>
      </c>
      <c r="F68" s="51">
        <f>IF(D68=0,"",+SUMIF(Inversiones!$J$16:$J$1700,D68,Inversiones!$G$16:$G$1700))</f>
        <v>0</v>
      </c>
      <c r="G68" s="51">
        <f>IF($D68=0,"",+SUMIF(Inversiones!$J$16:$J$1700,$D68,Inversiones!$H$16:$H$1700))</f>
        <v>0</v>
      </c>
      <c r="H68" s="51">
        <f ca="1">+L68-E68-SUM(I68:K68)</f>
        <v>358611.1</v>
      </c>
      <c r="I68" s="66"/>
      <c r="J68" s="66"/>
      <c r="K68" s="66"/>
      <c r="L68" s="51">
        <f ca="1">IF(D68=0,"",-SUMIF(SYS_4_3_Digitos!$A$5:$A$6004,D68,SYS_4_3_Digitos!$I$5:$I$6004)+SUMIF(SYS_4_3_Digitos!$A$5:$A$6004,D68,SYS_4_3_Digitos!$J$5:$J$6004))</f>
        <v>899558.49</v>
      </c>
      <c r="N68" s="51">
        <f ca="1">+SUM(E68:K68)</f>
        <v>899558.49</v>
      </c>
      <c r="P68" s="51">
        <f ca="1">+L68-N68</f>
        <v>0</v>
      </c>
      <c r="Q68"/>
    </row>
    <row r="69" spans="3:17" ht="7.5" customHeight="1" outlineLevel="1">
      <c r="C69" s="63"/>
      <c r="D69" s="46"/>
      <c r="E69" s="64" t="str">
        <f>IF(D69=0,"",+SUMIF(SYS_4_3_Digitos!$A$5:$A$6004,D69,SYS_4_3_Digitos!$C$5:$C$6004)-+SUMIF(SYS_4_3_Digitos!$A$5:$A$6004,D69,SYS_4_3_Digitos!$D$5:$D$6004))</f>
        <v/>
      </c>
      <c r="F69" s="64" t="str">
        <f>IF(D69=0,"",+SUMIF(Inversiones!$G$16:$G$1700,D69,Inversiones!$D$16:$D$1700))</f>
        <v/>
      </c>
      <c r="G69" s="64"/>
      <c r="H69" s="64"/>
      <c r="I69" s="68"/>
      <c r="J69" s="68"/>
      <c r="K69" s="68"/>
      <c r="L69" s="64" t="str">
        <f>IF(D69=0,"",+SUMIF(SYS_4_3_Digitos!$A$5:$A$6004,D69,SYS_4_3_Digitos!$I$5:$I$6004)-+SUMIF(SYS_4_3_Digitos!$A$5:$A$6004,D69,SYS_4_3_Digitos!$J$5:$J$6004))</f>
        <v/>
      </c>
      <c r="N69" s="48"/>
      <c r="P69" s="48"/>
      <c r="Q69"/>
    </row>
    <row r="70" spans="3:17" ht="15.6">
      <c r="E70" s="62">
        <f>+E74</f>
        <v>18524284.289999999</v>
      </c>
      <c r="F70" s="62">
        <f t="shared" ref="F70:L70" si="6">+F74</f>
        <v>4119891.46</v>
      </c>
      <c r="G70" s="62">
        <f t="shared" si="6"/>
        <v>0</v>
      </c>
      <c r="H70" s="62">
        <f t="shared" ca="1" si="6"/>
        <v>-358611.1</v>
      </c>
      <c r="I70" s="62">
        <f t="shared" si="6"/>
        <v>0</v>
      </c>
      <c r="J70" s="62">
        <f t="shared" si="6"/>
        <v>0</v>
      </c>
      <c r="K70" s="62">
        <f t="shared" si="6"/>
        <v>0</v>
      </c>
      <c r="L70" s="62">
        <f t="shared" ca="1" si="6"/>
        <v>22285564.650000002</v>
      </c>
      <c r="N70" s="47">
        <f ca="1">+SUM(E70:K70)</f>
        <v>22285564.649999999</v>
      </c>
      <c r="P70" s="47">
        <f ca="1">+L70-N70</f>
        <v>0</v>
      </c>
      <c r="Q70"/>
    </row>
    <row r="71" spans="3:17" ht="14.4">
      <c r="Q71"/>
    </row>
    <row r="72" spans="3:17" ht="18">
      <c r="C72" s="2317" t="s">
        <v>918</v>
      </c>
      <c r="D72" s="2317"/>
      <c r="E72" s="57">
        <f>+E64+E67</f>
        <v>19065231.68</v>
      </c>
      <c r="F72" s="57">
        <f t="shared" ref="F72:L72" si="7">+F64+F67</f>
        <v>4119891.46</v>
      </c>
      <c r="G72" s="57">
        <f t="shared" si="7"/>
        <v>0</v>
      </c>
      <c r="H72" s="57">
        <f t="shared" si="7"/>
        <v>0</v>
      </c>
      <c r="I72" s="57">
        <f t="shared" si="7"/>
        <v>0</v>
      </c>
      <c r="J72" s="57">
        <f t="shared" si="7"/>
        <v>0</v>
      </c>
      <c r="K72" s="57">
        <f t="shared" si="7"/>
        <v>0</v>
      </c>
      <c r="L72" s="57">
        <f t="shared" ca="1" si="7"/>
        <v>23185123.140000001</v>
      </c>
      <c r="Q72"/>
    </row>
    <row r="73" spans="3:17" ht="18">
      <c r="C73" s="2316" t="s">
        <v>919</v>
      </c>
      <c r="D73" s="2316"/>
      <c r="E73" s="167">
        <f>+E65+E68</f>
        <v>540947.39</v>
      </c>
      <c r="F73" s="167">
        <f t="shared" ref="F73:L73" si="8">+F65+F68</f>
        <v>0</v>
      </c>
      <c r="G73" s="167">
        <f t="shared" si="8"/>
        <v>0</v>
      </c>
      <c r="H73" s="167">
        <f t="shared" ca="1" si="8"/>
        <v>358611.1</v>
      </c>
      <c r="I73" s="167">
        <f t="shared" si="8"/>
        <v>0</v>
      </c>
      <c r="J73" s="167">
        <f t="shared" si="8"/>
        <v>0</v>
      </c>
      <c r="K73" s="167">
        <f t="shared" si="8"/>
        <v>0</v>
      </c>
      <c r="L73" s="167">
        <f t="shared" ca="1" si="8"/>
        <v>899558.49</v>
      </c>
      <c r="Q73"/>
    </row>
    <row r="74" spans="3:17" ht="15.6">
      <c r="E74" s="166">
        <f>+E72-E73</f>
        <v>18524284.289999999</v>
      </c>
      <c r="F74" s="166">
        <f t="shared" ref="F74:L74" si="9">+F72-F73</f>
        <v>4119891.46</v>
      </c>
      <c r="G74" s="166">
        <f t="shared" si="9"/>
        <v>0</v>
      </c>
      <c r="H74" s="166">
        <f t="shared" ca="1" si="9"/>
        <v>-358611.1</v>
      </c>
      <c r="I74" s="166">
        <f t="shared" si="9"/>
        <v>0</v>
      </c>
      <c r="J74" s="166">
        <f t="shared" si="9"/>
        <v>0</v>
      </c>
      <c r="K74" s="166">
        <f t="shared" si="9"/>
        <v>0</v>
      </c>
      <c r="L74" s="166">
        <f t="shared" ca="1" si="9"/>
        <v>22285564.650000002</v>
      </c>
      <c r="Q74"/>
    </row>
    <row r="75" spans="3:17" ht="14.4">
      <c r="Q75"/>
    </row>
    <row r="76" spans="3:17" ht="15.6" outlineLevel="1">
      <c r="D76" s="56">
        <v>682</v>
      </c>
      <c r="E76" s="61">
        <f>-BALANCE!H27</f>
        <v>-18524284.289999999</v>
      </c>
      <c r="F76" s="57">
        <f>-SUMIF(Inversiones!$L$16:$L$301,Inmovilizado!$C$60,Inversiones!G16:G301)</f>
        <v>-4119891.46</v>
      </c>
      <c r="G76" s="57">
        <f>-SUMIF(Inversiones!$L$16:$L$301,Inmovilizado!$C$60,Inversiones!H16:H301)</f>
        <v>0</v>
      </c>
      <c r="H76" s="57">
        <f ca="1">IF(D76=0,"",-SUMIF(SYS_4_3_Digitos!$A$5:$A$6004,D76,SYS_4_3_Digitos!$I$5:$I$6004)+SUMIF(SYS_4_3_Digitos!$A$5:$A$6004,D76,SYS_4_3_Digitos!$J$5:$J$6004))</f>
        <v>-358611.1</v>
      </c>
      <c r="L76" s="61">
        <f ca="1">-BALANCE!E27</f>
        <v>-22285564.650000002</v>
      </c>
      <c r="Q76"/>
    </row>
    <row r="77" spans="3:17" ht="14.4" outlineLevel="1">
      <c r="Q77"/>
    </row>
    <row r="78" spans="3:17" ht="15.6" outlineLevel="1">
      <c r="D78" s="60" t="s">
        <v>644</v>
      </c>
      <c r="E78" s="59">
        <f>ROUND(+E70+E76,1)</f>
        <v>0</v>
      </c>
      <c r="F78" s="59">
        <f>ROUND(+F70+F76,1)</f>
        <v>0</v>
      </c>
      <c r="G78" s="59">
        <f>ROUND(+G70+G76,1)</f>
        <v>0</v>
      </c>
      <c r="H78" s="59">
        <f ca="1">ROUND(+H70-H76,1)</f>
        <v>0</v>
      </c>
      <c r="L78" s="59">
        <f ca="1">ROUND(+L70+L76,1)</f>
        <v>0</v>
      </c>
      <c r="Q78"/>
    </row>
    <row r="79" spans="3:17" ht="14.4" outlineLevel="1">
      <c r="Q79"/>
    </row>
    <row r="80" spans="3:17" ht="14.4" outlineLevel="1">
      <c r="Q80"/>
    </row>
    <row r="81" spans="3:17" ht="14.4">
      <c r="Q81"/>
    </row>
    <row r="82" spans="3:17" ht="18">
      <c r="C82" s="11" t="s">
        <v>5</v>
      </c>
      <c r="D82" s="449">
        <f ca="1">+SUM(E119:L119)+P111</f>
        <v>0</v>
      </c>
      <c r="Q82"/>
    </row>
    <row r="83" spans="3:17" ht="6" customHeight="1">
      <c r="Q83"/>
    </row>
    <row r="84" spans="3:17" s="41" customFormat="1" ht="31.2">
      <c r="C84" s="42" t="s">
        <v>171</v>
      </c>
      <c r="D84" s="42" t="s">
        <v>643</v>
      </c>
      <c r="E84" s="42" t="s">
        <v>635</v>
      </c>
      <c r="F84" s="42" t="s">
        <v>637</v>
      </c>
      <c r="G84" s="42" t="s">
        <v>636</v>
      </c>
      <c r="H84" s="42" t="s">
        <v>638</v>
      </c>
      <c r="I84" s="42" t="s">
        <v>639</v>
      </c>
      <c r="J84" s="42" t="s">
        <v>640</v>
      </c>
      <c r="K84" s="42" t="s">
        <v>641</v>
      </c>
      <c r="L84" s="42" t="s">
        <v>642</v>
      </c>
      <c r="N84" s="58" t="s">
        <v>645</v>
      </c>
      <c r="P84" s="58" t="s">
        <v>646</v>
      </c>
    </row>
    <row r="85" spans="3:17" ht="7.5" customHeight="1" outlineLevel="1">
      <c r="C85" s="49"/>
      <c r="D85" s="45"/>
      <c r="E85" s="48"/>
      <c r="F85" s="44"/>
      <c r="G85" s="44"/>
      <c r="H85" s="44"/>
      <c r="I85" s="65"/>
      <c r="J85" s="65"/>
      <c r="K85" s="65"/>
      <c r="L85" s="44"/>
      <c r="N85" s="44"/>
      <c r="P85" s="44"/>
      <c r="Q85"/>
    </row>
    <row r="86" spans="3:17" ht="15.6" outlineLevel="1">
      <c r="C86" s="52"/>
      <c r="D86" s="50"/>
      <c r="E86" s="51" t="str">
        <f>IF(D86=0,"",+SUMIF(SYS_4_3_Digitos!$A$5:$A$6004,D86,SYS_4_3_Digitos!$C$5:$C$6004)-+SUMIF(SYS_4_3_Digitos!$A$5:$A$6004,D86,SYS_4_3_Digitos!$D$5:$D$6004))</f>
        <v/>
      </c>
      <c r="F86" s="51" t="str">
        <f>IF($D86=0,"",+SUMIF(Inversiones!$G$16:$G$1700,$D86,Inversiones!$D$16:$D$1700))</f>
        <v/>
      </c>
      <c r="G86" s="51" t="str">
        <f>IF($D86=0,"",+SUMIF(Inversiones!$G$16:$G$1700,$D86,Inversiones!$F$16:$F$1700))</f>
        <v/>
      </c>
      <c r="H86" s="51"/>
      <c r="I86" s="66"/>
      <c r="J86" s="66"/>
      <c r="K86" s="66"/>
      <c r="L86" s="51" t="str">
        <f>IF(D86=0,"",+SUMIF(SYS_4_3_Digitos!$A$5:$A$6004,D86,SYS_4_3_Digitos!$I$5:$I$6004)-+SUMIF(SYS_4_3_Digitos!$A$5:$A$6004,D86,SYS_4_3_Digitos!$J$5:$J$6004))</f>
        <v/>
      </c>
      <c r="N86" s="51">
        <f>+SUM(E86:K86)</f>
        <v>0</v>
      </c>
      <c r="P86" s="51"/>
      <c r="Q86"/>
    </row>
    <row r="87" spans="3:17" ht="7.5" customHeight="1" outlineLevel="1">
      <c r="C87" s="53"/>
      <c r="D87" s="45"/>
      <c r="E87" s="48" t="str">
        <f>IF(D87=0,"",+SUMIF(SYS_4_3_Digitos!$A$5:$A$6004,D87,SYS_4_3_Digitos!$C$5:$C$6004)-+SUMIF(SYS_4_3_Digitos!$A$5:$A$6004,D87,SYS_4_3_Digitos!$D$5:$D$6004))</f>
        <v/>
      </c>
      <c r="F87" s="48" t="str">
        <f>IF(D87=0,"",+SUMIF(Inversiones!$J$16:$J$1700,D87,Inversiones!$G$16:$G$1700))</f>
        <v/>
      </c>
      <c r="G87" s="48" t="str">
        <f>IF($D87=0,"",+SUMIF(Inversiones!$J$16:$J$1700,$D87,Inversiones!$F$16:$F$1700))</f>
        <v/>
      </c>
      <c r="H87" s="48"/>
      <c r="I87" s="67"/>
      <c r="J87" s="67"/>
      <c r="K87" s="67"/>
      <c r="L87" s="48" t="str">
        <f>IF(D87=0,"",+SUMIF(SYS_4_3_Digitos!$A$5:$A$6004,D87,SYS_4_3_Digitos!$I$5:$I$6004)-+SUMIF(SYS_4_3_Digitos!$A$5:$A$6004,D87,SYS_4_3_Digitos!$J$5:$J$6004))</f>
        <v/>
      </c>
      <c r="N87" s="48"/>
      <c r="P87" s="48"/>
      <c r="Q87"/>
    </row>
    <row r="88" spans="3:17" ht="15.6" outlineLevel="1">
      <c r="C88" s="53" t="s">
        <v>340</v>
      </c>
      <c r="D88" s="45">
        <v>200</v>
      </c>
      <c r="E88" s="48">
        <f>IF(D88=0,"",+SUMIF(SYS_4_3_Digitos!$A$5:$A$6004,D88,SYS_4_3_Digitos!$C$5:$C$6004)-+SUMIF(SYS_4_3_Digitos!$A$5:$A$6004,D88,SYS_4_3_Digitos!$D$5:$D$6004))</f>
        <v>0</v>
      </c>
      <c r="F88" s="48">
        <f>IF(D88=0,"",+SUMIF(Inversiones!$J$16:$J$1700,D88,Inversiones!$G$16:$G$1700))</f>
        <v>0</v>
      </c>
      <c r="G88" s="48">
        <f>IF($D88=0,"",+SUMIF(Inversiones!$J$16:$J$1700,$D88,Inversiones!$H$16:$H$1700))</f>
        <v>0</v>
      </c>
      <c r="H88" s="48"/>
      <c r="I88" s="67"/>
      <c r="J88" s="67"/>
      <c r="K88" s="67"/>
      <c r="L88" s="48">
        <f ca="1">IF(D88=0,"",+SUMIF(SYS_4_3_Digitos!$A$5:$A$6004,D88,SYS_4_3_Digitos!$I$5:$I$6004)-+SUMIF(SYS_4_3_Digitos!$A$5:$A$6004,D88,SYS_4_3_Digitos!$J$5:$J$6004))</f>
        <v>0</v>
      </c>
      <c r="N88" s="48">
        <f>+SUM(E88:K88)</f>
        <v>0</v>
      </c>
      <c r="P88" s="48">
        <f ca="1">+L88-N88</f>
        <v>0</v>
      </c>
      <c r="Q88"/>
    </row>
    <row r="89" spans="3:17" ht="15.6" outlineLevel="1">
      <c r="C89" s="54" t="s">
        <v>379</v>
      </c>
      <c r="D89" s="50">
        <v>2800</v>
      </c>
      <c r="E89" s="51">
        <f>IF(D89=0,"",-SUMIF(SYS_4_3_Digitos!$A$5:$A$6004,D89,SYS_4_3_Digitos!$C$5:$C$6004)+SUMIF(SYS_4_3_Digitos!$A$5:$A$6004,D89,SYS_4_3_Digitos!$D$5:$D$6004))</f>
        <v>0</v>
      </c>
      <c r="F89" s="51">
        <f>IF(D89=0,"",+SUMIF(Inversiones!$J$16:$J$1700,D89,Inversiones!$G$16:$G$1700))</f>
        <v>0</v>
      </c>
      <c r="G89" s="51">
        <f>IF($D89=0,"",+SUMIF(Inversiones!$J$16:$J$1700,$D89,Inversiones!$H$16:$H$1700))</f>
        <v>0</v>
      </c>
      <c r="H89" s="51">
        <f ca="1">+L89-E89-SUM(I89:K89)</f>
        <v>0</v>
      </c>
      <c r="I89" s="66"/>
      <c r="J89" s="66"/>
      <c r="K89" s="66"/>
      <c r="L89" s="51">
        <f ca="1">IF(D89=0,"",-SUMIF(SYS_4_3_Digitos!$A$5:$A$6004,D89,SYS_4_3_Digitos!$I$5:$I$6004)+SUMIF(SYS_4_3_Digitos!$A$5:$A$6004,D89,SYS_4_3_Digitos!$J$5:$J$6004))</f>
        <v>0</v>
      </c>
      <c r="N89" s="51">
        <f ca="1">+SUM(E89:K89)</f>
        <v>0</v>
      </c>
      <c r="P89" s="51">
        <f ca="1">+L89-N89</f>
        <v>0</v>
      </c>
      <c r="Q89"/>
    </row>
    <row r="90" spans="3:17" ht="7.5" customHeight="1" outlineLevel="1">
      <c r="C90" s="53"/>
      <c r="D90" s="45"/>
      <c r="E90" s="48" t="str">
        <f>IF(D90=0,"",+SUMIF(SYS_4_3_Digitos!$A$5:$A$6004,D90,SYS_4_3_Digitos!$C$5:$C$6004)-+SUMIF(SYS_4_3_Digitos!$A$5:$A$6004,D90,SYS_4_3_Digitos!$D$5:$D$6004))</f>
        <v/>
      </c>
      <c r="F90" s="48" t="str">
        <f>IF(D90=0,"",+SUMIF(Inversiones!$J$16:$J$1700,D90,Inversiones!$G$16:$G$1700))</f>
        <v/>
      </c>
      <c r="G90" s="48" t="str">
        <f>IF($D90=0,"",+SUMIF(Inversiones!$J$16:$J$1700,$D90,Inversiones!$F$16:$F$1700))</f>
        <v/>
      </c>
      <c r="H90" s="48"/>
      <c r="I90" s="67"/>
      <c r="J90" s="67"/>
      <c r="K90" s="67"/>
      <c r="L90" s="48" t="str">
        <f>IF(D90=0,"",+SUMIF(SYS_4_3_Digitos!$A$5:$A$6004,D90,SYS_4_3_Digitos!$I$5:$I$6004)-+SUMIF(SYS_4_3_Digitos!$A$5:$A$6004,D90,SYS_4_3_Digitos!$J$5:$J$6004))</f>
        <v/>
      </c>
      <c r="N90" s="48"/>
      <c r="P90" s="48"/>
      <c r="Q90"/>
    </row>
    <row r="91" spans="3:17" ht="15.6" outlineLevel="1">
      <c r="C91" s="53" t="s">
        <v>341</v>
      </c>
      <c r="D91" s="45">
        <v>201</v>
      </c>
      <c r="E91" s="48">
        <f>IF(D91=0,"",+SUMIF(SYS_4_3_Digitos!$A$5:$A$6004,D91,SYS_4_3_Digitos!$C$5:$C$6004)-+SUMIF(SYS_4_3_Digitos!$A$5:$A$6004,D91,SYS_4_3_Digitos!$D$5:$D$6004))</f>
        <v>0</v>
      </c>
      <c r="F91" s="48">
        <f>IF(D91=0,"",+SUMIF(Inversiones!$J$16:$J$1700,D91,Inversiones!$G$16:$G$1700))</f>
        <v>0</v>
      </c>
      <c r="G91" s="48">
        <f>IF($D91=0,"",+SUMIF(Inversiones!$J$16:$J$1700,$D91,Inversiones!$H$16:$H$1700))</f>
        <v>0</v>
      </c>
      <c r="H91" s="48"/>
      <c r="I91" s="67"/>
      <c r="J91" s="67"/>
      <c r="K91" s="67"/>
      <c r="L91" s="48">
        <f ca="1">IF(D91=0,"",+SUMIF(SYS_4_3_Digitos!$A$5:$A$6004,D91,SYS_4_3_Digitos!$I$5:$I$6004)-+SUMIF(SYS_4_3_Digitos!$A$5:$A$6004,D91,SYS_4_3_Digitos!$J$5:$J$6004))</f>
        <v>0</v>
      </c>
      <c r="N91" s="48">
        <f>+SUM(E91:K91)</f>
        <v>0</v>
      </c>
      <c r="P91" s="48">
        <f ca="1">+L91-N91</f>
        <v>0</v>
      </c>
      <c r="Q91"/>
    </row>
    <row r="92" spans="3:17" ht="15.6" outlineLevel="1">
      <c r="C92" s="54" t="s">
        <v>380</v>
      </c>
      <c r="D92" s="50">
        <v>2829</v>
      </c>
      <c r="E92" s="51">
        <f>IF(D92=0,"",-SUMIF(SYS_4_3_Digitos!$A$5:$A$6004,D92,SYS_4_3_Digitos!$C$5:$C$6004)+SUMIF(SYS_4_3_Digitos!$A$5:$A$6004,D92,SYS_4_3_Digitos!$D$5:$D$6004))</f>
        <v>0</v>
      </c>
      <c r="F92" s="51">
        <f>IF(D92=0,"",+SUMIF(Inversiones!$J$16:$J$1700,D92,Inversiones!$G$16:$G$1700))</f>
        <v>0</v>
      </c>
      <c r="G92" s="51">
        <f>IF($D92=0,"",+SUMIF(Inversiones!$J$16:$J$1700,$D92,Inversiones!$H$16:$H$1700))</f>
        <v>0</v>
      </c>
      <c r="H92" s="51">
        <f>+L92-E92-SUM(I92:K92)</f>
        <v>0</v>
      </c>
      <c r="I92" s="66"/>
      <c r="J92" s="66"/>
      <c r="K92" s="66"/>
      <c r="L92" s="51">
        <f>IF(D92=0,"",-SUMIF(SYS_4_3_Digitos!$A$5:$A$6004,D92,SYS_4_3_Digitos!$I$5:$I$6004)+SUMIF(SYS_4_3_Digitos!$A$5:$A$6004,D92,SYS_4_3_Digitos!$J$5:$J$6004))</f>
        <v>0</v>
      </c>
      <c r="N92" s="51">
        <f>+SUM(E92:K92)</f>
        <v>0</v>
      </c>
      <c r="P92" s="51">
        <f>+L92-N92</f>
        <v>0</v>
      </c>
      <c r="Q92"/>
    </row>
    <row r="93" spans="3:17" ht="7.5" customHeight="1" outlineLevel="1">
      <c r="C93" s="53"/>
      <c r="D93" s="45"/>
      <c r="E93" s="48" t="str">
        <f>IF(D93=0,"",+SUMIF(SYS_4_3_Digitos!$A$5:$A$6004,D93,SYS_4_3_Digitos!$C$5:$C$6004)-+SUMIF(SYS_4_3_Digitos!$A$5:$A$6004,D93,SYS_4_3_Digitos!$D$5:$D$6004))</f>
        <v/>
      </c>
      <c r="F93" s="48" t="str">
        <f>IF(D93=0,"",+SUMIF(Inversiones!$J$16:$J$1700,D93,Inversiones!$G$16:$G$1700))</f>
        <v/>
      </c>
      <c r="G93" s="48" t="str">
        <f>IF($D93=0,"",+SUMIF(Inversiones!$J$16:$J$1700,$D93,Inversiones!$F$16:$F$1700))</f>
        <v/>
      </c>
      <c r="H93" s="48"/>
      <c r="I93" s="67"/>
      <c r="J93" s="67"/>
      <c r="K93" s="67"/>
      <c r="L93" s="48" t="str">
        <f>IF(D93=0,"",+SUMIF(SYS_4_3_Digitos!$A$5:$A$6004,D93,SYS_4_3_Digitos!$I$5:$I$6004)-+SUMIF(SYS_4_3_Digitos!$A$5:$A$6004,D93,SYS_4_3_Digitos!$J$5:$J$6004))</f>
        <v/>
      </c>
      <c r="N93" s="48"/>
      <c r="P93" s="48"/>
      <c r="Q93"/>
    </row>
    <row r="94" spans="3:17" ht="15.6" outlineLevel="1">
      <c r="C94" s="53" t="s">
        <v>342</v>
      </c>
      <c r="D94" s="45">
        <v>202</v>
      </c>
      <c r="E94" s="48">
        <f>IF(D94=0,"",+SUMIF(SYS_4_3_Digitos!$A$5:$A$6004,D94,SYS_4_3_Digitos!$C$5:$C$6004)-+SUMIF(SYS_4_3_Digitos!$A$5:$A$6004,D94,SYS_4_3_Digitos!$D$5:$D$6004))</f>
        <v>20800</v>
      </c>
      <c r="F94" s="48">
        <f>IF(D94=0,"",+SUMIF(Inversiones!$J$16:$J$1700,D94,Inversiones!$G$16:$G$1700))</f>
        <v>0</v>
      </c>
      <c r="G94" s="48">
        <f>IF($D94=0,"",+SUMIF(Inversiones!$J$16:$J$1700,$D94,Inversiones!$H$16:$H$1700))</f>
        <v>0</v>
      </c>
      <c r="H94" s="48"/>
      <c r="I94" s="67"/>
      <c r="J94" s="67"/>
      <c r="K94" s="67"/>
      <c r="L94" s="48">
        <f ca="1">IF(D94=0,"",+SUMIF(SYS_4_3_Digitos!$A$5:$A$6004,D94,SYS_4_3_Digitos!$I$5:$I$6004)-+SUMIF(SYS_4_3_Digitos!$A$5:$A$6004,D94,SYS_4_3_Digitos!$J$5:$J$6004))</f>
        <v>20800</v>
      </c>
      <c r="N94" s="48">
        <f>+SUM(E94:K94)</f>
        <v>20800</v>
      </c>
      <c r="P94" s="48">
        <f ca="1">+L94-N94</f>
        <v>0</v>
      </c>
      <c r="Q94"/>
    </row>
    <row r="95" spans="3:17" ht="15.6" outlineLevel="1">
      <c r="C95" s="54" t="s">
        <v>381</v>
      </c>
      <c r="D95" s="50">
        <v>2802</v>
      </c>
      <c r="E95" s="51">
        <f>IF(D95=0,"",-SUMIF(SYS_4_3_Digitos!$A$5:$A$6004,D95,SYS_4_3_Digitos!$C$5:$C$6004)+SUMIF(SYS_4_3_Digitos!$A$5:$A$6004,D95,SYS_4_3_Digitos!$D$5:$D$6004))</f>
        <v>9185.7000000000007</v>
      </c>
      <c r="F95" s="51">
        <f>IF(D95=0,"",+SUMIF(Inversiones!$J$16:$J$1700,D95,Inversiones!$G$16:$G$1700))</f>
        <v>0</v>
      </c>
      <c r="G95" s="51">
        <f>IF($D95=0,"",+SUMIF(Inversiones!$J$16:$J$1700,$D95,Inversiones!$H$16:$H$1700))</f>
        <v>0</v>
      </c>
      <c r="H95" s="51">
        <f ca="1">+L95-E95-SUM(I95:K95)</f>
        <v>443.03999999999905</v>
      </c>
      <c r="I95" s="66"/>
      <c r="J95" s="66"/>
      <c r="K95" s="66"/>
      <c r="L95" s="51">
        <f ca="1">IF(D95=0,"",-SUMIF(SYS_4_3_Digitos!$A$5:$A$6004,D95,SYS_4_3_Digitos!$I$5:$I$6004)+SUMIF(SYS_4_3_Digitos!$A$5:$A$6004,D95,SYS_4_3_Digitos!$J$5:$J$6004))</f>
        <v>9628.74</v>
      </c>
      <c r="N95" s="51">
        <f ca="1">+SUM(E95:K95)</f>
        <v>9628.74</v>
      </c>
      <c r="P95" s="51">
        <f ca="1">+L95-N95</f>
        <v>0</v>
      </c>
      <c r="Q95"/>
    </row>
    <row r="96" spans="3:17" ht="7.5" customHeight="1" outlineLevel="1">
      <c r="C96" s="53"/>
      <c r="D96" s="45"/>
      <c r="E96" s="48" t="str">
        <f>IF(D96=0,"",+SUMIF(SYS_4_3_Digitos!$A$5:$A$6004,D96,SYS_4_3_Digitos!$C$5:$C$6004)-+SUMIF(SYS_4_3_Digitos!$A$5:$A$6004,D96,SYS_4_3_Digitos!$D$5:$D$6004))</f>
        <v/>
      </c>
      <c r="F96" s="48" t="str">
        <f>IF(D96=0,"",+SUMIF(Inversiones!$J$16:$J$1700,D96,Inversiones!$G$16:$G$1700))</f>
        <v/>
      </c>
      <c r="G96" s="48" t="str">
        <f>IF($D96=0,"",+SUMIF(Inversiones!$J$16:$J$1700,$D96,Inversiones!$F$16:$F$1700))</f>
        <v/>
      </c>
      <c r="H96" s="48"/>
      <c r="I96" s="67"/>
      <c r="J96" s="67"/>
      <c r="K96" s="67"/>
      <c r="L96" s="48" t="str">
        <f>IF(D96=0,"",+SUMIF(SYS_4_3_Digitos!$A$5:$A$6004,D96,SYS_4_3_Digitos!$I$5:$I$6004)-+SUMIF(SYS_4_3_Digitos!$A$5:$A$6004,D96,SYS_4_3_Digitos!$J$5:$J$6004))</f>
        <v/>
      </c>
      <c r="N96" s="48"/>
      <c r="P96" s="48"/>
      <c r="Q96"/>
    </row>
    <row r="97" spans="3:17" ht="15.6" outlineLevel="1">
      <c r="C97" s="53" t="s">
        <v>343</v>
      </c>
      <c r="D97" s="45">
        <v>203</v>
      </c>
      <c r="E97" s="48">
        <f>IF(D97=0,"",+SUMIF(SYS_4_3_Digitos!$A$5:$A$6004,D97,SYS_4_3_Digitos!$C$5:$C$6004)-+SUMIF(SYS_4_3_Digitos!$A$5:$A$6004,D97,SYS_4_3_Digitos!$D$5:$D$6004))</f>
        <v>0</v>
      </c>
      <c r="F97" s="48">
        <f>IF(D97=0,"",+SUMIF(Inversiones!$J$16:$J$1700,D97,Inversiones!$G$16:$G$1700))</f>
        <v>0</v>
      </c>
      <c r="G97" s="48">
        <f>IF($D97=0,"",+SUMIF(Inversiones!$J$16:$J$1700,$D97,Inversiones!$H$16:$H$1700))</f>
        <v>0</v>
      </c>
      <c r="H97" s="48"/>
      <c r="I97" s="67"/>
      <c r="J97" s="67"/>
      <c r="K97" s="67"/>
      <c r="L97" s="48">
        <f ca="1">IF(D97=0,"",+SUMIF(SYS_4_3_Digitos!$A$5:$A$6004,D97,SYS_4_3_Digitos!$I$5:$I$6004)-+SUMIF(SYS_4_3_Digitos!$A$5:$A$6004,D97,SYS_4_3_Digitos!$J$5:$J$6004))</f>
        <v>0</v>
      </c>
      <c r="N97" s="48">
        <f>+SUM(E97:K97)</f>
        <v>0</v>
      </c>
      <c r="P97" s="48">
        <f ca="1">+L97-N97</f>
        <v>0</v>
      </c>
      <c r="Q97"/>
    </row>
    <row r="98" spans="3:17" ht="15.6" outlineLevel="1">
      <c r="C98" s="54" t="s">
        <v>382</v>
      </c>
      <c r="D98" s="50">
        <v>2803</v>
      </c>
      <c r="E98" s="51">
        <f>IF(D98=0,"",-SUMIF(SYS_4_3_Digitos!$A$5:$A$6004,D98,SYS_4_3_Digitos!$C$5:$C$6004)+SUMIF(SYS_4_3_Digitos!$A$5:$A$6004,D98,SYS_4_3_Digitos!$D$5:$D$6004))</f>
        <v>0</v>
      </c>
      <c r="F98" s="51">
        <f>IF(D98=0,"",+SUMIF(Inversiones!$J$16:$J$1700,D98,Inversiones!$G$16:$G$1700))</f>
        <v>0</v>
      </c>
      <c r="G98" s="51">
        <f>IF($D98=0,"",+SUMIF(Inversiones!$J$16:$J$1700,$D98,Inversiones!$H$16:$H$1700))</f>
        <v>0</v>
      </c>
      <c r="H98" s="51">
        <f ca="1">+L98-E98-SUM(I98:K98)</f>
        <v>0</v>
      </c>
      <c r="I98" s="66"/>
      <c r="J98" s="66"/>
      <c r="K98" s="66"/>
      <c r="L98" s="51">
        <f ca="1">IF(D98=0,"",-SUMIF(SYS_4_3_Digitos!$A$5:$A$6004,D98,SYS_4_3_Digitos!$I$5:$I$6004)+SUMIF(SYS_4_3_Digitos!$A$5:$A$6004,D98,SYS_4_3_Digitos!$J$5:$J$6004))</f>
        <v>0</v>
      </c>
      <c r="N98" s="51">
        <f ca="1">+SUM(E98:K98)</f>
        <v>0</v>
      </c>
      <c r="P98" s="51">
        <f ca="1">+L98-N98</f>
        <v>0</v>
      </c>
      <c r="Q98"/>
    </row>
    <row r="99" spans="3:17" ht="7.5" customHeight="1" outlineLevel="1">
      <c r="C99" s="53"/>
      <c r="D99" s="45"/>
      <c r="E99" s="48" t="str">
        <f>IF(D99=0,"",+SUMIF(SYS_4_3_Digitos!$A$5:$A$6004,D99,SYS_4_3_Digitos!$C$5:$C$6004)-+SUMIF(SYS_4_3_Digitos!$A$5:$A$6004,D99,SYS_4_3_Digitos!$D$5:$D$6004))</f>
        <v/>
      </c>
      <c r="F99" s="48" t="str">
        <f>IF(D99=0,"",+SUMIF(Inversiones!$J$16:$J$1700,D99,Inversiones!$G$16:$G$1700))</f>
        <v/>
      </c>
      <c r="G99" s="48" t="str">
        <f>IF($D99=0,"",+SUMIF(Inversiones!$J$16:$J$1700,$D99,Inversiones!$F$16:$F$1700))</f>
        <v/>
      </c>
      <c r="H99" s="48"/>
      <c r="I99" s="67"/>
      <c r="J99" s="67"/>
      <c r="K99" s="67"/>
      <c r="L99" s="48" t="str">
        <f>IF(D99=0,"",+SUMIF(SYS_4_3_Digitos!$A$5:$A$6004,D99,SYS_4_3_Digitos!$I$5:$I$6004)-+SUMIF(SYS_4_3_Digitos!$A$5:$A$6004,D99,SYS_4_3_Digitos!$J$5:$J$6004))</f>
        <v/>
      </c>
      <c r="N99" s="48"/>
      <c r="P99" s="48"/>
      <c r="Q99"/>
    </row>
    <row r="100" spans="3:17" ht="15.6" outlineLevel="1">
      <c r="C100" s="53" t="s">
        <v>344</v>
      </c>
      <c r="D100" s="45">
        <v>204</v>
      </c>
      <c r="E100" s="48">
        <f>IF(D100=0,"",+SUMIF(SYS_4_3_Digitos!$A$5:$A$6004,D100,SYS_4_3_Digitos!$C$5:$C$6004)-+SUMIF(SYS_4_3_Digitos!$A$5:$A$6004,D100,SYS_4_3_Digitos!$D$5:$D$6004))</f>
        <v>0</v>
      </c>
      <c r="F100" s="48">
        <f>IF(D100=0,"",+SUMIF(Inversiones!$J$16:$J$1700,D100,Inversiones!$G$16:$G$1700))</f>
        <v>0</v>
      </c>
      <c r="G100" s="48">
        <f>IF($D100=0,"",+SUMIF(Inversiones!$J$16:$J$1700,$D100,Inversiones!$H$16:$H$1700))</f>
        <v>0</v>
      </c>
      <c r="H100" s="48"/>
      <c r="I100" s="67"/>
      <c r="J100" s="67"/>
      <c r="K100" s="67"/>
      <c r="L100" s="48">
        <f ca="1">IF(D100=0,"",+SUMIF(SYS_4_3_Digitos!$A$5:$A$6004,D100,SYS_4_3_Digitos!$I$5:$I$6004)-+SUMIF(SYS_4_3_Digitos!$A$5:$A$6004,D100,SYS_4_3_Digitos!$J$5:$J$6004))</f>
        <v>0</v>
      </c>
      <c r="N100" s="48">
        <f>+SUM(E100:K100)</f>
        <v>0</v>
      </c>
      <c r="P100" s="48">
        <f ca="1">+L100-N100</f>
        <v>0</v>
      </c>
      <c r="Q100"/>
    </row>
    <row r="101" spans="3:17" ht="15.6" outlineLevel="1">
      <c r="C101" s="54" t="s">
        <v>1982</v>
      </c>
      <c r="D101" s="50">
        <v>2804</v>
      </c>
      <c r="E101" s="51">
        <f>IF(D101=0,"",-SUMIF(SYS_4_3_Digitos!$A$5:$A$6004,D101,SYS_4_3_Digitos!$C$5:$C$6004)+SUMIF(SYS_4_3_Digitos!$A$5:$A$6004,D101,SYS_4_3_Digitos!$D$5:$D$6004))</f>
        <v>0</v>
      </c>
      <c r="F101" s="51">
        <f>IF(D101=0,"",+SUMIF(Inversiones!$J$16:$J$1700,D101,Inversiones!$G$16:$G$1700))</f>
        <v>0</v>
      </c>
      <c r="G101" s="51">
        <f>IF($D101=0,"",+SUMIF(Inversiones!$J$16:$J$1700,$D101,Inversiones!$H$16:$H$1700))</f>
        <v>0</v>
      </c>
      <c r="H101" s="51">
        <f ca="1">+L101-E101-SUM(I101:K101)</f>
        <v>0</v>
      </c>
      <c r="I101" s="66"/>
      <c r="J101" s="66"/>
      <c r="K101" s="66"/>
      <c r="L101" s="51">
        <f ca="1">IF(D101=0,"",-SUMIF(SYS_4_3_Digitos!$A$5:$A$6004,D101,SYS_4_3_Digitos!$I$5:$I$6004)+SUMIF(SYS_4_3_Digitos!$A$5:$A$6004,D101,SYS_4_3_Digitos!$J$5:$J$6004))</f>
        <v>0</v>
      </c>
      <c r="N101" s="51">
        <f ca="1">+SUM(E101:K101)</f>
        <v>0</v>
      </c>
      <c r="P101" s="51"/>
      <c r="Q101"/>
    </row>
    <row r="102" spans="3:17" ht="7.5" customHeight="1" outlineLevel="1">
      <c r="C102" s="53"/>
      <c r="D102" s="45"/>
      <c r="E102" s="48" t="str">
        <f>IF(D102=0,"",+SUMIF(SYS_4_3_Digitos!$A$5:$A$6004,D102,SYS_4_3_Digitos!$C$5:$C$6004)-+SUMIF(SYS_4_3_Digitos!$A$5:$A$6004,D102,SYS_4_3_Digitos!$D$5:$D$6004))</f>
        <v/>
      </c>
      <c r="F102" s="48" t="str">
        <f>IF(D102=0,"",+SUMIF(Inversiones!$J$16:$J$1700,D102,Inversiones!$G$16:$G$1700))</f>
        <v/>
      </c>
      <c r="G102" s="48" t="str">
        <f>IF($D102=0,"",+SUMIF(Inversiones!$J$16:$J$1700,$D102,Inversiones!$F$16:$F$1700))</f>
        <v/>
      </c>
      <c r="H102" s="48"/>
      <c r="I102" s="67"/>
      <c r="J102" s="67"/>
      <c r="K102" s="67"/>
      <c r="L102" s="48" t="str">
        <f>IF(D102=0,"",+SUMIF(SYS_4_3_Digitos!$A$5:$A$6004,D102,SYS_4_3_Digitos!$I$5:$I$6004)-+SUMIF(SYS_4_3_Digitos!$A$5:$A$6004,D102,SYS_4_3_Digitos!$J$5:$J$6004))</f>
        <v/>
      </c>
      <c r="N102" s="48"/>
      <c r="P102" s="48"/>
      <c r="Q102"/>
    </row>
    <row r="103" spans="3:17" ht="15.6" outlineLevel="1">
      <c r="C103" s="53" t="s">
        <v>345</v>
      </c>
      <c r="D103" s="45">
        <v>205</v>
      </c>
      <c r="E103" s="48">
        <f>IF(D103=0,"",+SUMIF(SYS_4_3_Digitos!$A$5:$A$6004,D103,SYS_4_3_Digitos!$C$5:$C$6004)-+SUMIF(SYS_4_3_Digitos!$A$5:$A$6004,D103,SYS_4_3_Digitos!$D$5:$D$6004))</f>
        <v>0</v>
      </c>
      <c r="F103" s="48">
        <f>IF(D103=0,"",+SUMIF(Inversiones!$J$16:$J$1700,D103,Inversiones!$G$16:$G$1700))</f>
        <v>0</v>
      </c>
      <c r="G103" s="48">
        <f>IF($D103=0,"",+SUMIF(Inversiones!$J$16:$J$1700,$D103,Inversiones!$H$16:$H$1700))</f>
        <v>0</v>
      </c>
      <c r="H103" s="48"/>
      <c r="I103" s="67"/>
      <c r="J103" s="67"/>
      <c r="K103" s="67"/>
      <c r="L103" s="48">
        <f ca="1">IF(D103=0,"",+SUMIF(SYS_4_3_Digitos!$A$5:$A$6004,D103,SYS_4_3_Digitos!$I$5:$I$6004)-+SUMIF(SYS_4_3_Digitos!$A$5:$A$6004,D103,SYS_4_3_Digitos!$J$5:$J$6004))</f>
        <v>0</v>
      </c>
      <c r="N103" s="48">
        <f>+SUM(E103:K103)</f>
        <v>0</v>
      </c>
      <c r="P103" s="48">
        <f ca="1">+L103-N103</f>
        <v>0</v>
      </c>
      <c r="Q103"/>
    </row>
    <row r="104" spans="3:17" ht="15.6" outlineLevel="1">
      <c r="C104" s="54" t="s">
        <v>383</v>
      </c>
      <c r="D104" s="50">
        <v>2805</v>
      </c>
      <c r="E104" s="51">
        <f>IF(D104=0,"",-SUMIF(SYS_4_3_Digitos!$A$5:$A$6004,D104,SYS_4_3_Digitos!$C$5:$C$6004)+SUMIF(SYS_4_3_Digitos!$A$5:$A$6004,D104,SYS_4_3_Digitos!$D$5:$D$6004))</f>
        <v>0</v>
      </c>
      <c r="F104" s="51">
        <f>IF(D104=0,"",+SUMIF(Inversiones!$J$16:$J$1700,D104,Inversiones!$G$16:$G$1700))</f>
        <v>0</v>
      </c>
      <c r="G104" s="51">
        <f>IF($D104=0,"",+SUMIF(Inversiones!$J$16:$J$1700,$D104,Inversiones!$H$16:$H$1700))</f>
        <v>0</v>
      </c>
      <c r="H104" s="51">
        <f ca="1">+L104-E104-SUM(I104:K104)</f>
        <v>0</v>
      </c>
      <c r="I104" s="66"/>
      <c r="J104" s="66"/>
      <c r="K104" s="66"/>
      <c r="L104" s="51">
        <f ca="1">IF(D104=0,"",-SUMIF(SYS_4_3_Digitos!$A$5:$A$6004,D104,SYS_4_3_Digitos!$I$5:$I$6004)+SUMIF(SYS_4_3_Digitos!$A$5:$A$6004,D104,SYS_4_3_Digitos!$J$5:$J$6004))</f>
        <v>0</v>
      </c>
      <c r="N104" s="51">
        <f ca="1">+SUM(E104:K104)</f>
        <v>0</v>
      </c>
      <c r="P104" s="51">
        <f ca="1">+L104-N104</f>
        <v>0</v>
      </c>
      <c r="Q104"/>
    </row>
    <row r="105" spans="3:17" ht="7.5" customHeight="1" outlineLevel="1">
      <c r="C105" s="53"/>
      <c r="D105" s="45"/>
      <c r="E105" s="48" t="str">
        <f>IF(D105=0,"",+SUMIF(SYS_4_3_Digitos!$A$5:$A$6004,D105,SYS_4_3_Digitos!$C$5:$C$6004)-+SUMIF(SYS_4_3_Digitos!$A$5:$A$6004,D105,SYS_4_3_Digitos!$D$5:$D$6004))</f>
        <v/>
      </c>
      <c r="F105" s="48" t="str">
        <f>IF(D105=0,"",+SUMIF(Inversiones!$J$16:$J$1700,D105,Inversiones!$G$16:$G$1700))</f>
        <v/>
      </c>
      <c r="G105" s="48" t="str">
        <f>IF($D105=0,"",+SUMIF(Inversiones!$J$16:$J$1700,$D105,Inversiones!$F$16:$F$1700))</f>
        <v/>
      </c>
      <c r="H105" s="48"/>
      <c r="I105" s="67"/>
      <c r="J105" s="67"/>
      <c r="K105" s="67"/>
      <c r="L105" s="48" t="str">
        <f>IF(D105=0,"",+SUMIF(SYS_4_3_Digitos!$A$5:$A$6004,D105,SYS_4_3_Digitos!$I$5:$I$6004)-+SUMIF(SYS_4_3_Digitos!$A$5:$A$6004,D105,SYS_4_3_Digitos!$J$5:$J$6004))</f>
        <v/>
      </c>
      <c r="N105" s="48"/>
      <c r="P105" s="48"/>
      <c r="Q105"/>
    </row>
    <row r="106" spans="3:17" ht="15.6" outlineLevel="1">
      <c r="C106" s="53" t="s">
        <v>346</v>
      </c>
      <c r="D106" s="45">
        <v>206</v>
      </c>
      <c r="E106" s="48">
        <f>IF(D106=0,"",+SUMIF(SYS_4_3_Digitos!$A$5:$A$6004,D106,SYS_4_3_Digitos!$C$5:$C$6004)-+SUMIF(SYS_4_3_Digitos!$A$5:$A$6004,D106,SYS_4_3_Digitos!$D$5:$D$6004))</f>
        <v>120967.7</v>
      </c>
      <c r="F106" s="48">
        <f>IF(D106=0,"",+SUMIF(Inversiones!$J$16:$J$1700,D106,Inversiones!$G$16:$G$1700))</f>
        <v>0</v>
      </c>
      <c r="G106" s="48">
        <f>IF($D106=0,"",+SUMIF(Inversiones!$J$16:$J$1700,$D106,Inversiones!$H$16:$H$1700))</f>
        <v>0</v>
      </c>
      <c r="H106" s="48"/>
      <c r="I106" s="67"/>
      <c r="J106" s="67"/>
      <c r="K106" s="67"/>
      <c r="L106" s="48">
        <f ca="1">IF(D106=0,"",+SUMIF(SYS_4_3_Digitos!$A$5:$A$6004,D106,SYS_4_3_Digitos!$I$5:$I$6004)-+SUMIF(SYS_4_3_Digitos!$A$5:$A$6004,D106,SYS_4_3_Digitos!$J$5:$J$6004))</f>
        <v>120967.7</v>
      </c>
      <c r="N106" s="48">
        <f>+SUM(E106:K106)</f>
        <v>120967.7</v>
      </c>
      <c r="P106" s="48">
        <f ca="1">+L106-N106</f>
        <v>0</v>
      </c>
      <c r="Q106"/>
    </row>
    <row r="107" spans="3:17" ht="15.6" outlineLevel="1">
      <c r="C107" s="55" t="s">
        <v>384</v>
      </c>
      <c r="D107" s="46">
        <v>2806</v>
      </c>
      <c r="E107" s="64">
        <f>IF(D107=0,"",-SUMIF(SYS_4_3_Digitos!$A$5:$A$6004,D107,SYS_4_3_Digitos!$C$5:$C$6004)+SUMIF(SYS_4_3_Digitos!$A$5:$A$6004,D107,SYS_4_3_Digitos!$D$5:$D$6004))</f>
        <v>64667.71</v>
      </c>
      <c r="F107" s="64">
        <f>IF(D107=0,"",+SUMIF(Inversiones!$J$16:$J$1700,D107,Inversiones!$G$16:$G$1700))</f>
        <v>0</v>
      </c>
      <c r="G107" s="64">
        <f>IF($D107=0,"",+SUMIF(Inversiones!$J$16:$J$1700,$D107,Inversiones!$H$16:$H$1700))</f>
        <v>0</v>
      </c>
      <c r="H107" s="64">
        <f ca="1">+L107-E107-SUM(I107:K107)</f>
        <v>24263.420000000006</v>
      </c>
      <c r="I107" s="68"/>
      <c r="J107" s="68"/>
      <c r="K107" s="68"/>
      <c r="L107" s="64">
        <f ca="1">IF(D107=0,"",-SUMIF(SYS_4_3_Digitos!$A$5:$A$6004,D107,SYS_4_3_Digitos!$I$5:$I$6004)+SUMIF(SYS_4_3_Digitos!$A$5:$A$6004,D107,SYS_4_3_Digitos!$J$5:$J$6004))</f>
        <v>88931.13</v>
      </c>
      <c r="N107" s="51">
        <f ca="1">+SUM(E107:K107)</f>
        <v>88931.13</v>
      </c>
      <c r="P107" s="51">
        <f ca="1">+L107-N107</f>
        <v>0</v>
      </c>
      <c r="Q107"/>
    </row>
    <row r="108" spans="3:17" ht="7.5" customHeight="1" outlineLevel="1">
      <c r="C108" s="53"/>
      <c r="D108" s="45"/>
      <c r="E108" s="48" t="str">
        <f>IF(D108=0,"",+SUMIF(SYS_4_3_Digitos!$A$5:$A$6004,D108,SYS_4_3_Digitos!$C$5:$C$6004)-+SUMIF(SYS_4_3_Digitos!$A$5:$A$6004,D108,SYS_4_3_Digitos!$D$5:$D$6004))</f>
        <v/>
      </c>
      <c r="F108" s="48" t="str">
        <f>IF(D108=0,"",+SUMIF(Inversiones!$J$16:$J$1700,D108,Inversiones!$G$16:$G$1700))</f>
        <v/>
      </c>
      <c r="G108" s="48" t="str">
        <f>IF($D108=0,"",+SUMIF(Inversiones!$J$16:$J$1700,$D108,Inversiones!$F$16:$F$1700))</f>
        <v/>
      </c>
      <c r="H108" s="48"/>
      <c r="I108" s="67"/>
      <c r="J108" s="67"/>
      <c r="K108" s="67"/>
      <c r="L108" s="48" t="str">
        <f>IF(D108=0,"",+SUMIF(SYS_4_3_Digitos!$A$5:$A$6004,D108,SYS_4_3_Digitos!$I$5:$I$6004)-+SUMIF(SYS_4_3_Digitos!$A$5:$A$6004,D108,SYS_4_3_Digitos!$J$5:$J$6004))</f>
        <v/>
      </c>
      <c r="N108" s="48"/>
      <c r="P108" s="48"/>
      <c r="Q108"/>
    </row>
    <row r="109" spans="3:17" ht="15.6" outlineLevel="1">
      <c r="C109" s="53" t="s">
        <v>1509</v>
      </c>
      <c r="D109" s="45">
        <v>209</v>
      </c>
      <c r="E109" s="48">
        <f>IF(D109=0,"",+SUMIF(SYS_4_3_Digitos!$A$5:$A$6004,D109,SYS_4_3_Digitos!$C$5:$C$6004)-+SUMIF(SYS_4_3_Digitos!$A$5:$A$6004,D109,SYS_4_3_Digitos!$D$5:$D$6004))</f>
        <v>0</v>
      </c>
      <c r="F109" s="48">
        <f>IF(D109=0,"",+SUMIF(Inversiones!$J$16:$J$1700,D109,Inversiones!$G$16:$G$1700))</f>
        <v>0</v>
      </c>
      <c r="G109" s="48">
        <f>IF($D109=0,"",+SUMIF(Inversiones!$J$16:$J$1700,$D109,Inversiones!$H$16:$H$1700))</f>
        <v>0</v>
      </c>
      <c r="H109" s="48"/>
      <c r="I109" s="67"/>
      <c r="J109" s="67"/>
      <c r="K109" s="67"/>
      <c r="L109" s="48">
        <f ca="1">IF(D109=0,"",+SUMIF(SYS_4_3_Digitos!$A$5:$A$6004,D109,SYS_4_3_Digitos!$I$5:$I$6004)-+SUMIF(SYS_4_3_Digitos!$A$5:$A$6004,D109,SYS_4_3_Digitos!$J$5:$J$6004))</f>
        <v>0</v>
      </c>
      <c r="N109" s="48">
        <f>+SUM(E109:K109)</f>
        <v>0</v>
      </c>
      <c r="P109" s="48">
        <f ca="1">+L109-N109</f>
        <v>0</v>
      </c>
      <c r="Q109"/>
    </row>
    <row r="110" spans="3:17" ht="15.6" outlineLevel="1">
      <c r="C110" s="55"/>
      <c r="D110" s="46"/>
      <c r="E110" s="64"/>
      <c r="F110" s="64"/>
      <c r="G110" s="64"/>
      <c r="H110" s="64"/>
      <c r="I110" s="68"/>
      <c r="J110" s="68"/>
      <c r="K110" s="68"/>
      <c r="L110" s="64"/>
      <c r="N110" s="51"/>
      <c r="P110" s="51"/>
      <c r="Q110"/>
    </row>
    <row r="111" spans="3:17" ht="15.6">
      <c r="E111" s="62">
        <f>+E115</f>
        <v>67914.290000000008</v>
      </c>
      <c r="F111" s="62">
        <f t="shared" ref="F111:L111" si="10">+F115</f>
        <v>0</v>
      </c>
      <c r="G111" s="62">
        <f t="shared" si="10"/>
        <v>0</v>
      </c>
      <c r="H111" s="62">
        <f t="shared" ca="1" si="10"/>
        <v>-24706.460000000006</v>
      </c>
      <c r="I111" s="62">
        <f t="shared" si="10"/>
        <v>0</v>
      </c>
      <c r="J111" s="62">
        <f t="shared" si="10"/>
        <v>0</v>
      </c>
      <c r="K111" s="62">
        <f t="shared" si="10"/>
        <v>0</v>
      </c>
      <c r="L111" s="62">
        <f t="shared" ca="1" si="10"/>
        <v>43207.83</v>
      </c>
      <c r="N111" s="47">
        <f ca="1">+SUM(E111:K111)</f>
        <v>43207.83</v>
      </c>
      <c r="P111" s="47">
        <f ca="1">+L111-N111</f>
        <v>0</v>
      </c>
      <c r="Q111"/>
    </row>
    <row r="112" spans="3:17" ht="14.4">
      <c r="Q112"/>
    </row>
    <row r="113" spans="3:17" ht="18">
      <c r="C113" s="2317" t="s">
        <v>920</v>
      </c>
      <c r="D113" s="2317"/>
      <c r="E113" s="57">
        <f>+E88+E91+E94+E97+E100+E103+E109+E106</f>
        <v>141767.70000000001</v>
      </c>
      <c r="F113" s="57">
        <f t="shared" ref="F113:L113" si="11">+F88+F91+F94+F97+F100+F103+F109+F106</f>
        <v>0</v>
      </c>
      <c r="G113" s="57">
        <f t="shared" si="11"/>
        <v>0</v>
      </c>
      <c r="H113" s="57">
        <f t="shared" si="11"/>
        <v>0</v>
      </c>
      <c r="I113" s="57">
        <f t="shared" si="11"/>
        <v>0</v>
      </c>
      <c r="J113" s="57">
        <f t="shared" si="11"/>
        <v>0</v>
      </c>
      <c r="K113" s="57">
        <f t="shared" si="11"/>
        <v>0</v>
      </c>
      <c r="L113" s="57">
        <f t="shared" ca="1" si="11"/>
        <v>141767.70000000001</v>
      </c>
      <c r="Q113"/>
    </row>
    <row r="114" spans="3:17" ht="18">
      <c r="C114" s="2316" t="s">
        <v>921</v>
      </c>
      <c r="D114" s="2316"/>
      <c r="E114" s="167">
        <f>+E89+E92+E95+E98+E101+E104+E110+E107</f>
        <v>73853.41</v>
      </c>
      <c r="F114" s="167">
        <f t="shared" ref="F114:L114" si="12">+F89+F92+F95+F98+F101+F104+F110+F107</f>
        <v>0</v>
      </c>
      <c r="G114" s="167">
        <f t="shared" si="12"/>
        <v>0</v>
      </c>
      <c r="H114" s="167">
        <f t="shared" ca="1" si="12"/>
        <v>24706.460000000006</v>
      </c>
      <c r="I114" s="167">
        <f t="shared" si="12"/>
        <v>0</v>
      </c>
      <c r="J114" s="167">
        <f t="shared" si="12"/>
        <v>0</v>
      </c>
      <c r="K114" s="167">
        <f t="shared" si="12"/>
        <v>0</v>
      </c>
      <c r="L114" s="167">
        <f t="shared" ca="1" si="12"/>
        <v>98559.87000000001</v>
      </c>
      <c r="Q114"/>
    </row>
    <row r="115" spans="3:17" ht="15.6">
      <c r="E115" s="166">
        <f>+E113-E114</f>
        <v>67914.290000000008</v>
      </c>
      <c r="F115" s="166">
        <f t="shared" ref="F115:L115" si="13">+F113-F114</f>
        <v>0</v>
      </c>
      <c r="G115" s="166">
        <f t="shared" si="13"/>
        <v>0</v>
      </c>
      <c r="H115" s="166">
        <f t="shared" ca="1" si="13"/>
        <v>-24706.460000000006</v>
      </c>
      <c r="I115" s="166">
        <f t="shared" si="13"/>
        <v>0</v>
      </c>
      <c r="J115" s="166">
        <f t="shared" si="13"/>
        <v>0</v>
      </c>
      <c r="K115" s="166">
        <f t="shared" si="13"/>
        <v>0</v>
      </c>
      <c r="L115" s="166">
        <f t="shared" ca="1" si="13"/>
        <v>43207.83</v>
      </c>
      <c r="Q115"/>
    </row>
    <row r="116" spans="3:17" ht="14.4">
      <c r="Q116"/>
    </row>
    <row r="117" spans="3:17" ht="15.6" outlineLevel="1">
      <c r="D117" s="56">
        <v>680</v>
      </c>
      <c r="E117" s="61">
        <f>-BALANCE!H16</f>
        <v>-67914.289999999994</v>
      </c>
      <c r="F117" s="57">
        <f>-SUMIF(Inversiones!$L$16:$L$301,Inmovilizado!$C$82,Inversiones!G16:G301)</f>
        <v>0</v>
      </c>
      <c r="G117" s="57">
        <f>-SUMIF(Inversiones!$L$16:$L$301,Inmovilizado!$C$82,Inversiones!H16:H301)</f>
        <v>0</v>
      </c>
      <c r="H117" s="57">
        <f ca="1">IF(D117=0,"",-SUMIF(SYS_4_3_Digitos!$A$5:$A$6004,D117,SYS_4_3_Digitos!$I$5:$I$6004)+SUMIF(SYS_4_3_Digitos!$A$5:$A$6004,D117,SYS_4_3_Digitos!$J$5:$J$6004))</f>
        <v>-24706.46</v>
      </c>
      <c r="L117" s="61">
        <f ca="1">-BALANCE!E16</f>
        <v>-43207.829999999994</v>
      </c>
      <c r="Q117"/>
    </row>
    <row r="118" spans="3:17" ht="6.75" customHeight="1" outlineLevel="1">
      <c r="Q118"/>
    </row>
    <row r="119" spans="3:17" ht="15.6" outlineLevel="1">
      <c r="D119" s="60" t="s">
        <v>644</v>
      </c>
      <c r="E119" s="59">
        <f>ROUND(+E111+E117,1)</f>
        <v>0</v>
      </c>
      <c r="F119" s="59">
        <f>ROUND(+F111+F117,1)</f>
        <v>0</v>
      </c>
      <c r="G119" s="59">
        <f>ROUND(+G111+G117,1)</f>
        <v>0</v>
      </c>
      <c r="H119" s="59">
        <f ca="1">ROUND(+H111-H117,1)</f>
        <v>0</v>
      </c>
      <c r="L119" s="59">
        <f ca="1">ROUND(+L111+L117,1)</f>
        <v>0</v>
      </c>
      <c r="Q119"/>
    </row>
    <row r="120" spans="3:17" ht="14.4" outlineLevel="1">
      <c r="Q120"/>
    </row>
    <row r="121" spans="3:17" ht="14.4">
      <c r="Q121"/>
    </row>
    <row r="122" spans="3:17" ht="14.4" hidden="1">
      <c r="Q122"/>
    </row>
    <row r="123" spans="3:17" ht="14.4" hidden="1">
      <c r="Q123"/>
    </row>
    <row r="124" spans="3:17" ht="14.4" hidden="1">
      <c r="Q124"/>
    </row>
    <row r="125" spans="3:17" ht="14.4" hidden="1">
      <c r="Q125"/>
    </row>
    <row r="126" spans="3:17" ht="14.4" hidden="1">
      <c r="Q126"/>
    </row>
    <row r="127" spans="3:17" ht="14.4" hidden="1">
      <c r="Q127"/>
    </row>
    <row r="128" spans="3:17" ht="14.4" hidden="1">
      <c r="Q128"/>
    </row>
    <row r="129" spans="17:17" ht="14.4" hidden="1">
      <c r="Q129"/>
    </row>
    <row r="130" spans="17:17" ht="14.4" hidden="1">
      <c r="Q130"/>
    </row>
    <row r="131" spans="17:17" ht="14.4" hidden="1">
      <c r="Q131"/>
    </row>
    <row r="132" spans="17:17" ht="14.4" hidden="1">
      <c r="Q132"/>
    </row>
    <row r="133" spans="17:17" ht="14.4" hidden="1">
      <c r="Q133"/>
    </row>
    <row r="134" spans="17:17" ht="14.4" hidden="1">
      <c r="Q134"/>
    </row>
    <row r="135" spans="17:17" ht="14.4" hidden="1">
      <c r="Q135"/>
    </row>
    <row r="136" spans="17:17" ht="14.4" hidden="1">
      <c r="Q136"/>
    </row>
    <row r="137" spans="17:17" ht="14.4" hidden="1">
      <c r="Q137"/>
    </row>
    <row r="138" spans="17:17" ht="14.4" hidden="1">
      <c r="Q138"/>
    </row>
    <row r="139" spans="17:17" ht="14.4" hidden="1">
      <c r="Q139"/>
    </row>
    <row r="140" spans="17:17" ht="14.4" hidden="1">
      <c r="Q140"/>
    </row>
    <row r="141" spans="17:17" ht="14.4" hidden="1">
      <c r="Q141"/>
    </row>
    <row r="142" spans="17:17" ht="14.4" hidden="1">
      <c r="Q142"/>
    </row>
    <row r="143" spans="17:17" ht="14.4" hidden="1">
      <c r="Q143"/>
    </row>
    <row r="144" spans="17:17" ht="14.4" hidden="1">
      <c r="Q144"/>
    </row>
    <row r="145" spans="17:17" ht="14.4" hidden="1">
      <c r="Q145"/>
    </row>
    <row r="146" spans="17:17" ht="14.4" hidden="1">
      <c r="Q146"/>
    </row>
    <row r="147" spans="17:17" ht="14.4" hidden="1">
      <c r="Q147"/>
    </row>
    <row r="148" spans="17:17" ht="14.4" hidden="1">
      <c r="Q148"/>
    </row>
    <row r="149" spans="17:17" ht="14.4" hidden="1">
      <c r="Q149"/>
    </row>
    <row r="150" spans="17:17" ht="14.4" hidden="1">
      <c r="Q150"/>
    </row>
    <row r="151" spans="17:17" ht="14.4" hidden="1">
      <c r="Q151"/>
    </row>
    <row r="152" spans="17:17" ht="14.4" hidden="1">
      <c r="Q152"/>
    </row>
    <row r="153" spans="17:17" ht="14.4" hidden="1">
      <c r="Q153"/>
    </row>
    <row r="154" spans="17:17" ht="14.4" hidden="1">
      <c r="Q154"/>
    </row>
    <row r="155" spans="17:17" ht="14.4" hidden="1">
      <c r="Q155"/>
    </row>
    <row r="156" spans="17:17" ht="14.4" hidden="1">
      <c r="Q156"/>
    </row>
    <row r="157" spans="17:17" ht="14.4" hidden="1">
      <c r="Q157"/>
    </row>
    <row r="158" spans="17:17" ht="14.4" hidden="1">
      <c r="Q158"/>
    </row>
    <row r="159" spans="17:17" ht="14.4" hidden="1">
      <c r="Q159"/>
    </row>
    <row r="160" spans="17:17" ht="14.4" hidden="1">
      <c r="Q160"/>
    </row>
    <row r="161" spans="17:17" ht="14.4" hidden="1">
      <c r="Q161"/>
    </row>
    <row r="162" spans="17:17" ht="14.4" hidden="1">
      <c r="Q162"/>
    </row>
    <row r="163" spans="17:17" ht="14.4" hidden="1">
      <c r="Q163"/>
    </row>
    <row r="164" spans="17:17" ht="14.4" hidden="1">
      <c r="Q164"/>
    </row>
    <row r="165" spans="17:17" ht="14.4" hidden="1">
      <c r="Q165"/>
    </row>
    <row r="166" spans="17:17" ht="14.4" hidden="1">
      <c r="Q166"/>
    </row>
    <row r="167" spans="17:17" ht="14.4" hidden="1">
      <c r="Q167"/>
    </row>
    <row r="168" spans="17:17" ht="14.4" hidden="1">
      <c r="Q168"/>
    </row>
    <row r="169" spans="17:17" ht="14.4" hidden="1">
      <c r="Q169"/>
    </row>
    <row r="170" spans="17:17" ht="14.4" hidden="1">
      <c r="Q170"/>
    </row>
    <row r="171" spans="17:17" ht="14.4" hidden="1">
      <c r="Q171"/>
    </row>
    <row r="172" spans="17:17" ht="14.4" hidden="1">
      <c r="Q172"/>
    </row>
    <row r="173" spans="17:17" ht="14.4" hidden="1">
      <c r="Q173"/>
    </row>
    <row r="174" spans="17:17" ht="14.4" hidden="1">
      <c r="Q174"/>
    </row>
    <row r="175" spans="17:17" ht="14.4" hidden="1">
      <c r="Q175"/>
    </row>
    <row r="176" spans="17:17" ht="14.4" hidden="1">
      <c r="Q176"/>
    </row>
    <row r="177" spans="17:17" ht="14.4" hidden="1">
      <c r="Q177"/>
    </row>
    <row r="178" spans="17:17" ht="14.4" hidden="1">
      <c r="Q178"/>
    </row>
    <row r="179" spans="17:17" ht="14.4" hidden="1">
      <c r="Q179"/>
    </row>
    <row r="180" spans="17:17" ht="14.4" hidden="1">
      <c r="Q180"/>
    </row>
    <row r="181" spans="17:17" ht="14.4" hidden="1">
      <c r="Q181"/>
    </row>
    <row r="182" spans="17:17" ht="14.4" hidden="1">
      <c r="Q182"/>
    </row>
    <row r="183" spans="17:17" ht="14.4" hidden="1">
      <c r="Q183"/>
    </row>
    <row r="184" spans="17:17" ht="14.4" hidden="1">
      <c r="Q184"/>
    </row>
    <row r="185" spans="17:17" ht="14.4" hidden="1">
      <c r="Q185"/>
    </row>
    <row r="186" spans="17:17" ht="14.4" hidden="1">
      <c r="Q186"/>
    </row>
    <row r="187" spans="17:17" ht="14.4" hidden="1">
      <c r="Q187"/>
    </row>
    <row r="188" spans="17:17" ht="14.4" hidden="1">
      <c r="Q188"/>
    </row>
    <row r="189" spans="17:17" ht="14.4" hidden="1">
      <c r="Q189"/>
    </row>
    <row r="190" spans="17:17" ht="14.4" hidden="1">
      <c r="Q190"/>
    </row>
    <row r="191" spans="17:17" ht="14.4" hidden="1">
      <c r="Q191"/>
    </row>
    <row r="192" spans="17:17" ht="14.4" hidden="1">
      <c r="Q192"/>
    </row>
    <row r="193" spans="17:17" ht="14.4" hidden="1">
      <c r="Q193"/>
    </row>
    <row r="194" spans="17:17" ht="14.4" hidden="1">
      <c r="Q194"/>
    </row>
    <row r="195" spans="17:17" ht="14.4" hidden="1">
      <c r="Q195"/>
    </row>
    <row r="196" spans="17:17" ht="14.4" hidden="1">
      <c r="Q196"/>
    </row>
    <row r="197" spans="17:17" ht="14.4" hidden="1">
      <c r="Q197"/>
    </row>
    <row r="198" spans="17:17" ht="14.4" hidden="1">
      <c r="Q198"/>
    </row>
    <row r="199" spans="17:17" ht="14.4" hidden="1">
      <c r="Q199"/>
    </row>
    <row r="200" spans="17:17" ht="14.4" hidden="1">
      <c r="Q200"/>
    </row>
    <row r="201" spans="17:17" ht="14.4" hidden="1">
      <c r="Q201"/>
    </row>
    <row r="202" spans="17:17" ht="14.4" hidden="1">
      <c r="Q202"/>
    </row>
    <row r="203" spans="17:17" ht="14.4" hidden="1">
      <c r="Q203"/>
    </row>
    <row r="204" spans="17:17" ht="14.4" hidden="1">
      <c r="Q204"/>
    </row>
    <row r="205" spans="17:17" ht="14.4" hidden="1">
      <c r="Q205"/>
    </row>
    <row r="206" spans="17:17" ht="14.4" hidden="1">
      <c r="Q206"/>
    </row>
    <row r="207" spans="17:17" ht="14.4" hidden="1">
      <c r="Q207"/>
    </row>
    <row r="208" spans="17:17" ht="14.4" hidden="1">
      <c r="Q208"/>
    </row>
    <row r="209" spans="17:17" ht="14.4" hidden="1">
      <c r="Q209"/>
    </row>
    <row r="210" spans="17:17" ht="14.4" hidden="1">
      <c r="Q210"/>
    </row>
    <row r="211" spans="17:17" ht="14.4" hidden="1">
      <c r="Q211"/>
    </row>
    <row r="212" spans="17:17" ht="14.4" hidden="1">
      <c r="Q212"/>
    </row>
    <row r="213" spans="17:17" ht="14.4" hidden="1">
      <c r="Q213"/>
    </row>
    <row r="214" spans="17:17" ht="14.4" hidden="1">
      <c r="Q214"/>
    </row>
    <row r="215" spans="17:17" ht="14.4" hidden="1">
      <c r="Q215"/>
    </row>
    <row r="216" spans="17:17" ht="14.4" hidden="1">
      <c r="Q216"/>
    </row>
    <row r="217" spans="17:17" ht="14.4" hidden="1">
      <c r="Q217"/>
    </row>
    <row r="218" spans="17:17" ht="14.4" hidden="1">
      <c r="Q218"/>
    </row>
    <row r="219" spans="17:17" ht="14.4" hidden="1">
      <c r="Q219"/>
    </row>
    <row r="220" spans="17:17" ht="14.4" hidden="1">
      <c r="Q220"/>
    </row>
    <row r="221" spans="17:17" ht="14.4" hidden="1">
      <c r="Q221"/>
    </row>
    <row r="222" spans="17:17" ht="14.4" hidden="1">
      <c r="Q222"/>
    </row>
    <row r="223" spans="17:17" ht="14.4" hidden="1">
      <c r="Q223"/>
    </row>
    <row r="224" spans="17:17" ht="14.4" hidden="1">
      <c r="Q224"/>
    </row>
    <row r="225" spans="17:17" ht="14.4" hidden="1">
      <c r="Q225"/>
    </row>
    <row r="226" spans="17:17" ht="14.4" hidden="1">
      <c r="Q226"/>
    </row>
    <row r="227" spans="17:17" ht="14.4" hidden="1">
      <c r="Q227"/>
    </row>
    <row r="228" spans="17:17" ht="14.4" hidden="1">
      <c r="Q228"/>
    </row>
    <row r="229" spans="17:17" ht="14.4" hidden="1">
      <c r="Q229"/>
    </row>
    <row r="230" spans="17:17" ht="14.4" hidden="1">
      <c r="Q230"/>
    </row>
    <row r="231" spans="17:17" ht="14.4" hidden="1">
      <c r="Q231"/>
    </row>
    <row r="232" spans="17:17" ht="14.4" hidden="1">
      <c r="Q232"/>
    </row>
    <row r="233" spans="17:17" ht="14.4" hidden="1">
      <c r="Q233"/>
    </row>
    <row r="234" spans="17:17" ht="14.4" hidden="1">
      <c r="Q234"/>
    </row>
    <row r="235" spans="17:17" ht="14.4" hidden="1">
      <c r="Q235"/>
    </row>
    <row r="236" spans="17:17" ht="14.4" hidden="1">
      <c r="Q236"/>
    </row>
    <row r="237" spans="17:17" ht="14.4" hidden="1">
      <c r="Q237"/>
    </row>
    <row r="238" spans="17:17" ht="14.4" hidden="1">
      <c r="Q238"/>
    </row>
    <row r="239" spans="17:17" ht="14.4" hidden="1">
      <c r="Q239"/>
    </row>
    <row r="240" spans="17:17" ht="14.4" hidden="1">
      <c r="Q240"/>
    </row>
    <row r="241" spans="17:17" ht="14.4" hidden="1">
      <c r="Q241"/>
    </row>
    <row r="242" spans="17:17" ht="14.4" hidden="1">
      <c r="Q242"/>
    </row>
    <row r="243" spans="17:17" ht="14.4" hidden="1">
      <c r="Q243"/>
    </row>
    <row r="244" spans="17:17" ht="14.4" hidden="1">
      <c r="Q244"/>
    </row>
    <row r="245" spans="17:17" ht="14.4" hidden="1">
      <c r="Q245"/>
    </row>
    <row r="246" spans="17:17" ht="14.4" hidden="1">
      <c r="Q246"/>
    </row>
    <row r="247" spans="17:17" ht="14.4" hidden="1">
      <c r="Q247"/>
    </row>
    <row r="248" spans="17:17" ht="14.4" hidden="1">
      <c r="Q248"/>
    </row>
    <row r="249" spans="17:17" ht="14.4" hidden="1">
      <c r="Q249"/>
    </row>
    <row r="250" spans="17:17" ht="14.4" hidden="1">
      <c r="Q250"/>
    </row>
    <row r="251" spans="17:17" ht="14.4" hidden="1">
      <c r="Q251"/>
    </row>
    <row r="252" spans="17:17" ht="14.4" hidden="1">
      <c r="Q252"/>
    </row>
    <row r="253" spans="17:17" ht="14.4" hidden="1">
      <c r="Q253"/>
    </row>
    <row r="254" spans="17:17" ht="14.4" hidden="1">
      <c r="Q254"/>
    </row>
    <row r="255" spans="17:17" ht="14.4" hidden="1">
      <c r="Q255"/>
    </row>
    <row r="256" spans="17:17" ht="14.4" hidden="1">
      <c r="Q256"/>
    </row>
    <row r="257" spans="17:17" ht="14.4" hidden="1">
      <c r="Q257"/>
    </row>
    <row r="258" spans="17:17" ht="14.4" hidden="1">
      <c r="Q258"/>
    </row>
    <row r="259" spans="17:17" ht="14.4" hidden="1">
      <c r="Q259"/>
    </row>
    <row r="260" spans="17:17" ht="14.4" hidden="1">
      <c r="Q260"/>
    </row>
    <row r="261" spans="17:17" ht="14.4" hidden="1">
      <c r="Q261"/>
    </row>
    <row r="262" spans="17:17" ht="14.4" hidden="1">
      <c r="Q262"/>
    </row>
    <row r="263" spans="17:17" ht="14.4" hidden="1">
      <c r="Q263"/>
    </row>
    <row r="264" spans="17:17" ht="14.4" hidden="1">
      <c r="Q264"/>
    </row>
    <row r="265" spans="17:17" ht="14.4" hidden="1">
      <c r="Q265"/>
    </row>
    <row r="266" spans="17:17" ht="14.4" hidden="1">
      <c r="Q266"/>
    </row>
    <row r="267" spans="17:17" ht="14.4" hidden="1">
      <c r="Q267"/>
    </row>
    <row r="268" spans="17:17" ht="14.4" hidden="1">
      <c r="Q268"/>
    </row>
    <row r="269" spans="17:17" ht="14.4" hidden="1">
      <c r="Q269"/>
    </row>
    <row r="270" spans="17:17" ht="14.4" hidden="1">
      <c r="Q270"/>
    </row>
    <row r="271" spans="17:17" ht="14.4" hidden="1">
      <c r="Q271"/>
    </row>
    <row r="272" spans="17:17" ht="14.4" hidden="1">
      <c r="Q272"/>
    </row>
    <row r="273" spans="17:17" ht="14.4" hidden="1">
      <c r="Q273"/>
    </row>
    <row r="274" spans="17:17" ht="14.4" hidden="1">
      <c r="Q274"/>
    </row>
    <row r="275" spans="17:17" ht="14.4" hidden="1">
      <c r="Q275"/>
    </row>
    <row r="276" spans="17:17" ht="14.4" hidden="1">
      <c r="Q276"/>
    </row>
    <row r="277" spans="17:17" ht="14.4" hidden="1">
      <c r="Q277"/>
    </row>
    <row r="278" spans="17:17" ht="14.4" hidden="1">
      <c r="Q278"/>
    </row>
    <row r="279" spans="17:17" ht="14.4" hidden="1">
      <c r="Q279"/>
    </row>
    <row r="280" spans="17:17" ht="14.4" hidden="1">
      <c r="Q280"/>
    </row>
    <row r="281" spans="17:17" ht="14.4" hidden="1">
      <c r="Q281"/>
    </row>
    <row r="282" spans="17:17" ht="14.4" hidden="1">
      <c r="Q282"/>
    </row>
    <row r="283" spans="17:17" ht="14.4" hidden="1">
      <c r="Q283"/>
    </row>
    <row r="284" spans="17:17" ht="14.4" hidden="1">
      <c r="Q284"/>
    </row>
    <row r="285" spans="17:17" ht="14.4" hidden="1">
      <c r="Q285"/>
    </row>
    <row r="286" spans="17:17" ht="14.4" hidden="1">
      <c r="Q286"/>
    </row>
    <row r="287" spans="17:17" ht="14.4" hidden="1">
      <c r="Q287"/>
    </row>
    <row r="288" spans="17:17" ht="14.4" hidden="1">
      <c r="Q288"/>
    </row>
    <row r="289" spans="17:17" ht="14.4" hidden="1">
      <c r="Q289"/>
    </row>
    <row r="290" spans="17:17" ht="14.4" hidden="1">
      <c r="Q290"/>
    </row>
    <row r="291" spans="17:17" ht="14.4" hidden="1">
      <c r="Q291"/>
    </row>
    <row r="292" spans="17:17" ht="14.4" hidden="1">
      <c r="Q292"/>
    </row>
    <row r="293" spans="17:17" ht="14.4" hidden="1">
      <c r="Q293"/>
    </row>
    <row r="294" spans="17:17" ht="14.4" hidden="1">
      <c r="Q294"/>
    </row>
    <row r="295" spans="17:17" ht="14.4" hidden="1">
      <c r="Q295"/>
    </row>
    <row r="296" spans="17:17" ht="14.4" hidden="1">
      <c r="Q296"/>
    </row>
    <row r="297" spans="17:17" ht="14.4" hidden="1">
      <c r="Q297"/>
    </row>
    <row r="298" spans="17:17" ht="14.4" hidden="1">
      <c r="Q298"/>
    </row>
    <row r="299" spans="17:17" ht="14.4" hidden="1">
      <c r="Q299"/>
    </row>
    <row r="300" spans="17:17" ht="14.4" hidden="1">
      <c r="Q300"/>
    </row>
    <row r="301" spans="17:17" ht="14.4" hidden="1">
      <c r="Q301"/>
    </row>
    <row r="302" spans="17:17" ht="14.4" hidden="1">
      <c r="Q302"/>
    </row>
    <row r="303" spans="17:17" ht="14.4" hidden="1">
      <c r="Q303"/>
    </row>
    <row r="304" spans="17:17" ht="14.4" hidden="1">
      <c r="Q304"/>
    </row>
    <row r="305" spans="17:17" ht="14.4" hidden="1">
      <c r="Q305"/>
    </row>
    <row r="306" spans="17:17" ht="14.4" hidden="1">
      <c r="Q306"/>
    </row>
    <row r="307" spans="17:17" ht="14.4" hidden="1">
      <c r="Q307"/>
    </row>
    <row r="308" spans="17:17" ht="14.4" hidden="1">
      <c r="Q308"/>
    </row>
    <row r="309" spans="17:17" ht="14.4" hidden="1">
      <c r="Q309"/>
    </row>
    <row r="310" spans="17:17" ht="14.4" hidden="1">
      <c r="Q310"/>
    </row>
    <row r="311" spans="17:17" ht="14.4" hidden="1">
      <c r="Q311"/>
    </row>
    <row r="312" spans="17:17" ht="14.4" hidden="1">
      <c r="Q312"/>
    </row>
    <row r="313" spans="17:17" ht="14.4" hidden="1">
      <c r="Q313"/>
    </row>
    <row r="314" spans="17:17" ht="14.4" hidden="1">
      <c r="Q314"/>
    </row>
    <row r="315" spans="17:17" ht="14.4" hidden="1">
      <c r="Q315"/>
    </row>
    <row r="316" spans="17:17" ht="14.4" hidden="1">
      <c r="Q316"/>
    </row>
    <row r="317" spans="17:17" ht="14.4" hidden="1">
      <c r="Q317"/>
    </row>
    <row r="318" spans="17:17" ht="14.4" hidden="1">
      <c r="Q318"/>
    </row>
    <row r="319" spans="17:17" ht="14.4" hidden="1">
      <c r="Q319"/>
    </row>
    <row r="320" spans="17:17" ht="14.4" hidden="1">
      <c r="Q320"/>
    </row>
    <row r="321" spans="17:17" ht="14.4" hidden="1">
      <c r="Q321"/>
    </row>
    <row r="322" spans="17:17" ht="14.4" hidden="1">
      <c r="Q322"/>
    </row>
    <row r="323" spans="17:17" ht="14.4" hidden="1">
      <c r="Q323"/>
    </row>
    <row r="324" spans="17:17" ht="14.4" hidden="1">
      <c r="Q324"/>
    </row>
    <row r="325" spans="17:17" ht="14.4" hidden="1">
      <c r="Q325"/>
    </row>
    <row r="326" spans="17:17" ht="14.4" hidden="1">
      <c r="Q326"/>
    </row>
    <row r="327" spans="17:17" ht="14.4" hidden="1">
      <c r="Q327"/>
    </row>
    <row r="328" spans="17:17" ht="14.4" hidden="1">
      <c r="Q328"/>
    </row>
    <row r="329" spans="17:17" ht="14.4" hidden="1">
      <c r="Q329"/>
    </row>
    <row r="330" spans="17:17" ht="14.4" hidden="1">
      <c r="Q330"/>
    </row>
    <row r="331" spans="17:17" ht="14.4" hidden="1">
      <c r="Q331"/>
    </row>
    <row r="332" spans="17:17" ht="14.4" hidden="1">
      <c r="Q332"/>
    </row>
    <row r="333" spans="17:17" ht="14.4" hidden="1">
      <c r="Q333"/>
    </row>
    <row r="334" spans="17:17" ht="14.4" hidden="1">
      <c r="Q334"/>
    </row>
    <row r="335" spans="17:17" ht="14.4" hidden="1">
      <c r="Q335"/>
    </row>
    <row r="336" spans="17:17" ht="14.4" hidden="1">
      <c r="Q336"/>
    </row>
    <row r="337" spans="17:17" ht="14.4" hidden="1">
      <c r="Q337"/>
    </row>
    <row r="338" spans="17:17" ht="14.4" hidden="1">
      <c r="Q338"/>
    </row>
    <row r="339" spans="17:17" ht="14.4" hidden="1">
      <c r="Q339"/>
    </row>
    <row r="340" spans="17:17" ht="14.4" hidden="1">
      <c r="Q340"/>
    </row>
    <row r="341" spans="17:17" ht="14.4" hidden="1">
      <c r="Q341"/>
    </row>
    <row r="342" spans="17:17" ht="14.4" hidden="1">
      <c r="Q342"/>
    </row>
    <row r="343" spans="17:17" ht="14.4" hidden="1">
      <c r="Q343"/>
    </row>
    <row r="344" spans="17:17" ht="14.4" hidden="1">
      <c r="Q344"/>
    </row>
    <row r="345" spans="17:17" ht="14.4" hidden="1">
      <c r="Q345"/>
    </row>
    <row r="346" spans="17:17" ht="14.4" hidden="1">
      <c r="Q346"/>
    </row>
    <row r="347" spans="17:17" ht="14.4" hidden="1">
      <c r="Q347"/>
    </row>
    <row r="348" spans="17:17" ht="14.4" hidden="1">
      <c r="Q348"/>
    </row>
    <row r="349" spans="17:17" ht="14.4" hidden="1">
      <c r="Q349"/>
    </row>
    <row r="350" spans="17:17" ht="14.4" hidden="1">
      <c r="Q350"/>
    </row>
    <row r="351" spans="17:17" ht="14.4" hidden="1">
      <c r="Q351"/>
    </row>
    <row r="352" spans="17:17" ht="14.4" hidden="1">
      <c r="Q352"/>
    </row>
    <row r="353" spans="17:17" ht="14.4" hidden="1">
      <c r="Q353"/>
    </row>
    <row r="354" spans="17:17" ht="14.4" hidden="1">
      <c r="Q354"/>
    </row>
    <row r="355" spans="17:17" ht="14.4" hidden="1">
      <c r="Q355"/>
    </row>
    <row r="356" spans="17:17" ht="14.4" hidden="1">
      <c r="Q356"/>
    </row>
    <row r="357" spans="17:17" ht="14.4" hidden="1">
      <c r="Q357"/>
    </row>
    <row r="358" spans="17:17" ht="14.4" hidden="1">
      <c r="Q358"/>
    </row>
    <row r="359" spans="17:17" ht="14.4" hidden="1">
      <c r="Q359"/>
    </row>
    <row r="360" spans="17:17" ht="14.4" hidden="1">
      <c r="Q360"/>
    </row>
    <row r="361" spans="17:17" ht="14.4" hidden="1">
      <c r="Q361"/>
    </row>
    <row r="362" spans="17:17" ht="14.4" hidden="1">
      <c r="Q362"/>
    </row>
    <row r="363" spans="17:17" ht="14.4" hidden="1">
      <c r="Q363"/>
    </row>
    <row r="364" spans="17:17" ht="14.4" hidden="1">
      <c r="Q364"/>
    </row>
    <row r="365" spans="17:17" ht="14.4" hidden="1">
      <c r="Q365"/>
    </row>
    <row r="366" spans="17:17" ht="14.4" hidden="1">
      <c r="Q366"/>
    </row>
    <row r="367" spans="17:17" ht="14.4" hidden="1">
      <c r="Q367"/>
    </row>
    <row r="368" spans="17:17" ht="14.4" hidden="1">
      <c r="Q368"/>
    </row>
    <row r="369" spans="17:17" ht="14.4" hidden="1">
      <c r="Q369"/>
    </row>
    <row r="370" spans="17:17" ht="14.4" hidden="1">
      <c r="Q370"/>
    </row>
    <row r="371" spans="17:17" ht="14.4" hidden="1">
      <c r="Q371"/>
    </row>
    <row r="372" spans="17:17" ht="14.4" hidden="1">
      <c r="Q372"/>
    </row>
    <row r="373" spans="17:17" ht="14.4" hidden="1">
      <c r="Q373"/>
    </row>
    <row r="374" spans="17:17" ht="14.4" hidden="1">
      <c r="Q374"/>
    </row>
    <row r="375" spans="17:17" ht="14.4" hidden="1">
      <c r="Q375"/>
    </row>
    <row r="376" spans="17:17" ht="14.4" hidden="1">
      <c r="Q376"/>
    </row>
    <row r="377" spans="17:17" ht="14.4" hidden="1">
      <c r="Q377"/>
    </row>
    <row r="378" spans="17:17" ht="14.4" hidden="1">
      <c r="Q378"/>
    </row>
    <row r="379" spans="17:17" ht="14.4" hidden="1">
      <c r="Q379"/>
    </row>
    <row r="380" spans="17:17" ht="14.4" hidden="1">
      <c r="Q380"/>
    </row>
    <row r="381" spans="17:17" ht="14.4" hidden="1">
      <c r="Q381"/>
    </row>
    <row r="382" spans="17:17" ht="14.4" hidden="1">
      <c r="Q382"/>
    </row>
    <row r="383" spans="17:17" ht="14.4" hidden="1">
      <c r="Q383"/>
    </row>
    <row r="384" spans="17:17" ht="14.4" hidden="1">
      <c r="Q384"/>
    </row>
    <row r="385" spans="17:17" ht="14.4" hidden="1">
      <c r="Q385"/>
    </row>
    <row r="386" spans="17:17" ht="14.4" hidden="1">
      <c r="Q386"/>
    </row>
    <row r="387" spans="17:17" ht="14.4" hidden="1">
      <c r="Q387"/>
    </row>
    <row r="388" spans="17:17" ht="14.4" hidden="1">
      <c r="Q388"/>
    </row>
    <row r="389" spans="17:17" ht="14.4" hidden="1">
      <c r="Q389"/>
    </row>
    <row r="390" spans="17:17" ht="14.4" hidden="1">
      <c r="Q390"/>
    </row>
    <row r="391" spans="17:17" ht="14.4" hidden="1">
      <c r="Q391"/>
    </row>
    <row r="392" spans="17:17" ht="14.4" hidden="1">
      <c r="Q392"/>
    </row>
    <row r="393" spans="17:17" ht="14.4" hidden="1">
      <c r="Q393"/>
    </row>
    <row r="394" spans="17:17" ht="14.4" hidden="1">
      <c r="Q394"/>
    </row>
    <row r="395" spans="17:17" ht="14.4" hidden="1">
      <c r="Q395"/>
    </row>
    <row r="396" spans="17:17" ht="14.4" hidden="1">
      <c r="Q396"/>
    </row>
    <row r="397" spans="17:17" ht="14.4" hidden="1">
      <c r="Q397"/>
    </row>
    <row r="398" spans="17:17" ht="14.4" hidden="1">
      <c r="Q398"/>
    </row>
    <row r="399" spans="17:17" ht="14.4" hidden="1">
      <c r="Q399"/>
    </row>
    <row r="400" spans="17:17" ht="14.4" hidden="1">
      <c r="Q400"/>
    </row>
    <row r="401" spans="17:17" ht="14.4" hidden="1">
      <c r="Q401"/>
    </row>
    <row r="402" spans="17:17" ht="14.4" hidden="1">
      <c r="Q402"/>
    </row>
    <row r="403" spans="17:17" ht="14.4" hidden="1">
      <c r="Q403"/>
    </row>
    <row r="404" spans="17:17" ht="14.4" hidden="1">
      <c r="Q404"/>
    </row>
    <row r="405" spans="17:17" ht="14.4" hidden="1">
      <c r="Q405"/>
    </row>
    <row r="406" spans="17:17" ht="14.4" hidden="1">
      <c r="Q406"/>
    </row>
    <row r="407" spans="17:17" ht="14.4" hidden="1">
      <c r="Q407"/>
    </row>
    <row r="408" spans="17:17" ht="14.4" hidden="1">
      <c r="Q408"/>
    </row>
    <row r="409" spans="17:17" ht="14.4" hidden="1">
      <c r="Q409"/>
    </row>
    <row r="410" spans="17:17" ht="14.4" hidden="1">
      <c r="Q410"/>
    </row>
    <row r="411" spans="17:17" ht="14.4" hidden="1">
      <c r="Q411"/>
    </row>
    <row r="412" spans="17:17" ht="14.4" hidden="1">
      <c r="Q412"/>
    </row>
    <row r="413" spans="17:17" ht="14.4" hidden="1">
      <c r="Q413"/>
    </row>
    <row r="414" spans="17:17" ht="14.4" hidden="1">
      <c r="Q414"/>
    </row>
    <row r="415" spans="17:17" ht="14.4" hidden="1">
      <c r="Q415"/>
    </row>
    <row r="416" spans="17:17" ht="14.4" hidden="1">
      <c r="Q416"/>
    </row>
    <row r="417" spans="17:17" ht="14.4" hidden="1">
      <c r="Q417"/>
    </row>
    <row r="418" spans="17:17" ht="14.4" hidden="1">
      <c r="Q418"/>
    </row>
    <row r="419" spans="17:17" ht="14.4" hidden="1">
      <c r="Q419"/>
    </row>
    <row r="420" spans="17:17" ht="14.4" hidden="1">
      <c r="Q420"/>
    </row>
    <row r="421" spans="17:17" ht="14.4" hidden="1">
      <c r="Q421"/>
    </row>
    <row r="422" spans="17:17" ht="14.4" hidden="1">
      <c r="Q422"/>
    </row>
    <row r="423" spans="17:17" ht="14.4" hidden="1">
      <c r="Q423"/>
    </row>
    <row r="424" spans="17:17" ht="14.4" hidden="1">
      <c r="Q424"/>
    </row>
    <row r="425" spans="17:17" ht="14.4" hidden="1">
      <c r="Q425"/>
    </row>
    <row r="426" spans="17:17" ht="14.4" hidden="1">
      <c r="Q426"/>
    </row>
    <row r="427" spans="17:17" ht="14.4" hidden="1">
      <c r="Q427"/>
    </row>
    <row r="428" spans="17:17" ht="14.4" hidden="1">
      <c r="Q428"/>
    </row>
    <row r="429" spans="17:17" ht="14.4" hidden="1">
      <c r="Q429"/>
    </row>
    <row r="430" spans="17:17" ht="14.4" hidden="1">
      <c r="Q430"/>
    </row>
    <row r="431" spans="17:17" ht="14.4" hidden="1">
      <c r="Q431"/>
    </row>
    <row r="432" spans="17:17" ht="14.4" hidden="1">
      <c r="Q432"/>
    </row>
    <row r="433" spans="17:17" ht="14.4" hidden="1">
      <c r="Q433"/>
    </row>
    <row r="434" spans="17:17" ht="14.4" hidden="1">
      <c r="Q434"/>
    </row>
    <row r="435" spans="17:17" ht="14.4" hidden="1">
      <c r="Q435"/>
    </row>
    <row r="436" spans="17:17" ht="14.4" hidden="1">
      <c r="Q436"/>
    </row>
    <row r="437" spans="17:17" ht="14.4" hidden="1">
      <c r="Q437"/>
    </row>
    <row r="438" spans="17:17" ht="14.4" hidden="1">
      <c r="Q438"/>
    </row>
    <row r="439" spans="17:17" ht="14.4" hidden="1">
      <c r="Q439"/>
    </row>
    <row r="440" spans="17:17" ht="14.4" hidden="1">
      <c r="Q440"/>
    </row>
    <row r="441" spans="17:17" ht="14.4" hidden="1">
      <c r="Q441"/>
    </row>
    <row r="442" spans="17:17" ht="14.4" hidden="1">
      <c r="Q442"/>
    </row>
    <row r="443" spans="17:17" ht="14.4" hidden="1">
      <c r="Q443"/>
    </row>
    <row r="444" spans="17:17" ht="14.4" hidden="1">
      <c r="Q444"/>
    </row>
    <row r="445" spans="17:17" ht="14.4" hidden="1">
      <c r="Q445"/>
    </row>
    <row r="446" spans="17:17" ht="14.4" hidden="1">
      <c r="Q446"/>
    </row>
    <row r="447" spans="17:17" ht="14.4" hidden="1">
      <c r="Q447"/>
    </row>
    <row r="448" spans="17:17" ht="14.4" hidden="1">
      <c r="Q448"/>
    </row>
    <row r="449" spans="17:17" ht="14.4" hidden="1">
      <c r="Q449"/>
    </row>
    <row r="450" spans="17:17" ht="14.4" hidden="1">
      <c r="Q450"/>
    </row>
    <row r="451" spans="17:17" ht="14.4" hidden="1">
      <c r="Q451"/>
    </row>
    <row r="452" spans="17:17" ht="14.4" hidden="1">
      <c r="Q452"/>
    </row>
    <row r="453" spans="17:17" ht="14.4" hidden="1">
      <c r="Q453"/>
    </row>
    <row r="454" spans="17:17" ht="14.4" hidden="1">
      <c r="Q454"/>
    </row>
    <row r="455" spans="17:17" ht="14.4" hidden="1">
      <c r="Q455"/>
    </row>
    <row r="456" spans="17:17" ht="14.4" hidden="1">
      <c r="Q456"/>
    </row>
    <row r="457" spans="17:17" ht="14.4" hidden="1">
      <c r="Q457"/>
    </row>
    <row r="458" spans="17:17" ht="14.4" hidden="1">
      <c r="Q458"/>
    </row>
    <row r="459" spans="17:17" ht="14.4" hidden="1">
      <c r="Q459"/>
    </row>
    <row r="460" spans="17:17" ht="14.4" hidden="1">
      <c r="Q460"/>
    </row>
    <row r="461" spans="17:17" ht="14.4" hidden="1">
      <c r="Q461"/>
    </row>
    <row r="462" spans="17:17" ht="14.4" hidden="1">
      <c r="Q462"/>
    </row>
    <row r="463" spans="17:17" ht="14.4" hidden="1">
      <c r="Q463"/>
    </row>
    <row r="464" spans="17:17" ht="14.4" hidden="1">
      <c r="Q464"/>
    </row>
    <row r="465" spans="17:17" ht="14.4" hidden="1">
      <c r="Q465"/>
    </row>
    <row r="466" spans="17:17" ht="14.4" hidden="1">
      <c r="Q466"/>
    </row>
    <row r="467" spans="17:17" ht="14.4" hidden="1">
      <c r="Q467"/>
    </row>
    <row r="468" spans="17:17" ht="14.4" hidden="1">
      <c r="Q468"/>
    </row>
    <row r="469" spans="17:17" ht="14.4" hidden="1">
      <c r="Q469"/>
    </row>
    <row r="470" spans="17:17" ht="14.4" hidden="1">
      <c r="Q470"/>
    </row>
    <row r="471" spans="17:17" ht="14.4" hidden="1">
      <c r="Q471"/>
    </row>
    <row r="472" spans="17:17" ht="14.4" hidden="1">
      <c r="Q472"/>
    </row>
    <row r="473" spans="17:17" ht="14.4" hidden="1">
      <c r="Q473"/>
    </row>
    <row r="474" spans="17:17" ht="14.4" hidden="1">
      <c r="Q474"/>
    </row>
    <row r="475" spans="17:17" ht="14.4" hidden="1">
      <c r="Q475"/>
    </row>
    <row r="476" spans="17:17" ht="14.4" hidden="1">
      <c r="Q476"/>
    </row>
    <row r="477" spans="17:17" ht="14.4" hidden="1">
      <c r="Q477"/>
    </row>
    <row r="478" spans="17:17" ht="14.4" hidden="1">
      <c r="Q478"/>
    </row>
    <row r="479" spans="17:17" ht="14.4" hidden="1">
      <c r="Q479"/>
    </row>
    <row r="480" spans="17:17" ht="14.4" hidden="1">
      <c r="Q480"/>
    </row>
    <row r="481" spans="17:17" ht="14.4" hidden="1">
      <c r="Q481"/>
    </row>
    <row r="482" spans="17:17" ht="14.4" hidden="1">
      <c r="Q482"/>
    </row>
    <row r="483" spans="17:17" ht="14.4" hidden="1">
      <c r="Q483"/>
    </row>
    <row r="484" spans="17:17" ht="14.4" hidden="1">
      <c r="Q484"/>
    </row>
    <row r="485" spans="17:17" ht="14.4" hidden="1">
      <c r="Q485"/>
    </row>
    <row r="486" spans="17:17" ht="14.4" hidden="1">
      <c r="Q486"/>
    </row>
    <row r="487" spans="17:17" ht="14.4" hidden="1">
      <c r="Q487"/>
    </row>
    <row r="488" spans="17:17" ht="14.4" hidden="1">
      <c r="Q488"/>
    </row>
    <row r="489" spans="17:17" ht="14.4" hidden="1">
      <c r="Q489"/>
    </row>
    <row r="490" spans="17:17" ht="14.4" hidden="1">
      <c r="Q490"/>
    </row>
    <row r="491" spans="17:17" ht="14.4" hidden="1">
      <c r="Q491"/>
    </row>
    <row r="492" spans="17:17" ht="14.4" hidden="1">
      <c r="Q492"/>
    </row>
    <row r="493" spans="17:17" ht="14.4" hidden="1">
      <c r="Q493"/>
    </row>
    <row r="494" spans="17:17" ht="14.4" hidden="1">
      <c r="Q494"/>
    </row>
    <row r="495" spans="17:17" ht="14.4" hidden="1">
      <c r="Q495"/>
    </row>
    <row r="496" spans="17:17" ht="14.4" hidden="1">
      <c r="Q496"/>
    </row>
    <row r="497" spans="17:17" ht="14.4" hidden="1">
      <c r="Q497"/>
    </row>
    <row r="498" spans="17:17" ht="14.4" hidden="1">
      <c r="Q498"/>
    </row>
    <row r="499" spans="17:17" ht="14.4" hidden="1">
      <c r="Q499"/>
    </row>
    <row r="500" spans="17:17" ht="14.4" hidden="1">
      <c r="Q500"/>
    </row>
    <row r="501" spans="17:17" ht="14.4" hidden="1">
      <c r="Q501"/>
    </row>
    <row r="502" spans="17:17" ht="14.4" hidden="1">
      <c r="Q502"/>
    </row>
    <row r="503" spans="17:17" ht="14.4" hidden="1">
      <c r="Q503"/>
    </row>
    <row r="504" spans="17:17" ht="14.4" hidden="1">
      <c r="Q504"/>
    </row>
    <row r="505" spans="17:17" ht="14.4" hidden="1">
      <c r="Q505"/>
    </row>
    <row r="506" spans="17:17" ht="14.4" hidden="1">
      <c r="Q506"/>
    </row>
    <row r="507" spans="17:17" ht="14.4" hidden="1">
      <c r="Q507"/>
    </row>
    <row r="508" spans="17:17" ht="14.4" hidden="1">
      <c r="Q508"/>
    </row>
    <row r="509" spans="17:17" ht="14.4" hidden="1">
      <c r="Q509"/>
    </row>
    <row r="510" spans="17:17" ht="14.4" hidden="1">
      <c r="Q510"/>
    </row>
    <row r="511" spans="17:17" ht="14.4" hidden="1">
      <c r="Q511"/>
    </row>
    <row r="512" spans="17:17" ht="14.4" hidden="1">
      <c r="Q512"/>
    </row>
    <row r="513" spans="17:17" ht="14.4" hidden="1">
      <c r="Q513"/>
    </row>
    <row r="514" spans="17:17" ht="14.4" hidden="1">
      <c r="Q514"/>
    </row>
    <row r="515" spans="17:17" ht="14.4" hidden="1">
      <c r="Q515"/>
    </row>
    <row r="516" spans="17:17" ht="14.4" hidden="1">
      <c r="Q516"/>
    </row>
    <row r="517" spans="17:17" ht="14.4" hidden="1">
      <c r="Q517"/>
    </row>
    <row r="518" spans="17:17" ht="14.4" hidden="1">
      <c r="Q518"/>
    </row>
    <row r="519" spans="17:17" ht="14.4" hidden="1">
      <c r="Q519"/>
    </row>
    <row r="520" spans="17:17" ht="14.4" hidden="1">
      <c r="Q520"/>
    </row>
    <row r="521" spans="17:17" ht="14.4" hidden="1">
      <c r="Q521"/>
    </row>
    <row r="522" spans="17:17" ht="14.4" hidden="1">
      <c r="Q522"/>
    </row>
    <row r="523" spans="17:17" ht="14.4" hidden="1">
      <c r="Q523"/>
    </row>
    <row r="524" spans="17:17" ht="14.4" hidden="1">
      <c r="Q524"/>
    </row>
    <row r="525" spans="17:17" ht="14.4" hidden="1">
      <c r="Q525"/>
    </row>
    <row r="526" spans="17:17" ht="14.4" hidden="1">
      <c r="Q526"/>
    </row>
    <row r="527" spans="17:17" ht="14.4" hidden="1">
      <c r="Q527"/>
    </row>
    <row r="528" spans="17:17" ht="14.4" hidden="1">
      <c r="Q528"/>
    </row>
    <row r="529" spans="17:17" ht="14.4" hidden="1">
      <c r="Q529"/>
    </row>
    <row r="530" spans="17:17" ht="14.4" hidden="1">
      <c r="Q530"/>
    </row>
    <row r="531" spans="17:17" ht="14.4" hidden="1">
      <c r="Q531"/>
    </row>
    <row r="532" spans="17:17" ht="14.4" hidden="1">
      <c r="Q532"/>
    </row>
    <row r="533" spans="17:17" ht="14.4" hidden="1">
      <c r="Q533"/>
    </row>
    <row r="534" spans="17:17" ht="14.4" hidden="1">
      <c r="Q534"/>
    </row>
    <row r="535" spans="17:17" ht="14.4" hidden="1">
      <c r="Q535"/>
    </row>
    <row r="536" spans="17:17" ht="14.4" hidden="1">
      <c r="Q536"/>
    </row>
    <row r="537" spans="17:17" ht="14.4" hidden="1">
      <c r="Q537"/>
    </row>
    <row r="538" spans="17:17" ht="14.4" hidden="1">
      <c r="Q538"/>
    </row>
    <row r="539" spans="17:17" ht="14.4" hidden="1">
      <c r="Q539"/>
    </row>
    <row r="540" spans="17:17" ht="14.4" hidden="1">
      <c r="Q540"/>
    </row>
    <row r="541" spans="17:17" ht="14.4" hidden="1">
      <c r="Q541"/>
    </row>
    <row r="542" spans="17:17" ht="14.4" hidden="1">
      <c r="Q542"/>
    </row>
    <row r="543" spans="17:17" ht="14.4" hidden="1">
      <c r="Q543"/>
    </row>
    <row r="544" spans="17:17" ht="14.4" hidden="1">
      <c r="Q544"/>
    </row>
    <row r="545" spans="17:17" ht="14.4" hidden="1">
      <c r="Q545"/>
    </row>
    <row r="546" spans="17:17" ht="14.4" hidden="1">
      <c r="Q546"/>
    </row>
    <row r="547" spans="17:17" ht="14.4" hidden="1">
      <c r="Q547"/>
    </row>
    <row r="548" spans="17:17" ht="14.4" hidden="1">
      <c r="Q548"/>
    </row>
    <row r="549" spans="17:17" ht="14.4" hidden="1">
      <c r="Q549"/>
    </row>
    <row r="550" spans="17:17" ht="14.4" hidden="1">
      <c r="Q550"/>
    </row>
    <row r="551" spans="17:17" ht="14.4" hidden="1">
      <c r="Q551"/>
    </row>
    <row r="552" spans="17:17" ht="14.4" hidden="1">
      <c r="Q552"/>
    </row>
    <row r="553" spans="17:17" ht="14.4" hidden="1">
      <c r="Q553"/>
    </row>
    <row r="554" spans="17:17" ht="14.4" hidden="1">
      <c r="Q554"/>
    </row>
    <row r="555" spans="17:17" ht="14.4" hidden="1">
      <c r="Q555"/>
    </row>
    <row r="556" spans="17:17" ht="14.4" hidden="1">
      <c r="Q556"/>
    </row>
    <row r="557" spans="17:17" ht="14.4" hidden="1">
      <c r="Q557"/>
    </row>
    <row r="558" spans="17:17" ht="14.4" hidden="1">
      <c r="Q558"/>
    </row>
    <row r="559" spans="17:17" ht="14.4" hidden="1">
      <c r="Q559"/>
    </row>
    <row r="560" spans="17:17" ht="14.4" hidden="1">
      <c r="Q560"/>
    </row>
    <row r="561" spans="17:17" ht="14.4" hidden="1">
      <c r="Q561"/>
    </row>
    <row r="562" spans="17:17" ht="14.4" hidden="1">
      <c r="Q562"/>
    </row>
    <row r="563" spans="17:17" ht="14.4" hidden="1">
      <c r="Q563"/>
    </row>
    <row r="564" spans="17:17" ht="14.4" hidden="1">
      <c r="Q564"/>
    </row>
    <row r="565" spans="17:17" ht="14.4" hidden="1">
      <c r="Q565"/>
    </row>
    <row r="566" spans="17:17" ht="14.4" hidden="1">
      <c r="Q566"/>
    </row>
    <row r="567" spans="17:17" ht="14.4" hidden="1">
      <c r="Q567"/>
    </row>
    <row r="568" spans="17:17" ht="14.4" hidden="1">
      <c r="Q568"/>
    </row>
    <row r="569" spans="17:17" ht="14.4" hidden="1">
      <c r="Q569"/>
    </row>
    <row r="570" spans="17:17" ht="14.4" hidden="1">
      <c r="Q570"/>
    </row>
    <row r="571" spans="17:17" ht="14.4" hidden="1">
      <c r="Q571"/>
    </row>
    <row r="572" spans="17:17" ht="14.4" hidden="1">
      <c r="Q572"/>
    </row>
    <row r="573" spans="17:17" ht="14.4" hidden="1">
      <c r="Q573"/>
    </row>
    <row r="574" spans="17:17" ht="14.4" hidden="1">
      <c r="Q574"/>
    </row>
    <row r="575" spans="17:17" ht="14.4" hidden="1">
      <c r="Q575"/>
    </row>
    <row r="576" spans="17:17" ht="14.4" hidden="1">
      <c r="Q576"/>
    </row>
    <row r="577" spans="17:17" ht="14.4" hidden="1">
      <c r="Q577"/>
    </row>
    <row r="578" spans="17:17" ht="14.4" hidden="1">
      <c r="Q578"/>
    </row>
    <row r="579" spans="17:17" ht="14.4" hidden="1">
      <c r="Q579"/>
    </row>
    <row r="580" spans="17:17" ht="14.4" hidden="1">
      <c r="Q580"/>
    </row>
    <row r="581" spans="17:17" ht="14.4" hidden="1">
      <c r="Q581"/>
    </row>
    <row r="582" spans="17:17" ht="14.4" hidden="1">
      <c r="Q582"/>
    </row>
    <row r="583" spans="17:17" ht="14.4" hidden="1">
      <c r="Q583"/>
    </row>
    <row r="584" spans="17:17" ht="14.4" hidden="1">
      <c r="Q584"/>
    </row>
    <row r="585" spans="17:17" ht="14.4" hidden="1">
      <c r="Q585"/>
    </row>
    <row r="586" spans="17:17" ht="14.4" hidden="1">
      <c r="Q586"/>
    </row>
    <row r="587" spans="17:17" ht="14.4" hidden="1">
      <c r="Q587"/>
    </row>
    <row r="588" spans="17:17" ht="14.4" hidden="1">
      <c r="Q588"/>
    </row>
    <row r="589" spans="17:17" ht="14.4" hidden="1">
      <c r="Q589"/>
    </row>
    <row r="590" spans="17:17" ht="14.4" hidden="1">
      <c r="Q590"/>
    </row>
    <row r="591" spans="17:17" ht="14.4" hidden="1">
      <c r="Q591"/>
    </row>
    <row r="592" spans="17:17" ht="14.4" hidden="1">
      <c r="Q592"/>
    </row>
    <row r="593" spans="17:17" ht="14.4" hidden="1">
      <c r="Q593"/>
    </row>
    <row r="594" spans="17:17" ht="14.4" hidden="1">
      <c r="Q594"/>
    </row>
    <row r="595" spans="17:17" ht="14.4" hidden="1">
      <c r="Q595"/>
    </row>
    <row r="596" spans="17:17" ht="14.4" hidden="1">
      <c r="Q596"/>
    </row>
    <row r="597" spans="17:17" ht="14.4" hidden="1">
      <c r="Q597"/>
    </row>
    <row r="598" spans="17:17" ht="14.4" hidden="1">
      <c r="Q598"/>
    </row>
    <row r="599" spans="17:17" ht="14.4" hidden="1">
      <c r="Q599"/>
    </row>
    <row r="600" spans="17:17" ht="14.4" hidden="1">
      <c r="Q600"/>
    </row>
    <row r="601" spans="17:17" ht="14.4" hidden="1">
      <c r="Q601"/>
    </row>
    <row r="602" spans="17:17" ht="14.4" hidden="1">
      <c r="Q602"/>
    </row>
    <row r="603" spans="17:17" ht="14.4" hidden="1">
      <c r="Q603"/>
    </row>
    <row r="604" spans="17:17" ht="14.4" hidden="1">
      <c r="Q604"/>
    </row>
    <row r="605" spans="17:17" ht="14.4" hidden="1">
      <c r="Q605"/>
    </row>
    <row r="606" spans="17:17" ht="14.4" hidden="1">
      <c r="Q606"/>
    </row>
    <row r="607" spans="17:17" ht="14.4" hidden="1">
      <c r="Q607"/>
    </row>
    <row r="608" spans="17:17" ht="14.4" hidden="1">
      <c r="Q608"/>
    </row>
    <row r="609" spans="17:17" ht="14.4" hidden="1">
      <c r="Q609"/>
    </row>
    <row r="610" spans="17:17" ht="14.4" hidden="1">
      <c r="Q610"/>
    </row>
    <row r="611" spans="17:17" ht="14.4" hidden="1">
      <c r="Q611"/>
    </row>
    <row r="612" spans="17:17" ht="14.4" hidden="1">
      <c r="Q612"/>
    </row>
    <row r="613" spans="17:17" ht="14.4" hidden="1">
      <c r="Q613"/>
    </row>
    <row r="614" spans="17:17" ht="14.4" hidden="1">
      <c r="Q614"/>
    </row>
    <row r="615" spans="17:17" ht="14.4" hidden="1">
      <c r="Q615"/>
    </row>
    <row r="616" spans="17:17" ht="14.4" hidden="1">
      <c r="Q616"/>
    </row>
    <row r="617" spans="17:17" ht="14.4" hidden="1">
      <c r="Q617"/>
    </row>
    <row r="618" spans="17:17" ht="14.4" hidden="1">
      <c r="Q618"/>
    </row>
    <row r="619" spans="17:17" ht="14.4" hidden="1">
      <c r="Q619"/>
    </row>
    <row r="620" spans="17:17" ht="14.4" hidden="1">
      <c r="Q620"/>
    </row>
    <row r="621" spans="17:17" ht="14.4" hidden="1">
      <c r="Q621"/>
    </row>
    <row r="622" spans="17:17" ht="14.4" hidden="1">
      <c r="Q622"/>
    </row>
    <row r="623" spans="17:17" ht="14.4" hidden="1">
      <c r="Q623"/>
    </row>
    <row r="624" spans="17:17" ht="14.4" hidden="1">
      <c r="Q624"/>
    </row>
    <row r="625" spans="17:17" ht="14.4" hidden="1">
      <c r="Q625"/>
    </row>
    <row r="626" spans="17:17" ht="14.4" hidden="1">
      <c r="Q626"/>
    </row>
    <row r="627" spans="17:17" ht="14.4" hidden="1">
      <c r="Q627"/>
    </row>
    <row r="628" spans="17:17" ht="14.4" hidden="1">
      <c r="Q628"/>
    </row>
    <row r="629" spans="17:17" ht="14.4" hidden="1">
      <c r="Q629"/>
    </row>
    <row r="630" spans="17:17" ht="14.4" hidden="1">
      <c r="Q630"/>
    </row>
    <row r="631" spans="17:17" ht="14.4" hidden="1">
      <c r="Q631"/>
    </row>
    <row r="632" spans="17:17" ht="14.4" hidden="1">
      <c r="Q632"/>
    </row>
    <row r="633" spans="17:17" ht="14.4" hidden="1">
      <c r="Q633"/>
    </row>
    <row r="634" spans="17:17" ht="14.4" hidden="1">
      <c r="Q634"/>
    </row>
    <row r="635" spans="17:17" ht="14.4" hidden="1">
      <c r="Q635"/>
    </row>
    <row r="636" spans="17:17" ht="14.4" hidden="1">
      <c r="Q636"/>
    </row>
    <row r="637" spans="17:17" ht="14.4" hidden="1">
      <c r="Q637"/>
    </row>
    <row r="638" spans="17:17" ht="14.4" hidden="1">
      <c r="Q638"/>
    </row>
    <row r="639" spans="17:17" ht="14.4" hidden="1">
      <c r="Q639"/>
    </row>
    <row r="640" spans="17:17" ht="14.4" hidden="1">
      <c r="Q640"/>
    </row>
    <row r="641" spans="17:17" ht="14.4" hidden="1">
      <c r="Q641"/>
    </row>
    <row r="642" spans="17:17" ht="14.4" hidden="1">
      <c r="Q642"/>
    </row>
    <row r="643" spans="17:17" ht="14.4" hidden="1">
      <c r="Q643"/>
    </row>
    <row r="644" spans="17:17" ht="14.4" hidden="1">
      <c r="Q644"/>
    </row>
    <row r="645" spans="17:17" ht="14.4" hidden="1">
      <c r="Q645"/>
    </row>
    <row r="646" spans="17:17" ht="14.4" hidden="1">
      <c r="Q646"/>
    </row>
    <row r="647" spans="17:17" ht="14.4" hidden="1">
      <c r="Q647"/>
    </row>
    <row r="648" spans="17:17" ht="14.4" hidden="1">
      <c r="Q648"/>
    </row>
    <row r="649" spans="17:17" ht="14.4" hidden="1">
      <c r="Q649"/>
    </row>
    <row r="650" spans="17:17" ht="14.4" hidden="1">
      <c r="Q650"/>
    </row>
    <row r="651" spans="17:17" ht="14.4" hidden="1">
      <c r="Q651"/>
    </row>
    <row r="652" spans="17:17" ht="14.4" hidden="1">
      <c r="Q652"/>
    </row>
    <row r="653" spans="17:17" ht="14.4" hidden="1">
      <c r="Q653"/>
    </row>
    <row r="654" spans="17:17" ht="14.4" hidden="1">
      <c r="Q654"/>
    </row>
    <row r="655" spans="17:17" ht="14.4" hidden="1">
      <c r="Q655"/>
    </row>
    <row r="656" spans="17:17" ht="14.4" hidden="1">
      <c r="Q656"/>
    </row>
    <row r="657" spans="17:17" ht="14.4" hidden="1">
      <c r="Q657"/>
    </row>
    <row r="658" spans="17:17" ht="14.4" hidden="1">
      <c r="Q658"/>
    </row>
    <row r="659" spans="17:17" ht="14.4" hidden="1">
      <c r="Q659"/>
    </row>
    <row r="660" spans="17:17" ht="14.4" hidden="1">
      <c r="Q660"/>
    </row>
    <row r="661" spans="17:17" ht="14.4" hidden="1">
      <c r="Q661"/>
    </row>
    <row r="662" spans="17:17" ht="14.4" hidden="1">
      <c r="Q662"/>
    </row>
    <row r="663" spans="17:17" ht="14.4" hidden="1">
      <c r="Q663"/>
    </row>
    <row r="664" spans="17:17" ht="14.4" hidden="1">
      <c r="Q664"/>
    </row>
    <row r="665" spans="17:17" ht="14.4" hidden="1">
      <c r="Q665"/>
    </row>
    <row r="666" spans="17:17" ht="14.4" hidden="1">
      <c r="Q666"/>
    </row>
    <row r="667" spans="17:17" ht="14.4" hidden="1">
      <c r="Q667"/>
    </row>
    <row r="668" spans="17:17" ht="14.4" hidden="1">
      <c r="Q668"/>
    </row>
    <row r="669" spans="17:17" ht="14.4" hidden="1">
      <c r="Q669"/>
    </row>
    <row r="670" spans="17:17" ht="14.4" hidden="1">
      <c r="Q670"/>
    </row>
    <row r="671" spans="17:17" ht="14.4" hidden="1">
      <c r="Q671"/>
    </row>
    <row r="672" spans="17:17" ht="14.4" hidden="1">
      <c r="Q672"/>
    </row>
    <row r="673" spans="17:17" ht="14.4" hidden="1">
      <c r="Q673"/>
    </row>
    <row r="674" spans="17:17" ht="14.4" hidden="1">
      <c r="Q674"/>
    </row>
    <row r="675" spans="17:17" ht="14.4" hidden="1">
      <c r="Q675"/>
    </row>
    <row r="676" spans="17:17" ht="14.4" hidden="1">
      <c r="Q676"/>
    </row>
    <row r="677" spans="17:17" ht="14.4" hidden="1">
      <c r="Q677"/>
    </row>
    <row r="678" spans="17:17" ht="14.4" hidden="1">
      <c r="Q678"/>
    </row>
    <row r="679" spans="17:17" ht="14.4" hidden="1">
      <c r="Q679"/>
    </row>
    <row r="680" spans="17:17" ht="14.4" hidden="1">
      <c r="Q680"/>
    </row>
    <row r="681" spans="17:17" ht="14.4" hidden="1">
      <c r="Q681"/>
    </row>
    <row r="682" spans="17:17" ht="14.4" hidden="1">
      <c r="Q682"/>
    </row>
    <row r="683" spans="17:17" ht="14.4" hidden="1">
      <c r="Q683"/>
    </row>
    <row r="684" spans="17:17" ht="14.4" hidden="1">
      <c r="Q684"/>
    </row>
    <row r="685" spans="17:17" ht="14.4" hidden="1">
      <c r="Q685"/>
    </row>
    <row r="686" spans="17:17" ht="14.4" hidden="1">
      <c r="Q686"/>
    </row>
    <row r="687" spans="17:17" ht="14.4" hidden="1">
      <c r="Q687"/>
    </row>
    <row r="688" spans="17:17" ht="14.4" hidden="1">
      <c r="Q688"/>
    </row>
    <row r="689" spans="17:17" ht="14.4" hidden="1">
      <c r="Q689"/>
    </row>
    <row r="690" spans="17:17" ht="14.4" hidden="1">
      <c r="Q690"/>
    </row>
    <row r="691" spans="17:17" ht="14.4" hidden="1">
      <c r="Q691"/>
    </row>
    <row r="692" spans="17:17" ht="14.4" hidden="1">
      <c r="Q692"/>
    </row>
    <row r="693" spans="17:17" ht="14.4" hidden="1">
      <c r="Q693"/>
    </row>
    <row r="694" spans="17:17" ht="14.4" hidden="1">
      <c r="Q694"/>
    </row>
    <row r="695" spans="17:17" ht="14.4" hidden="1">
      <c r="Q695"/>
    </row>
    <row r="696" spans="17:17" ht="14.4" hidden="1">
      <c r="Q696"/>
    </row>
    <row r="697" spans="17:17" ht="14.4" hidden="1">
      <c r="Q697"/>
    </row>
    <row r="698" spans="17:17" ht="14.4" hidden="1">
      <c r="Q698"/>
    </row>
    <row r="699" spans="17:17" ht="14.4" hidden="1">
      <c r="Q699"/>
    </row>
    <row r="700" spans="17:17" ht="14.4" hidden="1">
      <c r="Q700"/>
    </row>
    <row r="701" spans="17:17" ht="14.4" hidden="1">
      <c r="Q701"/>
    </row>
    <row r="702" spans="17:17" ht="14.4" hidden="1">
      <c r="Q702"/>
    </row>
    <row r="703" spans="17:17" ht="14.4" hidden="1">
      <c r="Q703"/>
    </row>
    <row r="704" spans="17:17" ht="14.4" hidden="1">
      <c r="Q704"/>
    </row>
    <row r="705" spans="17:17" ht="14.4" hidden="1">
      <c r="Q705"/>
    </row>
    <row r="706" spans="17:17" ht="14.4" hidden="1">
      <c r="Q706"/>
    </row>
    <row r="707" spans="17:17" ht="14.4" hidden="1">
      <c r="Q707"/>
    </row>
    <row r="708" spans="17:17" ht="14.4" hidden="1">
      <c r="Q708"/>
    </row>
    <row r="709" spans="17:17" ht="14.4" hidden="1">
      <c r="Q709"/>
    </row>
    <row r="710" spans="17:17" ht="14.4" hidden="1">
      <c r="Q710"/>
    </row>
    <row r="711" spans="17:17" ht="14.4" hidden="1">
      <c r="Q711"/>
    </row>
    <row r="712" spans="17:17" ht="14.4" hidden="1">
      <c r="Q712"/>
    </row>
    <row r="713" spans="17:17" ht="14.4" hidden="1">
      <c r="Q713"/>
    </row>
    <row r="714" spans="17:17" ht="14.4" hidden="1">
      <c r="Q714"/>
    </row>
    <row r="715" spans="17:17" ht="14.4" hidden="1">
      <c r="Q715"/>
    </row>
    <row r="716" spans="17:17" ht="14.4" hidden="1">
      <c r="Q716"/>
    </row>
    <row r="717" spans="17:17" ht="14.4" hidden="1">
      <c r="Q717"/>
    </row>
    <row r="718" spans="17:17" ht="14.4" hidden="1">
      <c r="Q718"/>
    </row>
    <row r="719" spans="17:17" ht="14.4" hidden="1">
      <c r="Q719"/>
    </row>
    <row r="720" spans="17:17" ht="14.4" hidden="1">
      <c r="Q720"/>
    </row>
    <row r="721" spans="17:17" ht="14.4" hidden="1">
      <c r="Q721"/>
    </row>
    <row r="722" spans="17:17" ht="14.4" hidden="1">
      <c r="Q722"/>
    </row>
    <row r="723" spans="17:17" ht="14.4" hidden="1">
      <c r="Q723"/>
    </row>
    <row r="724" spans="17:17" ht="14.4" hidden="1">
      <c r="Q724"/>
    </row>
    <row r="725" spans="17:17" ht="14.4" hidden="1">
      <c r="Q725"/>
    </row>
    <row r="726" spans="17:17" ht="14.4" hidden="1">
      <c r="Q726"/>
    </row>
    <row r="727" spans="17:17" ht="14.4" hidden="1">
      <c r="Q727"/>
    </row>
    <row r="728" spans="17:17" ht="14.4" hidden="1">
      <c r="Q728"/>
    </row>
    <row r="729" spans="17:17" ht="14.4" hidden="1">
      <c r="Q729"/>
    </row>
    <row r="730" spans="17:17" ht="14.4" hidden="1">
      <c r="Q730"/>
    </row>
    <row r="731" spans="17:17" ht="14.4" hidden="1">
      <c r="Q731"/>
    </row>
    <row r="732" spans="17:17" ht="14.4" hidden="1">
      <c r="Q732"/>
    </row>
    <row r="733" spans="17:17" ht="14.4" hidden="1">
      <c r="Q733"/>
    </row>
    <row r="734" spans="17:17" ht="14.4" hidden="1">
      <c r="Q734"/>
    </row>
    <row r="735" spans="17:17" ht="14.4" hidden="1">
      <c r="Q735"/>
    </row>
    <row r="736" spans="17:17" ht="14.4" hidden="1">
      <c r="Q736"/>
    </row>
    <row r="737" spans="17:17" ht="14.4" hidden="1">
      <c r="Q737"/>
    </row>
    <row r="738" spans="17:17" ht="14.4" hidden="1">
      <c r="Q738"/>
    </row>
    <row r="739" spans="17:17" ht="14.4" hidden="1">
      <c r="Q739"/>
    </row>
    <row r="740" spans="17:17" ht="14.4" hidden="1">
      <c r="Q740"/>
    </row>
    <row r="741" spans="17:17" ht="14.4" hidden="1">
      <c r="Q741"/>
    </row>
    <row r="742" spans="17:17" ht="14.4" hidden="1">
      <c r="Q742"/>
    </row>
    <row r="743" spans="17:17" ht="14.4" hidden="1">
      <c r="Q743"/>
    </row>
    <row r="744" spans="17:17" ht="14.4" hidden="1">
      <c r="Q744"/>
    </row>
    <row r="745" spans="17:17" ht="14.4" hidden="1">
      <c r="Q745"/>
    </row>
    <row r="746" spans="17:17" ht="14.4" hidden="1">
      <c r="Q746"/>
    </row>
    <row r="747" spans="17:17" ht="14.4" hidden="1">
      <c r="Q747"/>
    </row>
    <row r="748" spans="17:17" ht="14.4" hidden="1">
      <c r="Q748"/>
    </row>
    <row r="749" spans="17:17" ht="14.4" hidden="1">
      <c r="Q749"/>
    </row>
    <row r="750" spans="17:17" ht="14.4" hidden="1">
      <c r="Q750"/>
    </row>
    <row r="751" spans="17:17" ht="14.4" hidden="1">
      <c r="Q751"/>
    </row>
    <row r="752" spans="17:17" ht="14.4" hidden="1">
      <c r="Q752"/>
    </row>
    <row r="753" spans="17:17" ht="14.4" hidden="1">
      <c r="Q753"/>
    </row>
    <row r="754" spans="17:17" ht="14.4" hidden="1">
      <c r="Q754"/>
    </row>
    <row r="755" spans="17:17" ht="14.4" hidden="1">
      <c r="Q755"/>
    </row>
    <row r="756" spans="17:17" ht="14.4" hidden="1">
      <c r="Q756"/>
    </row>
    <row r="757" spans="17:17" ht="14.4" hidden="1">
      <c r="Q757"/>
    </row>
    <row r="758" spans="17:17" ht="14.4" hidden="1">
      <c r="Q758"/>
    </row>
    <row r="759" spans="17:17" ht="14.4" hidden="1">
      <c r="Q759"/>
    </row>
    <row r="760" spans="17:17" ht="14.4" hidden="1">
      <c r="Q760"/>
    </row>
    <row r="761" spans="17:17" ht="14.4" hidden="1">
      <c r="Q761"/>
    </row>
    <row r="762" spans="17:17" ht="14.4" hidden="1">
      <c r="Q762"/>
    </row>
    <row r="763" spans="17:17" ht="14.4" hidden="1">
      <c r="Q763"/>
    </row>
    <row r="764" spans="17:17" ht="14.4" hidden="1">
      <c r="Q764"/>
    </row>
    <row r="765" spans="17:17" ht="14.4" hidden="1">
      <c r="Q765"/>
    </row>
    <row r="766" spans="17:17" ht="14.4" hidden="1">
      <c r="Q766"/>
    </row>
    <row r="767" spans="17:17" ht="14.4" hidden="1">
      <c r="Q767"/>
    </row>
    <row r="768" spans="17:17" ht="14.4" hidden="1">
      <c r="Q768"/>
    </row>
    <row r="769" spans="17:17" ht="14.4" hidden="1">
      <c r="Q769"/>
    </row>
    <row r="770" spans="17:17" ht="14.4" hidden="1">
      <c r="Q770"/>
    </row>
    <row r="771" spans="17:17" ht="14.4" hidden="1">
      <c r="Q771"/>
    </row>
    <row r="772" spans="17:17" ht="14.4" hidden="1">
      <c r="Q772"/>
    </row>
    <row r="773" spans="17:17" ht="14.4" hidden="1">
      <c r="Q773"/>
    </row>
    <row r="774" spans="17:17" ht="14.4" hidden="1">
      <c r="Q774"/>
    </row>
    <row r="775" spans="17:17" ht="14.4" hidden="1">
      <c r="Q775"/>
    </row>
    <row r="776" spans="17:17" ht="14.4" hidden="1">
      <c r="Q776"/>
    </row>
    <row r="777" spans="17:17" ht="14.4" hidden="1">
      <c r="Q777"/>
    </row>
    <row r="778" spans="17:17" ht="14.4" hidden="1">
      <c r="Q778"/>
    </row>
    <row r="779" spans="17:17" ht="14.4" hidden="1">
      <c r="Q779"/>
    </row>
    <row r="780" spans="17:17" ht="14.4" hidden="1">
      <c r="Q780"/>
    </row>
    <row r="781" spans="17:17" ht="14.4" hidden="1">
      <c r="Q781"/>
    </row>
    <row r="782" spans="17:17" ht="14.4" hidden="1">
      <c r="Q782"/>
    </row>
    <row r="783" spans="17:17" ht="14.4" hidden="1">
      <c r="Q783"/>
    </row>
    <row r="784" spans="17:17" ht="14.4" hidden="1">
      <c r="Q784"/>
    </row>
    <row r="785" spans="17:17" ht="14.4" hidden="1">
      <c r="Q785"/>
    </row>
    <row r="786" spans="17:17" ht="14.4" hidden="1">
      <c r="Q786"/>
    </row>
    <row r="787" spans="17:17" ht="14.4" hidden="1">
      <c r="Q787"/>
    </row>
    <row r="788" spans="17:17" ht="14.4" hidden="1">
      <c r="Q788"/>
    </row>
    <row r="789" spans="17:17" ht="14.4" hidden="1">
      <c r="Q789"/>
    </row>
    <row r="790" spans="17:17" ht="14.4" hidden="1">
      <c r="Q790"/>
    </row>
    <row r="791" spans="17:17" ht="14.4" hidden="1">
      <c r="Q791"/>
    </row>
    <row r="792" spans="17:17" ht="14.4" hidden="1">
      <c r="Q792"/>
    </row>
    <row r="793" spans="17:17" ht="14.4" hidden="1">
      <c r="Q793"/>
    </row>
    <row r="794" spans="17:17" ht="14.4" hidden="1">
      <c r="Q794"/>
    </row>
    <row r="795" spans="17:17" ht="14.4" hidden="1">
      <c r="Q795"/>
    </row>
    <row r="796" spans="17:17" ht="14.4" hidden="1">
      <c r="Q796"/>
    </row>
    <row r="797" spans="17:17" ht="14.4" hidden="1">
      <c r="Q797"/>
    </row>
    <row r="798" spans="17:17" ht="14.4" hidden="1">
      <c r="Q798"/>
    </row>
    <row r="799" spans="17:17" ht="14.4" hidden="1">
      <c r="Q799"/>
    </row>
    <row r="800" spans="17:17" ht="14.4" hidden="1">
      <c r="Q800"/>
    </row>
    <row r="801" spans="17:17" ht="14.4" hidden="1">
      <c r="Q801"/>
    </row>
    <row r="802" spans="17:17" ht="14.4" hidden="1">
      <c r="Q802"/>
    </row>
    <row r="803" spans="17:17" ht="14.4" hidden="1">
      <c r="Q803"/>
    </row>
    <row r="804" spans="17:17" ht="14.4" hidden="1">
      <c r="Q804"/>
    </row>
    <row r="805" spans="17:17" ht="14.4" hidden="1">
      <c r="Q805"/>
    </row>
    <row r="806" spans="17:17" ht="14.4" hidden="1">
      <c r="Q806"/>
    </row>
    <row r="807" spans="17:17" ht="14.4" hidden="1">
      <c r="Q807"/>
    </row>
    <row r="808" spans="17:17" ht="14.4" hidden="1">
      <c r="Q808"/>
    </row>
    <row r="809" spans="17:17" ht="14.4" hidden="1">
      <c r="Q809"/>
    </row>
    <row r="810" spans="17:17" ht="14.4" hidden="1">
      <c r="Q810"/>
    </row>
    <row r="811" spans="17:17" ht="14.4" hidden="1">
      <c r="Q811"/>
    </row>
    <row r="812" spans="17:17" ht="14.4" hidden="1">
      <c r="Q812"/>
    </row>
    <row r="813" spans="17:17" ht="14.4" hidden="1">
      <c r="Q813"/>
    </row>
    <row r="814" spans="17:17" ht="14.4" hidden="1">
      <c r="Q814"/>
    </row>
    <row r="815" spans="17:17" ht="14.4" hidden="1">
      <c r="Q815"/>
    </row>
    <row r="816" spans="17:17" ht="14.4" hidden="1">
      <c r="Q816"/>
    </row>
    <row r="817" spans="17:17" ht="14.4" hidden="1">
      <c r="Q817"/>
    </row>
    <row r="818" spans="17:17" ht="14.4" hidden="1">
      <c r="Q818"/>
    </row>
    <row r="819" spans="17:17" ht="14.4" hidden="1">
      <c r="Q819"/>
    </row>
    <row r="820" spans="17:17" ht="14.4" hidden="1">
      <c r="Q820"/>
    </row>
    <row r="821" spans="17:17" ht="14.4" hidden="1">
      <c r="Q821"/>
    </row>
    <row r="822" spans="17:17" ht="14.4" hidden="1">
      <c r="Q822"/>
    </row>
    <row r="823" spans="17:17" ht="14.4" hidden="1">
      <c r="Q823"/>
    </row>
    <row r="824" spans="17:17" ht="14.4" hidden="1">
      <c r="Q824"/>
    </row>
    <row r="825" spans="17:17" ht="14.4" hidden="1">
      <c r="Q825"/>
    </row>
    <row r="826" spans="17:17" ht="14.4" hidden="1">
      <c r="Q826"/>
    </row>
    <row r="827" spans="17:17" ht="14.4" hidden="1">
      <c r="Q827"/>
    </row>
    <row r="828" spans="17:17" ht="14.4" hidden="1">
      <c r="Q828"/>
    </row>
    <row r="829" spans="17:17" ht="14.4" hidden="1">
      <c r="Q829"/>
    </row>
    <row r="830" spans="17:17" ht="14.4" hidden="1">
      <c r="Q830"/>
    </row>
    <row r="831" spans="17:17" ht="14.4" hidden="1">
      <c r="Q831"/>
    </row>
    <row r="832" spans="17:17" ht="14.4" hidden="1">
      <c r="Q832"/>
    </row>
    <row r="833" spans="17:17" ht="14.4" hidden="1">
      <c r="Q833"/>
    </row>
    <row r="834" spans="17:17" ht="14.4" hidden="1">
      <c r="Q834"/>
    </row>
    <row r="835" spans="17:17" ht="14.4" hidden="1">
      <c r="Q835"/>
    </row>
    <row r="836" spans="17:17" ht="14.4" hidden="1">
      <c r="Q836"/>
    </row>
    <row r="837" spans="17:17" ht="14.4" hidden="1">
      <c r="Q837"/>
    </row>
    <row r="838" spans="17:17" ht="14.4" hidden="1">
      <c r="Q838"/>
    </row>
    <row r="839" spans="17:17" ht="14.4" hidden="1">
      <c r="Q839"/>
    </row>
    <row r="840" spans="17:17" ht="14.4" hidden="1">
      <c r="Q840"/>
    </row>
    <row r="841" spans="17:17" ht="14.4" hidden="1">
      <c r="Q841"/>
    </row>
    <row r="842" spans="17:17" ht="14.4" hidden="1">
      <c r="Q842"/>
    </row>
    <row r="843" spans="17:17" ht="14.4" hidden="1">
      <c r="Q843"/>
    </row>
    <row r="844" spans="17:17" ht="14.4" hidden="1">
      <c r="Q844"/>
    </row>
    <row r="845" spans="17:17" ht="14.4" hidden="1">
      <c r="Q845"/>
    </row>
    <row r="846" spans="17:17" ht="14.4" hidden="1">
      <c r="Q846"/>
    </row>
    <row r="847" spans="17:17" ht="14.4" hidden="1">
      <c r="Q847"/>
    </row>
    <row r="848" spans="17:17" ht="14.4" hidden="1">
      <c r="Q848"/>
    </row>
    <row r="849" spans="17:17" ht="14.4" hidden="1">
      <c r="Q849"/>
    </row>
    <row r="850" spans="17:17" ht="14.4" hidden="1">
      <c r="Q850"/>
    </row>
    <row r="851" spans="17:17" ht="14.4" hidden="1">
      <c r="Q851"/>
    </row>
    <row r="852" spans="17:17" ht="14.4" hidden="1">
      <c r="Q852"/>
    </row>
    <row r="853" spans="17:17" ht="14.4" hidden="1">
      <c r="Q853"/>
    </row>
    <row r="854" spans="17:17" ht="14.4" hidden="1">
      <c r="Q854"/>
    </row>
    <row r="855" spans="17:17" ht="14.4" hidden="1">
      <c r="Q855"/>
    </row>
    <row r="856" spans="17:17" ht="14.4" hidden="1">
      <c r="Q856"/>
    </row>
    <row r="857" spans="17:17" ht="14.4" hidden="1">
      <c r="Q857"/>
    </row>
    <row r="858" spans="17:17" ht="14.4" hidden="1">
      <c r="Q858"/>
    </row>
    <row r="859" spans="17:17" ht="14.4" hidden="1">
      <c r="Q859"/>
    </row>
    <row r="860" spans="17:17" ht="14.4" hidden="1">
      <c r="Q860"/>
    </row>
    <row r="861" spans="17:17" ht="14.4" hidden="1">
      <c r="Q861"/>
    </row>
    <row r="862" spans="17:17" ht="14.4" hidden="1">
      <c r="Q862"/>
    </row>
    <row r="863" spans="17:17" ht="14.4" hidden="1">
      <c r="Q863"/>
    </row>
    <row r="864" spans="17:17" ht="14.4" hidden="1">
      <c r="Q864"/>
    </row>
    <row r="865" spans="17:17" ht="14.4" hidden="1">
      <c r="Q865"/>
    </row>
    <row r="866" spans="17:17" ht="14.4" hidden="1">
      <c r="Q866"/>
    </row>
    <row r="867" spans="17:17" ht="14.4" hidden="1">
      <c r="Q867"/>
    </row>
    <row r="868" spans="17:17" ht="14.4" hidden="1">
      <c r="Q868"/>
    </row>
    <row r="869" spans="17:17" ht="14.4" hidden="1">
      <c r="Q869"/>
    </row>
    <row r="870" spans="17:17" ht="14.4" hidden="1">
      <c r="Q870"/>
    </row>
    <row r="871" spans="17:17" ht="14.4" hidden="1">
      <c r="Q871"/>
    </row>
    <row r="872" spans="17:17" ht="14.4" hidden="1">
      <c r="Q872"/>
    </row>
    <row r="873" spans="17:17" ht="14.4" hidden="1">
      <c r="Q873"/>
    </row>
    <row r="874" spans="17:17" ht="14.4" hidden="1">
      <c r="Q874"/>
    </row>
    <row r="875" spans="17:17" ht="14.4" hidden="1">
      <c r="Q875"/>
    </row>
    <row r="876" spans="17:17" ht="14.4" hidden="1">
      <c r="Q876"/>
    </row>
    <row r="877" spans="17:17" ht="14.4" hidden="1">
      <c r="Q877"/>
    </row>
    <row r="878" spans="17:17" ht="14.4" hidden="1">
      <c r="Q878"/>
    </row>
    <row r="879" spans="17:17" ht="14.4" hidden="1">
      <c r="Q879"/>
    </row>
    <row r="880" spans="17:17" ht="14.4" hidden="1">
      <c r="Q880"/>
    </row>
    <row r="881" spans="17:17" ht="14.4" hidden="1">
      <c r="Q881"/>
    </row>
    <row r="882" spans="17:17" ht="14.4" hidden="1">
      <c r="Q882"/>
    </row>
    <row r="883" spans="17:17" ht="14.4" hidden="1">
      <c r="Q883"/>
    </row>
    <row r="884" spans="17:17" ht="14.4" hidden="1">
      <c r="Q884"/>
    </row>
    <row r="885" spans="17:17" ht="14.4" hidden="1">
      <c r="Q885"/>
    </row>
    <row r="886" spans="17:17" ht="14.4" hidden="1">
      <c r="Q886"/>
    </row>
    <row r="887" spans="17:17" ht="14.4" hidden="1">
      <c r="Q887"/>
    </row>
    <row r="888" spans="17:17" ht="14.4" hidden="1">
      <c r="Q888"/>
    </row>
    <row r="889" spans="17:17" ht="14.4" hidden="1">
      <c r="Q889"/>
    </row>
    <row r="890" spans="17:17" ht="14.4" hidden="1">
      <c r="Q890"/>
    </row>
    <row r="891" spans="17:17" ht="14.4" hidden="1">
      <c r="Q891"/>
    </row>
    <row r="892" spans="17:17" ht="14.4" hidden="1">
      <c r="Q892"/>
    </row>
    <row r="893" spans="17:17" ht="14.4" hidden="1">
      <c r="Q893"/>
    </row>
    <row r="894" spans="17:17" ht="14.4" hidden="1">
      <c r="Q894"/>
    </row>
    <row r="895" spans="17:17" ht="14.4" hidden="1">
      <c r="Q895"/>
    </row>
    <row r="896" spans="17:17" ht="14.4" hidden="1">
      <c r="Q896"/>
    </row>
    <row r="897" spans="17:17" ht="14.4" hidden="1">
      <c r="Q897"/>
    </row>
    <row r="898" spans="17:17" ht="14.4" hidden="1">
      <c r="Q898"/>
    </row>
    <row r="899" spans="17:17" ht="14.4" hidden="1">
      <c r="Q899"/>
    </row>
    <row r="900" spans="17:17" ht="14.4" hidden="1">
      <c r="Q900"/>
    </row>
    <row r="901" spans="17:17" ht="14.4" hidden="1">
      <c r="Q901"/>
    </row>
    <row r="902" spans="17:17" ht="14.4" hidden="1">
      <c r="Q902"/>
    </row>
    <row r="903" spans="17:17" ht="14.4" hidden="1">
      <c r="Q903"/>
    </row>
    <row r="904" spans="17:17" ht="14.4" hidden="1">
      <c r="Q904"/>
    </row>
    <row r="905" spans="17:17" ht="14.4" hidden="1">
      <c r="Q905"/>
    </row>
    <row r="906" spans="17:17" ht="14.4" hidden="1">
      <c r="Q906"/>
    </row>
    <row r="907" spans="17:17" ht="14.4" hidden="1">
      <c r="Q907"/>
    </row>
    <row r="908" spans="17:17" ht="14.4" hidden="1">
      <c r="Q908"/>
    </row>
    <row r="909" spans="17:17" ht="14.4" hidden="1">
      <c r="Q909"/>
    </row>
    <row r="910" spans="17:17" ht="14.4" hidden="1">
      <c r="Q910"/>
    </row>
    <row r="911" spans="17:17" ht="14.4" hidden="1">
      <c r="Q911"/>
    </row>
    <row r="912" spans="17:17" ht="14.4" hidden="1">
      <c r="Q912"/>
    </row>
    <row r="913" spans="17:17" ht="14.4" hidden="1">
      <c r="Q913"/>
    </row>
    <row r="914" spans="17:17" ht="14.4" hidden="1">
      <c r="Q914"/>
    </row>
    <row r="915" spans="17:17" ht="14.4" hidden="1">
      <c r="Q915"/>
    </row>
    <row r="916" spans="17:17" ht="14.4" hidden="1">
      <c r="Q916"/>
    </row>
    <row r="917" spans="17:17" ht="14.4" hidden="1">
      <c r="Q917"/>
    </row>
    <row r="918" spans="17:17" ht="14.4" hidden="1">
      <c r="Q918"/>
    </row>
    <row r="919" spans="17:17" ht="14.4" hidden="1">
      <c r="Q919"/>
    </row>
    <row r="920" spans="17:17" ht="14.4" hidden="1">
      <c r="Q920"/>
    </row>
    <row r="921" spans="17:17" ht="14.4" hidden="1">
      <c r="Q921"/>
    </row>
    <row r="922" spans="17:17" ht="14.4" hidden="1">
      <c r="Q922"/>
    </row>
    <row r="923" spans="17:17" ht="14.4" hidden="1">
      <c r="Q923"/>
    </row>
    <row r="924" spans="17:17" ht="14.4" hidden="1">
      <c r="Q924"/>
    </row>
    <row r="925" spans="17:17" ht="14.4" hidden="1">
      <c r="Q925"/>
    </row>
    <row r="926" spans="17:17" ht="14.4" hidden="1">
      <c r="Q926"/>
    </row>
    <row r="927" spans="17:17" ht="14.4" hidden="1">
      <c r="Q927"/>
    </row>
    <row r="928" spans="17:17" ht="14.4" hidden="1">
      <c r="Q928"/>
    </row>
    <row r="929" spans="17:17" ht="14.4" hidden="1">
      <c r="Q929"/>
    </row>
    <row r="930" spans="17:17" ht="14.4" hidden="1">
      <c r="Q930"/>
    </row>
    <row r="931" spans="17:17" ht="14.4" hidden="1">
      <c r="Q931"/>
    </row>
    <row r="932" spans="17:17" ht="14.4" hidden="1">
      <c r="Q932"/>
    </row>
    <row r="933" spans="17:17" ht="14.4" hidden="1">
      <c r="Q933"/>
    </row>
    <row r="934" spans="17:17" ht="14.4" hidden="1">
      <c r="Q934"/>
    </row>
    <row r="935" spans="17:17" ht="14.4" hidden="1">
      <c r="Q935"/>
    </row>
    <row r="936" spans="17:17" ht="14.4" hidden="1">
      <c r="Q936"/>
    </row>
    <row r="937" spans="17:17" ht="14.4" hidden="1">
      <c r="Q937"/>
    </row>
    <row r="938" spans="17:17" ht="14.4" hidden="1">
      <c r="Q938"/>
    </row>
    <row r="939" spans="17:17" ht="14.4" hidden="1">
      <c r="Q939"/>
    </row>
    <row r="940" spans="17:17" ht="14.4" hidden="1">
      <c r="Q940"/>
    </row>
    <row r="941" spans="17:17" ht="14.4" hidden="1">
      <c r="Q941"/>
    </row>
    <row r="942" spans="17:17" ht="14.4" hidden="1">
      <c r="Q942"/>
    </row>
    <row r="943" spans="17:17" ht="14.4" hidden="1">
      <c r="Q943"/>
    </row>
    <row r="944" spans="17:17" ht="14.4" hidden="1">
      <c r="Q944"/>
    </row>
    <row r="945" spans="17:17" ht="14.4" hidden="1">
      <c r="Q945"/>
    </row>
    <row r="946" spans="17:17" ht="14.4" hidden="1">
      <c r="Q946"/>
    </row>
    <row r="947" spans="17:17" ht="14.4" hidden="1">
      <c r="Q947"/>
    </row>
    <row r="948" spans="17:17" ht="14.4" hidden="1">
      <c r="Q948"/>
    </row>
    <row r="949" spans="17:17" ht="14.4" hidden="1">
      <c r="Q949"/>
    </row>
    <row r="950" spans="17:17" ht="14.4" hidden="1">
      <c r="Q950"/>
    </row>
    <row r="951" spans="17:17" ht="14.4" hidden="1">
      <c r="Q951"/>
    </row>
    <row r="952" spans="17:17" ht="14.4" hidden="1">
      <c r="Q952"/>
    </row>
    <row r="953" spans="17:17" ht="14.4" hidden="1">
      <c r="Q953"/>
    </row>
    <row r="954" spans="17:17" ht="14.4" hidden="1">
      <c r="Q954"/>
    </row>
    <row r="955" spans="17:17" ht="14.4" hidden="1">
      <c r="Q955"/>
    </row>
    <row r="956" spans="17:17" ht="14.4" hidden="1">
      <c r="Q956"/>
    </row>
    <row r="957" spans="17:17" ht="14.4" hidden="1">
      <c r="Q957"/>
    </row>
    <row r="958" spans="17:17" ht="14.4" hidden="1">
      <c r="Q958"/>
    </row>
    <row r="959" spans="17:17" ht="14.4" hidden="1">
      <c r="Q959"/>
    </row>
    <row r="960" spans="17:17" ht="14.4" hidden="1">
      <c r="Q960"/>
    </row>
    <row r="961" spans="17:17" ht="14.4" hidden="1">
      <c r="Q961"/>
    </row>
    <row r="962" spans="17:17" ht="14.4" hidden="1">
      <c r="Q962"/>
    </row>
    <row r="963" spans="17:17" ht="14.4" hidden="1">
      <c r="Q963"/>
    </row>
    <row r="964" spans="17:17" ht="14.4" hidden="1">
      <c r="Q964"/>
    </row>
    <row r="965" spans="17:17" ht="14.4" hidden="1">
      <c r="Q965"/>
    </row>
    <row r="966" spans="17:17" ht="14.4" hidden="1">
      <c r="Q966"/>
    </row>
    <row r="967" spans="17:17" ht="14.4" hidden="1">
      <c r="Q967"/>
    </row>
    <row r="968" spans="17:17" ht="14.4" hidden="1">
      <c r="Q968"/>
    </row>
    <row r="969" spans="17:17" ht="14.4" hidden="1">
      <c r="Q969"/>
    </row>
    <row r="970" spans="17:17" ht="14.4" hidden="1">
      <c r="Q970"/>
    </row>
    <row r="971" spans="17:17" ht="14.4" hidden="1">
      <c r="Q971"/>
    </row>
    <row r="972" spans="17:17" ht="14.4" hidden="1">
      <c r="Q972"/>
    </row>
    <row r="973" spans="17:17" ht="14.4" hidden="1">
      <c r="Q973"/>
    </row>
    <row r="974" spans="17:17" ht="14.4" hidden="1">
      <c r="Q974"/>
    </row>
    <row r="975" spans="17:17" ht="14.4" hidden="1">
      <c r="Q975"/>
    </row>
    <row r="976" spans="17:17" ht="14.4" hidden="1">
      <c r="Q976"/>
    </row>
    <row r="977" spans="17:17" ht="14.4" hidden="1">
      <c r="Q977"/>
    </row>
    <row r="978" spans="17:17" ht="14.4" hidden="1">
      <c r="Q978"/>
    </row>
    <row r="979" spans="17:17" ht="14.4" hidden="1">
      <c r="Q979"/>
    </row>
    <row r="980" spans="17:17" ht="14.4" hidden="1">
      <c r="Q980"/>
    </row>
    <row r="981" spans="17:17" ht="14.4" hidden="1">
      <c r="Q981"/>
    </row>
    <row r="982" spans="17:17" ht="14.4" hidden="1">
      <c r="Q982"/>
    </row>
    <row r="983" spans="17:17" ht="14.4" hidden="1">
      <c r="Q983"/>
    </row>
    <row r="984" spans="17:17" ht="14.4" hidden="1">
      <c r="Q984"/>
    </row>
    <row r="985" spans="17:17" ht="14.4" hidden="1">
      <c r="Q985"/>
    </row>
    <row r="986" spans="17:17" ht="14.4" hidden="1">
      <c r="Q986"/>
    </row>
    <row r="987" spans="17:17" ht="14.4" hidden="1">
      <c r="Q987"/>
    </row>
    <row r="988" spans="17:17" ht="14.4" hidden="1">
      <c r="Q988"/>
    </row>
    <row r="989" spans="17:17" ht="14.4" hidden="1">
      <c r="Q989"/>
    </row>
    <row r="990" spans="17:17" ht="14.4" hidden="1">
      <c r="Q990"/>
    </row>
    <row r="991" spans="17:17" ht="14.4" hidden="1">
      <c r="Q991"/>
    </row>
    <row r="992" spans="17:17" ht="14.4" hidden="1">
      <c r="Q992"/>
    </row>
    <row r="993" spans="17:17" ht="14.4" hidden="1">
      <c r="Q993"/>
    </row>
    <row r="994" spans="17:17" ht="14.4" hidden="1">
      <c r="Q994"/>
    </row>
    <row r="995" spans="17:17" ht="14.4" hidden="1">
      <c r="Q995"/>
    </row>
    <row r="996" spans="17:17" ht="14.4" hidden="1">
      <c r="Q996"/>
    </row>
    <row r="997" spans="17:17" ht="14.4" hidden="1">
      <c r="Q997"/>
    </row>
    <row r="998" spans="17:17" ht="14.4" hidden="1">
      <c r="Q998"/>
    </row>
    <row r="999" spans="17:17" ht="14.4" hidden="1">
      <c r="Q999"/>
    </row>
    <row r="1000" spans="17:17" ht="14.4" hidden="1">
      <c r="Q1000"/>
    </row>
    <row r="1001" spans="17:17" ht="14.4" hidden="1">
      <c r="Q1001"/>
    </row>
    <row r="1002" spans="17:17" ht="14.4" hidden="1">
      <c r="Q1002"/>
    </row>
    <row r="1003" spans="17:17" ht="14.4" hidden="1">
      <c r="Q1003"/>
    </row>
    <row r="1004" spans="17:17" ht="14.4" hidden="1">
      <c r="Q1004"/>
    </row>
    <row r="1005" spans="17:17" ht="14.4" hidden="1">
      <c r="Q1005"/>
    </row>
    <row r="1006" spans="17:17" ht="14.4" hidden="1">
      <c r="Q1006"/>
    </row>
    <row r="1007" spans="17:17" ht="14.4" hidden="1">
      <c r="Q1007"/>
    </row>
    <row r="1008" spans="17:17" ht="14.4" hidden="1">
      <c r="Q1008"/>
    </row>
    <row r="1009" spans="17:17" ht="14.4" hidden="1">
      <c r="Q1009"/>
    </row>
    <row r="1010" spans="17:17" ht="14.4" hidden="1">
      <c r="Q1010"/>
    </row>
    <row r="1011" spans="17:17" ht="14.4" hidden="1">
      <c r="Q1011"/>
    </row>
    <row r="1012" spans="17:17" ht="14.4" hidden="1">
      <c r="Q1012"/>
    </row>
    <row r="1013" spans="17:17" ht="14.4" hidden="1">
      <c r="Q1013"/>
    </row>
    <row r="1014" spans="17:17" ht="14.4" hidden="1">
      <c r="Q1014"/>
    </row>
    <row r="1015" spans="17:17" ht="14.4" hidden="1">
      <c r="Q1015"/>
    </row>
    <row r="1016" spans="17:17" ht="14.4" hidden="1">
      <c r="Q1016"/>
    </row>
    <row r="1017" spans="17:17" ht="14.4" hidden="1">
      <c r="Q1017"/>
    </row>
    <row r="1018" spans="17:17" ht="14.4" hidden="1">
      <c r="Q1018"/>
    </row>
    <row r="1019" spans="17:17" ht="14.4" hidden="1">
      <c r="Q1019"/>
    </row>
    <row r="1020" spans="17:17" ht="14.4" hidden="1">
      <c r="Q1020"/>
    </row>
    <row r="1021" spans="17:17" ht="14.4" hidden="1">
      <c r="Q1021"/>
    </row>
    <row r="1022" spans="17:17" ht="14.4" hidden="1">
      <c r="Q1022"/>
    </row>
    <row r="1023" spans="17:17" ht="14.4" hidden="1">
      <c r="Q1023"/>
    </row>
    <row r="1024" spans="17:17" ht="14.4" hidden="1">
      <c r="Q1024"/>
    </row>
    <row r="1025" spans="17:17" ht="14.4" hidden="1">
      <c r="Q1025"/>
    </row>
    <row r="1026" spans="17:17" ht="14.4" hidden="1">
      <c r="Q1026"/>
    </row>
    <row r="1027" spans="17:17" ht="14.4" hidden="1">
      <c r="Q1027"/>
    </row>
    <row r="1028" spans="17:17" ht="14.4" hidden="1">
      <c r="Q1028"/>
    </row>
    <row r="1029" spans="17:17" ht="14.4" hidden="1">
      <c r="Q1029"/>
    </row>
    <row r="1030" spans="17:17" ht="14.4" hidden="1">
      <c r="Q1030"/>
    </row>
    <row r="1031" spans="17:17" ht="14.4" hidden="1">
      <c r="Q1031"/>
    </row>
    <row r="1032" spans="17:17" ht="14.4" hidden="1">
      <c r="Q1032"/>
    </row>
    <row r="1033" spans="17:17" ht="14.4" hidden="1">
      <c r="Q1033"/>
    </row>
    <row r="1034" spans="17:17" ht="14.4" hidden="1">
      <c r="Q1034"/>
    </row>
    <row r="1035" spans="17:17" ht="14.4" hidden="1">
      <c r="Q1035"/>
    </row>
    <row r="1036" spans="17:17" ht="14.4" hidden="1">
      <c r="Q1036"/>
    </row>
    <row r="1037" spans="17:17" ht="14.4" hidden="1">
      <c r="Q1037"/>
    </row>
    <row r="1038" spans="17:17" ht="14.4" hidden="1">
      <c r="Q1038"/>
    </row>
    <row r="1039" spans="17:17" ht="14.4" hidden="1">
      <c r="Q1039"/>
    </row>
    <row r="1040" spans="17:17" ht="14.4" hidden="1">
      <c r="Q1040"/>
    </row>
    <row r="1041" spans="17:17" ht="14.4" hidden="1">
      <c r="Q1041"/>
    </row>
    <row r="1042" spans="17:17" ht="14.4" hidden="1">
      <c r="Q1042"/>
    </row>
    <row r="1043" spans="17:17" ht="14.4" hidden="1">
      <c r="Q1043"/>
    </row>
    <row r="1044" spans="17:17" ht="14.4" hidden="1">
      <c r="Q1044"/>
    </row>
    <row r="1045" spans="17:17" ht="14.4" hidden="1">
      <c r="Q1045"/>
    </row>
    <row r="1046" spans="17:17" ht="14.4" hidden="1">
      <c r="Q1046"/>
    </row>
    <row r="1047" spans="17:17" ht="14.4" hidden="1">
      <c r="Q1047"/>
    </row>
    <row r="1048" spans="17:17" ht="14.4" hidden="1">
      <c r="Q1048"/>
    </row>
    <row r="1049" spans="17:17" ht="14.4" hidden="1">
      <c r="Q1049"/>
    </row>
    <row r="1050" spans="17:17" ht="14.4" hidden="1">
      <c r="Q1050"/>
    </row>
    <row r="1051" spans="17:17" ht="14.4" hidden="1">
      <c r="Q1051"/>
    </row>
    <row r="1052" spans="17:17" ht="14.4" hidden="1">
      <c r="Q1052"/>
    </row>
    <row r="1053" spans="17:17" ht="14.4" hidden="1">
      <c r="Q1053"/>
    </row>
    <row r="1054" spans="17:17" ht="14.4" hidden="1">
      <c r="Q1054"/>
    </row>
    <row r="1055" spans="17:17" ht="14.4" hidden="1">
      <c r="Q1055"/>
    </row>
    <row r="1056" spans="17:17" ht="14.4" hidden="1">
      <c r="Q1056"/>
    </row>
    <row r="1057" spans="17:17" ht="14.4" hidden="1">
      <c r="Q1057"/>
    </row>
    <row r="1058" spans="17:17" ht="14.4" hidden="1">
      <c r="Q1058"/>
    </row>
    <row r="1059" spans="17:17" ht="14.4" hidden="1">
      <c r="Q1059"/>
    </row>
    <row r="1060" spans="17:17" ht="14.4" hidden="1">
      <c r="Q1060"/>
    </row>
    <row r="1061" spans="17:17" ht="14.4" hidden="1">
      <c r="Q1061"/>
    </row>
    <row r="1062" spans="17:17" ht="14.4" hidden="1">
      <c r="Q1062"/>
    </row>
    <row r="1063" spans="17:17" ht="14.4" hidden="1">
      <c r="Q1063"/>
    </row>
    <row r="1064" spans="17:17" ht="14.4" hidden="1">
      <c r="Q1064"/>
    </row>
    <row r="1065" spans="17:17" ht="14.4" hidden="1">
      <c r="Q1065"/>
    </row>
    <row r="1066" spans="17:17" ht="14.4" hidden="1">
      <c r="Q1066"/>
    </row>
    <row r="1067" spans="17:17" ht="14.4" hidden="1">
      <c r="Q1067"/>
    </row>
    <row r="1068" spans="17:17" ht="14.4" hidden="1">
      <c r="Q1068"/>
    </row>
    <row r="1069" spans="17:17" ht="14.4" hidden="1">
      <c r="Q1069"/>
    </row>
    <row r="1070" spans="17:17" ht="14.4" hidden="1">
      <c r="Q1070"/>
    </row>
    <row r="1071" spans="17:17" ht="14.4" hidden="1">
      <c r="Q1071"/>
    </row>
    <row r="1072" spans="17:17" ht="14.4" hidden="1">
      <c r="Q1072"/>
    </row>
    <row r="1073" spans="17:17" ht="14.4" hidden="1">
      <c r="Q1073"/>
    </row>
    <row r="1074" spans="17:17" ht="14.4" hidden="1">
      <c r="Q1074"/>
    </row>
    <row r="1075" spans="17:17" ht="14.4" hidden="1">
      <c r="Q1075"/>
    </row>
    <row r="1076" spans="17:17" ht="14.4" hidden="1">
      <c r="Q1076"/>
    </row>
    <row r="1077" spans="17:17" ht="14.4" hidden="1">
      <c r="Q1077"/>
    </row>
    <row r="1078" spans="17:17" ht="14.4" hidden="1">
      <c r="Q1078"/>
    </row>
    <row r="1079" spans="17:17" ht="14.4" hidden="1">
      <c r="Q1079"/>
    </row>
    <row r="1080" spans="17:17" ht="14.4" hidden="1">
      <c r="Q1080"/>
    </row>
    <row r="1081" spans="17:17" ht="14.4" hidden="1">
      <c r="Q1081"/>
    </row>
    <row r="1082" spans="17:17" ht="14.4" hidden="1">
      <c r="Q1082"/>
    </row>
    <row r="1083" spans="17:17" ht="14.4" hidden="1">
      <c r="Q1083"/>
    </row>
    <row r="1084" spans="17:17" ht="14.4" hidden="1">
      <c r="Q1084"/>
    </row>
    <row r="1085" spans="17:17" ht="14.4" hidden="1">
      <c r="Q1085"/>
    </row>
    <row r="1086" spans="17:17" ht="14.4" hidden="1">
      <c r="Q1086"/>
    </row>
    <row r="1087" spans="17:17" ht="14.4" hidden="1">
      <c r="Q1087"/>
    </row>
    <row r="1088" spans="17:17" ht="14.4" hidden="1">
      <c r="Q1088"/>
    </row>
    <row r="1089" spans="17:17" ht="14.4" hidden="1">
      <c r="Q1089"/>
    </row>
    <row r="1090" spans="17:17" ht="14.4" hidden="1">
      <c r="Q1090"/>
    </row>
    <row r="1091" spans="17:17" ht="14.4" hidden="1">
      <c r="Q1091"/>
    </row>
    <row r="1092" spans="17:17" ht="14.4" hidden="1">
      <c r="Q1092"/>
    </row>
    <row r="1093" spans="17:17" ht="14.4" hidden="1">
      <c r="Q1093"/>
    </row>
    <row r="1094" spans="17:17" ht="14.4" hidden="1">
      <c r="Q1094"/>
    </row>
    <row r="1095" spans="17:17" ht="14.4" hidden="1">
      <c r="Q1095"/>
    </row>
    <row r="1096" spans="17:17" ht="14.4" hidden="1">
      <c r="Q1096"/>
    </row>
    <row r="1097" spans="17:17" ht="14.4" hidden="1">
      <c r="Q1097"/>
    </row>
    <row r="1098" spans="17:17" ht="14.4" hidden="1">
      <c r="Q1098"/>
    </row>
    <row r="1099" spans="17:17" ht="14.4" hidden="1">
      <c r="Q1099"/>
    </row>
    <row r="1100" spans="17:17" ht="14.4" hidden="1">
      <c r="Q1100"/>
    </row>
    <row r="1101" spans="17:17" ht="14.4" hidden="1">
      <c r="Q1101"/>
    </row>
    <row r="1102" spans="17:17" ht="14.4" hidden="1">
      <c r="Q1102"/>
    </row>
    <row r="1103" spans="17:17" ht="14.4" hidden="1">
      <c r="Q1103"/>
    </row>
    <row r="1104" spans="17:17" ht="14.4" hidden="1">
      <c r="Q1104"/>
    </row>
    <row r="1105" spans="17:17" ht="14.4" hidden="1">
      <c r="Q1105"/>
    </row>
    <row r="1106" spans="17:17" ht="14.4" hidden="1">
      <c r="Q1106"/>
    </row>
    <row r="1107" spans="17:17" ht="14.4" hidden="1">
      <c r="Q1107"/>
    </row>
    <row r="1108" spans="17:17" ht="14.4" hidden="1">
      <c r="Q1108"/>
    </row>
    <row r="1109" spans="17:17" ht="14.4" hidden="1">
      <c r="Q1109"/>
    </row>
    <row r="1110" spans="17:17" ht="14.4" hidden="1">
      <c r="Q1110"/>
    </row>
    <row r="1111" spans="17:17" ht="14.4" hidden="1">
      <c r="Q1111"/>
    </row>
    <row r="1112" spans="17:17" ht="14.4" hidden="1">
      <c r="Q1112"/>
    </row>
    <row r="1113" spans="17:17" ht="14.4" hidden="1">
      <c r="Q1113"/>
    </row>
    <row r="1114" spans="17:17" ht="14.4" hidden="1">
      <c r="Q1114"/>
    </row>
    <row r="1115" spans="17:17" ht="14.4" hidden="1">
      <c r="Q1115"/>
    </row>
    <row r="1116" spans="17:17" ht="14.4" hidden="1">
      <c r="Q1116"/>
    </row>
    <row r="1117" spans="17:17" ht="14.4" hidden="1">
      <c r="Q1117"/>
    </row>
    <row r="1118" spans="17:17" ht="14.4" hidden="1">
      <c r="Q1118"/>
    </row>
    <row r="1119" spans="17:17" ht="14.4" hidden="1">
      <c r="Q1119"/>
    </row>
    <row r="1120" spans="17:17" ht="14.4" hidden="1">
      <c r="Q1120"/>
    </row>
    <row r="1121" spans="17:17" ht="14.4" hidden="1">
      <c r="Q1121"/>
    </row>
    <row r="1122" spans="17:17" ht="14.4" hidden="1">
      <c r="Q1122"/>
    </row>
    <row r="1123" spans="17:17" ht="14.4" hidden="1">
      <c r="Q1123"/>
    </row>
    <row r="1124" spans="17:17" ht="14.4" hidden="1">
      <c r="Q1124"/>
    </row>
    <row r="1125" spans="17:17" ht="14.4" hidden="1">
      <c r="Q1125"/>
    </row>
    <row r="1126" spans="17:17" ht="14.4" hidden="1">
      <c r="Q1126"/>
    </row>
    <row r="1127" spans="17:17" ht="14.4" hidden="1">
      <c r="Q1127"/>
    </row>
    <row r="1128" spans="17:17" ht="14.4" hidden="1">
      <c r="Q1128"/>
    </row>
    <row r="1129" spans="17:17" ht="14.4" hidden="1">
      <c r="Q1129"/>
    </row>
    <row r="1130" spans="17:17" ht="14.4" hidden="1">
      <c r="Q1130"/>
    </row>
    <row r="1131" spans="17:17" ht="14.4" hidden="1">
      <c r="Q1131"/>
    </row>
    <row r="1132" spans="17:17" ht="14.4" hidden="1">
      <c r="Q1132"/>
    </row>
    <row r="1133" spans="17:17" ht="14.4" hidden="1">
      <c r="Q1133"/>
    </row>
    <row r="1134" spans="17:17" ht="14.4" hidden="1">
      <c r="Q1134"/>
    </row>
    <row r="1135" spans="17:17" ht="14.4" hidden="1">
      <c r="Q1135"/>
    </row>
    <row r="1136" spans="17:17" ht="14.4" hidden="1">
      <c r="Q1136"/>
    </row>
    <row r="1137" spans="17:17" ht="14.4" hidden="1">
      <c r="Q1137"/>
    </row>
    <row r="1138" spans="17:17" ht="14.4" hidden="1">
      <c r="Q1138"/>
    </row>
    <row r="1139" spans="17:17" ht="14.4" hidden="1">
      <c r="Q1139"/>
    </row>
    <row r="1140" spans="17:17" ht="14.4" hidden="1">
      <c r="Q1140"/>
    </row>
    <row r="1141" spans="17:17" ht="14.4" hidden="1">
      <c r="Q1141"/>
    </row>
    <row r="1142" spans="17:17" ht="14.4" hidden="1">
      <c r="Q1142"/>
    </row>
    <row r="1143" spans="17:17" ht="14.4" hidden="1">
      <c r="Q1143"/>
    </row>
    <row r="1144" spans="17:17" ht="14.4" hidden="1">
      <c r="Q1144"/>
    </row>
    <row r="1145" spans="17:17" ht="14.4" hidden="1">
      <c r="Q1145"/>
    </row>
    <row r="1146" spans="17:17" ht="14.4" hidden="1">
      <c r="Q1146"/>
    </row>
    <row r="1147" spans="17:17" ht="14.4" hidden="1">
      <c r="Q1147"/>
    </row>
    <row r="1148" spans="17:17" ht="14.4" hidden="1">
      <c r="Q1148"/>
    </row>
    <row r="1149" spans="17:17" ht="14.4" hidden="1">
      <c r="Q1149"/>
    </row>
    <row r="1150" spans="17:17" ht="14.4" hidden="1">
      <c r="Q1150"/>
    </row>
    <row r="1151" spans="17:17" ht="14.4" hidden="1">
      <c r="Q1151"/>
    </row>
    <row r="1152" spans="17:17" ht="14.4" hidden="1">
      <c r="Q1152"/>
    </row>
    <row r="1153" spans="17:17" ht="14.4" hidden="1">
      <c r="Q1153"/>
    </row>
    <row r="1154" spans="17:17" ht="14.4" hidden="1">
      <c r="Q1154"/>
    </row>
    <row r="1155" spans="17:17" ht="14.4" hidden="1">
      <c r="Q1155"/>
    </row>
    <row r="1156" spans="17:17" ht="14.4" hidden="1">
      <c r="Q1156"/>
    </row>
    <row r="1157" spans="17:17" ht="14.4" hidden="1">
      <c r="Q1157"/>
    </row>
    <row r="1158" spans="17:17" ht="14.4" hidden="1">
      <c r="Q1158"/>
    </row>
    <row r="1159" spans="17:17" ht="14.4" hidden="1">
      <c r="Q1159"/>
    </row>
    <row r="1160" spans="17:17" ht="14.4" hidden="1">
      <c r="Q1160"/>
    </row>
    <row r="1161" spans="17:17" ht="14.4" hidden="1">
      <c r="Q1161"/>
    </row>
    <row r="1162" spans="17:17" ht="14.4" hidden="1">
      <c r="Q1162"/>
    </row>
    <row r="1163" spans="17:17" ht="14.4" hidden="1">
      <c r="Q1163"/>
    </row>
    <row r="1164" spans="17:17" ht="14.4" hidden="1">
      <c r="Q1164"/>
    </row>
    <row r="1165" spans="17:17" ht="14.4" hidden="1">
      <c r="Q1165"/>
    </row>
    <row r="1166" spans="17:17" ht="14.4" hidden="1">
      <c r="Q1166"/>
    </row>
    <row r="1167" spans="17:17" ht="14.4" hidden="1">
      <c r="Q1167"/>
    </row>
    <row r="1168" spans="17:17" ht="14.4" hidden="1">
      <c r="Q1168"/>
    </row>
    <row r="1169" spans="17:17" ht="14.4" hidden="1">
      <c r="Q1169"/>
    </row>
    <row r="1170" spans="17:17" ht="14.4" hidden="1">
      <c r="Q1170"/>
    </row>
    <row r="1171" spans="17:17" ht="14.4" hidden="1">
      <c r="Q1171"/>
    </row>
    <row r="1172" spans="17:17" ht="14.4" hidden="1">
      <c r="Q1172"/>
    </row>
    <row r="1173" spans="17:17" ht="14.4" hidden="1">
      <c r="Q1173"/>
    </row>
    <row r="1174" spans="17:17" ht="14.4" hidden="1">
      <c r="Q1174"/>
    </row>
    <row r="1175" spans="17:17" ht="14.4" hidden="1">
      <c r="Q1175"/>
    </row>
    <row r="1176" spans="17:17" ht="14.4" hidden="1">
      <c r="Q1176"/>
    </row>
    <row r="1177" spans="17:17" ht="14.4" hidden="1">
      <c r="Q1177"/>
    </row>
    <row r="1178" spans="17:17" ht="14.4" hidden="1">
      <c r="Q1178"/>
    </row>
    <row r="1179" spans="17:17" ht="14.4" hidden="1">
      <c r="Q1179"/>
    </row>
    <row r="1180" spans="17:17" ht="14.4" hidden="1">
      <c r="Q1180"/>
    </row>
    <row r="1181" spans="17:17" ht="14.4" hidden="1">
      <c r="Q1181"/>
    </row>
    <row r="1182" spans="17:17" ht="14.4" hidden="1">
      <c r="Q1182"/>
    </row>
    <row r="1183" spans="17:17" ht="14.4" hidden="1">
      <c r="Q1183"/>
    </row>
    <row r="1184" spans="17:17" ht="14.4" hidden="1">
      <c r="Q1184"/>
    </row>
    <row r="1185" spans="17:17" ht="14.4" hidden="1">
      <c r="Q1185"/>
    </row>
    <row r="1186" spans="17:17" ht="14.4" hidden="1">
      <c r="Q1186"/>
    </row>
    <row r="1187" spans="17:17" ht="14.4" hidden="1">
      <c r="Q1187"/>
    </row>
    <row r="1188" spans="17:17" ht="14.4" hidden="1">
      <c r="Q1188"/>
    </row>
    <row r="1189" spans="17:17" ht="14.4" hidden="1">
      <c r="Q1189"/>
    </row>
    <row r="1190" spans="17:17" ht="14.4" hidden="1">
      <c r="Q1190"/>
    </row>
    <row r="1191" spans="17:17" ht="14.4" hidden="1">
      <c r="Q1191"/>
    </row>
    <row r="1192" spans="17:17" ht="14.4" hidden="1">
      <c r="Q1192"/>
    </row>
    <row r="1193" spans="17:17" ht="14.4" hidden="1">
      <c r="Q1193"/>
    </row>
    <row r="1194" spans="17:17" ht="14.4" hidden="1">
      <c r="Q1194"/>
    </row>
    <row r="1195" spans="17:17" ht="14.4" hidden="1">
      <c r="Q1195"/>
    </row>
    <row r="1196" spans="17:17" ht="14.4" hidden="1">
      <c r="Q1196"/>
    </row>
    <row r="1197" spans="17:17" ht="14.4" hidden="1">
      <c r="Q1197"/>
    </row>
    <row r="1198" spans="17:17" ht="14.4" hidden="1">
      <c r="Q1198"/>
    </row>
    <row r="1199" spans="17:17" ht="14.4" hidden="1">
      <c r="Q1199"/>
    </row>
    <row r="1200" spans="17:17" ht="14.4" hidden="1">
      <c r="Q1200"/>
    </row>
    <row r="1201" spans="17:17" ht="14.4" hidden="1">
      <c r="Q1201"/>
    </row>
    <row r="1202" spans="17:17" ht="14.4" hidden="1">
      <c r="Q1202"/>
    </row>
    <row r="1203" spans="17:17" ht="14.4" hidden="1">
      <c r="Q1203"/>
    </row>
    <row r="1204" spans="17:17" ht="14.4" hidden="1">
      <c r="Q1204"/>
    </row>
    <row r="1205" spans="17:17" ht="14.4" hidden="1">
      <c r="Q1205"/>
    </row>
    <row r="1206" spans="17:17" ht="14.4" hidden="1">
      <c r="Q1206"/>
    </row>
    <row r="1207" spans="17:17" ht="14.4" hidden="1">
      <c r="Q1207"/>
    </row>
    <row r="1208" spans="17:17" ht="14.4" hidden="1">
      <c r="Q1208"/>
    </row>
    <row r="1209" spans="17:17" ht="14.4" hidden="1">
      <c r="Q1209"/>
    </row>
    <row r="1210" spans="17:17" ht="14.4" hidden="1">
      <c r="Q1210"/>
    </row>
    <row r="1211" spans="17:17" ht="14.4" hidden="1">
      <c r="Q1211"/>
    </row>
    <row r="1212" spans="17:17" ht="14.4" hidden="1">
      <c r="Q1212"/>
    </row>
    <row r="1213" spans="17:17" ht="14.4" hidden="1">
      <c r="Q1213"/>
    </row>
    <row r="1214" spans="17:17" ht="14.4" hidden="1">
      <c r="Q1214"/>
    </row>
    <row r="1215" spans="17:17" ht="14.4" hidden="1">
      <c r="Q1215"/>
    </row>
    <row r="1216" spans="17:17" ht="14.4" hidden="1">
      <c r="Q1216"/>
    </row>
    <row r="1217" spans="17:17" ht="14.4" hidden="1">
      <c r="Q1217"/>
    </row>
    <row r="1218" spans="17:17" ht="14.4" hidden="1">
      <c r="Q1218"/>
    </row>
    <row r="1219" spans="17:17" ht="14.4" hidden="1">
      <c r="Q1219"/>
    </row>
    <row r="1220" spans="17:17" ht="14.4" hidden="1">
      <c r="Q1220"/>
    </row>
    <row r="1221" spans="17:17" ht="14.4" hidden="1">
      <c r="Q1221"/>
    </row>
    <row r="1222" spans="17:17" ht="14.4" hidden="1">
      <c r="Q1222"/>
    </row>
    <row r="1223" spans="17:17" ht="14.4" hidden="1">
      <c r="Q1223"/>
    </row>
    <row r="1224" spans="17:17" ht="14.4" hidden="1">
      <c r="Q1224"/>
    </row>
    <row r="1225" spans="17:17" ht="14.4" hidden="1">
      <c r="Q1225"/>
    </row>
    <row r="1226" spans="17:17" ht="14.4" hidden="1">
      <c r="Q1226"/>
    </row>
    <row r="1227" spans="17:17" ht="14.4" hidden="1">
      <c r="Q1227"/>
    </row>
    <row r="1228" spans="17:17" ht="14.4" hidden="1">
      <c r="Q1228"/>
    </row>
    <row r="1229" spans="17:17" ht="14.4" hidden="1">
      <c r="Q1229"/>
    </row>
    <row r="1230" spans="17:17" ht="14.4" hidden="1">
      <c r="Q1230"/>
    </row>
    <row r="1231" spans="17:17" ht="14.4" hidden="1">
      <c r="Q1231"/>
    </row>
    <row r="1232" spans="17:17" ht="14.4" hidden="1">
      <c r="Q1232"/>
    </row>
    <row r="1233" spans="17:17" ht="14.4" hidden="1">
      <c r="Q1233"/>
    </row>
    <row r="1234" spans="17:17" ht="14.4" hidden="1">
      <c r="Q1234"/>
    </row>
    <row r="1235" spans="17:17" ht="14.4" hidden="1">
      <c r="Q1235"/>
    </row>
    <row r="1236" spans="17:17" ht="14.4" hidden="1">
      <c r="Q1236"/>
    </row>
    <row r="1237" spans="17:17" ht="14.4" hidden="1">
      <c r="Q1237"/>
    </row>
    <row r="1238" spans="17:17" ht="14.4" hidden="1">
      <c r="Q1238"/>
    </row>
    <row r="1239" spans="17:17" ht="14.4" hidden="1">
      <c r="Q1239"/>
    </row>
    <row r="1240" spans="17:17" ht="14.4" hidden="1">
      <c r="Q1240"/>
    </row>
    <row r="1241" spans="17:17" ht="14.4" hidden="1">
      <c r="Q1241"/>
    </row>
    <row r="1242" spans="17:17" ht="14.4" hidden="1">
      <c r="Q1242"/>
    </row>
    <row r="1243" spans="17:17" ht="14.4" hidden="1">
      <c r="Q1243"/>
    </row>
    <row r="1244" spans="17:17" ht="14.4" hidden="1">
      <c r="Q1244"/>
    </row>
    <row r="1245" spans="17:17" ht="14.4" hidden="1">
      <c r="Q1245"/>
    </row>
    <row r="1246" spans="17:17" ht="14.4" hidden="1">
      <c r="Q1246"/>
    </row>
    <row r="1247" spans="17:17" ht="14.4" hidden="1">
      <c r="Q1247"/>
    </row>
    <row r="1248" spans="17:17" ht="14.4" hidden="1">
      <c r="Q1248"/>
    </row>
    <row r="1249" spans="17:17" ht="14.4" hidden="1">
      <c r="Q1249"/>
    </row>
    <row r="1250" spans="17:17" ht="14.4" hidden="1">
      <c r="Q1250"/>
    </row>
    <row r="1251" spans="17:17" ht="14.4" hidden="1">
      <c r="Q1251"/>
    </row>
    <row r="1252" spans="17:17" ht="14.4" hidden="1">
      <c r="Q1252"/>
    </row>
    <row r="1253" spans="17:17" ht="14.4" hidden="1">
      <c r="Q1253"/>
    </row>
    <row r="1254" spans="17:17" ht="14.4" hidden="1">
      <c r="Q1254"/>
    </row>
    <row r="1255" spans="17:17" ht="14.4" hidden="1">
      <c r="Q1255"/>
    </row>
    <row r="1256" spans="17:17" ht="14.4" hidden="1">
      <c r="Q1256"/>
    </row>
    <row r="1257" spans="17:17" ht="14.4" hidden="1">
      <c r="Q1257"/>
    </row>
    <row r="1258" spans="17:17" ht="14.4" hidden="1">
      <c r="Q1258"/>
    </row>
    <row r="1259" spans="17:17" ht="14.4" hidden="1">
      <c r="Q1259"/>
    </row>
    <row r="1260" spans="17:17" ht="14.4" hidden="1">
      <c r="Q1260"/>
    </row>
    <row r="1261" spans="17:17" ht="14.4" hidden="1">
      <c r="Q1261"/>
    </row>
    <row r="1262" spans="17:17" ht="14.4" hidden="1">
      <c r="Q1262"/>
    </row>
    <row r="1263" spans="17:17" ht="14.4" hidden="1">
      <c r="Q1263"/>
    </row>
    <row r="1264" spans="17:17" ht="14.4" hidden="1">
      <c r="Q1264"/>
    </row>
    <row r="1265" spans="17:17" ht="14.4" hidden="1">
      <c r="Q1265"/>
    </row>
    <row r="1266" spans="17:17" ht="14.4" hidden="1">
      <c r="Q1266"/>
    </row>
    <row r="1267" spans="17:17" ht="14.4" hidden="1">
      <c r="Q1267"/>
    </row>
    <row r="1268" spans="17:17" ht="14.4" hidden="1">
      <c r="Q1268"/>
    </row>
    <row r="1269" spans="17:17" ht="14.4" hidden="1">
      <c r="Q1269"/>
    </row>
    <row r="1270" spans="17:17" ht="14.4" hidden="1">
      <c r="Q1270"/>
    </row>
    <row r="1271" spans="17:17" ht="14.4" hidden="1">
      <c r="Q1271"/>
    </row>
    <row r="1272" spans="17:17" ht="14.4" hidden="1">
      <c r="Q1272"/>
    </row>
    <row r="1273" spans="17:17" ht="14.4" hidden="1">
      <c r="Q1273"/>
    </row>
    <row r="1274" spans="17:17" ht="14.4" hidden="1">
      <c r="Q1274"/>
    </row>
    <row r="1275" spans="17:17" ht="14.4" hidden="1">
      <c r="Q1275"/>
    </row>
    <row r="1276" spans="17:17" ht="14.4" hidden="1">
      <c r="Q1276"/>
    </row>
    <row r="1277" spans="17:17" ht="14.4" hidden="1">
      <c r="Q1277"/>
    </row>
    <row r="1278" spans="17:17" ht="14.4" hidden="1">
      <c r="Q1278"/>
    </row>
    <row r="1279" spans="17:17" ht="14.4" hidden="1">
      <c r="Q1279"/>
    </row>
    <row r="1280" spans="17:17" ht="14.4" hidden="1">
      <c r="Q1280"/>
    </row>
    <row r="1281" spans="17:17" ht="14.4" hidden="1">
      <c r="Q1281"/>
    </row>
    <row r="1282" spans="17:17" ht="14.4" hidden="1">
      <c r="Q1282"/>
    </row>
    <row r="1283" spans="17:17" ht="14.4" hidden="1">
      <c r="Q1283"/>
    </row>
    <row r="1284" spans="17:17" ht="14.4" hidden="1">
      <c r="Q1284"/>
    </row>
    <row r="1285" spans="17:17" ht="14.4" hidden="1">
      <c r="Q1285"/>
    </row>
    <row r="1286" spans="17:17" ht="14.4" hidden="1">
      <c r="Q1286"/>
    </row>
    <row r="1287" spans="17:17" ht="14.4" hidden="1">
      <c r="Q1287"/>
    </row>
    <row r="1288" spans="17:17" ht="14.4" hidden="1">
      <c r="Q1288"/>
    </row>
    <row r="1289" spans="17:17" ht="14.4" hidden="1">
      <c r="Q1289"/>
    </row>
    <row r="1290" spans="17:17" ht="14.4" hidden="1">
      <c r="Q1290"/>
    </row>
    <row r="1291" spans="17:17" ht="14.4" hidden="1">
      <c r="Q1291"/>
    </row>
    <row r="1292" spans="17:17" ht="14.4" hidden="1">
      <c r="Q1292"/>
    </row>
    <row r="1293" spans="17:17" ht="14.4" hidden="1">
      <c r="Q1293"/>
    </row>
    <row r="1294" spans="17:17" ht="14.4" hidden="1">
      <c r="Q1294"/>
    </row>
    <row r="1295" spans="17:17" ht="14.4" hidden="1">
      <c r="Q1295"/>
    </row>
    <row r="1296" spans="17:17" ht="14.4" hidden="1">
      <c r="Q1296"/>
    </row>
    <row r="1297" spans="17:17" ht="14.4" hidden="1">
      <c r="Q1297"/>
    </row>
    <row r="1298" spans="17:17" ht="14.4" hidden="1">
      <c r="Q1298"/>
    </row>
    <row r="1299" spans="17:17" ht="14.4" hidden="1">
      <c r="Q1299"/>
    </row>
    <row r="1300" spans="17:17" ht="14.4" hidden="1">
      <c r="Q1300"/>
    </row>
    <row r="1301" spans="17:17" ht="14.4" hidden="1">
      <c r="Q1301"/>
    </row>
    <row r="1302" spans="17:17" ht="14.4" hidden="1">
      <c r="Q1302"/>
    </row>
    <row r="1303" spans="17:17" ht="14.4" hidden="1">
      <c r="Q1303"/>
    </row>
    <row r="1304" spans="17:17" ht="14.4" hidden="1">
      <c r="Q1304"/>
    </row>
    <row r="1305" spans="17:17" ht="14.4" hidden="1">
      <c r="Q1305"/>
    </row>
    <row r="1306" spans="17:17" ht="14.4" hidden="1">
      <c r="Q1306"/>
    </row>
    <row r="1307" spans="17:17" ht="14.4" hidden="1">
      <c r="Q1307"/>
    </row>
    <row r="1308" spans="17:17" ht="14.4" hidden="1">
      <c r="Q1308"/>
    </row>
    <row r="1309" spans="17:17" ht="14.4" hidden="1">
      <c r="Q1309"/>
    </row>
    <row r="1310" spans="17:17" ht="14.4" hidden="1">
      <c r="Q1310"/>
    </row>
    <row r="1311" spans="17:17" ht="14.4" hidden="1">
      <c r="Q1311"/>
    </row>
    <row r="1312" spans="17:17" ht="14.4" hidden="1">
      <c r="Q1312"/>
    </row>
    <row r="1313" spans="17:17" ht="14.4" hidden="1">
      <c r="Q1313"/>
    </row>
    <row r="1314" spans="17:17" ht="14.4" hidden="1">
      <c r="Q1314"/>
    </row>
    <row r="1315" spans="17:17" ht="14.4" hidden="1">
      <c r="Q1315"/>
    </row>
    <row r="1316" spans="17:17" ht="14.4" hidden="1">
      <c r="Q1316"/>
    </row>
    <row r="1317" spans="17:17" ht="14.4" hidden="1">
      <c r="Q1317"/>
    </row>
    <row r="1318" spans="17:17" ht="14.4" hidden="1">
      <c r="Q1318"/>
    </row>
    <row r="1319" spans="17:17" ht="14.4" hidden="1">
      <c r="Q1319"/>
    </row>
    <row r="1320" spans="17:17" ht="14.4" hidden="1">
      <c r="Q1320"/>
    </row>
    <row r="1321" spans="17:17" ht="14.4" hidden="1">
      <c r="Q1321"/>
    </row>
    <row r="1322" spans="17:17" ht="14.4" hidden="1">
      <c r="Q1322"/>
    </row>
    <row r="1323" spans="17:17" ht="14.4" hidden="1">
      <c r="Q1323"/>
    </row>
    <row r="1324" spans="17:17" ht="14.4" hidden="1">
      <c r="Q1324"/>
    </row>
    <row r="1325" spans="17:17" ht="14.4" hidden="1">
      <c r="Q1325"/>
    </row>
    <row r="1326" spans="17:17" ht="14.4" hidden="1">
      <c r="Q1326"/>
    </row>
    <row r="1327" spans="17:17" ht="14.4" hidden="1">
      <c r="Q1327"/>
    </row>
    <row r="1328" spans="17:17" ht="14.4" hidden="1">
      <c r="Q1328"/>
    </row>
    <row r="1329" spans="17:17" ht="14.4" hidden="1">
      <c r="Q1329"/>
    </row>
    <row r="1330" spans="17:17" ht="14.4" hidden="1">
      <c r="Q1330"/>
    </row>
    <row r="1331" spans="17:17" ht="14.4" hidden="1">
      <c r="Q1331"/>
    </row>
    <row r="1332" spans="17:17" ht="14.4" hidden="1">
      <c r="Q1332"/>
    </row>
    <row r="1333" spans="17:17" ht="14.4" hidden="1">
      <c r="Q1333"/>
    </row>
    <row r="1334" spans="17:17" ht="14.4" hidden="1">
      <c r="Q1334"/>
    </row>
    <row r="1335" spans="17:17" ht="14.4" hidden="1">
      <c r="Q1335"/>
    </row>
    <row r="1336" spans="17:17" ht="14.4" hidden="1">
      <c r="Q1336"/>
    </row>
    <row r="1337" spans="17:17" ht="14.4" hidden="1">
      <c r="Q1337"/>
    </row>
    <row r="1338" spans="17:17" ht="14.4" hidden="1">
      <c r="Q1338"/>
    </row>
    <row r="1339" spans="17:17" ht="14.4" hidden="1">
      <c r="Q1339"/>
    </row>
    <row r="1340" spans="17:17" ht="14.4" hidden="1">
      <c r="Q1340"/>
    </row>
    <row r="1341" spans="17:17" ht="14.4" hidden="1">
      <c r="Q1341"/>
    </row>
    <row r="1342" spans="17:17" ht="14.4" hidden="1">
      <c r="Q1342"/>
    </row>
    <row r="1343" spans="17:17" ht="14.4" hidden="1">
      <c r="Q1343"/>
    </row>
    <row r="1344" spans="17:17" ht="14.4" hidden="1">
      <c r="Q1344"/>
    </row>
    <row r="1345" spans="17:17" ht="14.4" hidden="1">
      <c r="Q1345"/>
    </row>
    <row r="1346" spans="17:17" ht="14.4" hidden="1">
      <c r="Q1346"/>
    </row>
    <row r="1347" spans="17:17" ht="14.4" hidden="1">
      <c r="Q1347"/>
    </row>
    <row r="1348" spans="17:17" ht="14.4" hidden="1">
      <c r="Q1348"/>
    </row>
    <row r="1349" spans="17:17" ht="14.4" hidden="1">
      <c r="Q1349"/>
    </row>
    <row r="1350" spans="17:17" ht="14.4" hidden="1">
      <c r="Q1350"/>
    </row>
    <row r="1351" spans="17:17" ht="14.4" hidden="1">
      <c r="Q1351"/>
    </row>
    <row r="1352" spans="17:17" ht="14.4" hidden="1">
      <c r="Q1352"/>
    </row>
    <row r="1353" spans="17:17" ht="14.4" hidden="1">
      <c r="Q1353"/>
    </row>
    <row r="1354" spans="17:17" ht="14.4" hidden="1">
      <c r="Q1354"/>
    </row>
    <row r="1355" spans="17:17" ht="14.4" hidden="1">
      <c r="Q1355"/>
    </row>
    <row r="1356" spans="17:17" ht="14.4" hidden="1">
      <c r="Q1356"/>
    </row>
    <row r="1357" spans="17:17" ht="14.4" hidden="1">
      <c r="Q1357"/>
    </row>
    <row r="1358" spans="17:17" ht="14.4" hidden="1">
      <c r="Q1358"/>
    </row>
    <row r="1359" spans="17:17" ht="14.4" hidden="1">
      <c r="Q1359"/>
    </row>
    <row r="1360" spans="17:17" ht="14.4" hidden="1">
      <c r="Q1360"/>
    </row>
    <row r="1361" spans="17:17" ht="14.4" hidden="1">
      <c r="Q1361"/>
    </row>
    <row r="1362" spans="17:17" ht="14.4" hidden="1">
      <c r="Q1362"/>
    </row>
    <row r="1363" spans="17:17" ht="14.4" hidden="1">
      <c r="Q1363"/>
    </row>
    <row r="1364" spans="17:17" ht="14.4" hidden="1">
      <c r="Q1364"/>
    </row>
    <row r="1365" spans="17:17" ht="14.4" hidden="1">
      <c r="Q1365"/>
    </row>
    <row r="1366" spans="17:17" ht="14.4" hidden="1">
      <c r="Q1366"/>
    </row>
    <row r="1367" spans="17:17" ht="14.4" hidden="1">
      <c r="Q1367"/>
    </row>
    <row r="1368" spans="17:17" ht="14.4" hidden="1">
      <c r="Q1368"/>
    </row>
    <row r="1369" spans="17:17" ht="14.4" hidden="1">
      <c r="Q1369"/>
    </row>
    <row r="1370" spans="17:17" ht="14.4" hidden="1">
      <c r="Q1370"/>
    </row>
    <row r="1371" spans="17:17" ht="14.4" hidden="1">
      <c r="Q1371"/>
    </row>
    <row r="1372" spans="17:17" ht="14.4" hidden="1">
      <c r="Q1372"/>
    </row>
    <row r="1373" spans="17:17" ht="14.4" hidden="1">
      <c r="Q1373"/>
    </row>
    <row r="1374" spans="17:17" ht="14.4" hidden="1">
      <c r="Q1374"/>
    </row>
    <row r="1375" spans="17:17" ht="14.4" hidden="1">
      <c r="Q1375"/>
    </row>
    <row r="1376" spans="17:17" ht="14.4" hidden="1">
      <c r="Q1376"/>
    </row>
    <row r="1377" spans="17:17" ht="14.4" hidden="1">
      <c r="Q1377"/>
    </row>
    <row r="1378" spans="17:17" ht="14.4" hidden="1">
      <c r="Q1378"/>
    </row>
    <row r="1379" spans="17:17" ht="14.4" hidden="1">
      <c r="Q1379"/>
    </row>
    <row r="1380" spans="17:17" ht="14.4" hidden="1">
      <c r="Q1380"/>
    </row>
    <row r="1381" spans="17:17" ht="14.4" hidden="1">
      <c r="Q1381"/>
    </row>
    <row r="1382" spans="17:17" ht="14.4" hidden="1">
      <c r="Q1382"/>
    </row>
    <row r="1383" spans="17:17" ht="14.4" hidden="1">
      <c r="Q1383"/>
    </row>
    <row r="1384" spans="17:17" ht="14.4" hidden="1">
      <c r="Q1384"/>
    </row>
    <row r="1385" spans="17:17" ht="14.4" hidden="1">
      <c r="Q1385"/>
    </row>
    <row r="1386" spans="17:17" ht="14.4" hidden="1">
      <c r="Q1386"/>
    </row>
    <row r="1387" spans="17:17" ht="14.4" hidden="1">
      <c r="Q1387"/>
    </row>
    <row r="1388" spans="17:17" ht="14.4" hidden="1">
      <c r="Q1388"/>
    </row>
    <row r="1389" spans="17:17" ht="14.4" hidden="1">
      <c r="Q1389"/>
    </row>
    <row r="1390" spans="17:17" ht="14.4" hidden="1">
      <c r="Q1390"/>
    </row>
    <row r="1391" spans="17:17" ht="14.4" hidden="1">
      <c r="Q1391"/>
    </row>
    <row r="1392" spans="17:17" ht="14.4" hidden="1">
      <c r="Q1392"/>
    </row>
    <row r="1393" spans="17:17" ht="14.4" hidden="1">
      <c r="Q1393"/>
    </row>
    <row r="1394" spans="17:17" ht="14.4" hidden="1">
      <c r="Q1394"/>
    </row>
    <row r="1395" spans="17:17" ht="14.4" hidden="1">
      <c r="Q1395"/>
    </row>
    <row r="1396" spans="17:17" ht="14.4" hidden="1">
      <c r="Q1396"/>
    </row>
    <row r="1397" spans="17:17" ht="14.4" hidden="1">
      <c r="Q1397"/>
    </row>
    <row r="1398" spans="17:17" ht="14.4" hidden="1">
      <c r="Q1398"/>
    </row>
    <row r="1399" spans="17:17" ht="14.4" hidden="1">
      <c r="Q1399"/>
    </row>
    <row r="1400" spans="17:17" ht="14.4" hidden="1">
      <c r="Q1400"/>
    </row>
    <row r="1401" spans="17:17" ht="14.4" hidden="1">
      <c r="Q1401"/>
    </row>
    <row r="1402" spans="17:17" ht="14.4" hidden="1">
      <c r="Q1402"/>
    </row>
    <row r="1403" spans="17:17" ht="14.4" hidden="1">
      <c r="Q1403"/>
    </row>
    <row r="1404" spans="17:17" ht="14.4" hidden="1">
      <c r="Q1404"/>
    </row>
    <row r="1405" spans="17:17" ht="14.4" hidden="1">
      <c r="Q1405"/>
    </row>
    <row r="1406" spans="17:17" ht="14.4" hidden="1">
      <c r="Q1406"/>
    </row>
    <row r="1407" spans="17:17" ht="14.4" hidden="1">
      <c r="Q1407"/>
    </row>
    <row r="1408" spans="17:17" ht="14.4" hidden="1">
      <c r="Q1408"/>
    </row>
    <row r="1409" spans="17:17" ht="14.4" hidden="1">
      <c r="Q1409"/>
    </row>
    <row r="1410" spans="17:17" ht="14.4" hidden="1">
      <c r="Q1410"/>
    </row>
    <row r="1411" spans="17:17" ht="14.4" hidden="1">
      <c r="Q1411"/>
    </row>
    <row r="1412" spans="17:17" ht="14.4" hidden="1">
      <c r="Q1412"/>
    </row>
    <row r="1413" spans="17:17" ht="14.4" hidden="1">
      <c r="Q1413"/>
    </row>
    <row r="1414" spans="17:17" ht="14.4" hidden="1">
      <c r="Q1414"/>
    </row>
    <row r="1415" spans="17:17" ht="14.4" hidden="1">
      <c r="Q1415"/>
    </row>
    <row r="1416" spans="17:17" ht="14.4" hidden="1">
      <c r="Q1416"/>
    </row>
    <row r="1417" spans="17:17" ht="14.4" hidden="1">
      <c r="Q1417"/>
    </row>
    <row r="1418" spans="17:17" ht="14.4" hidden="1">
      <c r="Q1418"/>
    </row>
    <row r="1419" spans="17:17" ht="14.4" hidden="1">
      <c r="Q1419"/>
    </row>
    <row r="1420" spans="17:17" ht="14.4" hidden="1">
      <c r="Q1420"/>
    </row>
    <row r="1421" spans="17:17" ht="14.4" hidden="1">
      <c r="Q1421"/>
    </row>
    <row r="1422" spans="17:17" ht="14.4" hidden="1">
      <c r="Q1422"/>
    </row>
    <row r="1423" spans="17:17" ht="14.4" hidden="1">
      <c r="Q1423"/>
    </row>
    <row r="1424" spans="17:17" ht="14.4" hidden="1">
      <c r="Q1424"/>
    </row>
    <row r="1425" spans="17:17" ht="14.4" hidden="1">
      <c r="Q1425"/>
    </row>
    <row r="1426" spans="17:17" ht="14.4" hidden="1">
      <c r="Q1426"/>
    </row>
    <row r="1427" spans="17:17" ht="14.4" hidden="1">
      <c r="Q1427"/>
    </row>
    <row r="1428" spans="17:17" ht="14.4" hidden="1">
      <c r="Q1428"/>
    </row>
    <row r="1429" spans="17:17" ht="14.4" hidden="1">
      <c r="Q1429"/>
    </row>
    <row r="1430" spans="17:17" ht="14.4" hidden="1">
      <c r="Q1430"/>
    </row>
    <row r="1431" spans="17:17" ht="14.4" hidden="1">
      <c r="Q1431"/>
    </row>
    <row r="1432" spans="17:17" ht="14.4" hidden="1">
      <c r="Q1432"/>
    </row>
    <row r="1433" spans="17:17" ht="14.4" hidden="1">
      <c r="Q1433"/>
    </row>
    <row r="1434" spans="17:17" ht="14.4" hidden="1">
      <c r="Q1434"/>
    </row>
    <row r="1435" spans="17:17" ht="14.4" hidden="1">
      <c r="Q1435"/>
    </row>
    <row r="1436" spans="17:17" ht="14.4" hidden="1">
      <c r="Q1436"/>
    </row>
    <row r="1437" spans="17:17" ht="14.4" hidden="1">
      <c r="Q1437"/>
    </row>
    <row r="1438" spans="17:17" ht="14.4" hidden="1">
      <c r="Q1438"/>
    </row>
    <row r="1439" spans="17:17" ht="14.4" hidden="1">
      <c r="Q1439"/>
    </row>
    <row r="1440" spans="17:17" ht="14.4" hidden="1">
      <c r="Q1440"/>
    </row>
    <row r="1441" spans="17:17" ht="14.4" hidden="1">
      <c r="Q1441"/>
    </row>
    <row r="1442" spans="17:17" ht="14.4" hidden="1">
      <c r="Q1442"/>
    </row>
    <row r="1443" spans="17:17" ht="14.4" hidden="1">
      <c r="Q1443"/>
    </row>
    <row r="1444" spans="17:17" ht="14.4" hidden="1">
      <c r="Q1444"/>
    </row>
    <row r="1445" spans="17:17" ht="14.4" hidden="1">
      <c r="Q1445"/>
    </row>
    <row r="1446" spans="17:17" ht="14.4" hidden="1">
      <c r="Q1446"/>
    </row>
    <row r="1447" spans="17:17" ht="14.4" hidden="1">
      <c r="Q1447"/>
    </row>
    <row r="1448" spans="17:17" ht="14.4" hidden="1">
      <c r="Q1448"/>
    </row>
    <row r="1449" spans="17:17" ht="14.4" hidden="1">
      <c r="Q1449"/>
    </row>
    <row r="1450" spans="17:17" ht="14.4" hidden="1">
      <c r="Q1450"/>
    </row>
    <row r="1451" spans="17:17" ht="14.4" hidden="1">
      <c r="Q1451"/>
    </row>
    <row r="1452" spans="17:17" ht="14.4" hidden="1">
      <c r="Q1452"/>
    </row>
    <row r="1453" spans="17:17" ht="14.4" hidden="1">
      <c r="Q1453"/>
    </row>
    <row r="1454" spans="17:17" ht="14.4" hidden="1">
      <c r="Q1454"/>
    </row>
    <row r="1455" spans="17:17" ht="14.4" hidden="1">
      <c r="Q1455"/>
    </row>
    <row r="1456" spans="17:17" ht="14.4" hidden="1">
      <c r="Q1456"/>
    </row>
    <row r="1457" spans="17:17" ht="14.4" hidden="1">
      <c r="Q1457"/>
    </row>
    <row r="1458" spans="17:17" ht="14.4" hidden="1">
      <c r="Q1458"/>
    </row>
    <row r="1459" spans="17:17" ht="14.4" hidden="1">
      <c r="Q1459"/>
    </row>
    <row r="1460" spans="17:17" ht="14.4" hidden="1">
      <c r="Q1460"/>
    </row>
    <row r="1461" spans="17:17" ht="14.4" hidden="1">
      <c r="Q1461"/>
    </row>
    <row r="1462" spans="17:17" ht="14.4" hidden="1">
      <c r="Q1462"/>
    </row>
    <row r="1463" spans="17:17" ht="14.4" hidden="1">
      <c r="Q1463"/>
    </row>
    <row r="1464" spans="17:17" ht="14.4" hidden="1">
      <c r="Q1464"/>
    </row>
    <row r="1465" spans="17:17" ht="14.4" hidden="1">
      <c r="Q1465"/>
    </row>
    <row r="1466" spans="17:17" ht="14.4" hidden="1">
      <c r="Q1466"/>
    </row>
    <row r="1467" spans="17:17" ht="14.4" hidden="1">
      <c r="Q1467"/>
    </row>
    <row r="1468" spans="17:17" ht="14.4" hidden="1">
      <c r="Q1468"/>
    </row>
    <row r="1469" spans="17:17" ht="14.4" hidden="1">
      <c r="Q1469"/>
    </row>
    <row r="1470" spans="17:17" ht="14.4" hidden="1">
      <c r="Q1470"/>
    </row>
    <row r="1471" spans="17:17" ht="14.4" hidden="1">
      <c r="Q1471"/>
    </row>
    <row r="1472" spans="17:17" ht="14.4" hidden="1">
      <c r="Q1472"/>
    </row>
    <row r="1473" spans="17:17" ht="14.4" hidden="1">
      <c r="Q1473"/>
    </row>
    <row r="1474" spans="17:17" ht="14.4" hidden="1">
      <c r="Q1474"/>
    </row>
    <row r="1475" spans="17:17" ht="14.4" hidden="1">
      <c r="Q1475"/>
    </row>
    <row r="1476" spans="17:17" ht="14.4" hidden="1">
      <c r="Q1476"/>
    </row>
    <row r="1477" spans="17:17" ht="14.4" hidden="1">
      <c r="Q1477"/>
    </row>
    <row r="1478" spans="17:17" ht="14.4" hidden="1">
      <c r="Q1478"/>
    </row>
    <row r="1479" spans="17:17" ht="14.4" hidden="1">
      <c r="Q1479"/>
    </row>
    <row r="1480" spans="17:17" ht="14.4" hidden="1">
      <c r="Q1480"/>
    </row>
    <row r="1481" spans="17:17" ht="14.4" hidden="1">
      <c r="Q1481"/>
    </row>
    <row r="1482" spans="17:17" ht="14.4" hidden="1">
      <c r="Q1482"/>
    </row>
    <row r="1483" spans="17:17" ht="14.4" hidden="1">
      <c r="Q1483"/>
    </row>
    <row r="1484" spans="17:17" ht="14.4" hidden="1">
      <c r="Q1484"/>
    </row>
    <row r="1485" spans="17:17" ht="14.4" hidden="1">
      <c r="Q1485"/>
    </row>
    <row r="1486" spans="17:17" ht="14.4" hidden="1">
      <c r="Q1486"/>
    </row>
    <row r="1487" spans="17:17" ht="14.4" hidden="1">
      <c r="Q1487"/>
    </row>
    <row r="1488" spans="17:17" ht="14.4" hidden="1">
      <c r="Q1488"/>
    </row>
    <row r="1489" spans="17:17" ht="14.4" hidden="1">
      <c r="Q1489"/>
    </row>
    <row r="1490" spans="17:17" ht="14.4" hidden="1">
      <c r="Q1490"/>
    </row>
    <row r="1491" spans="17:17" ht="14.4" hidden="1">
      <c r="Q1491"/>
    </row>
    <row r="1492" spans="17:17" ht="14.4" hidden="1">
      <c r="Q1492"/>
    </row>
    <row r="1493" spans="17:17" ht="14.4" hidden="1">
      <c r="Q1493"/>
    </row>
    <row r="1494" spans="17:17" ht="14.4" hidden="1">
      <c r="Q1494"/>
    </row>
    <row r="1495" spans="17:17" ht="14.4" hidden="1">
      <c r="Q1495"/>
    </row>
    <row r="1496" spans="17:17" ht="14.4" hidden="1">
      <c r="Q1496"/>
    </row>
    <row r="1497" spans="17:17" ht="14.4" hidden="1">
      <c r="Q1497"/>
    </row>
    <row r="1498" spans="17:17" ht="14.4" hidden="1">
      <c r="Q1498"/>
    </row>
    <row r="1499" spans="17:17" ht="14.4" hidden="1">
      <c r="Q1499"/>
    </row>
    <row r="1500" spans="17:17" ht="14.4" hidden="1">
      <c r="Q1500"/>
    </row>
    <row r="1501" spans="17:17" ht="14.4" hidden="1">
      <c r="Q1501"/>
    </row>
    <row r="1502" spans="17:17" ht="14.4" hidden="1">
      <c r="Q1502"/>
    </row>
    <row r="1503" spans="17:17" ht="14.4" hidden="1">
      <c r="Q1503"/>
    </row>
    <row r="1504" spans="17:17" ht="14.4" hidden="1">
      <c r="Q1504"/>
    </row>
    <row r="1505" spans="17:17" ht="14.4" hidden="1">
      <c r="Q1505"/>
    </row>
    <row r="1506" spans="17:17" ht="14.4" hidden="1">
      <c r="Q1506"/>
    </row>
    <row r="1507" spans="17:17" ht="14.4" hidden="1">
      <c r="Q1507"/>
    </row>
    <row r="1508" spans="17:17" ht="14.4" hidden="1">
      <c r="Q1508"/>
    </row>
    <row r="1509" spans="17:17" ht="14.4" hidden="1">
      <c r="Q1509"/>
    </row>
    <row r="1510" spans="17:17" ht="14.4" hidden="1">
      <c r="Q1510"/>
    </row>
    <row r="1511" spans="17:17" ht="14.4" hidden="1">
      <c r="Q1511"/>
    </row>
    <row r="1512" spans="17:17" ht="14.4" hidden="1">
      <c r="Q1512"/>
    </row>
    <row r="1513" spans="17:17" ht="14.4" hidden="1">
      <c r="Q1513"/>
    </row>
    <row r="1514" spans="17:17" ht="14.4" hidden="1">
      <c r="Q1514"/>
    </row>
    <row r="1515" spans="17:17" ht="14.4" hidden="1">
      <c r="Q1515"/>
    </row>
    <row r="1516" spans="17:17" ht="14.4" hidden="1">
      <c r="Q1516"/>
    </row>
    <row r="1517" spans="17:17" ht="14.4" hidden="1">
      <c r="Q1517"/>
    </row>
    <row r="1518" spans="17:17" ht="14.4" hidden="1">
      <c r="Q1518"/>
    </row>
    <row r="1519" spans="17:17" ht="14.4" hidden="1">
      <c r="Q1519"/>
    </row>
    <row r="1520" spans="17:17" ht="14.4" hidden="1">
      <c r="Q1520"/>
    </row>
    <row r="1521" spans="17:17" ht="14.4" hidden="1">
      <c r="Q1521"/>
    </row>
    <row r="1522" spans="17:17" ht="14.4" hidden="1">
      <c r="Q1522"/>
    </row>
    <row r="1523" spans="17:17" ht="14.4" hidden="1">
      <c r="Q1523"/>
    </row>
    <row r="1524" spans="17:17" ht="14.4" hidden="1">
      <c r="Q1524"/>
    </row>
    <row r="1525" spans="17:17" ht="14.4" hidden="1">
      <c r="Q1525"/>
    </row>
    <row r="1526" spans="17:17" ht="14.4" hidden="1">
      <c r="Q1526"/>
    </row>
    <row r="1527" spans="17:17" ht="14.4" hidden="1">
      <c r="Q1527"/>
    </row>
    <row r="1528" spans="17:17" ht="14.4" hidden="1">
      <c r="Q1528"/>
    </row>
    <row r="1529" spans="17:17" ht="14.4" hidden="1">
      <c r="Q1529"/>
    </row>
    <row r="1530" spans="17:17" ht="14.4" hidden="1">
      <c r="Q1530"/>
    </row>
    <row r="1531" spans="17:17" ht="14.4" hidden="1">
      <c r="Q1531"/>
    </row>
    <row r="1532" spans="17:17" ht="14.4" hidden="1">
      <c r="Q1532"/>
    </row>
    <row r="1533" spans="17:17" ht="14.4" hidden="1">
      <c r="Q1533"/>
    </row>
    <row r="1534" spans="17:17" ht="14.4" hidden="1">
      <c r="Q1534"/>
    </row>
    <row r="1535" spans="17:17" ht="14.4" hidden="1">
      <c r="Q1535"/>
    </row>
    <row r="1536" spans="17:17" ht="14.4" hidden="1">
      <c r="Q1536"/>
    </row>
    <row r="1537" spans="17:17" ht="14.4" hidden="1">
      <c r="Q1537"/>
    </row>
    <row r="1538" spans="17:17" ht="14.4" hidden="1">
      <c r="Q1538"/>
    </row>
    <row r="1539" spans="17:17" ht="14.4" hidden="1">
      <c r="Q1539"/>
    </row>
    <row r="1540" spans="17:17" ht="14.4" hidden="1">
      <c r="Q1540"/>
    </row>
    <row r="1541" spans="17:17" ht="14.4" hidden="1">
      <c r="Q1541"/>
    </row>
    <row r="1542" spans="17:17" ht="14.4" hidden="1">
      <c r="Q1542"/>
    </row>
    <row r="1543" spans="17:17" ht="14.4" hidden="1">
      <c r="Q1543"/>
    </row>
    <row r="1544" spans="17:17" ht="14.4" hidden="1">
      <c r="Q1544"/>
    </row>
    <row r="1545" spans="17:17" ht="14.4" hidden="1">
      <c r="Q1545"/>
    </row>
    <row r="1546" spans="17:17" ht="14.4" hidden="1">
      <c r="Q1546"/>
    </row>
    <row r="1547" spans="17:17" ht="14.4" hidden="1">
      <c r="Q1547"/>
    </row>
    <row r="1548" spans="17:17" ht="14.4" hidden="1">
      <c r="Q1548"/>
    </row>
    <row r="1549" spans="17:17" ht="14.4" hidden="1">
      <c r="Q1549"/>
    </row>
    <row r="1550" spans="17:17" ht="14.4" hidden="1">
      <c r="Q1550"/>
    </row>
    <row r="1551" spans="17:17" ht="14.4" hidden="1">
      <c r="Q1551"/>
    </row>
    <row r="1552" spans="17:17" ht="14.4" hidden="1">
      <c r="Q1552"/>
    </row>
    <row r="1553" spans="17:17" ht="14.4" hidden="1">
      <c r="Q1553"/>
    </row>
    <row r="1554" spans="17:17" ht="14.4" hidden="1">
      <c r="Q1554"/>
    </row>
    <row r="1555" spans="17:17" ht="14.4" hidden="1">
      <c r="Q1555"/>
    </row>
    <row r="1556" spans="17:17" ht="14.4" hidden="1">
      <c r="Q1556"/>
    </row>
    <row r="1557" spans="17:17" ht="14.4" hidden="1">
      <c r="Q1557"/>
    </row>
    <row r="1558" spans="17:17" ht="14.4" hidden="1">
      <c r="Q1558"/>
    </row>
    <row r="1559" spans="17:17" ht="14.4" hidden="1">
      <c r="Q1559"/>
    </row>
    <row r="1560" spans="17:17" ht="14.4" hidden="1">
      <c r="Q1560"/>
    </row>
    <row r="1561" spans="17:17" ht="14.4" hidden="1">
      <c r="Q1561"/>
    </row>
    <row r="1562" spans="17:17" ht="14.4" hidden="1">
      <c r="Q1562"/>
    </row>
    <row r="1563" spans="17:17" ht="14.4" hidden="1">
      <c r="Q1563"/>
    </row>
    <row r="1564" spans="17:17" ht="14.4" hidden="1">
      <c r="Q1564"/>
    </row>
    <row r="1565" spans="17:17" ht="14.4" hidden="1">
      <c r="Q1565"/>
    </row>
    <row r="1566" spans="17:17" ht="14.4" hidden="1">
      <c r="Q1566"/>
    </row>
    <row r="1567" spans="17:17" ht="14.4" hidden="1">
      <c r="Q1567"/>
    </row>
    <row r="1568" spans="17:17" ht="14.4" hidden="1">
      <c r="Q1568"/>
    </row>
    <row r="1569" spans="17:17" ht="14.4" hidden="1">
      <c r="Q1569"/>
    </row>
    <row r="1570" spans="17:17" ht="14.4" hidden="1">
      <c r="Q1570"/>
    </row>
    <row r="1571" spans="17:17" ht="14.4" hidden="1">
      <c r="Q1571"/>
    </row>
    <row r="1572" spans="17:17" ht="14.4" hidden="1">
      <c r="Q1572"/>
    </row>
    <row r="1573" spans="17:17" ht="14.4" hidden="1">
      <c r="Q1573"/>
    </row>
    <row r="1574" spans="17:17" ht="14.4" hidden="1">
      <c r="Q1574"/>
    </row>
    <row r="1575" spans="17:17" ht="14.4" hidden="1">
      <c r="Q1575"/>
    </row>
    <row r="1576" spans="17:17" ht="14.4" hidden="1">
      <c r="Q1576"/>
    </row>
    <row r="1577" spans="17:17" ht="14.4" hidden="1">
      <c r="Q1577"/>
    </row>
    <row r="1578" spans="17:17" ht="14.4" hidden="1">
      <c r="Q1578"/>
    </row>
    <row r="1579" spans="17:17" ht="14.4" hidden="1">
      <c r="Q1579"/>
    </row>
    <row r="1580" spans="17:17" ht="14.4" hidden="1">
      <c r="Q1580"/>
    </row>
    <row r="1581" spans="17:17" ht="14.4" hidden="1">
      <c r="Q1581"/>
    </row>
    <row r="1582" spans="17:17" ht="14.4" hidden="1">
      <c r="Q1582"/>
    </row>
    <row r="1583" spans="17:17" ht="14.4" hidden="1">
      <c r="Q1583"/>
    </row>
    <row r="1584" spans="17:17" ht="14.4" hidden="1">
      <c r="Q1584"/>
    </row>
    <row r="1585" spans="17:17" ht="14.4" hidden="1">
      <c r="Q1585"/>
    </row>
    <row r="1586" spans="17:17" ht="14.4" hidden="1">
      <c r="Q1586"/>
    </row>
    <row r="1587" spans="17:17" ht="14.4" hidden="1">
      <c r="Q1587"/>
    </row>
    <row r="1588" spans="17:17" ht="14.4" hidden="1">
      <c r="Q1588"/>
    </row>
    <row r="1589" spans="17:17" ht="14.4" hidden="1">
      <c r="Q1589"/>
    </row>
    <row r="1590" spans="17:17" ht="14.4" hidden="1">
      <c r="Q1590"/>
    </row>
    <row r="1591" spans="17:17" ht="14.4" hidden="1">
      <c r="Q1591"/>
    </row>
    <row r="1592" spans="17:17" ht="14.4" hidden="1">
      <c r="Q1592"/>
    </row>
    <row r="1593" spans="17:17" ht="14.4" hidden="1">
      <c r="Q1593"/>
    </row>
    <row r="1594" spans="17:17" ht="14.4" hidden="1">
      <c r="Q1594"/>
    </row>
    <row r="1595" spans="17:17" ht="14.4" hidden="1">
      <c r="Q1595"/>
    </row>
    <row r="1596" spans="17:17" ht="14.4" hidden="1">
      <c r="Q1596"/>
    </row>
    <row r="1597" spans="17:17" ht="14.4" hidden="1">
      <c r="Q1597"/>
    </row>
    <row r="1598" spans="17:17" ht="14.4" hidden="1">
      <c r="Q1598"/>
    </row>
    <row r="1599" spans="17:17" ht="14.4" hidden="1">
      <c r="Q1599"/>
    </row>
    <row r="1600" spans="17:17" ht="14.4" hidden="1">
      <c r="Q1600"/>
    </row>
    <row r="1601" spans="17:17" ht="14.4" hidden="1">
      <c r="Q1601"/>
    </row>
    <row r="1602" spans="17:17" ht="14.4" hidden="1">
      <c r="Q1602"/>
    </row>
    <row r="1603" spans="17:17" ht="14.4" hidden="1">
      <c r="Q1603"/>
    </row>
    <row r="1604" spans="17:17" ht="14.4" hidden="1">
      <c r="Q1604"/>
    </row>
    <row r="1605" spans="17:17" ht="14.4" hidden="1">
      <c r="Q1605"/>
    </row>
    <row r="1606" spans="17:17" ht="14.4" hidden="1">
      <c r="Q1606"/>
    </row>
    <row r="1607" spans="17:17" ht="14.4" hidden="1">
      <c r="Q1607"/>
    </row>
    <row r="1608" spans="17:17" ht="14.4" hidden="1">
      <c r="Q1608"/>
    </row>
    <row r="1609" spans="17:17" ht="14.4" hidden="1">
      <c r="Q1609"/>
    </row>
    <row r="1610" spans="17:17" ht="14.4" hidden="1">
      <c r="Q1610"/>
    </row>
    <row r="1611" spans="17:17" ht="14.4" hidden="1">
      <c r="Q1611"/>
    </row>
    <row r="1612" spans="17:17" ht="14.4" hidden="1">
      <c r="Q1612"/>
    </row>
    <row r="1613" spans="17:17" ht="14.4" hidden="1">
      <c r="Q1613"/>
    </row>
    <row r="1614" spans="17:17" ht="14.4" hidden="1">
      <c r="Q1614"/>
    </row>
    <row r="1615" spans="17:17" ht="14.4" hidden="1">
      <c r="Q1615"/>
    </row>
    <row r="1616" spans="17:17" ht="14.4" hidden="1">
      <c r="Q1616"/>
    </row>
    <row r="1617" spans="17:17" ht="14.4" hidden="1">
      <c r="Q1617"/>
    </row>
    <row r="1618" spans="17:17" ht="14.4" hidden="1">
      <c r="Q1618"/>
    </row>
    <row r="1619" spans="17:17" ht="14.4" hidden="1">
      <c r="Q1619"/>
    </row>
    <row r="1620" spans="17:17" ht="14.4" hidden="1">
      <c r="Q1620"/>
    </row>
    <row r="1621" spans="17:17" ht="14.4" hidden="1">
      <c r="Q1621"/>
    </row>
    <row r="1622" spans="17:17" ht="14.4" hidden="1">
      <c r="Q1622"/>
    </row>
    <row r="1623" spans="17:17" ht="14.4" hidden="1">
      <c r="Q1623"/>
    </row>
    <row r="1624" spans="17:17" ht="14.4" hidden="1">
      <c r="Q1624"/>
    </row>
    <row r="1625" spans="17:17" ht="14.4" hidden="1">
      <c r="Q1625"/>
    </row>
    <row r="1626" spans="17:17" ht="14.4" hidden="1">
      <c r="Q1626"/>
    </row>
    <row r="1627" spans="17:17" ht="14.4" hidden="1">
      <c r="Q1627"/>
    </row>
    <row r="1628" spans="17:17" ht="14.4" hidden="1">
      <c r="Q1628"/>
    </row>
    <row r="1629" spans="17:17" ht="14.4" hidden="1">
      <c r="Q1629"/>
    </row>
    <row r="1630" spans="17:17" ht="14.4" hidden="1">
      <c r="Q1630"/>
    </row>
    <row r="1631" spans="17:17" ht="14.4" hidden="1">
      <c r="Q1631"/>
    </row>
    <row r="1632" spans="17:17" ht="14.4" hidden="1">
      <c r="Q1632"/>
    </row>
    <row r="1633" spans="17:17" ht="14.4" hidden="1">
      <c r="Q1633"/>
    </row>
    <row r="1634" spans="17:17" ht="14.4" hidden="1">
      <c r="Q1634"/>
    </row>
    <row r="1635" spans="17:17" ht="14.4" hidden="1">
      <c r="Q1635"/>
    </row>
    <row r="1636" spans="17:17" ht="14.4" hidden="1">
      <c r="Q1636"/>
    </row>
    <row r="1637" spans="17:17" ht="14.4" hidden="1">
      <c r="Q1637"/>
    </row>
    <row r="1638" spans="17:17" ht="14.4" hidden="1">
      <c r="Q1638"/>
    </row>
    <row r="1639" spans="17:17" ht="14.4" hidden="1">
      <c r="Q1639"/>
    </row>
    <row r="1640" spans="17:17" ht="14.4" hidden="1">
      <c r="Q1640"/>
    </row>
    <row r="1641" spans="17:17" ht="14.4" hidden="1">
      <c r="Q1641"/>
    </row>
    <row r="1642" spans="17:17" ht="14.4" hidden="1">
      <c r="Q1642"/>
    </row>
    <row r="1643" spans="17:17" ht="14.4" hidden="1">
      <c r="Q1643"/>
    </row>
    <row r="1644" spans="17:17" ht="14.4" hidden="1">
      <c r="Q1644"/>
    </row>
    <row r="1645" spans="17:17" ht="14.4" hidden="1">
      <c r="Q1645"/>
    </row>
    <row r="1646" spans="17:17" ht="14.4" hidden="1">
      <c r="Q1646"/>
    </row>
    <row r="1647" spans="17:17" ht="14.4" hidden="1">
      <c r="Q1647"/>
    </row>
    <row r="1648" spans="17:17" ht="14.4" hidden="1">
      <c r="Q1648"/>
    </row>
    <row r="1649" spans="17:17" ht="14.4" hidden="1">
      <c r="Q1649"/>
    </row>
    <row r="1650" spans="17:17" ht="14.4" hidden="1">
      <c r="Q1650"/>
    </row>
    <row r="1651" spans="17:17" ht="14.4" hidden="1">
      <c r="Q1651"/>
    </row>
    <row r="1652" spans="17:17" ht="14.4" hidden="1">
      <c r="Q1652"/>
    </row>
    <row r="1653" spans="17:17" ht="14.4" hidden="1">
      <c r="Q1653"/>
    </row>
    <row r="1654" spans="17:17" ht="14.4" hidden="1">
      <c r="Q1654"/>
    </row>
    <row r="1655" spans="17:17" ht="14.4" hidden="1">
      <c r="Q1655"/>
    </row>
    <row r="1656" spans="17:17" ht="14.4" hidden="1">
      <c r="Q1656"/>
    </row>
    <row r="1657" spans="17:17" ht="14.4" hidden="1">
      <c r="Q1657"/>
    </row>
    <row r="1658" spans="17:17" ht="14.4" hidden="1">
      <c r="Q1658"/>
    </row>
    <row r="1659" spans="17:17" ht="14.4" hidden="1">
      <c r="Q1659"/>
    </row>
    <row r="1660" spans="17:17" ht="14.4" hidden="1">
      <c r="Q1660"/>
    </row>
    <row r="1661" spans="17:17" ht="14.4" hidden="1">
      <c r="Q1661"/>
    </row>
    <row r="1662" spans="17:17" ht="14.4" hidden="1">
      <c r="Q1662"/>
    </row>
    <row r="1663" spans="17:17" ht="14.4" hidden="1">
      <c r="Q1663"/>
    </row>
    <row r="1664" spans="17:17" ht="14.4" hidden="1">
      <c r="Q1664"/>
    </row>
    <row r="1665" spans="17:17" ht="14.4" hidden="1">
      <c r="Q1665"/>
    </row>
    <row r="1666" spans="17:17" ht="14.4" hidden="1">
      <c r="Q1666"/>
    </row>
    <row r="1667" spans="17:17" ht="14.4" hidden="1">
      <c r="Q1667"/>
    </row>
    <row r="1668" spans="17:17" ht="14.4" hidden="1">
      <c r="Q1668"/>
    </row>
    <row r="1669" spans="17:17" ht="14.4" hidden="1">
      <c r="Q1669"/>
    </row>
    <row r="1670" spans="17:17" ht="14.4" hidden="1">
      <c r="Q1670"/>
    </row>
    <row r="1671" spans="17:17" ht="14.4" hidden="1">
      <c r="Q1671"/>
    </row>
    <row r="1672" spans="17:17" ht="14.4" hidden="1">
      <c r="Q1672"/>
    </row>
    <row r="1673" spans="17:17" ht="14.4" hidden="1">
      <c r="Q1673"/>
    </row>
    <row r="1674" spans="17:17" ht="14.4" hidden="1">
      <c r="Q1674"/>
    </row>
    <row r="1675" spans="17:17" ht="14.4" hidden="1">
      <c r="Q1675"/>
    </row>
    <row r="1676" spans="17:17" ht="14.4" hidden="1">
      <c r="Q1676"/>
    </row>
    <row r="1677" spans="17:17" ht="14.4" hidden="1">
      <c r="Q1677"/>
    </row>
    <row r="1678" spans="17:17" ht="14.4" hidden="1">
      <c r="Q1678"/>
    </row>
    <row r="1679" spans="17:17" ht="14.4" hidden="1">
      <c r="Q1679"/>
    </row>
    <row r="1680" spans="17:17" ht="14.4" hidden="1">
      <c r="Q1680"/>
    </row>
    <row r="1681" spans="17:17" ht="14.4" hidden="1">
      <c r="Q1681"/>
    </row>
    <row r="1682" spans="17:17" ht="14.4" hidden="1">
      <c r="Q1682"/>
    </row>
    <row r="1683" spans="17:17" ht="14.4" hidden="1">
      <c r="Q1683"/>
    </row>
    <row r="1684" spans="17:17" ht="14.4" hidden="1">
      <c r="Q1684"/>
    </row>
    <row r="1685" spans="17:17" ht="14.4" hidden="1">
      <c r="Q1685"/>
    </row>
    <row r="1686" spans="17:17" ht="14.4" hidden="1">
      <c r="Q1686"/>
    </row>
    <row r="1687" spans="17:17" ht="14.4" hidden="1">
      <c r="Q1687"/>
    </row>
    <row r="1688" spans="17:17" ht="14.4" hidden="1">
      <c r="Q1688"/>
    </row>
    <row r="1689" spans="17:17" ht="14.4" hidden="1">
      <c r="Q1689"/>
    </row>
    <row r="1690" spans="17:17" ht="14.4" hidden="1">
      <c r="Q1690"/>
    </row>
    <row r="1691" spans="17:17" ht="14.4" hidden="1">
      <c r="Q1691"/>
    </row>
    <row r="1692" spans="17:17" ht="14.4" hidden="1">
      <c r="Q1692"/>
    </row>
    <row r="1693" spans="17:17" ht="14.4" hidden="1">
      <c r="Q1693"/>
    </row>
    <row r="1694" spans="17:17" ht="14.4" hidden="1">
      <c r="Q1694"/>
    </row>
    <row r="1695" spans="17:17" ht="14.4" hidden="1">
      <c r="Q1695"/>
    </row>
    <row r="1696" spans="17:17" ht="14.4" hidden="1">
      <c r="Q1696"/>
    </row>
    <row r="1697" spans="17:17" ht="14.4" hidden="1">
      <c r="Q1697"/>
    </row>
    <row r="1698" spans="17:17" ht="14.4" hidden="1">
      <c r="Q1698"/>
    </row>
    <row r="1699" spans="17:17" ht="14.4" hidden="1">
      <c r="Q1699"/>
    </row>
    <row r="1700" spans="17:17" ht="14.4" hidden="1">
      <c r="Q1700"/>
    </row>
    <row r="1701" spans="17:17" ht="14.4" hidden="1">
      <c r="Q1701"/>
    </row>
    <row r="1702" spans="17:17" ht="14.4" hidden="1">
      <c r="Q1702"/>
    </row>
    <row r="1703" spans="17:17" ht="14.4" hidden="1">
      <c r="Q1703"/>
    </row>
    <row r="1704" spans="17:17" ht="14.4" hidden="1">
      <c r="Q1704"/>
    </row>
    <row r="1705" spans="17:17" ht="14.4" hidden="1">
      <c r="Q1705"/>
    </row>
    <row r="1706" spans="17:17" ht="14.4" hidden="1">
      <c r="Q1706"/>
    </row>
    <row r="1707" spans="17:17" ht="14.4" hidden="1">
      <c r="Q1707"/>
    </row>
    <row r="1708" spans="17:17" ht="14.4" hidden="1">
      <c r="Q1708"/>
    </row>
    <row r="1709" spans="17:17" ht="14.4" hidden="1">
      <c r="Q1709"/>
    </row>
    <row r="1710" spans="17:17" ht="14.4" hidden="1">
      <c r="Q1710"/>
    </row>
    <row r="1711" spans="17:17" ht="14.4" hidden="1">
      <c r="Q1711"/>
    </row>
    <row r="1712" spans="17:17" ht="14.4" hidden="1">
      <c r="Q1712"/>
    </row>
    <row r="1713" spans="17:17" ht="14.4" hidden="1">
      <c r="Q1713"/>
    </row>
    <row r="1714" spans="17:17" ht="14.4" hidden="1">
      <c r="Q1714"/>
    </row>
    <row r="1715" spans="17:17" ht="14.4" hidden="1">
      <c r="Q1715"/>
    </row>
    <row r="1716" spans="17:17" ht="14.4" hidden="1">
      <c r="Q1716"/>
    </row>
    <row r="1717" spans="17:17" ht="14.4" hidden="1">
      <c r="Q1717"/>
    </row>
    <row r="1718" spans="17:17" ht="14.4" hidden="1">
      <c r="Q1718"/>
    </row>
    <row r="1719" spans="17:17" ht="14.4" hidden="1">
      <c r="Q1719"/>
    </row>
    <row r="1720" spans="17:17" ht="14.4" hidden="1">
      <c r="Q1720"/>
    </row>
    <row r="1721" spans="17:17" ht="14.4" hidden="1">
      <c r="Q1721"/>
    </row>
    <row r="1722" spans="17:17" ht="14.4" hidden="1">
      <c r="Q1722"/>
    </row>
    <row r="1723" spans="17:17" ht="14.4" hidden="1">
      <c r="Q1723"/>
    </row>
    <row r="1724" spans="17:17" ht="14.4" hidden="1">
      <c r="Q1724"/>
    </row>
    <row r="1725" spans="17:17" ht="14.4" hidden="1">
      <c r="Q1725"/>
    </row>
    <row r="1726" spans="17:17" ht="14.4" hidden="1">
      <c r="Q1726"/>
    </row>
    <row r="1727" spans="17:17" ht="14.4" hidden="1">
      <c r="Q1727"/>
    </row>
    <row r="1728" spans="17:17" ht="14.4" hidden="1">
      <c r="Q1728"/>
    </row>
    <row r="1729" spans="17:17" ht="14.4" hidden="1">
      <c r="Q1729"/>
    </row>
    <row r="1730" spans="17:17" ht="14.4" hidden="1">
      <c r="Q1730"/>
    </row>
    <row r="1731" spans="17:17" ht="14.4" hidden="1">
      <c r="Q1731"/>
    </row>
    <row r="1732" spans="17:17" ht="14.4" hidden="1">
      <c r="Q1732"/>
    </row>
    <row r="1733" spans="17:17" ht="14.4" hidden="1">
      <c r="Q1733"/>
    </row>
    <row r="1734" spans="17:17" ht="14.4" hidden="1">
      <c r="Q1734"/>
    </row>
    <row r="1735" spans="17:17" ht="14.4" hidden="1">
      <c r="Q1735"/>
    </row>
    <row r="1736" spans="17:17" ht="14.4" hidden="1">
      <c r="Q1736"/>
    </row>
    <row r="1737" spans="17:17" ht="14.4" hidden="1">
      <c r="Q1737"/>
    </row>
    <row r="1738" spans="17:17" ht="14.4" hidden="1">
      <c r="Q1738"/>
    </row>
    <row r="1739" spans="17:17" ht="14.4" hidden="1">
      <c r="Q1739"/>
    </row>
    <row r="1740" spans="17:17" ht="14.4" hidden="1">
      <c r="Q1740"/>
    </row>
    <row r="1741" spans="17:17" ht="14.4" hidden="1">
      <c r="Q1741"/>
    </row>
    <row r="1742" spans="17:17" ht="14.4" hidden="1">
      <c r="Q1742"/>
    </row>
    <row r="1743" spans="17:17" ht="14.4" hidden="1">
      <c r="Q1743"/>
    </row>
    <row r="1744" spans="17:17" ht="14.4" hidden="1">
      <c r="Q1744"/>
    </row>
    <row r="1745" spans="17:17" ht="14.4" hidden="1">
      <c r="Q1745"/>
    </row>
    <row r="1746" spans="17:17" ht="14.4" hidden="1">
      <c r="Q1746"/>
    </row>
    <row r="1747" spans="17:17" ht="14.4" hidden="1">
      <c r="Q1747"/>
    </row>
    <row r="1748" spans="17:17" ht="14.4" hidden="1">
      <c r="Q1748"/>
    </row>
    <row r="1749" spans="17:17" ht="14.4" hidden="1">
      <c r="Q1749"/>
    </row>
    <row r="1750" spans="17:17" ht="14.4" hidden="1">
      <c r="Q1750"/>
    </row>
    <row r="1751" spans="17:17" ht="14.4" hidden="1">
      <c r="Q1751"/>
    </row>
    <row r="1752" spans="17:17" ht="14.4" hidden="1">
      <c r="Q1752"/>
    </row>
    <row r="1753" spans="17:17" ht="14.4" hidden="1">
      <c r="Q1753"/>
    </row>
    <row r="1754" spans="17:17" ht="14.4" hidden="1">
      <c r="Q1754"/>
    </row>
    <row r="1755" spans="17:17" ht="14.4" hidden="1">
      <c r="Q1755"/>
    </row>
    <row r="1756" spans="17:17" ht="14.4" hidden="1">
      <c r="Q1756"/>
    </row>
    <row r="1757" spans="17:17" ht="14.4" hidden="1">
      <c r="Q1757"/>
    </row>
    <row r="1758" spans="17:17" ht="14.4" hidden="1">
      <c r="Q1758"/>
    </row>
    <row r="1759" spans="17:17" ht="14.4" hidden="1">
      <c r="Q1759"/>
    </row>
    <row r="1760" spans="17:17" ht="14.4" hidden="1">
      <c r="Q1760"/>
    </row>
    <row r="1761" spans="17:17" ht="14.4" hidden="1">
      <c r="Q1761"/>
    </row>
    <row r="1762" spans="17:17" ht="14.4" hidden="1">
      <c r="Q1762"/>
    </row>
    <row r="1763" spans="17:17" ht="14.4" hidden="1">
      <c r="Q1763"/>
    </row>
    <row r="1764" spans="17:17" ht="14.4" hidden="1">
      <c r="Q1764"/>
    </row>
    <row r="1765" spans="17:17" ht="14.4" hidden="1">
      <c r="Q1765"/>
    </row>
    <row r="1766" spans="17:17" ht="14.4" hidden="1">
      <c r="Q1766"/>
    </row>
    <row r="1767" spans="17:17" ht="14.4" hidden="1">
      <c r="Q1767"/>
    </row>
    <row r="1768" spans="17:17" ht="14.4" hidden="1">
      <c r="Q1768"/>
    </row>
    <row r="1769" spans="17:17" ht="14.4" hidden="1">
      <c r="Q1769"/>
    </row>
    <row r="1770" spans="17:17" ht="14.4" hidden="1">
      <c r="Q1770"/>
    </row>
    <row r="1771" spans="17:17" ht="14.4" hidden="1">
      <c r="Q1771"/>
    </row>
    <row r="1772" spans="17:17" ht="14.4" hidden="1">
      <c r="Q1772"/>
    </row>
    <row r="1773" spans="17:17" ht="14.4" hidden="1">
      <c r="Q1773"/>
    </row>
    <row r="1774" spans="17:17" ht="14.4" hidden="1">
      <c r="Q1774"/>
    </row>
    <row r="1775" spans="17:17" ht="14.4" hidden="1">
      <c r="Q1775"/>
    </row>
    <row r="1776" spans="17:17" ht="14.4" hidden="1">
      <c r="Q1776"/>
    </row>
    <row r="1777" spans="17:17" ht="14.4" hidden="1">
      <c r="Q1777"/>
    </row>
    <row r="1778" spans="17:17" ht="14.4" hidden="1">
      <c r="Q1778"/>
    </row>
    <row r="1779" spans="17:17" ht="14.4" hidden="1">
      <c r="Q1779"/>
    </row>
    <row r="1780" spans="17:17" ht="14.4" hidden="1">
      <c r="Q1780"/>
    </row>
    <row r="1781" spans="17:17" ht="14.4" hidden="1">
      <c r="Q1781"/>
    </row>
    <row r="1782" spans="17:17" ht="14.4" hidden="1">
      <c r="Q1782"/>
    </row>
    <row r="1783" spans="17:17" ht="14.4" hidden="1">
      <c r="Q1783"/>
    </row>
    <row r="1784" spans="17:17" ht="14.4" hidden="1">
      <c r="Q1784"/>
    </row>
    <row r="1785" spans="17:17" ht="14.4" hidden="1">
      <c r="Q1785"/>
    </row>
    <row r="1786" spans="17:17" ht="14.4" hidden="1">
      <c r="Q1786"/>
    </row>
    <row r="1787" spans="17:17" ht="14.4" hidden="1">
      <c r="Q1787"/>
    </row>
    <row r="1788" spans="17:17" ht="14.4" hidden="1">
      <c r="Q1788"/>
    </row>
    <row r="1789" spans="17:17" ht="14.4" hidden="1">
      <c r="Q1789"/>
    </row>
    <row r="1790" spans="17:17" ht="14.4" hidden="1">
      <c r="Q1790"/>
    </row>
    <row r="1791" spans="17:17" ht="14.4" hidden="1">
      <c r="Q1791"/>
    </row>
    <row r="1792" spans="17:17" ht="14.4" hidden="1">
      <c r="Q1792"/>
    </row>
    <row r="1793" spans="17:17" ht="14.4" hidden="1">
      <c r="Q1793"/>
    </row>
    <row r="1794" spans="17:17" ht="14.4" hidden="1">
      <c r="Q1794"/>
    </row>
    <row r="1795" spans="17:17" ht="14.4" hidden="1">
      <c r="Q1795"/>
    </row>
    <row r="1796" spans="17:17" ht="14.4" hidden="1">
      <c r="Q1796"/>
    </row>
    <row r="1797" spans="17:17" ht="14.4" hidden="1">
      <c r="Q1797"/>
    </row>
    <row r="1798" spans="17:17" ht="14.4" hidden="1">
      <c r="Q1798"/>
    </row>
    <row r="1799" spans="17:17" ht="14.4" hidden="1">
      <c r="Q1799"/>
    </row>
    <row r="1800" spans="17:17" ht="14.4" hidden="1">
      <c r="Q1800"/>
    </row>
    <row r="1801" spans="17:17" ht="14.4" hidden="1">
      <c r="Q1801"/>
    </row>
    <row r="1802" spans="17:17" ht="14.4" hidden="1">
      <c r="Q1802"/>
    </row>
    <row r="1803" spans="17:17" ht="14.4" hidden="1">
      <c r="Q1803"/>
    </row>
    <row r="1804" spans="17:17" ht="14.4" hidden="1">
      <c r="Q1804"/>
    </row>
    <row r="1805" spans="17:17" ht="14.4" hidden="1">
      <c r="Q1805"/>
    </row>
    <row r="1806" spans="17:17" ht="14.4" hidden="1">
      <c r="Q1806"/>
    </row>
    <row r="1807" spans="17:17" ht="14.4" hidden="1">
      <c r="Q1807"/>
    </row>
    <row r="1808" spans="17:17" ht="14.4" hidden="1">
      <c r="Q1808"/>
    </row>
    <row r="1809" spans="17:17" ht="14.4" hidden="1">
      <c r="Q1809"/>
    </row>
    <row r="1810" spans="17:17" ht="14.4" hidden="1">
      <c r="Q1810"/>
    </row>
    <row r="1811" spans="17:17" ht="14.4" hidden="1">
      <c r="Q1811"/>
    </row>
    <row r="1812" spans="17:17" ht="14.4" hidden="1">
      <c r="Q1812"/>
    </row>
    <row r="1813" spans="17:17" ht="14.4" hidden="1">
      <c r="Q1813"/>
    </row>
    <row r="1814" spans="17:17" ht="14.4" hidden="1">
      <c r="Q1814"/>
    </row>
    <row r="1815" spans="17:17" ht="14.4" hidden="1">
      <c r="Q1815"/>
    </row>
    <row r="1816" spans="17:17" ht="14.4" hidden="1">
      <c r="Q1816"/>
    </row>
    <row r="1817" spans="17:17" ht="14.4" hidden="1">
      <c r="Q1817"/>
    </row>
    <row r="1818" spans="17:17" ht="14.4" hidden="1">
      <c r="Q1818"/>
    </row>
    <row r="1819" spans="17:17" ht="14.4" hidden="1">
      <c r="Q1819"/>
    </row>
    <row r="1820" spans="17:17" ht="14.4" hidden="1">
      <c r="Q1820"/>
    </row>
    <row r="1821" spans="17:17" ht="14.4" hidden="1">
      <c r="Q1821"/>
    </row>
    <row r="1822" spans="17:17" ht="14.4" hidden="1">
      <c r="Q1822"/>
    </row>
    <row r="1823" spans="17:17" ht="14.4" hidden="1">
      <c r="Q1823"/>
    </row>
    <row r="1824" spans="17:17" ht="14.4" hidden="1">
      <c r="Q1824"/>
    </row>
    <row r="1825" spans="17:17" ht="14.4" hidden="1">
      <c r="Q1825"/>
    </row>
    <row r="1826" spans="17:17" ht="14.4" hidden="1">
      <c r="Q1826"/>
    </row>
    <row r="1827" spans="17:17" ht="14.4" hidden="1">
      <c r="Q1827"/>
    </row>
    <row r="1828" spans="17:17" ht="14.4" hidden="1">
      <c r="Q1828"/>
    </row>
    <row r="1829" spans="17:17" ht="14.4" hidden="1">
      <c r="Q1829"/>
    </row>
    <row r="1830" spans="17:17" ht="14.4" hidden="1">
      <c r="Q1830"/>
    </row>
    <row r="1831" spans="17:17" ht="14.4" hidden="1">
      <c r="Q1831"/>
    </row>
    <row r="1832" spans="17:17" ht="14.4" hidden="1">
      <c r="Q1832"/>
    </row>
    <row r="1833" spans="17:17" ht="14.4" hidden="1">
      <c r="Q1833"/>
    </row>
    <row r="1834" spans="17:17" ht="14.4" hidden="1">
      <c r="Q1834"/>
    </row>
    <row r="1835" spans="17:17" ht="14.4" hidden="1">
      <c r="Q1835"/>
    </row>
    <row r="1836" spans="17:17" ht="14.4" hidden="1">
      <c r="Q1836"/>
    </row>
    <row r="1837" spans="17:17" ht="14.4" hidden="1">
      <c r="Q1837"/>
    </row>
    <row r="1838" spans="17:17" ht="14.4" hidden="1">
      <c r="Q1838"/>
    </row>
    <row r="1839" spans="17:17" ht="14.4" hidden="1">
      <c r="Q1839"/>
    </row>
    <row r="1840" spans="17:17" ht="14.4" hidden="1">
      <c r="Q1840"/>
    </row>
    <row r="1841" spans="17:17" ht="14.4" hidden="1">
      <c r="Q1841"/>
    </row>
    <row r="1842" spans="17:17" ht="14.4" hidden="1">
      <c r="Q1842"/>
    </row>
    <row r="1843" spans="17:17" ht="14.4" hidden="1">
      <c r="Q1843"/>
    </row>
    <row r="1844" spans="17:17" ht="14.4" hidden="1">
      <c r="Q1844"/>
    </row>
    <row r="1845" spans="17:17" ht="14.4" hidden="1">
      <c r="Q1845"/>
    </row>
    <row r="1846" spans="17:17" ht="14.4" hidden="1">
      <c r="Q1846"/>
    </row>
    <row r="1847" spans="17:17" ht="14.4" hidden="1">
      <c r="Q1847"/>
    </row>
    <row r="1848" spans="17:17" ht="14.4" hidden="1">
      <c r="Q1848"/>
    </row>
    <row r="1849" spans="17:17" ht="14.4" hidden="1">
      <c r="Q1849"/>
    </row>
    <row r="1850" spans="17:17" ht="14.4" hidden="1">
      <c r="Q1850"/>
    </row>
    <row r="1851" spans="17:17" ht="14.4" hidden="1">
      <c r="Q1851"/>
    </row>
    <row r="1852" spans="17:17" ht="14.4" hidden="1">
      <c r="Q1852"/>
    </row>
    <row r="1853" spans="17:17" ht="14.4" hidden="1">
      <c r="Q1853"/>
    </row>
    <row r="1854" spans="17:17" ht="14.4" hidden="1">
      <c r="Q1854"/>
    </row>
    <row r="1855" spans="17:17" ht="14.4" hidden="1">
      <c r="Q1855"/>
    </row>
    <row r="1856" spans="17:17" ht="14.4" hidden="1">
      <c r="Q1856"/>
    </row>
    <row r="1857" spans="17:17" ht="14.4" hidden="1">
      <c r="Q1857"/>
    </row>
    <row r="1858" spans="17:17" ht="14.4" hidden="1">
      <c r="Q1858"/>
    </row>
    <row r="1859" spans="17:17" ht="14.4" hidden="1">
      <c r="Q1859"/>
    </row>
    <row r="1860" spans="17:17" ht="14.4" hidden="1">
      <c r="Q1860"/>
    </row>
    <row r="1861" spans="17:17" ht="14.4" hidden="1">
      <c r="Q1861"/>
    </row>
    <row r="1862" spans="17:17" ht="14.4" hidden="1">
      <c r="Q1862"/>
    </row>
    <row r="1863" spans="17:17" ht="14.4" hidden="1">
      <c r="Q1863"/>
    </row>
    <row r="1864" spans="17:17" ht="14.4" hidden="1">
      <c r="Q1864"/>
    </row>
    <row r="1865" spans="17:17" ht="14.4" hidden="1">
      <c r="Q1865"/>
    </row>
    <row r="1866" spans="17:17" ht="14.4" hidden="1">
      <c r="Q1866"/>
    </row>
    <row r="1867" spans="17:17" ht="14.4" hidden="1">
      <c r="Q1867"/>
    </row>
    <row r="1868" spans="17:17" ht="14.4" hidden="1">
      <c r="Q1868"/>
    </row>
    <row r="1869" spans="17:17" ht="14.4" hidden="1">
      <c r="Q1869"/>
    </row>
    <row r="1870" spans="17:17" ht="14.4" hidden="1">
      <c r="Q1870"/>
    </row>
    <row r="1871" spans="17:17" ht="14.4" hidden="1">
      <c r="Q1871"/>
    </row>
    <row r="1872" spans="17:17" ht="14.4" hidden="1">
      <c r="Q1872"/>
    </row>
    <row r="1873" spans="17:17" ht="14.4" hidden="1">
      <c r="Q1873"/>
    </row>
    <row r="1874" spans="17:17" ht="14.4" hidden="1">
      <c r="Q1874"/>
    </row>
    <row r="1875" spans="17:17" ht="14.4" hidden="1">
      <c r="Q1875"/>
    </row>
    <row r="1876" spans="17:17" ht="14.4" hidden="1">
      <c r="Q1876"/>
    </row>
    <row r="1877" spans="17:17" ht="14.4" hidden="1">
      <c r="Q1877"/>
    </row>
    <row r="1878" spans="17:17" ht="14.4" hidden="1">
      <c r="Q1878"/>
    </row>
    <row r="1879" spans="17:17" ht="14.4" hidden="1">
      <c r="Q1879"/>
    </row>
    <row r="1880" spans="17:17" ht="14.4" hidden="1">
      <c r="Q1880"/>
    </row>
    <row r="1881" spans="17:17" ht="14.4" hidden="1">
      <c r="Q1881"/>
    </row>
    <row r="1882" spans="17:17" ht="14.4" hidden="1">
      <c r="Q1882"/>
    </row>
    <row r="1883" spans="17:17" ht="14.4" hidden="1">
      <c r="Q1883"/>
    </row>
    <row r="1884" spans="17:17" ht="14.4" hidden="1">
      <c r="Q1884"/>
    </row>
    <row r="1885" spans="17:17" ht="14.4" hidden="1">
      <c r="Q1885"/>
    </row>
    <row r="1886" spans="17:17" ht="14.4" hidden="1">
      <c r="Q1886"/>
    </row>
    <row r="1887" spans="17:17" ht="14.4" hidden="1">
      <c r="Q1887"/>
    </row>
    <row r="1888" spans="17:17" ht="14.4" hidden="1">
      <c r="Q1888"/>
    </row>
    <row r="1889" spans="17:17" ht="14.4" hidden="1">
      <c r="Q1889"/>
    </row>
    <row r="1890" spans="17:17" ht="14.4" hidden="1">
      <c r="Q1890"/>
    </row>
    <row r="1891" spans="17:17" ht="14.4" hidden="1">
      <c r="Q1891"/>
    </row>
    <row r="1892" spans="17:17" ht="14.4" hidden="1">
      <c r="Q1892"/>
    </row>
    <row r="1893" spans="17:17" ht="14.4" hidden="1">
      <c r="Q1893"/>
    </row>
    <row r="1894" spans="17:17" ht="14.4" hidden="1">
      <c r="Q1894"/>
    </row>
    <row r="1895" spans="17:17" ht="14.4" hidden="1">
      <c r="Q1895"/>
    </row>
    <row r="1896" spans="17:17" ht="14.4" hidden="1">
      <c r="Q1896"/>
    </row>
    <row r="1897" spans="17:17" ht="14.4" hidden="1">
      <c r="Q1897"/>
    </row>
    <row r="1898" spans="17:17" ht="14.4" hidden="1">
      <c r="Q1898"/>
    </row>
    <row r="1899" spans="17:17" ht="14.4" hidden="1">
      <c r="Q1899"/>
    </row>
    <row r="1900" spans="17:17" ht="14.4" hidden="1">
      <c r="Q1900"/>
    </row>
    <row r="1901" spans="17:17" ht="14.4" hidden="1">
      <c r="Q1901"/>
    </row>
    <row r="1902" spans="17:17" ht="14.4" hidden="1">
      <c r="Q1902"/>
    </row>
    <row r="1903" spans="17:17" ht="14.4" hidden="1">
      <c r="Q1903"/>
    </row>
    <row r="1904" spans="17:17" ht="14.4" hidden="1">
      <c r="Q1904"/>
    </row>
    <row r="1905" spans="17:17" ht="14.4" hidden="1">
      <c r="Q1905"/>
    </row>
    <row r="1906" spans="17:17" ht="14.4" hidden="1">
      <c r="Q1906"/>
    </row>
    <row r="1907" spans="17:17" ht="14.4" hidden="1">
      <c r="Q1907"/>
    </row>
    <row r="1908" spans="17:17" ht="14.4" hidden="1">
      <c r="Q1908"/>
    </row>
    <row r="1909" spans="17:17" ht="14.4" hidden="1">
      <c r="Q1909"/>
    </row>
    <row r="1910" spans="17:17" ht="14.4" hidden="1">
      <c r="Q1910"/>
    </row>
    <row r="1911" spans="17:17" ht="14.4" hidden="1">
      <c r="Q1911"/>
    </row>
    <row r="1912" spans="17:17" ht="14.4" hidden="1">
      <c r="Q1912"/>
    </row>
    <row r="1913" spans="17:17" ht="14.4" hidden="1">
      <c r="Q1913"/>
    </row>
    <row r="1914" spans="17:17" ht="14.4" hidden="1">
      <c r="Q1914"/>
    </row>
    <row r="1915" spans="17:17" ht="14.4" hidden="1">
      <c r="Q1915"/>
    </row>
    <row r="1916" spans="17:17" ht="14.4" hidden="1">
      <c r="Q1916"/>
    </row>
    <row r="1917" spans="17:17" ht="14.4" hidden="1">
      <c r="Q1917"/>
    </row>
    <row r="1918" spans="17:17" ht="14.4" hidden="1">
      <c r="Q1918"/>
    </row>
    <row r="1919" spans="17:17" ht="14.4" hidden="1">
      <c r="Q1919"/>
    </row>
    <row r="1920" spans="17:17" ht="14.4" hidden="1">
      <c r="Q1920"/>
    </row>
    <row r="1921" spans="17:17" ht="14.4" hidden="1">
      <c r="Q1921"/>
    </row>
    <row r="1922" spans="17:17" ht="14.4" hidden="1">
      <c r="Q1922"/>
    </row>
    <row r="1923" spans="17:17" ht="14.4" hidden="1">
      <c r="Q1923"/>
    </row>
    <row r="1924" spans="17:17" ht="14.4" hidden="1">
      <c r="Q1924"/>
    </row>
    <row r="1925" spans="17:17" ht="14.4" hidden="1">
      <c r="Q1925"/>
    </row>
    <row r="1926" spans="17:17" ht="14.4" hidden="1">
      <c r="Q1926"/>
    </row>
    <row r="1927" spans="17:17" ht="14.4" hidden="1">
      <c r="Q1927"/>
    </row>
    <row r="1928" spans="17:17" ht="14.4" hidden="1">
      <c r="Q1928"/>
    </row>
    <row r="1929" spans="17:17" ht="14.4" hidden="1">
      <c r="Q1929"/>
    </row>
    <row r="1930" spans="17:17" ht="14.4" hidden="1">
      <c r="Q1930"/>
    </row>
    <row r="1931" spans="17:17" ht="14.4" hidden="1">
      <c r="Q1931"/>
    </row>
    <row r="1932" spans="17:17" ht="14.4" hidden="1">
      <c r="Q1932"/>
    </row>
    <row r="1933" spans="17:17" ht="14.4" hidden="1">
      <c r="Q1933"/>
    </row>
    <row r="1934" spans="17:17" ht="14.4" hidden="1">
      <c r="Q1934"/>
    </row>
    <row r="1935" spans="17:17" ht="14.4" hidden="1">
      <c r="Q1935"/>
    </row>
    <row r="1936" spans="17:17" ht="14.4" hidden="1">
      <c r="Q1936"/>
    </row>
    <row r="1937" spans="17:17" ht="14.4" hidden="1">
      <c r="Q1937"/>
    </row>
    <row r="1938" spans="17:17" ht="14.4" hidden="1">
      <c r="Q1938"/>
    </row>
    <row r="1939" spans="17:17" ht="14.4" hidden="1">
      <c r="Q1939"/>
    </row>
    <row r="1940" spans="17:17" ht="14.4" hidden="1">
      <c r="Q1940"/>
    </row>
    <row r="1941" spans="17:17" ht="14.4" hidden="1">
      <c r="Q1941"/>
    </row>
    <row r="1942" spans="17:17" ht="14.4" hidden="1">
      <c r="Q1942"/>
    </row>
    <row r="1943" spans="17:17" ht="14.4" hidden="1">
      <c r="Q1943"/>
    </row>
    <row r="1944" spans="17:17" ht="14.4" hidden="1">
      <c r="Q1944"/>
    </row>
    <row r="1945" spans="17:17" ht="14.4" hidden="1">
      <c r="Q1945"/>
    </row>
    <row r="1946" spans="17:17" ht="14.4" hidden="1">
      <c r="Q1946"/>
    </row>
    <row r="1947" spans="17:17" ht="14.4" hidden="1">
      <c r="Q1947"/>
    </row>
    <row r="1948" spans="17:17" ht="14.4" hidden="1">
      <c r="Q1948"/>
    </row>
    <row r="1949" spans="17:17" ht="14.4" hidden="1">
      <c r="Q1949"/>
    </row>
    <row r="1950" spans="17:17" ht="14.4" hidden="1">
      <c r="Q1950"/>
    </row>
    <row r="1951" spans="17:17" ht="14.4" hidden="1">
      <c r="Q1951"/>
    </row>
    <row r="1952" spans="17:17" ht="14.4" hidden="1">
      <c r="Q1952"/>
    </row>
    <row r="1953" spans="17:17" ht="14.4" hidden="1">
      <c r="Q1953"/>
    </row>
    <row r="1954" spans="17:17" ht="14.4" hidden="1">
      <c r="Q1954"/>
    </row>
    <row r="1955" spans="17:17" ht="14.4" hidden="1">
      <c r="Q1955"/>
    </row>
    <row r="1956" spans="17:17" ht="14.4" hidden="1">
      <c r="Q1956"/>
    </row>
    <row r="1957" spans="17:17" ht="14.4" hidden="1">
      <c r="Q1957"/>
    </row>
    <row r="1958" spans="17:17" ht="14.4" hidden="1">
      <c r="Q1958"/>
    </row>
    <row r="1959" spans="17:17" ht="14.4" hidden="1">
      <c r="Q1959"/>
    </row>
    <row r="1960" spans="17:17" ht="14.4" hidden="1">
      <c r="Q1960"/>
    </row>
    <row r="1961" spans="17:17" ht="14.4" hidden="1">
      <c r="Q1961"/>
    </row>
    <row r="1962" spans="17:17" ht="14.4" hidden="1">
      <c r="Q1962"/>
    </row>
    <row r="1963" spans="17:17" ht="14.4" hidden="1">
      <c r="Q1963"/>
    </row>
    <row r="1964" spans="17:17" ht="14.4" hidden="1">
      <c r="Q1964"/>
    </row>
    <row r="1965" spans="17:17" ht="14.4" hidden="1">
      <c r="Q1965"/>
    </row>
    <row r="1966" spans="17:17" ht="14.4" hidden="1">
      <c r="Q1966"/>
    </row>
    <row r="1967" spans="17:17" ht="14.4" hidden="1">
      <c r="Q1967"/>
    </row>
    <row r="1968" spans="17:17" ht="14.4" hidden="1">
      <c r="Q1968"/>
    </row>
    <row r="1969" spans="17:17" ht="14.4" hidden="1">
      <c r="Q1969"/>
    </row>
    <row r="1970" spans="17:17" ht="14.4" hidden="1">
      <c r="Q1970"/>
    </row>
    <row r="1971" spans="17:17" ht="14.4" hidden="1">
      <c r="Q1971"/>
    </row>
    <row r="1972" spans="17:17" ht="14.4" hidden="1">
      <c r="Q1972"/>
    </row>
    <row r="1973" spans="17:17" ht="14.4" hidden="1">
      <c r="Q1973"/>
    </row>
    <row r="1974" spans="17:17" ht="14.4" hidden="1">
      <c r="Q1974"/>
    </row>
    <row r="1975" spans="17:17" ht="14.4" hidden="1">
      <c r="Q1975"/>
    </row>
    <row r="1976" spans="17:17" ht="14.4" hidden="1">
      <c r="Q1976"/>
    </row>
    <row r="1977" spans="17:17" ht="14.4" hidden="1">
      <c r="Q1977"/>
    </row>
    <row r="1978" spans="17:17" ht="14.4" hidden="1">
      <c r="Q1978"/>
    </row>
    <row r="1979" spans="17:17" ht="14.4" hidden="1">
      <c r="Q1979"/>
    </row>
    <row r="1980" spans="17:17" ht="14.4" hidden="1">
      <c r="Q1980"/>
    </row>
    <row r="1981" spans="17:17" ht="14.4" hidden="1">
      <c r="Q1981"/>
    </row>
    <row r="1982" spans="17:17" ht="14.4" hidden="1">
      <c r="Q1982"/>
    </row>
    <row r="1983" spans="17:17" ht="14.4" hidden="1">
      <c r="Q1983"/>
    </row>
    <row r="1984" spans="17:17" ht="14.4" hidden="1">
      <c r="Q1984"/>
    </row>
    <row r="1985" spans="17:17" ht="14.4" hidden="1">
      <c r="Q1985"/>
    </row>
    <row r="1986" spans="17:17" ht="14.4" hidden="1">
      <c r="Q1986"/>
    </row>
    <row r="1987" spans="17:17" ht="14.4" hidden="1">
      <c r="Q1987"/>
    </row>
    <row r="1988" spans="17:17" ht="14.4" hidden="1">
      <c r="Q1988"/>
    </row>
    <row r="1989" spans="17:17" ht="14.4" hidden="1">
      <c r="Q1989"/>
    </row>
    <row r="1990" spans="17:17" ht="14.4" hidden="1">
      <c r="Q1990"/>
    </row>
    <row r="1991" spans="17:17" ht="14.4" hidden="1">
      <c r="Q1991"/>
    </row>
    <row r="1992" spans="17:17" ht="14.4" hidden="1">
      <c r="Q1992"/>
    </row>
    <row r="1993" spans="17:17" ht="14.4" hidden="1">
      <c r="Q1993"/>
    </row>
    <row r="1994" spans="17:17" ht="14.4" hidden="1">
      <c r="Q1994"/>
    </row>
    <row r="1995" spans="17:17" ht="14.4" hidden="1">
      <c r="Q1995"/>
    </row>
    <row r="1996" spans="17:17" ht="14.4" hidden="1">
      <c r="Q1996"/>
    </row>
    <row r="1997" spans="17:17" ht="14.4" hidden="1">
      <c r="Q1997"/>
    </row>
    <row r="1998" spans="17:17" ht="14.4" hidden="1">
      <c r="Q1998"/>
    </row>
    <row r="1999" spans="17:17" ht="14.4" hidden="1">
      <c r="Q1999"/>
    </row>
    <row r="2000" spans="17:17" ht="14.4" hidden="1">
      <c r="Q2000"/>
    </row>
    <row r="2001" spans="17:17" ht="14.4" hidden="1">
      <c r="Q2001"/>
    </row>
    <row r="2002" spans="17:17" ht="14.4" hidden="1">
      <c r="Q2002"/>
    </row>
    <row r="2003" spans="17:17" ht="14.4" hidden="1">
      <c r="Q2003"/>
    </row>
    <row r="2004" spans="17:17" ht="14.4" hidden="1">
      <c r="Q2004"/>
    </row>
    <row r="2005" spans="17:17" ht="14.4" hidden="1">
      <c r="Q2005"/>
    </row>
    <row r="2006" spans="17:17" ht="14.4" hidden="1">
      <c r="Q2006"/>
    </row>
    <row r="2007" spans="17:17" ht="14.4" hidden="1">
      <c r="Q2007"/>
    </row>
    <row r="2008" spans="17:17" ht="14.4" hidden="1">
      <c r="Q2008"/>
    </row>
    <row r="2009" spans="17:17" ht="14.4" hidden="1">
      <c r="Q2009"/>
    </row>
    <row r="2010" spans="17:17" ht="14.4" hidden="1">
      <c r="Q2010"/>
    </row>
    <row r="2011" spans="17:17" ht="14.4" hidden="1">
      <c r="Q2011"/>
    </row>
    <row r="2012" spans="17:17" ht="14.4" hidden="1">
      <c r="Q2012"/>
    </row>
    <row r="2013" spans="17:17" ht="14.4" hidden="1">
      <c r="Q2013"/>
    </row>
    <row r="2014" spans="17:17" ht="14.4" hidden="1">
      <c r="Q2014"/>
    </row>
    <row r="2015" spans="17:17" ht="14.4" hidden="1">
      <c r="Q2015"/>
    </row>
    <row r="2016" spans="17:17" ht="14.4" hidden="1">
      <c r="Q2016"/>
    </row>
    <row r="2017" spans="17:17" ht="14.4" hidden="1">
      <c r="Q2017"/>
    </row>
    <row r="2018" spans="17:17" ht="14.4" hidden="1">
      <c r="Q2018"/>
    </row>
    <row r="2019" spans="17:17" ht="14.4" hidden="1">
      <c r="Q2019"/>
    </row>
    <row r="2020" spans="17:17" ht="14.4" hidden="1">
      <c r="Q2020"/>
    </row>
    <row r="2021" spans="17:17" ht="14.4" hidden="1">
      <c r="Q2021"/>
    </row>
    <row r="2022" spans="17:17" ht="14.4" hidden="1">
      <c r="Q2022"/>
    </row>
    <row r="2023" spans="17:17" ht="14.4" hidden="1">
      <c r="Q2023"/>
    </row>
    <row r="2024" spans="17:17" ht="14.4" hidden="1">
      <c r="Q2024"/>
    </row>
    <row r="2025" spans="17:17" ht="14.4" hidden="1">
      <c r="Q2025"/>
    </row>
    <row r="2026" spans="17:17" ht="14.4" hidden="1">
      <c r="Q2026"/>
    </row>
    <row r="2027" spans="17:17" ht="14.4" hidden="1">
      <c r="Q2027"/>
    </row>
    <row r="2028" spans="17:17" ht="14.4" hidden="1">
      <c r="Q2028"/>
    </row>
    <row r="2029" spans="17:17" ht="14.4" hidden="1">
      <c r="Q2029"/>
    </row>
    <row r="2030" spans="17:17" ht="14.4" hidden="1">
      <c r="Q2030"/>
    </row>
    <row r="2031" spans="17:17" ht="14.4" hidden="1">
      <c r="Q2031"/>
    </row>
    <row r="2032" spans="17:17" ht="14.4" hidden="1">
      <c r="Q2032"/>
    </row>
    <row r="2033" spans="17:17" ht="14.4" hidden="1">
      <c r="Q2033"/>
    </row>
    <row r="2034" spans="17:17" ht="14.4" hidden="1">
      <c r="Q2034"/>
    </row>
    <row r="2035" spans="17:17" ht="14.4" hidden="1">
      <c r="Q2035"/>
    </row>
    <row r="2036" spans="17:17" ht="14.4" hidden="1">
      <c r="Q2036"/>
    </row>
    <row r="2037" spans="17:17" ht="14.4" hidden="1">
      <c r="Q2037"/>
    </row>
    <row r="2038" spans="17:17" ht="14.4" hidden="1">
      <c r="Q2038"/>
    </row>
    <row r="2039" spans="17:17" ht="14.4" hidden="1">
      <c r="Q2039"/>
    </row>
    <row r="2040" spans="17:17" ht="14.4" hidden="1">
      <c r="Q2040"/>
    </row>
    <row r="2041" spans="17:17" ht="14.4" hidden="1">
      <c r="Q2041"/>
    </row>
    <row r="2042" spans="17:17" ht="14.4" hidden="1">
      <c r="Q2042"/>
    </row>
    <row r="2043" spans="17:17" ht="14.4" hidden="1">
      <c r="Q2043"/>
    </row>
    <row r="2044" spans="17:17" ht="14.4" hidden="1">
      <c r="Q2044"/>
    </row>
    <row r="2045" spans="17:17" ht="14.4" hidden="1">
      <c r="Q2045"/>
    </row>
    <row r="2046" spans="17:17" ht="14.4" hidden="1">
      <c r="Q2046"/>
    </row>
    <row r="2047" spans="17:17" ht="14.4" hidden="1">
      <c r="Q2047"/>
    </row>
    <row r="2048" spans="17:17" ht="14.4" hidden="1">
      <c r="Q2048"/>
    </row>
    <row r="2049" spans="17:17" ht="14.4" hidden="1">
      <c r="Q2049"/>
    </row>
    <row r="2050" spans="17:17" ht="14.4" hidden="1">
      <c r="Q2050"/>
    </row>
    <row r="2051" spans="17:17" ht="15" hidden="1" customHeight="1">
      <c r="Q2051"/>
    </row>
    <row r="2052" spans="17:17" ht="15" hidden="1" customHeight="1">
      <c r="Q2052"/>
    </row>
    <row r="2053" spans="17:17" ht="15" hidden="1" customHeight="1">
      <c r="Q2053"/>
    </row>
    <row r="2054" spans="17:17" ht="15" hidden="1" customHeight="1">
      <c r="Q2054"/>
    </row>
    <row r="2055" spans="17:17" ht="15" hidden="1" customHeight="1">
      <c r="Q2055"/>
    </row>
    <row r="2056" spans="17:17" ht="15" hidden="1" customHeight="1">
      <c r="Q2056"/>
    </row>
    <row r="2057" spans="17:17" ht="15" hidden="1" customHeight="1">
      <c r="Q2057"/>
    </row>
    <row r="2058" spans="17:17" ht="15" hidden="1" customHeight="1">
      <c r="Q2058"/>
    </row>
    <row r="2059" spans="17:17" ht="15" hidden="1" customHeight="1">
      <c r="Q2059"/>
    </row>
    <row r="2060" spans="17:17" ht="15" hidden="1" customHeight="1">
      <c r="Q2060"/>
    </row>
    <row r="2061" spans="17:17" ht="15" hidden="1" customHeight="1">
      <c r="Q2061"/>
    </row>
    <row r="2062" spans="17:17" ht="15" hidden="1" customHeight="1">
      <c r="Q2062"/>
    </row>
    <row r="2063" spans="17:17" ht="15" hidden="1" customHeight="1">
      <c r="Q2063"/>
    </row>
    <row r="2064" spans="17:17" ht="15" hidden="1" customHeight="1">
      <c r="Q2064"/>
    </row>
    <row r="2065" spans="17:17" ht="15" hidden="1" customHeight="1">
      <c r="Q2065"/>
    </row>
    <row r="2066" spans="17:17" ht="15" hidden="1" customHeight="1">
      <c r="Q2066"/>
    </row>
    <row r="2067" spans="17:17" ht="15" hidden="1" customHeight="1">
      <c r="Q2067"/>
    </row>
    <row r="2068" spans="17:17" ht="15" hidden="1" customHeight="1">
      <c r="Q2068"/>
    </row>
    <row r="2069" spans="17:17" ht="15" hidden="1" customHeight="1">
      <c r="Q2069"/>
    </row>
    <row r="2070" spans="17:17" ht="15" hidden="1" customHeight="1">
      <c r="Q2070"/>
    </row>
    <row r="2071" spans="17:17" ht="15" hidden="1" customHeight="1">
      <c r="Q2071"/>
    </row>
    <row r="2072" spans="17:17" ht="15" hidden="1" customHeight="1">
      <c r="Q2072"/>
    </row>
    <row r="2073" spans="17:17" ht="15" hidden="1" customHeight="1">
      <c r="Q2073"/>
    </row>
    <row r="2074" spans="17:17" ht="15" hidden="1" customHeight="1">
      <c r="Q2074"/>
    </row>
    <row r="2075" spans="17:17" ht="15" hidden="1" customHeight="1">
      <c r="Q2075"/>
    </row>
    <row r="2076" spans="17:17" ht="15" hidden="1" customHeight="1">
      <c r="Q2076"/>
    </row>
    <row r="2077" spans="17:17" ht="15" hidden="1" customHeight="1">
      <c r="Q2077"/>
    </row>
    <row r="2078" spans="17:17" ht="15" hidden="1" customHeight="1">
      <c r="Q2078"/>
    </row>
    <row r="2079" spans="17:17" ht="15" hidden="1" customHeight="1">
      <c r="Q2079"/>
    </row>
    <row r="2080" spans="17:17" ht="15" hidden="1" customHeight="1">
      <c r="Q2080"/>
    </row>
    <row r="2081" spans="17:17" ht="15" hidden="1" customHeight="1">
      <c r="Q2081"/>
    </row>
    <row r="2082" spans="17:17" ht="15" hidden="1" customHeight="1">
      <c r="Q2082"/>
    </row>
    <row r="2083" spans="17:17" ht="15" hidden="1" customHeight="1">
      <c r="Q2083"/>
    </row>
    <row r="2084" spans="17:17" ht="15" hidden="1" customHeight="1">
      <c r="Q2084"/>
    </row>
    <row r="2085" spans="17:17" ht="15" hidden="1" customHeight="1">
      <c r="Q2085"/>
    </row>
    <row r="2086" spans="17:17" ht="15" hidden="1" customHeight="1">
      <c r="Q2086"/>
    </row>
    <row r="2087" spans="17:17" ht="15" hidden="1" customHeight="1">
      <c r="Q2087"/>
    </row>
    <row r="2088" spans="17:17" ht="15" hidden="1" customHeight="1">
      <c r="Q2088"/>
    </row>
    <row r="2089" spans="17:17" ht="15" hidden="1" customHeight="1">
      <c r="Q2089"/>
    </row>
    <row r="2090" spans="17:17" ht="15" hidden="1" customHeight="1">
      <c r="Q2090"/>
    </row>
    <row r="2091" spans="17:17" ht="15" hidden="1" customHeight="1">
      <c r="Q2091"/>
    </row>
    <row r="2092" spans="17:17" ht="15" hidden="1" customHeight="1">
      <c r="Q2092"/>
    </row>
    <row r="2093" spans="17:17" ht="15" hidden="1" customHeight="1">
      <c r="Q2093"/>
    </row>
    <row r="2094" spans="17:17" ht="15" hidden="1" customHeight="1">
      <c r="Q2094"/>
    </row>
    <row r="2095" spans="17:17" ht="15" hidden="1" customHeight="1">
      <c r="Q2095"/>
    </row>
    <row r="2096" spans="17:17" ht="15" hidden="1" customHeight="1">
      <c r="Q2096"/>
    </row>
    <row r="2097" spans="17:17" ht="15" hidden="1" customHeight="1">
      <c r="Q2097"/>
    </row>
    <row r="2098" spans="17:17" ht="15" hidden="1" customHeight="1">
      <c r="Q2098"/>
    </row>
    <row r="2099" spans="17:17" ht="15" hidden="1" customHeight="1">
      <c r="Q2099"/>
    </row>
    <row r="2100" spans="17:17" ht="15" hidden="1" customHeight="1">
      <c r="Q2100"/>
    </row>
    <row r="2101" spans="17:17" ht="15" hidden="1" customHeight="1">
      <c r="Q2101"/>
    </row>
    <row r="2102" spans="17:17" ht="15" hidden="1" customHeight="1">
      <c r="Q2102"/>
    </row>
    <row r="2103" spans="17:17" ht="15" hidden="1" customHeight="1">
      <c r="Q2103"/>
    </row>
    <row r="2104" spans="17:17" ht="15" hidden="1" customHeight="1">
      <c r="Q2104"/>
    </row>
    <row r="2105" spans="17:17" ht="15" hidden="1" customHeight="1">
      <c r="Q2105"/>
    </row>
    <row r="2106" spans="17:17" ht="15" customHeight="1"/>
    <row r="2107" spans="17:17" ht="15" customHeight="1"/>
    <row r="2108" spans="17:17" ht="15" customHeight="1"/>
    <row r="2109" spans="17:17" ht="15" customHeight="1"/>
  </sheetData>
  <mergeCells count="8">
    <mergeCell ref="C73:D73"/>
    <mergeCell ref="C113:D113"/>
    <mergeCell ref="C114:D114"/>
    <mergeCell ref="D5:F5"/>
    <mergeCell ref="D7:F7"/>
    <mergeCell ref="C50:D50"/>
    <mergeCell ref="C51:D51"/>
    <mergeCell ref="C72:D72"/>
  </mergeCells>
  <conditionalFormatting sqref="F15 F62 F84">
    <cfRule type="expression" dxfId="505" priority="35">
      <formula>$F$56&lt;&gt;0</formula>
    </cfRule>
  </conditionalFormatting>
  <conditionalFormatting sqref="C17:C41 C63:C65 C69 C86:C104 C45:C47 C108 C110">
    <cfRule type="expression" dxfId="504" priority="33">
      <formula>P17&lt;&gt;0</formula>
    </cfRule>
  </conditionalFormatting>
  <conditionalFormatting sqref="E15">
    <cfRule type="expression" dxfId="503" priority="29">
      <formula>E56&lt;&gt;0</formula>
    </cfRule>
  </conditionalFormatting>
  <conditionalFormatting sqref="E15:L15">
    <cfRule type="expression" dxfId="502" priority="28">
      <formula>E56&lt;&gt;0</formula>
    </cfRule>
  </conditionalFormatting>
  <conditionalFormatting sqref="E62">
    <cfRule type="expression" dxfId="501" priority="24">
      <formula>E78&lt;&gt;0</formula>
    </cfRule>
  </conditionalFormatting>
  <conditionalFormatting sqref="E62:L62">
    <cfRule type="expression" dxfId="500" priority="23">
      <formula>E78&lt;&gt;0</formula>
    </cfRule>
  </conditionalFormatting>
  <conditionalFormatting sqref="E84">
    <cfRule type="expression" dxfId="499" priority="18">
      <formula>E119&lt;&gt;0</formula>
    </cfRule>
  </conditionalFormatting>
  <conditionalFormatting sqref="E84:L84">
    <cfRule type="expression" dxfId="498" priority="17">
      <formula>E119&lt;&gt;0</formula>
    </cfRule>
  </conditionalFormatting>
  <conditionalFormatting sqref="F115:L115">
    <cfRule type="expression" dxfId="497" priority="15">
      <formula>F115&lt;&gt;F111</formula>
    </cfRule>
  </conditionalFormatting>
  <conditionalFormatting sqref="F74:L74">
    <cfRule type="expression" dxfId="496" priority="14">
      <formula>F74&lt;&gt;F70</formula>
    </cfRule>
  </conditionalFormatting>
  <conditionalFormatting sqref="E52:L52">
    <cfRule type="expression" dxfId="495" priority="13">
      <formula>E52&lt;&gt;E48</formula>
    </cfRule>
  </conditionalFormatting>
  <conditionalFormatting sqref="C13">
    <cfRule type="expression" dxfId="494" priority="12">
      <formula>$D$13&lt;&gt;0</formula>
    </cfRule>
  </conditionalFormatting>
  <conditionalFormatting sqref="C60">
    <cfRule type="expression" dxfId="493" priority="10">
      <formula>D60&lt;&gt;0</formula>
    </cfRule>
  </conditionalFormatting>
  <conditionalFormatting sqref="C82">
    <cfRule type="expression" dxfId="492" priority="9">
      <formula>D82&lt;&gt;0</formula>
    </cfRule>
  </conditionalFormatting>
  <conditionalFormatting sqref="E74">
    <cfRule type="expression" dxfId="491" priority="8">
      <formula>E74&lt;&gt;E70</formula>
    </cfRule>
  </conditionalFormatting>
  <conditionalFormatting sqref="E115">
    <cfRule type="expression" dxfId="490" priority="7">
      <formula>E115&lt;&gt;E111</formula>
    </cfRule>
  </conditionalFormatting>
  <conditionalFormatting sqref="C42:C44">
    <cfRule type="expression" dxfId="489" priority="6">
      <formula>P42&lt;&gt;0</formula>
    </cfRule>
  </conditionalFormatting>
  <conditionalFormatting sqref="C66:C67">
    <cfRule type="expression" dxfId="488" priority="5">
      <formula>P66&lt;&gt;0</formula>
    </cfRule>
  </conditionalFormatting>
  <conditionalFormatting sqref="C68">
    <cfRule type="expression" dxfId="487" priority="3">
      <formula>P68&lt;&gt;0</formula>
    </cfRule>
  </conditionalFormatting>
  <conditionalFormatting sqref="C105:C107">
    <cfRule type="expression" dxfId="486" priority="2">
      <formula>P105&lt;&gt;0</formula>
    </cfRule>
  </conditionalFormatting>
  <conditionalFormatting sqref="C109">
    <cfRule type="expression" dxfId="485" priority="1">
      <formula>P109&lt;&gt;0</formula>
    </cfRule>
  </conditionalFormatting>
  <printOptions horizontalCentered="1"/>
  <pageMargins left="0.23622047244094491" right="0.23622047244094491" top="0.35433070866141736" bottom="0.35433070866141736" header="0.31496062992125984" footer="0.31496062992125984"/>
  <pageSetup paperSize="9" scale="50" orientation="landscape" r:id="rId1"/>
  <rowBreaks count="1" manualBreakCount="1">
    <brk id="59" min="2"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versiones">
                <anchor moveWithCells="1" sizeWithCells="1">
                  <from>
                    <xdr:col>2</xdr:col>
                    <xdr:colOff>723900</xdr:colOff>
                    <xdr:row>7</xdr:row>
                    <xdr:rowOff>190500</xdr:rowOff>
                  </from>
                  <to>
                    <xdr:col>2</xdr:col>
                    <xdr:colOff>1790700</xdr:colOff>
                    <xdr:row>10</xdr:row>
                    <xdr:rowOff>38100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0">
    <pageSetUpPr autoPageBreaks="0" fitToPage="1"/>
  </sheetPr>
  <dimension ref="C1:U2115"/>
  <sheetViews>
    <sheetView showGridLines="0" showRowColHeaders="0" showZeros="0" zoomScale="70" zoomScaleNormal="70" zoomScaleSheetLayoutView="85" zoomScalePageLayoutView="55" workbookViewId="0">
      <pane xSplit="3" ySplit="15" topLeftCell="D16" activePane="bottomRight" state="frozen"/>
      <selection activeCell="G9" sqref="G9"/>
      <selection pane="topRight" activeCell="G9" sqref="G9"/>
      <selection pane="bottomLeft" activeCell="G9" sqref="G9"/>
      <selection pane="bottomRight" activeCell="G16" sqref="G16:G66"/>
    </sheetView>
  </sheetViews>
  <sheetFormatPr baseColWidth="10" defaultColWidth="11.44140625" defaultRowHeight="15" customHeight="1" zeroHeight="1" outlineLevelRow="1"/>
  <cols>
    <col min="1" max="2" width="2" customWidth="1"/>
    <col min="3" max="3" width="43.5546875" customWidth="1"/>
    <col min="4" max="4" width="14.44140625" customWidth="1"/>
    <col min="5" max="5" width="25" customWidth="1"/>
    <col min="6" max="6" width="21" customWidth="1"/>
    <col min="7" max="7" width="23" customWidth="1"/>
    <col min="8" max="9" width="24" customWidth="1"/>
    <col min="10" max="10" width="26.44140625" customWidth="1"/>
    <col min="11" max="11" width="47.44140625" customWidth="1"/>
    <col min="12" max="12" width="36" customWidth="1"/>
    <col min="13" max="13" width="20" hidden="1" customWidth="1"/>
    <col min="14" max="14" width="16" hidden="1" customWidth="1"/>
    <col min="15" max="15" width="5" hidden="1" customWidth="1"/>
    <col min="16" max="16" width="19.5546875" hidden="1" customWidth="1"/>
    <col min="17" max="17" width="49" hidden="1" customWidth="1"/>
    <col min="18" max="18" width="21" hidden="1" customWidth="1"/>
    <col min="19" max="19" width="9" style="13" hidden="1" customWidth="1"/>
    <col min="20" max="20" width="4.5546875" hidden="1" customWidth="1"/>
    <col min="21" max="22" width="0" hidden="1" customWidth="1"/>
    <col min="23" max="23" width="46" customWidth="1"/>
    <col min="24" max="24" width="40" customWidth="1"/>
    <col min="25" max="25" width="16" customWidth="1"/>
    <col min="28" max="28" width="49" customWidth="1"/>
    <col min="29" max="29" width="47.5546875" customWidth="1"/>
    <col min="30" max="30" width="18" customWidth="1"/>
  </cols>
  <sheetData>
    <row r="1" spans="3:21" ht="15" customHeight="1"/>
    <row r="2" spans="3:21" ht="9" customHeight="1"/>
    <row r="3" spans="3:21" ht="5.25" customHeight="1">
      <c r="C3" s="1"/>
    </row>
    <row r="4" spans="3:21" ht="5.25" customHeight="1"/>
    <row r="5" spans="3:21" ht="21">
      <c r="C5" s="35" t="str">
        <f>+MENU!C5</f>
        <v>Sociedad:</v>
      </c>
      <c r="D5" s="2254" t="str">
        <f>+MENU!E5</f>
        <v>MARIO PILATO BLAT, S.A.</v>
      </c>
      <c r="E5" s="2255"/>
      <c r="F5" s="2255"/>
      <c r="G5" s="2255"/>
      <c r="L5" s="40"/>
      <c r="O5" s="12"/>
      <c r="R5" s="14"/>
      <c r="S5"/>
    </row>
    <row r="6" spans="3:21" ht="12.75" customHeight="1">
      <c r="R6" s="13"/>
      <c r="S6"/>
    </row>
    <row r="7" spans="3:21" ht="18">
      <c r="C7" s="35" t="str">
        <f>+instrucciones!$C$7</f>
        <v>Fecha de cierre</v>
      </c>
      <c r="D7" s="2261">
        <f>+MENU!D7</f>
        <v>45657</v>
      </c>
      <c r="E7" s="2261"/>
      <c r="F7" s="2261"/>
      <c r="G7" s="2261"/>
      <c r="K7" s="34"/>
      <c r="R7" s="13"/>
      <c r="S7"/>
    </row>
    <row r="8" spans="3:21" ht="15" customHeight="1">
      <c r="C8" s="2"/>
      <c r="F8" s="3"/>
      <c r="G8" s="3"/>
      <c r="H8" s="3"/>
      <c r="I8" s="3"/>
      <c r="J8" s="3"/>
      <c r="K8" s="3"/>
      <c r="L8" s="3"/>
    </row>
    <row r="9" spans="3:21" ht="15" customHeight="1"/>
    <row r="10" spans="3:21" ht="15" customHeight="1"/>
    <row r="11" spans="3:21" ht="14.4">
      <c r="S11"/>
    </row>
    <row r="12" spans="3:21" ht="6" customHeight="1">
      <c r="S12"/>
    </row>
    <row r="13" spans="3:21" ht="18">
      <c r="C13" s="11" t="s">
        <v>647</v>
      </c>
      <c r="S13"/>
    </row>
    <row r="14" spans="3:21" ht="6" customHeight="1">
      <c r="S14"/>
    </row>
    <row r="15" spans="3:21" s="41" customFormat="1" ht="15.6">
      <c r="C15" s="42" t="s">
        <v>648</v>
      </c>
      <c r="D15" s="42" t="s">
        <v>914</v>
      </c>
      <c r="E15" s="42" t="s">
        <v>1484</v>
      </c>
      <c r="F15" s="42" t="s">
        <v>915</v>
      </c>
      <c r="G15" s="42" t="s">
        <v>649</v>
      </c>
      <c r="H15" s="43" t="s">
        <v>650</v>
      </c>
      <c r="I15" s="43" t="s">
        <v>1486</v>
      </c>
      <c r="J15" s="42" t="s">
        <v>651</v>
      </c>
      <c r="K15" s="42" t="s">
        <v>653</v>
      </c>
      <c r="L15" s="42" t="s">
        <v>652</v>
      </c>
      <c r="M15"/>
      <c r="N15"/>
      <c r="O15"/>
      <c r="P15"/>
      <c r="Q15"/>
      <c r="R15"/>
      <c r="S15"/>
      <c r="T15"/>
      <c r="U15"/>
    </row>
    <row r="16" spans="3:21" ht="15.6">
      <c r="C16" s="150" t="s">
        <v>2944</v>
      </c>
      <c r="D16" s="155">
        <v>45560</v>
      </c>
      <c r="E16" s="155"/>
      <c r="F16" s="159"/>
      <c r="G16" s="66">
        <f>719.89+655.23+164.4+149.63+65.26+59.4</f>
        <v>1813.8100000000002</v>
      </c>
      <c r="H16" s="66"/>
      <c r="I16" s="541">
        <v>2100000</v>
      </c>
      <c r="J16" s="69">
        <v>210</v>
      </c>
      <c r="K16" s="70" t="str">
        <f>IF(J16=0,"",+LOOKUP(J16,$P$17:$P$43,$Q$17:$Q$43))</f>
        <v>TERRENOS Y BIENES NATURALES</v>
      </c>
      <c r="L16" s="69" t="str">
        <f>IF(J16="",0,+LOOKUP(J16,$P$17:$P$42,$R$17:$R$42))</f>
        <v>II. Inmovilizado material</v>
      </c>
      <c r="S16"/>
    </row>
    <row r="17" spans="3:20" ht="15.6">
      <c r="C17" s="150" t="s">
        <v>2944</v>
      </c>
      <c r="D17" s="155">
        <v>45560</v>
      </c>
      <c r="E17" s="155"/>
      <c r="F17" s="159"/>
      <c r="G17" s="66">
        <f>2294.72+3768.71+5937.44+509.57+406.29+661.51+341.66+208.04+538.28</f>
        <v>14666.220000000001</v>
      </c>
      <c r="H17" s="66"/>
      <c r="I17" s="541">
        <v>2110000</v>
      </c>
      <c r="J17" s="69">
        <v>211</v>
      </c>
      <c r="K17" s="70" t="str">
        <f t="shared" ref="K17:K80" si="0">IF(J17=0,"",+LOOKUP(J17,$P$17:$P$43,$Q$17:$Q$43))</f>
        <v>CONSTRUCCIONES</v>
      </c>
      <c r="L17" s="69" t="str">
        <f t="shared" ref="L17:L80" si="1">IF(J17="",0,+LOOKUP(J17,$P$17:$P$42,$R$17:$R$42))</f>
        <v>II. Inmovilizado material</v>
      </c>
      <c r="P17" s="163">
        <v>23</v>
      </c>
      <c r="Q17" s="163" t="s">
        <v>1508</v>
      </c>
      <c r="R17" t="s">
        <v>12</v>
      </c>
      <c r="S17"/>
      <c r="T17" t="s">
        <v>5</v>
      </c>
    </row>
    <row r="18" spans="3:20" ht="15.6">
      <c r="C18" s="150" t="s">
        <v>2945</v>
      </c>
      <c r="D18" s="155">
        <v>45321</v>
      </c>
      <c r="E18" s="155"/>
      <c r="F18" s="159"/>
      <c r="G18" s="66">
        <v>22810</v>
      </c>
      <c r="H18" s="66"/>
      <c r="I18" s="541">
        <v>2120000</v>
      </c>
      <c r="J18" s="69">
        <v>212</v>
      </c>
      <c r="K18" s="70" t="str">
        <f t="shared" si="0"/>
        <v>INSTALACIONES TÉCNICAS</v>
      </c>
      <c r="L18" s="69" t="str">
        <f t="shared" si="1"/>
        <v>II. Inmovilizado material</v>
      </c>
      <c r="P18" s="163">
        <f>+SYS_4_3_Digitos!A67</f>
        <v>200</v>
      </c>
      <c r="Q18" s="163" t="str">
        <f>+SYS_4_3_Digitos!B67</f>
        <v xml:space="preserve">INVESTIGACIÓN </v>
      </c>
      <c r="R18" t="s">
        <v>5</v>
      </c>
      <c r="S18"/>
      <c r="T18" t="s">
        <v>12</v>
      </c>
    </row>
    <row r="19" spans="3:20" ht="15.6">
      <c r="C19" s="150" t="s">
        <v>2945</v>
      </c>
      <c r="D19" s="155">
        <v>45350</v>
      </c>
      <c r="E19" s="155"/>
      <c r="F19" s="159"/>
      <c r="G19" s="66">
        <v>532</v>
      </c>
      <c r="H19" s="66"/>
      <c r="I19" s="541">
        <v>2120000</v>
      </c>
      <c r="J19" s="69">
        <v>212</v>
      </c>
      <c r="K19" s="70" t="str">
        <f t="shared" si="0"/>
        <v>INSTALACIONES TÉCNICAS</v>
      </c>
      <c r="L19" s="69" t="str">
        <f t="shared" si="1"/>
        <v>II. Inmovilizado material</v>
      </c>
      <c r="P19" s="163">
        <f>+SYS_4_3_Digitos!A68</f>
        <v>201</v>
      </c>
      <c r="Q19" s="163" t="str">
        <f>+SYS_4_3_Digitos!B68</f>
        <v>DESARROLLO</v>
      </c>
      <c r="R19" t="s">
        <v>5</v>
      </c>
      <c r="S19"/>
      <c r="T19" t="s">
        <v>16</v>
      </c>
    </row>
    <row r="20" spans="3:20" ht="15.6">
      <c r="C20" s="150" t="s">
        <v>2945</v>
      </c>
      <c r="D20" s="155">
        <v>45371</v>
      </c>
      <c r="E20" s="155"/>
      <c r="F20" s="159"/>
      <c r="G20" s="66">
        <v>10150</v>
      </c>
      <c r="H20" s="66"/>
      <c r="I20" s="541">
        <v>2120000</v>
      </c>
      <c r="J20" s="69">
        <v>212</v>
      </c>
      <c r="K20" s="70" t="str">
        <f t="shared" si="0"/>
        <v>INSTALACIONES TÉCNICAS</v>
      </c>
      <c r="L20" s="69" t="str">
        <f t="shared" si="1"/>
        <v>II. Inmovilizado material</v>
      </c>
      <c r="P20" s="163">
        <f>+SYS_4_3_Digitos!A69</f>
        <v>202</v>
      </c>
      <c r="Q20" s="163" t="str">
        <f>+SYS_4_3_Digitos!B69</f>
        <v>CONCESIONES ADMINISTRATIVAS</v>
      </c>
      <c r="R20" t="s">
        <v>5</v>
      </c>
      <c r="S20"/>
    </row>
    <row r="21" spans="3:20" ht="15.6">
      <c r="C21" s="150" t="s">
        <v>2945</v>
      </c>
      <c r="D21" s="155">
        <v>45382</v>
      </c>
      <c r="E21" s="155"/>
      <c r="F21" s="159"/>
      <c r="G21" s="66">
        <v>4370.38</v>
      </c>
      <c r="H21" s="66"/>
      <c r="I21" s="541">
        <v>2120000</v>
      </c>
      <c r="J21" s="69">
        <v>212</v>
      </c>
      <c r="K21" s="70" t="str">
        <f t="shared" si="0"/>
        <v>INSTALACIONES TÉCNICAS</v>
      </c>
      <c r="L21" s="69" t="str">
        <f t="shared" si="1"/>
        <v>II. Inmovilizado material</v>
      </c>
      <c r="P21" s="163">
        <f>+SYS_4_3_Digitos!A70</f>
        <v>203</v>
      </c>
      <c r="Q21" s="163" t="str">
        <f>+SYS_4_3_Digitos!B70</f>
        <v>PROPIEDAD INDUSTRIAL</v>
      </c>
      <c r="R21" t="s">
        <v>5</v>
      </c>
      <c r="S21"/>
    </row>
    <row r="22" spans="3:20" ht="15.6">
      <c r="C22" s="150" t="s">
        <v>2944</v>
      </c>
      <c r="D22" s="155">
        <v>45412</v>
      </c>
      <c r="E22" s="155"/>
      <c r="F22" s="159"/>
      <c r="G22" s="66">
        <f>13564.02+13564.02+13564.02+2235.96+5001.9+5001.9+5001.9</f>
        <v>57933.72</v>
      </c>
      <c r="H22" s="66"/>
      <c r="I22" s="541">
        <v>2120000</v>
      </c>
      <c r="J22" s="69">
        <v>212</v>
      </c>
      <c r="K22" s="70" t="str">
        <f t="shared" si="0"/>
        <v>INSTALACIONES TÉCNICAS</v>
      </c>
      <c r="L22" s="69" t="str">
        <f t="shared" si="1"/>
        <v>II. Inmovilizado material</v>
      </c>
      <c r="P22" s="163">
        <f>+SYS_4_3_Digitos!A71</f>
        <v>204</v>
      </c>
      <c r="Q22" s="163" t="str">
        <f>+SYS_4_3_Digitos!B71</f>
        <v>FONDO DE COMERCIO</v>
      </c>
      <c r="R22" t="s">
        <v>5</v>
      </c>
      <c r="S22"/>
    </row>
    <row r="23" spans="3:20" ht="15.6">
      <c r="C23" s="150" t="s">
        <v>2944</v>
      </c>
      <c r="D23" s="155">
        <v>45443</v>
      </c>
      <c r="E23" s="155"/>
      <c r="F23" s="159"/>
      <c r="G23" s="66">
        <f>873.6+873.6+873.6+4748.59</f>
        <v>7369.39</v>
      </c>
      <c r="H23" s="66"/>
      <c r="I23" s="541">
        <v>2120000</v>
      </c>
      <c r="J23" s="69">
        <v>212</v>
      </c>
      <c r="K23" s="70" t="str">
        <f t="shared" si="0"/>
        <v>INSTALACIONES TÉCNICAS</v>
      </c>
      <c r="L23" s="69" t="str">
        <f t="shared" si="1"/>
        <v>II. Inmovilizado material</v>
      </c>
      <c r="P23" s="163">
        <f>+SYS_4_3_Digitos!A72</f>
        <v>205</v>
      </c>
      <c r="Q23" s="163" t="str">
        <f>+SYS_4_3_Digitos!B72</f>
        <v>DERECHOS DE TRASPASO</v>
      </c>
      <c r="R23" t="s">
        <v>5</v>
      </c>
      <c r="S23"/>
    </row>
    <row r="24" spans="3:20" ht="15.6">
      <c r="C24" s="150" t="s">
        <v>2944</v>
      </c>
      <c r="D24" s="155">
        <v>45461</v>
      </c>
      <c r="E24" s="155"/>
      <c r="F24" s="159"/>
      <c r="G24" s="66">
        <f>310.52+310.52+310.52+81.2</f>
        <v>1012.76</v>
      </c>
      <c r="H24" s="66"/>
      <c r="I24" s="541">
        <v>2120000</v>
      </c>
      <c r="J24" s="69">
        <v>212</v>
      </c>
      <c r="K24" s="70" t="str">
        <f t="shared" si="0"/>
        <v>INSTALACIONES TÉCNICAS</v>
      </c>
      <c r="L24" s="69" t="str">
        <f t="shared" si="1"/>
        <v>II. Inmovilizado material</v>
      </c>
      <c r="P24" s="163">
        <f>+SYS_4_3_Digitos!A73</f>
        <v>206</v>
      </c>
      <c r="Q24" s="163" t="str">
        <f>+SYS_4_3_Digitos!B73</f>
        <v>APLICACIONES INFORMÁTICAS</v>
      </c>
      <c r="R24" t="s">
        <v>5</v>
      </c>
      <c r="S24"/>
    </row>
    <row r="25" spans="3:20" ht="15.6">
      <c r="C25" s="150" t="s">
        <v>2944</v>
      </c>
      <c r="D25" s="155">
        <v>45473</v>
      </c>
      <c r="E25" s="155"/>
      <c r="F25" s="159"/>
      <c r="G25" s="66">
        <f>2727.2+2727.2+2727.2+116.2+1104.11+1104.11+1104.11+271.25+4674.46+4674.46+4674.46</f>
        <v>25904.76</v>
      </c>
      <c r="H25" s="66"/>
      <c r="I25" s="541">
        <v>2120000</v>
      </c>
      <c r="J25" s="69">
        <v>212</v>
      </c>
      <c r="K25" s="70" t="str">
        <f t="shared" si="0"/>
        <v>INSTALACIONES TÉCNICAS</v>
      </c>
      <c r="L25" s="69" t="str">
        <f t="shared" si="1"/>
        <v>II. Inmovilizado material</v>
      </c>
      <c r="P25" s="163">
        <f>+SYS_4_3_Digitos!A74</f>
        <v>209</v>
      </c>
      <c r="Q25" s="163" t="str">
        <f>+SYS_4_3_Digitos!B74</f>
        <v>ANTICIPOS PARA INMOVILIZACIONES INTANGIBLES</v>
      </c>
      <c r="R25" t="s">
        <v>5</v>
      </c>
      <c r="S25"/>
    </row>
    <row r="26" spans="3:20" ht="15.6">
      <c r="C26" s="150" t="s">
        <v>2944</v>
      </c>
      <c r="D26" s="155">
        <v>45483</v>
      </c>
      <c r="E26" s="155"/>
      <c r="F26" s="159"/>
      <c r="G26" s="66">
        <f>8536.5+8536.5+8536.5</f>
        <v>25609.5</v>
      </c>
      <c r="H26" s="66"/>
      <c r="I26" s="541">
        <v>2120000</v>
      </c>
      <c r="J26" s="69">
        <v>212</v>
      </c>
      <c r="K26" s="70" t="str">
        <f t="shared" si="0"/>
        <v>INSTALACIONES TÉCNICAS</v>
      </c>
      <c r="L26" s="69" t="str">
        <f t="shared" si="1"/>
        <v>II. Inmovilizado material</v>
      </c>
      <c r="P26" s="163">
        <f>+SYS_4_3_Digitos!A75</f>
        <v>210</v>
      </c>
      <c r="Q26" s="163" t="str">
        <f>+SYS_4_3_Digitos!B75</f>
        <v>TERRENOS Y BIENES NATURALES</v>
      </c>
      <c r="R26" t="s">
        <v>12</v>
      </c>
      <c r="S26"/>
    </row>
    <row r="27" spans="3:20" ht="15.6">
      <c r="C27" s="150" t="s">
        <v>2944</v>
      </c>
      <c r="D27" s="155">
        <v>45497</v>
      </c>
      <c r="E27" s="155"/>
      <c r="F27" s="159"/>
      <c r="G27" s="66">
        <f>15967+15967+15967+194.18+194.18+194.18</f>
        <v>48483.54</v>
      </c>
      <c r="H27" s="66"/>
      <c r="I27" s="541">
        <v>2120000</v>
      </c>
      <c r="J27" s="69">
        <v>212</v>
      </c>
      <c r="K27" s="70" t="str">
        <f t="shared" si="0"/>
        <v>INSTALACIONES TÉCNICAS</v>
      </c>
      <c r="L27" s="69" t="str">
        <f t="shared" si="1"/>
        <v>II. Inmovilizado material</v>
      </c>
      <c r="P27" s="163">
        <f>+SYS_4_3_Digitos!A76</f>
        <v>211</v>
      </c>
      <c r="Q27" s="163" t="str">
        <f>+SYS_4_3_Digitos!B76</f>
        <v>CONSTRUCCIONES</v>
      </c>
      <c r="R27" t="s">
        <v>12</v>
      </c>
      <c r="S27"/>
    </row>
    <row r="28" spans="3:20" ht="15.6">
      <c r="C28" s="150" t="s">
        <v>2944</v>
      </c>
      <c r="D28" s="155">
        <v>45502</v>
      </c>
      <c r="E28" s="155"/>
      <c r="F28" s="159"/>
      <c r="G28" s="66">
        <f>408.31+408.31+408.31+1415.19+1415.19+1415.19</f>
        <v>5470.5</v>
      </c>
      <c r="H28" s="66"/>
      <c r="I28" s="541">
        <v>2120000</v>
      </c>
      <c r="J28" s="69">
        <v>212</v>
      </c>
      <c r="K28" s="70" t="str">
        <f t="shared" si="0"/>
        <v>INSTALACIONES TÉCNICAS</v>
      </c>
      <c r="L28" s="69" t="str">
        <f t="shared" si="1"/>
        <v>II. Inmovilizado material</v>
      </c>
      <c r="P28" s="163">
        <f>+SYS_4_3_Digitos!A77</f>
        <v>212</v>
      </c>
      <c r="Q28" s="163" t="str">
        <f>+SYS_4_3_Digitos!B77</f>
        <v>INSTALACIONES TÉCNICAS</v>
      </c>
      <c r="R28" t="s">
        <v>12</v>
      </c>
      <c r="S28"/>
    </row>
    <row r="29" spans="3:20" ht="15.6">
      <c r="C29" s="150" t="s">
        <v>2944</v>
      </c>
      <c r="D29" s="155">
        <v>45534</v>
      </c>
      <c r="E29" s="155"/>
      <c r="F29" s="159"/>
      <c r="G29" s="66">
        <f>294+294+294+3874.99+220.01+220.01+220.01-1660.71-1660.71</f>
        <v>2095.6000000000004</v>
      </c>
      <c r="H29" s="66"/>
      <c r="I29" s="541">
        <v>2120000</v>
      </c>
      <c r="J29" s="69">
        <v>212</v>
      </c>
      <c r="K29" s="70" t="str">
        <f t="shared" si="0"/>
        <v>INSTALACIONES TÉCNICAS</v>
      </c>
      <c r="L29" s="69" t="str">
        <f t="shared" si="1"/>
        <v>II. Inmovilizado material</v>
      </c>
      <c r="P29" s="163">
        <f>+SYS_4_3_Digitos!A78</f>
        <v>213</v>
      </c>
      <c r="Q29" s="163" t="str">
        <f>+SYS_4_3_Digitos!B78</f>
        <v>MAQUINARIA</v>
      </c>
      <c r="R29" t="s">
        <v>12</v>
      </c>
      <c r="S29"/>
    </row>
    <row r="30" spans="3:20" ht="15.6">
      <c r="C30" s="150" t="s">
        <v>2944</v>
      </c>
      <c r="D30" s="155">
        <v>45560</v>
      </c>
      <c r="E30" s="155"/>
      <c r="F30" s="159"/>
      <c r="G30" s="66">
        <f>1108.33+1108.33+1108.34</f>
        <v>3325</v>
      </c>
      <c r="H30" s="66"/>
      <c r="I30" s="541">
        <v>2120000</v>
      </c>
      <c r="J30" s="69">
        <v>212</v>
      </c>
      <c r="K30" s="70" t="str">
        <f t="shared" si="0"/>
        <v>INSTALACIONES TÉCNICAS</v>
      </c>
      <c r="L30" s="69" t="str">
        <f t="shared" si="1"/>
        <v>II. Inmovilizado material</v>
      </c>
      <c r="P30" s="163">
        <f>+SYS_4_3_Digitos!A79</f>
        <v>214</v>
      </c>
      <c r="Q30" s="163" t="str">
        <f>+SYS_4_3_Digitos!B79</f>
        <v>UTILLAJE</v>
      </c>
      <c r="R30" t="s">
        <v>12</v>
      </c>
      <c r="S30"/>
    </row>
    <row r="31" spans="3:20" ht="15.6">
      <c r="C31" s="150" t="s">
        <v>2944</v>
      </c>
      <c r="D31" s="155">
        <v>45565</v>
      </c>
      <c r="E31" s="155"/>
      <c r="F31" s="159"/>
      <c r="G31" s="66">
        <f>3334.6+3334.6+3334.6</f>
        <v>10003.799999999999</v>
      </c>
      <c r="H31" s="66"/>
      <c r="I31" s="541">
        <v>2120000</v>
      </c>
      <c r="J31" s="69">
        <v>212</v>
      </c>
      <c r="K31" s="70" t="str">
        <f t="shared" si="0"/>
        <v>INSTALACIONES TÉCNICAS</v>
      </c>
      <c r="L31" s="69" t="str">
        <f t="shared" si="1"/>
        <v>II. Inmovilizado material</v>
      </c>
      <c r="P31" s="163">
        <f>+SYS_4_3_Digitos!A80</f>
        <v>215</v>
      </c>
      <c r="Q31" s="163" t="str">
        <f>+SYS_4_3_Digitos!B80</f>
        <v>OTRAS INSTALACIONES</v>
      </c>
      <c r="R31" t="s">
        <v>12</v>
      </c>
      <c r="S31"/>
    </row>
    <row r="32" spans="3:20" ht="15.6">
      <c r="C32" s="150" t="s">
        <v>2944</v>
      </c>
      <c r="D32" s="155">
        <v>45596</v>
      </c>
      <c r="E32" s="155"/>
      <c r="F32" s="159"/>
      <c r="G32" s="66">
        <f>12120.71+6060.35</f>
        <v>18181.059999999998</v>
      </c>
      <c r="H32" s="72"/>
      <c r="I32" s="541">
        <v>2120000</v>
      </c>
      <c r="J32" s="69">
        <v>212</v>
      </c>
      <c r="K32" s="70" t="str">
        <f t="shared" si="0"/>
        <v>INSTALACIONES TÉCNICAS</v>
      </c>
      <c r="L32" s="69" t="str">
        <f t="shared" si="1"/>
        <v>II. Inmovilizado material</v>
      </c>
      <c r="P32" s="163">
        <f>+SYS_4_3_Digitos!A81</f>
        <v>216</v>
      </c>
      <c r="Q32" s="163" t="str">
        <f>+SYS_4_3_Digitos!B81</f>
        <v>MOBILIARIO</v>
      </c>
      <c r="R32" t="s">
        <v>12</v>
      </c>
      <c r="S32"/>
    </row>
    <row r="33" spans="3:19" ht="15.6">
      <c r="C33" s="150" t="s">
        <v>2945</v>
      </c>
      <c r="D33" s="155">
        <v>45625</v>
      </c>
      <c r="E33" s="155"/>
      <c r="F33" s="159"/>
      <c r="G33" s="66">
        <v>23015.55</v>
      </c>
      <c r="H33" s="72"/>
      <c r="I33" s="541">
        <v>2120000</v>
      </c>
      <c r="J33" s="69">
        <v>212</v>
      </c>
      <c r="K33" s="70" t="str">
        <f>IF(J33=0,"",+LOOKUP(J33,$P$17:$P$43,$Q$17:$Q$43))</f>
        <v>INSTALACIONES TÉCNICAS</v>
      </c>
      <c r="L33" s="69" t="str">
        <f t="shared" si="1"/>
        <v>II. Inmovilizado material</v>
      </c>
      <c r="P33" s="163">
        <f>+SYS_4_3_Digitos!A82</f>
        <v>217</v>
      </c>
      <c r="Q33" s="163" t="str">
        <f>+SYS_4_3_Digitos!B82</f>
        <v>EQUIPOS PARA PROCESOS DE INFORMACIÓN</v>
      </c>
      <c r="R33" t="s">
        <v>12</v>
      </c>
      <c r="S33"/>
    </row>
    <row r="34" spans="3:19" ht="15.6">
      <c r="C34" s="150" t="s">
        <v>2945</v>
      </c>
      <c r="D34" s="155">
        <v>45626</v>
      </c>
      <c r="E34" s="155"/>
      <c r="F34" s="159"/>
      <c r="G34" s="66">
        <v>6214</v>
      </c>
      <c r="H34" s="72"/>
      <c r="I34" s="541">
        <v>2120000</v>
      </c>
      <c r="J34" s="69">
        <v>212</v>
      </c>
      <c r="K34" s="70" t="str">
        <f t="shared" si="0"/>
        <v>INSTALACIONES TÉCNICAS</v>
      </c>
      <c r="L34" s="69" t="str">
        <f t="shared" si="1"/>
        <v>II. Inmovilizado material</v>
      </c>
      <c r="P34" s="163">
        <f>+SYS_4_3_Digitos!A83</f>
        <v>218</v>
      </c>
      <c r="Q34" s="163" t="str">
        <f>+SYS_4_3_Digitos!B83</f>
        <v>ELEMENTOS DE TRANSPORTE</v>
      </c>
      <c r="R34" t="s">
        <v>12</v>
      </c>
      <c r="S34"/>
    </row>
    <row r="35" spans="3:19" ht="15.6">
      <c r="C35" s="150" t="s">
        <v>2944</v>
      </c>
      <c r="D35" s="155">
        <v>45657</v>
      </c>
      <c r="E35" s="155"/>
      <c r="F35" s="159"/>
      <c r="G35" s="66">
        <f>1215.55+2827.3</f>
        <v>4042.8500000000004</v>
      </c>
      <c r="H35" s="72"/>
      <c r="I35" s="541">
        <v>2120000</v>
      </c>
      <c r="J35" s="69">
        <v>212</v>
      </c>
      <c r="K35" s="70" t="str">
        <f t="shared" si="0"/>
        <v>INSTALACIONES TÉCNICAS</v>
      </c>
      <c r="L35" s="69" t="str">
        <f t="shared" si="1"/>
        <v>II. Inmovilizado material</v>
      </c>
      <c r="P35" s="163">
        <f>+SYS_4_3_Digitos!A84</f>
        <v>219</v>
      </c>
      <c r="Q35" s="163" t="str">
        <f>+SYS_4_3_Digitos!B84</f>
        <v>OTRO INMOvILIZADO MATERIAL</v>
      </c>
      <c r="R35" t="s">
        <v>12</v>
      </c>
      <c r="S35"/>
    </row>
    <row r="36" spans="3:19" ht="15.6">
      <c r="C36" s="150" t="s">
        <v>2944</v>
      </c>
      <c r="D36" s="155">
        <v>45504</v>
      </c>
      <c r="E36" s="155"/>
      <c r="F36" s="159"/>
      <c r="G36" s="66">
        <f>24250+23600</f>
        <v>47850</v>
      </c>
      <c r="H36" s="72"/>
      <c r="I36" s="542">
        <v>2130000</v>
      </c>
      <c r="J36" s="69">
        <v>213</v>
      </c>
      <c r="K36" s="70" t="str">
        <f t="shared" si="0"/>
        <v>MAQUINARIA</v>
      </c>
      <c r="L36" s="69" t="str">
        <f t="shared" si="1"/>
        <v>II. Inmovilizado material</v>
      </c>
      <c r="P36" s="163">
        <v>220</v>
      </c>
      <c r="Q36" s="163" t="s">
        <v>358</v>
      </c>
      <c r="R36" t="s">
        <v>16</v>
      </c>
      <c r="S36"/>
    </row>
    <row r="37" spans="3:19" ht="15.6">
      <c r="C37" s="150" t="s">
        <v>2946</v>
      </c>
      <c r="D37" s="155">
        <v>45565</v>
      </c>
      <c r="E37" s="155"/>
      <c r="F37" s="159"/>
      <c r="G37" s="66">
        <v>21800</v>
      </c>
      <c r="H37" s="72"/>
      <c r="I37" s="542">
        <v>2130000</v>
      </c>
      <c r="J37" s="69">
        <v>213</v>
      </c>
      <c r="K37" s="70" t="str">
        <f t="shared" si="0"/>
        <v>MAQUINARIA</v>
      </c>
      <c r="L37" s="69" t="str">
        <f t="shared" si="1"/>
        <v>II. Inmovilizado material</v>
      </c>
      <c r="P37" s="163">
        <v>221</v>
      </c>
      <c r="Q37" s="163" t="s">
        <v>359</v>
      </c>
      <c r="R37" t="s">
        <v>16</v>
      </c>
      <c r="S37"/>
    </row>
    <row r="38" spans="3:19" ht="15.6">
      <c r="C38" s="150" t="s">
        <v>2946</v>
      </c>
      <c r="D38" s="155" t="s">
        <v>2947</v>
      </c>
      <c r="E38" s="155"/>
      <c r="F38" s="159" t="s">
        <v>2949</v>
      </c>
      <c r="G38" s="66">
        <v>11000</v>
      </c>
      <c r="H38" s="72"/>
      <c r="I38" s="542">
        <v>2130000</v>
      </c>
      <c r="J38" s="69"/>
      <c r="K38" s="70" t="str">
        <f t="shared" si="0"/>
        <v/>
      </c>
      <c r="L38" s="69">
        <f t="shared" si="1"/>
        <v>0</v>
      </c>
      <c r="P38" s="163"/>
      <c r="Q38" s="163"/>
      <c r="S38"/>
    </row>
    <row r="39" spans="3:19" ht="15.6">
      <c r="C39" s="150" t="s">
        <v>2946</v>
      </c>
      <c r="D39" s="155">
        <v>45657</v>
      </c>
      <c r="E39" s="155"/>
      <c r="F39" s="159" t="s">
        <v>2949</v>
      </c>
      <c r="G39" s="66">
        <v>99000</v>
      </c>
      <c r="H39" s="72"/>
      <c r="I39" s="542">
        <v>2130000</v>
      </c>
      <c r="J39" s="69"/>
      <c r="K39" s="70" t="str">
        <f t="shared" si="0"/>
        <v/>
      </c>
      <c r="L39" s="69">
        <f t="shared" si="1"/>
        <v>0</v>
      </c>
      <c r="P39" s="163"/>
      <c r="Q39" s="163"/>
      <c r="S39"/>
    </row>
    <row r="40" spans="3:19" ht="15.6">
      <c r="C40" s="150" t="s">
        <v>2945</v>
      </c>
      <c r="D40" s="155">
        <v>45405</v>
      </c>
      <c r="E40" s="155"/>
      <c r="F40" s="159"/>
      <c r="G40" s="66">
        <v>14332.37</v>
      </c>
      <c r="H40" s="72"/>
      <c r="I40" s="542">
        <v>2150000</v>
      </c>
      <c r="J40" s="69">
        <v>215</v>
      </c>
      <c r="K40" s="70" t="str">
        <f t="shared" si="0"/>
        <v>OTRAS INSTALACIONES</v>
      </c>
      <c r="L40" s="69" t="str">
        <f t="shared" si="1"/>
        <v>II. Inmovilizado material</v>
      </c>
      <c r="P40" s="163"/>
      <c r="Q40" s="163"/>
      <c r="S40"/>
    </row>
    <row r="41" spans="3:19" ht="15.6">
      <c r="C41" s="72"/>
      <c r="D41" s="156"/>
      <c r="E41" s="156"/>
      <c r="F41" s="160"/>
      <c r="G41" s="66"/>
      <c r="H41" s="72"/>
      <c r="I41" s="542"/>
      <c r="J41" s="69"/>
      <c r="K41" s="70" t="str">
        <f t="shared" si="0"/>
        <v/>
      </c>
      <c r="L41" s="69">
        <f t="shared" si="1"/>
        <v>0</v>
      </c>
      <c r="P41" s="163"/>
      <c r="Q41" s="163"/>
      <c r="S41"/>
    </row>
    <row r="42" spans="3:19" ht="15.6" outlineLevel="1">
      <c r="C42" s="150" t="s">
        <v>2944</v>
      </c>
      <c r="D42" s="155">
        <v>45382</v>
      </c>
      <c r="E42" s="155"/>
      <c r="F42" s="159"/>
      <c r="G42" s="66">
        <f>264+504+2984+1212+893+9480+7360</f>
        <v>22697</v>
      </c>
      <c r="H42" s="72"/>
      <c r="I42" s="542">
        <v>2160000</v>
      </c>
      <c r="J42" s="69">
        <v>216</v>
      </c>
      <c r="K42" s="70" t="str">
        <f t="shared" si="0"/>
        <v>MOBILIARIO</v>
      </c>
      <c r="L42" s="69" t="str">
        <f t="shared" si="1"/>
        <v>II. Inmovilizado material</v>
      </c>
      <c r="P42" s="163"/>
      <c r="Q42" s="163"/>
      <c r="S42"/>
    </row>
    <row r="43" spans="3:19" ht="15.6" outlineLevel="1">
      <c r="C43" s="150" t="s">
        <v>2944</v>
      </c>
      <c r="D43" s="155">
        <v>45623</v>
      </c>
      <c r="E43" s="155"/>
      <c r="F43" s="159"/>
      <c r="G43" s="66">
        <f>101353.6+101353.6+101353.6+101353.6+50676.8+50676.8+7917.37+7917.37+7917.37+7917.37+3958.69+3958.69+2250.46+2250.46+2250.46+2250.46+1125.23+1125.23</f>
        <v>557607.15999999968</v>
      </c>
      <c r="H43" s="72"/>
      <c r="I43" s="542">
        <v>2200000</v>
      </c>
      <c r="J43" s="69">
        <v>220</v>
      </c>
      <c r="K43" s="70" t="str">
        <f t="shared" si="0"/>
        <v>INVERSIONES EN TERRENOS Y BIENES NATURALES</v>
      </c>
      <c r="L43" s="69" t="str">
        <f t="shared" si="1"/>
        <v>III. Inversiones inmobiliarias</v>
      </c>
      <c r="P43" s="163"/>
      <c r="Q43" s="163"/>
      <c r="S43"/>
    </row>
    <row r="44" spans="3:19" ht="15.6" outlineLevel="1">
      <c r="C44" s="150" t="s">
        <v>2944</v>
      </c>
      <c r="D44" s="155">
        <v>45657</v>
      </c>
      <c r="E44" s="155"/>
      <c r="F44" s="159"/>
      <c r="G44" s="66">
        <f>203.84+96.03+345.86+50676.8+15.92+7.5+27.02+3958.69+4.53+2.13+7.68+1125.23</f>
        <v>56471.23</v>
      </c>
      <c r="H44" s="72"/>
      <c r="I44" s="542">
        <v>2200000</v>
      </c>
      <c r="J44" s="69">
        <v>220</v>
      </c>
      <c r="K44" s="70" t="str">
        <f t="shared" si="0"/>
        <v>INVERSIONES EN TERRENOS Y BIENES NATURALES</v>
      </c>
      <c r="L44" s="69" t="str">
        <f t="shared" si="1"/>
        <v>III. Inversiones inmobiliarias</v>
      </c>
      <c r="P44" s="163"/>
      <c r="Q44" s="163"/>
      <c r="S44"/>
    </row>
    <row r="45" spans="3:19" ht="15.6" outlineLevel="1">
      <c r="C45" s="150" t="s">
        <v>2948</v>
      </c>
      <c r="D45" s="155">
        <v>45322</v>
      </c>
      <c r="E45" s="155"/>
      <c r="F45" s="159"/>
      <c r="G45" s="66">
        <v>47900.94</v>
      </c>
      <c r="H45" s="72"/>
      <c r="I45" s="542">
        <v>2210000</v>
      </c>
      <c r="J45" s="69">
        <v>221</v>
      </c>
      <c r="K45" s="70" t="str">
        <f t="shared" si="0"/>
        <v>INVERSIONES EN CONSTRUCCIONES</v>
      </c>
      <c r="L45" s="69" t="str">
        <f t="shared" si="1"/>
        <v>III. Inversiones inmobiliarias</v>
      </c>
      <c r="P45" s="163"/>
      <c r="Q45" s="163"/>
      <c r="S45"/>
    </row>
    <row r="46" spans="3:19" ht="15.6" outlineLevel="1">
      <c r="C46" s="150" t="s">
        <v>2948</v>
      </c>
      <c r="D46" s="155">
        <v>45350</v>
      </c>
      <c r="E46" s="155"/>
      <c r="F46" s="159"/>
      <c r="G46" s="66">
        <v>3516.31</v>
      </c>
      <c r="H46" s="72"/>
      <c r="I46" s="542">
        <v>2210000</v>
      </c>
      <c r="J46" s="69">
        <v>221</v>
      </c>
      <c r="K46" s="70" t="str">
        <f t="shared" si="0"/>
        <v>INVERSIONES EN CONSTRUCCIONES</v>
      </c>
      <c r="L46" s="69" t="str">
        <f t="shared" si="1"/>
        <v>III. Inversiones inmobiliarias</v>
      </c>
      <c r="P46" s="163"/>
      <c r="Q46" s="163"/>
      <c r="S46"/>
    </row>
    <row r="47" spans="3:19" ht="15.6" outlineLevel="1">
      <c r="C47" s="150" t="s">
        <v>2948</v>
      </c>
      <c r="D47" s="155">
        <v>45351</v>
      </c>
      <c r="E47" s="155"/>
      <c r="F47" s="159"/>
      <c r="G47" s="66">
        <f>3516.31+253427.54</f>
        <v>256943.85</v>
      </c>
      <c r="H47" s="72"/>
      <c r="I47" s="542">
        <v>2210000</v>
      </c>
      <c r="J47" s="69">
        <v>221</v>
      </c>
      <c r="K47" s="70" t="str">
        <f t="shared" si="0"/>
        <v>INVERSIONES EN CONSTRUCCIONES</v>
      </c>
      <c r="L47" s="69" t="str">
        <f t="shared" si="1"/>
        <v>III. Inversiones inmobiliarias</v>
      </c>
      <c r="P47" s="163"/>
      <c r="Q47" s="163"/>
      <c r="S47"/>
    </row>
    <row r="48" spans="3:19" ht="15.6" outlineLevel="1">
      <c r="C48" s="150" t="s">
        <v>2948</v>
      </c>
      <c r="D48" s="155">
        <v>45382</v>
      </c>
      <c r="E48" s="155"/>
      <c r="F48" s="159"/>
      <c r="G48" s="66">
        <v>3516.31</v>
      </c>
      <c r="H48" s="72"/>
      <c r="I48" s="542">
        <v>2210000</v>
      </c>
      <c r="J48" s="69">
        <v>221</v>
      </c>
      <c r="K48" s="70" t="str">
        <f t="shared" si="0"/>
        <v>INVERSIONES EN CONSTRUCCIONES</v>
      </c>
      <c r="L48" s="69" t="str">
        <f t="shared" si="1"/>
        <v>III. Inversiones inmobiliarias</v>
      </c>
      <c r="P48" s="163"/>
      <c r="Q48" s="163"/>
      <c r="S48"/>
    </row>
    <row r="49" spans="3:19" ht="15.6" outlineLevel="1">
      <c r="C49" s="150" t="s">
        <v>2948</v>
      </c>
      <c r="D49" s="155">
        <v>45405</v>
      </c>
      <c r="E49" s="155"/>
      <c r="F49" s="159"/>
      <c r="G49" s="66">
        <v>158588.26999999999</v>
      </c>
      <c r="H49" s="72"/>
      <c r="I49" s="542">
        <v>2210000</v>
      </c>
      <c r="J49" s="69">
        <v>221</v>
      </c>
      <c r="K49" s="70" t="str">
        <f t="shared" si="0"/>
        <v>INVERSIONES EN CONSTRUCCIONES</v>
      </c>
      <c r="L49" s="69" t="str">
        <f t="shared" si="1"/>
        <v>III. Inversiones inmobiliarias</v>
      </c>
      <c r="P49" s="163"/>
      <c r="Q49" s="163"/>
      <c r="S49"/>
    </row>
    <row r="50" spans="3:19" ht="15.6" outlineLevel="1">
      <c r="C50" s="150" t="s">
        <v>2948</v>
      </c>
      <c r="D50" s="155">
        <v>45412</v>
      </c>
      <c r="E50" s="155"/>
      <c r="F50" s="159"/>
      <c r="G50" s="66">
        <f>197208.86+3516.31</f>
        <v>200725.16999999998</v>
      </c>
      <c r="H50" s="72"/>
      <c r="I50" s="542">
        <v>2210000</v>
      </c>
      <c r="J50" s="69">
        <v>221</v>
      </c>
      <c r="K50" s="70" t="str">
        <f t="shared" si="0"/>
        <v>INVERSIONES EN CONSTRUCCIONES</v>
      </c>
      <c r="L50" s="69" t="str">
        <f t="shared" si="1"/>
        <v>III. Inversiones inmobiliarias</v>
      </c>
      <c r="P50" s="163"/>
      <c r="Q50" s="163"/>
      <c r="S50"/>
    </row>
    <row r="51" spans="3:19" ht="15.6" outlineLevel="1">
      <c r="C51" s="150" t="s">
        <v>2948</v>
      </c>
      <c r="D51" s="155">
        <v>45443</v>
      </c>
      <c r="E51" s="155"/>
      <c r="F51" s="159"/>
      <c r="G51" s="66">
        <v>3516.31</v>
      </c>
      <c r="H51" s="72"/>
      <c r="I51" s="542">
        <v>2210000</v>
      </c>
      <c r="J51" s="69">
        <v>221</v>
      </c>
      <c r="K51" s="70" t="str">
        <f t="shared" si="0"/>
        <v>INVERSIONES EN CONSTRUCCIONES</v>
      </c>
      <c r="L51" s="69" t="str">
        <f t="shared" si="1"/>
        <v>III. Inversiones inmobiliarias</v>
      </c>
      <c r="P51" s="163"/>
      <c r="Q51" s="163"/>
      <c r="S51"/>
    </row>
    <row r="52" spans="3:19" ht="15.6" outlineLevel="1">
      <c r="C52" s="150" t="s">
        <v>2948</v>
      </c>
      <c r="D52" s="155">
        <v>45455</v>
      </c>
      <c r="E52" s="155"/>
      <c r="F52" s="159"/>
      <c r="G52" s="66">
        <v>578242.84</v>
      </c>
      <c r="H52" s="72"/>
      <c r="I52" s="542">
        <v>2210000</v>
      </c>
      <c r="J52" s="69">
        <v>221</v>
      </c>
      <c r="K52" s="70" t="str">
        <f t="shared" si="0"/>
        <v>INVERSIONES EN CONSTRUCCIONES</v>
      </c>
      <c r="L52" s="69" t="str">
        <f t="shared" si="1"/>
        <v>III. Inversiones inmobiliarias</v>
      </c>
      <c r="P52" s="163"/>
      <c r="Q52" s="163"/>
      <c r="S52"/>
    </row>
    <row r="53" spans="3:19" ht="15.6" outlineLevel="1">
      <c r="C53" s="150" t="s">
        <v>2948</v>
      </c>
      <c r="D53" s="155">
        <v>45473</v>
      </c>
      <c r="E53" s="155"/>
      <c r="F53" s="159"/>
      <c r="G53" s="66">
        <v>3516.31</v>
      </c>
      <c r="H53" s="72"/>
      <c r="I53" s="542">
        <v>2210000</v>
      </c>
      <c r="J53" s="69">
        <v>221</v>
      </c>
      <c r="K53" s="70" t="str">
        <f t="shared" si="0"/>
        <v>INVERSIONES EN CONSTRUCCIONES</v>
      </c>
      <c r="L53" s="69" t="str">
        <f t="shared" si="1"/>
        <v>III. Inversiones inmobiliarias</v>
      </c>
      <c r="P53" s="163"/>
      <c r="Q53" s="163"/>
      <c r="S53"/>
    </row>
    <row r="54" spans="3:19" ht="15.6" outlineLevel="1">
      <c r="C54" s="150" t="s">
        <v>2948</v>
      </c>
      <c r="D54" s="155">
        <v>45504</v>
      </c>
      <c r="E54" s="155"/>
      <c r="F54" s="159"/>
      <c r="G54" s="66">
        <f>442617.26+3516.31</f>
        <v>446133.57</v>
      </c>
      <c r="H54" s="72"/>
      <c r="I54" s="542">
        <v>2210000</v>
      </c>
      <c r="J54" s="69">
        <v>221</v>
      </c>
      <c r="K54" s="70" t="str">
        <f t="shared" si="0"/>
        <v>INVERSIONES EN CONSTRUCCIONES</v>
      </c>
      <c r="L54" s="69" t="str">
        <f t="shared" si="1"/>
        <v>III. Inversiones inmobiliarias</v>
      </c>
      <c r="P54" s="163"/>
      <c r="Q54" s="163"/>
      <c r="S54"/>
    </row>
    <row r="55" spans="3:19" ht="15.6" outlineLevel="1">
      <c r="C55" s="150" t="s">
        <v>2948</v>
      </c>
      <c r="D55" s="155">
        <v>45530</v>
      </c>
      <c r="E55" s="155"/>
      <c r="F55" s="159"/>
      <c r="G55" s="66">
        <v>403457.26</v>
      </c>
      <c r="H55" s="72"/>
      <c r="I55" s="542">
        <v>2210000</v>
      </c>
      <c r="J55" s="69">
        <v>221</v>
      </c>
      <c r="K55" s="70" t="str">
        <f t="shared" si="0"/>
        <v>INVERSIONES EN CONSTRUCCIONES</v>
      </c>
      <c r="L55" s="69" t="str">
        <f t="shared" si="1"/>
        <v>III. Inversiones inmobiliarias</v>
      </c>
      <c r="P55" s="163"/>
      <c r="Q55" s="163"/>
      <c r="S55"/>
    </row>
    <row r="56" spans="3:19" ht="15.6" outlineLevel="1">
      <c r="C56" s="150" t="s">
        <v>2948</v>
      </c>
      <c r="D56" s="155">
        <v>45535</v>
      </c>
      <c r="E56" s="155"/>
      <c r="F56" s="159"/>
      <c r="G56" s="66">
        <v>3516.31</v>
      </c>
      <c r="H56" s="72"/>
      <c r="I56" s="542">
        <v>2210000</v>
      </c>
      <c r="J56" s="69">
        <v>221</v>
      </c>
      <c r="K56" s="70" t="str">
        <f t="shared" si="0"/>
        <v>INVERSIONES EN CONSTRUCCIONES</v>
      </c>
      <c r="L56" s="69" t="str">
        <f t="shared" si="1"/>
        <v>III. Inversiones inmobiliarias</v>
      </c>
      <c r="P56" s="163"/>
      <c r="Q56" s="163"/>
      <c r="S56"/>
    </row>
    <row r="57" spans="3:19" ht="15.6" outlineLevel="1">
      <c r="C57" s="150" t="s">
        <v>2948</v>
      </c>
      <c r="D57" s="155">
        <v>45551</v>
      </c>
      <c r="E57" s="155"/>
      <c r="F57" s="159"/>
      <c r="G57" s="66">
        <v>177570.01</v>
      </c>
      <c r="H57" s="72"/>
      <c r="I57" s="542">
        <v>2210000</v>
      </c>
      <c r="J57" s="69">
        <v>221</v>
      </c>
      <c r="K57" s="70" t="str">
        <f t="shared" si="0"/>
        <v>INVERSIONES EN CONSTRUCCIONES</v>
      </c>
      <c r="L57" s="69" t="str">
        <f t="shared" si="1"/>
        <v>III. Inversiones inmobiliarias</v>
      </c>
      <c r="P57" s="163"/>
      <c r="Q57" s="163"/>
      <c r="S57"/>
    </row>
    <row r="58" spans="3:19" ht="15.6" outlineLevel="1">
      <c r="C58" s="150" t="s">
        <v>2948</v>
      </c>
      <c r="D58" s="155">
        <v>45565</v>
      </c>
      <c r="E58" s="155"/>
      <c r="F58" s="159"/>
      <c r="G58" s="66">
        <f>30941.57+404914.59+50027.9</f>
        <v>485884.06000000006</v>
      </c>
      <c r="H58" s="72"/>
      <c r="I58" s="542">
        <v>2210000</v>
      </c>
      <c r="J58" s="69">
        <v>221</v>
      </c>
      <c r="K58" s="70" t="str">
        <f t="shared" si="0"/>
        <v>INVERSIONES EN CONSTRUCCIONES</v>
      </c>
      <c r="L58" s="69" t="str">
        <f t="shared" si="1"/>
        <v>III. Inversiones inmobiliarias</v>
      </c>
      <c r="P58" s="163"/>
      <c r="Q58" s="163"/>
      <c r="S58"/>
    </row>
    <row r="59" spans="3:19" ht="15.6" outlineLevel="1">
      <c r="C59" s="150" t="s">
        <v>2948</v>
      </c>
      <c r="D59" s="155">
        <v>45607</v>
      </c>
      <c r="E59" s="155"/>
      <c r="F59" s="159"/>
      <c r="G59" s="66">
        <v>12567.04</v>
      </c>
      <c r="H59" s="72"/>
      <c r="I59" s="542">
        <v>2210000</v>
      </c>
      <c r="J59" s="69">
        <v>221</v>
      </c>
      <c r="K59" s="70" t="str">
        <f t="shared" si="0"/>
        <v>INVERSIONES EN CONSTRUCCIONES</v>
      </c>
      <c r="L59" s="69" t="str">
        <f t="shared" si="1"/>
        <v>III. Inversiones inmobiliarias</v>
      </c>
      <c r="P59" s="163"/>
      <c r="Q59" s="163"/>
      <c r="S59"/>
    </row>
    <row r="60" spans="3:19" ht="15.6" outlineLevel="1">
      <c r="C60" s="150" t="s">
        <v>2948</v>
      </c>
      <c r="D60" s="155">
        <v>45616</v>
      </c>
      <c r="E60" s="155"/>
      <c r="F60" s="159"/>
      <c r="G60" s="66">
        <v>208850.83</v>
      </c>
      <c r="H60" s="72"/>
      <c r="I60" s="542">
        <v>2210000</v>
      </c>
      <c r="J60" s="69">
        <v>221</v>
      </c>
      <c r="K60" s="70" t="str">
        <f t="shared" si="0"/>
        <v>INVERSIONES EN CONSTRUCCIONES</v>
      </c>
      <c r="L60" s="69" t="str">
        <f t="shared" si="1"/>
        <v>III. Inversiones inmobiliarias</v>
      </c>
      <c r="P60" s="163"/>
      <c r="Q60" s="163"/>
      <c r="S60"/>
    </row>
    <row r="61" spans="3:19" ht="15.6" outlineLevel="1">
      <c r="C61" s="150" t="s">
        <v>2948</v>
      </c>
      <c r="D61" s="155">
        <v>45636</v>
      </c>
      <c r="E61" s="155"/>
      <c r="F61" s="159"/>
      <c r="G61" s="66">
        <v>51353.94</v>
      </c>
      <c r="H61" s="72"/>
      <c r="I61" s="542">
        <v>2210000</v>
      </c>
      <c r="J61" s="69">
        <v>221</v>
      </c>
      <c r="K61" s="70" t="str">
        <f t="shared" si="0"/>
        <v>INVERSIONES EN CONSTRUCCIONES</v>
      </c>
      <c r="L61" s="69" t="str">
        <f t="shared" si="1"/>
        <v>III. Inversiones inmobiliarias</v>
      </c>
      <c r="P61" s="163"/>
      <c r="Q61" s="163"/>
      <c r="S61"/>
    </row>
    <row r="62" spans="3:19" ht="15.6" outlineLevel="1">
      <c r="C62" s="150" t="s">
        <v>2944</v>
      </c>
      <c r="D62" s="155">
        <v>45560</v>
      </c>
      <c r="E62" s="155"/>
      <c r="F62" s="159"/>
      <c r="G62" s="66">
        <f>11403.63+1014.24+1033.83</f>
        <v>13451.699999999999</v>
      </c>
      <c r="H62" s="72"/>
      <c r="I62" s="542">
        <v>2211000</v>
      </c>
      <c r="J62" s="69">
        <v>221</v>
      </c>
      <c r="K62" s="70" t="str">
        <f t="shared" si="0"/>
        <v>INVERSIONES EN CONSTRUCCIONES</v>
      </c>
      <c r="L62" s="69" t="str">
        <f t="shared" si="1"/>
        <v>III. Inversiones inmobiliarias</v>
      </c>
      <c r="P62" s="163"/>
      <c r="Q62" s="163"/>
      <c r="S62"/>
    </row>
    <row r="63" spans="3:19" ht="15.6" outlineLevel="1">
      <c r="C63" s="150" t="s">
        <v>2944</v>
      </c>
      <c r="D63" s="155">
        <v>45623</v>
      </c>
      <c r="E63" s="155"/>
      <c r="F63" s="159"/>
      <c r="G63" s="66">
        <f>62646.4+62646.4+62646.4+62646.4+31323.2+31323.2+4082.63+4082.63+4082.63+4082.63+2041.31+2041.31+749.54+749.54+749.54+749.54+374.77+374.77</f>
        <v>337392.83999999997</v>
      </c>
      <c r="H63" s="72"/>
      <c r="I63" s="542">
        <v>2211000</v>
      </c>
      <c r="J63" s="69">
        <v>221</v>
      </c>
      <c r="K63" s="70" t="str">
        <f t="shared" si="0"/>
        <v>INVERSIONES EN CONSTRUCCIONES</v>
      </c>
      <c r="L63" s="69" t="str">
        <f t="shared" si="1"/>
        <v>III. Inversiones inmobiliarias</v>
      </c>
      <c r="P63" s="163"/>
      <c r="Q63" s="163"/>
      <c r="S63"/>
    </row>
    <row r="64" spans="3:19" ht="15.6" outlineLevel="1">
      <c r="C64" s="150" t="s">
        <v>2944</v>
      </c>
      <c r="D64" s="155">
        <v>45657</v>
      </c>
      <c r="E64" s="155"/>
      <c r="F64" s="159"/>
      <c r="G64" s="66">
        <f>3149.97+23856.41+23996.81+23996.81+125.99+59.36+213.78+31323.2+8.21+3.87+13.93+2041.31+1.51+0.71+2.56+374.77</f>
        <v>109169.2</v>
      </c>
      <c r="H64" s="72"/>
      <c r="I64" s="542">
        <v>2211000</v>
      </c>
      <c r="J64" s="69">
        <v>221</v>
      </c>
      <c r="K64" s="70" t="str">
        <f t="shared" si="0"/>
        <v>INVERSIONES EN CONSTRUCCIONES</v>
      </c>
      <c r="L64" s="69" t="str">
        <f t="shared" si="1"/>
        <v>III. Inversiones inmobiliarias</v>
      </c>
      <c r="P64" s="163"/>
      <c r="Q64" s="163"/>
      <c r="S64"/>
    </row>
    <row r="65" spans="3:19" ht="15.6" outlineLevel="1">
      <c r="C65" s="150"/>
      <c r="D65" s="155"/>
      <c r="E65" s="155"/>
      <c r="F65" s="159"/>
      <c r="G65" s="66"/>
      <c r="H65" s="72"/>
      <c r="I65" s="542"/>
      <c r="J65" s="69"/>
      <c r="K65" s="70" t="str">
        <f t="shared" si="0"/>
        <v/>
      </c>
      <c r="L65" s="69">
        <f t="shared" si="1"/>
        <v>0</v>
      </c>
      <c r="P65" s="163"/>
      <c r="Q65" s="163"/>
      <c r="S65"/>
    </row>
    <row r="66" spans="3:19" ht="15.6" outlineLevel="1">
      <c r="C66" s="150"/>
      <c r="D66" s="155"/>
      <c r="E66" s="155"/>
      <c r="F66" s="159"/>
      <c r="G66" s="66"/>
      <c r="H66" s="72"/>
      <c r="I66" s="542"/>
      <c r="J66" s="69"/>
      <c r="K66" s="70" t="str">
        <f t="shared" si="0"/>
        <v/>
      </c>
      <c r="L66" s="69">
        <f t="shared" si="1"/>
        <v>0</v>
      </c>
      <c r="P66" s="163"/>
      <c r="Q66" s="163"/>
      <c r="S66"/>
    </row>
    <row r="67" spans="3:19" ht="15.6" outlineLevel="1">
      <c r="C67" s="150"/>
      <c r="D67" s="155"/>
      <c r="E67" s="155"/>
      <c r="F67" s="159"/>
      <c r="G67" s="66"/>
      <c r="H67" s="72"/>
      <c r="I67" s="542"/>
      <c r="J67" s="69"/>
      <c r="K67" s="70" t="str">
        <f t="shared" si="0"/>
        <v/>
      </c>
      <c r="L67" s="69">
        <f t="shared" si="1"/>
        <v>0</v>
      </c>
      <c r="P67" s="163"/>
      <c r="Q67" s="163"/>
      <c r="S67"/>
    </row>
    <row r="68" spans="3:19" ht="15.6" outlineLevel="1">
      <c r="C68" s="150"/>
      <c r="D68" s="155"/>
      <c r="E68" s="155"/>
      <c r="F68" s="159"/>
      <c r="G68" s="66"/>
      <c r="H68" s="72"/>
      <c r="I68" s="542"/>
      <c r="J68" s="69"/>
      <c r="K68" s="70" t="str">
        <f t="shared" si="0"/>
        <v/>
      </c>
      <c r="L68" s="69">
        <f t="shared" si="1"/>
        <v>0</v>
      </c>
      <c r="P68" s="163"/>
      <c r="Q68" s="163"/>
      <c r="S68"/>
    </row>
    <row r="69" spans="3:19" ht="15.6" outlineLevel="1">
      <c r="C69" s="150"/>
      <c r="D69" s="155"/>
      <c r="E69" s="155"/>
      <c r="F69" s="159"/>
      <c r="G69" s="66"/>
      <c r="H69" s="72"/>
      <c r="I69" s="542"/>
      <c r="J69" s="69"/>
      <c r="K69" s="70" t="str">
        <f t="shared" si="0"/>
        <v/>
      </c>
      <c r="L69" s="69">
        <f t="shared" si="1"/>
        <v>0</v>
      </c>
      <c r="P69" s="163"/>
      <c r="Q69" s="163"/>
      <c r="S69"/>
    </row>
    <row r="70" spans="3:19" ht="15.6" outlineLevel="1">
      <c r="C70" s="150"/>
      <c r="D70" s="155"/>
      <c r="E70" s="155"/>
      <c r="F70" s="159"/>
      <c r="G70" s="66"/>
      <c r="H70" s="72"/>
      <c r="I70" s="542"/>
      <c r="J70" s="69"/>
      <c r="K70" s="70" t="str">
        <f t="shared" si="0"/>
        <v/>
      </c>
      <c r="L70" s="69">
        <f t="shared" si="1"/>
        <v>0</v>
      </c>
      <c r="P70" s="163"/>
      <c r="Q70" s="163"/>
      <c r="S70"/>
    </row>
    <row r="71" spans="3:19" ht="15.6" outlineLevel="1">
      <c r="C71" s="150"/>
      <c r="D71" s="155"/>
      <c r="E71" s="155"/>
      <c r="F71" s="159"/>
      <c r="G71" s="66"/>
      <c r="H71" s="72"/>
      <c r="I71" s="542"/>
      <c r="J71" s="69"/>
      <c r="K71" s="70" t="str">
        <f t="shared" si="0"/>
        <v/>
      </c>
      <c r="L71" s="69">
        <f t="shared" si="1"/>
        <v>0</v>
      </c>
      <c r="P71" s="163"/>
      <c r="Q71" s="163"/>
      <c r="S71"/>
    </row>
    <row r="72" spans="3:19" ht="15.6" outlineLevel="1">
      <c r="C72" s="150"/>
      <c r="D72" s="155"/>
      <c r="E72" s="155"/>
      <c r="F72" s="159"/>
      <c r="G72" s="66"/>
      <c r="H72" s="72"/>
      <c r="I72" s="542"/>
      <c r="J72" s="69"/>
      <c r="K72" s="70" t="str">
        <f t="shared" si="0"/>
        <v/>
      </c>
      <c r="L72" s="69">
        <f t="shared" si="1"/>
        <v>0</v>
      </c>
      <c r="P72" s="163"/>
      <c r="Q72" s="163"/>
      <c r="S72"/>
    </row>
    <row r="73" spans="3:19" ht="15.6" outlineLevel="1">
      <c r="C73" s="150"/>
      <c r="D73" s="155"/>
      <c r="E73" s="155"/>
      <c r="F73" s="159"/>
      <c r="G73" s="66"/>
      <c r="H73" s="72"/>
      <c r="I73" s="542"/>
      <c r="J73" s="69"/>
      <c r="K73" s="70" t="str">
        <f t="shared" si="0"/>
        <v/>
      </c>
      <c r="L73" s="69">
        <f t="shared" si="1"/>
        <v>0</v>
      </c>
      <c r="P73" s="163"/>
      <c r="Q73" s="163"/>
      <c r="S73"/>
    </row>
    <row r="74" spans="3:19" ht="15.6" outlineLevel="1">
      <c r="C74" s="150"/>
      <c r="D74" s="155"/>
      <c r="E74" s="155"/>
      <c r="F74" s="159"/>
      <c r="G74" s="66"/>
      <c r="H74" s="72"/>
      <c r="I74" s="542"/>
      <c r="J74" s="69"/>
      <c r="K74" s="70" t="str">
        <f t="shared" si="0"/>
        <v/>
      </c>
      <c r="L74" s="69">
        <f t="shared" si="1"/>
        <v>0</v>
      </c>
      <c r="P74" s="163"/>
      <c r="Q74" s="163"/>
      <c r="S74"/>
    </row>
    <row r="75" spans="3:19" ht="15.6" outlineLevel="1">
      <c r="C75" s="150"/>
      <c r="D75" s="155"/>
      <c r="E75" s="155"/>
      <c r="F75" s="159"/>
      <c r="G75" s="66"/>
      <c r="H75" s="72"/>
      <c r="I75" s="542"/>
      <c r="J75" s="69"/>
      <c r="K75" s="70" t="str">
        <f t="shared" si="0"/>
        <v/>
      </c>
      <c r="L75" s="69">
        <f t="shared" si="1"/>
        <v>0</v>
      </c>
      <c r="P75" s="163"/>
      <c r="Q75" s="163"/>
      <c r="S75"/>
    </row>
    <row r="76" spans="3:19" ht="15.6" outlineLevel="1">
      <c r="C76" s="150"/>
      <c r="D76" s="155"/>
      <c r="E76" s="155"/>
      <c r="F76" s="159"/>
      <c r="G76" s="66"/>
      <c r="H76" s="72"/>
      <c r="I76" s="542"/>
      <c r="J76" s="69"/>
      <c r="K76" s="70" t="str">
        <f t="shared" si="0"/>
        <v/>
      </c>
      <c r="L76" s="69">
        <f t="shared" si="1"/>
        <v>0</v>
      </c>
      <c r="P76" s="163"/>
      <c r="Q76" s="163"/>
      <c r="S76"/>
    </row>
    <row r="77" spans="3:19" ht="15.6" outlineLevel="1">
      <c r="C77" s="150"/>
      <c r="D77" s="155"/>
      <c r="E77" s="155"/>
      <c r="F77" s="159"/>
      <c r="G77" s="66"/>
      <c r="H77" s="72"/>
      <c r="I77" s="542"/>
      <c r="J77" s="69"/>
      <c r="K77" s="70" t="str">
        <f t="shared" si="0"/>
        <v/>
      </c>
      <c r="L77" s="69">
        <f t="shared" si="1"/>
        <v>0</v>
      </c>
      <c r="P77" s="163"/>
      <c r="Q77" s="163"/>
      <c r="S77"/>
    </row>
    <row r="78" spans="3:19" ht="15.6" outlineLevel="1">
      <c r="C78" s="150"/>
      <c r="D78" s="155"/>
      <c r="E78" s="155"/>
      <c r="F78" s="159"/>
      <c r="G78" s="66"/>
      <c r="H78" s="72"/>
      <c r="I78" s="542"/>
      <c r="J78" s="69"/>
      <c r="K78" s="70" t="str">
        <f t="shared" si="0"/>
        <v/>
      </c>
      <c r="L78" s="69">
        <f t="shared" si="1"/>
        <v>0</v>
      </c>
      <c r="P78" s="163"/>
      <c r="Q78" s="163"/>
      <c r="S78"/>
    </row>
    <row r="79" spans="3:19" ht="15.6" outlineLevel="1">
      <c r="C79" s="150"/>
      <c r="D79" s="155"/>
      <c r="E79" s="155"/>
      <c r="F79" s="159"/>
      <c r="G79" s="66"/>
      <c r="H79" s="72"/>
      <c r="I79" s="542"/>
      <c r="J79" s="69"/>
      <c r="K79" s="70" t="str">
        <f t="shared" si="0"/>
        <v/>
      </c>
      <c r="L79" s="69">
        <f t="shared" si="1"/>
        <v>0</v>
      </c>
      <c r="P79" s="163"/>
      <c r="Q79" s="163"/>
      <c r="S79"/>
    </row>
    <row r="80" spans="3:19" ht="15.6" outlineLevel="1">
      <c r="C80" s="150"/>
      <c r="D80" s="155"/>
      <c r="E80" s="155"/>
      <c r="F80" s="159"/>
      <c r="G80" s="66"/>
      <c r="H80" s="72"/>
      <c r="I80" s="542"/>
      <c r="J80" s="69"/>
      <c r="K80" s="70" t="str">
        <f t="shared" si="0"/>
        <v/>
      </c>
      <c r="L80" s="69">
        <f t="shared" si="1"/>
        <v>0</v>
      </c>
      <c r="P80" s="163"/>
      <c r="Q80" s="163"/>
      <c r="S80"/>
    </row>
    <row r="81" spans="3:19" ht="15.6" outlineLevel="1">
      <c r="C81" s="150"/>
      <c r="D81" s="155"/>
      <c r="E81" s="155"/>
      <c r="F81" s="159"/>
      <c r="G81" s="66"/>
      <c r="H81" s="72"/>
      <c r="I81" s="542"/>
      <c r="J81" s="69"/>
      <c r="K81" s="70" t="str">
        <f t="shared" ref="K81:K144" si="2">IF(J81=0,"",+LOOKUP(J81,$P$17:$P$43,$Q$17:$Q$43))</f>
        <v/>
      </c>
      <c r="L81" s="69">
        <f t="shared" ref="L81:L144" si="3">IF(J81="",0,+LOOKUP(J81,$P$17:$P$42,$R$17:$R$42))</f>
        <v>0</v>
      </c>
      <c r="P81" s="163"/>
      <c r="Q81" s="163"/>
      <c r="S81"/>
    </row>
    <row r="82" spans="3:19" ht="15.6" outlineLevel="1">
      <c r="C82" s="150"/>
      <c r="D82" s="155"/>
      <c r="E82" s="155"/>
      <c r="F82" s="159"/>
      <c r="G82" s="66"/>
      <c r="H82" s="72"/>
      <c r="I82" s="542"/>
      <c r="J82" s="69"/>
      <c r="K82" s="70" t="str">
        <f t="shared" si="2"/>
        <v/>
      </c>
      <c r="L82" s="69">
        <f t="shared" si="3"/>
        <v>0</v>
      </c>
      <c r="P82" s="163"/>
      <c r="Q82" s="163"/>
      <c r="S82"/>
    </row>
    <row r="83" spans="3:19" ht="15.6" outlineLevel="1">
      <c r="C83" s="150"/>
      <c r="D83" s="155"/>
      <c r="E83" s="155"/>
      <c r="F83" s="159"/>
      <c r="G83" s="66"/>
      <c r="H83" s="72"/>
      <c r="I83" s="542"/>
      <c r="J83" s="69"/>
      <c r="K83" s="70" t="str">
        <f t="shared" si="2"/>
        <v/>
      </c>
      <c r="L83" s="69">
        <f t="shared" si="3"/>
        <v>0</v>
      </c>
      <c r="P83" s="163"/>
      <c r="Q83" s="163"/>
      <c r="S83"/>
    </row>
    <row r="84" spans="3:19" ht="15.6" outlineLevel="1">
      <c r="C84" s="150"/>
      <c r="D84" s="155"/>
      <c r="E84" s="155"/>
      <c r="F84" s="159"/>
      <c r="G84" s="66"/>
      <c r="H84" s="72"/>
      <c r="I84" s="542"/>
      <c r="J84" s="69"/>
      <c r="K84" s="70" t="str">
        <f t="shared" si="2"/>
        <v/>
      </c>
      <c r="L84" s="69">
        <f t="shared" si="3"/>
        <v>0</v>
      </c>
      <c r="P84" s="163"/>
      <c r="Q84" s="163"/>
      <c r="S84"/>
    </row>
    <row r="85" spans="3:19" ht="15.6" outlineLevel="1">
      <c r="C85" s="150"/>
      <c r="D85" s="155"/>
      <c r="E85" s="155"/>
      <c r="F85" s="159"/>
      <c r="G85" s="66"/>
      <c r="H85" s="72"/>
      <c r="I85" s="542"/>
      <c r="J85" s="69"/>
      <c r="K85" s="70" t="str">
        <f t="shared" si="2"/>
        <v/>
      </c>
      <c r="L85" s="69">
        <f t="shared" si="3"/>
        <v>0</v>
      </c>
      <c r="P85" s="163"/>
      <c r="Q85" s="163"/>
      <c r="S85"/>
    </row>
    <row r="86" spans="3:19" ht="15.6" outlineLevel="1">
      <c r="C86" s="150"/>
      <c r="D86" s="155"/>
      <c r="E86" s="155"/>
      <c r="F86" s="159"/>
      <c r="G86" s="66"/>
      <c r="H86" s="72"/>
      <c r="I86" s="542"/>
      <c r="J86" s="69"/>
      <c r="K86" s="70" t="str">
        <f t="shared" si="2"/>
        <v/>
      </c>
      <c r="L86" s="69">
        <f t="shared" si="3"/>
        <v>0</v>
      </c>
      <c r="P86" s="163"/>
      <c r="Q86" s="163"/>
      <c r="S86"/>
    </row>
    <row r="87" spans="3:19" ht="15.6" outlineLevel="1">
      <c r="C87" s="150"/>
      <c r="D87" s="155"/>
      <c r="E87" s="155"/>
      <c r="F87" s="159"/>
      <c r="G87" s="66"/>
      <c r="H87" s="72"/>
      <c r="I87" s="542"/>
      <c r="J87" s="69"/>
      <c r="K87" s="70" t="str">
        <f t="shared" si="2"/>
        <v/>
      </c>
      <c r="L87" s="69">
        <f t="shared" si="3"/>
        <v>0</v>
      </c>
      <c r="P87" s="163"/>
      <c r="Q87" s="163"/>
      <c r="S87"/>
    </row>
    <row r="88" spans="3:19" ht="15.6" outlineLevel="1">
      <c r="C88" s="150"/>
      <c r="D88" s="155"/>
      <c r="E88" s="155"/>
      <c r="F88" s="159"/>
      <c r="G88" s="66"/>
      <c r="H88" s="72"/>
      <c r="I88" s="542"/>
      <c r="J88" s="69"/>
      <c r="K88" s="70" t="str">
        <f t="shared" si="2"/>
        <v/>
      </c>
      <c r="L88" s="69">
        <f t="shared" si="3"/>
        <v>0</v>
      </c>
      <c r="P88" s="163"/>
      <c r="Q88" s="163"/>
      <c r="S88"/>
    </row>
    <row r="89" spans="3:19" ht="15.6" outlineLevel="1">
      <c r="C89" s="150"/>
      <c r="D89" s="155"/>
      <c r="E89" s="155"/>
      <c r="F89" s="159"/>
      <c r="G89" s="66"/>
      <c r="H89" s="72"/>
      <c r="I89" s="542"/>
      <c r="J89" s="69"/>
      <c r="K89" s="70" t="str">
        <f t="shared" si="2"/>
        <v/>
      </c>
      <c r="L89" s="69">
        <f t="shared" si="3"/>
        <v>0</v>
      </c>
      <c r="P89" s="163"/>
      <c r="Q89" s="163"/>
      <c r="S89"/>
    </row>
    <row r="90" spans="3:19" ht="15.6" outlineLevel="1">
      <c r="C90" s="150"/>
      <c r="D90" s="155"/>
      <c r="E90" s="155"/>
      <c r="F90" s="159"/>
      <c r="G90" s="66"/>
      <c r="H90" s="72"/>
      <c r="I90" s="542"/>
      <c r="J90" s="69"/>
      <c r="K90" s="70" t="str">
        <f t="shared" si="2"/>
        <v/>
      </c>
      <c r="L90" s="69">
        <f t="shared" si="3"/>
        <v>0</v>
      </c>
      <c r="P90" s="163"/>
      <c r="Q90" s="163"/>
      <c r="S90"/>
    </row>
    <row r="91" spans="3:19" ht="15.6" outlineLevel="1">
      <c r="C91" s="150"/>
      <c r="D91" s="155"/>
      <c r="E91" s="155"/>
      <c r="F91" s="159"/>
      <c r="G91" s="66"/>
      <c r="H91" s="72"/>
      <c r="I91" s="542"/>
      <c r="J91" s="69"/>
      <c r="K91" s="70" t="str">
        <f t="shared" si="2"/>
        <v/>
      </c>
      <c r="L91" s="69">
        <f t="shared" si="3"/>
        <v>0</v>
      </c>
      <c r="P91" s="163"/>
      <c r="Q91" s="163"/>
      <c r="S91"/>
    </row>
    <row r="92" spans="3:19" ht="15.6" outlineLevel="1">
      <c r="C92" s="150"/>
      <c r="D92" s="155"/>
      <c r="E92" s="155"/>
      <c r="F92" s="159"/>
      <c r="G92" s="66"/>
      <c r="H92" s="72"/>
      <c r="I92" s="542"/>
      <c r="J92" s="69"/>
      <c r="K92" s="70" t="str">
        <f t="shared" si="2"/>
        <v/>
      </c>
      <c r="L92" s="69">
        <f t="shared" si="3"/>
        <v>0</v>
      </c>
      <c r="P92" s="163"/>
      <c r="Q92" s="163"/>
      <c r="S92"/>
    </row>
    <row r="93" spans="3:19" ht="15.6" outlineLevel="1">
      <c r="C93" s="150"/>
      <c r="D93" s="155"/>
      <c r="E93" s="155"/>
      <c r="F93" s="159"/>
      <c r="G93" s="66"/>
      <c r="H93" s="72"/>
      <c r="I93" s="542"/>
      <c r="J93" s="69"/>
      <c r="K93" s="70" t="str">
        <f t="shared" si="2"/>
        <v/>
      </c>
      <c r="L93" s="69">
        <f t="shared" si="3"/>
        <v>0</v>
      </c>
      <c r="P93" s="163"/>
      <c r="Q93" s="163"/>
      <c r="S93"/>
    </row>
    <row r="94" spans="3:19" ht="15.6" outlineLevel="1">
      <c r="C94" s="150"/>
      <c r="D94" s="155"/>
      <c r="E94" s="155"/>
      <c r="F94" s="159"/>
      <c r="G94" s="66"/>
      <c r="H94" s="72"/>
      <c r="I94" s="542"/>
      <c r="J94" s="69"/>
      <c r="K94" s="70" t="str">
        <f t="shared" si="2"/>
        <v/>
      </c>
      <c r="L94" s="69">
        <f t="shared" si="3"/>
        <v>0</v>
      </c>
      <c r="P94" s="163"/>
      <c r="Q94" s="163"/>
      <c r="S94"/>
    </row>
    <row r="95" spans="3:19" ht="15.6" outlineLevel="1">
      <c r="C95" s="150"/>
      <c r="D95" s="155"/>
      <c r="E95" s="155"/>
      <c r="F95" s="159"/>
      <c r="G95" s="66"/>
      <c r="H95" s="72"/>
      <c r="I95" s="542"/>
      <c r="J95" s="69"/>
      <c r="K95" s="70" t="str">
        <f t="shared" si="2"/>
        <v/>
      </c>
      <c r="L95" s="69">
        <f t="shared" si="3"/>
        <v>0</v>
      </c>
      <c r="P95" s="163"/>
      <c r="Q95" s="163"/>
      <c r="S95"/>
    </row>
    <row r="96" spans="3:19" ht="15.6" outlineLevel="1">
      <c r="C96" s="150"/>
      <c r="D96" s="155"/>
      <c r="E96" s="155"/>
      <c r="F96" s="159"/>
      <c r="G96" s="66"/>
      <c r="H96" s="72"/>
      <c r="I96" s="542"/>
      <c r="J96" s="69"/>
      <c r="K96" s="70" t="str">
        <f t="shared" si="2"/>
        <v/>
      </c>
      <c r="L96" s="69">
        <f t="shared" si="3"/>
        <v>0</v>
      </c>
      <c r="P96" s="163"/>
      <c r="Q96" s="163"/>
      <c r="S96"/>
    </row>
    <row r="97" spans="3:19" ht="15.6" outlineLevel="1">
      <c r="C97" s="150"/>
      <c r="D97" s="155"/>
      <c r="E97" s="155"/>
      <c r="F97" s="159"/>
      <c r="G97" s="66"/>
      <c r="H97" s="72"/>
      <c r="I97" s="542"/>
      <c r="J97" s="69"/>
      <c r="K97" s="70" t="str">
        <f t="shared" si="2"/>
        <v/>
      </c>
      <c r="L97" s="69">
        <f t="shared" si="3"/>
        <v>0</v>
      </c>
      <c r="P97" s="163"/>
      <c r="Q97" s="163"/>
      <c r="S97"/>
    </row>
    <row r="98" spans="3:19" ht="15.6" outlineLevel="1">
      <c r="C98" s="150"/>
      <c r="D98" s="155"/>
      <c r="E98" s="155"/>
      <c r="F98" s="159"/>
      <c r="G98" s="66"/>
      <c r="H98" s="72"/>
      <c r="I98" s="542"/>
      <c r="J98" s="69"/>
      <c r="K98" s="70" t="str">
        <f t="shared" si="2"/>
        <v/>
      </c>
      <c r="L98" s="69">
        <f t="shared" si="3"/>
        <v>0</v>
      </c>
      <c r="P98" s="163"/>
      <c r="Q98" s="163"/>
      <c r="S98"/>
    </row>
    <row r="99" spans="3:19" ht="15.6" outlineLevel="1">
      <c r="C99" s="150"/>
      <c r="D99" s="155"/>
      <c r="E99" s="155"/>
      <c r="F99" s="159"/>
      <c r="G99" s="66"/>
      <c r="H99" s="72"/>
      <c r="I99" s="542"/>
      <c r="J99" s="69"/>
      <c r="K99" s="70" t="str">
        <f t="shared" si="2"/>
        <v/>
      </c>
      <c r="L99" s="69">
        <f t="shared" si="3"/>
        <v>0</v>
      </c>
      <c r="P99" s="163"/>
      <c r="Q99" s="163"/>
      <c r="S99"/>
    </row>
    <row r="100" spans="3:19" ht="15.6" outlineLevel="1">
      <c r="C100" s="150"/>
      <c r="D100" s="155"/>
      <c r="E100" s="155"/>
      <c r="F100" s="159"/>
      <c r="G100" s="66"/>
      <c r="H100" s="72"/>
      <c r="I100" s="542"/>
      <c r="J100" s="69"/>
      <c r="K100" s="70" t="str">
        <f t="shared" si="2"/>
        <v/>
      </c>
      <c r="L100" s="69">
        <f t="shared" si="3"/>
        <v>0</v>
      </c>
      <c r="P100" s="163"/>
      <c r="Q100" s="163"/>
      <c r="S100"/>
    </row>
    <row r="101" spans="3:19" ht="15.6" outlineLevel="1">
      <c r="C101" s="150"/>
      <c r="D101" s="155"/>
      <c r="E101" s="155"/>
      <c r="F101" s="159"/>
      <c r="G101" s="66"/>
      <c r="H101" s="72"/>
      <c r="I101" s="542"/>
      <c r="J101" s="69"/>
      <c r="K101" s="70" t="str">
        <f t="shared" si="2"/>
        <v/>
      </c>
      <c r="L101" s="69">
        <f t="shared" si="3"/>
        <v>0</v>
      </c>
      <c r="P101" s="163"/>
      <c r="Q101" s="163"/>
      <c r="S101"/>
    </row>
    <row r="102" spans="3:19" ht="15.6" outlineLevel="1">
      <c r="C102" s="150"/>
      <c r="D102" s="155"/>
      <c r="E102" s="155"/>
      <c r="F102" s="159"/>
      <c r="G102" s="66"/>
      <c r="H102" s="72"/>
      <c r="I102" s="542"/>
      <c r="J102" s="69"/>
      <c r="K102" s="70" t="str">
        <f t="shared" si="2"/>
        <v/>
      </c>
      <c r="L102" s="69">
        <f t="shared" si="3"/>
        <v>0</v>
      </c>
      <c r="P102" s="163"/>
      <c r="Q102" s="163"/>
      <c r="S102"/>
    </row>
    <row r="103" spans="3:19" ht="15.6" outlineLevel="1">
      <c r="C103" s="150"/>
      <c r="D103" s="155"/>
      <c r="E103" s="155"/>
      <c r="F103" s="159"/>
      <c r="G103" s="66"/>
      <c r="H103" s="72"/>
      <c r="I103" s="542"/>
      <c r="J103" s="69"/>
      <c r="K103" s="70" t="str">
        <f t="shared" si="2"/>
        <v/>
      </c>
      <c r="L103" s="69">
        <f t="shared" si="3"/>
        <v>0</v>
      </c>
      <c r="P103" s="163"/>
      <c r="Q103" s="163"/>
      <c r="S103"/>
    </row>
    <row r="104" spans="3:19" ht="15.6" outlineLevel="1">
      <c r="C104" s="150"/>
      <c r="D104" s="155"/>
      <c r="E104" s="155"/>
      <c r="F104" s="159"/>
      <c r="G104" s="66"/>
      <c r="H104" s="72"/>
      <c r="I104" s="542"/>
      <c r="J104" s="69"/>
      <c r="K104" s="70" t="str">
        <f t="shared" si="2"/>
        <v/>
      </c>
      <c r="L104" s="69">
        <f t="shared" si="3"/>
        <v>0</v>
      </c>
      <c r="P104" s="163"/>
      <c r="Q104" s="163"/>
      <c r="S104"/>
    </row>
    <row r="105" spans="3:19" ht="15.6" outlineLevel="1">
      <c r="C105" s="150"/>
      <c r="D105" s="155"/>
      <c r="E105" s="155"/>
      <c r="F105" s="159"/>
      <c r="G105" s="66"/>
      <c r="H105" s="72"/>
      <c r="I105" s="542"/>
      <c r="J105" s="69"/>
      <c r="K105" s="70" t="str">
        <f t="shared" si="2"/>
        <v/>
      </c>
      <c r="L105" s="69">
        <f t="shared" si="3"/>
        <v>0</v>
      </c>
      <c r="P105" s="163"/>
      <c r="Q105" s="163"/>
      <c r="S105"/>
    </row>
    <row r="106" spans="3:19" ht="15.6" outlineLevel="1">
      <c r="C106" s="150"/>
      <c r="D106" s="155"/>
      <c r="E106" s="155"/>
      <c r="F106" s="159"/>
      <c r="G106" s="66"/>
      <c r="H106" s="72"/>
      <c r="I106" s="542"/>
      <c r="J106" s="69"/>
      <c r="K106" s="70" t="str">
        <f t="shared" si="2"/>
        <v/>
      </c>
      <c r="L106" s="69">
        <f t="shared" si="3"/>
        <v>0</v>
      </c>
      <c r="P106" s="163"/>
      <c r="Q106" s="163"/>
      <c r="S106"/>
    </row>
    <row r="107" spans="3:19" ht="15.6" outlineLevel="1">
      <c r="C107" s="150"/>
      <c r="D107" s="155"/>
      <c r="E107" s="155"/>
      <c r="F107" s="159"/>
      <c r="G107" s="66"/>
      <c r="H107" s="72"/>
      <c r="I107" s="542"/>
      <c r="J107" s="69"/>
      <c r="K107" s="70" t="str">
        <f t="shared" si="2"/>
        <v/>
      </c>
      <c r="L107" s="69">
        <f t="shared" si="3"/>
        <v>0</v>
      </c>
      <c r="P107" s="163"/>
      <c r="Q107" s="163"/>
      <c r="S107"/>
    </row>
    <row r="108" spans="3:19" ht="15.6" outlineLevel="1">
      <c r="C108" s="150"/>
      <c r="D108" s="155"/>
      <c r="E108" s="155"/>
      <c r="F108" s="159"/>
      <c r="G108" s="66"/>
      <c r="H108" s="72"/>
      <c r="I108" s="542"/>
      <c r="J108" s="69"/>
      <c r="K108" s="70" t="str">
        <f t="shared" si="2"/>
        <v/>
      </c>
      <c r="L108" s="69">
        <f t="shared" si="3"/>
        <v>0</v>
      </c>
      <c r="P108" s="163"/>
      <c r="Q108" s="163"/>
      <c r="S108"/>
    </row>
    <row r="109" spans="3:19" ht="15.6" outlineLevel="1">
      <c r="C109" s="150"/>
      <c r="D109" s="155"/>
      <c r="E109" s="155"/>
      <c r="F109" s="159"/>
      <c r="G109" s="66"/>
      <c r="H109" s="72"/>
      <c r="I109" s="542"/>
      <c r="J109" s="69"/>
      <c r="K109" s="70" t="str">
        <f t="shared" si="2"/>
        <v/>
      </c>
      <c r="L109" s="69">
        <f t="shared" si="3"/>
        <v>0</v>
      </c>
      <c r="P109" s="163"/>
      <c r="Q109" s="163"/>
      <c r="S109"/>
    </row>
    <row r="110" spans="3:19" ht="15.6" outlineLevel="1">
      <c r="C110" s="150"/>
      <c r="D110" s="155"/>
      <c r="E110" s="155"/>
      <c r="F110" s="159"/>
      <c r="G110" s="66"/>
      <c r="H110" s="72"/>
      <c r="I110" s="542"/>
      <c r="J110" s="69"/>
      <c r="K110" s="70" t="str">
        <f t="shared" si="2"/>
        <v/>
      </c>
      <c r="L110" s="69">
        <f t="shared" si="3"/>
        <v>0</v>
      </c>
      <c r="P110" s="163"/>
      <c r="Q110" s="163"/>
      <c r="S110"/>
    </row>
    <row r="111" spans="3:19" ht="15.6" outlineLevel="1">
      <c r="C111" s="150"/>
      <c r="D111" s="155"/>
      <c r="E111" s="155"/>
      <c r="F111" s="159"/>
      <c r="G111" s="66"/>
      <c r="H111" s="72"/>
      <c r="I111" s="542"/>
      <c r="J111" s="69"/>
      <c r="K111" s="70" t="str">
        <f t="shared" si="2"/>
        <v/>
      </c>
      <c r="L111" s="69">
        <f t="shared" si="3"/>
        <v>0</v>
      </c>
      <c r="P111" s="163"/>
      <c r="Q111" s="163"/>
      <c r="S111"/>
    </row>
    <row r="112" spans="3:19" ht="15.6" outlineLevel="1">
      <c r="C112" s="150"/>
      <c r="D112" s="155"/>
      <c r="E112" s="155"/>
      <c r="F112" s="159"/>
      <c r="G112" s="66"/>
      <c r="H112" s="72"/>
      <c r="I112" s="542"/>
      <c r="J112" s="69"/>
      <c r="K112" s="70" t="str">
        <f t="shared" si="2"/>
        <v/>
      </c>
      <c r="L112" s="69">
        <f t="shared" si="3"/>
        <v>0</v>
      </c>
      <c r="P112" s="163"/>
      <c r="Q112" s="163"/>
      <c r="S112"/>
    </row>
    <row r="113" spans="3:19" ht="15.6" outlineLevel="1">
      <c r="C113" s="150"/>
      <c r="D113" s="155"/>
      <c r="E113" s="155"/>
      <c r="F113" s="159"/>
      <c r="G113" s="66"/>
      <c r="H113" s="72"/>
      <c r="I113" s="542"/>
      <c r="J113" s="69"/>
      <c r="K113" s="70" t="str">
        <f t="shared" si="2"/>
        <v/>
      </c>
      <c r="L113" s="69">
        <f t="shared" si="3"/>
        <v>0</v>
      </c>
      <c r="P113" s="163"/>
      <c r="Q113" s="163"/>
      <c r="S113"/>
    </row>
    <row r="114" spans="3:19" ht="15.6" outlineLevel="1">
      <c r="C114" s="150"/>
      <c r="D114" s="155"/>
      <c r="E114" s="155"/>
      <c r="F114" s="159"/>
      <c r="G114" s="66"/>
      <c r="H114" s="72"/>
      <c r="I114" s="542"/>
      <c r="J114" s="69"/>
      <c r="K114" s="70" t="str">
        <f t="shared" si="2"/>
        <v/>
      </c>
      <c r="L114" s="69">
        <f t="shared" si="3"/>
        <v>0</v>
      </c>
      <c r="P114" s="163"/>
      <c r="Q114" s="163"/>
      <c r="S114"/>
    </row>
    <row r="115" spans="3:19" ht="15.6" outlineLevel="1">
      <c r="C115" s="150"/>
      <c r="D115" s="155"/>
      <c r="E115" s="155"/>
      <c r="F115" s="159"/>
      <c r="G115" s="66"/>
      <c r="H115" s="72"/>
      <c r="I115" s="542"/>
      <c r="J115" s="69"/>
      <c r="K115" s="70" t="str">
        <f t="shared" si="2"/>
        <v/>
      </c>
      <c r="L115" s="69">
        <f t="shared" si="3"/>
        <v>0</v>
      </c>
      <c r="P115" s="163"/>
      <c r="Q115" s="163"/>
      <c r="S115"/>
    </row>
    <row r="116" spans="3:19" ht="15.6" outlineLevel="1">
      <c r="C116" s="150"/>
      <c r="D116" s="155"/>
      <c r="E116" s="155"/>
      <c r="F116" s="159"/>
      <c r="G116" s="66"/>
      <c r="H116" s="72"/>
      <c r="I116" s="542"/>
      <c r="J116" s="69"/>
      <c r="K116" s="70" t="str">
        <f t="shared" si="2"/>
        <v/>
      </c>
      <c r="L116" s="69">
        <f t="shared" si="3"/>
        <v>0</v>
      </c>
      <c r="P116" s="163"/>
      <c r="Q116" s="163"/>
      <c r="S116"/>
    </row>
    <row r="117" spans="3:19" ht="15.6" outlineLevel="1">
      <c r="C117" s="150"/>
      <c r="D117" s="155"/>
      <c r="E117" s="155"/>
      <c r="F117" s="159"/>
      <c r="G117" s="66"/>
      <c r="H117" s="72"/>
      <c r="I117" s="542"/>
      <c r="J117" s="69"/>
      <c r="K117" s="70" t="str">
        <f t="shared" si="2"/>
        <v/>
      </c>
      <c r="L117" s="69">
        <f t="shared" si="3"/>
        <v>0</v>
      </c>
      <c r="P117" s="163"/>
      <c r="Q117" s="163"/>
      <c r="S117"/>
    </row>
    <row r="118" spans="3:19" ht="15.6" outlineLevel="1">
      <c r="C118" s="150"/>
      <c r="D118" s="155"/>
      <c r="E118" s="155"/>
      <c r="F118" s="159"/>
      <c r="G118" s="66"/>
      <c r="H118" s="72"/>
      <c r="I118" s="542"/>
      <c r="J118" s="69"/>
      <c r="K118" s="70" t="str">
        <f t="shared" si="2"/>
        <v/>
      </c>
      <c r="L118" s="69">
        <f t="shared" si="3"/>
        <v>0</v>
      </c>
      <c r="P118" s="163"/>
      <c r="Q118" s="163"/>
      <c r="S118"/>
    </row>
    <row r="119" spans="3:19" ht="15.6" outlineLevel="1">
      <c r="C119" s="150"/>
      <c r="D119" s="155"/>
      <c r="E119" s="155"/>
      <c r="F119" s="159"/>
      <c r="G119" s="66"/>
      <c r="H119" s="72"/>
      <c r="I119" s="542"/>
      <c r="J119" s="69"/>
      <c r="K119" s="70" t="str">
        <f t="shared" si="2"/>
        <v/>
      </c>
      <c r="L119" s="69">
        <f t="shared" si="3"/>
        <v>0</v>
      </c>
      <c r="P119" s="163"/>
      <c r="Q119" s="163"/>
      <c r="S119"/>
    </row>
    <row r="120" spans="3:19" ht="15.6" outlineLevel="1">
      <c r="C120" s="150"/>
      <c r="D120" s="155"/>
      <c r="E120" s="155"/>
      <c r="F120" s="159"/>
      <c r="G120" s="66"/>
      <c r="H120" s="72"/>
      <c r="I120" s="542"/>
      <c r="J120" s="69"/>
      <c r="K120" s="70" t="str">
        <f t="shared" si="2"/>
        <v/>
      </c>
      <c r="L120" s="69">
        <f t="shared" si="3"/>
        <v>0</v>
      </c>
      <c r="P120" s="163"/>
      <c r="Q120" s="163"/>
      <c r="S120"/>
    </row>
    <row r="121" spans="3:19" ht="15.6" outlineLevel="1">
      <c r="C121" s="150"/>
      <c r="D121" s="155"/>
      <c r="E121" s="155"/>
      <c r="F121" s="159"/>
      <c r="G121" s="66"/>
      <c r="H121" s="72"/>
      <c r="I121" s="542"/>
      <c r="J121" s="69"/>
      <c r="K121" s="70" t="str">
        <f t="shared" si="2"/>
        <v/>
      </c>
      <c r="L121" s="69">
        <f t="shared" si="3"/>
        <v>0</v>
      </c>
      <c r="P121" s="163"/>
      <c r="Q121" s="163"/>
      <c r="S121"/>
    </row>
    <row r="122" spans="3:19" ht="15.6" outlineLevel="1">
      <c r="C122" s="150"/>
      <c r="D122" s="155"/>
      <c r="E122" s="155"/>
      <c r="F122" s="159"/>
      <c r="G122" s="66"/>
      <c r="H122" s="72"/>
      <c r="I122" s="542"/>
      <c r="J122" s="69"/>
      <c r="K122" s="70" t="str">
        <f t="shared" si="2"/>
        <v/>
      </c>
      <c r="L122" s="69">
        <f t="shared" si="3"/>
        <v>0</v>
      </c>
      <c r="P122" s="163"/>
      <c r="Q122" s="163"/>
      <c r="S122"/>
    </row>
    <row r="123" spans="3:19" ht="15.6" outlineLevel="1">
      <c r="C123" s="150"/>
      <c r="D123" s="155"/>
      <c r="E123" s="155"/>
      <c r="F123" s="159"/>
      <c r="G123" s="66"/>
      <c r="H123" s="72"/>
      <c r="I123" s="542"/>
      <c r="J123" s="69"/>
      <c r="K123" s="70" t="str">
        <f t="shared" si="2"/>
        <v/>
      </c>
      <c r="L123" s="69">
        <f t="shared" si="3"/>
        <v>0</v>
      </c>
      <c r="P123" s="163"/>
      <c r="Q123" s="163"/>
      <c r="S123"/>
    </row>
    <row r="124" spans="3:19" ht="15.6" outlineLevel="1">
      <c r="C124" s="150"/>
      <c r="D124" s="155"/>
      <c r="E124" s="155"/>
      <c r="F124" s="159"/>
      <c r="G124" s="66"/>
      <c r="H124" s="72"/>
      <c r="I124" s="542"/>
      <c r="J124" s="69"/>
      <c r="K124" s="70" t="str">
        <f t="shared" si="2"/>
        <v/>
      </c>
      <c r="L124" s="69">
        <f t="shared" si="3"/>
        <v>0</v>
      </c>
      <c r="P124" s="163"/>
      <c r="Q124" s="163"/>
      <c r="S124"/>
    </row>
    <row r="125" spans="3:19" ht="15.6" outlineLevel="1">
      <c r="C125" s="150"/>
      <c r="D125" s="155"/>
      <c r="E125" s="155"/>
      <c r="F125" s="159"/>
      <c r="G125" s="66"/>
      <c r="H125" s="72"/>
      <c r="I125" s="542"/>
      <c r="J125" s="69"/>
      <c r="K125" s="70" t="str">
        <f t="shared" si="2"/>
        <v/>
      </c>
      <c r="L125" s="69">
        <f t="shared" si="3"/>
        <v>0</v>
      </c>
      <c r="P125" s="163"/>
      <c r="Q125" s="163"/>
      <c r="S125"/>
    </row>
    <row r="126" spans="3:19" ht="15.6" outlineLevel="1">
      <c r="C126" s="150"/>
      <c r="D126" s="155"/>
      <c r="E126" s="155"/>
      <c r="F126" s="159"/>
      <c r="G126" s="66"/>
      <c r="H126" s="72"/>
      <c r="I126" s="542"/>
      <c r="J126" s="69"/>
      <c r="K126" s="70" t="str">
        <f t="shared" si="2"/>
        <v/>
      </c>
      <c r="L126" s="69">
        <f t="shared" si="3"/>
        <v>0</v>
      </c>
      <c r="P126" s="163"/>
      <c r="Q126" s="163"/>
      <c r="S126"/>
    </row>
    <row r="127" spans="3:19" ht="15.6" outlineLevel="1">
      <c r="C127" s="150"/>
      <c r="D127" s="155"/>
      <c r="E127" s="155"/>
      <c r="F127" s="159"/>
      <c r="G127" s="66"/>
      <c r="H127" s="72"/>
      <c r="I127" s="542"/>
      <c r="J127" s="69"/>
      <c r="K127" s="70" t="str">
        <f t="shared" si="2"/>
        <v/>
      </c>
      <c r="L127" s="69">
        <f t="shared" si="3"/>
        <v>0</v>
      </c>
      <c r="P127" s="163"/>
      <c r="Q127" s="163"/>
      <c r="S127"/>
    </row>
    <row r="128" spans="3:19" ht="15.6" outlineLevel="1">
      <c r="C128" s="150"/>
      <c r="D128" s="155"/>
      <c r="E128" s="155"/>
      <c r="F128" s="159"/>
      <c r="G128" s="66"/>
      <c r="H128" s="72"/>
      <c r="I128" s="542"/>
      <c r="J128" s="69"/>
      <c r="K128" s="70" t="str">
        <f t="shared" si="2"/>
        <v/>
      </c>
      <c r="L128" s="69">
        <f t="shared" si="3"/>
        <v>0</v>
      </c>
      <c r="P128" s="163"/>
      <c r="Q128" s="163"/>
      <c r="S128"/>
    </row>
    <row r="129" spans="3:19" ht="15.6" outlineLevel="1">
      <c r="C129" s="150"/>
      <c r="D129" s="155"/>
      <c r="E129" s="155"/>
      <c r="F129" s="159"/>
      <c r="G129" s="66"/>
      <c r="H129" s="72"/>
      <c r="I129" s="542"/>
      <c r="J129" s="69"/>
      <c r="K129" s="70" t="str">
        <f t="shared" si="2"/>
        <v/>
      </c>
      <c r="L129" s="69">
        <f t="shared" si="3"/>
        <v>0</v>
      </c>
      <c r="P129" s="163"/>
      <c r="Q129" s="163"/>
      <c r="S129"/>
    </row>
    <row r="130" spans="3:19" ht="15.6" outlineLevel="1">
      <c r="C130" s="150"/>
      <c r="D130" s="155"/>
      <c r="E130" s="155"/>
      <c r="F130" s="159"/>
      <c r="G130" s="66"/>
      <c r="H130" s="72"/>
      <c r="I130" s="542"/>
      <c r="J130" s="69"/>
      <c r="K130" s="70" t="str">
        <f t="shared" si="2"/>
        <v/>
      </c>
      <c r="L130" s="69">
        <f t="shared" si="3"/>
        <v>0</v>
      </c>
      <c r="P130" s="163"/>
      <c r="Q130" s="163"/>
      <c r="S130"/>
    </row>
    <row r="131" spans="3:19" ht="15.6" outlineLevel="1">
      <c r="C131" s="150"/>
      <c r="D131" s="155"/>
      <c r="E131" s="155"/>
      <c r="F131" s="159"/>
      <c r="G131" s="66"/>
      <c r="H131" s="72"/>
      <c r="I131" s="542"/>
      <c r="J131" s="69"/>
      <c r="K131" s="70" t="str">
        <f t="shared" si="2"/>
        <v/>
      </c>
      <c r="L131" s="69">
        <f t="shared" si="3"/>
        <v>0</v>
      </c>
      <c r="P131" s="163"/>
      <c r="Q131" s="163"/>
      <c r="S131"/>
    </row>
    <row r="132" spans="3:19" ht="15.6" outlineLevel="1">
      <c r="C132" s="150"/>
      <c r="D132" s="155"/>
      <c r="E132" s="155"/>
      <c r="F132" s="159"/>
      <c r="G132" s="66"/>
      <c r="H132" s="72"/>
      <c r="I132" s="542"/>
      <c r="J132" s="69"/>
      <c r="K132" s="70" t="str">
        <f t="shared" si="2"/>
        <v/>
      </c>
      <c r="L132" s="69">
        <f t="shared" si="3"/>
        <v>0</v>
      </c>
      <c r="P132" s="163"/>
      <c r="Q132" s="163"/>
      <c r="S132"/>
    </row>
    <row r="133" spans="3:19" ht="15.6" outlineLevel="1">
      <c r="C133" s="150"/>
      <c r="D133" s="155"/>
      <c r="E133" s="155"/>
      <c r="F133" s="159"/>
      <c r="G133" s="66"/>
      <c r="H133" s="72"/>
      <c r="I133" s="542"/>
      <c r="J133" s="69"/>
      <c r="K133" s="70" t="str">
        <f t="shared" si="2"/>
        <v/>
      </c>
      <c r="L133" s="69">
        <f t="shared" si="3"/>
        <v>0</v>
      </c>
      <c r="P133" s="163"/>
      <c r="Q133" s="163"/>
      <c r="S133"/>
    </row>
    <row r="134" spans="3:19" ht="15.6" outlineLevel="1">
      <c r="C134" s="150"/>
      <c r="D134" s="155"/>
      <c r="E134" s="155"/>
      <c r="F134" s="159"/>
      <c r="G134" s="66"/>
      <c r="H134" s="72"/>
      <c r="I134" s="542"/>
      <c r="J134" s="69"/>
      <c r="K134" s="70" t="str">
        <f t="shared" si="2"/>
        <v/>
      </c>
      <c r="L134" s="69">
        <f t="shared" si="3"/>
        <v>0</v>
      </c>
      <c r="P134" s="163"/>
      <c r="Q134" s="163"/>
      <c r="S134"/>
    </row>
    <row r="135" spans="3:19" ht="15.6" outlineLevel="1">
      <c r="C135" s="150"/>
      <c r="D135" s="155"/>
      <c r="E135" s="155"/>
      <c r="F135" s="159"/>
      <c r="G135" s="66"/>
      <c r="H135" s="72"/>
      <c r="I135" s="542"/>
      <c r="J135" s="69"/>
      <c r="K135" s="70" t="str">
        <f t="shared" si="2"/>
        <v/>
      </c>
      <c r="L135" s="69">
        <f t="shared" si="3"/>
        <v>0</v>
      </c>
      <c r="P135" s="163"/>
      <c r="Q135" s="163"/>
      <c r="S135"/>
    </row>
    <row r="136" spans="3:19" ht="15.6" outlineLevel="1">
      <c r="C136" s="150"/>
      <c r="D136" s="155"/>
      <c r="E136" s="155"/>
      <c r="F136" s="159"/>
      <c r="G136" s="66"/>
      <c r="H136" s="72"/>
      <c r="I136" s="542"/>
      <c r="J136" s="69"/>
      <c r="K136" s="70" t="str">
        <f t="shared" si="2"/>
        <v/>
      </c>
      <c r="L136" s="69">
        <f t="shared" si="3"/>
        <v>0</v>
      </c>
      <c r="P136" s="163"/>
      <c r="Q136" s="163"/>
      <c r="S136"/>
    </row>
    <row r="137" spans="3:19" ht="15.6" outlineLevel="1">
      <c r="C137" s="150"/>
      <c r="D137" s="155"/>
      <c r="E137" s="155"/>
      <c r="F137" s="159"/>
      <c r="G137" s="66"/>
      <c r="H137" s="72"/>
      <c r="I137" s="542"/>
      <c r="J137" s="69"/>
      <c r="K137" s="70" t="str">
        <f t="shared" si="2"/>
        <v/>
      </c>
      <c r="L137" s="69">
        <f t="shared" si="3"/>
        <v>0</v>
      </c>
      <c r="P137" s="163"/>
      <c r="Q137" s="163"/>
      <c r="S137"/>
    </row>
    <row r="138" spans="3:19" ht="15.6" outlineLevel="1">
      <c r="C138" s="150"/>
      <c r="D138" s="155"/>
      <c r="E138" s="155"/>
      <c r="F138" s="159"/>
      <c r="G138" s="66"/>
      <c r="H138" s="72"/>
      <c r="I138" s="542"/>
      <c r="J138" s="69"/>
      <c r="K138" s="70" t="str">
        <f t="shared" si="2"/>
        <v/>
      </c>
      <c r="L138" s="69">
        <f t="shared" si="3"/>
        <v>0</v>
      </c>
      <c r="P138" s="163"/>
      <c r="Q138" s="163"/>
      <c r="S138"/>
    </row>
    <row r="139" spans="3:19" ht="15.6" outlineLevel="1">
      <c r="C139" s="150"/>
      <c r="D139" s="155"/>
      <c r="E139" s="155"/>
      <c r="F139" s="159"/>
      <c r="G139" s="66"/>
      <c r="H139" s="72"/>
      <c r="I139" s="542"/>
      <c r="J139" s="69"/>
      <c r="K139" s="70" t="str">
        <f t="shared" si="2"/>
        <v/>
      </c>
      <c r="L139" s="69">
        <f t="shared" si="3"/>
        <v>0</v>
      </c>
      <c r="P139" s="163"/>
      <c r="Q139" s="163"/>
      <c r="S139"/>
    </row>
    <row r="140" spans="3:19" ht="15.6" outlineLevel="1">
      <c r="C140" s="150"/>
      <c r="D140" s="155"/>
      <c r="E140" s="155"/>
      <c r="F140" s="159"/>
      <c r="G140" s="66"/>
      <c r="H140" s="72"/>
      <c r="I140" s="542"/>
      <c r="J140" s="69"/>
      <c r="K140" s="70" t="str">
        <f t="shared" si="2"/>
        <v/>
      </c>
      <c r="L140" s="69">
        <f t="shared" si="3"/>
        <v>0</v>
      </c>
      <c r="P140" s="163"/>
      <c r="Q140" s="163"/>
      <c r="S140"/>
    </row>
    <row r="141" spans="3:19" ht="15.6" outlineLevel="1">
      <c r="C141" s="150"/>
      <c r="D141" s="155"/>
      <c r="E141" s="155"/>
      <c r="F141" s="159"/>
      <c r="G141" s="66"/>
      <c r="H141" s="72"/>
      <c r="I141" s="542"/>
      <c r="J141" s="69"/>
      <c r="K141" s="70" t="str">
        <f t="shared" si="2"/>
        <v/>
      </c>
      <c r="L141" s="69">
        <f t="shared" si="3"/>
        <v>0</v>
      </c>
      <c r="P141" s="163"/>
      <c r="Q141" s="163"/>
      <c r="S141"/>
    </row>
    <row r="142" spans="3:19" ht="15.6" outlineLevel="1">
      <c r="C142" s="150"/>
      <c r="D142" s="155"/>
      <c r="E142" s="155"/>
      <c r="F142" s="159"/>
      <c r="G142" s="66"/>
      <c r="H142" s="72"/>
      <c r="I142" s="542"/>
      <c r="J142" s="69"/>
      <c r="K142" s="70" t="str">
        <f t="shared" si="2"/>
        <v/>
      </c>
      <c r="L142" s="69">
        <f t="shared" si="3"/>
        <v>0</v>
      </c>
      <c r="P142" s="163"/>
      <c r="Q142" s="163"/>
      <c r="S142"/>
    </row>
    <row r="143" spans="3:19" ht="15.6" outlineLevel="1">
      <c r="C143" s="150"/>
      <c r="D143" s="155"/>
      <c r="E143" s="155"/>
      <c r="F143" s="159"/>
      <c r="G143" s="66"/>
      <c r="H143" s="72"/>
      <c r="I143" s="542"/>
      <c r="J143" s="69"/>
      <c r="K143" s="70" t="str">
        <f t="shared" si="2"/>
        <v/>
      </c>
      <c r="L143" s="69">
        <f t="shared" si="3"/>
        <v>0</v>
      </c>
      <c r="P143" s="163"/>
      <c r="Q143" s="163"/>
      <c r="S143"/>
    </row>
    <row r="144" spans="3:19" ht="15.6" outlineLevel="1">
      <c r="C144" s="150"/>
      <c r="D144" s="155"/>
      <c r="E144" s="155"/>
      <c r="F144" s="159"/>
      <c r="G144" s="66"/>
      <c r="H144" s="72"/>
      <c r="I144" s="542"/>
      <c r="J144" s="69"/>
      <c r="K144" s="70" t="str">
        <f t="shared" si="2"/>
        <v/>
      </c>
      <c r="L144" s="69">
        <f t="shared" si="3"/>
        <v>0</v>
      </c>
      <c r="P144" s="163"/>
      <c r="Q144" s="163"/>
      <c r="S144"/>
    </row>
    <row r="145" spans="3:19" ht="15.6" outlineLevel="1">
      <c r="C145" s="150"/>
      <c r="D145" s="155"/>
      <c r="E145" s="155"/>
      <c r="F145" s="159"/>
      <c r="G145" s="66"/>
      <c r="H145" s="72"/>
      <c r="I145" s="542"/>
      <c r="J145" s="69"/>
      <c r="K145" s="70" t="str">
        <f t="shared" ref="K145:K208" si="4">IF(J145=0,"",+LOOKUP(J145,$P$17:$P$43,$Q$17:$Q$43))</f>
        <v/>
      </c>
      <c r="L145" s="69">
        <f t="shared" ref="L145:L208" si="5">IF(J145="",0,+LOOKUP(J145,$P$17:$P$42,$R$17:$R$42))</f>
        <v>0</v>
      </c>
      <c r="P145" s="163"/>
      <c r="Q145" s="163"/>
      <c r="S145"/>
    </row>
    <row r="146" spans="3:19" ht="15.6" outlineLevel="1">
      <c r="C146" s="150"/>
      <c r="D146" s="155"/>
      <c r="E146" s="155"/>
      <c r="F146" s="159"/>
      <c r="G146" s="66"/>
      <c r="H146" s="72"/>
      <c r="I146" s="542"/>
      <c r="J146" s="69"/>
      <c r="K146" s="70" t="str">
        <f t="shared" si="4"/>
        <v/>
      </c>
      <c r="L146" s="69">
        <f t="shared" si="5"/>
        <v>0</v>
      </c>
      <c r="P146" s="163"/>
      <c r="Q146" s="163"/>
      <c r="S146"/>
    </row>
    <row r="147" spans="3:19" ht="15.6" outlineLevel="1">
      <c r="C147" s="150"/>
      <c r="D147" s="155"/>
      <c r="E147" s="155"/>
      <c r="F147" s="159"/>
      <c r="G147" s="66"/>
      <c r="H147" s="72"/>
      <c r="I147" s="542"/>
      <c r="J147" s="69"/>
      <c r="K147" s="70" t="str">
        <f t="shared" si="4"/>
        <v/>
      </c>
      <c r="L147" s="69">
        <f t="shared" si="5"/>
        <v>0</v>
      </c>
      <c r="P147" s="163"/>
      <c r="Q147" s="163"/>
      <c r="S147"/>
    </row>
    <row r="148" spans="3:19" ht="15.6" outlineLevel="1">
      <c r="C148" s="150"/>
      <c r="D148" s="155"/>
      <c r="E148" s="155"/>
      <c r="F148" s="159"/>
      <c r="G148" s="66"/>
      <c r="H148" s="72"/>
      <c r="I148" s="542"/>
      <c r="J148" s="69"/>
      <c r="K148" s="70" t="str">
        <f t="shared" si="4"/>
        <v/>
      </c>
      <c r="L148" s="69">
        <f t="shared" si="5"/>
        <v>0</v>
      </c>
      <c r="P148" s="163"/>
      <c r="Q148" s="163"/>
      <c r="S148"/>
    </row>
    <row r="149" spans="3:19" ht="15.6" outlineLevel="1">
      <c r="C149" s="150"/>
      <c r="D149" s="155"/>
      <c r="E149" s="155"/>
      <c r="F149" s="159"/>
      <c r="G149" s="66"/>
      <c r="H149" s="72"/>
      <c r="I149" s="542"/>
      <c r="J149" s="69"/>
      <c r="K149" s="70" t="str">
        <f t="shared" si="4"/>
        <v/>
      </c>
      <c r="L149" s="69">
        <f t="shared" si="5"/>
        <v>0</v>
      </c>
      <c r="P149" s="163"/>
      <c r="Q149" s="163"/>
      <c r="S149"/>
    </row>
    <row r="150" spans="3:19" ht="15.6" outlineLevel="1">
      <c r="C150" s="150"/>
      <c r="D150" s="155"/>
      <c r="E150" s="155"/>
      <c r="F150" s="159"/>
      <c r="G150" s="66"/>
      <c r="H150" s="72"/>
      <c r="I150" s="542"/>
      <c r="J150" s="69"/>
      <c r="K150" s="70" t="str">
        <f t="shared" si="4"/>
        <v/>
      </c>
      <c r="L150" s="69">
        <f t="shared" si="5"/>
        <v>0</v>
      </c>
      <c r="P150" s="163"/>
      <c r="Q150" s="163"/>
      <c r="S150"/>
    </row>
    <row r="151" spans="3:19" ht="15.6" outlineLevel="1">
      <c r="C151" s="150"/>
      <c r="D151" s="155"/>
      <c r="E151" s="155"/>
      <c r="F151" s="159"/>
      <c r="G151" s="66"/>
      <c r="H151" s="72"/>
      <c r="I151" s="542"/>
      <c r="J151" s="69"/>
      <c r="K151" s="70" t="str">
        <f t="shared" si="4"/>
        <v/>
      </c>
      <c r="L151" s="69">
        <f t="shared" si="5"/>
        <v>0</v>
      </c>
      <c r="P151" s="163"/>
      <c r="Q151" s="163"/>
      <c r="S151"/>
    </row>
    <row r="152" spans="3:19" ht="15.6" outlineLevel="1">
      <c r="C152" s="150"/>
      <c r="D152" s="155"/>
      <c r="E152" s="155"/>
      <c r="F152" s="159"/>
      <c r="G152" s="66"/>
      <c r="H152" s="72"/>
      <c r="I152" s="542"/>
      <c r="J152" s="69"/>
      <c r="K152" s="70" t="str">
        <f t="shared" si="4"/>
        <v/>
      </c>
      <c r="L152" s="69">
        <f t="shared" si="5"/>
        <v>0</v>
      </c>
      <c r="P152" s="163"/>
      <c r="Q152" s="163"/>
      <c r="S152"/>
    </row>
    <row r="153" spans="3:19" ht="15.6" outlineLevel="1">
      <c r="C153" s="150"/>
      <c r="D153" s="155"/>
      <c r="E153" s="155"/>
      <c r="F153" s="159"/>
      <c r="G153" s="66"/>
      <c r="H153" s="72"/>
      <c r="I153" s="542"/>
      <c r="J153" s="69"/>
      <c r="K153" s="70" t="str">
        <f t="shared" si="4"/>
        <v/>
      </c>
      <c r="L153" s="69">
        <f t="shared" si="5"/>
        <v>0</v>
      </c>
      <c r="P153" s="163"/>
      <c r="Q153" s="163"/>
      <c r="S153"/>
    </row>
    <row r="154" spans="3:19" ht="15.6" outlineLevel="1">
      <c r="C154" s="150"/>
      <c r="D154" s="155"/>
      <c r="E154" s="155"/>
      <c r="F154" s="159"/>
      <c r="G154" s="66"/>
      <c r="H154" s="72"/>
      <c r="I154" s="542"/>
      <c r="J154" s="69"/>
      <c r="K154" s="70" t="str">
        <f t="shared" si="4"/>
        <v/>
      </c>
      <c r="L154" s="69">
        <f t="shared" si="5"/>
        <v>0</v>
      </c>
      <c r="P154" s="163"/>
      <c r="Q154" s="163"/>
      <c r="S154"/>
    </row>
    <row r="155" spans="3:19" ht="15.6" outlineLevel="1">
      <c r="C155" s="150"/>
      <c r="D155" s="155"/>
      <c r="E155" s="155"/>
      <c r="F155" s="159"/>
      <c r="G155" s="66"/>
      <c r="H155" s="72"/>
      <c r="I155" s="542"/>
      <c r="J155" s="69"/>
      <c r="K155" s="70" t="str">
        <f t="shared" si="4"/>
        <v/>
      </c>
      <c r="L155" s="69">
        <f t="shared" si="5"/>
        <v>0</v>
      </c>
      <c r="P155" s="163"/>
      <c r="Q155" s="163"/>
      <c r="S155"/>
    </row>
    <row r="156" spans="3:19" ht="15.6" outlineLevel="1">
      <c r="C156" s="150"/>
      <c r="D156" s="155"/>
      <c r="E156" s="155"/>
      <c r="F156" s="159"/>
      <c r="G156" s="66"/>
      <c r="H156" s="72"/>
      <c r="I156" s="542"/>
      <c r="J156" s="69"/>
      <c r="K156" s="70" t="str">
        <f t="shared" si="4"/>
        <v/>
      </c>
      <c r="L156" s="69">
        <f t="shared" si="5"/>
        <v>0</v>
      </c>
      <c r="P156" s="163"/>
      <c r="Q156" s="163"/>
      <c r="S156"/>
    </row>
    <row r="157" spans="3:19" ht="15.6" outlineLevel="1">
      <c r="C157" s="150"/>
      <c r="D157" s="155"/>
      <c r="E157" s="155"/>
      <c r="F157" s="159"/>
      <c r="G157" s="66"/>
      <c r="H157" s="72"/>
      <c r="I157" s="542"/>
      <c r="J157" s="69"/>
      <c r="K157" s="70" t="str">
        <f t="shared" si="4"/>
        <v/>
      </c>
      <c r="L157" s="69">
        <f t="shared" si="5"/>
        <v>0</v>
      </c>
      <c r="P157" s="163"/>
      <c r="Q157" s="163"/>
      <c r="S157"/>
    </row>
    <row r="158" spans="3:19" ht="15.6" outlineLevel="1">
      <c r="C158" s="150"/>
      <c r="D158" s="155"/>
      <c r="E158" s="155"/>
      <c r="F158" s="159"/>
      <c r="G158" s="66"/>
      <c r="H158" s="72"/>
      <c r="I158" s="542"/>
      <c r="J158" s="69"/>
      <c r="K158" s="70" t="str">
        <f t="shared" si="4"/>
        <v/>
      </c>
      <c r="L158" s="69">
        <f t="shared" si="5"/>
        <v>0</v>
      </c>
      <c r="P158" s="163"/>
      <c r="Q158" s="163"/>
      <c r="S158"/>
    </row>
    <row r="159" spans="3:19" ht="15.6" outlineLevel="1">
      <c r="C159" s="150"/>
      <c r="D159" s="155"/>
      <c r="E159" s="155"/>
      <c r="F159" s="159"/>
      <c r="G159" s="66"/>
      <c r="H159" s="72"/>
      <c r="I159" s="542"/>
      <c r="J159" s="69"/>
      <c r="K159" s="70" t="str">
        <f t="shared" si="4"/>
        <v/>
      </c>
      <c r="L159" s="69">
        <f t="shared" si="5"/>
        <v>0</v>
      </c>
      <c r="P159" s="163"/>
      <c r="Q159" s="163"/>
      <c r="S159"/>
    </row>
    <row r="160" spans="3:19" ht="15.6" outlineLevel="1">
      <c r="C160" s="150"/>
      <c r="D160" s="155"/>
      <c r="E160" s="155"/>
      <c r="F160" s="159"/>
      <c r="G160" s="66"/>
      <c r="H160" s="72"/>
      <c r="I160" s="542"/>
      <c r="J160" s="69"/>
      <c r="K160" s="70" t="str">
        <f t="shared" si="4"/>
        <v/>
      </c>
      <c r="L160" s="69">
        <f t="shared" si="5"/>
        <v>0</v>
      </c>
      <c r="P160" s="163"/>
      <c r="Q160" s="163"/>
      <c r="S160"/>
    </row>
    <row r="161" spans="3:19" ht="15.6" outlineLevel="1">
      <c r="C161" s="150"/>
      <c r="D161" s="155"/>
      <c r="E161" s="155"/>
      <c r="F161" s="159"/>
      <c r="G161" s="66"/>
      <c r="H161" s="72"/>
      <c r="I161" s="542"/>
      <c r="J161" s="69"/>
      <c r="K161" s="70" t="str">
        <f t="shared" si="4"/>
        <v/>
      </c>
      <c r="L161" s="69">
        <f t="shared" si="5"/>
        <v>0</v>
      </c>
      <c r="P161" s="163"/>
      <c r="Q161" s="163"/>
      <c r="S161"/>
    </row>
    <row r="162" spans="3:19" ht="15.6" outlineLevel="1">
      <c r="C162" s="150"/>
      <c r="D162" s="155"/>
      <c r="E162" s="155"/>
      <c r="F162" s="159"/>
      <c r="G162" s="66"/>
      <c r="H162" s="72"/>
      <c r="I162" s="542"/>
      <c r="J162" s="69"/>
      <c r="K162" s="70" t="str">
        <f t="shared" si="4"/>
        <v/>
      </c>
      <c r="L162" s="69">
        <f t="shared" si="5"/>
        <v>0</v>
      </c>
      <c r="P162" s="163"/>
      <c r="Q162" s="163"/>
      <c r="S162"/>
    </row>
    <row r="163" spans="3:19" ht="15.6" outlineLevel="1">
      <c r="C163" s="150"/>
      <c r="D163" s="155"/>
      <c r="E163" s="155"/>
      <c r="F163" s="159"/>
      <c r="G163" s="66"/>
      <c r="H163" s="72"/>
      <c r="I163" s="542"/>
      <c r="J163" s="69"/>
      <c r="K163" s="70" t="str">
        <f t="shared" si="4"/>
        <v/>
      </c>
      <c r="L163" s="69">
        <f t="shared" si="5"/>
        <v>0</v>
      </c>
      <c r="P163" s="163"/>
      <c r="Q163" s="163"/>
      <c r="S163"/>
    </row>
    <row r="164" spans="3:19" ht="15.6" outlineLevel="1">
      <c r="C164" s="150"/>
      <c r="D164" s="155"/>
      <c r="E164" s="155"/>
      <c r="F164" s="159"/>
      <c r="G164" s="66"/>
      <c r="H164" s="72"/>
      <c r="I164" s="542"/>
      <c r="J164" s="69"/>
      <c r="K164" s="70" t="str">
        <f t="shared" si="4"/>
        <v/>
      </c>
      <c r="L164" s="69">
        <f t="shared" si="5"/>
        <v>0</v>
      </c>
      <c r="P164" s="163"/>
      <c r="Q164" s="163"/>
      <c r="S164"/>
    </row>
    <row r="165" spans="3:19" ht="15.6" outlineLevel="1">
      <c r="C165" s="150"/>
      <c r="D165" s="155"/>
      <c r="E165" s="155"/>
      <c r="F165" s="159"/>
      <c r="G165" s="66"/>
      <c r="H165" s="72"/>
      <c r="I165" s="542"/>
      <c r="J165" s="69"/>
      <c r="K165" s="70" t="str">
        <f t="shared" si="4"/>
        <v/>
      </c>
      <c r="L165" s="69">
        <f t="shared" si="5"/>
        <v>0</v>
      </c>
      <c r="P165" s="163"/>
      <c r="Q165" s="163"/>
      <c r="S165"/>
    </row>
    <row r="166" spans="3:19" ht="15.6" outlineLevel="1">
      <c r="C166" s="150"/>
      <c r="D166" s="155"/>
      <c r="E166" s="155"/>
      <c r="F166" s="159"/>
      <c r="G166" s="66"/>
      <c r="H166" s="72"/>
      <c r="I166" s="542"/>
      <c r="J166" s="69"/>
      <c r="K166" s="70" t="str">
        <f t="shared" si="4"/>
        <v/>
      </c>
      <c r="L166" s="69">
        <f t="shared" si="5"/>
        <v>0</v>
      </c>
      <c r="P166" s="163"/>
      <c r="Q166" s="163"/>
      <c r="S166"/>
    </row>
    <row r="167" spans="3:19" ht="15.6" outlineLevel="1">
      <c r="C167" s="150"/>
      <c r="D167" s="155"/>
      <c r="E167" s="155"/>
      <c r="F167" s="159"/>
      <c r="G167" s="66"/>
      <c r="H167" s="72"/>
      <c r="I167" s="542"/>
      <c r="J167" s="69"/>
      <c r="K167" s="70" t="str">
        <f t="shared" si="4"/>
        <v/>
      </c>
      <c r="L167" s="69">
        <f t="shared" si="5"/>
        <v>0</v>
      </c>
      <c r="P167" s="163"/>
      <c r="Q167" s="163"/>
      <c r="S167"/>
    </row>
    <row r="168" spans="3:19" ht="15.6" outlineLevel="1">
      <c r="C168" s="150"/>
      <c r="D168" s="155"/>
      <c r="E168" s="155"/>
      <c r="F168" s="159"/>
      <c r="G168" s="66"/>
      <c r="H168" s="72"/>
      <c r="I168" s="542"/>
      <c r="J168" s="69"/>
      <c r="K168" s="70" t="str">
        <f t="shared" si="4"/>
        <v/>
      </c>
      <c r="L168" s="69">
        <f t="shared" si="5"/>
        <v>0</v>
      </c>
      <c r="P168" s="163"/>
      <c r="Q168" s="163"/>
      <c r="S168"/>
    </row>
    <row r="169" spans="3:19" ht="15.6" outlineLevel="1">
      <c r="C169" s="150"/>
      <c r="D169" s="155"/>
      <c r="E169" s="155"/>
      <c r="F169" s="159"/>
      <c r="G169" s="66"/>
      <c r="H169" s="72"/>
      <c r="I169" s="542"/>
      <c r="J169" s="69"/>
      <c r="K169" s="70" t="str">
        <f t="shared" si="4"/>
        <v/>
      </c>
      <c r="L169" s="69">
        <f t="shared" si="5"/>
        <v>0</v>
      </c>
      <c r="P169" s="163"/>
      <c r="Q169" s="163"/>
      <c r="S169"/>
    </row>
    <row r="170" spans="3:19" ht="15.6" outlineLevel="1">
      <c r="C170" s="150"/>
      <c r="D170" s="155"/>
      <c r="E170" s="155"/>
      <c r="F170" s="159"/>
      <c r="G170" s="66"/>
      <c r="H170" s="72"/>
      <c r="I170" s="542"/>
      <c r="J170" s="69"/>
      <c r="K170" s="70" t="str">
        <f t="shared" si="4"/>
        <v/>
      </c>
      <c r="L170" s="69">
        <f t="shared" si="5"/>
        <v>0</v>
      </c>
      <c r="P170" s="163"/>
      <c r="Q170" s="163"/>
      <c r="S170"/>
    </row>
    <row r="171" spans="3:19" ht="15.6" outlineLevel="1">
      <c r="C171" s="150"/>
      <c r="D171" s="155"/>
      <c r="E171" s="155"/>
      <c r="F171" s="159"/>
      <c r="G171" s="66"/>
      <c r="H171" s="72"/>
      <c r="I171" s="542"/>
      <c r="J171" s="69"/>
      <c r="K171" s="70" t="str">
        <f t="shared" si="4"/>
        <v/>
      </c>
      <c r="L171" s="69">
        <f t="shared" si="5"/>
        <v>0</v>
      </c>
      <c r="P171" s="163"/>
      <c r="Q171" s="163"/>
      <c r="S171"/>
    </row>
    <row r="172" spans="3:19" ht="15.6" outlineLevel="1">
      <c r="C172" s="150"/>
      <c r="D172" s="155"/>
      <c r="E172" s="155"/>
      <c r="F172" s="159"/>
      <c r="G172" s="66"/>
      <c r="H172" s="72"/>
      <c r="I172" s="542"/>
      <c r="J172" s="69"/>
      <c r="K172" s="70" t="str">
        <f t="shared" si="4"/>
        <v/>
      </c>
      <c r="L172" s="69">
        <f t="shared" si="5"/>
        <v>0</v>
      </c>
      <c r="P172" s="163"/>
      <c r="Q172" s="163"/>
      <c r="S172"/>
    </row>
    <row r="173" spans="3:19" ht="15.6" outlineLevel="1">
      <c r="C173" s="150"/>
      <c r="D173" s="155"/>
      <c r="E173" s="155"/>
      <c r="F173" s="159"/>
      <c r="G173" s="66"/>
      <c r="H173" s="72"/>
      <c r="I173" s="542"/>
      <c r="J173" s="69"/>
      <c r="K173" s="70" t="str">
        <f t="shared" si="4"/>
        <v/>
      </c>
      <c r="L173" s="69">
        <f t="shared" si="5"/>
        <v>0</v>
      </c>
      <c r="P173" s="163"/>
      <c r="Q173" s="163"/>
      <c r="S173"/>
    </row>
    <row r="174" spans="3:19" ht="15.6" outlineLevel="1">
      <c r="C174" s="150"/>
      <c r="D174" s="155"/>
      <c r="E174" s="155"/>
      <c r="F174" s="159"/>
      <c r="G174" s="66"/>
      <c r="H174" s="72"/>
      <c r="I174" s="542"/>
      <c r="J174" s="69"/>
      <c r="K174" s="70" t="str">
        <f t="shared" si="4"/>
        <v/>
      </c>
      <c r="L174" s="69">
        <f t="shared" si="5"/>
        <v>0</v>
      </c>
      <c r="P174" s="163"/>
      <c r="Q174" s="163"/>
      <c r="S174"/>
    </row>
    <row r="175" spans="3:19" ht="15.6" outlineLevel="1">
      <c r="C175" s="150"/>
      <c r="D175" s="155"/>
      <c r="E175" s="155"/>
      <c r="F175" s="159"/>
      <c r="G175" s="66"/>
      <c r="H175" s="72"/>
      <c r="I175" s="542"/>
      <c r="J175" s="69"/>
      <c r="K175" s="70" t="str">
        <f t="shared" si="4"/>
        <v/>
      </c>
      <c r="L175" s="69">
        <f t="shared" si="5"/>
        <v>0</v>
      </c>
      <c r="P175" s="163"/>
      <c r="Q175" s="163"/>
      <c r="S175"/>
    </row>
    <row r="176" spans="3:19" ht="15.6" outlineLevel="1">
      <c r="C176" s="150"/>
      <c r="D176" s="155"/>
      <c r="E176" s="155"/>
      <c r="F176" s="159"/>
      <c r="G176" s="66"/>
      <c r="H176" s="72"/>
      <c r="I176" s="542"/>
      <c r="J176" s="69"/>
      <c r="K176" s="70" t="str">
        <f t="shared" si="4"/>
        <v/>
      </c>
      <c r="L176" s="69">
        <f t="shared" si="5"/>
        <v>0</v>
      </c>
      <c r="P176" s="163"/>
      <c r="Q176" s="163"/>
      <c r="S176"/>
    </row>
    <row r="177" spans="3:19" ht="15.6" outlineLevel="1">
      <c r="C177" s="150"/>
      <c r="D177" s="155"/>
      <c r="E177" s="155"/>
      <c r="F177" s="159"/>
      <c r="G177" s="66"/>
      <c r="H177" s="72"/>
      <c r="I177" s="542"/>
      <c r="J177" s="69"/>
      <c r="K177" s="70" t="str">
        <f t="shared" si="4"/>
        <v/>
      </c>
      <c r="L177" s="69">
        <f t="shared" si="5"/>
        <v>0</v>
      </c>
      <c r="P177" s="163"/>
      <c r="Q177" s="163"/>
      <c r="S177"/>
    </row>
    <row r="178" spans="3:19" ht="15.6" outlineLevel="1">
      <c r="C178" s="150"/>
      <c r="D178" s="155"/>
      <c r="E178" s="155"/>
      <c r="F178" s="159"/>
      <c r="G178" s="66"/>
      <c r="H178" s="72"/>
      <c r="I178" s="542"/>
      <c r="J178" s="69"/>
      <c r="K178" s="70" t="str">
        <f t="shared" si="4"/>
        <v/>
      </c>
      <c r="L178" s="69">
        <f t="shared" si="5"/>
        <v>0</v>
      </c>
      <c r="P178" s="163"/>
      <c r="Q178" s="163"/>
      <c r="S178"/>
    </row>
    <row r="179" spans="3:19" ht="15.6" outlineLevel="1">
      <c r="C179" s="150"/>
      <c r="D179" s="155"/>
      <c r="E179" s="155"/>
      <c r="F179" s="159"/>
      <c r="G179" s="66"/>
      <c r="H179" s="72"/>
      <c r="I179" s="542"/>
      <c r="J179" s="69"/>
      <c r="K179" s="70" t="str">
        <f t="shared" si="4"/>
        <v/>
      </c>
      <c r="L179" s="69">
        <f t="shared" si="5"/>
        <v>0</v>
      </c>
      <c r="P179" s="163"/>
      <c r="Q179" s="163"/>
      <c r="S179"/>
    </row>
    <row r="180" spans="3:19" ht="15.6" outlineLevel="1">
      <c r="C180" s="150"/>
      <c r="D180" s="155"/>
      <c r="E180" s="155"/>
      <c r="F180" s="159"/>
      <c r="G180" s="66"/>
      <c r="H180" s="72"/>
      <c r="I180" s="542"/>
      <c r="J180" s="69"/>
      <c r="K180" s="70" t="str">
        <f t="shared" si="4"/>
        <v/>
      </c>
      <c r="L180" s="69">
        <f t="shared" si="5"/>
        <v>0</v>
      </c>
      <c r="P180" s="163"/>
      <c r="Q180" s="163"/>
      <c r="S180"/>
    </row>
    <row r="181" spans="3:19" ht="15.6" outlineLevel="1">
      <c r="C181" s="150"/>
      <c r="D181" s="155"/>
      <c r="E181" s="155"/>
      <c r="F181" s="159"/>
      <c r="G181" s="66"/>
      <c r="H181" s="72"/>
      <c r="I181" s="542"/>
      <c r="J181" s="69"/>
      <c r="K181" s="70" t="str">
        <f t="shared" si="4"/>
        <v/>
      </c>
      <c r="L181" s="69">
        <f t="shared" si="5"/>
        <v>0</v>
      </c>
      <c r="P181" s="163"/>
      <c r="Q181" s="163"/>
      <c r="S181"/>
    </row>
    <row r="182" spans="3:19" ht="15.6" outlineLevel="1">
      <c r="C182" s="150"/>
      <c r="D182" s="155"/>
      <c r="E182" s="155"/>
      <c r="F182" s="159"/>
      <c r="G182" s="66"/>
      <c r="H182" s="72"/>
      <c r="I182" s="542"/>
      <c r="J182" s="69"/>
      <c r="K182" s="70" t="str">
        <f t="shared" si="4"/>
        <v/>
      </c>
      <c r="L182" s="69">
        <f t="shared" si="5"/>
        <v>0</v>
      </c>
      <c r="P182" s="163"/>
      <c r="Q182" s="163"/>
      <c r="S182"/>
    </row>
    <row r="183" spans="3:19" ht="15.6" outlineLevel="1">
      <c r="C183" s="150"/>
      <c r="D183" s="155"/>
      <c r="E183" s="155"/>
      <c r="F183" s="159"/>
      <c r="G183" s="66"/>
      <c r="H183" s="72"/>
      <c r="I183" s="542"/>
      <c r="J183" s="69"/>
      <c r="K183" s="70" t="str">
        <f t="shared" si="4"/>
        <v/>
      </c>
      <c r="L183" s="69">
        <f t="shared" si="5"/>
        <v>0</v>
      </c>
      <c r="P183" s="163"/>
      <c r="Q183" s="163"/>
      <c r="S183"/>
    </row>
    <row r="184" spans="3:19" ht="15.6" outlineLevel="1">
      <c r="C184" s="150"/>
      <c r="D184" s="155"/>
      <c r="E184" s="155"/>
      <c r="F184" s="159"/>
      <c r="G184" s="66"/>
      <c r="H184" s="72"/>
      <c r="I184" s="542"/>
      <c r="J184" s="69"/>
      <c r="K184" s="70" t="str">
        <f t="shared" si="4"/>
        <v/>
      </c>
      <c r="L184" s="69">
        <f t="shared" si="5"/>
        <v>0</v>
      </c>
      <c r="P184" s="163"/>
      <c r="Q184" s="163"/>
      <c r="S184"/>
    </row>
    <row r="185" spans="3:19" ht="15.6" outlineLevel="1">
      <c r="C185" s="150"/>
      <c r="D185" s="155"/>
      <c r="E185" s="155"/>
      <c r="F185" s="159"/>
      <c r="G185" s="66"/>
      <c r="H185" s="72"/>
      <c r="I185" s="542"/>
      <c r="J185" s="69"/>
      <c r="K185" s="70" t="str">
        <f t="shared" si="4"/>
        <v/>
      </c>
      <c r="L185" s="69">
        <f t="shared" si="5"/>
        <v>0</v>
      </c>
      <c r="P185" s="163"/>
      <c r="Q185" s="163"/>
      <c r="S185"/>
    </row>
    <row r="186" spans="3:19" ht="15.6" outlineLevel="1">
      <c r="C186" s="150"/>
      <c r="D186" s="155"/>
      <c r="E186" s="155"/>
      <c r="F186" s="159"/>
      <c r="G186" s="66"/>
      <c r="H186" s="72"/>
      <c r="I186" s="542"/>
      <c r="J186" s="69"/>
      <c r="K186" s="70" t="str">
        <f t="shared" si="4"/>
        <v/>
      </c>
      <c r="L186" s="69">
        <f t="shared" si="5"/>
        <v>0</v>
      </c>
      <c r="P186" s="163"/>
      <c r="Q186" s="163"/>
      <c r="S186"/>
    </row>
    <row r="187" spans="3:19" ht="15.6" outlineLevel="1">
      <c r="C187" s="150"/>
      <c r="D187" s="155"/>
      <c r="E187" s="155"/>
      <c r="F187" s="159"/>
      <c r="G187" s="66"/>
      <c r="H187" s="72"/>
      <c r="I187" s="542"/>
      <c r="J187" s="69"/>
      <c r="K187" s="70" t="str">
        <f t="shared" si="4"/>
        <v/>
      </c>
      <c r="L187" s="69">
        <f t="shared" si="5"/>
        <v>0</v>
      </c>
      <c r="P187" s="163"/>
      <c r="Q187" s="163"/>
      <c r="S187"/>
    </row>
    <row r="188" spans="3:19" ht="15.6" outlineLevel="1">
      <c r="C188" s="150"/>
      <c r="D188" s="155"/>
      <c r="E188" s="155"/>
      <c r="F188" s="159"/>
      <c r="G188" s="66"/>
      <c r="H188" s="72"/>
      <c r="I188" s="542"/>
      <c r="J188" s="69"/>
      <c r="K188" s="70" t="str">
        <f t="shared" si="4"/>
        <v/>
      </c>
      <c r="L188" s="69">
        <f t="shared" si="5"/>
        <v>0</v>
      </c>
      <c r="P188" s="163"/>
      <c r="Q188" s="163"/>
      <c r="S188"/>
    </row>
    <row r="189" spans="3:19" ht="15.6" outlineLevel="1">
      <c r="C189" s="150"/>
      <c r="D189" s="155"/>
      <c r="E189" s="155"/>
      <c r="F189" s="159"/>
      <c r="G189" s="66"/>
      <c r="H189" s="72"/>
      <c r="I189" s="542"/>
      <c r="J189" s="69"/>
      <c r="K189" s="70" t="str">
        <f t="shared" si="4"/>
        <v/>
      </c>
      <c r="L189" s="69">
        <f t="shared" si="5"/>
        <v>0</v>
      </c>
      <c r="P189" s="163"/>
      <c r="Q189" s="163"/>
      <c r="S189"/>
    </row>
    <row r="190" spans="3:19" ht="15.6" outlineLevel="1">
      <c r="C190" s="150"/>
      <c r="D190" s="155"/>
      <c r="E190" s="155"/>
      <c r="F190" s="159"/>
      <c r="G190" s="66"/>
      <c r="H190" s="72"/>
      <c r="I190" s="542"/>
      <c r="J190" s="69"/>
      <c r="K190" s="70" t="str">
        <f t="shared" si="4"/>
        <v/>
      </c>
      <c r="L190" s="69">
        <f t="shared" si="5"/>
        <v>0</v>
      </c>
      <c r="P190" s="163"/>
      <c r="Q190" s="163"/>
      <c r="S190"/>
    </row>
    <row r="191" spans="3:19" ht="15.6" outlineLevel="1">
      <c r="C191" s="150"/>
      <c r="D191" s="155"/>
      <c r="E191" s="155"/>
      <c r="F191" s="159"/>
      <c r="G191" s="66"/>
      <c r="H191" s="72"/>
      <c r="I191" s="542"/>
      <c r="J191" s="69"/>
      <c r="K191" s="70" t="str">
        <f t="shared" si="4"/>
        <v/>
      </c>
      <c r="L191" s="69">
        <f t="shared" si="5"/>
        <v>0</v>
      </c>
      <c r="P191" s="163"/>
      <c r="Q191" s="163"/>
      <c r="S191"/>
    </row>
    <row r="192" spans="3:19" ht="15.6" outlineLevel="1">
      <c r="C192" s="150"/>
      <c r="D192" s="155"/>
      <c r="E192" s="155"/>
      <c r="F192" s="159"/>
      <c r="G192" s="66"/>
      <c r="H192" s="72"/>
      <c r="I192" s="542"/>
      <c r="J192" s="69"/>
      <c r="K192" s="70" t="str">
        <f t="shared" si="4"/>
        <v/>
      </c>
      <c r="L192" s="69">
        <f t="shared" si="5"/>
        <v>0</v>
      </c>
      <c r="P192" s="163"/>
      <c r="Q192" s="163"/>
      <c r="S192"/>
    </row>
    <row r="193" spans="3:19" ht="15.6" outlineLevel="1">
      <c r="C193" s="150"/>
      <c r="D193" s="155"/>
      <c r="E193" s="155"/>
      <c r="F193" s="159"/>
      <c r="G193" s="66"/>
      <c r="H193" s="72"/>
      <c r="I193" s="542"/>
      <c r="J193" s="69"/>
      <c r="K193" s="70" t="str">
        <f t="shared" si="4"/>
        <v/>
      </c>
      <c r="L193" s="69">
        <f t="shared" si="5"/>
        <v>0</v>
      </c>
      <c r="P193" s="163"/>
      <c r="Q193" s="163"/>
      <c r="S193"/>
    </row>
    <row r="194" spans="3:19" ht="15.6" outlineLevel="1">
      <c r="C194" s="150"/>
      <c r="D194" s="155"/>
      <c r="E194" s="155"/>
      <c r="F194" s="159"/>
      <c r="G194" s="66"/>
      <c r="H194" s="72"/>
      <c r="I194" s="542"/>
      <c r="J194" s="69"/>
      <c r="K194" s="70" t="str">
        <f t="shared" si="4"/>
        <v/>
      </c>
      <c r="L194" s="69">
        <f t="shared" si="5"/>
        <v>0</v>
      </c>
      <c r="P194" s="163"/>
      <c r="Q194" s="163"/>
      <c r="S194"/>
    </row>
    <row r="195" spans="3:19" ht="15.6" outlineLevel="1">
      <c r="C195" s="150"/>
      <c r="D195" s="155"/>
      <c r="E195" s="155"/>
      <c r="F195" s="159"/>
      <c r="G195" s="66"/>
      <c r="H195" s="72"/>
      <c r="I195" s="542"/>
      <c r="J195" s="69"/>
      <c r="K195" s="70" t="str">
        <f t="shared" si="4"/>
        <v/>
      </c>
      <c r="L195" s="69">
        <f t="shared" si="5"/>
        <v>0</v>
      </c>
      <c r="P195" s="163"/>
      <c r="Q195" s="163"/>
      <c r="S195"/>
    </row>
    <row r="196" spans="3:19" ht="15.6" outlineLevel="1">
      <c r="C196" s="150"/>
      <c r="D196" s="155"/>
      <c r="E196" s="155"/>
      <c r="F196" s="159"/>
      <c r="G196" s="66"/>
      <c r="H196" s="72"/>
      <c r="I196" s="542"/>
      <c r="J196" s="69"/>
      <c r="K196" s="70" t="str">
        <f t="shared" si="4"/>
        <v/>
      </c>
      <c r="L196" s="69">
        <f t="shared" si="5"/>
        <v>0</v>
      </c>
      <c r="P196" s="163"/>
      <c r="Q196" s="163"/>
      <c r="S196"/>
    </row>
    <row r="197" spans="3:19" ht="15.6" outlineLevel="1">
      <c r="C197" s="150"/>
      <c r="D197" s="155"/>
      <c r="E197" s="155"/>
      <c r="F197" s="159"/>
      <c r="G197" s="66"/>
      <c r="H197" s="72"/>
      <c r="I197" s="542"/>
      <c r="J197" s="69"/>
      <c r="K197" s="70" t="str">
        <f t="shared" si="4"/>
        <v/>
      </c>
      <c r="L197" s="69">
        <f t="shared" si="5"/>
        <v>0</v>
      </c>
      <c r="P197" s="163"/>
      <c r="Q197" s="163"/>
      <c r="S197"/>
    </row>
    <row r="198" spans="3:19" ht="15.6" outlineLevel="1">
      <c r="C198" s="150"/>
      <c r="D198" s="155"/>
      <c r="E198" s="155"/>
      <c r="F198" s="159"/>
      <c r="G198" s="66"/>
      <c r="H198" s="72"/>
      <c r="I198" s="542"/>
      <c r="J198" s="69"/>
      <c r="K198" s="70" t="str">
        <f t="shared" si="4"/>
        <v/>
      </c>
      <c r="L198" s="69">
        <f t="shared" si="5"/>
        <v>0</v>
      </c>
      <c r="P198" s="163"/>
      <c r="Q198" s="163"/>
      <c r="S198"/>
    </row>
    <row r="199" spans="3:19" ht="15.6" outlineLevel="1">
      <c r="C199" s="150"/>
      <c r="D199" s="155"/>
      <c r="E199" s="155"/>
      <c r="F199" s="159"/>
      <c r="G199" s="66"/>
      <c r="H199" s="72"/>
      <c r="I199" s="542"/>
      <c r="J199" s="69"/>
      <c r="K199" s="70" t="str">
        <f t="shared" si="4"/>
        <v/>
      </c>
      <c r="L199" s="69">
        <f t="shared" si="5"/>
        <v>0</v>
      </c>
      <c r="P199" s="163"/>
      <c r="Q199" s="163"/>
      <c r="S199"/>
    </row>
    <row r="200" spans="3:19" ht="15.6" outlineLevel="1">
      <c r="C200" s="150"/>
      <c r="D200" s="155"/>
      <c r="E200" s="155"/>
      <c r="F200" s="159"/>
      <c r="G200" s="66"/>
      <c r="H200" s="72"/>
      <c r="I200" s="542"/>
      <c r="J200" s="69"/>
      <c r="K200" s="70" t="str">
        <f t="shared" si="4"/>
        <v/>
      </c>
      <c r="L200" s="69">
        <f t="shared" si="5"/>
        <v>0</v>
      </c>
      <c r="P200" s="163"/>
      <c r="Q200" s="163"/>
      <c r="S200"/>
    </row>
    <row r="201" spans="3:19" ht="15.6" outlineLevel="1">
      <c r="C201" s="150"/>
      <c r="D201" s="155"/>
      <c r="E201" s="155"/>
      <c r="F201" s="159"/>
      <c r="G201" s="66"/>
      <c r="H201" s="72"/>
      <c r="I201" s="542"/>
      <c r="J201" s="69"/>
      <c r="K201" s="70" t="str">
        <f t="shared" si="4"/>
        <v/>
      </c>
      <c r="L201" s="69">
        <f t="shared" si="5"/>
        <v>0</v>
      </c>
      <c r="P201" s="163"/>
      <c r="Q201" s="163"/>
      <c r="S201"/>
    </row>
    <row r="202" spans="3:19" ht="15.6" outlineLevel="1">
      <c r="C202" s="150"/>
      <c r="D202" s="155"/>
      <c r="E202" s="155"/>
      <c r="F202" s="159"/>
      <c r="G202" s="66"/>
      <c r="H202" s="72"/>
      <c r="I202" s="542"/>
      <c r="J202" s="69"/>
      <c r="K202" s="70" t="str">
        <f t="shared" si="4"/>
        <v/>
      </c>
      <c r="L202" s="69">
        <f t="shared" si="5"/>
        <v>0</v>
      </c>
      <c r="P202" s="163"/>
      <c r="Q202" s="163"/>
      <c r="S202"/>
    </row>
    <row r="203" spans="3:19" ht="15.6" outlineLevel="1">
      <c r="C203" s="150"/>
      <c r="D203" s="155"/>
      <c r="E203" s="155"/>
      <c r="F203" s="159"/>
      <c r="G203" s="66"/>
      <c r="H203" s="72"/>
      <c r="I203" s="542"/>
      <c r="J203" s="69"/>
      <c r="K203" s="70" t="str">
        <f t="shared" si="4"/>
        <v/>
      </c>
      <c r="L203" s="69">
        <f t="shared" si="5"/>
        <v>0</v>
      </c>
      <c r="P203" s="163"/>
      <c r="Q203" s="163"/>
      <c r="S203"/>
    </row>
    <row r="204" spans="3:19" ht="15.6" outlineLevel="1">
      <c r="C204" s="150"/>
      <c r="D204" s="155"/>
      <c r="E204" s="155"/>
      <c r="F204" s="159"/>
      <c r="G204" s="66"/>
      <c r="H204" s="72"/>
      <c r="I204" s="542"/>
      <c r="J204" s="69"/>
      <c r="K204" s="70" t="str">
        <f t="shared" si="4"/>
        <v/>
      </c>
      <c r="L204" s="69">
        <f t="shared" si="5"/>
        <v>0</v>
      </c>
      <c r="P204" s="163"/>
      <c r="Q204" s="163"/>
      <c r="S204"/>
    </row>
    <row r="205" spans="3:19" ht="15.6" outlineLevel="1">
      <c r="C205" s="150"/>
      <c r="D205" s="155"/>
      <c r="E205" s="155"/>
      <c r="F205" s="159"/>
      <c r="G205" s="66"/>
      <c r="H205" s="72"/>
      <c r="I205" s="542"/>
      <c r="J205" s="69"/>
      <c r="K205" s="70" t="str">
        <f t="shared" si="4"/>
        <v/>
      </c>
      <c r="L205" s="69">
        <f t="shared" si="5"/>
        <v>0</v>
      </c>
      <c r="P205" s="163"/>
      <c r="Q205" s="163"/>
      <c r="S205"/>
    </row>
    <row r="206" spans="3:19" ht="15.6" outlineLevel="1">
      <c r="C206" s="150"/>
      <c r="D206" s="155"/>
      <c r="E206" s="155"/>
      <c r="F206" s="159"/>
      <c r="G206" s="66"/>
      <c r="H206" s="72"/>
      <c r="I206" s="542"/>
      <c r="J206" s="69"/>
      <c r="K206" s="70" t="str">
        <f t="shared" si="4"/>
        <v/>
      </c>
      <c r="L206" s="69">
        <f t="shared" si="5"/>
        <v>0</v>
      </c>
      <c r="P206" s="163"/>
      <c r="Q206" s="163"/>
      <c r="S206"/>
    </row>
    <row r="207" spans="3:19" ht="15.6" outlineLevel="1">
      <c r="C207" s="150"/>
      <c r="D207" s="155"/>
      <c r="E207" s="155"/>
      <c r="F207" s="159"/>
      <c r="G207" s="66"/>
      <c r="H207" s="72"/>
      <c r="I207" s="542"/>
      <c r="J207" s="69"/>
      <c r="K207" s="70" t="str">
        <f t="shared" si="4"/>
        <v/>
      </c>
      <c r="L207" s="69">
        <f t="shared" si="5"/>
        <v>0</v>
      </c>
      <c r="P207" s="163"/>
      <c r="Q207" s="163"/>
      <c r="S207"/>
    </row>
    <row r="208" spans="3:19" ht="15.6" outlineLevel="1">
      <c r="C208" s="150"/>
      <c r="D208" s="155"/>
      <c r="E208" s="155"/>
      <c r="F208" s="159"/>
      <c r="G208" s="66"/>
      <c r="H208" s="72"/>
      <c r="I208" s="542"/>
      <c r="J208" s="69"/>
      <c r="K208" s="70" t="str">
        <f t="shared" si="4"/>
        <v/>
      </c>
      <c r="L208" s="69">
        <f t="shared" si="5"/>
        <v>0</v>
      </c>
      <c r="P208" s="163"/>
      <c r="Q208" s="163"/>
      <c r="S208"/>
    </row>
    <row r="209" spans="3:19" ht="15.6" outlineLevel="1">
      <c r="C209" s="150"/>
      <c r="D209" s="155"/>
      <c r="E209" s="155"/>
      <c r="F209" s="159"/>
      <c r="G209" s="66"/>
      <c r="H209" s="72"/>
      <c r="I209" s="542"/>
      <c r="J209" s="69"/>
      <c r="K209" s="70" t="str">
        <f t="shared" ref="K209:K272" si="6">IF(J209=0,"",+LOOKUP(J209,$P$17:$P$43,$Q$17:$Q$43))</f>
        <v/>
      </c>
      <c r="L209" s="69">
        <f t="shared" ref="L209:L272" si="7">IF(J209="",0,+LOOKUP(J209,$P$17:$P$42,$R$17:$R$42))</f>
        <v>0</v>
      </c>
      <c r="P209" s="163"/>
      <c r="Q209" s="163"/>
      <c r="S209"/>
    </row>
    <row r="210" spans="3:19" ht="15.6" outlineLevel="1">
      <c r="C210" s="150"/>
      <c r="D210" s="155"/>
      <c r="E210" s="155"/>
      <c r="F210" s="159"/>
      <c r="G210" s="66"/>
      <c r="H210" s="72"/>
      <c r="I210" s="542"/>
      <c r="J210" s="69"/>
      <c r="K210" s="70" t="str">
        <f t="shared" si="6"/>
        <v/>
      </c>
      <c r="L210" s="69">
        <f t="shared" si="7"/>
        <v>0</v>
      </c>
      <c r="P210" s="163"/>
      <c r="Q210" s="163"/>
      <c r="S210"/>
    </row>
    <row r="211" spans="3:19" ht="15.6" outlineLevel="1">
      <c r="C211" s="150"/>
      <c r="D211" s="155"/>
      <c r="E211" s="155"/>
      <c r="F211" s="159"/>
      <c r="G211" s="66"/>
      <c r="H211" s="72"/>
      <c r="I211" s="542"/>
      <c r="J211" s="69"/>
      <c r="K211" s="70" t="str">
        <f t="shared" si="6"/>
        <v/>
      </c>
      <c r="L211" s="69">
        <f t="shared" si="7"/>
        <v>0</v>
      </c>
      <c r="P211" s="163"/>
      <c r="Q211" s="163"/>
      <c r="S211"/>
    </row>
    <row r="212" spans="3:19" ht="15.6" outlineLevel="1">
      <c r="C212" s="150"/>
      <c r="D212" s="155"/>
      <c r="E212" s="155"/>
      <c r="F212" s="159"/>
      <c r="G212" s="66"/>
      <c r="H212" s="72"/>
      <c r="I212" s="542"/>
      <c r="J212" s="69"/>
      <c r="K212" s="70" t="str">
        <f t="shared" si="6"/>
        <v/>
      </c>
      <c r="L212" s="69">
        <f t="shared" si="7"/>
        <v>0</v>
      </c>
      <c r="P212" s="163"/>
      <c r="Q212" s="163"/>
      <c r="S212"/>
    </row>
    <row r="213" spans="3:19" ht="15.6" outlineLevel="1">
      <c r="C213" s="150"/>
      <c r="D213" s="155"/>
      <c r="E213" s="155"/>
      <c r="F213" s="159"/>
      <c r="G213" s="66"/>
      <c r="H213" s="72"/>
      <c r="I213" s="542"/>
      <c r="J213" s="69"/>
      <c r="K213" s="70" t="str">
        <f t="shared" si="6"/>
        <v/>
      </c>
      <c r="L213" s="69">
        <f t="shared" si="7"/>
        <v>0</v>
      </c>
      <c r="P213" s="163"/>
      <c r="Q213" s="163"/>
      <c r="S213"/>
    </row>
    <row r="214" spans="3:19" ht="15.6" outlineLevel="1">
      <c r="C214" s="150"/>
      <c r="D214" s="155"/>
      <c r="E214" s="155"/>
      <c r="F214" s="159"/>
      <c r="G214" s="66"/>
      <c r="H214" s="72"/>
      <c r="I214" s="542"/>
      <c r="J214" s="69"/>
      <c r="K214" s="70" t="str">
        <f t="shared" si="6"/>
        <v/>
      </c>
      <c r="L214" s="69">
        <f t="shared" si="7"/>
        <v>0</v>
      </c>
      <c r="P214" s="163"/>
      <c r="Q214" s="163"/>
      <c r="S214"/>
    </row>
    <row r="215" spans="3:19" ht="15.6" outlineLevel="1">
      <c r="C215" s="150"/>
      <c r="D215" s="155"/>
      <c r="E215" s="155"/>
      <c r="F215" s="159"/>
      <c r="G215" s="66"/>
      <c r="H215" s="72"/>
      <c r="I215" s="542"/>
      <c r="J215" s="69"/>
      <c r="K215" s="70" t="str">
        <f t="shared" si="6"/>
        <v/>
      </c>
      <c r="L215" s="69">
        <f t="shared" si="7"/>
        <v>0</v>
      </c>
      <c r="P215" s="163"/>
      <c r="Q215" s="163"/>
      <c r="S215"/>
    </row>
    <row r="216" spans="3:19" ht="15.6" outlineLevel="1">
      <c r="C216" s="150"/>
      <c r="D216" s="155"/>
      <c r="E216" s="155"/>
      <c r="F216" s="159"/>
      <c r="G216" s="66"/>
      <c r="H216" s="72"/>
      <c r="I216" s="542"/>
      <c r="J216" s="69"/>
      <c r="K216" s="70" t="str">
        <f t="shared" si="6"/>
        <v/>
      </c>
      <c r="L216" s="69">
        <f t="shared" si="7"/>
        <v>0</v>
      </c>
      <c r="P216" s="163"/>
      <c r="Q216" s="163"/>
      <c r="S216"/>
    </row>
    <row r="217" spans="3:19" ht="15.6" outlineLevel="1">
      <c r="C217" s="150"/>
      <c r="D217" s="155"/>
      <c r="E217" s="155"/>
      <c r="F217" s="159"/>
      <c r="G217" s="66"/>
      <c r="H217" s="72"/>
      <c r="I217" s="542"/>
      <c r="J217" s="69"/>
      <c r="K217" s="70" t="str">
        <f t="shared" si="6"/>
        <v/>
      </c>
      <c r="L217" s="69">
        <f t="shared" si="7"/>
        <v>0</v>
      </c>
      <c r="P217" s="163"/>
      <c r="Q217" s="163"/>
      <c r="S217"/>
    </row>
    <row r="218" spans="3:19" ht="15.6" outlineLevel="1">
      <c r="C218" s="150"/>
      <c r="D218" s="155"/>
      <c r="E218" s="155"/>
      <c r="F218" s="159"/>
      <c r="G218" s="66"/>
      <c r="H218" s="72"/>
      <c r="I218" s="542"/>
      <c r="J218" s="69"/>
      <c r="K218" s="70" t="str">
        <f t="shared" si="6"/>
        <v/>
      </c>
      <c r="L218" s="69">
        <f t="shared" si="7"/>
        <v>0</v>
      </c>
      <c r="P218" s="163"/>
      <c r="Q218" s="163"/>
      <c r="S218"/>
    </row>
    <row r="219" spans="3:19" ht="15.6" outlineLevel="1">
      <c r="C219" s="150"/>
      <c r="D219" s="155"/>
      <c r="E219" s="155"/>
      <c r="F219" s="159"/>
      <c r="G219" s="66"/>
      <c r="H219" s="72"/>
      <c r="I219" s="542"/>
      <c r="J219" s="69"/>
      <c r="K219" s="70" t="str">
        <f t="shared" si="6"/>
        <v/>
      </c>
      <c r="L219" s="69">
        <f t="shared" si="7"/>
        <v>0</v>
      </c>
      <c r="P219" s="163"/>
      <c r="Q219" s="163"/>
      <c r="S219"/>
    </row>
    <row r="220" spans="3:19" ht="15.6" outlineLevel="1">
      <c r="C220" s="150"/>
      <c r="D220" s="155"/>
      <c r="E220" s="155"/>
      <c r="F220" s="159"/>
      <c r="G220" s="66"/>
      <c r="H220" s="72"/>
      <c r="I220" s="542"/>
      <c r="J220" s="69"/>
      <c r="K220" s="70" t="str">
        <f t="shared" si="6"/>
        <v/>
      </c>
      <c r="L220" s="69">
        <f t="shared" si="7"/>
        <v>0</v>
      </c>
      <c r="P220" s="163"/>
      <c r="Q220" s="163"/>
      <c r="S220"/>
    </row>
    <row r="221" spans="3:19" ht="15.6" outlineLevel="1">
      <c r="C221" s="150"/>
      <c r="D221" s="155"/>
      <c r="E221" s="155"/>
      <c r="F221" s="159"/>
      <c r="G221" s="66"/>
      <c r="H221" s="72"/>
      <c r="I221" s="542"/>
      <c r="J221" s="69"/>
      <c r="K221" s="70" t="str">
        <f t="shared" si="6"/>
        <v/>
      </c>
      <c r="L221" s="69">
        <f t="shared" si="7"/>
        <v>0</v>
      </c>
      <c r="P221" s="163"/>
      <c r="Q221" s="163"/>
      <c r="S221"/>
    </row>
    <row r="222" spans="3:19" ht="15.6" outlineLevel="1">
      <c r="C222" s="150"/>
      <c r="D222" s="155"/>
      <c r="E222" s="155"/>
      <c r="F222" s="159"/>
      <c r="G222" s="66"/>
      <c r="H222" s="72"/>
      <c r="I222" s="542"/>
      <c r="J222" s="69"/>
      <c r="K222" s="70" t="str">
        <f t="shared" si="6"/>
        <v/>
      </c>
      <c r="L222" s="69">
        <f t="shared" si="7"/>
        <v>0</v>
      </c>
      <c r="P222" s="163"/>
      <c r="Q222" s="163"/>
      <c r="S222"/>
    </row>
    <row r="223" spans="3:19" ht="15.6" outlineLevel="1">
      <c r="C223" s="150"/>
      <c r="D223" s="155"/>
      <c r="E223" s="155"/>
      <c r="F223" s="159"/>
      <c r="G223" s="66"/>
      <c r="H223" s="72"/>
      <c r="I223" s="542"/>
      <c r="J223" s="69"/>
      <c r="K223" s="70" t="str">
        <f t="shared" si="6"/>
        <v/>
      </c>
      <c r="L223" s="69">
        <f t="shared" si="7"/>
        <v>0</v>
      </c>
      <c r="P223" s="163"/>
      <c r="Q223" s="163"/>
      <c r="S223"/>
    </row>
    <row r="224" spans="3:19" ht="15.6" outlineLevel="1">
      <c r="C224" s="150"/>
      <c r="D224" s="155"/>
      <c r="E224" s="155"/>
      <c r="F224" s="159"/>
      <c r="G224" s="66"/>
      <c r="H224" s="72"/>
      <c r="I224" s="542"/>
      <c r="J224" s="69"/>
      <c r="K224" s="70" t="str">
        <f t="shared" si="6"/>
        <v/>
      </c>
      <c r="L224" s="69">
        <f t="shared" si="7"/>
        <v>0</v>
      </c>
      <c r="P224" s="163"/>
      <c r="Q224" s="163"/>
      <c r="S224"/>
    </row>
    <row r="225" spans="3:19" ht="15.6" outlineLevel="1">
      <c r="C225" s="150"/>
      <c r="D225" s="155"/>
      <c r="E225" s="155"/>
      <c r="F225" s="159"/>
      <c r="G225" s="66"/>
      <c r="H225" s="72"/>
      <c r="I225" s="542"/>
      <c r="J225" s="69"/>
      <c r="K225" s="70" t="str">
        <f t="shared" si="6"/>
        <v/>
      </c>
      <c r="L225" s="69">
        <f t="shared" si="7"/>
        <v>0</v>
      </c>
      <c r="P225" s="163"/>
      <c r="Q225" s="163"/>
      <c r="S225"/>
    </row>
    <row r="226" spans="3:19" ht="15.6" outlineLevel="1">
      <c r="C226" s="150"/>
      <c r="D226" s="155"/>
      <c r="E226" s="155"/>
      <c r="F226" s="159"/>
      <c r="G226" s="66"/>
      <c r="H226" s="72"/>
      <c r="I226" s="542"/>
      <c r="J226" s="69"/>
      <c r="K226" s="70" t="str">
        <f t="shared" si="6"/>
        <v/>
      </c>
      <c r="L226" s="69">
        <f t="shared" si="7"/>
        <v>0</v>
      </c>
      <c r="P226" s="163"/>
      <c r="Q226" s="163"/>
      <c r="S226"/>
    </row>
    <row r="227" spans="3:19" ht="15.6" outlineLevel="1">
      <c r="C227" s="150"/>
      <c r="D227" s="155"/>
      <c r="E227" s="155"/>
      <c r="F227" s="159"/>
      <c r="G227" s="66"/>
      <c r="H227" s="72"/>
      <c r="I227" s="542"/>
      <c r="J227" s="69"/>
      <c r="K227" s="70" t="str">
        <f t="shared" si="6"/>
        <v/>
      </c>
      <c r="L227" s="69">
        <f t="shared" si="7"/>
        <v>0</v>
      </c>
      <c r="P227" s="163"/>
      <c r="Q227" s="163"/>
      <c r="S227"/>
    </row>
    <row r="228" spans="3:19" ht="15.6" outlineLevel="1">
      <c r="C228" s="150"/>
      <c r="D228" s="155"/>
      <c r="E228" s="155"/>
      <c r="F228" s="159"/>
      <c r="G228" s="66"/>
      <c r="H228" s="72"/>
      <c r="I228" s="542"/>
      <c r="J228" s="69"/>
      <c r="K228" s="70" t="str">
        <f t="shared" si="6"/>
        <v/>
      </c>
      <c r="L228" s="69">
        <f t="shared" si="7"/>
        <v>0</v>
      </c>
      <c r="P228" s="163"/>
      <c r="Q228" s="163"/>
      <c r="S228"/>
    </row>
    <row r="229" spans="3:19" ht="15.6" outlineLevel="1">
      <c r="C229" s="150"/>
      <c r="D229" s="155"/>
      <c r="E229" s="155"/>
      <c r="F229" s="159"/>
      <c r="G229" s="66"/>
      <c r="H229" s="72"/>
      <c r="I229" s="542"/>
      <c r="J229" s="69"/>
      <c r="K229" s="70" t="str">
        <f t="shared" si="6"/>
        <v/>
      </c>
      <c r="L229" s="69">
        <f t="shared" si="7"/>
        <v>0</v>
      </c>
      <c r="P229" s="163"/>
      <c r="Q229" s="163"/>
      <c r="S229"/>
    </row>
    <row r="230" spans="3:19" ht="15.6" outlineLevel="1">
      <c r="C230" s="150"/>
      <c r="D230" s="155"/>
      <c r="E230" s="155"/>
      <c r="F230" s="159"/>
      <c r="G230" s="66"/>
      <c r="H230" s="72"/>
      <c r="I230" s="542"/>
      <c r="J230" s="69"/>
      <c r="K230" s="70" t="str">
        <f t="shared" si="6"/>
        <v/>
      </c>
      <c r="L230" s="69">
        <f t="shared" si="7"/>
        <v>0</v>
      </c>
      <c r="P230" s="163"/>
      <c r="Q230" s="163"/>
      <c r="S230"/>
    </row>
    <row r="231" spans="3:19" ht="15.6" outlineLevel="1">
      <c r="C231" s="150"/>
      <c r="D231" s="155"/>
      <c r="E231" s="155"/>
      <c r="F231" s="159"/>
      <c r="G231" s="66"/>
      <c r="H231" s="72"/>
      <c r="I231" s="542"/>
      <c r="J231" s="69"/>
      <c r="K231" s="70" t="str">
        <f t="shared" si="6"/>
        <v/>
      </c>
      <c r="L231" s="69">
        <f t="shared" si="7"/>
        <v>0</v>
      </c>
      <c r="P231" s="163"/>
      <c r="Q231" s="163"/>
      <c r="S231"/>
    </row>
    <row r="232" spans="3:19" ht="15.6" outlineLevel="1">
      <c r="C232" s="150"/>
      <c r="D232" s="155"/>
      <c r="E232" s="155"/>
      <c r="F232" s="159"/>
      <c r="G232" s="66"/>
      <c r="H232" s="72"/>
      <c r="I232" s="542"/>
      <c r="J232" s="69"/>
      <c r="K232" s="70" t="str">
        <f t="shared" si="6"/>
        <v/>
      </c>
      <c r="L232" s="69">
        <f t="shared" si="7"/>
        <v>0</v>
      </c>
      <c r="P232" s="163"/>
      <c r="Q232" s="163"/>
      <c r="S232"/>
    </row>
    <row r="233" spans="3:19" ht="15.6" outlineLevel="1">
      <c r="C233" s="150"/>
      <c r="D233" s="155"/>
      <c r="E233" s="155"/>
      <c r="F233" s="159"/>
      <c r="G233" s="66"/>
      <c r="H233" s="72"/>
      <c r="I233" s="542"/>
      <c r="J233" s="69"/>
      <c r="K233" s="70" t="str">
        <f t="shared" si="6"/>
        <v/>
      </c>
      <c r="L233" s="69">
        <f t="shared" si="7"/>
        <v>0</v>
      </c>
      <c r="P233" s="163"/>
      <c r="Q233" s="163"/>
      <c r="S233"/>
    </row>
    <row r="234" spans="3:19" ht="15.6" outlineLevel="1">
      <c r="C234" s="150"/>
      <c r="D234" s="155"/>
      <c r="E234" s="155"/>
      <c r="F234" s="159"/>
      <c r="G234" s="66"/>
      <c r="H234" s="72"/>
      <c r="I234" s="542"/>
      <c r="J234" s="69"/>
      <c r="K234" s="70" t="str">
        <f t="shared" si="6"/>
        <v/>
      </c>
      <c r="L234" s="69">
        <f t="shared" si="7"/>
        <v>0</v>
      </c>
      <c r="P234" s="163"/>
      <c r="Q234" s="163"/>
      <c r="S234"/>
    </row>
    <row r="235" spans="3:19" ht="15.6" outlineLevel="1">
      <c r="C235" s="150"/>
      <c r="D235" s="155"/>
      <c r="E235" s="155"/>
      <c r="F235" s="159"/>
      <c r="G235" s="66"/>
      <c r="H235" s="72"/>
      <c r="I235" s="542"/>
      <c r="J235" s="69"/>
      <c r="K235" s="70" t="str">
        <f t="shared" si="6"/>
        <v/>
      </c>
      <c r="L235" s="69">
        <f t="shared" si="7"/>
        <v>0</v>
      </c>
      <c r="P235" s="163"/>
      <c r="Q235" s="163"/>
      <c r="S235"/>
    </row>
    <row r="236" spans="3:19" ht="15.6" outlineLevel="1">
      <c r="C236" s="150"/>
      <c r="D236" s="155"/>
      <c r="E236" s="155"/>
      <c r="F236" s="159"/>
      <c r="G236" s="66"/>
      <c r="H236" s="72"/>
      <c r="I236" s="542"/>
      <c r="J236" s="69"/>
      <c r="K236" s="70" t="str">
        <f t="shared" si="6"/>
        <v/>
      </c>
      <c r="L236" s="69">
        <f t="shared" si="7"/>
        <v>0</v>
      </c>
      <c r="P236" s="163"/>
      <c r="Q236" s="163"/>
      <c r="S236"/>
    </row>
    <row r="237" spans="3:19" ht="15.6" outlineLevel="1">
      <c r="C237" s="150"/>
      <c r="D237" s="155"/>
      <c r="E237" s="155"/>
      <c r="F237" s="159"/>
      <c r="G237" s="66"/>
      <c r="H237" s="72"/>
      <c r="I237" s="542"/>
      <c r="J237" s="69"/>
      <c r="K237" s="70" t="str">
        <f t="shared" si="6"/>
        <v/>
      </c>
      <c r="L237" s="69">
        <f t="shared" si="7"/>
        <v>0</v>
      </c>
      <c r="P237" s="163"/>
      <c r="Q237" s="163"/>
      <c r="S237"/>
    </row>
    <row r="238" spans="3:19" ht="15.6" outlineLevel="1">
      <c r="C238" s="150"/>
      <c r="D238" s="155"/>
      <c r="E238" s="155"/>
      <c r="F238" s="159"/>
      <c r="G238" s="66"/>
      <c r="H238" s="72"/>
      <c r="I238" s="542"/>
      <c r="J238" s="69"/>
      <c r="K238" s="70" t="str">
        <f t="shared" si="6"/>
        <v/>
      </c>
      <c r="L238" s="69">
        <f t="shared" si="7"/>
        <v>0</v>
      </c>
      <c r="P238" s="163"/>
      <c r="Q238" s="163"/>
      <c r="S238"/>
    </row>
    <row r="239" spans="3:19" ht="15.6" outlineLevel="1">
      <c r="C239" s="150"/>
      <c r="D239" s="155"/>
      <c r="E239" s="155"/>
      <c r="F239" s="159"/>
      <c r="G239" s="66"/>
      <c r="H239" s="72"/>
      <c r="I239" s="542"/>
      <c r="J239" s="69"/>
      <c r="K239" s="70" t="str">
        <f t="shared" si="6"/>
        <v/>
      </c>
      <c r="L239" s="69">
        <f t="shared" si="7"/>
        <v>0</v>
      </c>
      <c r="P239" s="163"/>
      <c r="Q239" s="163"/>
      <c r="S239"/>
    </row>
    <row r="240" spans="3:19" ht="15.6" outlineLevel="1">
      <c r="C240" s="150"/>
      <c r="D240" s="155"/>
      <c r="E240" s="155"/>
      <c r="F240" s="159"/>
      <c r="G240" s="66"/>
      <c r="H240" s="72"/>
      <c r="I240" s="542"/>
      <c r="J240" s="69"/>
      <c r="K240" s="70" t="str">
        <f t="shared" si="6"/>
        <v/>
      </c>
      <c r="L240" s="69">
        <f t="shared" si="7"/>
        <v>0</v>
      </c>
      <c r="P240" s="163"/>
      <c r="Q240" s="163"/>
      <c r="S240"/>
    </row>
    <row r="241" spans="3:19" ht="15.6" outlineLevel="1">
      <c r="C241" s="150"/>
      <c r="D241" s="155"/>
      <c r="E241" s="155"/>
      <c r="F241" s="159"/>
      <c r="G241" s="66"/>
      <c r="H241" s="72"/>
      <c r="I241" s="542"/>
      <c r="J241" s="69"/>
      <c r="K241" s="70" t="str">
        <f t="shared" si="6"/>
        <v/>
      </c>
      <c r="L241" s="69">
        <f t="shared" si="7"/>
        <v>0</v>
      </c>
      <c r="P241" s="163"/>
      <c r="Q241" s="163"/>
      <c r="S241"/>
    </row>
    <row r="242" spans="3:19" ht="15.6" outlineLevel="1">
      <c r="C242" s="150"/>
      <c r="D242" s="155"/>
      <c r="E242" s="155"/>
      <c r="F242" s="159"/>
      <c r="G242" s="66"/>
      <c r="H242" s="72"/>
      <c r="I242" s="542"/>
      <c r="J242" s="69"/>
      <c r="K242" s="70" t="str">
        <f t="shared" si="6"/>
        <v/>
      </c>
      <c r="L242" s="69">
        <f t="shared" si="7"/>
        <v>0</v>
      </c>
      <c r="P242" s="163"/>
      <c r="Q242" s="163"/>
      <c r="S242"/>
    </row>
    <row r="243" spans="3:19" ht="15.6" outlineLevel="1">
      <c r="C243" s="150"/>
      <c r="D243" s="155"/>
      <c r="E243" s="155"/>
      <c r="F243" s="159"/>
      <c r="G243" s="66"/>
      <c r="H243" s="72"/>
      <c r="I243" s="542"/>
      <c r="J243" s="69"/>
      <c r="K243" s="70" t="str">
        <f t="shared" si="6"/>
        <v/>
      </c>
      <c r="L243" s="69">
        <f t="shared" si="7"/>
        <v>0</v>
      </c>
      <c r="P243" s="163"/>
      <c r="Q243" s="163"/>
      <c r="S243"/>
    </row>
    <row r="244" spans="3:19" ht="15.6" outlineLevel="1">
      <c r="C244" s="150"/>
      <c r="D244" s="155"/>
      <c r="E244" s="155"/>
      <c r="F244" s="159"/>
      <c r="G244" s="66"/>
      <c r="H244" s="72"/>
      <c r="I244" s="542"/>
      <c r="J244" s="69"/>
      <c r="K244" s="70" t="str">
        <f t="shared" si="6"/>
        <v/>
      </c>
      <c r="L244" s="69">
        <f t="shared" si="7"/>
        <v>0</v>
      </c>
      <c r="P244" s="163"/>
      <c r="Q244" s="163"/>
      <c r="S244"/>
    </row>
    <row r="245" spans="3:19" ht="15.6" outlineLevel="1">
      <c r="C245" s="150"/>
      <c r="D245" s="155"/>
      <c r="E245" s="155"/>
      <c r="F245" s="159"/>
      <c r="G245" s="66"/>
      <c r="H245" s="72"/>
      <c r="I245" s="542"/>
      <c r="J245" s="69"/>
      <c r="K245" s="70" t="str">
        <f t="shared" si="6"/>
        <v/>
      </c>
      <c r="L245" s="69">
        <f t="shared" si="7"/>
        <v>0</v>
      </c>
      <c r="P245" s="163"/>
      <c r="Q245" s="163"/>
      <c r="S245"/>
    </row>
    <row r="246" spans="3:19" ht="15.6" outlineLevel="1">
      <c r="C246" s="150"/>
      <c r="D246" s="155"/>
      <c r="E246" s="155"/>
      <c r="F246" s="159"/>
      <c r="G246" s="66"/>
      <c r="H246" s="72"/>
      <c r="I246" s="542"/>
      <c r="J246" s="69"/>
      <c r="K246" s="70" t="str">
        <f t="shared" si="6"/>
        <v/>
      </c>
      <c r="L246" s="69">
        <f t="shared" si="7"/>
        <v>0</v>
      </c>
      <c r="P246" s="163"/>
      <c r="Q246" s="163"/>
      <c r="S246"/>
    </row>
    <row r="247" spans="3:19" ht="15.6" outlineLevel="1">
      <c r="C247" s="150"/>
      <c r="D247" s="155"/>
      <c r="E247" s="155"/>
      <c r="F247" s="159"/>
      <c r="G247" s="66"/>
      <c r="H247" s="72"/>
      <c r="I247" s="542"/>
      <c r="J247" s="69"/>
      <c r="K247" s="70" t="str">
        <f t="shared" si="6"/>
        <v/>
      </c>
      <c r="L247" s="69">
        <f t="shared" si="7"/>
        <v>0</v>
      </c>
      <c r="P247" s="163"/>
      <c r="Q247" s="163"/>
      <c r="S247"/>
    </row>
    <row r="248" spans="3:19" ht="15.6" outlineLevel="1">
      <c r="C248" s="150"/>
      <c r="D248" s="155"/>
      <c r="E248" s="155"/>
      <c r="F248" s="159"/>
      <c r="G248" s="66"/>
      <c r="H248" s="72"/>
      <c r="I248" s="542"/>
      <c r="J248" s="69"/>
      <c r="K248" s="70" t="str">
        <f t="shared" si="6"/>
        <v/>
      </c>
      <c r="L248" s="69">
        <f t="shared" si="7"/>
        <v>0</v>
      </c>
      <c r="P248" s="163"/>
      <c r="Q248" s="163"/>
      <c r="S248"/>
    </row>
    <row r="249" spans="3:19" ht="15.6" outlineLevel="1">
      <c r="C249" s="150"/>
      <c r="D249" s="155"/>
      <c r="E249" s="155"/>
      <c r="F249" s="159"/>
      <c r="G249" s="66"/>
      <c r="H249" s="72"/>
      <c r="I249" s="542"/>
      <c r="J249" s="69"/>
      <c r="K249" s="70" t="str">
        <f t="shared" si="6"/>
        <v/>
      </c>
      <c r="L249" s="69">
        <f t="shared" si="7"/>
        <v>0</v>
      </c>
      <c r="P249" s="163"/>
      <c r="Q249" s="163"/>
      <c r="S249"/>
    </row>
    <row r="250" spans="3:19" ht="15.6" outlineLevel="1">
      <c r="C250" s="150"/>
      <c r="D250" s="155"/>
      <c r="E250" s="155"/>
      <c r="F250" s="159"/>
      <c r="G250" s="66"/>
      <c r="H250" s="72"/>
      <c r="I250" s="542"/>
      <c r="J250" s="69"/>
      <c r="K250" s="70" t="str">
        <f t="shared" si="6"/>
        <v/>
      </c>
      <c r="L250" s="69">
        <f t="shared" si="7"/>
        <v>0</v>
      </c>
      <c r="P250" s="163"/>
      <c r="Q250" s="163"/>
      <c r="S250"/>
    </row>
    <row r="251" spans="3:19" ht="15.6" outlineLevel="1">
      <c r="C251" s="150"/>
      <c r="D251" s="155"/>
      <c r="E251" s="155"/>
      <c r="F251" s="159"/>
      <c r="G251" s="66"/>
      <c r="H251" s="72"/>
      <c r="I251" s="542"/>
      <c r="J251" s="69"/>
      <c r="K251" s="70" t="str">
        <f t="shared" si="6"/>
        <v/>
      </c>
      <c r="L251" s="69">
        <f t="shared" si="7"/>
        <v>0</v>
      </c>
      <c r="P251" s="163"/>
      <c r="Q251" s="163"/>
      <c r="S251"/>
    </row>
    <row r="252" spans="3:19" ht="15.6" outlineLevel="1">
      <c r="C252" s="150"/>
      <c r="D252" s="155"/>
      <c r="E252" s="155"/>
      <c r="F252" s="159"/>
      <c r="G252" s="66"/>
      <c r="H252" s="72"/>
      <c r="I252" s="542"/>
      <c r="J252" s="69"/>
      <c r="K252" s="70" t="str">
        <f t="shared" si="6"/>
        <v/>
      </c>
      <c r="L252" s="69">
        <f t="shared" si="7"/>
        <v>0</v>
      </c>
      <c r="P252" s="163"/>
      <c r="Q252" s="163"/>
      <c r="S252"/>
    </row>
    <row r="253" spans="3:19" ht="15.6" outlineLevel="1">
      <c r="C253" s="150"/>
      <c r="D253" s="155"/>
      <c r="E253" s="155"/>
      <c r="F253" s="159"/>
      <c r="G253" s="66"/>
      <c r="H253" s="72"/>
      <c r="I253" s="542"/>
      <c r="J253" s="69"/>
      <c r="K253" s="70" t="str">
        <f t="shared" si="6"/>
        <v/>
      </c>
      <c r="L253" s="69">
        <f t="shared" si="7"/>
        <v>0</v>
      </c>
      <c r="P253" s="163"/>
      <c r="Q253" s="163"/>
      <c r="S253"/>
    </row>
    <row r="254" spans="3:19" ht="15.6" outlineLevel="1">
      <c r="C254" s="150"/>
      <c r="D254" s="155"/>
      <c r="E254" s="155"/>
      <c r="F254" s="159"/>
      <c r="G254" s="66"/>
      <c r="H254" s="72"/>
      <c r="I254" s="542"/>
      <c r="J254" s="69"/>
      <c r="K254" s="70" t="str">
        <f t="shared" si="6"/>
        <v/>
      </c>
      <c r="L254" s="69">
        <f t="shared" si="7"/>
        <v>0</v>
      </c>
      <c r="P254" s="163"/>
      <c r="Q254" s="163"/>
      <c r="S254"/>
    </row>
    <row r="255" spans="3:19" ht="15.6" outlineLevel="1">
      <c r="C255" s="150"/>
      <c r="D255" s="155"/>
      <c r="E255" s="155"/>
      <c r="F255" s="159"/>
      <c r="G255" s="66"/>
      <c r="H255" s="72"/>
      <c r="I255" s="542"/>
      <c r="J255" s="69"/>
      <c r="K255" s="70" t="str">
        <f t="shared" si="6"/>
        <v/>
      </c>
      <c r="L255" s="69">
        <f t="shared" si="7"/>
        <v>0</v>
      </c>
      <c r="P255" s="163"/>
      <c r="Q255" s="163"/>
      <c r="S255"/>
    </row>
    <row r="256" spans="3:19" ht="15.6" outlineLevel="1">
      <c r="C256" s="150"/>
      <c r="D256" s="155"/>
      <c r="E256" s="155"/>
      <c r="F256" s="159"/>
      <c r="G256" s="66"/>
      <c r="H256" s="72"/>
      <c r="I256" s="542"/>
      <c r="J256" s="69"/>
      <c r="K256" s="70" t="str">
        <f t="shared" si="6"/>
        <v/>
      </c>
      <c r="L256" s="69">
        <f t="shared" si="7"/>
        <v>0</v>
      </c>
      <c r="P256" s="163"/>
      <c r="Q256" s="163"/>
      <c r="S256"/>
    </row>
    <row r="257" spans="3:19" ht="15.6" outlineLevel="1">
      <c r="C257" s="150"/>
      <c r="D257" s="155"/>
      <c r="E257" s="155"/>
      <c r="F257" s="159"/>
      <c r="G257" s="66"/>
      <c r="H257" s="72"/>
      <c r="I257" s="542"/>
      <c r="J257" s="69"/>
      <c r="K257" s="70" t="str">
        <f t="shared" si="6"/>
        <v/>
      </c>
      <c r="L257" s="69">
        <f t="shared" si="7"/>
        <v>0</v>
      </c>
      <c r="P257" s="163"/>
      <c r="Q257" s="163"/>
      <c r="S257"/>
    </row>
    <row r="258" spans="3:19" ht="15.6" outlineLevel="1">
      <c r="C258" s="150"/>
      <c r="D258" s="155"/>
      <c r="E258" s="155"/>
      <c r="F258" s="159"/>
      <c r="G258" s="66"/>
      <c r="H258" s="72"/>
      <c r="I258" s="542"/>
      <c r="J258" s="69"/>
      <c r="K258" s="70" t="str">
        <f t="shared" si="6"/>
        <v/>
      </c>
      <c r="L258" s="69">
        <f t="shared" si="7"/>
        <v>0</v>
      </c>
      <c r="P258" s="163"/>
      <c r="Q258" s="163"/>
      <c r="S258"/>
    </row>
    <row r="259" spans="3:19" ht="15.6" outlineLevel="1">
      <c r="C259" s="150"/>
      <c r="D259" s="155"/>
      <c r="E259" s="155"/>
      <c r="F259" s="159"/>
      <c r="G259" s="66"/>
      <c r="H259" s="72"/>
      <c r="I259" s="542"/>
      <c r="J259" s="69"/>
      <c r="K259" s="70" t="str">
        <f t="shared" si="6"/>
        <v/>
      </c>
      <c r="L259" s="69">
        <f t="shared" si="7"/>
        <v>0</v>
      </c>
      <c r="P259" s="163"/>
      <c r="Q259" s="163"/>
      <c r="S259"/>
    </row>
    <row r="260" spans="3:19" ht="15.6" outlineLevel="1">
      <c r="C260" s="150"/>
      <c r="D260" s="155"/>
      <c r="E260" s="155"/>
      <c r="F260" s="159"/>
      <c r="G260" s="66"/>
      <c r="H260" s="72"/>
      <c r="I260" s="542"/>
      <c r="J260" s="69"/>
      <c r="K260" s="70" t="str">
        <f t="shared" si="6"/>
        <v/>
      </c>
      <c r="L260" s="69">
        <f t="shared" si="7"/>
        <v>0</v>
      </c>
      <c r="P260" s="163"/>
      <c r="Q260" s="163"/>
      <c r="S260"/>
    </row>
    <row r="261" spans="3:19" ht="15.6" outlineLevel="1">
      <c r="C261" s="150"/>
      <c r="D261" s="155"/>
      <c r="E261" s="155"/>
      <c r="F261" s="159"/>
      <c r="G261" s="66"/>
      <c r="H261" s="72"/>
      <c r="I261" s="542"/>
      <c r="J261" s="69"/>
      <c r="K261" s="70" t="str">
        <f t="shared" si="6"/>
        <v/>
      </c>
      <c r="L261" s="69">
        <f t="shared" si="7"/>
        <v>0</v>
      </c>
      <c r="P261" s="163"/>
      <c r="Q261" s="163"/>
      <c r="S261"/>
    </row>
    <row r="262" spans="3:19" ht="15.6" outlineLevel="1">
      <c r="C262" s="150"/>
      <c r="D262" s="155"/>
      <c r="E262" s="155"/>
      <c r="F262" s="159"/>
      <c r="G262" s="66"/>
      <c r="H262" s="72"/>
      <c r="I262" s="542"/>
      <c r="J262" s="69"/>
      <c r="K262" s="70" t="str">
        <f t="shared" si="6"/>
        <v/>
      </c>
      <c r="L262" s="69">
        <f t="shared" si="7"/>
        <v>0</v>
      </c>
      <c r="P262" s="163"/>
      <c r="Q262" s="163"/>
      <c r="S262"/>
    </row>
    <row r="263" spans="3:19" ht="15.6" outlineLevel="1">
      <c r="C263" s="150"/>
      <c r="D263" s="155"/>
      <c r="E263" s="155"/>
      <c r="F263" s="159"/>
      <c r="G263" s="66"/>
      <c r="H263" s="72"/>
      <c r="I263" s="542"/>
      <c r="J263" s="69"/>
      <c r="K263" s="70" t="str">
        <f t="shared" si="6"/>
        <v/>
      </c>
      <c r="L263" s="69">
        <f t="shared" si="7"/>
        <v>0</v>
      </c>
      <c r="P263" s="163"/>
      <c r="Q263" s="163"/>
      <c r="S263"/>
    </row>
    <row r="264" spans="3:19" ht="15.6" outlineLevel="1">
      <c r="C264" s="150"/>
      <c r="D264" s="155"/>
      <c r="E264" s="155"/>
      <c r="F264" s="159"/>
      <c r="G264" s="66"/>
      <c r="H264" s="72"/>
      <c r="I264" s="542"/>
      <c r="J264" s="69"/>
      <c r="K264" s="70" t="str">
        <f t="shared" si="6"/>
        <v/>
      </c>
      <c r="L264" s="69">
        <f t="shared" si="7"/>
        <v>0</v>
      </c>
      <c r="P264" s="163"/>
      <c r="Q264" s="163"/>
      <c r="S264"/>
    </row>
    <row r="265" spans="3:19" ht="15.6" outlineLevel="1">
      <c r="C265" s="150"/>
      <c r="D265" s="155"/>
      <c r="E265" s="155"/>
      <c r="F265" s="159"/>
      <c r="G265" s="66"/>
      <c r="H265" s="72"/>
      <c r="I265" s="542"/>
      <c r="J265" s="69"/>
      <c r="K265" s="70" t="str">
        <f t="shared" si="6"/>
        <v/>
      </c>
      <c r="L265" s="69">
        <f t="shared" si="7"/>
        <v>0</v>
      </c>
      <c r="P265" s="163"/>
      <c r="Q265" s="163"/>
      <c r="S265"/>
    </row>
    <row r="266" spans="3:19" ht="15.6" outlineLevel="1">
      <c r="C266" s="150"/>
      <c r="D266" s="155"/>
      <c r="E266" s="155"/>
      <c r="F266" s="159"/>
      <c r="G266" s="66"/>
      <c r="H266" s="72"/>
      <c r="I266" s="542"/>
      <c r="J266" s="69"/>
      <c r="K266" s="70" t="str">
        <f t="shared" si="6"/>
        <v/>
      </c>
      <c r="L266" s="69">
        <f t="shared" si="7"/>
        <v>0</v>
      </c>
      <c r="P266" s="163"/>
      <c r="Q266" s="163"/>
      <c r="S266"/>
    </row>
    <row r="267" spans="3:19" ht="15.6" outlineLevel="1">
      <c r="C267" s="150"/>
      <c r="D267" s="155"/>
      <c r="E267" s="155"/>
      <c r="F267" s="159"/>
      <c r="G267" s="66"/>
      <c r="H267" s="72"/>
      <c r="I267" s="542"/>
      <c r="J267" s="69"/>
      <c r="K267" s="70" t="str">
        <f t="shared" si="6"/>
        <v/>
      </c>
      <c r="L267" s="69">
        <f t="shared" si="7"/>
        <v>0</v>
      </c>
      <c r="P267" s="163"/>
      <c r="Q267" s="163"/>
      <c r="S267"/>
    </row>
    <row r="268" spans="3:19" ht="15.6" outlineLevel="1">
      <c r="C268" s="150"/>
      <c r="D268" s="155"/>
      <c r="E268" s="155"/>
      <c r="F268" s="159"/>
      <c r="G268" s="66"/>
      <c r="H268" s="72"/>
      <c r="I268" s="542"/>
      <c r="J268" s="69"/>
      <c r="K268" s="70" t="str">
        <f t="shared" si="6"/>
        <v/>
      </c>
      <c r="L268" s="69">
        <f t="shared" si="7"/>
        <v>0</v>
      </c>
      <c r="P268" s="163"/>
      <c r="Q268" s="163"/>
      <c r="S268"/>
    </row>
    <row r="269" spans="3:19" ht="15.6" outlineLevel="1">
      <c r="C269" s="150"/>
      <c r="D269" s="155"/>
      <c r="E269" s="155"/>
      <c r="F269" s="159"/>
      <c r="G269" s="66"/>
      <c r="H269" s="72"/>
      <c r="I269" s="542"/>
      <c r="J269" s="69"/>
      <c r="K269" s="70" t="str">
        <f t="shared" si="6"/>
        <v/>
      </c>
      <c r="L269" s="69">
        <f t="shared" si="7"/>
        <v>0</v>
      </c>
      <c r="P269" s="163"/>
      <c r="Q269" s="163"/>
      <c r="S269"/>
    </row>
    <row r="270" spans="3:19" ht="15.6" outlineLevel="1">
      <c r="C270" s="150"/>
      <c r="D270" s="155"/>
      <c r="E270" s="155"/>
      <c r="F270" s="159"/>
      <c r="G270" s="66"/>
      <c r="H270" s="72"/>
      <c r="I270" s="542"/>
      <c r="J270" s="69"/>
      <c r="K270" s="70" t="str">
        <f t="shared" si="6"/>
        <v/>
      </c>
      <c r="L270" s="69">
        <f t="shared" si="7"/>
        <v>0</v>
      </c>
      <c r="P270" s="163"/>
      <c r="Q270" s="163"/>
      <c r="S270"/>
    </row>
    <row r="271" spans="3:19" ht="15.6" outlineLevel="1">
      <c r="C271" s="150"/>
      <c r="D271" s="155"/>
      <c r="E271" s="155"/>
      <c r="F271" s="159"/>
      <c r="G271" s="66"/>
      <c r="H271" s="72"/>
      <c r="I271" s="542"/>
      <c r="J271" s="69"/>
      <c r="K271" s="70" t="str">
        <f t="shared" si="6"/>
        <v/>
      </c>
      <c r="L271" s="69">
        <f t="shared" si="7"/>
        <v>0</v>
      </c>
      <c r="P271" s="163"/>
      <c r="Q271" s="163"/>
      <c r="S271"/>
    </row>
    <row r="272" spans="3:19" ht="15.6" outlineLevel="1">
      <c r="C272" s="150"/>
      <c r="D272" s="155"/>
      <c r="E272" s="155"/>
      <c r="F272" s="159"/>
      <c r="G272" s="66"/>
      <c r="H272" s="72"/>
      <c r="I272" s="542"/>
      <c r="J272" s="69"/>
      <c r="K272" s="70" t="str">
        <f t="shared" si="6"/>
        <v/>
      </c>
      <c r="L272" s="69">
        <f t="shared" si="7"/>
        <v>0</v>
      </c>
      <c r="P272" s="163"/>
      <c r="Q272" s="163"/>
      <c r="S272"/>
    </row>
    <row r="273" spans="3:19" ht="15.6" outlineLevel="1">
      <c r="C273" s="150"/>
      <c r="D273" s="155"/>
      <c r="E273" s="155"/>
      <c r="F273" s="159"/>
      <c r="G273" s="66"/>
      <c r="H273" s="72"/>
      <c r="I273" s="542"/>
      <c r="J273" s="69"/>
      <c r="K273" s="70" t="str">
        <f t="shared" ref="K273:K300" si="8">IF(J273=0,"",+LOOKUP(J273,$P$17:$P$43,$Q$17:$Q$43))</f>
        <v/>
      </c>
      <c r="L273" s="69">
        <f t="shared" ref="L273:L300" si="9">IF(J273="",0,+LOOKUP(J273,$P$17:$P$42,$R$17:$R$42))</f>
        <v>0</v>
      </c>
      <c r="P273" s="163"/>
      <c r="Q273" s="163"/>
      <c r="S273"/>
    </row>
    <row r="274" spans="3:19" ht="15.6" outlineLevel="1">
      <c r="C274" s="150"/>
      <c r="D274" s="155"/>
      <c r="E274" s="155"/>
      <c r="F274" s="159"/>
      <c r="G274" s="66"/>
      <c r="H274" s="72"/>
      <c r="I274" s="542"/>
      <c r="J274" s="69"/>
      <c r="K274" s="70" t="str">
        <f t="shared" si="8"/>
        <v/>
      </c>
      <c r="L274" s="69">
        <f t="shared" si="9"/>
        <v>0</v>
      </c>
      <c r="P274" s="163"/>
      <c r="Q274" s="163"/>
      <c r="S274"/>
    </row>
    <row r="275" spans="3:19" ht="15.6" outlineLevel="1">
      <c r="C275" s="150"/>
      <c r="D275" s="155"/>
      <c r="E275" s="155"/>
      <c r="F275" s="159"/>
      <c r="G275" s="66"/>
      <c r="H275" s="72"/>
      <c r="I275" s="542"/>
      <c r="J275" s="69"/>
      <c r="K275" s="70" t="str">
        <f t="shared" si="8"/>
        <v/>
      </c>
      <c r="L275" s="69">
        <f t="shared" si="9"/>
        <v>0</v>
      </c>
      <c r="P275" s="163"/>
      <c r="Q275" s="163"/>
      <c r="S275"/>
    </row>
    <row r="276" spans="3:19" ht="15.6" outlineLevel="1">
      <c r="C276" s="150"/>
      <c r="D276" s="155"/>
      <c r="E276" s="155"/>
      <c r="F276" s="159"/>
      <c r="G276" s="66"/>
      <c r="H276" s="72"/>
      <c r="I276" s="542"/>
      <c r="J276" s="69"/>
      <c r="K276" s="70" t="str">
        <f t="shared" si="8"/>
        <v/>
      </c>
      <c r="L276" s="69">
        <f t="shared" si="9"/>
        <v>0</v>
      </c>
      <c r="P276" s="163"/>
      <c r="Q276" s="163"/>
      <c r="S276"/>
    </row>
    <row r="277" spans="3:19" ht="15.6" outlineLevel="1">
      <c r="C277" s="150"/>
      <c r="D277" s="155"/>
      <c r="E277" s="155"/>
      <c r="F277" s="159"/>
      <c r="G277" s="66"/>
      <c r="H277" s="72"/>
      <c r="I277" s="542"/>
      <c r="J277" s="69"/>
      <c r="K277" s="70" t="str">
        <f t="shared" si="8"/>
        <v/>
      </c>
      <c r="L277" s="69">
        <f t="shared" si="9"/>
        <v>0</v>
      </c>
      <c r="P277" s="163"/>
      <c r="Q277" s="163"/>
      <c r="S277"/>
    </row>
    <row r="278" spans="3:19" ht="15.6" outlineLevel="1">
      <c r="C278" s="150"/>
      <c r="D278" s="155"/>
      <c r="E278" s="155"/>
      <c r="F278" s="159"/>
      <c r="G278" s="66"/>
      <c r="H278" s="72"/>
      <c r="I278" s="542"/>
      <c r="J278" s="69"/>
      <c r="K278" s="70" t="str">
        <f t="shared" si="8"/>
        <v/>
      </c>
      <c r="L278" s="69">
        <f t="shared" si="9"/>
        <v>0</v>
      </c>
      <c r="P278" s="163"/>
      <c r="Q278" s="163"/>
      <c r="S278"/>
    </row>
    <row r="279" spans="3:19" ht="15.6" outlineLevel="1">
      <c r="C279" s="150"/>
      <c r="D279" s="155"/>
      <c r="E279" s="155"/>
      <c r="F279" s="159"/>
      <c r="G279" s="66"/>
      <c r="H279" s="72"/>
      <c r="I279" s="542"/>
      <c r="J279" s="69"/>
      <c r="K279" s="70" t="str">
        <f t="shared" si="8"/>
        <v/>
      </c>
      <c r="L279" s="69">
        <f t="shared" si="9"/>
        <v>0</v>
      </c>
      <c r="P279" s="163"/>
      <c r="Q279" s="163"/>
      <c r="S279"/>
    </row>
    <row r="280" spans="3:19" ht="15.6" outlineLevel="1">
      <c r="C280" s="150"/>
      <c r="D280" s="155"/>
      <c r="E280" s="155"/>
      <c r="F280" s="159"/>
      <c r="G280" s="66"/>
      <c r="H280" s="72"/>
      <c r="I280" s="542"/>
      <c r="J280" s="69"/>
      <c r="K280" s="70" t="str">
        <f t="shared" si="8"/>
        <v/>
      </c>
      <c r="L280" s="69">
        <f t="shared" si="9"/>
        <v>0</v>
      </c>
      <c r="P280" s="163"/>
      <c r="Q280" s="163"/>
      <c r="S280"/>
    </row>
    <row r="281" spans="3:19" ht="15.6" outlineLevel="1">
      <c r="C281" s="150"/>
      <c r="D281" s="155"/>
      <c r="E281" s="155"/>
      <c r="F281" s="159"/>
      <c r="G281" s="66"/>
      <c r="H281" s="72"/>
      <c r="I281" s="542"/>
      <c r="J281" s="69"/>
      <c r="K281" s="70" t="str">
        <f t="shared" si="8"/>
        <v/>
      </c>
      <c r="L281" s="69">
        <f t="shared" si="9"/>
        <v>0</v>
      </c>
      <c r="P281" s="163"/>
      <c r="Q281" s="163"/>
      <c r="S281"/>
    </row>
    <row r="282" spans="3:19" ht="15.6" outlineLevel="1">
      <c r="C282" s="150"/>
      <c r="D282" s="155"/>
      <c r="E282" s="155"/>
      <c r="F282" s="159"/>
      <c r="G282" s="66"/>
      <c r="H282" s="72"/>
      <c r="I282" s="542"/>
      <c r="J282" s="69"/>
      <c r="K282" s="70" t="str">
        <f t="shared" si="8"/>
        <v/>
      </c>
      <c r="L282" s="69">
        <f t="shared" si="9"/>
        <v>0</v>
      </c>
      <c r="P282" s="163"/>
      <c r="Q282" s="163"/>
      <c r="S282"/>
    </row>
    <row r="283" spans="3:19" ht="15.6" outlineLevel="1">
      <c r="C283" s="150"/>
      <c r="D283" s="155"/>
      <c r="E283" s="155"/>
      <c r="F283" s="159"/>
      <c r="G283" s="66"/>
      <c r="H283" s="72"/>
      <c r="I283" s="542"/>
      <c r="J283" s="69"/>
      <c r="K283" s="70" t="str">
        <f t="shared" si="8"/>
        <v/>
      </c>
      <c r="L283" s="69">
        <f t="shared" si="9"/>
        <v>0</v>
      </c>
      <c r="P283" s="163"/>
      <c r="Q283" s="163"/>
      <c r="S283"/>
    </row>
    <row r="284" spans="3:19" ht="15.6" outlineLevel="1">
      <c r="C284" s="150"/>
      <c r="D284" s="155"/>
      <c r="E284" s="155"/>
      <c r="F284" s="159"/>
      <c r="G284" s="66"/>
      <c r="H284" s="72"/>
      <c r="I284" s="542"/>
      <c r="J284" s="69"/>
      <c r="K284" s="70" t="str">
        <f t="shared" si="8"/>
        <v/>
      </c>
      <c r="L284" s="69">
        <f t="shared" si="9"/>
        <v>0</v>
      </c>
      <c r="P284" s="163"/>
      <c r="Q284" s="163"/>
      <c r="S284"/>
    </row>
    <row r="285" spans="3:19" ht="15.6" outlineLevel="1">
      <c r="C285" s="150"/>
      <c r="D285" s="155"/>
      <c r="E285" s="155"/>
      <c r="F285" s="159"/>
      <c r="G285" s="66"/>
      <c r="H285" s="72"/>
      <c r="I285" s="542"/>
      <c r="J285" s="69"/>
      <c r="K285" s="70" t="str">
        <f t="shared" si="8"/>
        <v/>
      </c>
      <c r="L285" s="69">
        <f t="shared" si="9"/>
        <v>0</v>
      </c>
      <c r="P285" s="163"/>
      <c r="Q285" s="163"/>
      <c r="S285"/>
    </row>
    <row r="286" spans="3:19" ht="15.6" outlineLevel="1">
      <c r="C286" s="150"/>
      <c r="D286" s="155"/>
      <c r="E286" s="155"/>
      <c r="F286" s="159"/>
      <c r="G286" s="66"/>
      <c r="H286" s="72"/>
      <c r="I286" s="542"/>
      <c r="J286" s="69"/>
      <c r="K286" s="70" t="str">
        <f t="shared" si="8"/>
        <v/>
      </c>
      <c r="L286" s="69">
        <f t="shared" si="9"/>
        <v>0</v>
      </c>
      <c r="P286" s="163"/>
      <c r="Q286" s="163"/>
      <c r="S286"/>
    </row>
    <row r="287" spans="3:19" ht="15.6" outlineLevel="1">
      <c r="C287" s="150"/>
      <c r="D287" s="155"/>
      <c r="E287" s="155"/>
      <c r="F287" s="159"/>
      <c r="G287" s="66"/>
      <c r="H287" s="72"/>
      <c r="I287" s="542"/>
      <c r="J287" s="69"/>
      <c r="K287" s="70" t="str">
        <f t="shared" si="8"/>
        <v/>
      </c>
      <c r="L287" s="69">
        <f t="shared" si="9"/>
        <v>0</v>
      </c>
      <c r="P287" s="163"/>
      <c r="Q287" s="163"/>
      <c r="S287"/>
    </row>
    <row r="288" spans="3:19" ht="15.6" outlineLevel="1">
      <c r="C288" s="150"/>
      <c r="D288" s="155"/>
      <c r="E288" s="155"/>
      <c r="F288" s="159"/>
      <c r="G288" s="66"/>
      <c r="H288" s="72"/>
      <c r="I288" s="542"/>
      <c r="J288" s="69"/>
      <c r="K288" s="70" t="str">
        <f t="shared" si="8"/>
        <v/>
      </c>
      <c r="L288" s="69">
        <f t="shared" si="9"/>
        <v>0</v>
      </c>
      <c r="P288" s="163"/>
      <c r="Q288" s="163"/>
      <c r="S288"/>
    </row>
    <row r="289" spans="3:19" ht="15.6" outlineLevel="1">
      <c r="C289" s="150"/>
      <c r="D289" s="155"/>
      <c r="E289" s="155"/>
      <c r="F289" s="159"/>
      <c r="G289" s="66"/>
      <c r="H289" s="72"/>
      <c r="I289" s="542"/>
      <c r="J289" s="69"/>
      <c r="K289" s="70" t="str">
        <f t="shared" si="8"/>
        <v/>
      </c>
      <c r="L289" s="69">
        <f t="shared" si="9"/>
        <v>0</v>
      </c>
      <c r="P289" s="163"/>
      <c r="Q289" s="163"/>
      <c r="S289"/>
    </row>
    <row r="290" spans="3:19" ht="15.6" outlineLevel="1">
      <c r="C290" s="150"/>
      <c r="D290" s="155"/>
      <c r="E290" s="155"/>
      <c r="F290" s="159"/>
      <c r="G290" s="66"/>
      <c r="H290" s="72"/>
      <c r="I290" s="542"/>
      <c r="J290" s="69"/>
      <c r="K290" s="70" t="str">
        <f t="shared" si="8"/>
        <v/>
      </c>
      <c r="L290" s="69">
        <f t="shared" si="9"/>
        <v>0</v>
      </c>
      <c r="P290" s="163"/>
      <c r="Q290" s="163"/>
      <c r="S290"/>
    </row>
    <row r="291" spans="3:19" ht="15.6" outlineLevel="1">
      <c r="C291" s="150"/>
      <c r="D291" s="155"/>
      <c r="E291" s="155"/>
      <c r="F291" s="159"/>
      <c r="G291" s="66"/>
      <c r="H291" s="72"/>
      <c r="I291" s="542"/>
      <c r="J291" s="69"/>
      <c r="K291" s="70" t="str">
        <f t="shared" si="8"/>
        <v/>
      </c>
      <c r="L291" s="69">
        <f t="shared" si="9"/>
        <v>0</v>
      </c>
      <c r="P291" s="163"/>
      <c r="Q291" s="163"/>
      <c r="S291"/>
    </row>
    <row r="292" spans="3:19" ht="15.6" outlineLevel="1">
      <c r="C292" s="150"/>
      <c r="D292" s="155"/>
      <c r="E292" s="155"/>
      <c r="F292" s="159"/>
      <c r="G292" s="66"/>
      <c r="H292" s="72"/>
      <c r="I292" s="542"/>
      <c r="J292" s="69"/>
      <c r="K292" s="70" t="str">
        <f t="shared" si="8"/>
        <v/>
      </c>
      <c r="L292" s="69">
        <f t="shared" si="9"/>
        <v>0</v>
      </c>
      <c r="P292" s="163"/>
      <c r="Q292" s="163"/>
      <c r="S292"/>
    </row>
    <row r="293" spans="3:19" ht="15.6" outlineLevel="1">
      <c r="C293" s="150"/>
      <c r="D293" s="155"/>
      <c r="E293" s="155"/>
      <c r="F293" s="159"/>
      <c r="G293" s="66"/>
      <c r="H293" s="72"/>
      <c r="I293" s="542"/>
      <c r="J293" s="69"/>
      <c r="K293" s="70" t="str">
        <f t="shared" si="8"/>
        <v/>
      </c>
      <c r="L293" s="69">
        <f t="shared" si="9"/>
        <v>0</v>
      </c>
      <c r="P293" s="163"/>
      <c r="Q293" s="163"/>
      <c r="S293"/>
    </row>
    <row r="294" spans="3:19" ht="15.6" outlineLevel="1">
      <c r="C294" s="150"/>
      <c r="D294" s="155"/>
      <c r="E294" s="155"/>
      <c r="F294" s="159"/>
      <c r="G294" s="66"/>
      <c r="H294" s="72"/>
      <c r="I294" s="542"/>
      <c r="J294" s="69"/>
      <c r="K294" s="70" t="str">
        <f t="shared" si="8"/>
        <v/>
      </c>
      <c r="L294" s="69">
        <f t="shared" si="9"/>
        <v>0</v>
      </c>
      <c r="P294" s="163"/>
      <c r="Q294" s="163"/>
      <c r="S294"/>
    </row>
    <row r="295" spans="3:19" ht="15.6" outlineLevel="1">
      <c r="C295" s="150"/>
      <c r="D295" s="155"/>
      <c r="E295" s="155"/>
      <c r="F295" s="159"/>
      <c r="G295" s="66"/>
      <c r="H295" s="72"/>
      <c r="I295" s="542"/>
      <c r="J295" s="69"/>
      <c r="K295" s="70" t="str">
        <f t="shared" si="8"/>
        <v/>
      </c>
      <c r="L295" s="69">
        <f t="shared" si="9"/>
        <v>0</v>
      </c>
      <c r="P295" s="163"/>
      <c r="Q295" s="163"/>
      <c r="S295"/>
    </row>
    <row r="296" spans="3:19" ht="15.6" outlineLevel="1">
      <c r="C296" s="150"/>
      <c r="D296" s="155"/>
      <c r="E296" s="155"/>
      <c r="F296" s="159"/>
      <c r="G296" s="66"/>
      <c r="H296" s="72"/>
      <c r="I296" s="542"/>
      <c r="J296" s="69"/>
      <c r="K296" s="70" t="str">
        <f t="shared" si="8"/>
        <v/>
      </c>
      <c r="L296" s="69">
        <f t="shared" si="9"/>
        <v>0</v>
      </c>
      <c r="P296" s="163"/>
      <c r="Q296" s="163"/>
      <c r="S296"/>
    </row>
    <row r="297" spans="3:19" ht="15.6" outlineLevel="1">
      <c r="C297" s="150"/>
      <c r="D297" s="155"/>
      <c r="E297" s="155"/>
      <c r="F297" s="159"/>
      <c r="G297" s="66"/>
      <c r="H297" s="72"/>
      <c r="I297" s="542"/>
      <c r="J297" s="69"/>
      <c r="K297" s="70" t="str">
        <f t="shared" si="8"/>
        <v/>
      </c>
      <c r="L297" s="69">
        <f t="shared" si="9"/>
        <v>0</v>
      </c>
      <c r="P297" s="163"/>
      <c r="Q297" s="163"/>
      <c r="S297"/>
    </row>
    <row r="298" spans="3:19" ht="15.6" outlineLevel="1">
      <c r="C298" s="150"/>
      <c r="D298" s="155"/>
      <c r="E298" s="155"/>
      <c r="F298" s="159"/>
      <c r="G298" s="66"/>
      <c r="H298" s="72"/>
      <c r="I298" s="542"/>
      <c r="J298" s="69"/>
      <c r="K298" s="70" t="str">
        <f t="shared" si="8"/>
        <v/>
      </c>
      <c r="L298" s="69">
        <f t="shared" si="9"/>
        <v>0</v>
      </c>
      <c r="P298" s="163"/>
      <c r="Q298" s="163"/>
      <c r="S298"/>
    </row>
    <row r="299" spans="3:19" ht="15.6" outlineLevel="1">
      <c r="C299" s="150"/>
      <c r="D299" s="155"/>
      <c r="E299" s="155"/>
      <c r="F299" s="159"/>
      <c r="G299" s="66"/>
      <c r="H299" s="72"/>
      <c r="I299" s="542"/>
      <c r="J299" s="69"/>
      <c r="K299" s="70" t="str">
        <f t="shared" si="8"/>
        <v/>
      </c>
      <c r="L299" s="69">
        <f t="shared" si="9"/>
        <v>0</v>
      </c>
      <c r="P299" s="163"/>
      <c r="Q299" s="163"/>
      <c r="S299"/>
    </row>
    <row r="300" spans="3:19" ht="15.6" outlineLevel="1">
      <c r="C300" s="153"/>
      <c r="D300" s="157"/>
      <c r="E300" s="157"/>
      <c r="F300" s="161"/>
      <c r="G300" s="67"/>
      <c r="H300" s="72"/>
      <c r="I300" s="542"/>
      <c r="J300" s="69"/>
      <c r="K300" s="70" t="str">
        <f t="shared" si="8"/>
        <v/>
      </c>
      <c r="L300" s="153">
        <f t="shared" si="9"/>
        <v>0</v>
      </c>
      <c r="P300" s="163"/>
      <c r="Q300" s="163"/>
      <c r="S300"/>
    </row>
    <row r="301" spans="3:19" ht="21">
      <c r="C301" s="154"/>
      <c r="D301" s="158"/>
      <c r="E301" s="158"/>
      <c r="F301" s="162"/>
      <c r="G301" s="165">
        <f>SUM(G16:G300)</f>
        <v>4629575.2700000005</v>
      </c>
      <c r="H301" s="165">
        <f>SUM(H16:H300)</f>
        <v>0</v>
      </c>
      <c r="I301" s="543"/>
      <c r="J301" s="525"/>
      <c r="K301" s="524"/>
      <c r="L301" s="164"/>
      <c r="S301"/>
    </row>
    <row r="302" spans="3:19" ht="14.4">
      <c r="S302"/>
    </row>
    <row r="303" spans="3:19" ht="14.4" hidden="1">
      <c r="S303"/>
    </row>
    <row r="304" spans="3:19" ht="14.4" hidden="1">
      <c r="S304"/>
    </row>
    <row r="305" spans="19:19" ht="14.4" hidden="1">
      <c r="S305"/>
    </row>
    <row r="306" spans="19:19" ht="14.4" hidden="1">
      <c r="S306"/>
    </row>
    <row r="307" spans="19:19" ht="14.4" hidden="1">
      <c r="S307"/>
    </row>
    <row r="308" spans="19:19" ht="14.4" hidden="1">
      <c r="S308"/>
    </row>
    <row r="309" spans="19:19" ht="14.4" hidden="1">
      <c r="S309"/>
    </row>
    <row r="310" spans="19:19" ht="14.4" hidden="1">
      <c r="S310"/>
    </row>
    <row r="311" spans="19:19" ht="14.4" hidden="1">
      <c r="S311"/>
    </row>
    <row r="312" spans="19:19" ht="14.4" hidden="1">
      <c r="S312"/>
    </row>
    <row r="313" spans="19:19" ht="14.4" hidden="1">
      <c r="S313"/>
    </row>
    <row r="314" spans="19:19" ht="14.4" hidden="1">
      <c r="S314"/>
    </row>
    <row r="315" spans="19:19" ht="14.4" hidden="1">
      <c r="S315"/>
    </row>
    <row r="316" spans="19:19" ht="14.4" hidden="1">
      <c r="S316"/>
    </row>
    <row r="317" spans="19:19" ht="14.4" hidden="1">
      <c r="S317"/>
    </row>
    <row r="318" spans="19:19" ht="14.4" hidden="1">
      <c r="S318"/>
    </row>
    <row r="319" spans="19:19" ht="14.4" hidden="1">
      <c r="S319"/>
    </row>
    <row r="320" spans="19:19" ht="14.4" hidden="1">
      <c r="S320"/>
    </row>
    <row r="321" spans="19:19" ht="14.4" hidden="1">
      <c r="S321"/>
    </row>
    <row r="322" spans="19:19" ht="14.4" hidden="1">
      <c r="S322"/>
    </row>
    <row r="323" spans="19:19" ht="14.4" hidden="1">
      <c r="S323"/>
    </row>
    <row r="324" spans="19:19" ht="14.4" hidden="1">
      <c r="S324"/>
    </row>
    <row r="325" spans="19:19" ht="14.4" hidden="1">
      <c r="S325"/>
    </row>
    <row r="326" spans="19:19" ht="14.4" hidden="1">
      <c r="S326"/>
    </row>
    <row r="327" spans="19:19" ht="14.4" hidden="1">
      <c r="S327"/>
    </row>
    <row r="328" spans="19:19" ht="14.4" hidden="1">
      <c r="S328"/>
    </row>
    <row r="329" spans="19:19" ht="14.4" hidden="1">
      <c r="S329"/>
    </row>
    <row r="330" spans="19:19" ht="14.4" hidden="1">
      <c r="S330"/>
    </row>
    <row r="331" spans="19:19" ht="14.4" hidden="1">
      <c r="S331"/>
    </row>
    <row r="332" spans="19:19" ht="14.4" hidden="1">
      <c r="S332"/>
    </row>
    <row r="333" spans="19:19" ht="14.4" hidden="1">
      <c r="S333"/>
    </row>
    <row r="334" spans="19:19" ht="14.4" hidden="1">
      <c r="S334"/>
    </row>
    <row r="335" spans="19:19" ht="14.4" hidden="1">
      <c r="S335"/>
    </row>
    <row r="336" spans="19:19" ht="14.4" hidden="1">
      <c r="S336"/>
    </row>
    <row r="337" spans="19:19" ht="14.4" hidden="1">
      <c r="S337"/>
    </row>
    <row r="338" spans="19:19" ht="14.4" hidden="1">
      <c r="S338"/>
    </row>
    <row r="339" spans="19:19" ht="14.4" hidden="1">
      <c r="S339"/>
    </row>
    <row r="340" spans="19:19" ht="14.4" hidden="1">
      <c r="S340"/>
    </row>
    <row r="341" spans="19:19" ht="14.4" hidden="1">
      <c r="S341"/>
    </row>
    <row r="342" spans="19:19" ht="14.4" hidden="1">
      <c r="S342"/>
    </row>
    <row r="343" spans="19:19" ht="14.4" hidden="1">
      <c r="S343"/>
    </row>
    <row r="344" spans="19:19" ht="14.4" hidden="1">
      <c r="S344"/>
    </row>
    <row r="345" spans="19:19" ht="14.4" hidden="1">
      <c r="S345"/>
    </row>
    <row r="346" spans="19:19" ht="14.4" hidden="1">
      <c r="S346"/>
    </row>
    <row r="347" spans="19:19" ht="14.4" hidden="1">
      <c r="S347"/>
    </row>
    <row r="348" spans="19:19" ht="14.4" hidden="1">
      <c r="S348"/>
    </row>
    <row r="349" spans="19:19" ht="14.4" hidden="1">
      <c r="S349"/>
    </row>
    <row r="350" spans="19:19" ht="14.4" hidden="1">
      <c r="S350"/>
    </row>
    <row r="351" spans="19:19" ht="14.4" hidden="1">
      <c r="S351"/>
    </row>
    <row r="352" spans="19:19" ht="14.4" hidden="1">
      <c r="S352"/>
    </row>
    <row r="353" spans="19:19" ht="14.4" hidden="1">
      <c r="S353"/>
    </row>
    <row r="354" spans="19:19" ht="14.4" hidden="1">
      <c r="S354"/>
    </row>
    <row r="355" spans="19:19" ht="14.4" hidden="1">
      <c r="S355"/>
    </row>
    <row r="356" spans="19:19" ht="14.4" hidden="1">
      <c r="S356"/>
    </row>
    <row r="357" spans="19:19" ht="14.4" hidden="1">
      <c r="S357"/>
    </row>
    <row r="358" spans="19:19" ht="14.4" hidden="1">
      <c r="S358"/>
    </row>
    <row r="359" spans="19:19" ht="14.4" hidden="1">
      <c r="S359"/>
    </row>
    <row r="360" spans="19:19" ht="14.4" hidden="1">
      <c r="S360"/>
    </row>
    <row r="361" spans="19:19" ht="14.4" hidden="1">
      <c r="S361"/>
    </row>
    <row r="362" spans="19:19" ht="14.4" hidden="1">
      <c r="S362"/>
    </row>
    <row r="363" spans="19:19" ht="14.4" hidden="1">
      <c r="S363"/>
    </row>
    <row r="364" spans="19:19" ht="14.4" hidden="1">
      <c r="S364"/>
    </row>
    <row r="365" spans="19:19" ht="14.4" hidden="1">
      <c r="S365"/>
    </row>
    <row r="366" spans="19:19" ht="14.4" hidden="1">
      <c r="S366"/>
    </row>
    <row r="367" spans="19:19" ht="14.4" hidden="1">
      <c r="S367"/>
    </row>
    <row r="368" spans="19:19" ht="14.4" hidden="1">
      <c r="S368"/>
    </row>
    <row r="369" spans="19:19" ht="14.4" hidden="1">
      <c r="S369"/>
    </row>
    <row r="370" spans="19:19" ht="14.4" hidden="1">
      <c r="S370"/>
    </row>
    <row r="371" spans="19:19" ht="14.4" hidden="1">
      <c r="S371"/>
    </row>
    <row r="372" spans="19:19" ht="14.4" hidden="1">
      <c r="S372"/>
    </row>
    <row r="373" spans="19:19" ht="14.4" hidden="1">
      <c r="S373"/>
    </row>
    <row r="374" spans="19:19" ht="14.4" hidden="1">
      <c r="S374"/>
    </row>
    <row r="375" spans="19:19" ht="14.4" hidden="1">
      <c r="S375"/>
    </row>
    <row r="376" spans="19:19" ht="14.4" hidden="1">
      <c r="S376"/>
    </row>
    <row r="377" spans="19:19" ht="14.4" hidden="1">
      <c r="S377"/>
    </row>
    <row r="378" spans="19:19" ht="14.4" hidden="1">
      <c r="S378"/>
    </row>
    <row r="379" spans="19:19" ht="14.4" hidden="1">
      <c r="S379"/>
    </row>
    <row r="380" spans="19:19" ht="14.4" hidden="1">
      <c r="S380"/>
    </row>
    <row r="381" spans="19:19" ht="14.4" hidden="1">
      <c r="S381"/>
    </row>
    <row r="382" spans="19:19" ht="14.4" hidden="1">
      <c r="S382"/>
    </row>
    <row r="383" spans="19:19" ht="14.4" hidden="1">
      <c r="S383"/>
    </row>
    <row r="384" spans="19:19" ht="14.4" hidden="1">
      <c r="S384"/>
    </row>
    <row r="385" spans="19:19" ht="14.4" hidden="1">
      <c r="S385"/>
    </row>
    <row r="386" spans="19:19" ht="14.4" hidden="1">
      <c r="S386"/>
    </row>
    <row r="387" spans="19:19" ht="14.4" hidden="1">
      <c r="S387"/>
    </row>
    <row r="388" spans="19:19" ht="14.4" hidden="1">
      <c r="S388"/>
    </row>
    <row r="389" spans="19:19" ht="14.4" hidden="1">
      <c r="S389"/>
    </row>
    <row r="390" spans="19:19" ht="14.4" hidden="1">
      <c r="S390"/>
    </row>
    <row r="391" spans="19:19" ht="14.4" hidden="1">
      <c r="S391"/>
    </row>
    <row r="392" spans="19:19" ht="14.4" hidden="1">
      <c r="S392"/>
    </row>
    <row r="393" spans="19:19" ht="14.4" hidden="1">
      <c r="S393"/>
    </row>
    <row r="394" spans="19:19" ht="14.4" hidden="1">
      <c r="S394"/>
    </row>
    <row r="395" spans="19:19" ht="14.4" hidden="1">
      <c r="S395"/>
    </row>
    <row r="396" spans="19:19" ht="14.4" hidden="1">
      <c r="S396"/>
    </row>
    <row r="397" spans="19:19" ht="14.4" hidden="1">
      <c r="S397"/>
    </row>
    <row r="398" spans="19:19" ht="14.4" hidden="1">
      <c r="S398"/>
    </row>
    <row r="399" spans="19:19" ht="14.4" hidden="1">
      <c r="S399"/>
    </row>
    <row r="400" spans="19:19" ht="14.4" hidden="1">
      <c r="S400"/>
    </row>
    <row r="401" spans="19:19" ht="14.4" hidden="1">
      <c r="S401"/>
    </row>
    <row r="402" spans="19:19" ht="14.4" hidden="1">
      <c r="S402"/>
    </row>
    <row r="403" spans="19:19" ht="14.4" hidden="1">
      <c r="S403"/>
    </row>
    <row r="404" spans="19:19" ht="14.4" hidden="1">
      <c r="S404"/>
    </row>
    <row r="405" spans="19:19" ht="14.4" hidden="1">
      <c r="S405"/>
    </row>
    <row r="406" spans="19:19" ht="14.4" hidden="1">
      <c r="S406"/>
    </row>
    <row r="407" spans="19:19" ht="14.4" hidden="1">
      <c r="S407"/>
    </row>
    <row r="408" spans="19:19" ht="14.4" hidden="1">
      <c r="S408"/>
    </row>
    <row r="409" spans="19:19" ht="14.4" hidden="1">
      <c r="S409"/>
    </row>
    <row r="410" spans="19:19" ht="14.4" hidden="1">
      <c r="S410"/>
    </row>
    <row r="411" spans="19:19" ht="14.4" hidden="1">
      <c r="S411"/>
    </row>
    <row r="412" spans="19:19" ht="14.4" hidden="1">
      <c r="S412"/>
    </row>
    <row r="413" spans="19:19" ht="14.4" hidden="1">
      <c r="S413"/>
    </row>
    <row r="414" spans="19:19" ht="14.4" hidden="1">
      <c r="S414"/>
    </row>
    <row r="415" spans="19:19" ht="14.4" hidden="1">
      <c r="S415"/>
    </row>
    <row r="416" spans="19:19" ht="14.4" hidden="1">
      <c r="S416"/>
    </row>
    <row r="417" spans="19:19" ht="14.4" hidden="1">
      <c r="S417"/>
    </row>
    <row r="418" spans="19:19" ht="14.4" hidden="1">
      <c r="S418"/>
    </row>
    <row r="419" spans="19:19" ht="14.4" hidden="1">
      <c r="S419"/>
    </row>
    <row r="420" spans="19:19" ht="14.4" hidden="1">
      <c r="S420"/>
    </row>
    <row r="421" spans="19:19" ht="14.4" hidden="1">
      <c r="S421"/>
    </row>
    <row r="422" spans="19:19" ht="14.4" hidden="1">
      <c r="S422"/>
    </row>
    <row r="423" spans="19:19" ht="14.4" hidden="1">
      <c r="S423"/>
    </row>
    <row r="424" spans="19:19" ht="14.4" hidden="1">
      <c r="S424"/>
    </row>
    <row r="425" spans="19:19" ht="14.4" hidden="1">
      <c r="S425"/>
    </row>
    <row r="426" spans="19:19" ht="14.4" hidden="1">
      <c r="S426"/>
    </row>
    <row r="427" spans="19:19" ht="14.4" hidden="1">
      <c r="S427"/>
    </row>
    <row r="428" spans="19:19" ht="14.4" hidden="1">
      <c r="S428"/>
    </row>
    <row r="429" spans="19:19" ht="14.4" hidden="1">
      <c r="S429"/>
    </row>
    <row r="430" spans="19:19" ht="14.4" hidden="1">
      <c r="S430"/>
    </row>
    <row r="431" spans="19:19" ht="14.4" hidden="1">
      <c r="S431"/>
    </row>
    <row r="432" spans="19:19" ht="14.4" hidden="1">
      <c r="S432"/>
    </row>
    <row r="433" spans="19:19" ht="14.4" hidden="1">
      <c r="S433"/>
    </row>
    <row r="434" spans="19:19" ht="14.4" hidden="1">
      <c r="S434"/>
    </row>
    <row r="435" spans="19:19" ht="14.4" hidden="1">
      <c r="S435"/>
    </row>
    <row r="436" spans="19:19" ht="14.4" hidden="1">
      <c r="S436"/>
    </row>
    <row r="437" spans="19:19" ht="14.4" hidden="1">
      <c r="S437"/>
    </row>
    <row r="438" spans="19:19" ht="14.4" hidden="1">
      <c r="S438"/>
    </row>
    <row r="439" spans="19:19" ht="14.4" hidden="1">
      <c r="S439"/>
    </row>
    <row r="440" spans="19:19" ht="14.4" hidden="1">
      <c r="S440"/>
    </row>
    <row r="441" spans="19:19" ht="14.4" hidden="1">
      <c r="S441"/>
    </row>
    <row r="442" spans="19:19" ht="14.4" hidden="1">
      <c r="S442"/>
    </row>
    <row r="443" spans="19:19" ht="14.4" hidden="1">
      <c r="S443"/>
    </row>
    <row r="444" spans="19:19" ht="14.4" hidden="1">
      <c r="S444"/>
    </row>
    <row r="445" spans="19:19" ht="14.4" hidden="1">
      <c r="S445"/>
    </row>
    <row r="446" spans="19:19" ht="14.4" hidden="1">
      <c r="S446"/>
    </row>
    <row r="447" spans="19:19" ht="14.4" hidden="1">
      <c r="S447"/>
    </row>
    <row r="448" spans="19:19" ht="14.4" hidden="1">
      <c r="S448"/>
    </row>
    <row r="449" spans="19:19" ht="14.4" hidden="1">
      <c r="S449"/>
    </row>
    <row r="450" spans="19:19" ht="14.4" hidden="1">
      <c r="S450"/>
    </row>
    <row r="451" spans="19:19" ht="14.4" hidden="1">
      <c r="S451"/>
    </row>
    <row r="452" spans="19:19" ht="14.4" hidden="1">
      <c r="S452"/>
    </row>
    <row r="453" spans="19:19" ht="14.4" hidden="1">
      <c r="S453"/>
    </row>
    <row r="454" spans="19:19" ht="14.4" hidden="1">
      <c r="S454"/>
    </row>
    <row r="455" spans="19:19" ht="14.4" hidden="1">
      <c r="S455"/>
    </row>
    <row r="456" spans="19:19" ht="14.4" hidden="1">
      <c r="S456"/>
    </row>
    <row r="457" spans="19:19" ht="14.4" hidden="1">
      <c r="S457"/>
    </row>
    <row r="458" spans="19:19" ht="14.4" hidden="1">
      <c r="S458"/>
    </row>
    <row r="459" spans="19:19" ht="14.4" hidden="1">
      <c r="S459"/>
    </row>
    <row r="460" spans="19:19" ht="14.4" hidden="1">
      <c r="S460"/>
    </row>
    <row r="461" spans="19:19" ht="14.4" hidden="1">
      <c r="S461"/>
    </row>
    <row r="462" spans="19:19" ht="14.4" hidden="1">
      <c r="S462"/>
    </row>
    <row r="463" spans="19:19" ht="14.4" hidden="1">
      <c r="S463"/>
    </row>
    <row r="464" spans="19:19" ht="14.4" hidden="1">
      <c r="S464"/>
    </row>
    <row r="465" spans="19:19" ht="14.4" hidden="1">
      <c r="S465"/>
    </row>
    <row r="466" spans="19:19" ht="14.4" hidden="1">
      <c r="S466"/>
    </row>
    <row r="467" spans="19:19" ht="14.4" hidden="1">
      <c r="S467"/>
    </row>
    <row r="468" spans="19:19" ht="14.4" hidden="1">
      <c r="S468"/>
    </row>
    <row r="469" spans="19:19" ht="14.4" hidden="1">
      <c r="S469"/>
    </row>
    <row r="470" spans="19:19" ht="14.4" hidden="1">
      <c r="S470"/>
    </row>
    <row r="471" spans="19:19" ht="14.4" hidden="1">
      <c r="S471"/>
    </row>
    <row r="472" spans="19:19" ht="14.4" hidden="1">
      <c r="S472"/>
    </row>
    <row r="473" spans="19:19" ht="14.4" hidden="1">
      <c r="S473"/>
    </row>
    <row r="474" spans="19:19" ht="14.4" hidden="1">
      <c r="S474"/>
    </row>
    <row r="475" spans="19:19" ht="14.4" hidden="1">
      <c r="S475"/>
    </row>
    <row r="476" spans="19:19" ht="14.4" hidden="1">
      <c r="S476"/>
    </row>
    <row r="477" spans="19:19" ht="14.4" hidden="1">
      <c r="S477"/>
    </row>
    <row r="478" spans="19:19" ht="14.4" hidden="1">
      <c r="S478"/>
    </row>
    <row r="479" spans="19:19" ht="14.4" hidden="1">
      <c r="S479"/>
    </row>
    <row r="480" spans="19:19" ht="14.4" hidden="1">
      <c r="S480"/>
    </row>
    <row r="481" spans="19:19" ht="14.4" hidden="1">
      <c r="S481"/>
    </row>
    <row r="482" spans="19:19" ht="14.4" hidden="1">
      <c r="S482"/>
    </row>
    <row r="483" spans="19:19" ht="14.4" hidden="1">
      <c r="S483"/>
    </row>
    <row r="484" spans="19:19" ht="14.4" hidden="1">
      <c r="S484"/>
    </row>
    <row r="485" spans="19:19" ht="14.4" hidden="1">
      <c r="S485"/>
    </row>
    <row r="486" spans="19:19" ht="14.4" hidden="1">
      <c r="S486"/>
    </row>
    <row r="487" spans="19:19" ht="14.4" hidden="1">
      <c r="S487"/>
    </row>
    <row r="488" spans="19:19" ht="14.4" hidden="1">
      <c r="S488"/>
    </row>
    <row r="489" spans="19:19" ht="14.4" hidden="1">
      <c r="S489"/>
    </row>
    <row r="490" spans="19:19" ht="14.4" hidden="1">
      <c r="S490"/>
    </row>
    <row r="491" spans="19:19" ht="14.4" hidden="1">
      <c r="S491"/>
    </row>
    <row r="492" spans="19:19" ht="14.4" hidden="1">
      <c r="S492"/>
    </row>
    <row r="493" spans="19:19" ht="14.4" hidden="1">
      <c r="S493"/>
    </row>
    <row r="494" spans="19:19" ht="14.4" hidden="1">
      <c r="S494"/>
    </row>
    <row r="495" spans="19:19" ht="14.4" hidden="1">
      <c r="S495"/>
    </row>
    <row r="496" spans="19:19" ht="14.4" hidden="1">
      <c r="S496"/>
    </row>
    <row r="497" spans="19:19" ht="14.4" hidden="1">
      <c r="S497"/>
    </row>
    <row r="498" spans="19:19" ht="14.4" hidden="1">
      <c r="S498"/>
    </row>
    <row r="499" spans="19:19" ht="14.4" hidden="1">
      <c r="S499"/>
    </row>
    <row r="500" spans="19:19" ht="14.4" hidden="1">
      <c r="S500"/>
    </row>
    <row r="501" spans="19:19" ht="14.4" hidden="1">
      <c r="S501"/>
    </row>
    <row r="502" spans="19:19" ht="14.4" hidden="1">
      <c r="S502"/>
    </row>
    <row r="503" spans="19:19" ht="14.4" hidden="1">
      <c r="S503"/>
    </row>
    <row r="504" spans="19:19" ht="14.4" hidden="1">
      <c r="S504"/>
    </row>
    <row r="505" spans="19:19" ht="14.4" hidden="1">
      <c r="S505"/>
    </row>
    <row r="506" spans="19:19" ht="14.4" hidden="1">
      <c r="S506"/>
    </row>
    <row r="507" spans="19:19" ht="14.4" hidden="1">
      <c r="S507"/>
    </row>
    <row r="508" spans="19:19" ht="14.4" hidden="1">
      <c r="S508"/>
    </row>
    <row r="509" spans="19:19" ht="14.4" hidden="1">
      <c r="S509"/>
    </row>
    <row r="510" spans="19:19" ht="14.4" hidden="1">
      <c r="S510"/>
    </row>
    <row r="511" spans="19:19" ht="14.4" hidden="1">
      <c r="S511"/>
    </row>
    <row r="512" spans="19:19" ht="14.4" hidden="1">
      <c r="S512"/>
    </row>
    <row r="513" spans="19:19" ht="14.4" hidden="1">
      <c r="S513"/>
    </row>
    <row r="514" spans="19:19" ht="14.4" hidden="1">
      <c r="S514"/>
    </row>
    <row r="515" spans="19:19" ht="14.4" hidden="1">
      <c r="S515"/>
    </row>
    <row r="516" spans="19:19" ht="14.4" hidden="1">
      <c r="S516"/>
    </row>
    <row r="517" spans="19:19" ht="14.4" hidden="1">
      <c r="S517"/>
    </row>
    <row r="518" spans="19:19" ht="14.4" hidden="1">
      <c r="S518"/>
    </row>
    <row r="519" spans="19:19" ht="14.4" hidden="1">
      <c r="S519"/>
    </row>
    <row r="520" spans="19:19" ht="14.4" hidden="1">
      <c r="S520"/>
    </row>
    <row r="521" spans="19:19" ht="14.4" hidden="1">
      <c r="S521"/>
    </row>
    <row r="522" spans="19:19" ht="14.4" hidden="1">
      <c r="S522"/>
    </row>
    <row r="523" spans="19:19" ht="14.4" hidden="1">
      <c r="S523"/>
    </row>
    <row r="524" spans="19:19" ht="14.4" hidden="1">
      <c r="S524"/>
    </row>
    <row r="525" spans="19:19" ht="14.4" hidden="1">
      <c r="S525"/>
    </row>
    <row r="526" spans="19:19" ht="14.4" hidden="1">
      <c r="S526"/>
    </row>
    <row r="527" spans="19:19" ht="14.4" hidden="1">
      <c r="S527"/>
    </row>
    <row r="528" spans="19:19" ht="14.4" hidden="1">
      <c r="S528"/>
    </row>
    <row r="529" spans="19:19" ht="14.4" hidden="1">
      <c r="S529"/>
    </row>
    <row r="530" spans="19:19" ht="14.4" hidden="1">
      <c r="S530"/>
    </row>
    <row r="531" spans="19:19" ht="14.4" hidden="1">
      <c r="S531"/>
    </row>
    <row r="532" spans="19:19" ht="14.4" hidden="1">
      <c r="S532"/>
    </row>
    <row r="533" spans="19:19" ht="14.4" hidden="1">
      <c r="S533"/>
    </row>
    <row r="534" spans="19:19" ht="14.4" hidden="1">
      <c r="S534"/>
    </row>
    <row r="535" spans="19:19" ht="14.4" hidden="1">
      <c r="S535"/>
    </row>
    <row r="536" spans="19:19" ht="14.4" hidden="1">
      <c r="S536"/>
    </row>
    <row r="537" spans="19:19" ht="14.4" hidden="1">
      <c r="S537"/>
    </row>
    <row r="538" spans="19:19" ht="14.4" hidden="1">
      <c r="S538"/>
    </row>
    <row r="539" spans="19:19" ht="14.4" hidden="1">
      <c r="S539"/>
    </row>
    <row r="540" spans="19:19" ht="14.4" hidden="1">
      <c r="S540"/>
    </row>
    <row r="541" spans="19:19" ht="14.4" hidden="1">
      <c r="S541"/>
    </row>
    <row r="542" spans="19:19" ht="14.4" hidden="1">
      <c r="S542"/>
    </row>
    <row r="543" spans="19:19" ht="14.4" hidden="1">
      <c r="S543"/>
    </row>
    <row r="544" spans="19:19" ht="14.4" hidden="1">
      <c r="S544"/>
    </row>
    <row r="545" spans="19:19" ht="14.4" hidden="1">
      <c r="S545"/>
    </row>
    <row r="546" spans="19:19" ht="14.4" hidden="1">
      <c r="S546"/>
    </row>
    <row r="547" spans="19:19" ht="14.4" hidden="1">
      <c r="S547"/>
    </row>
    <row r="548" spans="19:19" ht="14.4" hidden="1">
      <c r="S548"/>
    </row>
    <row r="549" spans="19:19" ht="14.4" hidden="1">
      <c r="S549"/>
    </row>
    <row r="550" spans="19:19" ht="14.4" hidden="1">
      <c r="S550"/>
    </row>
    <row r="551" spans="19:19" ht="14.4" hidden="1">
      <c r="S551"/>
    </row>
    <row r="552" spans="19:19" ht="14.4" hidden="1">
      <c r="S552"/>
    </row>
    <row r="553" spans="19:19" ht="14.4" hidden="1">
      <c r="S553"/>
    </row>
    <row r="554" spans="19:19" ht="14.4" hidden="1">
      <c r="S554"/>
    </row>
    <row r="555" spans="19:19" ht="14.4" hidden="1">
      <c r="S555"/>
    </row>
    <row r="556" spans="19:19" ht="14.4" hidden="1">
      <c r="S556"/>
    </row>
    <row r="557" spans="19:19" ht="14.4" hidden="1">
      <c r="S557"/>
    </row>
    <row r="558" spans="19:19" ht="14.4" hidden="1">
      <c r="S558"/>
    </row>
    <row r="559" spans="19:19" ht="14.4" hidden="1">
      <c r="S559"/>
    </row>
    <row r="560" spans="19:19" ht="14.4" hidden="1">
      <c r="S560"/>
    </row>
    <row r="561" spans="19:19" ht="14.4" hidden="1">
      <c r="S561"/>
    </row>
    <row r="562" spans="19:19" ht="14.4" hidden="1">
      <c r="S562"/>
    </row>
    <row r="563" spans="19:19" ht="14.4" hidden="1">
      <c r="S563"/>
    </row>
    <row r="564" spans="19:19" ht="14.4" hidden="1">
      <c r="S564"/>
    </row>
    <row r="565" spans="19:19" ht="14.4" hidden="1">
      <c r="S565"/>
    </row>
    <row r="566" spans="19:19" ht="14.4" hidden="1">
      <c r="S566"/>
    </row>
    <row r="567" spans="19:19" ht="14.4" hidden="1">
      <c r="S567"/>
    </row>
    <row r="568" spans="19:19" ht="14.4" hidden="1">
      <c r="S568"/>
    </row>
    <row r="569" spans="19:19" ht="14.4" hidden="1">
      <c r="S569"/>
    </row>
    <row r="570" spans="19:19" ht="14.4" hidden="1">
      <c r="S570"/>
    </row>
    <row r="571" spans="19:19" ht="14.4" hidden="1">
      <c r="S571"/>
    </row>
    <row r="572" spans="19:19" ht="14.4" hidden="1">
      <c r="S572"/>
    </row>
    <row r="573" spans="19:19" ht="14.4" hidden="1">
      <c r="S573"/>
    </row>
    <row r="574" spans="19:19" ht="14.4" hidden="1">
      <c r="S574"/>
    </row>
    <row r="575" spans="19:19" ht="14.4" hidden="1">
      <c r="S575"/>
    </row>
    <row r="576" spans="19:19" ht="14.4" hidden="1">
      <c r="S576"/>
    </row>
    <row r="577" spans="19:19" ht="14.4" hidden="1">
      <c r="S577"/>
    </row>
    <row r="578" spans="19:19" ht="14.4" hidden="1">
      <c r="S578"/>
    </row>
    <row r="579" spans="19:19" ht="14.4" hidden="1">
      <c r="S579"/>
    </row>
    <row r="580" spans="19:19" ht="14.4" hidden="1">
      <c r="S580"/>
    </row>
    <row r="581" spans="19:19" ht="14.4" hidden="1">
      <c r="S581"/>
    </row>
    <row r="582" spans="19:19" ht="14.4" hidden="1">
      <c r="S582"/>
    </row>
    <row r="583" spans="19:19" ht="14.4" hidden="1">
      <c r="S583"/>
    </row>
    <row r="584" spans="19:19" ht="14.4" hidden="1">
      <c r="S584"/>
    </row>
    <row r="585" spans="19:19" ht="14.4" hidden="1">
      <c r="S585"/>
    </row>
    <row r="586" spans="19:19" ht="14.4" hidden="1">
      <c r="S586"/>
    </row>
    <row r="587" spans="19:19" ht="14.4" hidden="1">
      <c r="S587"/>
    </row>
    <row r="588" spans="19:19" ht="14.4" hidden="1">
      <c r="S588"/>
    </row>
    <row r="589" spans="19:19" ht="14.4" hidden="1">
      <c r="S589"/>
    </row>
    <row r="590" spans="19:19" ht="14.4" hidden="1">
      <c r="S590"/>
    </row>
    <row r="591" spans="19:19" ht="14.4" hidden="1">
      <c r="S591"/>
    </row>
    <row r="592" spans="19:19" ht="14.4" hidden="1">
      <c r="S592"/>
    </row>
    <row r="593" spans="19:19" ht="14.4" hidden="1">
      <c r="S593"/>
    </row>
    <row r="594" spans="19:19" ht="14.4" hidden="1">
      <c r="S594"/>
    </row>
    <row r="595" spans="19:19" ht="14.4" hidden="1">
      <c r="S595"/>
    </row>
    <row r="596" spans="19:19" ht="14.4" hidden="1">
      <c r="S596"/>
    </row>
    <row r="597" spans="19:19" ht="14.4" hidden="1">
      <c r="S597"/>
    </row>
    <row r="598" spans="19:19" ht="14.4" hidden="1">
      <c r="S598"/>
    </row>
    <row r="599" spans="19:19" ht="14.4" hidden="1">
      <c r="S599"/>
    </row>
    <row r="600" spans="19:19" ht="14.4" hidden="1">
      <c r="S600"/>
    </row>
    <row r="601" spans="19:19" ht="14.4" hidden="1">
      <c r="S601"/>
    </row>
    <row r="602" spans="19:19" ht="14.4" hidden="1">
      <c r="S602"/>
    </row>
    <row r="603" spans="19:19" ht="14.4" hidden="1">
      <c r="S603"/>
    </row>
    <row r="604" spans="19:19" ht="14.4" hidden="1">
      <c r="S604"/>
    </row>
    <row r="605" spans="19:19" ht="14.4" hidden="1">
      <c r="S605"/>
    </row>
    <row r="606" spans="19:19" ht="14.4" hidden="1">
      <c r="S606"/>
    </row>
    <row r="607" spans="19:19" ht="14.4" hidden="1">
      <c r="S607"/>
    </row>
    <row r="608" spans="19:19" ht="14.4" hidden="1">
      <c r="S608"/>
    </row>
    <row r="609" spans="19:19" ht="14.4" hidden="1">
      <c r="S609"/>
    </row>
    <row r="610" spans="19:19" ht="14.4" hidden="1">
      <c r="S610"/>
    </row>
    <row r="611" spans="19:19" ht="14.4" hidden="1">
      <c r="S611"/>
    </row>
    <row r="612" spans="19:19" ht="14.4" hidden="1">
      <c r="S612"/>
    </row>
    <row r="613" spans="19:19" ht="14.4" hidden="1">
      <c r="S613"/>
    </row>
    <row r="614" spans="19:19" ht="14.4" hidden="1">
      <c r="S614"/>
    </row>
    <row r="615" spans="19:19" ht="14.4" hidden="1">
      <c r="S615"/>
    </row>
    <row r="616" spans="19:19" ht="14.4" hidden="1">
      <c r="S616"/>
    </row>
    <row r="617" spans="19:19" ht="14.4" hidden="1">
      <c r="S617"/>
    </row>
    <row r="618" spans="19:19" ht="14.4" hidden="1">
      <c r="S618"/>
    </row>
    <row r="619" spans="19:19" ht="14.4" hidden="1">
      <c r="S619"/>
    </row>
    <row r="620" spans="19:19" ht="14.4" hidden="1">
      <c r="S620"/>
    </row>
    <row r="621" spans="19:19" ht="14.4" hidden="1">
      <c r="S621"/>
    </row>
    <row r="622" spans="19:19" ht="14.4" hidden="1">
      <c r="S622"/>
    </row>
    <row r="623" spans="19:19" ht="14.4" hidden="1">
      <c r="S623"/>
    </row>
    <row r="624" spans="19:19" ht="14.4" hidden="1">
      <c r="S624"/>
    </row>
    <row r="625" spans="19:19" ht="14.4" hidden="1">
      <c r="S625"/>
    </row>
    <row r="626" spans="19:19" ht="14.4" hidden="1">
      <c r="S626"/>
    </row>
    <row r="627" spans="19:19" ht="14.4" hidden="1">
      <c r="S627"/>
    </row>
    <row r="628" spans="19:19" ht="14.4" hidden="1">
      <c r="S628"/>
    </row>
    <row r="629" spans="19:19" ht="14.4" hidden="1">
      <c r="S629"/>
    </row>
    <row r="630" spans="19:19" ht="14.4" hidden="1">
      <c r="S630"/>
    </row>
    <row r="631" spans="19:19" ht="14.4" hidden="1">
      <c r="S631"/>
    </row>
    <row r="632" spans="19:19" ht="14.4" hidden="1">
      <c r="S632"/>
    </row>
    <row r="633" spans="19:19" ht="14.4" hidden="1">
      <c r="S633"/>
    </row>
    <row r="634" spans="19:19" ht="14.4" hidden="1">
      <c r="S634"/>
    </row>
    <row r="635" spans="19:19" ht="14.4" hidden="1">
      <c r="S635"/>
    </row>
    <row r="636" spans="19:19" ht="14.4" hidden="1">
      <c r="S636"/>
    </row>
    <row r="637" spans="19:19" ht="14.4" hidden="1">
      <c r="S637"/>
    </row>
    <row r="638" spans="19:19" ht="14.4" hidden="1">
      <c r="S638"/>
    </row>
    <row r="639" spans="19:19" ht="14.4" hidden="1">
      <c r="S639"/>
    </row>
    <row r="640" spans="19:19" ht="14.4" hidden="1">
      <c r="S640"/>
    </row>
    <row r="641" spans="19:19" ht="14.4" hidden="1">
      <c r="S641"/>
    </row>
    <row r="642" spans="19:19" ht="14.4" hidden="1">
      <c r="S642"/>
    </row>
    <row r="643" spans="19:19" ht="14.4" hidden="1">
      <c r="S643"/>
    </row>
    <row r="644" spans="19:19" ht="14.4" hidden="1">
      <c r="S644"/>
    </row>
    <row r="645" spans="19:19" ht="14.4" hidden="1">
      <c r="S645"/>
    </row>
    <row r="646" spans="19:19" ht="14.4" hidden="1">
      <c r="S646"/>
    </row>
    <row r="647" spans="19:19" ht="14.4" hidden="1">
      <c r="S647"/>
    </row>
    <row r="648" spans="19:19" ht="14.4" hidden="1">
      <c r="S648"/>
    </row>
    <row r="649" spans="19:19" ht="14.4" hidden="1">
      <c r="S649"/>
    </row>
    <row r="650" spans="19:19" ht="14.4" hidden="1">
      <c r="S650"/>
    </row>
    <row r="651" spans="19:19" ht="14.4" hidden="1">
      <c r="S651"/>
    </row>
    <row r="652" spans="19:19" ht="14.4" hidden="1">
      <c r="S652"/>
    </row>
    <row r="653" spans="19:19" ht="14.4" hidden="1">
      <c r="S653"/>
    </row>
    <row r="654" spans="19:19" ht="14.4" hidden="1">
      <c r="S654"/>
    </row>
    <row r="655" spans="19:19" ht="14.4" hidden="1">
      <c r="S655"/>
    </row>
    <row r="656" spans="19:19" ht="14.4" hidden="1">
      <c r="S656"/>
    </row>
    <row r="657" spans="19:19" ht="14.4" hidden="1">
      <c r="S657"/>
    </row>
    <row r="658" spans="19:19" ht="14.4" hidden="1">
      <c r="S658"/>
    </row>
    <row r="659" spans="19:19" ht="14.4" hidden="1">
      <c r="S659"/>
    </row>
    <row r="660" spans="19:19" ht="14.4" hidden="1">
      <c r="S660"/>
    </row>
    <row r="661" spans="19:19" ht="14.4" hidden="1">
      <c r="S661"/>
    </row>
    <row r="662" spans="19:19" ht="14.4" hidden="1">
      <c r="S662"/>
    </row>
    <row r="663" spans="19:19" ht="14.4" hidden="1">
      <c r="S663"/>
    </row>
    <row r="664" spans="19:19" ht="14.4" hidden="1">
      <c r="S664"/>
    </row>
    <row r="665" spans="19:19" ht="14.4" hidden="1">
      <c r="S665"/>
    </row>
    <row r="666" spans="19:19" ht="14.4" hidden="1">
      <c r="S666"/>
    </row>
    <row r="667" spans="19:19" ht="14.4" hidden="1">
      <c r="S667"/>
    </row>
    <row r="668" spans="19:19" ht="14.4" hidden="1">
      <c r="S668"/>
    </row>
    <row r="669" spans="19:19" ht="14.4" hidden="1">
      <c r="S669"/>
    </row>
    <row r="670" spans="19:19" ht="14.4" hidden="1">
      <c r="S670"/>
    </row>
    <row r="671" spans="19:19" ht="14.4" hidden="1">
      <c r="S671"/>
    </row>
    <row r="672" spans="19:19" ht="14.4" hidden="1">
      <c r="S672"/>
    </row>
    <row r="673" spans="19:19" ht="14.4" hidden="1">
      <c r="S673"/>
    </row>
    <row r="674" spans="19:19" ht="14.4" hidden="1">
      <c r="S674"/>
    </row>
    <row r="675" spans="19:19" ht="14.4" hidden="1">
      <c r="S675"/>
    </row>
    <row r="676" spans="19:19" ht="14.4" hidden="1">
      <c r="S676"/>
    </row>
    <row r="677" spans="19:19" ht="14.4" hidden="1">
      <c r="S677"/>
    </row>
    <row r="678" spans="19:19" ht="14.4" hidden="1">
      <c r="S678"/>
    </row>
    <row r="679" spans="19:19" ht="14.4" hidden="1">
      <c r="S679"/>
    </row>
    <row r="680" spans="19:19" ht="14.4" hidden="1">
      <c r="S680"/>
    </row>
    <row r="681" spans="19:19" ht="14.4" hidden="1">
      <c r="S681"/>
    </row>
    <row r="682" spans="19:19" ht="14.4" hidden="1">
      <c r="S682"/>
    </row>
    <row r="683" spans="19:19" ht="14.4" hidden="1">
      <c r="S683"/>
    </row>
    <row r="684" spans="19:19" ht="14.4" hidden="1">
      <c r="S684"/>
    </row>
    <row r="685" spans="19:19" ht="14.4" hidden="1">
      <c r="S685"/>
    </row>
    <row r="686" spans="19:19" ht="14.4" hidden="1">
      <c r="S686"/>
    </row>
    <row r="687" spans="19:19" ht="14.4" hidden="1">
      <c r="S687"/>
    </row>
    <row r="688" spans="19:19" ht="14.4" hidden="1">
      <c r="S688"/>
    </row>
    <row r="689" spans="19:19" ht="14.4" hidden="1">
      <c r="S689"/>
    </row>
    <row r="690" spans="19:19" ht="14.4" hidden="1">
      <c r="S690"/>
    </row>
    <row r="691" spans="19:19" ht="14.4" hidden="1">
      <c r="S691"/>
    </row>
    <row r="692" spans="19:19" ht="14.4" hidden="1">
      <c r="S692"/>
    </row>
    <row r="693" spans="19:19" ht="14.4" hidden="1">
      <c r="S693"/>
    </row>
    <row r="694" spans="19:19" ht="14.4" hidden="1">
      <c r="S694"/>
    </row>
    <row r="695" spans="19:19" ht="14.4" hidden="1">
      <c r="S695"/>
    </row>
    <row r="696" spans="19:19" ht="14.4" hidden="1">
      <c r="S696"/>
    </row>
    <row r="697" spans="19:19" ht="14.4" hidden="1">
      <c r="S697"/>
    </row>
    <row r="698" spans="19:19" ht="14.4" hidden="1">
      <c r="S698"/>
    </row>
    <row r="699" spans="19:19" ht="14.4" hidden="1">
      <c r="S699"/>
    </row>
    <row r="700" spans="19:19" ht="14.4" hidden="1">
      <c r="S700"/>
    </row>
    <row r="701" spans="19:19" ht="14.4" hidden="1">
      <c r="S701"/>
    </row>
    <row r="702" spans="19:19" ht="14.4" hidden="1">
      <c r="S702"/>
    </row>
    <row r="703" spans="19:19" ht="14.4" hidden="1">
      <c r="S703"/>
    </row>
    <row r="704" spans="19:19" ht="14.4" hidden="1">
      <c r="S704"/>
    </row>
    <row r="705" spans="19:19" ht="14.4" hidden="1">
      <c r="S705"/>
    </row>
    <row r="706" spans="19:19" ht="14.4" hidden="1">
      <c r="S706"/>
    </row>
    <row r="707" spans="19:19" ht="14.4" hidden="1">
      <c r="S707"/>
    </row>
    <row r="708" spans="19:19" ht="14.4" hidden="1">
      <c r="S708"/>
    </row>
    <row r="709" spans="19:19" ht="14.4" hidden="1">
      <c r="S709"/>
    </row>
    <row r="710" spans="19:19" ht="14.4" hidden="1">
      <c r="S710"/>
    </row>
    <row r="711" spans="19:19" ht="14.4" hidden="1">
      <c r="S711"/>
    </row>
    <row r="712" spans="19:19" ht="14.4" hidden="1">
      <c r="S712"/>
    </row>
    <row r="713" spans="19:19" ht="14.4" hidden="1">
      <c r="S713"/>
    </row>
    <row r="714" spans="19:19" ht="14.4" hidden="1">
      <c r="S714"/>
    </row>
    <row r="715" spans="19:19" ht="14.4" hidden="1">
      <c r="S715"/>
    </row>
    <row r="716" spans="19:19" ht="14.4" hidden="1">
      <c r="S716"/>
    </row>
    <row r="717" spans="19:19" ht="14.4" hidden="1">
      <c r="S717"/>
    </row>
    <row r="718" spans="19:19" ht="14.4" hidden="1">
      <c r="S718"/>
    </row>
    <row r="719" spans="19:19" ht="14.4" hidden="1">
      <c r="S719"/>
    </row>
    <row r="720" spans="19:19" ht="14.4" hidden="1">
      <c r="S720"/>
    </row>
    <row r="721" spans="19:19" ht="14.4" hidden="1">
      <c r="S721"/>
    </row>
    <row r="722" spans="19:19" ht="14.4" hidden="1">
      <c r="S722"/>
    </row>
    <row r="723" spans="19:19" ht="14.4" hidden="1">
      <c r="S723"/>
    </row>
    <row r="724" spans="19:19" ht="14.4" hidden="1">
      <c r="S724"/>
    </row>
    <row r="725" spans="19:19" ht="14.4" hidden="1">
      <c r="S725"/>
    </row>
    <row r="726" spans="19:19" ht="14.4" hidden="1">
      <c r="S726"/>
    </row>
    <row r="727" spans="19:19" ht="14.4" hidden="1">
      <c r="S727"/>
    </row>
    <row r="728" spans="19:19" ht="14.4" hidden="1">
      <c r="S728"/>
    </row>
    <row r="729" spans="19:19" ht="14.4" hidden="1">
      <c r="S729"/>
    </row>
    <row r="730" spans="19:19" ht="14.4" hidden="1">
      <c r="S730"/>
    </row>
    <row r="731" spans="19:19" ht="14.4" hidden="1">
      <c r="S731"/>
    </row>
    <row r="732" spans="19:19" ht="14.4" hidden="1">
      <c r="S732"/>
    </row>
    <row r="733" spans="19:19" ht="14.4" hidden="1">
      <c r="S733"/>
    </row>
    <row r="734" spans="19:19" ht="14.4" hidden="1">
      <c r="S734"/>
    </row>
    <row r="735" spans="19:19" ht="14.4" hidden="1">
      <c r="S735"/>
    </row>
    <row r="736" spans="19:19" ht="14.4" hidden="1">
      <c r="S736"/>
    </row>
    <row r="737" spans="19:19" ht="14.4" hidden="1">
      <c r="S737"/>
    </row>
    <row r="738" spans="19:19" ht="14.4" hidden="1">
      <c r="S738"/>
    </row>
    <row r="739" spans="19:19" ht="14.4" hidden="1">
      <c r="S739"/>
    </row>
    <row r="740" spans="19:19" ht="14.4" hidden="1">
      <c r="S740"/>
    </row>
    <row r="741" spans="19:19" ht="14.4" hidden="1">
      <c r="S741"/>
    </row>
    <row r="742" spans="19:19" ht="14.4" hidden="1">
      <c r="S742"/>
    </row>
    <row r="743" spans="19:19" ht="14.4" hidden="1">
      <c r="S743"/>
    </row>
    <row r="744" spans="19:19" ht="14.4" hidden="1">
      <c r="S744"/>
    </row>
    <row r="745" spans="19:19" ht="14.4" hidden="1">
      <c r="S745"/>
    </row>
    <row r="746" spans="19:19" ht="14.4" hidden="1">
      <c r="S746"/>
    </row>
    <row r="747" spans="19:19" ht="14.4" hidden="1">
      <c r="S747"/>
    </row>
    <row r="748" spans="19:19" ht="14.4" hidden="1">
      <c r="S748"/>
    </row>
    <row r="749" spans="19:19" ht="14.4" hidden="1">
      <c r="S749"/>
    </row>
    <row r="750" spans="19:19" ht="14.4" hidden="1">
      <c r="S750"/>
    </row>
    <row r="751" spans="19:19" ht="14.4" hidden="1">
      <c r="S751"/>
    </row>
    <row r="752" spans="19:19" ht="14.4" hidden="1">
      <c r="S752"/>
    </row>
    <row r="753" spans="19:19" ht="14.4" hidden="1">
      <c r="S753"/>
    </row>
    <row r="754" spans="19:19" ht="14.4" hidden="1">
      <c r="S754"/>
    </row>
    <row r="755" spans="19:19" ht="14.4" hidden="1">
      <c r="S755"/>
    </row>
    <row r="756" spans="19:19" ht="14.4" hidden="1">
      <c r="S756"/>
    </row>
    <row r="757" spans="19:19" ht="14.4" hidden="1">
      <c r="S757"/>
    </row>
    <row r="758" spans="19:19" ht="14.4" hidden="1">
      <c r="S758"/>
    </row>
    <row r="759" spans="19:19" ht="14.4" hidden="1">
      <c r="S759"/>
    </row>
    <row r="760" spans="19:19" ht="14.4" hidden="1">
      <c r="S760"/>
    </row>
    <row r="761" spans="19:19" ht="14.4" hidden="1">
      <c r="S761"/>
    </row>
    <row r="762" spans="19:19" ht="14.4" hidden="1">
      <c r="S762"/>
    </row>
    <row r="763" spans="19:19" ht="14.4" hidden="1">
      <c r="S763"/>
    </row>
    <row r="764" spans="19:19" ht="14.4" hidden="1">
      <c r="S764"/>
    </row>
    <row r="765" spans="19:19" ht="14.4" hidden="1">
      <c r="S765"/>
    </row>
    <row r="766" spans="19:19" ht="14.4" hidden="1">
      <c r="S766"/>
    </row>
    <row r="767" spans="19:19" ht="14.4" hidden="1">
      <c r="S767"/>
    </row>
    <row r="768" spans="19:19" ht="14.4" hidden="1">
      <c r="S768"/>
    </row>
    <row r="769" spans="19:19" ht="14.4" hidden="1">
      <c r="S769"/>
    </row>
    <row r="770" spans="19:19" ht="14.4" hidden="1">
      <c r="S770"/>
    </row>
    <row r="771" spans="19:19" ht="14.4" hidden="1">
      <c r="S771"/>
    </row>
    <row r="772" spans="19:19" ht="14.4" hidden="1">
      <c r="S772"/>
    </row>
    <row r="773" spans="19:19" ht="14.4" hidden="1">
      <c r="S773"/>
    </row>
    <row r="774" spans="19:19" ht="14.4" hidden="1">
      <c r="S774"/>
    </row>
    <row r="775" spans="19:19" ht="14.4" hidden="1">
      <c r="S775"/>
    </row>
    <row r="776" spans="19:19" ht="14.4" hidden="1">
      <c r="S776"/>
    </row>
    <row r="777" spans="19:19" ht="14.4" hidden="1">
      <c r="S777"/>
    </row>
    <row r="778" spans="19:19" ht="14.4" hidden="1">
      <c r="S778"/>
    </row>
    <row r="779" spans="19:19" ht="14.4" hidden="1">
      <c r="S779"/>
    </row>
    <row r="780" spans="19:19" ht="14.4" hidden="1">
      <c r="S780"/>
    </row>
    <row r="781" spans="19:19" ht="14.4" hidden="1">
      <c r="S781"/>
    </row>
    <row r="782" spans="19:19" ht="14.4" hidden="1">
      <c r="S782"/>
    </row>
    <row r="783" spans="19:19" ht="14.4" hidden="1">
      <c r="S783"/>
    </row>
    <row r="784" spans="19:19" ht="14.4" hidden="1">
      <c r="S784"/>
    </row>
    <row r="785" spans="19:19" ht="14.4" hidden="1">
      <c r="S785"/>
    </row>
    <row r="786" spans="19:19" ht="14.4" hidden="1">
      <c r="S786"/>
    </row>
    <row r="787" spans="19:19" ht="14.4" hidden="1">
      <c r="S787"/>
    </row>
    <row r="788" spans="19:19" ht="14.4" hidden="1">
      <c r="S788"/>
    </row>
    <row r="789" spans="19:19" ht="14.4" hidden="1">
      <c r="S789"/>
    </row>
    <row r="790" spans="19:19" ht="14.4" hidden="1">
      <c r="S790"/>
    </row>
    <row r="791" spans="19:19" ht="14.4" hidden="1">
      <c r="S791"/>
    </row>
    <row r="792" spans="19:19" ht="14.4" hidden="1">
      <c r="S792"/>
    </row>
    <row r="793" spans="19:19" ht="14.4" hidden="1">
      <c r="S793"/>
    </row>
    <row r="794" spans="19:19" ht="14.4" hidden="1">
      <c r="S794"/>
    </row>
    <row r="795" spans="19:19" ht="14.4" hidden="1">
      <c r="S795"/>
    </row>
    <row r="796" spans="19:19" ht="14.4" hidden="1">
      <c r="S796"/>
    </row>
    <row r="797" spans="19:19" ht="14.4" hidden="1">
      <c r="S797"/>
    </row>
    <row r="798" spans="19:19" ht="14.4" hidden="1">
      <c r="S798"/>
    </row>
    <row r="799" spans="19:19" ht="14.4" hidden="1">
      <c r="S799"/>
    </row>
    <row r="800" spans="19:19" ht="14.4" hidden="1">
      <c r="S800"/>
    </row>
    <row r="801" spans="19:19" ht="14.4" hidden="1">
      <c r="S801"/>
    </row>
    <row r="802" spans="19:19" ht="14.4" hidden="1">
      <c r="S802"/>
    </row>
    <row r="803" spans="19:19" ht="14.4" hidden="1">
      <c r="S803"/>
    </row>
    <row r="804" spans="19:19" ht="14.4" hidden="1">
      <c r="S804"/>
    </row>
    <row r="805" spans="19:19" ht="14.4" hidden="1">
      <c r="S805"/>
    </row>
    <row r="806" spans="19:19" ht="14.4" hidden="1">
      <c r="S806"/>
    </row>
    <row r="807" spans="19:19" ht="14.4" hidden="1">
      <c r="S807"/>
    </row>
    <row r="808" spans="19:19" ht="14.4" hidden="1">
      <c r="S808"/>
    </row>
    <row r="809" spans="19:19" ht="14.4" hidden="1">
      <c r="S809"/>
    </row>
    <row r="810" spans="19:19" ht="14.4" hidden="1">
      <c r="S810"/>
    </row>
    <row r="811" spans="19:19" ht="14.4" hidden="1">
      <c r="S811"/>
    </row>
    <row r="812" spans="19:19" ht="14.4" hidden="1">
      <c r="S812"/>
    </row>
    <row r="813" spans="19:19" ht="14.4" hidden="1">
      <c r="S813"/>
    </row>
    <row r="814" spans="19:19" ht="14.4" hidden="1">
      <c r="S814"/>
    </row>
    <row r="815" spans="19:19" ht="14.4" hidden="1">
      <c r="S815"/>
    </row>
    <row r="816" spans="19:19" ht="14.4" hidden="1">
      <c r="S816"/>
    </row>
    <row r="817" spans="19:19" ht="14.4" hidden="1">
      <c r="S817"/>
    </row>
    <row r="818" spans="19:19" ht="14.4" hidden="1">
      <c r="S818"/>
    </row>
    <row r="819" spans="19:19" ht="14.4" hidden="1">
      <c r="S819"/>
    </row>
    <row r="820" spans="19:19" ht="14.4" hidden="1">
      <c r="S820"/>
    </row>
    <row r="821" spans="19:19" ht="14.4" hidden="1">
      <c r="S821"/>
    </row>
    <row r="822" spans="19:19" ht="14.4" hidden="1">
      <c r="S822"/>
    </row>
    <row r="823" spans="19:19" ht="14.4" hidden="1">
      <c r="S823"/>
    </row>
    <row r="824" spans="19:19" ht="14.4" hidden="1">
      <c r="S824"/>
    </row>
    <row r="825" spans="19:19" ht="14.4" hidden="1">
      <c r="S825"/>
    </row>
    <row r="826" spans="19:19" ht="14.4" hidden="1">
      <c r="S826"/>
    </row>
    <row r="827" spans="19:19" ht="14.4" hidden="1">
      <c r="S827"/>
    </row>
    <row r="828" spans="19:19" ht="14.4" hidden="1">
      <c r="S828"/>
    </row>
    <row r="829" spans="19:19" ht="14.4" hidden="1">
      <c r="S829"/>
    </row>
    <row r="830" spans="19:19" ht="14.4" hidden="1">
      <c r="S830"/>
    </row>
    <row r="831" spans="19:19" ht="14.4" hidden="1">
      <c r="S831"/>
    </row>
    <row r="832" spans="19:19" ht="14.4" hidden="1">
      <c r="S832"/>
    </row>
    <row r="833" spans="19:19" ht="14.4" hidden="1">
      <c r="S833"/>
    </row>
    <row r="834" spans="19:19" ht="14.4" hidden="1">
      <c r="S834"/>
    </row>
    <row r="835" spans="19:19" ht="14.4" hidden="1">
      <c r="S835"/>
    </row>
    <row r="836" spans="19:19" ht="14.4" hidden="1">
      <c r="S836"/>
    </row>
    <row r="837" spans="19:19" ht="14.4" hidden="1">
      <c r="S837"/>
    </row>
    <row r="838" spans="19:19" ht="14.4" hidden="1">
      <c r="S838"/>
    </row>
    <row r="839" spans="19:19" ht="14.4" hidden="1">
      <c r="S839"/>
    </row>
    <row r="840" spans="19:19" ht="14.4" hidden="1">
      <c r="S840"/>
    </row>
    <row r="841" spans="19:19" ht="14.4" hidden="1">
      <c r="S841"/>
    </row>
    <row r="842" spans="19:19" ht="14.4" hidden="1">
      <c r="S842"/>
    </row>
    <row r="843" spans="19:19" ht="14.4" hidden="1">
      <c r="S843"/>
    </row>
    <row r="844" spans="19:19" ht="14.4" hidden="1">
      <c r="S844"/>
    </row>
    <row r="845" spans="19:19" ht="14.4" hidden="1">
      <c r="S845"/>
    </row>
    <row r="846" spans="19:19" ht="14.4" hidden="1">
      <c r="S846"/>
    </row>
    <row r="847" spans="19:19" ht="14.4" hidden="1">
      <c r="S847"/>
    </row>
    <row r="848" spans="19:19" ht="14.4" hidden="1">
      <c r="S848"/>
    </row>
    <row r="849" spans="19:19" ht="14.4" hidden="1">
      <c r="S849"/>
    </row>
    <row r="850" spans="19:19" ht="14.4" hidden="1">
      <c r="S850"/>
    </row>
    <row r="851" spans="19:19" ht="14.4" hidden="1">
      <c r="S851"/>
    </row>
    <row r="852" spans="19:19" ht="14.4" hidden="1">
      <c r="S852"/>
    </row>
    <row r="853" spans="19:19" ht="14.4" hidden="1">
      <c r="S853"/>
    </row>
    <row r="854" spans="19:19" ht="14.4" hidden="1">
      <c r="S854"/>
    </row>
    <row r="855" spans="19:19" ht="14.4" hidden="1">
      <c r="S855"/>
    </row>
    <row r="856" spans="19:19" ht="14.4" hidden="1">
      <c r="S856"/>
    </row>
    <row r="857" spans="19:19" ht="14.4" hidden="1">
      <c r="S857"/>
    </row>
    <row r="858" spans="19:19" ht="14.4" hidden="1">
      <c r="S858"/>
    </row>
    <row r="859" spans="19:19" ht="14.4" hidden="1">
      <c r="S859"/>
    </row>
    <row r="860" spans="19:19" ht="14.4" hidden="1">
      <c r="S860"/>
    </row>
    <row r="861" spans="19:19" ht="14.4" hidden="1">
      <c r="S861"/>
    </row>
    <row r="862" spans="19:19" ht="14.4" hidden="1">
      <c r="S862"/>
    </row>
    <row r="863" spans="19:19" ht="14.4" hidden="1">
      <c r="S863"/>
    </row>
    <row r="864" spans="19:19" ht="14.4" hidden="1">
      <c r="S864"/>
    </row>
    <row r="865" spans="19:19" ht="14.4" hidden="1">
      <c r="S865"/>
    </row>
    <row r="866" spans="19:19" ht="14.4" hidden="1">
      <c r="S866"/>
    </row>
    <row r="867" spans="19:19" ht="14.4" hidden="1">
      <c r="S867"/>
    </row>
    <row r="868" spans="19:19" ht="14.4" hidden="1">
      <c r="S868"/>
    </row>
    <row r="869" spans="19:19" ht="14.4" hidden="1">
      <c r="S869"/>
    </row>
    <row r="870" spans="19:19" ht="14.4" hidden="1">
      <c r="S870"/>
    </row>
    <row r="871" spans="19:19" ht="14.4" hidden="1">
      <c r="S871"/>
    </row>
    <row r="872" spans="19:19" ht="14.4" hidden="1">
      <c r="S872"/>
    </row>
    <row r="873" spans="19:19" ht="14.4" hidden="1">
      <c r="S873"/>
    </row>
    <row r="874" spans="19:19" ht="14.4" hidden="1">
      <c r="S874"/>
    </row>
    <row r="875" spans="19:19" ht="14.4" hidden="1">
      <c r="S875"/>
    </row>
    <row r="876" spans="19:19" ht="14.4" hidden="1">
      <c r="S876"/>
    </row>
    <row r="877" spans="19:19" ht="14.4" hidden="1">
      <c r="S877"/>
    </row>
    <row r="878" spans="19:19" ht="14.4" hidden="1">
      <c r="S878"/>
    </row>
    <row r="879" spans="19:19" ht="14.4" hidden="1">
      <c r="S879"/>
    </row>
    <row r="880" spans="19:19" ht="14.4" hidden="1">
      <c r="S880"/>
    </row>
    <row r="881" spans="19:19" ht="14.4" hidden="1">
      <c r="S881"/>
    </row>
    <row r="882" spans="19:19" ht="14.4" hidden="1">
      <c r="S882"/>
    </row>
    <row r="883" spans="19:19" ht="14.4" hidden="1">
      <c r="S883"/>
    </row>
    <row r="884" spans="19:19" ht="14.4" hidden="1">
      <c r="S884"/>
    </row>
    <row r="885" spans="19:19" ht="14.4" hidden="1">
      <c r="S885"/>
    </row>
    <row r="886" spans="19:19" ht="14.4" hidden="1">
      <c r="S886"/>
    </row>
    <row r="887" spans="19:19" ht="14.4" hidden="1">
      <c r="S887"/>
    </row>
    <row r="888" spans="19:19" ht="14.4" hidden="1">
      <c r="S888"/>
    </row>
    <row r="889" spans="19:19" ht="14.4" hidden="1">
      <c r="S889"/>
    </row>
    <row r="890" spans="19:19" ht="14.4" hidden="1">
      <c r="S890"/>
    </row>
    <row r="891" spans="19:19" ht="14.4" hidden="1">
      <c r="S891"/>
    </row>
    <row r="892" spans="19:19" ht="14.4" hidden="1">
      <c r="S892"/>
    </row>
    <row r="893" spans="19:19" ht="14.4" hidden="1">
      <c r="S893"/>
    </row>
    <row r="894" spans="19:19" ht="14.4" hidden="1">
      <c r="S894"/>
    </row>
    <row r="895" spans="19:19" ht="14.4" hidden="1">
      <c r="S895"/>
    </row>
    <row r="896" spans="19:19" ht="14.4" hidden="1">
      <c r="S896"/>
    </row>
    <row r="897" spans="19:19" ht="14.4" hidden="1">
      <c r="S897"/>
    </row>
    <row r="898" spans="19:19" ht="14.4" hidden="1">
      <c r="S898"/>
    </row>
    <row r="899" spans="19:19" ht="14.4" hidden="1">
      <c r="S899"/>
    </row>
    <row r="900" spans="19:19" ht="14.4" hidden="1">
      <c r="S900"/>
    </row>
    <row r="901" spans="19:19" ht="14.4" hidden="1">
      <c r="S901"/>
    </row>
    <row r="902" spans="19:19" ht="14.4" hidden="1">
      <c r="S902"/>
    </row>
    <row r="903" spans="19:19" ht="14.4" hidden="1">
      <c r="S903"/>
    </row>
    <row r="904" spans="19:19" ht="14.4" hidden="1">
      <c r="S904"/>
    </row>
    <row r="905" spans="19:19" ht="14.4" hidden="1">
      <c r="S905"/>
    </row>
    <row r="906" spans="19:19" ht="14.4" hidden="1">
      <c r="S906"/>
    </row>
    <row r="907" spans="19:19" ht="14.4" hidden="1">
      <c r="S907"/>
    </row>
    <row r="908" spans="19:19" ht="14.4" hidden="1">
      <c r="S908"/>
    </row>
    <row r="909" spans="19:19" ht="14.4" hidden="1">
      <c r="S909"/>
    </row>
    <row r="910" spans="19:19" ht="14.4" hidden="1">
      <c r="S910"/>
    </row>
    <row r="911" spans="19:19" ht="14.4" hidden="1">
      <c r="S911"/>
    </row>
    <row r="912" spans="19:19" ht="14.4" hidden="1">
      <c r="S912"/>
    </row>
    <row r="913" spans="19:19" ht="14.4" hidden="1">
      <c r="S913"/>
    </row>
    <row r="914" spans="19:19" ht="14.4" hidden="1">
      <c r="S914"/>
    </row>
    <row r="915" spans="19:19" ht="14.4" hidden="1">
      <c r="S915"/>
    </row>
    <row r="916" spans="19:19" ht="14.4" hidden="1">
      <c r="S916"/>
    </row>
    <row r="917" spans="19:19" ht="14.4" hidden="1">
      <c r="S917"/>
    </row>
    <row r="918" spans="19:19" ht="14.4" hidden="1">
      <c r="S918"/>
    </row>
    <row r="919" spans="19:19" ht="14.4" hidden="1">
      <c r="S919"/>
    </row>
    <row r="920" spans="19:19" ht="14.4" hidden="1">
      <c r="S920"/>
    </row>
    <row r="921" spans="19:19" ht="14.4" hidden="1">
      <c r="S921"/>
    </row>
    <row r="922" spans="19:19" ht="14.4" hidden="1">
      <c r="S922"/>
    </row>
    <row r="923" spans="19:19" ht="14.4" hidden="1">
      <c r="S923"/>
    </row>
    <row r="924" spans="19:19" ht="14.4" hidden="1">
      <c r="S924"/>
    </row>
    <row r="925" spans="19:19" ht="14.4" hidden="1">
      <c r="S925"/>
    </row>
    <row r="926" spans="19:19" ht="14.4" hidden="1">
      <c r="S926"/>
    </row>
    <row r="927" spans="19:19" ht="14.4" hidden="1">
      <c r="S927"/>
    </row>
    <row r="928" spans="19:19" ht="14.4" hidden="1">
      <c r="S928"/>
    </row>
    <row r="929" spans="19:19" ht="14.4" hidden="1">
      <c r="S929"/>
    </row>
    <row r="930" spans="19:19" ht="14.4" hidden="1">
      <c r="S930"/>
    </row>
    <row r="931" spans="19:19" ht="14.4" hidden="1">
      <c r="S931"/>
    </row>
    <row r="932" spans="19:19" ht="14.4" hidden="1">
      <c r="S932"/>
    </row>
    <row r="933" spans="19:19" ht="14.4" hidden="1">
      <c r="S933"/>
    </row>
    <row r="934" spans="19:19" ht="14.4" hidden="1">
      <c r="S934"/>
    </row>
    <row r="935" spans="19:19" ht="14.4" hidden="1">
      <c r="S935"/>
    </row>
    <row r="936" spans="19:19" ht="14.4" hidden="1">
      <c r="S936"/>
    </row>
    <row r="937" spans="19:19" ht="14.4" hidden="1">
      <c r="S937"/>
    </row>
    <row r="938" spans="19:19" ht="14.4" hidden="1">
      <c r="S938"/>
    </row>
    <row r="939" spans="19:19" ht="14.4" hidden="1">
      <c r="S939"/>
    </row>
    <row r="940" spans="19:19" ht="14.4" hidden="1">
      <c r="S940"/>
    </row>
    <row r="941" spans="19:19" ht="14.4" hidden="1">
      <c r="S941"/>
    </row>
    <row r="942" spans="19:19" ht="14.4" hidden="1">
      <c r="S942"/>
    </row>
    <row r="943" spans="19:19" ht="14.4" hidden="1">
      <c r="S943"/>
    </row>
    <row r="944" spans="19:19" ht="14.4" hidden="1">
      <c r="S944"/>
    </row>
    <row r="945" spans="19:19" ht="14.4" hidden="1">
      <c r="S945"/>
    </row>
    <row r="946" spans="19:19" ht="14.4" hidden="1">
      <c r="S946"/>
    </row>
    <row r="947" spans="19:19" ht="14.4" hidden="1">
      <c r="S947"/>
    </row>
    <row r="948" spans="19:19" ht="14.4" hidden="1">
      <c r="S948"/>
    </row>
    <row r="949" spans="19:19" ht="14.4" hidden="1">
      <c r="S949"/>
    </row>
    <row r="950" spans="19:19" ht="14.4" hidden="1">
      <c r="S950"/>
    </row>
    <row r="951" spans="19:19" ht="14.4" hidden="1">
      <c r="S951"/>
    </row>
    <row r="952" spans="19:19" ht="14.4" hidden="1">
      <c r="S952"/>
    </row>
    <row r="953" spans="19:19" ht="14.4" hidden="1">
      <c r="S953"/>
    </row>
    <row r="954" spans="19:19" ht="14.4" hidden="1">
      <c r="S954"/>
    </row>
    <row r="955" spans="19:19" ht="14.4" hidden="1">
      <c r="S955"/>
    </row>
    <row r="956" spans="19:19" ht="14.4" hidden="1">
      <c r="S956"/>
    </row>
    <row r="957" spans="19:19" ht="14.4" hidden="1">
      <c r="S957"/>
    </row>
    <row r="958" spans="19:19" ht="14.4" hidden="1">
      <c r="S958"/>
    </row>
    <row r="959" spans="19:19" ht="14.4" hidden="1">
      <c r="S959"/>
    </row>
    <row r="960" spans="19:19" ht="14.4" hidden="1">
      <c r="S960"/>
    </row>
    <row r="961" spans="19:19" ht="14.4" hidden="1">
      <c r="S961"/>
    </row>
    <row r="962" spans="19:19" ht="14.4" hidden="1">
      <c r="S962"/>
    </row>
    <row r="963" spans="19:19" ht="14.4" hidden="1">
      <c r="S963"/>
    </row>
    <row r="964" spans="19:19" ht="14.4" hidden="1">
      <c r="S964"/>
    </row>
    <row r="965" spans="19:19" ht="14.4" hidden="1">
      <c r="S965"/>
    </row>
    <row r="966" spans="19:19" ht="14.4" hidden="1">
      <c r="S966"/>
    </row>
    <row r="967" spans="19:19" ht="14.4" hidden="1">
      <c r="S967"/>
    </row>
    <row r="968" spans="19:19" ht="14.4" hidden="1">
      <c r="S968"/>
    </row>
    <row r="969" spans="19:19" ht="14.4" hidden="1">
      <c r="S969"/>
    </row>
    <row r="970" spans="19:19" ht="14.4" hidden="1">
      <c r="S970"/>
    </row>
    <row r="971" spans="19:19" ht="14.4" hidden="1">
      <c r="S971"/>
    </row>
    <row r="972" spans="19:19" ht="14.4" hidden="1">
      <c r="S972"/>
    </row>
    <row r="973" spans="19:19" ht="14.4" hidden="1">
      <c r="S973"/>
    </row>
    <row r="974" spans="19:19" ht="14.4" hidden="1">
      <c r="S974"/>
    </row>
    <row r="975" spans="19:19" ht="14.4" hidden="1">
      <c r="S975"/>
    </row>
    <row r="976" spans="19:19" ht="14.4" hidden="1">
      <c r="S976"/>
    </row>
    <row r="977" spans="19:19" ht="14.4" hidden="1">
      <c r="S977"/>
    </row>
    <row r="978" spans="19:19" ht="14.4" hidden="1">
      <c r="S978"/>
    </row>
    <row r="979" spans="19:19" ht="14.4" hidden="1">
      <c r="S979"/>
    </row>
    <row r="980" spans="19:19" ht="14.4" hidden="1">
      <c r="S980"/>
    </row>
    <row r="981" spans="19:19" ht="14.4" hidden="1">
      <c r="S981"/>
    </row>
    <row r="982" spans="19:19" ht="14.4" hidden="1">
      <c r="S982"/>
    </row>
    <row r="983" spans="19:19" ht="14.4" hidden="1">
      <c r="S983"/>
    </row>
    <row r="984" spans="19:19" ht="14.4" hidden="1">
      <c r="S984"/>
    </row>
    <row r="985" spans="19:19" ht="14.4" hidden="1">
      <c r="S985"/>
    </row>
    <row r="986" spans="19:19" ht="14.4" hidden="1">
      <c r="S986"/>
    </row>
    <row r="987" spans="19:19" ht="14.4" hidden="1">
      <c r="S987"/>
    </row>
    <row r="988" spans="19:19" ht="14.4" hidden="1">
      <c r="S988"/>
    </row>
    <row r="989" spans="19:19" ht="14.4" hidden="1">
      <c r="S989"/>
    </row>
    <row r="990" spans="19:19" ht="14.4" hidden="1">
      <c r="S990"/>
    </row>
    <row r="991" spans="19:19" ht="14.4" hidden="1">
      <c r="S991"/>
    </row>
    <row r="992" spans="19:19" ht="14.4" hidden="1">
      <c r="S992"/>
    </row>
    <row r="993" spans="19:19" ht="14.4" hidden="1">
      <c r="S993"/>
    </row>
    <row r="994" spans="19:19" ht="14.4" hidden="1">
      <c r="S994"/>
    </row>
    <row r="995" spans="19:19" ht="14.4" hidden="1">
      <c r="S995"/>
    </row>
    <row r="996" spans="19:19" ht="14.4" hidden="1">
      <c r="S996"/>
    </row>
    <row r="997" spans="19:19" ht="14.4" hidden="1">
      <c r="S997"/>
    </row>
    <row r="998" spans="19:19" ht="14.4" hidden="1">
      <c r="S998"/>
    </row>
    <row r="999" spans="19:19" ht="14.4" hidden="1">
      <c r="S999"/>
    </row>
    <row r="1000" spans="19:19" ht="14.4" hidden="1">
      <c r="S1000"/>
    </row>
    <row r="1001" spans="19:19" ht="14.4" hidden="1">
      <c r="S1001"/>
    </row>
    <row r="1002" spans="19:19" ht="14.4" hidden="1">
      <c r="S1002"/>
    </row>
    <row r="1003" spans="19:19" ht="14.4" hidden="1">
      <c r="S1003"/>
    </row>
    <row r="1004" spans="19:19" ht="14.4" hidden="1">
      <c r="S1004"/>
    </row>
    <row r="1005" spans="19:19" ht="14.4" hidden="1">
      <c r="S1005"/>
    </row>
    <row r="1006" spans="19:19" ht="14.4" hidden="1">
      <c r="S1006"/>
    </row>
    <row r="1007" spans="19:19" ht="14.4" hidden="1">
      <c r="S1007"/>
    </row>
    <row r="1008" spans="19:19" ht="14.4" hidden="1">
      <c r="S1008"/>
    </row>
    <row r="1009" spans="19:19" ht="14.4" hidden="1">
      <c r="S1009"/>
    </row>
    <row r="1010" spans="19:19" ht="14.4" hidden="1">
      <c r="S1010"/>
    </row>
    <row r="1011" spans="19:19" ht="14.4" hidden="1">
      <c r="S1011"/>
    </row>
    <row r="1012" spans="19:19" ht="14.4" hidden="1">
      <c r="S1012"/>
    </row>
    <row r="1013" spans="19:19" ht="14.4" hidden="1">
      <c r="S1013"/>
    </row>
    <row r="1014" spans="19:19" ht="14.4" hidden="1">
      <c r="S1014"/>
    </row>
    <row r="1015" spans="19:19" ht="14.4" hidden="1">
      <c r="S1015"/>
    </row>
    <row r="1016" spans="19:19" ht="14.4" hidden="1">
      <c r="S1016"/>
    </row>
    <row r="1017" spans="19:19" ht="14.4" hidden="1">
      <c r="S1017"/>
    </row>
    <row r="1018" spans="19:19" ht="14.4" hidden="1">
      <c r="S1018"/>
    </row>
    <row r="1019" spans="19:19" ht="14.4" hidden="1">
      <c r="S1019"/>
    </row>
    <row r="1020" spans="19:19" ht="14.4" hidden="1">
      <c r="S1020"/>
    </row>
    <row r="1021" spans="19:19" ht="14.4" hidden="1">
      <c r="S1021"/>
    </row>
    <row r="1022" spans="19:19" ht="14.4" hidden="1">
      <c r="S1022"/>
    </row>
    <row r="1023" spans="19:19" ht="14.4" hidden="1">
      <c r="S1023"/>
    </row>
    <row r="1024" spans="19:19" ht="14.4" hidden="1">
      <c r="S1024"/>
    </row>
    <row r="1025" spans="19:19" ht="14.4" hidden="1">
      <c r="S1025"/>
    </row>
    <row r="1026" spans="19:19" ht="14.4" hidden="1">
      <c r="S1026"/>
    </row>
    <row r="1027" spans="19:19" ht="14.4" hidden="1">
      <c r="S1027"/>
    </row>
    <row r="1028" spans="19:19" ht="14.4" hidden="1">
      <c r="S1028"/>
    </row>
    <row r="1029" spans="19:19" ht="14.4" hidden="1">
      <c r="S1029"/>
    </row>
    <row r="1030" spans="19:19" ht="14.4" hidden="1">
      <c r="S1030"/>
    </row>
    <row r="1031" spans="19:19" ht="14.4" hidden="1">
      <c r="S1031"/>
    </row>
    <row r="1032" spans="19:19" ht="14.4" hidden="1">
      <c r="S1032"/>
    </row>
    <row r="1033" spans="19:19" ht="14.4" hidden="1">
      <c r="S1033"/>
    </row>
    <row r="1034" spans="19:19" ht="14.4" hidden="1">
      <c r="S1034"/>
    </row>
    <row r="1035" spans="19:19" ht="14.4" hidden="1">
      <c r="S1035"/>
    </row>
    <row r="1036" spans="19:19" ht="14.4" hidden="1">
      <c r="S1036"/>
    </row>
    <row r="1037" spans="19:19" ht="14.4" hidden="1">
      <c r="S1037"/>
    </row>
    <row r="1038" spans="19:19" ht="14.4" hidden="1">
      <c r="S1038"/>
    </row>
    <row r="1039" spans="19:19" ht="14.4" hidden="1">
      <c r="S1039"/>
    </row>
    <row r="1040" spans="19:19" ht="14.4" hidden="1">
      <c r="S1040"/>
    </row>
    <row r="1041" spans="19:19" ht="14.4" hidden="1">
      <c r="S1041"/>
    </row>
    <row r="1042" spans="19:19" ht="14.4" hidden="1">
      <c r="S1042"/>
    </row>
    <row r="1043" spans="19:19" ht="14.4" hidden="1">
      <c r="S1043"/>
    </row>
    <row r="1044" spans="19:19" ht="14.4" hidden="1">
      <c r="S1044"/>
    </row>
    <row r="1045" spans="19:19" ht="14.4" hidden="1">
      <c r="S1045"/>
    </row>
    <row r="1046" spans="19:19" ht="14.4" hidden="1">
      <c r="S1046"/>
    </row>
    <row r="1047" spans="19:19" ht="14.4" hidden="1">
      <c r="S1047"/>
    </row>
    <row r="1048" spans="19:19" ht="14.4" hidden="1">
      <c r="S1048"/>
    </row>
    <row r="1049" spans="19:19" ht="14.4" hidden="1">
      <c r="S1049"/>
    </row>
    <row r="1050" spans="19:19" ht="14.4" hidden="1">
      <c r="S1050"/>
    </row>
    <row r="1051" spans="19:19" ht="14.4" hidden="1">
      <c r="S1051"/>
    </row>
    <row r="1052" spans="19:19" ht="14.4" hidden="1">
      <c r="S1052"/>
    </row>
    <row r="1053" spans="19:19" ht="14.4" hidden="1">
      <c r="S1053"/>
    </row>
    <row r="1054" spans="19:19" ht="14.4" hidden="1">
      <c r="S1054"/>
    </row>
    <row r="1055" spans="19:19" ht="14.4" hidden="1">
      <c r="S1055"/>
    </row>
    <row r="1056" spans="19:19" ht="14.4" hidden="1">
      <c r="S1056"/>
    </row>
    <row r="1057" spans="19:19" ht="14.4" hidden="1">
      <c r="S1057"/>
    </row>
    <row r="1058" spans="19:19" ht="14.4" hidden="1">
      <c r="S1058"/>
    </row>
    <row r="1059" spans="19:19" ht="14.4" hidden="1">
      <c r="S1059"/>
    </row>
    <row r="1060" spans="19:19" ht="14.4" hidden="1">
      <c r="S1060"/>
    </row>
    <row r="1061" spans="19:19" ht="14.4" hidden="1">
      <c r="S1061"/>
    </row>
    <row r="1062" spans="19:19" ht="14.4" hidden="1">
      <c r="S1062"/>
    </row>
    <row r="1063" spans="19:19" ht="14.4" hidden="1">
      <c r="S1063"/>
    </row>
    <row r="1064" spans="19:19" ht="14.4" hidden="1">
      <c r="S1064"/>
    </row>
    <row r="1065" spans="19:19" ht="14.4" hidden="1">
      <c r="S1065"/>
    </row>
    <row r="1066" spans="19:19" ht="14.4" hidden="1">
      <c r="S1066"/>
    </row>
    <row r="1067" spans="19:19" ht="14.4" hidden="1">
      <c r="S1067"/>
    </row>
    <row r="1068" spans="19:19" ht="14.4" hidden="1">
      <c r="S1068"/>
    </row>
    <row r="1069" spans="19:19" ht="14.4" hidden="1">
      <c r="S1069"/>
    </row>
    <row r="1070" spans="19:19" ht="14.4" hidden="1">
      <c r="S1070"/>
    </row>
    <row r="1071" spans="19:19" ht="14.4" hidden="1">
      <c r="S1071"/>
    </row>
    <row r="1072" spans="19:19" ht="14.4" hidden="1">
      <c r="S1072"/>
    </row>
    <row r="1073" spans="19:19" ht="14.4" hidden="1">
      <c r="S1073"/>
    </row>
    <row r="1074" spans="19:19" ht="14.4" hidden="1">
      <c r="S1074"/>
    </row>
    <row r="1075" spans="19:19" ht="14.4" hidden="1">
      <c r="S1075"/>
    </row>
    <row r="1076" spans="19:19" ht="14.4" hidden="1">
      <c r="S1076"/>
    </row>
    <row r="1077" spans="19:19" ht="14.4" hidden="1">
      <c r="S1077"/>
    </row>
    <row r="1078" spans="19:19" ht="14.4" hidden="1">
      <c r="S1078"/>
    </row>
    <row r="1079" spans="19:19" ht="14.4" hidden="1">
      <c r="S1079"/>
    </row>
    <row r="1080" spans="19:19" ht="14.4" hidden="1">
      <c r="S1080"/>
    </row>
    <row r="1081" spans="19:19" ht="14.4" hidden="1">
      <c r="S1081"/>
    </row>
    <row r="1082" spans="19:19" ht="14.4" hidden="1">
      <c r="S1082"/>
    </row>
    <row r="1083" spans="19:19" ht="14.4" hidden="1">
      <c r="S1083"/>
    </row>
    <row r="1084" spans="19:19" ht="14.4" hidden="1">
      <c r="S1084"/>
    </row>
    <row r="1085" spans="19:19" ht="14.4" hidden="1">
      <c r="S1085"/>
    </row>
    <row r="1086" spans="19:19" ht="14.4" hidden="1">
      <c r="S1086"/>
    </row>
    <row r="1087" spans="19:19" ht="14.4" hidden="1">
      <c r="S1087"/>
    </row>
    <row r="1088" spans="19:19" ht="14.4" hidden="1">
      <c r="S1088"/>
    </row>
    <row r="1089" spans="19:19" ht="14.4" hidden="1">
      <c r="S1089"/>
    </row>
    <row r="1090" spans="19:19" ht="14.4" hidden="1">
      <c r="S1090"/>
    </row>
    <row r="1091" spans="19:19" ht="14.4" hidden="1">
      <c r="S1091"/>
    </row>
    <row r="1092" spans="19:19" ht="14.4" hidden="1">
      <c r="S1092"/>
    </row>
    <row r="1093" spans="19:19" ht="14.4" hidden="1">
      <c r="S1093"/>
    </row>
    <row r="1094" spans="19:19" ht="14.4" hidden="1">
      <c r="S1094"/>
    </row>
    <row r="1095" spans="19:19" ht="14.4" hidden="1">
      <c r="S1095"/>
    </row>
    <row r="1096" spans="19:19" ht="14.4" hidden="1">
      <c r="S1096"/>
    </row>
    <row r="1097" spans="19:19" ht="14.4" hidden="1">
      <c r="S1097"/>
    </row>
    <row r="1098" spans="19:19" ht="14.4" hidden="1">
      <c r="S1098"/>
    </row>
    <row r="1099" spans="19:19" ht="14.4" hidden="1">
      <c r="S1099"/>
    </row>
    <row r="1100" spans="19:19" ht="14.4" hidden="1">
      <c r="S1100"/>
    </row>
    <row r="1101" spans="19:19" ht="14.4" hidden="1">
      <c r="S1101"/>
    </row>
    <row r="1102" spans="19:19" ht="14.4" hidden="1">
      <c r="S1102"/>
    </row>
    <row r="1103" spans="19:19" ht="14.4" hidden="1">
      <c r="S1103"/>
    </row>
    <row r="1104" spans="19:19" ht="14.4" hidden="1">
      <c r="S1104"/>
    </row>
    <row r="1105" spans="19:19" ht="14.4" hidden="1">
      <c r="S1105"/>
    </row>
    <row r="1106" spans="19:19" ht="14.4" hidden="1">
      <c r="S1106"/>
    </row>
    <row r="1107" spans="19:19" ht="14.4" hidden="1">
      <c r="S1107"/>
    </row>
    <row r="1108" spans="19:19" ht="14.4" hidden="1">
      <c r="S1108"/>
    </row>
    <row r="1109" spans="19:19" ht="14.4" hidden="1">
      <c r="S1109"/>
    </row>
    <row r="1110" spans="19:19" ht="14.4" hidden="1">
      <c r="S1110"/>
    </row>
    <row r="1111" spans="19:19" ht="14.4" hidden="1">
      <c r="S1111"/>
    </row>
    <row r="1112" spans="19:19" ht="14.4" hidden="1">
      <c r="S1112"/>
    </row>
    <row r="1113" spans="19:19" ht="14.4" hidden="1">
      <c r="S1113"/>
    </row>
    <row r="1114" spans="19:19" ht="14.4" hidden="1">
      <c r="S1114"/>
    </row>
    <row r="1115" spans="19:19" ht="14.4" hidden="1">
      <c r="S1115"/>
    </row>
    <row r="1116" spans="19:19" ht="14.4" hidden="1">
      <c r="S1116"/>
    </row>
    <row r="1117" spans="19:19" ht="14.4" hidden="1">
      <c r="S1117"/>
    </row>
    <row r="1118" spans="19:19" ht="14.4" hidden="1">
      <c r="S1118"/>
    </row>
    <row r="1119" spans="19:19" ht="14.4" hidden="1">
      <c r="S1119"/>
    </row>
    <row r="1120" spans="19:19" ht="14.4" hidden="1">
      <c r="S1120"/>
    </row>
    <row r="1121" spans="19:19" ht="14.4" hidden="1">
      <c r="S1121"/>
    </row>
    <row r="1122" spans="19:19" ht="14.4" hidden="1">
      <c r="S1122"/>
    </row>
    <row r="1123" spans="19:19" ht="14.4" hidden="1">
      <c r="S1123"/>
    </row>
    <row r="1124" spans="19:19" ht="14.4" hidden="1">
      <c r="S1124"/>
    </row>
    <row r="1125" spans="19:19" ht="14.4" hidden="1">
      <c r="S1125"/>
    </row>
    <row r="1126" spans="19:19" ht="14.4" hidden="1">
      <c r="S1126"/>
    </row>
    <row r="1127" spans="19:19" ht="14.4" hidden="1">
      <c r="S1127"/>
    </row>
    <row r="1128" spans="19:19" ht="14.4" hidden="1">
      <c r="S1128"/>
    </row>
    <row r="1129" spans="19:19" ht="14.4" hidden="1">
      <c r="S1129"/>
    </row>
    <row r="1130" spans="19:19" ht="14.4" hidden="1">
      <c r="S1130"/>
    </row>
    <row r="1131" spans="19:19" ht="14.4" hidden="1">
      <c r="S1131"/>
    </row>
    <row r="1132" spans="19:19" ht="14.4" hidden="1">
      <c r="S1132"/>
    </row>
    <row r="1133" spans="19:19" ht="14.4" hidden="1">
      <c r="S1133"/>
    </row>
    <row r="1134" spans="19:19" ht="14.4" hidden="1">
      <c r="S1134"/>
    </row>
    <row r="1135" spans="19:19" ht="14.4" hidden="1">
      <c r="S1135"/>
    </row>
    <row r="1136" spans="19:19" ht="14.4" hidden="1">
      <c r="S1136"/>
    </row>
    <row r="1137" spans="19:19" ht="14.4" hidden="1">
      <c r="S1137"/>
    </row>
    <row r="1138" spans="19:19" ht="14.4" hidden="1">
      <c r="S1138"/>
    </row>
    <row r="1139" spans="19:19" ht="14.4" hidden="1">
      <c r="S1139"/>
    </row>
    <row r="1140" spans="19:19" ht="14.4" hidden="1">
      <c r="S1140"/>
    </row>
    <row r="1141" spans="19:19" ht="14.4" hidden="1">
      <c r="S1141"/>
    </row>
    <row r="1142" spans="19:19" ht="14.4" hidden="1">
      <c r="S1142"/>
    </row>
    <row r="1143" spans="19:19" ht="14.4" hidden="1">
      <c r="S1143"/>
    </row>
    <row r="1144" spans="19:19" ht="14.4" hidden="1">
      <c r="S1144"/>
    </row>
    <row r="1145" spans="19:19" ht="14.4" hidden="1">
      <c r="S1145"/>
    </row>
    <row r="1146" spans="19:19" ht="14.4" hidden="1">
      <c r="S1146"/>
    </row>
    <row r="1147" spans="19:19" ht="14.4" hidden="1">
      <c r="S1147"/>
    </row>
    <row r="1148" spans="19:19" ht="14.4" hidden="1">
      <c r="S1148"/>
    </row>
    <row r="1149" spans="19:19" ht="14.4" hidden="1">
      <c r="S1149"/>
    </row>
    <row r="1150" spans="19:19" ht="14.4" hidden="1">
      <c r="S1150"/>
    </row>
    <row r="1151" spans="19:19" ht="14.4" hidden="1">
      <c r="S1151"/>
    </row>
    <row r="1152" spans="19:19" ht="14.4" hidden="1">
      <c r="S1152"/>
    </row>
    <row r="1153" spans="19:19" ht="14.4" hidden="1">
      <c r="S1153"/>
    </row>
    <row r="1154" spans="19:19" ht="14.4" hidden="1">
      <c r="S1154"/>
    </row>
    <row r="1155" spans="19:19" ht="14.4" hidden="1">
      <c r="S1155"/>
    </row>
    <row r="1156" spans="19:19" ht="14.4" hidden="1">
      <c r="S1156"/>
    </row>
    <row r="1157" spans="19:19" ht="14.4" hidden="1">
      <c r="S1157"/>
    </row>
    <row r="1158" spans="19:19" ht="14.4" hidden="1">
      <c r="S1158"/>
    </row>
    <row r="1159" spans="19:19" ht="14.4" hidden="1">
      <c r="S1159"/>
    </row>
    <row r="1160" spans="19:19" ht="14.4" hidden="1">
      <c r="S1160"/>
    </row>
    <row r="1161" spans="19:19" ht="14.4" hidden="1">
      <c r="S1161"/>
    </row>
    <row r="1162" spans="19:19" ht="14.4" hidden="1">
      <c r="S1162"/>
    </row>
    <row r="1163" spans="19:19" ht="14.4" hidden="1">
      <c r="S1163"/>
    </row>
    <row r="1164" spans="19:19" ht="14.4" hidden="1">
      <c r="S1164"/>
    </row>
    <row r="1165" spans="19:19" ht="14.4" hidden="1">
      <c r="S1165"/>
    </row>
    <row r="1166" spans="19:19" ht="14.4" hidden="1">
      <c r="S1166"/>
    </row>
    <row r="1167" spans="19:19" ht="14.4" hidden="1">
      <c r="S1167"/>
    </row>
    <row r="1168" spans="19:19" ht="14.4" hidden="1">
      <c r="S1168"/>
    </row>
    <row r="1169" spans="19:19" ht="14.4" hidden="1">
      <c r="S1169"/>
    </row>
    <row r="1170" spans="19:19" ht="14.4" hidden="1">
      <c r="S1170"/>
    </row>
    <row r="1171" spans="19:19" ht="14.4" hidden="1">
      <c r="S1171"/>
    </row>
    <row r="1172" spans="19:19" ht="14.4" hidden="1">
      <c r="S1172"/>
    </row>
    <row r="1173" spans="19:19" ht="14.4" hidden="1">
      <c r="S1173"/>
    </row>
    <row r="1174" spans="19:19" ht="14.4" hidden="1">
      <c r="S1174"/>
    </row>
    <row r="1175" spans="19:19" ht="14.4" hidden="1">
      <c r="S1175"/>
    </row>
    <row r="1176" spans="19:19" ht="14.4" hidden="1">
      <c r="S1176"/>
    </row>
    <row r="1177" spans="19:19" ht="14.4" hidden="1">
      <c r="S1177"/>
    </row>
    <row r="1178" spans="19:19" ht="14.4" hidden="1">
      <c r="S1178"/>
    </row>
    <row r="1179" spans="19:19" ht="14.4" hidden="1">
      <c r="S1179"/>
    </row>
    <row r="1180" spans="19:19" ht="14.4" hidden="1">
      <c r="S1180"/>
    </row>
    <row r="1181" spans="19:19" ht="14.4" hidden="1">
      <c r="S1181"/>
    </row>
    <row r="1182" spans="19:19" ht="14.4" hidden="1">
      <c r="S1182"/>
    </row>
    <row r="1183" spans="19:19" ht="14.4" hidden="1">
      <c r="S1183"/>
    </row>
    <row r="1184" spans="19:19" ht="14.4" hidden="1">
      <c r="S1184"/>
    </row>
    <row r="1185" spans="19:19" ht="14.4" hidden="1">
      <c r="S1185"/>
    </row>
    <row r="1186" spans="19:19" ht="14.4" hidden="1">
      <c r="S1186"/>
    </row>
    <row r="1187" spans="19:19" ht="14.4" hidden="1">
      <c r="S1187"/>
    </row>
    <row r="1188" spans="19:19" ht="14.4" hidden="1">
      <c r="S1188"/>
    </row>
    <row r="1189" spans="19:19" ht="14.4" hidden="1">
      <c r="S1189"/>
    </row>
    <row r="1190" spans="19:19" ht="14.4" hidden="1">
      <c r="S1190"/>
    </row>
    <row r="1191" spans="19:19" ht="14.4" hidden="1">
      <c r="S1191"/>
    </row>
    <row r="1192" spans="19:19" ht="14.4" hidden="1">
      <c r="S1192"/>
    </row>
    <row r="1193" spans="19:19" ht="14.4" hidden="1">
      <c r="S1193"/>
    </row>
    <row r="1194" spans="19:19" ht="14.4" hidden="1">
      <c r="S1194"/>
    </row>
    <row r="1195" spans="19:19" ht="14.4" hidden="1">
      <c r="S1195"/>
    </row>
    <row r="1196" spans="19:19" ht="14.4" hidden="1">
      <c r="S1196"/>
    </row>
    <row r="1197" spans="19:19" ht="14.4" hidden="1">
      <c r="S1197"/>
    </row>
    <row r="1198" spans="19:19" ht="14.4" hidden="1">
      <c r="S1198"/>
    </row>
    <row r="1199" spans="19:19" ht="14.4" hidden="1">
      <c r="S1199"/>
    </row>
    <row r="1200" spans="19:19" ht="14.4" hidden="1">
      <c r="S1200"/>
    </row>
    <row r="1201" spans="19:19" ht="14.4" hidden="1">
      <c r="S1201"/>
    </row>
    <row r="1202" spans="19:19" ht="14.4" hidden="1">
      <c r="S1202"/>
    </row>
    <row r="1203" spans="19:19" ht="14.4" hidden="1">
      <c r="S1203"/>
    </row>
    <row r="1204" spans="19:19" ht="14.4" hidden="1">
      <c r="S1204"/>
    </row>
    <row r="1205" spans="19:19" ht="14.4" hidden="1">
      <c r="S1205"/>
    </row>
    <row r="1206" spans="19:19" ht="14.4" hidden="1">
      <c r="S1206"/>
    </row>
    <row r="1207" spans="19:19" ht="14.4" hidden="1">
      <c r="S1207"/>
    </row>
    <row r="1208" spans="19:19" ht="14.4" hidden="1">
      <c r="S1208"/>
    </row>
    <row r="1209" spans="19:19" ht="14.4" hidden="1">
      <c r="S1209"/>
    </row>
    <row r="1210" spans="19:19" ht="14.4" hidden="1">
      <c r="S1210"/>
    </row>
    <row r="1211" spans="19:19" ht="14.4" hidden="1">
      <c r="S1211"/>
    </row>
    <row r="1212" spans="19:19" ht="14.4" hidden="1">
      <c r="S1212"/>
    </row>
    <row r="1213" spans="19:19" ht="14.4" hidden="1">
      <c r="S1213"/>
    </row>
    <row r="1214" spans="19:19" ht="14.4" hidden="1">
      <c r="S1214"/>
    </row>
    <row r="1215" spans="19:19" ht="14.4" hidden="1">
      <c r="S1215"/>
    </row>
    <row r="1216" spans="19:19" ht="14.4" hidden="1">
      <c r="S1216"/>
    </row>
    <row r="1217" spans="19:19" ht="14.4" hidden="1">
      <c r="S1217"/>
    </row>
    <row r="1218" spans="19:19" ht="14.4" hidden="1">
      <c r="S1218"/>
    </row>
    <row r="1219" spans="19:19" ht="14.4" hidden="1">
      <c r="S1219"/>
    </row>
    <row r="1220" spans="19:19" ht="14.4" hidden="1">
      <c r="S1220"/>
    </row>
    <row r="1221" spans="19:19" ht="14.4" hidden="1">
      <c r="S1221"/>
    </row>
    <row r="1222" spans="19:19" ht="14.4" hidden="1">
      <c r="S1222"/>
    </row>
    <row r="1223" spans="19:19" ht="14.4" hidden="1">
      <c r="S1223"/>
    </row>
    <row r="1224" spans="19:19" ht="14.4" hidden="1">
      <c r="S1224"/>
    </row>
    <row r="1225" spans="19:19" ht="14.4" hidden="1">
      <c r="S1225"/>
    </row>
    <row r="1226" spans="19:19" ht="14.4" hidden="1">
      <c r="S1226"/>
    </row>
    <row r="1227" spans="19:19" ht="14.4" hidden="1">
      <c r="S1227"/>
    </row>
    <row r="1228" spans="19:19" ht="14.4" hidden="1">
      <c r="S1228"/>
    </row>
    <row r="1229" spans="19:19" ht="14.4" hidden="1">
      <c r="S1229"/>
    </row>
    <row r="1230" spans="19:19" ht="14.4" hidden="1">
      <c r="S1230"/>
    </row>
    <row r="1231" spans="19:19" ht="14.4" hidden="1">
      <c r="S1231"/>
    </row>
    <row r="1232" spans="19:19" ht="14.4" hidden="1">
      <c r="S1232"/>
    </row>
    <row r="1233" spans="19:19" ht="14.4" hidden="1">
      <c r="S1233"/>
    </row>
    <row r="1234" spans="19:19" ht="14.4" hidden="1">
      <c r="S1234"/>
    </row>
    <row r="1235" spans="19:19" ht="14.4" hidden="1">
      <c r="S1235"/>
    </row>
    <row r="1236" spans="19:19" ht="14.4" hidden="1">
      <c r="S1236"/>
    </row>
    <row r="1237" spans="19:19" ht="14.4" hidden="1">
      <c r="S1237"/>
    </row>
    <row r="1238" spans="19:19" ht="14.4" hidden="1">
      <c r="S1238"/>
    </row>
    <row r="1239" spans="19:19" ht="14.4" hidden="1">
      <c r="S1239"/>
    </row>
    <row r="1240" spans="19:19" ht="14.4" hidden="1">
      <c r="S1240"/>
    </row>
    <row r="1241" spans="19:19" ht="14.4" hidden="1">
      <c r="S1241"/>
    </row>
    <row r="1242" spans="19:19" ht="14.4" hidden="1">
      <c r="S1242"/>
    </row>
    <row r="1243" spans="19:19" ht="14.4" hidden="1">
      <c r="S1243"/>
    </row>
    <row r="1244" spans="19:19" ht="14.4" hidden="1">
      <c r="S1244"/>
    </row>
    <row r="1245" spans="19:19" ht="14.4" hidden="1">
      <c r="S1245"/>
    </row>
    <row r="1246" spans="19:19" ht="14.4" hidden="1">
      <c r="S1246"/>
    </row>
    <row r="1247" spans="19:19" ht="14.4" hidden="1">
      <c r="S1247"/>
    </row>
    <row r="1248" spans="19:19" ht="14.4" hidden="1">
      <c r="S1248"/>
    </row>
    <row r="1249" spans="19:19" ht="14.4" hidden="1">
      <c r="S1249"/>
    </row>
    <row r="1250" spans="19:19" ht="14.4" hidden="1">
      <c r="S1250"/>
    </row>
    <row r="1251" spans="19:19" ht="14.4" hidden="1">
      <c r="S1251"/>
    </row>
    <row r="1252" spans="19:19" ht="14.4" hidden="1">
      <c r="S1252"/>
    </row>
    <row r="1253" spans="19:19" ht="14.4" hidden="1">
      <c r="S1253"/>
    </row>
    <row r="1254" spans="19:19" ht="14.4" hidden="1">
      <c r="S1254"/>
    </row>
    <row r="1255" spans="19:19" ht="14.4" hidden="1">
      <c r="S1255"/>
    </row>
    <row r="1256" spans="19:19" ht="14.4" hidden="1">
      <c r="S1256"/>
    </row>
    <row r="1257" spans="19:19" ht="14.4" hidden="1">
      <c r="S1257"/>
    </row>
    <row r="1258" spans="19:19" ht="14.4" hidden="1">
      <c r="S1258"/>
    </row>
    <row r="1259" spans="19:19" ht="14.4" hidden="1">
      <c r="S1259"/>
    </row>
    <row r="1260" spans="19:19" ht="14.4" hidden="1">
      <c r="S1260"/>
    </row>
    <row r="1261" spans="19:19" ht="14.4" hidden="1">
      <c r="S1261"/>
    </row>
    <row r="1262" spans="19:19" ht="14.4" hidden="1">
      <c r="S1262"/>
    </row>
    <row r="1263" spans="19:19" ht="14.4" hidden="1">
      <c r="S1263"/>
    </row>
    <row r="1264" spans="19:19" ht="14.4" hidden="1">
      <c r="S1264"/>
    </row>
    <row r="1265" spans="19:19" ht="14.4" hidden="1">
      <c r="S1265"/>
    </row>
    <row r="1266" spans="19:19" ht="14.4" hidden="1">
      <c r="S1266"/>
    </row>
    <row r="1267" spans="19:19" ht="14.4" hidden="1">
      <c r="S1267"/>
    </row>
    <row r="1268" spans="19:19" ht="14.4" hidden="1">
      <c r="S1268"/>
    </row>
    <row r="1269" spans="19:19" ht="14.4" hidden="1">
      <c r="S1269"/>
    </row>
    <row r="1270" spans="19:19" ht="14.4" hidden="1">
      <c r="S1270"/>
    </row>
    <row r="1271" spans="19:19" ht="14.4" hidden="1">
      <c r="S1271"/>
    </row>
    <row r="1272" spans="19:19" ht="14.4" hidden="1">
      <c r="S1272"/>
    </row>
    <row r="1273" spans="19:19" ht="14.4" hidden="1">
      <c r="S1273"/>
    </row>
    <row r="1274" spans="19:19" ht="14.4" hidden="1">
      <c r="S1274"/>
    </row>
    <row r="1275" spans="19:19" ht="14.4" hidden="1">
      <c r="S1275"/>
    </row>
    <row r="1276" spans="19:19" ht="14.4" hidden="1">
      <c r="S1276"/>
    </row>
    <row r="1277" spans="19:19" ht="14.4" hidden="1">
      <c r="S1277"/>
    </row>
    <row r="1278" spans="19:19" ht="14.4" hidden="1">
      <c r="S1278"/>
    </row>
    <row r="1279" spans="19:19" ht="14.4" hidden="1">
      <c r="S1279"/>
    </row>
    <row r="1280" spans="19:19" ht="14.4" hidden="1">
      <c r="S1280"/>
    </row>
    <row r="1281" spans="19:19" ht="14.4" hidden="1">
      <c r="S1281"/>
    </row>
    <row r="1282" spans="19:19" ht="14.4" hidden="1">
      <c r="S1282"/>
    </row>
    <row r="1283" spans="19:19" ht="14.4" hidden="1">
      <c r="S1283"/>
    </row>
    <row r="1284" spans="19:19" ht="14.4" hidden="1">
      <c r="S1284"/>
    </row>
    <row r="1285" spans="19:19" ht="14.4" hidden="1">
      <c r="S1285"/>
    </row>
    <row r="1286" spans="19:19" ht="14.4" hidden="1">
      <c r="S1286"/>
    </row>
    <row r="1287" spans="19:19" ht="14.4" hidden="1">
      <c r="S1287"/>
    </row>
    <row r="1288" spans="19:19" ht="14.4" hidden="1">
      <c r="S1288"/>
    </row>
    <row r="1289" spans="19:19" ht="14.4" hidden="1">
      <c r="S1289"/>
    </row>
    <row r="1290" spans="19:19" ht="14.4" hidden="1">
      <c r="S1290"/>
    </row>
    <row r="1291" spans="19:19" ht="14.4" hidden="1">
      <c r="S1291"/>
    </row>
    <row r="1292" spans="19:19" ht="14.4" hidden="1">
      <c r="S1292"/>
    </row>
    <row r="1293" spans="19:19" ht="14.4" hidden="1">
      <c r="S1293"/>
    </row>
    <row r="1294" spans="19:19" ht="14.4" hidden="1">
      <c r="S1294"/>
    </row>
    <row r="1295" spans="19:19" ht="14.4" hidden="1">
      <c r="S1295"/>
    </row>
    <row r="1296" spans="19:19" ht="14.4" hidden="1">
      <c r="S1296"/>
    </row>
    <row r="1297" spans="19:19" ht="14.4" hidden="1">
      <c r="S1297"/>
    </row>
    <row r="1298" spans="19:19" ht="14.4" hidden="1">
      <c r="S1298"/>
    </row>
    <row r="1299" spans="19:19" ht="14.4" hidden="1">
      <c r="S1299"/>
    </row>
    <row r="1300" spans="19:19" ht="14.4" hidden="1">
      <c r="S1300"/>
    </row>
    <row r="1301" spans="19:19" ht="14.4" hidden="1">
      <c r="S1301"/>
    </row>
    <row r="1302" spans="19:19" ht="14.4" hidden="1">
      <c r="S1302"/>
    </row>
    <row r="1303" spans="19:19" ht="14.4" hidden="1">
      <c r="S1303"/>
    </row>
    <row r="1304" spans="19:19" ht="14.4" hidden="1">
      <c r="S1304"/>
    </row>
    <row r="1305" spans="19:19" ht="14.4" hidden="1">
      <c r="S1305"/>
    </row>
    <row r="1306" spans="19:19" ht="14.4" hidden="1">
      <c r="S1306"/>
    </row>
    <row r="1307" spans="19:19" ht="14.4" hidden="1">
      <c r="S1307"/>
    </row>
    <row r="1308" spans="19:19" ht="14.4" hidden="1">
      <c r="S1308"/>
    </row>
    <row r="1309" spans="19:19" ht="14.4" hidden="1">
      <c r="S1309"/>
    </row>
    <row r="1310" spans="19:19" ht="14.4" hidden="1">
      <c r="S1310"/>
    </row>
    <row r="1311" spans="19:19" ht="14.4" hidden="1">
      <c r="S1311"/>
    </row>
    <row r="1312" spans="19:19" ht="14.4" hidden="1">
      <c r="S1312"/>
    </row>
    <row r="1313" spans="19:19" ht="14.4" hidden="1">
      <c r="S1313"/>
    </row>
    <row r="1314" spans="19:19" ht="14.4" hidden="1">
      <c r="S1314"/>
    </row>
    <row r="1315" spans="19:19" ht="14.4" hidden="1">
      <c r="S1315"/>
    </row>
    <row r="1316" spans="19:19" ht="14.4" hidden="1">
      <c r="S1316"/>
    </row>
    <row r="1317" spans="19:19" ht="14.4" hidden="1">
      <c r="S1317"/>
    </row>
    <row r="1318" spans="19:19" ht="14.4" hidden="1">
      <c r="S1318"/>
    </row>
    <row r="1319" spans="19:19" ht="14.4" hidden="1">
      <c r="S1319"/>
    </row>
    <row r="1320" spans="19:19" ht="14.4" hidden="1">
      <c r="S1320"/>
    </row>
    <row r="1321" spans="19:19" ht="14.4" hidden="1">
      <c r="S1321"/>
    </row>
    <row r="1322" spans="19:19" ht="14.4" hidden="1">
      <c r="S1322"/>
    </row>
    <row r="1323" spans="19:19" ht="14.4" hidden="1">
      <c r="S1323"/>
    </row>
    <row r="1324" spans="19:19" ht="14.4" hidden="1">
      <c r="S1324"/>
    </row>
    <row r="1325" spans="19:19" ht="14.4" hidden="1">
      <c r="S1325"/>
    </row>
    <row r="1326" spans="19:19" ht="14.4" hidden="1">
      <c r="S1326"/>
    </row>
    <row r="1327" spans="19:19" ht="14.4" hidden="1">
      <c r="S1327"/>
    </row>
    <row r="1328" spans="19:19" ht="14.4" hidden="1">
      <c r="S1328"/>
    </row>
    <row r="1329" spans="19:19" ht="14.4" hidden="1">
      <c r="S1329"/>
    </row>
    <row r="1330" spans="19:19" ht="14.4" hidden="1">
      <c r="S1330"/>
    </row>
    <row r="1331" spans="19:19" ht="14.4" hidden="1">
      <c r="S1331"/>
    </row>
    <row r="1332" spans="19:19" ht="14.4" hidden="1">
      <c r="S1332"/>
    </row>
    <row r="1333" spans="19:19" ht="14.4" hidden="1">
      <c r="S1333"/>
    </row>
    <row r="1334" spans="19:19" ht="14.4" hidden="1">
      <c r="S1334"/>
    </row>
    <row r="1335" spans="19:19" ht="14.4" hidden="1">
      <c r="S1335"/>
    </row>
    <row r="1336" spans="19:19" ht="14.4" hidden="1">
      <c r="S1336"/>
    </row>
    <row r="1337" spans="19:19" ht="14.4" hidden="1">
      <c r="S1337"/>
    </row>
    <row r="1338" spans="19:19" ht="14.4" hidden="1">
      <c r="S1338"/>
    </row>
    <row r="1339" spans="19:19" ht="14.4" hidden="1">
      <c r="S1339"/>
    </row>
    <row r="1340" spans="19:19" ht="14.4" hidden="1">
      <c r="S1340"/>
    </row>
    <row r="1341" spans="19:19" ht="14.4" hidden="1">
      <c r="S1341"/>
    </row>
    <row r="1342" spans="19:19" ht="14.4" hidden="1">
      <c r="S1342"/>
    </row>
    <row r="1343" spans="19:19" ht="14.4" hidden="1">
      <c r="S1343"/>
    </row>
    <row r="1344" spans="19:19" ht="14.4" hidden="1">
      <c r="S1344"/>
    </row>
    <row r="1345" spans="19:19" ht="14.4" hidden="1">
      <c r="S1345"/>
    </row>
    <row r="1346" spans="19:19" ht="14.4" hidden="1">
      <c r="S1346"/>
    </row>
    <row r="1347" spans="19:19" ht="14.4" hidden="1">
      <c r="S1347"/>
    </row>
    <row r="1348" spans="19:19" ht="14.4" hidden="1">
      <c r="S1348"/>
    </row>
    <row r="1349" spans="19:19" ht="14.4" hidden="1">
      <c r="S1349"/>
    </row>
    <row r="1350" spans="19:19" ht="14.4" hidden="1">
      <c r="S1350"/>
    </row>
    <row r="1351" spans="19:19" ht="14.4" hidden="1">
      <c r="S1351"/>
    </row>
    <row r="1352" spans="19:19" ht="14.4" hidden="1">
      <c r="S1352"/>
    </row>
    <row r="1353" spans="19:19" ht="14.4" hidden="1">
      <c r="S1353"/>
    </row>
    <row r="1354" spans="19:19" ht="14.4" hidden="1">
      <c r="S1354"/>
    </row>
    <row r="1355" spans="19:19" ht="14.4" hidden="1">
      <c r="S1355"/>
    </row>
    <row r="1356" spans="19:19" ht="14.4" hidden="1">
      <c r="S1356"/>
    </row>
    <row r="1357" spans="19:19" ht="14.4" hidden="1">
      <c r="S1357"/>
    </row>
    <row r="1358" spans="19:19" ht="14.4" hidden="1">
      <c r="S1358"/>
    </row>
    <row r="1359" spans="19:19" ht="14.4" hidden="1">
      <c r="S1359"/>
    </row>
    <row r="1360" spans="19:19" ht="14.4" hidden="1">
      <c r="S1360"/>
    </row>
    <row r="1361" spans="19:19" ht="14.4" hidden="1">
      <c r="S1361"/>
    </row>
    <row r="1362" spans="19:19" ht="14.4" hidden="1">
      <c r="S1362"/>
    </row>
    <row r="1363" spans="19:19" ht="14.4" hidden="1">
      <c r="S1363"/>
    </row>
    <row r="1364" spans="19:19" ht="14.4" hidden="1">
      <c r="S1364"/>
    </row>
    <row r="1365" spans="19:19" ht="14.4" hidden="1">
      <c r="S1365"/>
    </row>
    <row r="1366" spans="19:19" ht="14.4" hidden="1">
      <c r="S1366"/>
    </row>
    <row r="1367" spans="19:19" ht="14.4" hidden="1">
      <c r="S1367"/>
    </row>
    <row r="1368" spans="19:19" ht="14.4" hidden="1">
      <c r="S1368"/>
    </row>
    <row r="1369" spans="19:19" ht="14.4" hidden="1">
      <c r="S1369"/>
    </row>
    <row r="1370" spans="19:19" ht="14.4" hidden="1">
      <c r="S1370"/>
    </row>
    <row r="1371" spans="19:19" ht="14.4" hidden="1">
      <c r="S1371"/>
    </row>
    <row r="1372" spans="19:19" ht="14.4" hidden="1">
      <c r="S1372"/>
    </row>
    <row r="1373" spans="19:19" ht="14.4" hidden="1">
      <c r="S1373"/>
    </row>
    <row r="1374" spans="19:19" ht="14.4" hidden="1">
      <c r="S1374"/>
    </row>
    <row r="1375" spans="19:19" ht="14.4" hidden="1">
      <c r="S1375"/>
    </row>
    <row r="1376" spans="19:19" ht="14.4" hidden="1">
      <c r="S1376"/>
    </row>
    <row r="1377" spans="19:19" ht="14.4" hidden="1">
      <c r="S1377"/>
    </row>
    <row r="1378" spans="19:19" ht="14.4" hidden="1">
      <c r="S1378"/>
    </row>
    <row r="1379" spans="19:19" ht="14.4" hidden="1">
      <c r="S1379"/>
    </row>
    <row r="1380" spans="19:19" ht="14.4" hidden="1">
      <c r="S1380"/>
    </row>
    <row r="1381" spans="19:19" ht="14.4" hidden="1">
      <c r="S1381"/>
    </row>
    <row r="1382" spans="19:19" ht="14.4" hidden="1">
      <c r="S1382"/>
    </row>
    <row r="1383" spans="19:19" ht="14.4" hidden="1">
      <c r="S1383"/>
    </row>
    <row r="1384" spans="19:19" ht="14.4" hidden="1">
      <c r="S1384"/>
    </row>
    <row r="1385" spans="19:19" ht="14.4" hidden="1">
      <c r="S1385"/>
    </row>
    <row r="1386" spans="19:19" ht="14.4" hidden="1">
      <c r="S1386"/>
    </row>
    <row r="1387" spans="19:19" ht="14.4" hidden="1">
      <c r="S1387"/>
    </row>
    <row r="1388" spans="19:19" ht="14.4" hidden="1">
      <c r="S1388"/>
    </row>
    <row r="1389" spans="19:19" ht="14.4" hidden="1">
      <c r="S1389"/>
    </row>
    <row r="1390" spans="19:19" ht="14.4" hidden="1">
      <c r="S1390"/>
    </row>
    <row r="1391" spans="19:19" ht="14.4" hidden="1">
      <c r="S1391"/>
    </row>
    <row r="1392" spans="19:19" ht="14.4" hidden="1">
      <c r="S1392"/>
    </row>
    <row r="1393" spans="19:19" ht="14.4" hidden="1">
      <c r="S1393"/>
    </row>
    <row r="1394" spans="19:19" ht="14.4" hidden="1">
      <c r="S1394"/>
    </row>
    <row r="1395" spans="19:19" ht="14.4" hidden="1">
      <c r="S1395"/>
    </row>
    <row r="1396" spans="19:19" ht="14.4" hidden="1">
      <c r="S1396"/>
    </row>
    <row r="1397" spans="19:19" ht="14.4" hidden="1">
      <c r="S1397"/>
    </row>
    <row r="1398" spans="19:19" ht="14.4" hidden="1">
      <c r="S1398"/>
    </row>
    <row r="1399" spans="19:19" ht="14.4" hidden="1">
      <c r="S1399"/>
    </row>
    <row r="1400" spans="19:19" ht="14.4" hidden="1">
      <c r="S1400"/>
    </row>
    <row r="1401" spans="19:19" ht="14.4" hidden="1">
      <c r="S1401"/>
    </row>
    <row r="1402" spans="19:19" ht="14.4" hidden="1">
      <c r="S1402"/>
    </row>
    <row r="1403" spans="19:19" ht="14.4" hidden="1">
      <c r="S1403"/>
    </row>
    <row r="1404" spans="19:19" ht="14.4" hidden="1">
      <c r="S1404"/>
    </row>
    <row r="1405" spans="19:19" ht="14.4" hidden="1">
      <c r="S1405"/>
    </row>
    <row r="1406" spans="19:19" ht="14.4" hidden="1">
      <c r="S1406"/>
    </row>
    <row r="1407" spans="19:19" ht="14.4" hidden="1">
      <c r="S1407"/>
    </row>
    <row r="1408" spans="19:19" ht="14.4" hidden="1">
      <c r="S1408"/>
    </row>
    <row r="1409" spans="19:19" ht="14.4" hidden="1">
      <c r="S1409"/>
    </row>
    <row r="1410" spans="19:19" ht="14.4" hidden="1">
      <c r="S1410"/>
    </row>
    <row r="1411" spans="19:19" ht="14.4" hidden="1">
      <c r="S1411"/>
    </row>
    <row r="1412" spans="19:19" ht="14.4" hidden="1">
      <c r="S1412"/>
    </row>
    <row r="1413" spans="19:19" ht="14.4" hidden="1">
      <c r="S1413"/>
    </row>
    <row r="1414" spans="19:19" ht="14.4" hidden="1">
      <c r="S1414"/>
    </row>
    <row r="1415" spans="19:19" ht="14.4" hidden="1">
      <c r="S1415"/>
    </row>
    <row r="1416" spans="19:19" ht="14.4" hidden="1">
      <c r="S1416"/>
    </row>
    <row r="1417" spans="19:19" ht="14.4" hidden="1">
      <c r="S1417"/>
    </row>
    <row r="1418" spans="19:19" ht="14.4" hidden="1">
      <c r="S1418"/>
    </row>
    <row r="1419" spans="19:19" ht="14.4" hidden="1">
      <c r="S1419"/>
    </row>
    <row r="1420" spans="19:19" ht="14.4" hidden="1">
      <c r="S1420"/>
    </row>
    <row r="1421" spans="19:19" ht="14.4" hidden="1">
      <c r="S1421"/>
    </row>
    <row r="1422" spans="19:19" ht="14.4" hidden="1">
      <c r="S1422"/>
    </row>
    <row r="1423" spans="19:19" ht="14.4" hidden="1">
      <c r="S1423"/>
    </row>
    <row r="1424" spans="19:19" ht="14.4" hidden="1">
      <c r="S1424"/>
    </row>
    <row r="1425" spans="19:19" ht="14.4" hidden="1">
      <c r="S1425"/>
    </row>
    <row r="1426" spans="19:19" ht="14.4" hidden="1">
      <c r="S1426"/>
    </row>
    <row r="1427" spans="19:19" ht="14.4" hidden="1">
      <c r="S1427"/>
    </row>
    <row r="1428" spans="19:19" ht="14.4" hidden="1">
      <c r="S1428"/>
    </row>
    <row r="1429" spans="19:19" ht="14.4" hidden="1">
      <c r="S1429"/>
    </row>
    <row r="1430" spans="19:19" ht="14.4" hidden="1">
      <c r="S1430"/>
    </row>
    <row r="1431" spans="19:19" ht="14.4" hidden="1">
      <c r="S1431"/>
    </row>
    <row r="1432" spans="19:19" ht="14.4" hidden="1">
      <c r="S1432"/>
    </row>
    <row r="1433" spans="19:19" ht="14.4" hidden="1">
      <c r="S1433"/>
    </row>
    <row r="1434" spans="19:19" ht="14.4" hidden="1">
      <c r="S1434"/>
    </row>
    <row r="1435" spans="19:19" ht="14.4" hidden="1">
      <c r="S1435"/>
    </row>
    <row r="1436" spans="19:19" ht="14.4" hidden="1">
      <c r="S1436"/>
    </row>
    <row r="1437" spans="19:19" ht="14.4" hidden="1">
      <c r="S1437"/>
    </row>
    <row r="1438" spans="19:19" ht="14.4" hidden="1">
      <c r="S1438"/>
    </row>
    <row r="1439" spans="19:19" ht="14.4" hidden="1">
      <c r="S1439"/>
    </row>
    <row r="1440" spans="19:19" ht="14.4" hidden="1">
      <c r="S1440"/>
    </row>
    <row r="1441" spans="19:19" ht="14.4" hidden="1">
      <c r="S1441"/>
    </row>
    <row r="1442" spans="19:19" ht="14.4" hidden="1">
      <c r="S1442"/>
    </row>
    <row r="1443" spans="19:19" ht="14.4" hidden="1">
      <c r="S1443"/>
    </row>
    <row r="1444" spans="19:19" ht="14.4" hidden="1">
      <c r="S1444"/>
    </row>
    <row r="1445" spans="19:19" ht="14.4" hidden="1">
      <c r="S1445"/>
    </row>
    <row r="1446" spans="19:19" ht="14.4" hidden="1">
      <c r="S1446"/>
    </row>
    <row r="1447" spans="19:19" ht="14.4" hidden="1">
      <c r="S1447"/>
    </row>
    <row r="1448" spans="19:19" ht="14.4" hidden="1">
      <c r="S1448"/>
    </row>
    <row r="1449" spans="19:19" ht="14.4" hidden="1">
      <c r="S1449"/>
    </row>
    <row r="1450" spans="19:19" ht="14.4" hidden="1">
      <c r="S1450"/>
    </row>
    <row r="1451" spans="19:19" ht="14.4" hidden="1">
      <c r="S1451"/>
    </row>
    <row r="1452" spans="19:19" ht="14.4" hidden="1">
      <c r="S1452"/>
    </row>
    <row r="1453" spans="19:19" ht="14.4" hidden="1">
      <c r="S1453"/>
    </row>
    <row r="1454" spans="19:19" ht="14.4" hidden="1">
      <c r="S1454"/>
    </row>
    <row r="1455" spans="19:19" ht="14.4" hidden="1">
      <c r="S1455"/>
    </row>
    <row r="1456" spans="19:19" ht="14.4" hidden="1">
      <c r="S1456"/>
    </row>
    <row r="1457" spans="19:19" ht="14.4" hidden="1">
      <c r="S1457"/>
    </row>
    <row r="1458" spans="19:19" ht="14.4" hidden="1">
      <c r="S1458"/>
    </row>
    <row r="1459" spans="19:19" ht="14.4" hidden="1">
      <c r="S1459"/>
    </row>
    <row r="1460" spans="19:19" ht="14.4" hidden="1">
      <c r="S1460"/>
    </row>
    <row r="1461" spans="19:19" ht="14.4" hidden="1">
      <c r="S1461"/>
    </row>
    <row r="1462" spans="19:19" ht="14.4" hidden="1">
      <c r="S1462"/>
    </row>
    <row r="1463" spans="19:19" ht="14.4" hidden="1">
      <c r="S1463"/>
    </row>
    <row r="1464" spans="19:19" ht="14.4" hidden="1">
      <c r="S1464"/>
    </row>
    <row r="1465" spans="19:19" ht="14.4" hidden="1">
      <c r="S1465"/>
    </row>
    <row r="1466" spans="19:19" ht="14.4" hidden="1">
      <c r="S1466"/>
    </row>
    <row r="1467" spans="19:19" ht="14.4" hidden="1">
      <c r="S1467"/>
    </row>
    <row r="1468" spans="19:19" ht="14.4" hidden="1">
      <c r="S1468"/>
    </row>
    <row r="1469" spans="19:19" ht="14.4" hidden="1">
      <c r="S1469"/>
    </row>
    <row r="1470" spans="19:19" ht="14.4" hidden="1">
      <c r="S1470"/>
    </row>
    <row r="1471" spans="19:19" ht="14.4" hidden="1">
      <c r="S1471"/>
    </row>
    <row r="1472" spans="19:19" ht="14.4" hidden="1">
      <c r="S1472"/>
    </row>
    <row r="1473" spans="19:19" ht="14.4" hidden="1">
      <c r="S1473"/>
    </row>
    <row r="1474" spans="19:19" ht="14.4" hidden="1">
      <c r="S1474"/>
    </row>
    <row r="1475" spans="19:19" ht="14.4" hidden="1">
      <c r="S1475"/>
    </row>
    <row r="1476" spans="19:19" ht="14.4" hidden="1">
      <c r="S1476"/>
    </row>
    <row r="1477" spans="19:19" ht="14.4" hidden="1">
      <c r="S1477"/>
    </row>
    <row r="1478" spans="19:19" ht="14.4" hidden="1">
      <c r="S1478"/>
    </row>
    <row r="1479" spans="19:19" ht="14.4" hidden="1">
      <c r="S1479"/>
    </row>
    <row r="1480" spans="19:19" ht="14.4" hidden="1">
      <c r="S1480"/>
    </row>
    <row r="1481" spans="19:19" ht="14.4" hidden="1">
      <c r="S1481"/>
    </row>
    <row r="1482" spans="19:19" ht="14.4" hidden="1">
      <c r="S1482"/>
    </row>
    <row r="1483" spans="19:19" ht="14.4" hidden="1">
      <c r="S1483"/>
    </row>
    <row r="1484" spans="19:19" ht="14.4" hidden="1">
      <c r="S1484"/>
    </row>
    <row r="1485" spans="19:19" ht="14.4" hidden="1">
      <c r="S1485"/>
    </row>
    <row r="1486" spans="19:19" ht="14.4" hidden="1">
      <c r="S1486"/>
    </row>
    <row r="1487" spans="19:19" ht="14.4" hidden="1">
      <c r="S1487"/>
    </row>
    <row r="1488" spans="19:19" ht="14.4" hidden="1">
      <c r="S1488"/>
    </row>
    <row r="1489" spans="19:19" ht="14.4" hidden="1">
      <c r="S1489"/>
    </row>
    <row r="1490" spans="19:19" ht="14.4" hidden="1">
      <c r="S1490"/>
    </row>
    <row r="1491" spans="19:19" ht="14.4" hidden="1">
      <c r="S1491"/>
    </row>
    <row r="1492" spans="19:19" ht="14.4" hidden="1">
      <c r="S1492"/>
    </row>
    <row r="1493" spans="19:19" ht="14.4" hidden="1">
      <c r="S1493"/>
    </row>
    <row r="1494" spans="19:19" ht="14.4" hidden="1">
      <c r="S1494"/>
    </row>
    <row r="1495" spans="19:19" ht="14.4" hidden="1">
      <c r="S1495"/>
    </row>
    <row r="1496" spans="19:19" ht="14.4" hidden="1">
      <c r="S1496"/>
    </row>
    <row r="1497" spans="19:19" ht="14.4" hidden="1">
      <c r="S1497"/>
    </row>
    <row r="1498" spans="19:19" ht="14.4" hidden="1">
      <c r="S1498"/>
    </row>
    <row r="1499" spans="19:19" ht="14.4" hidden="1">
      <c r="S1499"/>
    </row>
    <row r="1500" spans="19:19" ht="14.4" hidden="1">
      <c r="S1500"/>
    </row>
    <row r="1501" spans="19:19" ht="14.4" hidden="1">
      <c r="S1501"/>
    </row>
    <row r="1502" spans="19:19" ht="14.4" hidden="1">
      <c r="S1502"/>
    </row>
    <row r="1503" spans="19:19" ht="14.4" hidden="1">
      <c r="S1503"/>
    </row>
    <row r="1504" spans="19:19" ht="14.4" hidden="1">
      <c r="S1504"/>
    </row>
    <row r="1505" spans="19:19" ht="14.4" hidden="1">
      <c r="S1505"/>
    </row>
    <row r="1506" spans="19:19" ht="14.4" hidden="1">
      <c r="S1506"/>
    </row>
    <row r="1507" spans="19:19" ht="14.4" hidden="1">
      <c r="S1507"/>
    </row>
    <row r="1508" spans="19:19" ht="14.4" hidden="1">
      <c r="S1508"/>
    </row>
    <row r="1509" spans="19:19" ht="14.4" hidden="1">
      <c r="S1509"/>
    </row>
    <row r="1510" spans="19:19" ht="14.4" hidden="1">
      <c r="S1510"/>
    </row>
    <row r="1511" spans="19:19" ht="14.4" hidden="1">
      <c r="S1511"/>
    </row>
    <row r="1512" spans="19:19" ht="14.4" hidden="1">
      <c r="S1512"/>
    </row>
    <row r="1513" spans="19:19" ht="14.4" hidden="1">
      <c r="S1513"/>
    </row>
    <row r="1514" spans="19:19" ht="14.4" hidden="1">
      <c r="S1514"/>
    </row>
    <row r="1515" spans="19:19" ht="14.4" hidden="1">
      <c r="S1515"/>
    </row>
    <row r="1516" spans="19:19" ht="14.4" hidden="1">
      <c r="S1516"/>
    </row>
    <row r="1517" spans="19:19" ht="14.4" hidden="1">
      <c r="S1517"/>
    </row>
    <row r="1518" spans="19:19" ht="14.4" hidden="1">
      <c r="S1518"/>
    </row>
    <row r="1519" spans="19:19" ht="14.4" hidden="1">
      <c r="S1519"/>
    </row>
    <row r="1520" spans="19:19" ht="14.4" hidden="1">
      <c r="S1520"/>
    </row>
    <row r="1521" spans="19:19" ht="14.4" hidden="1">
      <c r="S1521"/>
    </row>
    <row r="1522" spans="19:19" ht="14.4" hidden="1">
      <c r="S1522"/>
    </row>
    <row r="1523" spans="19:19" ht="14.4" hidden="1">
      <c r="S1523"/>
    </row>
    <row r="1524" spans="19:19" ht="14.4" hidden="1">
      <c r="S1524"/>
    </row>
    <row r="1525" spans="19:19" ht="14.4" hidden="1">
      <c r="S1525"/>
    </row>
    <row r="1526" spans="19:19" ht="14.4" hidden="1">
      <c r="S1526"/>
    </row>
    <row r="1527" spans="19:19" ht="14.4" hidden="1">
      <c r="S1527"/>
    </row>
    <row r="1528" spans="19:19" ht="14.4" hidden="1">
      <c r="S1528"/>
    </row>
    <row r="1529" spans="19:19" ht="14.4" hidden="1">
      <c r="S1529"/>
    </row>
    <row r="1530" spans="19:19" ht="14.4" hidden="1">
      <c r="S1530"/>
    </row>
    <row r="1531" spans="19:19" ht="14.4" hidden="1">
      <c r="S1531"/>
    </row>
    <row r="1532" spans="19:19" ht="14.4" hidden="1">
      <c r="S1532"/>
    </row>
    <row r="1533" spans="19:19" ht="14.4" hidden="1">
      <c r="S1533"/>
    </row>
    <row r="1534" spans="19:19" ht="14.4" hidden="1">
      <c r="S1534"/>
    </row>
    <row r="1535" spans="19:19" ht="14.4" hidden="1">
      <c r="S1535"/>
    </row>
    <row r="1536" spans="19:19" ht="14.4" hidden="1">
      <c r="S1536"/>
    </row>
    <row r="1537" spans="19:19" ht="14.4" hidden="1">
      <c r="S1537"/>
    </row>
    <row r="1538" spans="19:19" ht="14.4" hidden="1">
      <c r="S1538"/>
    </row>
    <row r="1539" spans="19:19" ht="14.4" hidden="1">
      <c r="S1539"/>
    </row>
    <row r="1540" spans="19:19" ht="14.4" hidden="1">
      <c r="S1540"/>
    </row>
    <row r="1541" spans="19:19" ht="14.4" hidden="1">
      <c r="S1541"/>
    </row>
    <row r="1542" spans="19:19" ht="14.4" hidden="1">
      <c r="S1542"/>
    </row>
    <row r="1543" spans="19:19" ht="14.4" hidden="1">
      <c r="S1543"/>
    </row>
    <row r="1544" spans="19:19" ht="14.4" hidden="1">
      <c r="S1544"/>
    </row>
    <row r="1545" spans="19:19" ht="14.4" hidden="1">
      <c r="S1545"/>
    </row>
    <row r="1546" spans="19:19" ht="14.4" hidden="1">
      <c r="S1546"/>
    </row>
    <row r="1547" spans="19:19" ht="14.4" hidden="1">
      <c r="S1547"/>
    </row>
    <row r="1548" spans="19:19" ht="14.4" hidden="1">
      <c r="S1548"/>
    </row>
    <row r="1549" spans="19:19" ht="14.4" hidden="1">
      <c r="S1549"/>
    </row>
    <row r="1550" spans="19:19" ht="14.4" hidden="1">
      <c r="S1550"/>
    </row>
    <row r="1551" spans="19:19" ht="14.4" hidden="1">
      <c r="S1551"/>
    </row>
    <row r="1552" spans="19:19" ht="14.4" hidden="1">
      <c r="S1552"/>
    </row>
    <row r="1553" spans="19:19" ht="14.4" hidden="1">
      <c r="S1553"/>
    </row>
    <row r="1554" spans="19:19" ht="14.4" hidden="1">
      <c r="S1554"/>
    </row>
    <row r="1555" spans="19:19" ht="14.4" hidden="1">
      <c r="S1555"/>
    </row>
    <row r="1556" spans="19:19" ht="14.4" hidden="1">
      <c r="S1556"/>
    </row>
    <row r="1557" spans="19:19" ht="14.4" hidden="1">
      <c r="S1557"/>
    </row>
    <row r="1558" spans="19:19" ht="14.4" hidden="1">
      <c r="S1558"/>
    </row>
    <row r="1559" spans="19:19" ht="14.4" hidden="1">
      <c r="S1559"/>
    </row>
    <row r="1560" spans="19:19" ht="14.4" hidden="1">
      <c r="S1560"/>
    </row>
    <row r="1561" spans="19:19" ht="14.4" hidden="1">
      <c r="S1561"/>
    </row>
    <row r="1562" spans="19:19" ht="14.4" hidden="1">
      <c r="S1562"/>
    </row>
    <row r="1563" spans="19:19" ht="14.4" hidden="1">
      <c r="S1563"/>
    </row>
    <row r="1564" spans="19:19" ht="14.4" hidden="1">
      <c r="S1564"/>
    </row>
    <row r="1565" spans="19:19" ht="14.4" hidden="1">
      <c r="S1565"/>
    </row>
    <row r="1566" spans="19:19" ht="14.4" hidden="1">
      <c r="S1566"/>
    </row>
    <row r="1567" spans="19:19" ht="14.4" hidden="1">
      <c r="S1567"/>
    </row>
    <row r="1568" spans="19:19" ht="14.4" hidden="1">
      <c r="S1568"/>
    </row>
    <row r="1569" spans="19:19" ht="14.4" hidden="1">
      <c r="S1569"/>
    </row>
    <row r="1570" spans="19:19" ht="14.4" hidden="1">
      <c r="S1570"/>
    </row>
    <row r="1571" spans="19:19" ht="14.4" hidden="1">
      <c r="S1571"/>
    </row>
    <row r="1572" spans="19:19" ht="14.4" hidden="1">
      <c r="S1572"/>
    </row>
    <row r="1573" spans="19:19" ht="14.4" hidden="1">
      <c r="S1573"/>
    </row>
    <row r="1574" spans="19:19" ht="14.4" hidden="1">
      <c r="S1574"/>
    </row>
    <row r="1575" spans="19:19" ht="14.4" hidden="1">
      <c r="S1575"/>
    </row>
    <row r="1576" spans="19:19" ht="14.4" hidden="1">
      <c r="S1576"/>
    </row>
    <row r="1577" spans="19:19" ht="14.4" hidden="1">
      <c r="S1577"/>
    </row>
    <row r="1578" spans="19:19" ht="14.4" hidden="1">
      <c r="S1578"/>
    </row>
    <row r="1579" spans="19:19" ht="14.4" hidden="1">
      <c r="S1579"/>
    </row>
    <row r="1580" spans="19:19" ht="14.4" hidden="1">
      <c r="S1580"/>
    </row>
    <row r="1581" spans="19:19" ht="14.4" hidden="1">
      <c r="S1581"/>
    </row>
    <row r="1582" spans="19:19" ht="14.4" hidden="1">
      <c r="S1582"/>
    </row>
    <row r="1583" spans="19:19" ht="14.4" hidden="1">
      <c r="S1583"/>
    </row>
    <row r="1584" spans="19:19" ht="14.4" hidden="1">
      <c r="S1584"/>
    </row>
    <row r="1585" spans="19:19" ht="14.4" hidden="1">
      <c r="S1585"/>
    </row>
    <row r="1586" spans="19:19" ht="14.4" hidden="1">
      <c r="S1586"/>
    </row>
    <row r="1587" spans="19:19" ht="14.4" hidden="1">
      <c r="S1587"/>
    </row>
    <row r="1588" spans="19:19" ht="14.4" hidden="1">
      <c r="S1588"/>
    </row>
    <row r="1589" spans="19:19" ht="14.4" hidden="1">
      <c r="S1589"/>
    </row>
    <row r="1590" spans="19:19" ht="14.4" hidden="1">
      <c r="S1590"/>
    </row>
    <row r="1591" spans="19:19" ht="14.4" hidden="1">
      <c r="S1591"/>
    </row>
    <row r="1592" spans="19:19" ht="14.4" hidden="1">
      <c r="S1592"/>
    </row>
    <row r="1593" spans="19:19" ht="14.4" hidden="1">
      <c r="S1593"/>
    </row>
    <row r="1594" spans="19:19" ht="14.4" hidden="1">
      <c r="S1594"/>
    </row>
    <row r="1595" spans="19:19" ht="14.4" hidden="1">
      <c r="S1595"/>
    </row>
    <row r="1596" spans="19:19" ht="14.4" hidden="1">
      <c r="S1596"/>
    </row>
    <row r="1597" spans="19:19" ht="14.4" hidden="1">
      <c r="S1597"/>
    </row>
    <row r="1598" spans="19:19" ht="14.4" hidden="1">
      <c r="S1598"/>
    </row>
    <row r="1599" spans="19:19" ht="14.4" hidden="1">
      <c r="S1599"/>
    </row>
    <row r="1600" spans="19:19" ht="14.4" hidden="1">
      <c r="S1600"/>
    </row>
    <row r="1601" spans="19:19" ht="14.4" hidden="1">
      <c r="S1601"/>
    </row>
    <row r="1602" spans="19:19" ht="14.4" hidden="1">
      <c r="S1602"/>
    </row>
    <row r="1603" spans="19:19" ht="14.4" hidden="1">
      <c r="S1603"/>
    </row>
    <row r="1604" spans="19:19" ht="14.4" hidden="1">
      <c r="S1604"/>
    </row>
    <row r="1605" spans="19:19" ht="14.4" hidden="1">
      <c r="S1605"/>
    </row>
    <row r="1606" spans="19:19" ht="14.4" hidden="1">
      <c r="S1606"/>
    </row>
    <row r="1607" spans="19:19" ht="14.4" hidden="1">
      <c r="S1607"/>
    </row>
    <row r="1608" spans="19:19" ht="14.4" hidden="1">
      <c r="S1608"/>
    </row>
    <row r="1609" spans="19:19" ht="14.4" hidden="1">
      <c r="S1609"/>
    </row>
    <row r="1610" spans="19:19" ht="14.4" hidden="1">
      <c r="S1610"/>
    </row>
    <row r="1611" spans="19:19" ht="14.4" hidden="1">
      <c r="S1611"/>
    </row>
    <row r="1612" spans="19:19" ht="14.4" hidden="1">
      <c r="S1612"/>
    </row>
    <row r="1613" spans="19:19" ht="14.4" hidden="1">
      <c r="S1613"/>
    </row>
    <row r="1614" spans="19:19" ht="14.4" hidden="1">
      <c r="S1614"/>
    </row>
    <row r="1615" spans="19:19" ht="14.4" hidden="1">
      <c r="S1615"/>
    </row>
    <row r="1616" spans="19:19" ht="14.4" hidden="1">
      <c r="S1616"/>
    </row>
    <row r="1617" spans="19:19" ht="14.4" hidden="1">
      <c r="S1617"/>
    </row>
    <row r="1618" spans="19:19" ht="14.4" hidden="1">
      <c r="S1618"/>
    </row>
    <row r="1619" spans="19:19" ht="14.4" hidden="1">
      <c r="S1619"/>
    </row>
    <row r="1620" spans="19:19" ht="14.4" hidden="1">
      <c r="S1620"/>
    </row>
    <row r="1621" spans="19:19" ht="14.4" hidden="1">
      <c r="S1621"/>
    </row>
    <row r="1622" spans="19:19" ht="14.4" hidden="1">
      <c r="S1622"/>
    </row>
    <row r="1623" spans="19:19" ht="14.4" hidden="1">
      <c r="S1623"/>
    </row>
    <row r="1624" spans="19:19" ht="14.4" hidden="1">
      <c r="S1624"/>
    </row>
    <row r="1625" spans="19:19" ht="14.4" hidden="1">
      <c r="S1625"/>
    </row>
    <row r="1626" spans="19:19" ht="14.4" hidden="1">
      <c r="S1626"/>
    </row>
    <row r="1627" spans="19:19" ht="14.4" hidden="1">
      <c r="S1627"/>
    </row>
    <row r="1628" spans="19:19" ht="14.4" hidden="1">
      <c r="S1628"/>
    </row>
    <row r="1629" spans="19:19" ht="14.4" hidden="1">
      <c r="S1629"/>
    </row>
    <row r="1630" spans="19:19" ht="14.4" hidden="1">
      <c r="S1630"/>
    </row>
    <row r="1631" spans="19:19" ht="14.4" hidden="1">
      <c r="S1631"/>
    </row>
    <row r="1632" spans="19:19" ht="14.4" hidden="1">
      <c r="S1632"/>
    </row>
    <row r="1633" spans="19:19" ht="14.4" hidden="1">
      <c r="S1633"/>
    </row>
    <row r="1634" spans="19:19" ht="14.4" hidden="1">
      <c r="S1634"/>
    </row>
    <row r="1635" spans="19:19" ht="14.4" hidden="1">
      <c r="S1635"/>
    </row>
    <row r="1636" spans="19:19" ht="14.4" hidden="1">
      <c r="S1636"/>
    </row>
    <row r="1637" spans="19:19" ht="14.4" hidden="1">
      <c r="S1637"/>
    </row>
    <row r="1638" spans="19:19" ht="14.4" hidden="1">
      <c r="S1638"/>
    </row>
    <row r="1639" spans="19:19" ht="14.4" hidden="1">
      <c r="S1639"/>
    </row>
    <row r="1640" spans="19:19" ht="14.4" hidden="1">
      <c r="S1640"/>
    </row>
    <row r="1641" spans="19:19" ht="14.4" hidden="1">
      <c r="S1641"/>
    </row>
    <row r="1642" spans="19:19" ht="14.4" hidden="1">
      <c r="S1642"/>
    </row>
    <row r="1643" spans="19:19" ht="14.4" hidden="1">
      <c r="S1643"/>
    </row>
    <row r="1644" spans="19:19" ht="14.4" hidden="1">
      <c r="S1644"/>
    </row>
    <row r="1645" spans="19:19" ht="14.4" hidden="1">
      <c r="S1645"/>
    </row>
    <row r="1646" spans="19:19" ht="14.4" hidden="1">
      <c r="S1646"/>
    </row>
    <row r="1647" spans="19:19" ht="14.4" hidden="1">
      <c r="S1647"/>
    </row>
    <row r="1648" spans="19:19" ht="14.4" hidden="1">
      <c r="S1648"/>
    </row>
    <row r="1649" spans="19:19" ht="14.4" hidden="1">
      <c r="S1649"/>
    </row>
    <row r="1650" spans="19:19" ht="14.4" hidden="1">
      <c r="S1650"/>
    </row>
    <row r="1651" spans="19:19" ht="14.4" hidden="1">
      <c r="S1651"/>
    </row>
    <row r="1652" spans="19:19" ht="14.4" hidden="1">
      <c r="S1652"/>
    </row>
    <row r="1653" spans="19:19" ht="14.4" hidden="1">
      <c r="S1653"/>
    </row>
    <row r="1654" spans="19:19" ht="14.4" hidden="1">
      <c r="S1654"/>
    </row>
    <row r="1655" spans="19:19" ht="14.4" hidden="1">
      <c r="S1655"/>
    </row>
    <row r="1656" spans="19:19" ht="14.4" hidden="1">
      <c r="S1656"/>
    </row>
    <row r="1657" spans="19:19" ht="14.4" hidden="1">
      <c r="S1657"/>
    </row>
    <row r="1658" spans="19:19" ht="14.4" hidden="1">
      <c r="S1658"/>
    </row>
    <row r="1659" spans="19:19" ht="14.4" hidden="1">
      <c r="S1659"/>
    </row>
    <row r="1660" spans="19:19" ht="14.4" hidden="1">
      <c r="S1660"/>
    </row>
    <row r="1661" spans="19:19" ht="14.4" hidden="1">
      <c r="S1661"/>
    </row>
    <row r="1662" spans="19:19" ht="14.4" hidden="1">
      <c r="S1662"/>
    </row>
    <row r="1663" spans="19:19" ht="14.4" hidden="1">
      <c r="S1663"/>
    </row>
    <row r="1664" spans="19:19" ht="14.4" hidden="1">
      <c r="S1664"/>
    </row>
    <row r="1665" spans="19:19" ht="14.4" hidden="1">
      <c r="S1665"/>
    </row>
    <row r="1666" spans="19:19" ht="14.4" hidden="1">
      <c r="S1666"/>
    </row>
    <row r="1667" spans="19:19" ht="14.4" hidden="1">
      <c r="S1667"/>
    </row>
    <row r="1668" spans="19:19" ht="14.4" hidden="1">
      <c r="S1668"/>
    </row>
    <row r="1669" spans="19:19" ht="14.4" hidden="1">
      <c r="S1669"/>
    </row>
    <row r="1670" spans="19:19" ht="14.4" hidden="1">
      <c r="S1670"/>
    </row>
    <row r="1671" spans="19:19" ht="14.4" hidden="1">
      <c r="S1671"/>
    </row>
    <row r="1672" spans="19:19" ht="14.4" hidden="1">
      <c r="S1672"/>
    </row>
    <row r="1673" spans="19:19" ht="14.4" hidden="1">
      <c r="S1673"/>
    </row>
    <row r="1674" spans="19:19" ht="14.4" hidden="1">
      <c r="S1674"/>
    </row>
    <row r="1675" spans="19:19" ht="14.4" hidden="1">
      <c r="S1675"/>
    </row>
    <row r="1676" spans="19:19" ht="14.4" hidden="1">
      <c r="S1676"/>
    </row>
    <row r="1677" spans="19:19" ht="14.4" hidden="1">
      <c r="S1677"/>
    </row>
    <row r="1678" spans="19:19" ht="14.4" hidden="1">
      <c r="S1678"/>
    </row>
    <row r="1679" spans="19:19" ht="14.4" hidden="1">
      <c r="S1679"/>
    </row>
    <row r="1680" spans="19:19" ht="14.4" hidden="1">
      <c r="S1680"/>
    </row>
    <row r="1681" spans="19:19" ht="14.4" hidden="1">
      <c r="S1681"/>
    </row>
    <row r="1682" spans="19:19" ht="14.4" hidden="1">
      <c r="S1682"/>
    </row>
    <row r="1683" spans="19:19" ht="14.4" hidden="1">
      <c r="S1683"/>
    </row>
    <row r="1684" spans="19:19" ht="14.4" hidden="1">
      <c r="S1684"/>
    </row>
    <row r="1685" spans="19:19" ht="14.4" hidden="1">
      <c r="S1685"/>
    </row>
    <row r="1686" spans="19:19" ht="14.4" hidden="1">
      <c r="S1686"/>
    </row>
    <row r="1687" spans="19:19" ht="14.4" hidden="1">
      <c r="S1687"/>
    </row>
    <row r="1688" spans="19:19" ht="14.4" hidden="1">
      <c r="S1688"/>
    </row>
    <row r="1689" spans="19:19" ht="14.4" hidden="1">
      <c r="S1689"/>
    </row>
    <row r="1690" spans="19:19" ht="14.4" hidden="1">
      <c r="S1690"/>
    </row>
    <row r="1691" spans="19:19" ht="14.4" hidden="1">
      <c r="S1691"/>
    </row>
    <row r="1692" spans="19:19" ht="14.4" hidden="1">
      <c r="S1692"/>
    </row>
    <row r="1693" spans="19:19" ht="14.4" hidden="1">
      <c r="S1693"/>
    </row>
    <row r="1694" spans="19:19" ht="14.4" hidden="1">
      <c r="S1694"/>
    </row>
    <row r="1695" spans="19:19" ht="14.4" hidden="1">
      <c r="S1695"/>
    </row>
    <row r="1696" spans="19:19" ht="14.4" hidden="1">
      <c r="S1696"/>
    </row>
    <row r="1697" spans="19:19" ht="14.4" hidden="1">
      <c r="S1697"/>
    </row>
    <row r="1698" spans="19:19" ht="14.4" hidden="1">
      <c r="S1698"/>
    </row>
    <row r="1699" spans="19:19" ht="14.4" hidden="1">
      <c r="S1699"/>
    </row>
    <row r="1700" spans="19:19" ht="14.4" hidden="1">
      <c r="S1700"/>
    </row>
    <row r="1701" spans="19:19" ht="14.4" hidden="1">
      <c r="S1701"/>
    </row>
    <row r="1702" spans="19:19" ht="14.4" hidden="1">
      <c r="S1702"/>
    </row>
    <row r="1703" spans="19:19" ht="14.4" hidden="1">
      <c r="S1703"/>
    </row>
    <row r="1704" spans="19:19" ht="14.4" hidden="1">
      <c r="S1704"/>
    </row>
    <row r="1705" spans="19:19" ht="14.4" hidden="1">
      <c r="S1705"/>
    </row>
    <row r="1706" spans="19:19" ht="14.4" hidden="1">
      <c r="S1706"/>
    </row>
    <row r="1707" spans="19:19" ht="14.4" hidden="1">
      <c r="S1707"/>
    </row>
    <row r="1708" spans="19:19" ht="14.4" hidden="1">
      <c r="S1708"/>
    </row>
    <row r="1709" spans="19:19" ht="14.4" hidden="1">
      <c r="S1709"/>
    </row>
    <row r="1710" spans="19:19" ht="14.4" hidden="1">
      <c r="S1710"/>
    </row>
    <row r="1711" spans="19:19" ht="14.4" hidden="1">
      <c r="S1711"/>
    </row>
    <row r="1712" spans="19:19" ht="14.4" hidden="1">
      <c r="S1712"/>
    </row>
    <row r="1713" spans="19:19" ht="14.4" hidden="1">
      <c r="S1713"/>
    </row>
    <row r="1714" spans="19:19" ht="14.4" hidden="1">
      <c r="S1714"/>
    </row>
    <row r="1715" spans="19:19" ht="14.4" hidden="1">
      <c r="S1715"/>
    </row>
    <row r="1716" spans="19:19" ht="14.4" hidden="1">
      <c r="S1716"/>
    </row>
    <row r="1717" spans="19:19" ht="14.4" hidden="1">
      <c r="S1717"/>
    </row>
    <row r="1718" spans="19:19" ht="14.4" hidden="1">
      <c r="S1718"/>
    </row>
    <row r="1719" spans="19:19" ht="14.4" hidden="1">
      <c r="S1719"/>
    </row>
    <row r="1720" spans="19:19" ht="14.4" hidden="1">
      <c r="S1720"/>
    </row>
    <row r="1721" spans="19:19" ht="14.4" hidden="1">
      <c r="S1721"/>
    </row>
    <row r="1722" spans="19:19" ht="14.4" hidden="1">
      <c r="S1722"/>
    </row>
    <row r="1723" spans="19:19" ht="14.4" hidden="1">
      <c r="S1723"/>
    </row>
    <row r="1724" spans="19:19" ht="14.4" hidden="1">
      <c r="S1724"/>
    </row>
    <row r="1725" spans="19:19" ht="14.4" hidden="1">
      <c r="S1725"/>
    </row>
    <row r="1726" spans="19:19" ht="14.4" hidden="1">
      <c r="S1726"/>
    </row>
    <row r="1727" spans="19:19" ht="14.4" hidden="1">
      <c r="S1727"/>
    </row>
    <row r="1728" spans="19:19" ht="14.4" hidden="1">
      <c r="S1728"/>
    </row>
    <row r="1729" spans="19:19" ht="14.4" hidden="1">
      <c r="S1729"/>
    </row>
    <row r="1730" spans="19:19" ht="14.4" hidden="1">
      <c r="S1730"/>
    </row>
    <row r="1731" spans="19:19" ht="14.4" hidden="1">
      <c r="S1731"/>
    </row>
    <row r="1732" spans="19:19" ht="14.4" hidden="1">
      <c r="S1732"/>
    </row>
    <row r="1733" spans="19:19" ht="14.4" hidden="1">
      <c r="S1733"/>
    </row>
    <row r="1734" spans="19:19" ht="14.4" hidden="1">
      <c r="S1734"/>
    </row>
    <row r="1735" spans="19:19" ht="14.4" hidden="1">
      <c r="S1735"/>
    </row>
    <row r="1736" spans="19:19" ht="14.4" hidden="1">
      <c r="S1736"/>
    </row>
    <row r="1737" spans="19:19" ht="14.4" hidden="1">
      <c r="S1737"/>
    </row>
    <row r="1738" spans="19:19" ht="14.4" hidden="1">
      <c r="S1738"/>
    </row>
    <row r="1739" spans="19:19" ht="14.4" hidden="1">
      <c r="S1739"/>
    </row>
    <row r="1740" spans="19:19" ht="14.4" hidden="1">
      <c r="S1740"/>
    </row>
    <row r="1741" spans="19:19" ht="14.4" hidden="1">
      <c r="S1741"/>
    </row>
    <row r="1742" spans="19:19" ht="14.4" hidden="1">
      <c r="S1742"/>
    </row>
    <row r="1743" spans="19:19" ht="14.4" hidden="1">
      <c r="S1743"/>
    </row>
    <row r="1744" spans="19:19" ht="14.4" hidden="1">
      <c r="S1744"/>
    </row>
    <row r="1745" spans="19:19" ht="14.4" hidden="1">
      <c r="S1745"/>
    </row>
    <row r="1746" spans="19:19" ht="14.4" hidden="1">
      <c r="S1746"/>
    </row>
    <row r="1747" spans="19:19" ht="14.4" hidden="1">
      <c r="S1747"/>
    </row>
    <row r="1748" spans="19:19" ht="14.4" hidden="1">
      <c r="S1748"/>
    </row>
    <row r="1749" spans="19:19" ht="14.4" hidden="1">
      <c r="S1749"/>
    </row>
    <row r="1750" spans="19:19" ht="14.4" hidden="1">
      <c r="S1750"/>
    </row>
    <row r="1751" spans="19:19" ht="14.4" hidden="1">
      <c r="S1751"/>
    </row>
    <row r="1752" spans="19:19" ht="14.4" hidden="1">
      <c r="S1752"/>
    </row>
    <row r="1753" spans="19:19" ht="14.4" hidden="1">
      <c r="S1753"/>
    </row>
    <row r="1754" spans="19:19" ht="14.4" hidden="1">
      <c r="S1754"/>
    </row>
    <row r="1755" spans="19:19" ht="14.4" hidden="1">
      <c r="S1755"/>
    </row>
    <row r="1756" spans="19:19" ht="14.4" hidden="1">
      <c r="S1756"/>
    </row>
    <row r="1757" spans="19:19" ht="14.4" hidden="1">
      <c r="S1757"/>
    </row>
    <row r="1758" spans="19:19" ht="14.4" hidden="1">
      <c r="S1758"/>
    </row>
    <row r="1759" spans="19:19" ht="14.4" hidden="1">
      <c r="S1759"/>
    </row>
    <row r="1760" spans="19:19" ht="14.4" hidden="1">
      <c r="S1760"/>
    </row>
    <row r="1761" spans="19:19" ht="14.4" hidden="1">
      <c r="S1761"/>
    </row>
    <row r="1762" spans="19:19" ht="14.4" hidden="1">
      <c r="S1762"/>
    </row>
    <row r="1763" spans="19:19" ht="14.4" hidden="1">
      <c r="S1763"/>
    </row>
    <row r="1764" spans="19:19" ht="14.4" hidden="1">
      <c r="S1764"/>
    </row>
    <row r="1765" spans="19:19" ht="14.4" hidden="1">
      <c r="S1765"/>
    </row>
    <row r="1766" spans="19:19" ht="14.4" hidden="1">
      <c r="S1766"/>
    </row>
    <row r="1767" spans="19:19" ht="14.4" hidden="1">
      <c r="S1767"/>
    </row>
    <row r="1768" spans="19:19" ht="14.4" hidden="1">
      <c r="S1768"/>
    </row>
    <row r="1769" spans="19:19" ht="14.4" hidden="1">
      <c r="S1769"/>
    </row>
    <row r="1770" spans="19:19" ht="14.4" hidden="1">
      <c r="S1770"/>
    </row>
    <row r="1771" spans="19:19" ht="14.4" hidden="1">
      <c r="S1771"/>
    </row>
    <row r="1772" spans="19:19" ht="14.4" hidden="1">
      <c r="S1772"/>
    </row>
    <row r="1773" spans="19:19" ht="14.4" hidden="1">
      <c r="S1773"/>
    </row>
    <row r="1774" spans="19:19" ht="14.4" hidden="1">
      <c r="S1774"/>
    </row>
    <row r="1775" spans="19:19" ht="14.4" hidden="1">
      <c r="S1775"/>
    </row>
    <row r="1776" spans="19:19" ht="14.4" hidden="1">
      <c r="S1776"/>
    </row>
    <row r="1777" spans="19:19" ht="14.4" hidden="1">
      <c r="S1777"/>
    </row>
    <row r="1778" spans="19:19" ht="14.4" hidden="1">
      <c r="S1778"/>
    </row>
    <row r="1779" spans="19:19" ht="14.4" hidden="1">
      <c r="S1779"/>
    </row>
    <row r="1780" spans="19:19" ht="14.4" hidden="1">
      <c r="S1780"/>
    </row>
    <row r="1781" spans="19:19" ht="14.4" hidden="1">
      <c r="S1781"/>
    </row>
    <row r="1782" spans="19:19" ht="14.4" hidden="1">
      <c r="S1782"/>
    </row>
    <row r="1783" spans="19:19" ht="14.4" hidden="1">
      <c r="S1783"/>
    </row>
    <row r="1784" spans="19:19" ht="14.4" hidden="1">
      <c r="S1784"/>
    </row>
    <row r="1785" spans="19:19" ht="14.4" hidden="1">
      <c r="S1785"/>
    </row>
    <row r="1786" spans="19:19" ht="14.4" hidden="1">
      <c r="S1786"/>
    </row>
    <row r="1787" spans="19:19" ht="14.4" hidden="1">
      <c r="S1787"/>
    </row>
    <row r="1788" spans="19:19" ht="14.4" hidden="1">
      <c r="S1788"/>
    </row>
    <row r="1789" spans="19:19" ht="14.4" hidden="1">
      <c r="S1789"/>
    </row>
    <row r="1790" spans="19:19" ht="14.4" hidden="1">
      <c r="S1790"/>
    </row>
    <row r="1791" spans="19:19" ht="14.4" hidden="1">
      <c r="S1791"/>
    </row>
    <row r="1792" spans="19:19" ht="14.4" hidden="1">
      <c r="S1792"/>
    </row>
    <row r="1793" spans="19:19" ht="14.4" hidden="1">
      <c r="S1793"/>
    </row>
    <row r="1794" spans="19:19" ht="14.4" hidden="1">
      <c r="S1794"/>
    </row>
    <row r="1795" spans="19:19" ht="14.4" hidden="1">
      <c r="S1795"/>
    </row>
    <row r="1796" spans="19:19" ht="14.4" hidden="1">
      <c r="S1796"/>
    </row>
    <row r="1797" spans="19:19" ht="14.4" hidden="1">
      <c r="S1797"/>
    </row>
    <row r="1798" spans="19:19" ht="14.4" hidden="1">
      <c r="S1798"/>
    </row>
    <row r="1799" spans="19:19" ht="14.4" hidden="1">
      <c r="S1799"/>
    </row>
    <row r="1800" spans="19:19" ht="14.4" hidden="1">
      <c r="S1800"/>
    </row>
    <row r="1801" spans="19:19" ht="14.4" hidden="1">
      <c r="S1801"/>
    </row>
    <row r="1802" spans="19:19" ht="14.4" hidden="1">
      <c r="S1802"/>
    </row>
    <row r="1803" spans="19:19" ht="14.4" hidden="1">
      <c r="S1803"/>
    </row>
    <row r="1804" spans="19:19" ht="14.4" hidden="1">
      <c r="S1804"/>
    </row>
    <row r="1805" spans="19:19" ht="14.4" hidden="1">
      <c r="S1805"/>
    </row>
    <row r="1806" spans="19:19" ht="14.4" hidden="1">
      <c r="S1806"/>
    </row>
    <row r="1807" spans="19:19" ht="14.4" hidden="1">
      <c r="S1807"/>
    </row>
    <row r="1808" spans="19:19" ht="14.4" hidden="1">
      <c r="S1808"/>
    </row>
    <row r="1809" spans="19:19" ht="14.4" hidden="1">
      <c r="S1809"/>
    </row>
    <row r="1810" spans="19:19" ht="14.4" hidden="1">
      <c r="S1810"/>
    </row>
    <row r="1811" spans="19:19" ht="14.4" hidden="1">
      <c r="S1811"/>
    </row>
    <row r="1812" spans="19:19" ht="14.4" hidden="1">
      <c r="S1812"/>
    </row>
    <row r="1813" spans="19:19" ht="14.4" hidden="1">
      <c r="S1813"/>
    </row>
    <row r="1814" spans="19:19" ht="14.4" hidden="1">
      <c r="S1814"/>
    </row>
    <row r="1815" spans="19:19" ht="14.4" hidden="1">
      <c r="S1815"/>
    </row>
    <row r="1816" spans="19:19" ht="14.4" hidden="1">
      <c r="S1816"/>
    </row>
    <row r="1817" spans="19:19" ht="14.4" hidden="1">
      <c r="S1817"/>
    </row>
    <row r="1818" spans="19:19" ht="14.4" hidden="1">
      <c r="S1818"/>
    </row>
    <row r="1819" spans="19:19" ht="14.4" hidden="1">
      <c r="S1819"/>
    </row>
    <row r="1820" spans="19:19" ht="14.4" hidden="1">
      <c r="S1820"/>
    </row>
    <row r="1821" spans="19:19" ht="14.4" hidden="1">
      <c r="S1821"/>
    </row>
    <row r="1822" spans="19:19" ht="14.4" hidden="1">
      <c r="S1822"/>
    </row>
    <row r="1823" spans="19:19" ht="14.4" hidden="1">
      <c r="S1823"/>
    </row>
    <row r="1824" spans="19:19" ht="14.4" hidden="1">
      <c r="S1824"/>
    </row>
    <row r="1825" spans="19:19" ht="14.4" hidden="1">
      <c r="S1825"/>
    </row>
    <row r="1826" spans="19:19" ht="14.4" hidden="1">
      <c r="S1826"/>
    </row>
    <row r="1827" spans="19:19" ht="14.4" hidden="1">
      <c r="S1827"/>
    </row>
    <row r="1828" spans="19:19" ht="14.4" hidden="1">
      <c r="S1828"/>
    </row>
    <row r="1829" spans="19:19" ht="14.4" hidden="1">
      <c r="S1829"/>
    </row>
    <row r="1830" spans="19:19" ht="14.4" hidden="1">
      <c r="S1830"/>
    </row>
    <row r="1831" spans="19:19" ht="14.4" hidden="1">
      <c r="S1831"/>
    </row>
    <row r="1832" spans="19:19" ht="14.4" hidden="1">
      <c r="S1832"/>
    </row>
    <row r="1833" spans="19:19" ht="14.4" hidden="1">
      <c r="S1833"/>
    </row>
    <row r="1834" spans="19:19" ht="14.4" hidden="1">
      <c r="S1834"/>
    </row>
    <row r="1835" spans="19:19" ht="14.4" hidden="1">
      <c r="S1835"/>
    </row>
    <row r="1836" spans="19:19" ht="14.4" hidden="1">
      <c r="S1836"/>
    </row>
    <row r="1837" spans="19:19" ht="14.4" hidden="1">
      <c r="S1837"/>
    </row>
    <row r="1838" spans="19:19" ht="14.4" hidden="1">
      <c r="S1838"/>
    </row>
    <row r="1839" spans="19:19" ht="14.4" hidden="1">
      <c r="S1839"/>
    </row>
    <row r="1840" spans="19:19" ht="14.4" hidden="1">
      <c r="S1840"/>
    </row>
    <row r="1841" spans="19:19" ht="14.4" hidden="1">
      <c r="S1841"/>
    </row>
    <row r="1842" spans="19:19" ht="14.4" hidden="1">
      <c r="S1842"/>
    </row>
    <row r="1843" spans="19:19" ht="14.4" hidden="1">
      <c r="S1843"/>
    </row>
    <row r="1844" spans="19:19" ht="14.4" hidden="1">
      <c r="S1844"/>
    </row>
    <row r="1845" spans="19:19" ht="14.4" hidden="1">
      <c r="S1845"/>
    </row>
    <row r="1846" spans="19:19" ht="14.4" hidden="1">
      <c r="S1846"/>
    </row>
    <row r="1847" spans="19:19" ht="14.4" hidden="1">
      <c r="S1847"/>
    </row>
    <row r="1848" spans="19:19" ht="14.4" hidden="1">
      <c r="S1848"/>
    </row>
    <row r="1849" spans="19:19" ht="14.4" hidden="1">
      <c r="S1849"/>
    </row>
    <row r="1850" spans="19:19" ht="14.4" hidden="1">
      <c r="S1850"/>
    </row>
    <row r="1851" spans="19:19" ht="14.4" hidden="1">
      <c r="S1851"/>
    </row>
    <row r="1852" spans="19:19" ht="14.4" hidden="1">
      <c r="S1852"/>
    </row>
    <row r="1853" spans="19:19" ht="14.4" hidden="1">
      <c r="S1853"/>
    </row>
    <row r="1854" spans="19:19" ht="14.4" hidden="1">
      <c r="S1854"/>
    </row>
    <row r="1855" spans="19:19" ht="14.4" hidden="1">
      <c r="S1855"/>
    </row>
    <row r="1856" spans="19:19" ht="14.4" hidden="1">
      <c r="S1856"/>
    </row>
    <row r="1857" spans="19:19" ht="14.4" hidden="1">
      <c r="S1857"/>
    </row>
    <row r="1858" spans="19:19" ht="14.4" hidden="1">
      <c r="S1858"/>
    </row>
    <row r="1859" spans="19:19" ht="14.4" hidden="1">
      <c r="S1859"/>
    </row>
    <row r="1860" spans="19:19" ht="14.4" hidden="1">
      <c r="S1860"/>
    </row>
    <row r="1861" spans="19:19" ht="14.4" hidden="1">
      <c r="S1861"/>
    </row>
    <row r="1862" spans="19:19" ht="14.4" hidden="1">
      <c r="S1862"/>
    </row>
    <row r="1863" spans="19:19" ht="14.4" hidden="1">
      <c r="S1863"/>
    </row>
    <row r="1864" spans="19:19" ht="14.4" hidden="1">
      <c r="S1864"/>
    </row>
    <row r="1865" spans="19:19" ht="14.4" hidden="1">
      <c r="S1865"/>
    </row>
    <row r="1866" spans="19:19" ht="14.4" hidden="1">
      <c r="S1866"/>
    </row>
    <row r="1867" spans="19:19" ht="14.4" hidden="1">
      <c r="S1867"/>
    </row>
    <row r="1868" spans="19:19" ht="14.4" hidden="1">
      <c r="S1868"/>
    </row>
    <row r="1869" spans="19:19" ht="14.4" hidden="1">
      <c r="S1869"/>
    </row>
    <row r="1870" spans="19:19" ht="14.4" hidden="1">
      <c r="S1870"/>
    </row>
    <row r="1871" spans="19:19" ht="14.4" hidden="1">
      <c r="S1871"/>
    </row>
    <row r="1872" spans="19:19" ht="14.4" hidden="1">
      <c r="S1872"/>
    </row>
    <row r="1873" spans="19:19" ht="14.4" hidden="1">
      <c r="S1873"/>
    </row>
    <row r="1874" spans="19:19" ht="14.4" hidden="1">
      <c r="S1874"/>
    </row>
    <row r="1875" spans="19:19" ht="14.4" hidden="1">
      <c r="S1875"/>
    </row>
    <row r="1876" spans="19:19" ht="14.4" hidden="1">
      <c r="S1876"/>
    </row>
    <row r="1877" spans="19:19" ht="14.4" hidden="1">
      <c r="S1877"/>
    </row>
    <row r="1878" spans="19:19" ht="14.4" hidden="1">
      <c r="S1878"/>
    </row>
    <row r="1879" spans="19:19" ht="14.4" hidden="1">
      <c r="S1879"/>
    </row>
    <row r="1880" spans="19:19" ht="14.4" hidden="1">
      <c r="S1880"/>
    </row>
    <row r="1881" spans="19:19" ht="14.4" hidden="1">
      <c r="S1881"/>
    </row>
    <row r="1882" spans="19:19" ht="14.4" hidden="1">
      <c r="S1882"/>
    </row>
    <row r="1883" spans="19:19" ht="14.4" hidden="1">
      <c r="S1883"/>
    </row>
    <row r="1884" spans="19:19" ht="14.4" hidden="1">
      <c r="S1884"/>
    </row>
    <row r="1885" spans="19:19" ht="14.4" hidden="1">
      <c r="S1885"/>
    </row>
    <row r="1886" spans="19:19" ht="14.4" hidden="1">
      <c r="S1886"/>
    </row>
    <row r="1887" spans="19:19" ht="14.4" hidden="1">
      <c r="S1887"/>
    </row>
    <row r="1888" spans="19:19" ht="14.4" hidden="1">
      <c r="S1888"/>
    </row>
    <row r="1889" spans="19:19" ht="14.4" hidden="1">
      <c r="S1889"/>
    </row>
    <row r="1890" spans="19:19" ht="14.4" hidden="1">
      <c r="S1890"/>
    </row>
    <row r="1891" spans="19:19" ht="14.4" hidden="1">
      <c r="S1891"/>
    </row>
    <row r="1892" spans="19:19" ht="14.4" hidden="1">
      <c r="S1892"/>
    </row>
    <row r="1893" spans="19:19" ht="14.4" hidden="1">
      <c r="S1893"/>
    </row>
    <row r="1894" spans="19:19" ht="14.4" hidden="1">
      <c r="S1894"/>
    </row>
    <row r="1895" spans="19:19" ht="14.4" hidden="1">
      <c r="S1895"/>
    </row>
    <row r="1896" spans="19:19" ht="14.4" hidden="1">
      <c r="S1896"/>
    </row>
    <row r="1897" spans="19:19" ht="14.4" hidden="1">
      <c r="S1897"/>
    </row>
    <row r="1898" spans="19:19" ht="14.4" hidden="1">
      <c r="S1898"/>
    </row>
    <row r="1899" spans="19:19" ht="14.4" hidden="1">
      <c r="S1899"/>
    </row>
    <row r="1900" spans="19:19" ht="14.4" hidden="1">
      <c r="S1900"/>
    </row>
    <row r="1901" spans="19:19" ht="14.4" hidden="1">
      <c r="S1901"/>
    </row>
    <row r="1902" spans="19:19" ht="14.4" hidden="1">
      <c r="S1902"/>
    </row>
    <row r="1903" spans="19:19" ht="14.4" hidden="1">
      <c r="S1903"/>
    </row>
    <row r="1904" spans="19:19" ht="14.4" hidden="1">
      <c r="S1904"/>
    </row>
    <row r="1905" spans="19:19" ht="14.4" hidden="1">
      <c r="S1905"/>
    </row>
    <row r="1906" spans="19:19" ht="14.4" hidden="1">
      <c r="S1906"/>
    </row>
    <row r="1907" spans="19:19" ht="14.4" hidden="1">
      <c r="S1907"/>
    </row>
    <row r="1908" spans="19:19" ht="14.4" hidden="1">
      <c r="S1908"/>
    </row>
    <row r="1909" spans="19:19" ht="14.4" hidden="1">
      <c r="S1909"/>
    </row>
    <row r="1910" spans="19:19" ht="14.4" hidden="1">
      <c r="S1910"/>
    </row>
    <row r="1911" spans="19:19" ht="14.4" hidden="1">
      <c r="S1911"/>
    </row>
    <row r="1912" spans="19:19" ht="14.4" hidden="1">
      <c r="S1912"/>
    </row>
    <row r="1913" spans="19:19" ht="14.4" hidden="1">
      <c r="S1913"/>
    </row>
    <row r="1914" spans="19:19" ht="14.4" hidden="1">
      <c r="S1914"/>
    </row>
    <row r="1915" spans="19:19" ht="14.4" hidden="1">
      <c r="S1915"/>
    </row>
    <row r="1916" spans="19:19" ht="14.4" hidden="1">
      <c r="S1916"/>
    </row>
    <row r="1917" spans="19:19" ht="14.4" hidden="1">
      <c r="S1917"/>
    </row>
    <row r="1918" spans="19:19" ht="14.4" hidden="1">
      <c r="S1918"/>
    </row>
    <row r="1919" spans="19:19" ht="14.4" hidden="1">
      <c r="S1919"/>
    </row>
    <row r="1920" spans="19:19" ht="14.4" hidden="1">
      <c r="S1920"/>
    </row>
    <row r="1921" spans="19:19" ht="14.4" hidden="1">
      <c r="S1921"/>
    </row>
    <row r="1922" spans="19:19" ht="14.4" hidden="1">
      <c r="S1922"/>
    </row>
    <row r="1923" spans="19:19" ht="14.4" hidden="1">
      <c r="S1923"/>
    </row>
    <row r="1924" spans="19:19" ht="14.4" hidden="1">
      <c r="S1924"/>
    </row>
    <row r="1925" spans="19:19" ht="14.4" hidden="1">
      <c r="S1925"/>
    </row>
    <row r="1926" spans="19:19" ht="14.4" hidden="1">
      <c r="S1926"/>
    </row>
    <row r="1927" spans="19:19" ht="14.4" hidden="1">
      <c r="S1927"/>
    </row>
    <row r="1928" spans="19:19" ht="14.4" hidden="1">
      <c r="S1928"/>
    </row>
    <row r="1929" spans="19:19" ht="14.4" hidden="1">
      <c r="S1929"/>
    </row>
    <row r="1930" spans="19:19" ht="14.4" hidden="1">
      <c r="S1930"/>
    </row>
    <row r="1931" spans="19:19" ht="14.4" hidden="1">
      <c r="S1931"/>
    </row>
    <row r="1932" spans="19:19" ht="14.4" hidden="1">
      <c r="S1932"/>
    </row>
    <row r="1933" spans="19:19" ht="14.4" hidden="1">
      <c r="S1933"/>
    </row>
    <row r="1934" spans="19:19" ht="14.4" hidden="1">
      <c r="S1934"/>
    </row>
    <row r="1935" spans="19:19" ht="14.4" hidden="1">
      <c r="S1935"/>
    </row>
    <row r="1936" spans="19:19" ht="14.4" hidden="1">
      <c r="S1936"/>
    </row>
    <row r="1937" spans="19:19" ht="14.4" hidden="1">
      <c r="S1937"/>
    </row>
    <row r="1938" spans="19:19" ht="14.4" hidden="1">
      <c r="S1938"/>
    </row>
    <row r="1939" spans="19:19" ht="14.4" hidden="1">
      <c r="S1939"/>
    </row>
    <row r="1940" spans="19:19" ht="14.4" hidden="1">
      <c r="S1940"/>
    </row>
    <row r="1941" spans="19:19" ht="14.4" hidden="1">
      <c r="S1941"/>
    </row>
    <row r="1942" spans="19:19" ht="14.4" hidden="1">
      <c r="S1942"/>
    </row>
    <row r="1943" spans="19:19" ht="14.4" hidden="1">
      <c r="S1943"/>
    </row>
    <row r="1944" spans="19:19" ht="14.4" hidden="1">
      <c r="S1944"/>
    </row>
    <row r="1945" spans="19:19" ht="14.4" hidden="1">
      <c r="S1945"/>
    </row>
    <row r="1946" spans="19:19" ht="14.4" hidden="1">
      <c r="S1946"/>
    </row>
    <row r="1947" spans="19:19" ht="14.4" hidden="1">
      <c r="S1947"/>
    </row>
    <row r="1948" spans="19:19" ht="14.4" hidden="1">
      <c r="S1948"/>
    </row>
    <row r="1949" spans="19:19" ht="14.4" hidden="1">
      <c r="S1949"/>
    </row>
    <row r="1950" spans="19:19" ht="14.4" hidden="1">
      <c r="S1950"/>
    </row>
    <row r="1951" spans="19:19" ht="14.4" hidden="1">
      <c r="S1951"/>
    </row>
    <row r="1952" spans="19:19" ht="14.4" hidden="1">
      <c r="S1952"/>
    </row>
    <row r="1953" spans="19:19" ht="14.4" hidden="1">
      <c r="S1953"/>
    </row>
    <row r="1954" spans="19:19" ht="14.4" hidden="1">
      <c r="S1954"/>
    </row>
    <row r="1955" spans="19:19" ht="14.4" hidden="1">
      <c r="S1955"/>
    </row>
    <row r="1956" spans="19:19" ht="14.4" hidden="1">
      <c r="S1956"/>
    </row>
    <row r="1957" spans="19:19" ht="14.4" hidden="1">
      <c r="S1957"/>
    </row>
    <row r="1958" spans="19:19" ht="14.4" hidden="1">
      <c r="S1958"/>
    </row>
    <row r="1959" spans="19:19" ht="14.4" hidden="1">
      <c r="S1959"/>
    </row>
    <row r="1960" spans="19:19" ht="14.4" hidden="1">
      <c r="S1960"/>
    </row>
    <row r="1961" spans="19:19" ht="14.4" hidden="1">
      <c r="S1961"/>
    </row>
    <row r="1962" spans="19:19" ht="14.4" hidden="1">
      <c r="S1962"/>
    </row>
    <row r="1963" spans="19:19" ht="14.4" hidden="1">
      <c r="S1963"/>
    </row>
    <row r="1964" spans="19:19" ht="14.4" hidden="1">
      <c r="S1964"/>
    </row>
    <row r="1965" spans="19:19" ht="14.4" hidden="1">
      <c r="S1965"/>
    </row>
    <row r="1966" spans="19:19" ht="14.4" hidden="1">
      <c r="S1966"/>
    </row>
    <row r="1967" spans="19:19" ht="14.4" hidden="1">
      <c r="S1967"/>
    </row>
    <row r="1968" spans="19:19" ht="14.4" hidden="1">
      <c r="S1968"/>
    </row>
    <row r="1969" spans="19:19" ht="14.4" hidden="1">
      <c r="S1969"/>
    </row>
    <row r="1970" spans="19:19" ht="14.4" hidden="1">
      <c r="S1970"/>
    </row>
    <row r="1971" spans="19:19" ht="14.4" hidden="1">
      <c r="S1971"/>
    </row>
    <row r="1972" spans="19:19" ht="14.4" hidden="1">
      <c r="S1972"/>
    </row>
    <row r="1973" spans="19:19" ht="14.4" hidden="1">
      <c r="S1973"/>
    </row>
    <row r="1974" spans="19:19" ht="14.4" hidden="1">
      <c r="S1974"/>
    </row>
    <row r="1975" spans="19:19" ht="14.4" hidden="1">
      <c r="S1975"/>
    </row>
    <row r="1976" spans="19:19" ht="14.4" hidden="1">
      <c r="S1976"/>
    </row>
    <row r="1977" spans="19:19" ht="14.4" hidden="1">
      <c r="S1977"/>
    </row>
    <row r="1978" spans="19:19" ht="14.4" hidden="1">
      <c r="S1978"/>
    </row>
    <row r="1979" spans="19:19" ht="14.4" hidden="1">
      <c r="S1979"/>
    </row>
    <row r="1980" spans="19:19" ht="14.4" hidden="1">
      <c r="S1980"/>
    </row>
    <row r="1981" spans="19:19" ht="14.4" hidden="1">
      <c r="S1981"/>
    </row>
    <row r="1982" spans="19:19" ht="14.4" hidden="1">
      <c r="S1982"/>
    </row>
    <row r="1983" spans="19:19" ht="14.4" hidden="1">
      <c r="S1983"/>
    </row>
    <row r="1984" spans="19:19" ht="14.4" hidden="1">
      <c r="S1984"/>
    </row>
    <row r="1985" spans="19:19" ht="14.4" hidden="1">
      <c r="S1985"/>
    </row>
    <row r="1986" spans="19:19" ht="14.4" hidden="1">
      <c r="S1986"/>
    </row>
    <row r="1987" spans="19:19" ht="14.4" hidden="1">
      <c r="S1987"/>
    </row>
    <row r="1988" spans="19:19" ht="14.4" hidden="1">
      <c r="S1988"/>
    </row>
    <row r="1989" spans="19:19" ht="14.4" hidden="1">
      <c r="S1989"/>
    </row>
    <row r="1990" spans="19:19" ht="14.4" hidden="1">
      <c r="S1990"/>
    </row>
    <row r="1991" spans="19:19" ht="14.4" hidden="1">
      <c r="S1991"/>
    </row>
    <row r="1992" spans="19:19" ht="14.4" hidden="1">
      <c r="S1992"/>
    </row>
    <row r="1993" spans="19:19" ht="14.4" hidden="1">
      <c r="S1993"/>
    </row>
    <row r="1994" spans="19:19" ht="14.4" hidden="1">
      <c r="S1994"/>
    </row>
    <row r="1995" spans="19:19" ht="14.4" hidden="1">
      <c r="S1995"/>
    </row>
    <row r="1996" spans="19:19" ht="14.4" hidden="1">
      <c r="S1996"/>
    </row>
    <row r="1997" spans="19:19" ht="14.4" hidden="1">
      <c r="S1997"/>
    </row>
    <row r="1998" spans="19:19" ht="14.4" hidden="1">
      <c r="S1998"/>
    </row>
    <row r="1999" spans="19:19" ht="14.4" hidden="1">
      <c r="S1999"/>
    </row>
    <row r="2000" spans="19:19" ht="14.4" hidden="1">
      <c r="S2000"/>
    </row>
    <row r="2001" spans="19:19" ht="14.4" hidden="1">
      <c r="S2001"/>
    </row>
    <row r="2002" spans="19:19" ht="14.4" hidden="1">
      <c r="S2002"/>
    </row>
    <row r="2003" spans="19:19" ht="14.4" hidden="1">
      <c r="S2003"/>
    </row>
    <row r="2004" spans="19:19" ht="14.4" hidden="1">
      <c r="S2004"/>
    </row>
    <row r="2005" spans="19:19" ht="14.4" hidden="1">
      <c r="S2005"/>
    </row>
    <row r="2006" spans="19:19" ht="14.4" hidden="1">
      <c r="S2006"/>
    </row>
    <row r="2007" spans="19:19" ht="14.4" hidden="1">
      <c r="S2007"/>
    </row>
    <row r="2008" spans="19:19" ht="14.4" hidden="1">
      <c r="S2008"/>
    </row>
    <row r="2009" spans="19:19" ht="14.4" hidden="1">
      <c r="S2009"/>
    </row>
    <row r="2010" spans="19:19" ht="14.4" hidden="1">
      <c r="S2010"/>
    </row>
    <row r="2011" spans="19:19" ht="14.4" hidden="1">
      <c r="S2011"/>
    </row>
    <row r="2012" spans="19:19" ht="14.4" hidden="1">
      <c r="S2012"/>
    </row>
    <row r="2013" spans="19:19" ht="14.4" hidden="1">
      <c r="S2013"/>
    </row>
    <row r="2014" spans="19:19" ht="14.4" hidden="1">
      <c r="S2014"/>
    </row>
    <row r="2015" spans="19:19" ht="14.4" hidden="1">
      <c r="S2015"/>
    </row>
    <row r="2016" spans="19:19" ht="14.4" hidden="1">
      <c r="S2016"/>
    </row>
    <row r="2017" spans="19:19" ht="14.4" hidden="1">
      <c r="S2017"/>
    </row>
    <row r="2018" spans="19:19" ht="14.4" hidden="1">
      <c r="S2018"/>
    </row>
    <row r="2019" spans="19:19" ht="14.4" hidden="1">
      <c r="S2019"/>
    </row>
    <row r="2020" spans="19:19" ht="14.4" hidden="1">
      <c r="S2020"/>
    </row>
    <row r="2021" spans="19:19" ht="14.4" hidden="1">
      <c r="S2021"/>
    </row>
    <row r="2022" spans="19:19" ht="14.4" hidden="1">
      <c r="S2022"/>
    </row>
    <row r="2023" spans="19:19" ht="14.4" hidden="1">
      <c r="S2023"/>
    </row>
    <row r="2024" spans="19:19" ht="14.4" hidden="1">
      <c r="S2024"/>
    </row>
    <row r="2025" spans="19:19" ht="14.4" hidden="1">
      <c r="S2025"/>
    </row>
    <row r="2026" spans="19:19" ht="14.4" hidden="1">
      <c r="S2026"/>
    </row>
    <row r="2027" spans="19:19" ht="14.4" hidden="1">
      <c r="S2027"/>
    </row>
    <row r="2028" spans="19:19" ht="14.4" hidden="1">
      <c r="S2028"/>
    </row>
    <row r="2029" spans="19:19" ht="14.4" hidden="1">
      <c r="S2029"/>
    </row>
    <row r="2030" spans="19:19" ht="14.4" hidden="1">
      <c r="S2030"/>
    </row>
    <row r="2031" spans="19:19" ht="14.4" hidden="1">
      <c r="S2031"/>
    </row>
    <row r="2032" spans="19:19" ht="14.4" hidden="1">
      <c r="S2032"/>
    </row>
    <row r="2033" spans="19:19" ht="14.4" hidden="1">
      <c r="S2033"/>
    </row>
    <row r="2034" spans="19:19" ht="14.4" hidden="1">
      <c r="S2034"/>
    </row>
    <row r="2035" spans="19:19" ht="14.4" hidden="1">
      <c r="S2035"/>
    </row>
    <row r="2036" spans="19:19" ht="14.4" hidden="1">
      <c r="S2036"/>
    </row>
    <row r="2037" spans="19:19" ht="14.4" hidden="1">
      <c r="S2037"/>
    </row>
    <row r="2038" spans="19:19" ht="14.4" hidden="1">
      <c r="S2038"/>
    </row>
    <row r="2039" spans="19:19" ht="14.4" hidden="1">
      <c r="S2039"/>
    </row>
    <row r="2040" spans="19:19" ht="14.4" hidden="1">
      <c r="S2040"/>
    </row>
    <row r="2041" spans="19:19" ht="14.4" hidden="1">
      <c r="S2041"/>
    </row>
    <row r="2042" spans="19:19" ht="14.4" hidden="1">
      <c r="S2042"/>
    </row>
    <row r="2043" spans="19:19" ht="14.4" hidden="1">
      <c r="S2043"/>
    </row>
    <row r="2044" spans="19:19" ht="14.4" hidden="1">
      <c r="S2044"/>
    </row>
    <row r="2045" spans="19:19" ht="14.4" hidden="1">
      <c r="S2045"/>
    </row>
    <row r="2046" spans="19:19" ht="14.4" hidden="1">
      <c r="S2046"/>
    </row>
    <row r="2047" spans="19:19" ht="14.4" hidden="1">
      <c r="S2047"/>
    </row>
    <row r="2048" spans="19:19" ht="14.4" hidden="1">
      <c r="S2048"/>
    </row>
    <row r="2049" spans="19:19" ht="14.4" hidden="1">
      <c r="S2049"/>
    </row>
    <row r="2050" spans="19:19" ht="14.4" hidden="1">
      <c r="S2050"/>
    </row>
    <row r="2051" spans="19:19" ht="14.4" hidden="1">
      <c r="S2051"/>
    </row>
    <row r="2052" spans="19:19" ht="14.4" hidden="1">
      <c r="S2052"/>
    </row>
    <row r="2053" spans="19:19" ht="14.4" hidden="1">
      <c r="S2053"/>
    </row>
    <row r="2054" spans="19:19" ht="14.4" hidden="1">
      <c r="S2054"/>
    </row>
    <row r="2055" spans="19:19" ht="14.4" hidden="1">
      <c r="S2055"/>
    </row>
    <row r="2056" spans="19:19" ht="14.4" hidden="1">
      <c r="S2056"/>
    </row>
    <row r="2057" spans="19:19" ht="14.4" hidden="1">
      <c r="S2057"/>
    </row>
    <row r="2058" spans="19:19" ht="14.4" hidden="1">
      <c r="S2058"/>
    </row>
    <row r="2059" spans="19:19" ht="14.4" hidden="1">
      <c r="S2059"/>
    </row>
    <row r="2060" spans="19:19" ht="14.4" hidden="1">
      <c r="S2060"/>
    </row>
    <row r="2061" spans="19:19" ht="15" hidden="1" customHeight="1">
      <c r="S2061"/>
    </row>
    <row r="2062" spans="19:19" ht="15" hidden="1" customHeight="1">
      <c r="S2062"/>
    </row>
    <row r="2063" spans="19:19" ht="15" hidden="1" customHeight="1">
      <c r="S2063"/>
    </row>
    <row r="2064" spans="19:19" ht="15" hidden="1" customHeight="1">
      <c r="S2064"/>
    </row>
    <row r="2065" spans="19:19" ht="15" hidden="1" customHeight="1">
      <c r="S2065"/>
    </row>
    <row r="2066" spans="19:19" ht="15" hidden="1" customHeight="1">
      <c r="S2066"/>
    </row>
    <row r="2067" spans="19:19" ht="15" hidden="1" customHeight="1">
      <c r="S2067"/>
    </row>
    <row r="2068" spans="19:19" ht="15" hidden="1" customHeight="1">
      <c r="S2068"/>
    </row>
    <row r="2069" spans="19:19" ht="15" hidden="1" customHeight="1">
      <c r="S2069"/>
    </row>
    <row r="2070" spans="19:19" ht="15" hidden="1" customHeight="1">
      <c r="S2070"/>
    </row>
    <row r="2071" spans="19:19" ht="15" hidden="1" customHeight="1">
      <c r="S2071"/>
    </row>
    <row r="2072" spans="19:19" ht="15" hidden="1" customHeight="1">
      <c r="S2072"/>
    </row>
    <row r="2073" spans="19:19" ht="15" hidden="1" customHeight="1">
      <c r="S2073"/>
    </row>
    <row r="2074" spans="19:19" ht="15" hidden="1" customHeight="1">
      <c r="S2074"/>
    </row>
    <row r="2075" spans="19:19" ht="15" hidden="1" customHeight="1">
      <c r="S2075"/>
    </row>
    <row r="2076" spans="19:19" ht="15" hidden="1" customHeight="1">
      <c r="S2076"/>
    </row>
    <row r="2077" spans="19:19" ht="15" hidden="1" customHeight="1">
      <c r="S2077"/>
    </row>
    <row r="2078" spans="19:19" ht="15" hidden="1" customHeight="1">
      <c r="S2078"/>
    </row>
    <row r="2079" spans="19:19" ht="15" hidden="1" customHeight="1">
      <c r="S2079"/>
    </row>
    <row r="2080" spans="19:19" ht="15" hidden="1" customHeight="1">
      <c r="S2080"/>
    </row>
    <row r="2081" spans="19:19" ht="15" hidden="1" customHeight="1">
      <c r="S2081"/>
    </row>
    <row r="2082" spans="19:19" ht="15" hidden="1" customHeight="1">
      <c r="S2082"/>
    </row>
    <row r="2083" spans="19:19" ht="15" hidden="1" customHeight="1">
      <c r="S2083"/>
    </row>
    <row r="2084" spans="19:19" ht="15" hidden="1" customHeight="1">
      <c r="S2084"/>
    </row>
    <row r="2085" spans="19:19" ht="15" hidden="1" customHeight="1">
      <c r="S2085"/>
    </row>
    <row r="2086" spans="19:19" ht="15" hidden="1" customHeight="1">
      <c r="S2086"/>
    </row>
    <row r="2087" spans="19:19" ht="15" hidden="1" customHeight="1">
      <c r="S2087"/>
    </row>
    <row r="2088" spans="19:19" ht="15" hidden="1" customHeight="1">
      <c r="S2088"/>
    </row>
    <row r="2089" spans="19:19" ht="15" hidden="1" customHeight="1">
      <c r="S2089"/>
    </row>
    <row r="2090" spans="19:19" ht="15" hidden="1" customHeight="1">
      <c r="S2090"/>
    </row>
    <row r="2091" spans="19:19" ht="15" hidden="1" customHeight="1">
      <c r="S2091"/>
    </row>
    <row r="2092" spans="19:19" ht="15" hidden="1" customHeight="1">
      <c r="S2092"/>
    </row>
    <row r="2093" spans="19:19" ht="15" hidden="1" customHeight="1">
      <c r="S2093"/>
    </row>
    <row r="2094" spans="19:19" ht="15" hidden="1" customHeight="1">
      <c r="S2094"/>
    </row>
    <row r="2095" spans="19:19" ht="15" hidden="1" customHeight="1">
      <c r="S2095"/>
    </row>
    <row r="2096" spans="19:19" ht="15" hidden="1" customHeight="1">
      <c r="S2096"/>
    </row>
    <row r="2097" spans="19:19" ht="15" hidden="1" customHeight="1">
      <c r="S2097"/>
    </row>
    <row r="2098" spans="19:19" ht="15" hidden="1" customHeight="1">
      <c r="S2098"/>
    </row>
    <row r="2099" spans="19:19" ht="15" hidden="1" customHeight="1">
      <c r="S2099"/>
    </row>
    <row r="2100" spans="19:19" ht="15" hidden="1" customHeight="1">
      <c r="S2100"/>
    </row>
    <row r="2101" spans="19:19" ht="15" hidden="1" customHeight="1">
      <c r="S2101"/>
    </row>
    <row r="2102" spans="19:19" ht="15" hidden="1" customHeight="1">
      <c r="S2102"/>
    </row>
    <row r="2103" spans="19:19" ht="15" hidden="1" customHeight="1">
      <c r="S2103"/>
    </row>
    <row r="2104" spans="19:19" ht="15" hidden="1" customHeight="1">
      <c r="S2104"/>
    </row>
    <row r="2105" spans="19:19" ht="15" hidden="1" customHeight="1">
      <c r="S2105"/>
    </row>
    <row r="2106" spans="19:19" ht="15" hidden="1" customHeight="1">
      <c r="S2106"/>
    </row>
    <row r="2107" spans="19:19" ht="15" hidden="1" customHeight="1">
      <c r="S2107"/>
    </row>
    <row r="2108" spans="19:19" ht="15" hidden="1" customHeight="1">
      <c r="S2108"/>
    </row>
    <row r="2109" spans="19:19" ht="15" hidden="1" customHeight="1">
      <c r="S2109"/>
    </row>
    <row r="2110" spans="19:19" ht="15" hidden="1" customHeight="1">
      <c r="S2110"/>
    </row>
    <row r="2111" spans="19:19" ht="15" hidden="1" customHeight="1">
      <c r="S2111"/>
    </row>
    <row r="2112" spans="19:19" ht="15" hidden="1" customHeight="1">
      <c r="S2112"/>
    </row>
    <row r="2113" spans="19:19" ht="15" hidden="1" customHeight="1">
      <c r="S2113"/>
    </row>
    <row r="2114" spans="19:19" ht="15" hidden="1" customHeight="1">
      <c r="S2114"/>
    </row>
    <row r="2115" spans="19:19" ht="15" hidden="1" customHeight="1">
      <c r="S2115"/>
    </row>
  </sheetData>
  <sortState xmlns:xlrd2="http://schemas.microsoft.com/office/spreadsheetml/2017/richdata2" ref="P17:R37">
    <sortCondition ref="P17"/>
  </sortState>
  <mergeCells count="2">
    <mergeCell ref="D5:G5"/>
    <mergeCell ref="D7:G7"/>
  </mergeCells>
  <dataValidations count="1">
    <dataValidation type="list" allowBlank="1" showInputMessage="1" showErrorMessage="1" sqref="J16:J300" xr:uid="{00000000-0002-0000-0E00-000000000000}">
      <formula1>$P$17:$P$42</formula1>
    </dataValidation>
  </dataValidations>
  <printOptions horizontalCentered="1"/>
  <pageMargins left="0.23622047244094491" right="0.23622047244094491" top="0.55118110236220474" bottom="0.35433070866141736" header="0.31496062992125984" footer="0.31496062992125984"/>
  <pageSetup paperSize="9" scale="50" orientation="landscape" r:id="rId1"/>
  <rowBreaks count="1" manualBreakCount="1">
    <brk id="57" min="5" max="19" man="1"/>
  </rowBreaks>
  <drawing r:id="rId2"/>
  <legacyDrawing r:id="rId3"/>
  <mc:AlternateContent xmlns:mc="http://schemas.openxmlformats.org/markup-compatibility/2006">
    <mc:Choice Requires="x14">
      <controls>
        <mc:AlternateContent xmlns:mc="http://schemas.openxmlformats.org/markup-compatibility/2006">
          <mc:Choice Requires="x14">
            <control shapeId="28675" r:id="rId4" name="Button 3">
              <controlPr locked="0" defaultSize="0" print="0" autoFill="0" autoPict="0" macro="[0]!borrarinversones">
                <anchor moveWithCells="1" sizeWithCells="1">
                  <from>
                    <xdr:col>5</xdr:col>
                    <xdr:colOff>342900</xdr:colOff>
                    <xdr:row>8</xdr:row>
                    <xdr:rowOff>121920</xdr:rowOff>
                  </from>
                  <to>
                    <xdr:col>6</xdr:col>
                    <xdr:colOff>0</xdr:colOff>
                    <xdr:row>10</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SYS_4_3_Digitos!$A$73:$A$90</xm:f>
          </x14:formula1>
          <xm:sqref>J16:J300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pageSetUpPr autoPageBreaks="0" fitToPage="1"/>
  </sheetPr>
  <dimension ref="A2:AB233"/>
  <sheetViews>
    <sheetView showGridLines="0" showRowColHeaders="0" zoomScale="85" zoomScaleNormal="85" zoomScaleSheetLayoutView="85" zoomScalePageLayoutView="55" workbookViewId="0"/>
  </sheetViews>
  <sheetFormatPr baseColWidth="10" defaultColWidth="0" defaultRowHeight="15" customHeight="1" outlineLevelRow="1"/>
  <cols>
    <col min="1" max="2" width="2" customWidth="1"/>
    <col min="3" max="3" width="61" bestFit="1" customWidth="1"/>
    <col min="4" max="4" width="22" customWidth="1"/>
    <col min="5" max="5" width="25.44140625" bestFit="1" customWidth="1"/>
    <col min="6" max="6" width="17.44140625" customWidth="1"/>
    <col min="7" max="7" width="25.44140625" customWidth="1"/>
    <col min="8" max="8" width="19" bestFit="1" customWidth="1"/>
    <col min="9" max="9" width="26" bestFit="1" customWidth="1"/>
    <col min="10" max="10" width="17.5546875" customWidth="1"/>
    <col min="11" max="11" width="20" hidden="1" customWidth="1"/>
    <col min="12" max="12" width="16" hidden="1" customWidth="1"/>
    <col min="13" max="13" width="5" hidden="1" customWidth="1"/>
    <col min="14" max="14" width="19.5546875" hidden="1" customWidth="1"/>
    <col min="15" max="15" width="1.44140625" hidden="1" customWidth="1"/>
    <col min="16" max="16" width="21" hidden="1" customWidth="1"/>
    <col min="17" max="17" width="9" style="13" hidden="1" customWidth="1"/>
    <col min="18" max="18" width="4.5546875" hidden="1" customWidth="1"/>
    <col min="19" max="20" width="11.44140625" hidden="1" customWidth="1"/>
    <col min="21" max="21" width="46" hidden="1" customWidth="1"/>
    <col min="22" max="22" width="40" hidden="1" customWidth="1"/>
    <col min="23" max="23" width="16" hidden="1" customWidth="1"/>
    <col min="24" max="25" width="11.44140625" hidden="1" customWidth="1"/>
    <col min="26" max="26" width="49" hidden="1" customWidth="1"/>
    <col min="27" max="27" width="47.5546875" hidden="1" customWidth="1"/>
    <col min="28" max="28" width="18" hidden="1" customWidth="1"/>
    <col min="29" max="16384" width="11.44140625" hidden="1"/>
  </cols>
  <sheetData>
    <row r="2" spans="3:17" ht="9" customHeight="1"/>
    <row r="3" spans="3:17" ht="5.25" customHeight="1">
      <c r="C3" s="1"/>
    </row>
    <row r="4" spans="3:17" ht="5.25" customHeight="1"/>
    <row r="5" spans="3:17" ht="21">
      <c r="C5" s="35" t="str">
        <f>+MENU!C5</f>
        <v>Sociedad:</v>
      </c>
      <c r="D5" s="2254" t="str">
        <f>+MENU!E5</f>
        <v>MARIO PILATO BLAT, S.A.</v>
      </c>
      <c r="E5" s="2255"/>
      <c r="F5" s="2255"/>
      <c r="J5" s="40"/>
      <c r="M5" s="12"/>
      <c r="P5" s="14"/>
      <c r="Q5"/>
    </row>
    <row r="6" spans="3:17" ht="12.75" customHeight="1">
      <c r="P6" s="13"/>
      <c r="Q6"/>
    </row>
    <row r="7" spans="3:17" ht="18">
      <c r="C7" s="35" t="str">
        <f>+instrucciones!$C$7</f>
        <v>Fecha de cierre</v>
      </c>
      <c r="D7" s="2261">
        <f>+MENU!D7</f>
        <v>45657</v>
      </c>
      <c r="E7" s="2261"/>
      <c r="F7" s="2261"/>
      <c r="I7" s="34"/>
      <c r="P7" s="13"/>
      <c r="Q7"/>
    </row>
    <row r="8" spans="3:17" ht="15" customHeight="1">
      <c r="C8" s="2"/>
      <c r="E8" s="3"/>
      <c r="F8" s="3"/>
      <c r="G8" s="3"/>
      <c r="H8" s="3"/>
      <c r="I8" s="3"/>
      <c r="J8" s="3"/>
    </row>
    <row r="11" spans="3:17" ht="14.4">
      <c r="Q11"/>
    </row>
    <row r="12" spans="3:17" ht="6" customHeight="1">
      <c r="Q12"/>
    </row>
    <row r="13" spans="3:17" ht="18">
      <c r="C13" s="2262" t="s">
        <v>898</v>
      </c>
      <c r="D13" s="2263"/>
      <c r="E13" s="2263"/>
      <c r="F13" s="2263"/>
      <c r="Q13"/>
    </row>
    <row r="14" spans="3:17" ht="6" customHeight="1">
      <c r="Q14"/>
    </row>
    <row r="15" spans="3:17" s="41" customFormat="1" ht="15.6">
      <c r="C15" s="42" t="s">
        <v>648</v>
      </c>
      <c r="D15" s="42">
        <v>174</v>
      </c>
      <c r="E15" s="42">
        <v>479</v>
      </c>
      <c r="F15" s="42">
        <v>524</v>
      </c>
      <c r="G15" s="42" t="s">
        <v>652</v>
      </c>
      <c r="H15"/>
      <c r="I15"/>
      <c r="J15"/>
      <c r="K15"/>
      <c r="L15"/>
      <c r="M15"/>
      <c r="N15"/>
      <c r="O15"/>
      <c r="P15"/>
    </row>
    <row r="16" spans="3:17" ht="15.6">
      <c r="C16" s="142" t="s">
        <v>904</v>
      </c>
      <c r="D16" s="145">
        <f ca="1">+SUMIF(SYS_4_3_Digitos!$A$5:$A$1004,'Leasg. (prueba)'!$D$15,SYS_4_3_Digitos!$I$5:$I$1004)-SUMIF(SYS_4_3_Digitos!$A$5:$A$1004,'Leasg. (prueba)'!$D$15,SYS_4_3_Digitos!$J$5:$J$1004)</f>
        <v>0</v>
      </c>
      <c r="E16" s="145">
        <f ca="1">+SUMIF(SYS_4_3_Digitos!$A$5:$A$1004,'Leasg. (prueba)'!$E$15,SYS_4_3_Digitos!$I$5:$I$1004)-SUMIF(SYS_4_3_Digitos!$A$5:$A$1004,'Leasg. (prueba)'!$E$15,SYS_4_3_Digitos!$J$5:$J$1004)</f>
        <v>-9998511.5600000005</v>
      </c>
      <c r="F16" s="145">
        <f ca="1">+SUMIF(SYS_4_3_Digitos!$A$5:$A$1004,'Leasg. (prueba)'!$F$15,SYS_4_3_Digitos!$I$5:$I$1004)-SUMIF(SYS_4_3_Digitos!$A$5:$A$1004,'Leasg. (prueba)'!$F$15,SYS_4_3_Digitos!$J$5:$J$1004)</f>
        <v>0</v>
      </c>
      <c r="G16" s="144"/>
      <c r="Q16"/>
    </row>
    <row r="17" spans="3:17" ht="15.6">
      <c r="C17" s="142" t="s">
        <v>907</v>
      </c>
      <c r="D17" s="145">
        <f>-SUMIF('BASE DATOS LEASING'!$B$5:$B$9822,MENU!$D$5,'BASE DATOS LEASING'!$Z$5:$Z$9822)</f>
        <v>0</v>
      </c>
      <c r="E17" s="145">
        <f>+SUMIF('BASE DATOS LEASING'!$B$5:$B$9822,MENU!$D$5,'BASE DATOS LEASING'!$AD$5:$AD$9822)</f>
        <v>0</v>
      </c>
      <c r="F17" s="145">
        <f>-+SUMIF('BASE DATOS LEASING'!$B$5:$B$9822,MENU!$D$5,'BASE DATOS LEASING'!$Y$5:$Y$9822)</f>
        <v>0</v>
      </c>
      <c r="G17" s="144"/>
      <c r="Q17"/>
    </row>
    <row r="18" spans="3:17" ht="15.6">
      <c r="C18" s="148" t="s">
        <v>644</v>
      </c>
      <c r="D18" s="145">
        <f ca="1">+D16-D17</f>
        <v>0</v>
      </c>
      <c r="E18" s="145">
        <f ca="1">+E16-E17</f>
        <v>-9998511.5600000005</v>
      </c>
      <c r="F18" s="145">
        <f ca="1">+F16-F17</f>
        <v>0</v>
      </c>
      <c r="G18" s="144"/>
      <c r="Q18"/>
    </row>
    <row r="19" spans="3:17" ht="14.4">
      <c r="Q19"/>
    </row>
    <row r="22" spans="3:17" ht="15" customHeight="1">
      <c r="C22" s="168" t="s">
        <v>658</v>
      </c>
      <c r="D22" s="177" t="s">
        <v>922</v>
      </c>
      <c r="E22" s="176" t="s">
        <v>679</v>
      </c>
      <c r="F22" s="177" t="s">
        <v>922</v>
      </c>
      <c r="G22" s="176" t="s">
        <v>683</v>
      </c>
      <c r="H22" s="177" t="s">
        <v>922</v>
      </c>
      <c r="I22" s="176" t="s">
        <v>678</v>
      </c>
      <c r="O22" s="13"/>
      <c r="Q22"/>
    </row>
    <row r="23" spans="3:17" ht="15" customHeight="1">
      <c r="C23" s="169"/>
      <c r="D23" s="169"/>
      <c r="E23" s="169"/>
      <c r="F23" s="169"/>
      <c r="G23" s="170"/>
      <c r="H23" s="169"/>
      <c r="I23" s="169"/>
      <c r="O23" s="13"/>
      <c r="Q23"/>
    </row>
    <row r="24" spans="3:17" ht="15" customHeight="1" outlineLevel="1">
      <c r="C24" s="171" t="s">
        <v>923</v>
      </c>
      <c r="D24" s="178"/>
      <c r="E24" s="172"/>
      <c r="F24" s="178"/>
      <c r="G24" s="172"/>
      <c r="H24" s="178"/>
      <c r="I24" s="172"/>
      <c r="O24" s="13"/>
      <c r="Q24"/>
    </row>
    <row r="25" spans="3:17" ht="15" customHeight="1" outlineLevel="1">
      <c r="C25" s="171" t="s">
        <v>924</v>
      </c>
      <c r="D25" s="178"/>
      <c r="E25" s="172"/>
      <c r="F25" s="178"/>
      <c r="G25" s="172"/>
      <c r="H25" s="178"/>
      <c r="I25" s="172"/>
      <c r="O25" s="13"/>
      <c r="Q25"/>
    </row>
    <row r="26" spans="3:17" ht="15" customHeight="1" outlineLevel="1">
      <c r="C26" s="173" t="s">
        <v>925</v>
      </c>
      <c r="D26" s="179"/>
      <c r="E26" s="181">
        <f>IF(D26=0,0,+LOOKUP(D26,SYS_cliente!$A$5:$A$22500,SYS_cliente!$C$5:$C$22500)-+LOOKUP(D26,SYS_cliente!$A$5:$A$22500,SYS_cliente!$D$5:$D$22500))</f>
        <v>0</v>
      </c>
      <c r="F26" s="179"/>
      <c r="G26" s="181">
        <f>IF(F26=0,0,+LOOKUP(F26,SYS_cliente!$A$5:$A$22500,SYS_cliente!$C$5:$C$22500)-+LOOKUP(F26,SYS_cliente!$A$5:$A$22500,SYS_cliente!$D$5:$D$22500))</f>
        <v>0</v>
      </c>
      <c r="H26" s="179"/>
      <c r="I26" s="181">
        <f>IF(H26=0,0,LOOKUP(H26,SYS_cliente!$A$5:$A$22500,SYS_cliente!$C$5:$C$22500)-+LOOKUP(H26,SYS_cliente!$A$5:$A$22500,SYS_cliente!$D$5:$D$22500))</f>
        <v>0</v>
      </c>
      <c r="O26" s="13"/>
      <c r="Q26"/>
    </row>
    <row r="27" spans="3:17" ht="15" customHeight="1" outlineLevel="1">
      <c r="C27" s="174" t="s">
        <v>644</v>
      </c>
      <c r="D27" s="180"/>
      <c r="E27" s="175">
        <f>+E23+E24-E25-E26</f>
        <v>0</v>
      </c>
      <c r="F27" s="180"/>
      <c r="G27" s="175">
        <f>+G23-SUM(G24:G26)</f>
        <v>0</v>
      </c>
      <c r="H27" s="180"/>
      <c r="I27" s="175">
        <f>+I23-SUM(I24:I26)</f>
        <v>0</v>
      </c>
      <c r="O27" s="13"/>
      <c r="Q27"/>
    </row>
    <row r="28" spans="3:17" ht="15" customHeight="1">
      <c r="C28" s="169"/>
      <c r="D28" s="169"/>
      <c r="E28" s="169"/>
      <c r="F28" s="169"/>
      <c r="G28" s="170"/>
      <c r="H28" s="169"/>
      <c r="I28" s="169"/>
      <c r="O28" s="13"/>
      <c r="Q28"/>
    </row>
    <row r="29" spans="3:17" ht="15" hidden="1" customHeight="1" outlineLevel="1">
      <c r="C29" s="171" t="s">
        <v>923</v>
      </c>
      <c r="D29" s="178"/>
      <c r="E29" s="172"/>
      <c r="F29" s="178"/>
      <c r="G29" s="172"/>
      <c r="H29" s="178"/>
      <c r="I29" s="172"/>
      <c r="O29" s="13"/>
      <c r="Q29"/>
    </row>
    <row r="30" spans="3:17" ht="15" hidden="1" customHeight="1" outlineLevel="1">
      <c r="C30" s="171" t="s">
        <v>924</v>
      </c>
      <c r="D30" s="178"/>
      <c r="E30" s="172"/>
      <c r="F30" s="178"/>
      <c r="G30" s="172"/>
      <c r="H30" s="178"/>
      <c r="I30" s="172"/>
      <c r="O30" s="13"/>
      <c r="Q30"/>
    </row>
    <row r="31" spans="3:17" ht="15" hidden="1" customHeight="1" outlineLevel="1">
      <c r="C31" s="173" t="s">
        <v>925</v>
      </c>
      <c r="D31" s="179"/>
      <c r="E31" s="181">
        <f>IF(D31=0,0,+LOOKUP(D31,SYS_cliente!$A$5:$A$22500,SYS_cliente!$C$5:$C$22500)-+LOOKUP(D31,SYS_cliente!$A$5:$A$22500,SYS_cliente!$D$5:$D$22500))</f>
        <v>0</v>
      </c>
      <c r="F31" s="179"/>
      <c r="G31" s="181">
        <f>IF(F31=0,0,+LOOKUP(F31,SYS_cliente!$A$5:$A$22500,SYS_cliente!$C$5:$C$22500)-+LOOKUP(F31,SYS_cliente!$A$5:$A$22500,SYS_cliente!$D$5:$D$22500))</f>
        <v>0</v>
      </c>
      <c r="H31" s="179"/>
      <c r="I31" s="181">
        <f>IF(H31=0,0,LOOKUP(H31,SYS_cliente!$A$5:$A$22500,SYS_cliente!$C$5:$C$22500)-+LOOKUP(H31,SYS_cliente!$A$5:$A$22500,SYS_cliente!$D$5:$D$22500))</f>
        <v>0</v>
      </c>
      <c r="O31" s="13"/>
      <c r="Q31"/>
    </row>
    <row r="32" spans="3:17" ht="15" hidden="1" customHeight="1" outlineLevel="1">
      <c r="C32" s="174" t="s">
        <v>644</v>
      </c>
      <c r="D32" s="180"/>
      <c r="E32" s="175">
        <f>+E28+E29-E30-E31</f>
        <v>0</v>
      </c>
      <c r="F32" s="180"/>
      <c r="G32" s="175">
        <f>+G28-SUM(G29:G31)</f>
        <v>0</v>
      </c>
      <c r="H32" s="180"/>
      <c r="I32" s="175">
        <f>+I28-SUM(I29:I31)</f>
        <v>0</v>
      </c>
      <c r="O32" s="13"/>
      <c r="Q32"/>
    </row>
    <row r="33" spans="3:17" ht="15" customHeight="1" collapsed="1">
      <c r="C33" s="169"/>
      <c r="D33" s="169"/>
      <c r="E33" s="169"/>
      <c r="F33" s="169"/>
      <c r="G33" s="170"/>
      <c r="H33" s="169"/>
      <c r="I33" s="169"/>
      <c r="O33" s="13"/>
      <c r="Q33"/>
    </row>
    <row r="34" spans="3:17" ht="15" hidden="1" customHeight="1" outlineLevel="1">
      <c r="C34" s="171" t="s">
        <v>923</v>
      </c>
      <c r="D34" s="178"/>
      <c r="E34" s="172"/>
      <c r="F34" s="178"/>
      <c r="G34" s="172"/>
      <c r="H34" s="178"/>
      <c r="I34" s="172"/>
      <c r="O34" s="13"/>
      <c r="Q34"/>
    </row>
    <row r="35" spans="3:17" ht="15" hidden="1" customHeight="1" outlineLevel="1">
      <c r="C35" s="171" t="s">
        <v>924</v>
      </c>
      <c r="D35" s="178"/>
      <c r="E35" s="172"/>
      <c r="F35" s="178"/>
      <c r="G35" s="172"/>
      <c r="H35" s="178"/>
      <c r="I35" s="172"/>
      <c r="O35" s="13"/>
      <c r="Q35"/>
    </row>
    <row r="36" spans="3:17" ht="15" hidden="1" customHeight="1" outlineLevel="1">
      <c r="C36" s="173" t="s">
        <v>925</v>
      </c>
      <c r="D36" s="179"/>
      <c r="E36" s="181">
        <f>IF(D36=0,0,+LOOKUP(D36,SYS_cliente!$A$5:$A$22500,SYS_cliente!$C$5:$C$22500)-+LOOKUP(D36,SYS_cliente!$A$5:$A$22500,SYS_cliente!$D$5:$D$22500))</f>
        <v>0</v>
      </c>
      <c r="F36" s="179"/>
      <c r="G36" s="181">
        <f>IF(F36=0,0,+LOOKUP(F36,SYS_cliente!$A$5:$A$22500,SYS_cliente!$C$5:$C$22500)-+LOOKUP(F36,SYS_cliente!$A$5:$A$22500,SYS_cliente!$D$5:$D$22500))</f>
        <v>0</v>
      </c>
      <c r="H36" s="179"/>
      <c r="I36" s="181">
        <f>IF(H36=0,0,LOOKUP(H36,SYS_cliente!$A$5:$A$22500,SYS_cliente!$C$5:$C$22500)-+LOOKUP(H36,SYS_cliente!$A$5:$A$22500,SYS_cliente!$D$5:$D$22500))</f>
        <v>0</v>
      </c>
      <c r="O36" s="13"/>
      <c r="Q36"/>
    </row>
    <row r="37" spans="3:17" ht="15" hidden="1" customHeight="1" outlineLevel="1">
      <c r="C37" s="174" t="s">
        <v>644</v>
      </c>
      <c r="D37" s="180"/>
      <c r="E37" s="175">
        <f>+E33+E34-E35-E36</f>
        <v>0</v>
      </c>
      <c r="F37" s="180"/>
      <c r="G37" s="175">
        <f>+G33-SUM(G34:G36)</f>
        <v>0</v>
      </c>
      <c r="H37" s="180"/>
      <c r="I37" s="175">
        <f>+I33-SUM(I34:I36)</f>
        <v>0</v>
      </c>
      <c r="O37" s="13"/>
      <c r="Q37"/>
    </row>
    <row r="38" spans="3:17" ht="15" customHeight="1" collapsed="1">
      <c r="C38" s="169"/>
      <c r="D38" s="169"/>
      <c r="E38" s="169"/>
      <c r="F38" s="169"/>
      <c r="G38" s="170"/>
      <c r="H38" s="169"/>
      <c r="I38" s="169"/>
      <c r="O38" s="13"/>
      <c r="Q38"/>
    </row>
    <row r="39" spans="3:17" ht="15" hidden="1" customHeight="1" outlineLevel="1">
      <c r="C39" s="171" t="s">
        <v>923</v>
      </c>
      <c r="D39" s="178"/>
      <c r="E39" s="172"/>
      <c r="F39" s="178"/>
      <c r="G39" s="172"/>
      <c r="H39" s="178"/>
      <c r="I39" s="172"/>
      <c r="O39" s="13"/>
      <c r="Q39"/>
    </row>
    <row r="40" spans="3:17" ht="15" hidden="1" customHeight="1" outlineLevel="1">
      <c r="C40" s="171" t="s">
        <v>924</v>
      </c>
      <c r="D40" s="178"/>
      <c r="E40" s="172"/>
      <c r="F40" s="178"/>
      <c r="G40" s="172"/>
      <c r="H40" s="178"/>
      <c r="I40" s="172"/>
      <c r="O40" s="13"/>
      <c r="Q40"/>
    </row>
    <row r="41" spans="3:17" ht="15" hidden="1" customHeight="1" outlineLevel="1">
      <c r="C41" s="173" t="s">
        <v>925</v>
      </c>
      <c r="D41" s="179"/>
      <c r="E41" s="181">
        <f>IF(D41=0,0,+LOOKUP(D41,SYS_cliente!$A$5:$A$22500,SYS_cliente!$C$5:$C$22500)-+LOOKUP(D41,SYS_cliente!$A$5:$A$22500,SYS_cliente!$D$5:$D$22500))</f>
        <v>0</v>
      </c>
      <c r="F41" s="179"/>
      <c r="G41" s="181">
        <f>IF(F41=0,0,+LOOKUP(F41,SYS_cliente!$A$5:$A$22500,SYS_cliente!$C$5:$C$22500)-+LOOKUP(F41,SYS_cliente!$A$5:$A$22500,SYS_cliente!$D$5:$D$22500))</f>
        <v>0</v>
      </c>
      <c r="H41" s="179"/>
      <c r="I41" s="181">
        <f>IF(H41=0,0,LOOKUP(H41,SYS_cliente!$A$5:$A$22500,SYS_cliente!$C$5:$C$22500)-+LOOKUP(H41,SYS_cliente!$A$5:$A$22500,SYS_cliente!$D$5:$D$22500))</f>
        <v>0</v>
      </c>
      <c r="O41" s="13"/>
      <c r="Q41"/>
    </row>
    <row r="42" spans="3:17" ht="15" hidden="1" customHeight="1" outlineLevel="1">
      <c r="C42" s="174" t="s">
        <v>644</v>
      </c>
      <c r="D42" s="180"/>
      <c r="E42" s="175">
        <f>+E38+E39-E40-E41</f>
        <v>0</v>
      </c>
      <c r="F42" s="180"/>
      <c r="G42" s="175">
        <f>+G38-SUM(G39:G41)</f>
        <v>0</v>
      </c>
      <c r="H42" s="180"/>
      <c r="I42" s="175">
        <f>+I38-SUM(I39:I41)</f>
        <v>0</v>
      </c>
      <c r="O42" s="13"/>
      <c r="Q42"/>
    </row>
    <row r="43" spans="3:17" ht="15" customHeight="1" collapsed="1">
      <c r="C43" s="169"/>
      <c r="D43" s="169"/>
      <c r="E43" s="169"/>
      <c r="F43" s="169"/>
      <c r="G43" s="170"/>
      <c r="H43" s="169"/>
      <c r="I43" s="169"/>
      <c r="O43" s="13"/>
      <c r="Q43"/>
    </row>
    <row r="44" spans="3:17" ht="15" hidden="1" customHeight="1" outlineLevel="1">
      <c r="C44" s="171" t="s">
        <v>923</v>
      </c>
      <c r="D44" s="178"/>
      <c r="E44" s="172"/>
      <c r="F44" s="178"/>
      <c r="G44" s="172"/>
      <c r="H44" s="178"/>
      <c r="I44" s="172"/>
      <c r="O44" s="13"/>
      <c r="Q44"/>
    </row>
    <row r="45" spans="3:17" ht="15" hidden="1" customHeight="1" outlineLevel="1">
      <c r="C45" s="171" t="s">
        <v>924</v>
      </c>
      <c r="D45" s="178"/>
      <c r="E45" s="172"/>
      <c r="F45" s="178"/>
      <c r="G45" s="172"/>
      <c r="H45" s="178"/>
      <c r="I45" s="172"/>
      <c r="O45" s="13"/>
      <c r="Q45"/>
    </row>
    <row r="46" spans="3:17" ht="15" hidden="1" customHeight="1" outlineLevel="1">
      <c r="C46" s="173" t="s">
        <v>925</v>
      </c>
      <c r="D46" s="179"/>
      <c r="E46" s="181">
        <f>IF(D46=0,0,+LOOKUP(D46,SYS_cliente!$A$5:$A$22500,SYS_cliente!$C$5:$C$22500)-+LOOKUP(D46,SYS_cliente!$A$5:$A$22500,SYS_cliente!$D$5:$D$22500))</f>
        <v>0</v>
      </c>
      <c r="F46" s="179"/>
      <c r="G46" s="181">
        <f>IF(F46=0,0,+LOOKUP(F46,SYS_cliente!$A$5:$A$22500,SYS_cliente!$C$5:$C$22500)-+LOOKUP(F46,SYS_cliente!$A$5:$A$22500,SYS_cliente!$D$5:$D$22500))</f>
        <v>0</v>
      </c>
      <c r="H46" s="179"/>
      <c r="I46" s="181">
        <f>IF(H46=0,0,LOOKUP(H46,SYS_cliente!$A$5:$A$22500,SYS_cliente!$C$5:$C$22500)-+LOOKUP(H46,SYS_cliente!$A$5:$A$22500,SYS_cliente!$D$5:$D$22500))</f>
        <v>0</v>
      </c>
      <c r="O46" s="13"/>
      <c r="Q46"/>
    </row>
    <row r="47" spans="3:17" ht="15" hidden="1" customHeight="1" outlineLevel="1">
      <c r="C47" s="174" t="s">
        <v>644</v>
      </c>
      <c r="D47" s="180"/>
      <c r="E47" s="175">
        <f>+E43+E44-E45-E46</f>
        <v>0</v>
      </c>
      <c r="F47" s="180"/>
      <c r="G47" s="175">
        <f>+G43-SUM(G44:G46)</f>
        <v>0</v>
      </c>
      <c r="H47" s="180"/>
      <c r="I47" s="175">
        <f>+I43-SUM(I44:I46)</f>
        <v>0</v>
      </c>
      <c r="O47" s="13"/>
      <c r="Q47"/>
    </row>
    <row r="48" spans="3:17" ht="15" customHeight="1" collapsed="1">
      <c r="C48" s="169"/>
      <c r="D48" s="169"/>
      <c r="E48" s="169"/>
      <c r="F48" s="169"/>
      <c r="G48" s="170"/>
      <c r="H48" s="169"/>
      <c r="I48" s="169"/>
      <c r="O48" s="13"/>
      <c r="Q48"/>
    </row>
    <row r="49" spans="3:17" ht="15" hidden="1" customHeight="1" outlineLevel="1">
      <c r="C49" s="171" t="s">
        <v>923</v>
      </c>
      <c r="D49" s="178"/>
      <c r="E49" s="172"/>
      <c r="F49" s="178"/>
      <c r="G49" s="172"/>
      <c r="H49" s="178"/>
      <c r="I49" s="172"/>
      <c r="O49" s="13"/>
      <c r="Q49"/>
    </row>
    <row r="50" spans="3:17" ht="15" hidden="1" customHeight="1" outlineLevel="1">
      <c r="C50" s="171" t="s">
        <v>924</v>
      </c>
      <c r="D50" s="178"/>
      <c r="E50" s="172"/>
      <c r="F50" s="178"/>
      <c r="G50" s="172"/>
      <c r="H50" s="178"/>
      <c r="I50" s="172"/>
      <c r="O50" s="13"/>
      <c r="Q50"/>
    </row>
    <row r="51" spans="3:17" ht="15" hidden="1" customHeight="1" outlineLevel="1">
      <c r="C51" s="173" t="s">
        <v>925</v>
      </c>
      <c r="D51" s="179"/>
      <c r="E51" s="181">
        <f>IF(D51=0,0,+LOOKUP(D51,SYS_cliente!$A$5:$A$22500,SYS_cliente!$C$5:$C$22500)-+LOOKUP(D51,SYS_cliente!$A$5:$A$22500,SYS_cliente!$D$5:$D$22500))</f>
        <v>0</v>
      </c>
      <c r="F51" s="179"/>
      <c r="G51" s="181">
        <f>IF(F51=0,0,+LOOKUP(F51,SYS_cliente!$A$5:$A$22500,SYS_cliente!$C$5:$C$22500)-+LOOKUP(F51,SYS_cliente!$A$5:$A$22500,SYS_cliente!$D$5:$D$22500))</f>
        <v>0</v>
      </c>
      <c r="H51" s="179"/>
      <c r="I51" s="181">
        <f>IF(H51=0,0,LOOKUP(H51,SYS_cliente!$A$5:$A$22500,SYS_cliente!$C$5:$C$22500)-+LOOKUP(H51,SYS_cliente!$A$5:$A$22500,SYS_cliente!$D$5:$D$22500))</f>
        <v>0</v>
      </c>
      <c r="O51" s="13"/>
      <c r="Q51"/>
    </row>
    <row r="52" spans="3:17" ht="15" hidden="1" customHeight="1" outlineLevel="1">
      <c r="C52" s="174" t="s">
        <v>644</v>
      </c>
      <c r="D52" s="180"/>
      <c r="E52" s="175">
        <f>+E48+E49-E50-E51</f>
        <v>0</v>
      </c>
      <c r="F52" s="180"/>
      <c r="G52" s="175">
        <f>+G48-SUM(G49:G51)</f>
        <v>0</v>
      </c>
      <c r="H52" s="180"/>
      <c r="I52" s="175">
        <f>+I48-SUM(I49:I51)</f>
        <v>0</v>
      </c>
      <c r="O52" s="13"/>
      <c r="Q52"/>
    </row>
    <row r="53" spans="3:17" ht="15" customHeight="1" collapsed="1">
      <c r="C53" s="169"/>
      <c r="D53" s="169"/>
      <c r="E53" s="169"/>
      <c r="F53" s="169"/>
      <c r="G53" s="170"/>
      <c r="H53" s="169"/>
      <c r="I53" s="169"/>
      <c r="O53" s="13"/>
      <c r="Q53"/>
    </row>
    <row r="54" spans="3:17" ht="15" hidden="1" customHeight="1" outlineLevel="1">
      <c r="C54" s="171" t="s">
        <v>923</v>
      </c>
      <c r="D54" s="178"/>
      <c r="E54" s="172"/>
      <c r="F54" s="178"/>
      <c r="G54" s="172"/>
      <c r="H54" s="178"/>
      <c r="I54" s="172"/>
      <c r="O54" s="13"/>
      <c r="Q54"/>
    </row>
    <row r="55" spans="3:17" ht="15" hidden="1" customHeight="1" outlineLevel="1">
      <c r="C55" s="171" t="s">
        <v>924</v>
      </c>
      <c r="D55" s="178"/>
      <c r="E55" s="172"/>
      <c r="F55" s="178"/>
      <c r="G55" s="172"/>
      <c r="H55" s="178"/>
      <c r="I55" s="172"/>
      <c r="O55" s="13"/>
      <c r="Q55"/>
    </row>
    <row r="56" spans="3:17" ht="15" hidden="1" customHeight="1" outlineLevel="1">
      <c r="C56" s="173" t="s">
        <v>925</v>
      </c>
      <c r="D56" s="179"/>
      <c r="E56" s="181">
        <f>IF(D56=0,0,+LOOKUP(D56,SYS_cliente!$A$5:$A$22500,SYS_cliente!$C$5:$C$22500)-+LOOKUP(D56,SYS_cliente!$A$5:$A$22500,SYS_cliente!$D$5:$D$22500))</f>
        <v>0</v>
      </c>
      <c r="F56" s="179"/>
      <c r="G56" s="181">
        <f>IF(F56=0,0,+LOOKUP(F56,SYS_cliente!$A$5:$A$22500,SYS_cliente!$C$5:$C$22500)-+LOOKUP(F56,SYS_cliente!$A$5:$A$22500,SYS_cliente!$D$5:$D$22500))</f>
        <v>0</v>
      </c>
      <c r="H56" s="179"/>
      <c r="I56" s="181">
        <f>IF(H56=0,0,LOOKUP(H56,SYS_cliente!$A$5:$A$22500,SYS_cliente!$C$5:$C$22500)-+LOOKUP(H56,SYS_cliente!$A$5:$A$22500,SYS_cliente!$D$5:$D$22500))</f>
        <v>0</v>
      </c>
      <c r="O56" s="13"/>
      <c r="Q56"/>
    </row>
    <row r="57" spans="3:17" ht="15" hidden="1" customHeight="1" outlineLevel="1">
      <c r="C57" s="174" t="s">
        <v>644</v>
      </c>
      <c r="D57" s="180"/>
      <c r="E57" s="175">
        <f>+E53+E54-E55-E56</f>
        <v>0</v>
      </c>
      <c r="F57" s="180"/>
      <c r="G57" s="175">
        <f>+G53-SUM(G54:G56)</f>
        <v>0</v>
      </c>
      <c r="H57" s="180"/>
      <c r="I57" s="175">
        <f>+I53-SUM(I54:I56)</f>
        <v>0</v>
      </c>
      <c r="O57" s="13"/>
      <c r="Q57"/>
    </row>
    <row r="58" spans="3:17" ht="15" customHeight="1" collapsed="1">
      <c r="C58" s="169"/>
      <c r="D58" s="169"/>
      <c r="E58" s="169"/>
      <c r="F58" s="169"/>
      <c r="G58" s="170"/>
      <c r="H58" s="169"/>
      <c r="I58" s="169"/>
      <c r="O58" s="13"/>
      <c r="Q58"/>
    </row>
    <row r="59" spans="3:17" ht="15" hidden="1" customHeight="1" outlineLevel="1">
      <c r="C59" s="171" t="s">
        <v>923</v>
      </c>
      <c r="D59" s="178"/>
      <c r="E59" s="172"/>
      <c r="F59" s="178"/>
      <c r="G59" s="172"/>
      <c r="H59" s="178"/>
      <c r="I59" s="172"/>
      <c r="O59" s="13"/>
      <c r="Q59"/>
    </row>
    <row r="60" spans="3:17" ht="15" hidden="1" customHeight="1" outlineLevel="1">
      <c r="C60" s="171" t="s">
        <v>924</v>
      </c>
      <c r="D60" s="178"/>
      <c r="E60" s="172"/>
      <c r="F60" s="178"/>
      <c r="G60" s="172"/>
      <c r="H60" s="178"/>
      <c r="I60" s="172"/>
      <c r="O60" s="13"/>
      <c r="Q60"/>
    </row>
    <row r="61" spans="3:17" ht="15" hidden="1" customHeight="1" outlineLevel="1">
      <c r="C61" s="173" t="s">
        <v>925</v>
      </c>
      <c r="D61" s="179"/>
      <c r="E61" s="181">
        <f>IF(D61=0,0,+LOOKUP(D61,SYS_cliente!$A$5:$A$22500,SYS_cliente!$C$5:$C$22500)-+LOOKUP(D61,SYS_cliente!$A$5:$A$22500,SYS_cliente!$D$5:$D$22500))</f>
        <v>0</v>
      </c>
      <c r="F61" s="179"/>
      <c r="G61" s="181">
        <f>IF(F61=0,0,+LOOKUP(F61,SYS_cliente!$A$5:$A$22500,SYS_cliente!$C$5:$C$22500)-+LOOKUP(F61,SYS_cliente!$A$5:$A$22500,SYS_cliente!$D$5:$D$22500))</f>
        <v>0</v>
      </c>
      <c r="H61" s="179"/>
      <c r="I61" s="181">
        <f>IF(H61=0,0,LOOKUP(H61,SYS_cliente!$A$5:$A$22500,SYS_cliente!$C$5:$C$22500)-+LOOKUP(H61,SYS_cliente!$A$5:$A$22500,SYS_cliente!$D$5:$D$22500))</f>
        <v>0</v>
      </c>
      <c r="O61" s="13"/>
      <c r="Q61"/>
    </row>
    <row r="62" spans="3:17" ht="15" hidden="1" customHeight="1" outlineLevel="1">
      <c r="C62" s="174" t="s">
        <v>644</v>
      </c>
      <c r="D62" s="180"/>
      <c r="E62" s="175">
        <f>+E58+E59-E60-E61</f>
        <v>0</v>
      </c>
      <c r="F62" s="180"/>
      <c r="G62" s="175">
        <f>+G58-SUM(G59:G61)</f>
        <v>0</v>
      </c>
      <c r="H62" s="180"/>
      <c r="I62" s="175">
        <f>+I58-SUM(I59:I61)</f>
        <v>0</v>
      </c>
      <c r="O62" s="13"/>
      <c r="Q62"/>
    </row>
    <row r="63" spans="3:17" ht="15" customHeight="1" collapsed="1">
      <c r="C63" s="169"/>
      <c r="D63" s="169"/>
      <c r="E63" s="169"/>
      <c r="F63" s="169"/>
      <c r="G63" s="170"/>
      <c r="H63" s="169"/>
      <c r="I63" s="169"/>
      <c r="O63" s="13"/>
      <c r="Q63"/>
    </row>
    <row r="64" spans="3:17" ht="15" hidden="1" customHeight="1" outlineLevel="1">
      <c r="C64" s="171" t="s">
        <v>923</v>
      </c>
      <c r="D64" s="178"/>
      <c r="E64" s="172"/>
      <c r="F64" s="178"/>
      <c r="G64" s="172"/>
      <c r="H64" s="178"/>
      <c r="I64" s="172"/>
      <c r="O64" s="13"/>
      <c r="Q64"/>
    </row>
    <row r="65" spans="3:17" ht="15" hidden="1" customHeight="1" outlineLevel="1">
      <c r="C65" s="171" t="s">
        <v>924</v>
      </c>
      <c r="D65" s="178"/>
      <c r="E65" s="172"/>
      <c r="F65" s="178"/>
      <c r="G65" s="172"/>
      <c r="H65" s="178"/>
      <c r="I65" s="172"/>
      <c r="O65" s="13"/>
      <c r="Q65"/>
    </row>
    <row r="66" spans="3:17" ht="15" hidden="1" customHeight="1" outlineLevel="1">
      <c r="C66" s="173" t="s">
        <v>925</v>
      </c>
      <c r="D66" s="179"/>
      <c r="E66" s="181">
        <f>IF(D66=0,0,+LOOKUP(D66,SYS_cliente!$A$5:$A$22500,SYS_cliente!$C$5:$C$22500)-+LOOKUP(D66,SYS_cliente!$A$5:$A$22500,SYS_cliente!$D$5:$D$22500))</f>
        <v>0</v>
      </c>
      <c r="F66" s="179"/>
      <c r="G66" s="181">
        <f>IF(F66=0,0,+LOOKUP(F66,SYS_cliente!$A$5:$A$22500,SYS_cliente!$C$5:$C$22500)-+LOOKUP(F66,SYS_cliente!$A$5:$A$22500,SYS_cliente!$D$5:$D$22500))</f>
        <v>0</v>
      </c>
      <c r="H66" s="179"/>
      <c r="I66" s="181">
        <f>IF(H66=0,0,LOOKUP(H66,SYS_cliente!$A$5:$A$22500,SYS_cliente!$C$5:$C$22500)-+LOOKUP(H66,SYS_cliente!$A$5:$A$22500,SYS_cliente!$D$5:$D$22500))</f>
        <v>0</v>
      </c>
      <c r="O66" s="13"/>
      <c r="Q66"/>
    </row>
    <row r="67" spans="3:17" ht="15" hidden="1" customHeight="1" outlineLevel="1">
      <c r="C67" s="174" t="s">
        <v>644</v>
      </c>
      <c r="D67" s="180"/>
      <c r="E67" s="175">
        <f>+E63+E64-E65-E66</f>
        <v>0</v>
      </c>
      <c r="F67" s="180"/>
      <c r="G67" s="175">
        <f>+G63-SUM(G64:G66)</f>
        <v>0</v>
      </c>
      <c r="H67" s="180"/>
      <c r="I67" s="175">
        <f>+I63-SUM(I64:I66)</f>
        <v>0</v>
      </c>
      <c r="O67" s="13"/>
      <c r="Q67"/>
    </row>
    <row r="68" spans="3:17" ht="15" customHeight="1" collapsed="1">
      <c r="C68" s="169"/>
      <c r="D68" s="169"/>
      <c r="E68" s="169"/>
      <c r="F68" s="169"/>
      <c r="G68" s="170"/>
      <c r="H68" s="169"/>
      <c r="I68" s="169"/>
      <c r="O68" s="13"/>
      <c r="Q68"/>
    </row>
    <row r="69" spans="3:17" ht="15" hidden="1" customHeight="1" outlineLevel="1">
      <c r="C69" s="171" t="s">
        <v>923</v>
      </c>
      <c r="D69" s="178"/>
      <c r="E69" s="172"/>
      <c r="F69" s="178"/>
      <c r="G69" s="172"/>
      <c r="H69" s="178"/>
      <c r="I69" s="172"/>
      <c r="O69" s="13"/>
      <c r="Q69"/>
    </row>
    <row r="70" spans="3:17" ht="15" hidden="1" customHeight="1" outlineLevel="1">
      <c r="C70" s="171" t="s">
        <v>924</v>
      </c>
      <c r="D70" s="178"/>
      <c r="E70" s="172"/>
      <c r="F70" s="178"/>
      <c r="G70" s="172"/>
      <c r="H70" s="178"/>
      <c r="I70" s="172"/>
      <c r="O70" s="13"/>
      <c r="Q70"/>
    </row>
    <row r="71" spans="3:17" ht="15" hidden="1" customHeight="1" outlineLevel="1">
      <c r="C71" s="173" t="s">
        <v>925</v>
      </c>
      <c r="D71" s="179"/>
      <c r="E71" s="181">
        <f>IF(D71=0,0,+LOOKUP(D71,SYS_cliente!$A$5:$A$22500,SYS_cliente!$C$5:$C$22500)-+LOOKUP(D71,SYS_cliente!$A$5:$A$22500,SYS_cliente!$D$5:$D$22500))</f>
        <v>0</v>
      </c>
      <c r="F71" s="179"/>
      <c r="G71" s="181">
        <f>IF(F71=0,0,+LOOKUP(F71,SYS_cliente!$A$5:$A$22500,SYS_cliente!$C$5:$C$22500)-+LOOKUP(F71,SYS_cliente!$A$5:$A$22500,SYS_cliente!$D$5:$D$22500))</f>
        <v>0</v>
      </c>
      <c r="H71" s="179"/>
      <c r="I71" s="181">
        <f>IF(H71=0,0,LOOKUP(H71,SYS_cliente!$A$5:$A$22500,SYS_cliente!$C$5:$C$22500)-+LOOKUP(H71,SYS_cliente!$A$5:$A$22500,SYS_cliente!$D$5:$D$22500))</f>
        <v>0</v>
      </c>
      <c r="O71" s="13"/>
      <c r="Q71"/>
    </row>
    <row r="72" spans="3:17" ht="15" hidden="1" customHeight="1" outlineLevel="1">
      <c r="C72" s="174" t="s">
        <v>644</v>
      </c>
      <c r="D72" s="180"/>
      <c r="E72" s="175">
        <f>+E68+E69-E70-E71</f>
        <v>0</v>
      </c>
      <c r="F72" s="180"/>
      <c r="G72" s="175">
        <f>+G68-SUM(G69:G71)</f>
        <v>0</v>
      </c>
      <c r="H72" s="180"/>
      <c r="I72" s="175">
        <f>+I68-SUM(I69:I71)</f>
        <v>0</v>
      </c>
      <c r="O72" s="13"/>
      <c r="Q72"/>
    </row>
    <row r="73" spans="3:17" ht="15" customHeight="1" collapsed="1">
      <c r="C73" s="169"/>
      <c r="D73" s="169"/>
      <c r="E73" s="169"/>
      <c r="F73" s="169"/>
      <c r="G73" s="170"/>
      <c r="H73" s="169"/>
      <c r="I73" s="169"/>
      <c r="O73" s="13"/>
      <c r="Q73"/>
    </row>
    <row r="74" spans="3:17" ht="15" hidden="1" customHeight="1" outlineLevel="1">
      <c r="C74" s="171" t="s">
        <v>923</v>
      </c>
      <c r="D74" s="178"/>
      <c r="E74" s="172"/>
      <c r="F74" s="178"/>
      <c r="G74" s="172"/>
      <c r="H74" s="178"/>
      <c r="I74" s="172"/>
      <c r="O74" s="13"/>
      <c r="Q74"/>
    </row>
    <row r="75" spans="3:17" ht="15" hidden="1" customHeight="1" outlineLevel="1">
      <c r="C75" s="171" t="s">
        <v>924</v>
      </c>
      <c r="D75" s="178"/>
      <c r="E75" s="172"/>
      <c r="F75" s="178"/>
      <c r="G75" s="172"/>
      <c r="H75" s="178"/>
      <c r="I75" s="172"/>
      <c r="O75" s="13"/>
      <c r="Q75"/>
    </row>
    <row r="76" spans="3:17" ht="15" hidden="1" customHeight="1" outlineLevel="1">
      <c r="C76" s="173" t="s">
        <v>925</v>
      </c>
      <c r="D76" s="179"/>
      <c r="E76" s="181">
        <f>IF(D76=0,0,+LOOKUP(D76,SYS_cliente!$A$5:$A$22500,SYS_cliente!$C$5:$C$22500)-+LOOKUP(D76,SYS_cliente!$A$5:$A$22500,SYS_cliente!$D$5:$D$22500))</f>
        <v>0</v>
      </c>
      <c r="F76" s="179"/>
      <c r="G76" s="181">
        <f>IF(F76=0,0,+LOOKUP(F76,SYS_cliente!$A$5:$A$22500,SYS_cliente!$C$5:$C$22500)-+LOOKUP(F76,SYS_cliente!$A$5:$A$22500,SYS_cliente!$D$5:$D$22500))</f>
        <v>0</v>
      </c>
      <c r="H76" s="179"/>
      <c r="I76" s="181">
        <f>IF(H76=0,0,LOOKUP(H76,SYS_cliente!$A$5:$A$22500,SYS_cliente!$C$5:$C$22500)-+LOOKUP(H76,SYS_cliente!$A$5:$A$22500,SYS_cliente!$D$5:$D$22500))</f>
        <v>0</v>
      </c>
      <c r="O76" s="13"/>
      <c r="Q76"/>
    </row>
    <row r="77" spans="3:17" ht="15" hidden="1" customHeight="1" outlineLevel="1">
      <c r="C77" s="174" t="s">
        <v>644</v>
      </c>
      <c r="D77" s="180"/>
      <c r="E77" s="175">
        <f>+E73+E74-E75-E76</f>
        <v>0</v>
      </c>
      <c r="F77" s="180"/>
      <c r="G77" s="175">
        <f>+G73-SUM(G74:G76)</f>
        <v>0</v>
      </c>
      <c r="H77" s="180"/>
      <c r="I77" s="175">
        <f>+I73-SUM(I74:I76)</f>
        <v>0</v>
      </c>
      <c r="O77" s="13"/>
      <c r="Q77"/>
    </row>
    <row r="78" spans="3:17" ht="15" customHeight="1" collapsed="1">
      <c r="C78" s="169"/>
      <c r="D78" s="169"/>
      <c r="E78" s="169"/>
      <c r="F78" s="169"/>
      <c r="G78" s="170"/>
      <c r="H78" s="169"/>
      <c r="I78" s="169"/>
      <c r="O78" s="13"/>
      <c r="Q78"/>
    </row>
    <row r="79" spans="3:17" ht="15" hidden="1" customHeight="1" outlineLevel="1">
      <c r="C79" s="171" t="s">
        <v>923</v>
      </c>
      <c r="D79" s="178"/>
      <c r="E79" s="172"/>
      <c r="F79" s="178"/>
      <c r="G79" s="172"/>
      <c r="H79" s="178"/>
      <c r="I79" s="172"/>
      <c r="O79" s="13"/>
      <c r="Q79"/>
    </row>
    <row r="80" spans="3:17" ht="15" hidden="1" customHeight="1" outlineLevel="1">
      <c r="C80" s="171" t="s">
        <v>924</v>
      </c>
      <c r="D80" s="178"/>
      <c r="E80" s="172"/>
      <c r="F80" s="178"/>
      <c r="G80" s="172"/>
      <c r="H80" s="178"/>
      <c r="I80" s="172"/>
      <c r="O80" s="13"/>
      <c r="Q80"/>
    </row>
    <row r="81" spans="3:17" ht="15" hidden="1" customHeight="1" outlineLevel="1">
      <c r="C81" s="173" t="s">
        <v>925</v>
      </c>
      <c r="D81" s="179"/>
      <c r="E81" s="181">
        <f>IF(D81=0,0,+LOOKUP(D81,SYS_cliente!$A$5:$A$22500,SYS_cliente!$C$5:$C$22500)-+LOOKUP(D81,SYS_cliente!$A$5:$A$22500,SYS_cliente!$D$5:$D$22500))</f>
        <v>0</v>
      </c>
      <c r="F81" s="179"/>
      <c r="G81" s="181">
        <f>IF(F81=0,0,+LOOKUP(F81,SYS_cliente!$A$5:$A$22500,SYS_cliente!$C$5:$C$22500)-+LOOKUP(F81,SYS_cliente!$A$5:$A$22500,SYS_cliente!$D$5:$D$22500))</f>
        <v>0</v>
      </c>
      <c r="H81" s="179"/>
      <c r="I81" s="181">
        <f>IF(H81=0,0,LOOKUP(H81,SYS_cliente!$A$5:$A$22500,SYS_cliente!$C$5:$C$22500)-+LOOKUP(H81,SYS_cliente!$A$5:$A$22500,SYS_cliente!$D$5:$D$22500))</f>
        <v>0</v>
      </c>
      <c r="O81" s="13"/>
      <c r="Q81"/>
    </row>
    <row r="82" spans="3:17" ht="15" hidden="1" customHeight="1" outlineLevel="1">
      <c r="C82" s="174" t="s">
        <v>644</v>
      </c>
      <c r="D82" s="180"/>
      <c r="E82" s="175">
        <f>+E78+E79-E80-E81</f>
        <v>0</v>
      </c>
      <c r="F82" s="180"/>
      <c r="G82" s="175">
        <f>+G78-SUM(G79:G81)</f>
        <v>0</v>
      </c>
      <c r="H82" s="180"/>
      <c r="I82" s="175">
        <f>+I78-SUM(I79:I81)</f>
        <v>0</v>
      </c>
      <c r="O82" s="13"/>
      <c r="Q82"/>
    </row>
    <row r="83" spans="3:17" ht="15" customHeight="1" collapsed="1">
      <c r="C83" s="169"/>
      <c r="D83" s="169"/>
      <c r="E83" s="169"/>
      <c r="F83" s="169"/>
      <c r="G83" s="170"/>
      <c r="H83" s="169"/>
      <c r="I83" s="169"/>
      <c r="O83" s="13"/>
      <c r="Q83"/>
    </row>
    <row r="84" spans="3:17" ht="15" hidden="1" customHeight="1" outlineLevel="1">
      <c r="C84" s="171" t="s">
        <v>923</v>
      </c>
      <c r="D84" s="178"/>
      <c r="E84" s="172"/>
      <c r="F84" s="178"/>
      <c r="G84" s="172"/>
      <c r="H84" s="178"/>
      <c r="I84" s="172"/>
      <c r="O84" s="13"/>
      <c r="Q84"/>
    </row>
    <row r="85" spans="3:17" ht="15" hidden="1" customHeight="1" outlineLevel="1">
      <c r="C85" s="171" t="s">
        <v>924</v>
      </c>
      <c r="D85" s="178"/>
      <c r="E85" s="172"/>
      <c r="F85" s="178"/>
      <c r="G85" s="172"/>
      <c r="H85" s="178"/>
      <c r="I85" s="172"/>
      <c r="O85" s="13"/>
      <c r="Q85"/>
    </row>
    <row r="86" spans="3:17" ht="15" hidden="1" customHeight="1" outlineLevel="1">
      <c r="C86" s="173" t="s">
        <v>925</v>
      </c>
      <c r="D86" s="179"/>
      <c r="E86" s="181">
        <f>IF(D86=0,0,+LOOKUP(D86,SYS_cliente!$A$5:$A$22500,SYS_cliente!$C$5:$C$22500)-+LOOKUP(D86,SYS_cliente!$A$5:$A$22500,SYS_cliente!$D$5:$D$22500))</f>
        <v>0</v>
      </c>
      <c r="F86" s="179"/>
      <c r="G86" s="181">
        <f>IF(F86=0,0,+LOOKUP(F86,SYS_cliente!$A$5:$A$22500,SYS_cliente!$C$5:$C$22500)-+LOOKUP(F86,SYS_cliente!$A$5:$A$22500,SYS_cliente!$D$5:$D$22500))</f>
        <v>0</v>
      </c>
      <c r="H86" s="179"/>
      <c r="I86" s="181">
        <f>IF(H86=0,0,LOOKUP(H86,SYS_cliente!$A$5:$A$22500,SYS_cliente!$C$5:$C$22500)-+LOOKUP(H86,SYS_cliente!$A$5:$A$22500,SYS_cliente!$D$5:$D$22500))</f>
        <v>0</v>
      </c>
      <c r="O86" s="13"/>
      <c r="Q86"/>
    </row>
    <row r="87" spans="3:17" ht="15" hidden="1" customHeight="1" outlineLevel="1">
      <c r="C87" s="174" t="s">
        <v>644</v>
      </c>
      <c r="D87" s="180"/>
      <c r="E87" s="175">
        <f>+E83+E84-E85-E86</f>
        <v>0</v>
      </c>
      <c r="F87" s="180"/>
      <c r="G87" s="175">
        <f>+G83-SUM(G84:G86)</f>
        <v>0</v>
      </c>
      <c r="H87" s="180"/>
      <c r="I87" s="175">
        <f>+I83-SUM(I84:I86)</f>
        <v>0</v>
      </c>
      <c r="O87" s="13"/>
      <c r="Q87"/>
    </row>
    <row r="88" spans="3:17" ht="15" customHeight="1" collapsed="1">
      <c r="C88" s="169"/>
      <c r="D88" s="169"/>
      <c r="E88" s="169"/>
      <c r="F88" s="169"/>
      <c r="G88" s="170"/>
      <c r="H88" s="169"/>
      <c r="I88" s="169"/>
      <c r="O88" s="13"/>
      <c r="Q88"/>
    </row>
    <row r="89" spans="3:17" ht="15" hidden="1" customHeight="1" outlineLevel="1">
      <c r="C89" s="171" t="s">
        <v>923</v>
      </c>
      <c r="D89" s="178"/>
      <c r="E89" s="172"/>
      <c r="F89" s="178"/>
      <c r="G89" s="172"/>
      <c r="H89" s="178"/>
      <c r="I89" s="172"/>
      <c r="O89" s="13"/>
      <c r="Q89"/>
    </row>
    <row r="90" spans="3:17" ht="15" hidden="1" customHeight="1" outlineLevel="1">
      <c r="C90" s="171" t="s">
        <v>924</v>
      </c>
      <c r="D90" s="178"/>
      <c r="E90" s="172"/>
      <c r="F90" s="178"/>
      <c r="G90" s="172"/>
      <c r="H90" s="178"/>
      <c r="I90" s="172"/>
      <c r="O90" s="13"/>
      <c r="Q90"/>
    </row>
    <row r="91" spans="3:17" ht="15" hidden="1" customHeight="1" outlineLevel="1">
      <c r="C91" s="173" t="s">
        <v>925</v>
      </c>
      <c r="D91" s="179"/>
      <c r="E91" s="181">
        <f>IF(D91=0,0,+LOOKUP(D91,SYS_cliente!$A$5:$A$22500,SYS_cliente!$C$5:$C$22500)-+LOOKUP(D91,SYS_cliente!$A$5:$A$22500,SYS_cliente!$D$5:$D$22500))</f>
        <v>0</v>
      </c>
      <c r="F91" s="179"/>
      <c r="G91" s="181">
        <f>IF(F91=0,0,+LOOKUP(F91,SYS_cliente!$A$5:$A$22500,SYS_cliente!$C$5:$C$22500)-+LOOKUP(F91,SYS_cliente!$A$5:$A$22500,SYS_cliente!$D$5:$D$22500))</f>
        <v>0</v>
      </c>
      <c r="H91" s="179"/>
      <c r="I91" s="181">
        <f>IF(H91=0,0,LOOKUP(H91,SYS_cliente!$A$5:$A$22500,SYS_cliente!$C$5:$C$22500)-+LOOKUP(H91,SYS_cliente!$A$5:$A$22500,SYS_cliente!$D$5:$D$22500))</f>
        <v>0</v>
      </c>
      <c r="O91" s="13"/>
      <c r="Q91"/>
    </row>
    <row r="92" spans="3:17" ht="15" hidden="1" customHeight="1" outlineLevel="1">
      <c r="C92" s="174" t="s">
        <v>644</v>
      </c>
      <c r="D92" s="180"/>
      <c r="E92" s="175">
        <f>+E88+E89-E90-E91</f>
        <v>0</v>
      </c>
      <c r="F92" s="180"/>
      <c r="G92" s="175">
        <f>+G88-SUM(G89:G91)</f>
        <v>0</v>
      </c>
      <c r="H92" s="180"/>
      <c r="I92" s="175">
        <f>+I88-SUM(I89:I91)</f>
        <v>0</v>
      </c>
      <c r="O92" s="13"/>
      <c r="Q92"/>
    </row>
    <row r="93" spans="3:17" ht="15" customHeight="1" collapsed="1">
      <c r="C93" s="169"/>
      <c r="D93" s="169"/>
      <c r="E93" s="169"/>
      <c r="F93" s="169"/>
      <c r="G93" s="170"/>
      <c r="H93" s="169"/>
      <c r="I93" s="169"/>
      <c r="O93" s="13"/>
      <c r="Q93"/>
    </row>
    <row r="94" spans="3:17" ht="15" hidden="1" customHeight="1" outlineLevel="1">
      <c r="C94" s="171" t="s">
        <v>923</v>
      </c>
      <c r="D94" s="178"/>
      <c r="E94" s="172"/>
      <c r="F94" s="178"/>
      <c r="G94" s="172"/>
      <c r="H94" s="178"/>
      <c r="I94" s="172"/>
      <c r="O94" s="13"/>
      <c r="Q94"/>
    </row>
    <row r="95" spans="3:17" ht="15" hidden="1" customHeight="1" outlineLevel="1">
      <c r="C95" s="171" t="s">
        <v>924</v>
      </c>
      <c r="D95" s="178"/>
      <c r="E95" s="172"/>
      <c r="F95" s="178"/>
      <c r="G95" s="172"/>
      <c r="H95" s="178"/>
      <c r="I95" s="172"/>
      <c r="O95" s="13"/>
      <c r="Q95"/>
    </row>
    <row r="96" spans="3:17" ht="15" hidden="1" customHeight="1" outlineLevel="1">
      <c r="C96" s="173" t="s">
        <v>925</v>
      </c>
      <c r="D96" s="179"/>
      <c r="E96" s="181">
        <f>IF(D96=0,0,+LOOKUP(D96,SYS_cliente!$A$5:$A$22500,SYS_cliente!$C$5:$C$22500)-+LOOKUP(D96,SYS_cliente!$A$5:$A$22500,SYS_cliente!$D$5:$D$22500))</f>
        <v>0</v>
      </c>
      <c r="F96" s="179"/>
      <c r="G96" s="181">
        <f>IF(F96=0,0,+LOOKUP(F96,SYS_cliente!$A$5:$A$22500,SYS_cliente!$C$5:$C$22500)-+LOOKUP(F96,SYS_cliente!$A$5:$A$22500,SYS_cliente!$D$5:$D$22500))</f>
        <v>0</v>
      </c>
      <c r="H96" s="179"/>
      <c r="I96" s="181">
        <f>IF(H96=0,0,LOOKUP(H96,SYS_cliente!$A$5:$A$22500,SYS_cliente!$C$5:$C$22500)-+LOOKUP(H96,SYS_cliente!$A$5:$A$22500,SYS_cliente!$D$5:$D$22500))</f>
        <v>0</v>
      </c>
      <c r="O96" s="13"/>
      <c r="Q96"/>
    </row>
    <row r="97" spans="3:17" ht="15" hidden="1" customHeight="1" outlineLevel="1">
      <c r="C97" s="174" t="s">
        <v>644</v>
      </c>
      <c r="D97" s="180"/>
      <c r="E97" s="175">
        <f>+E93+E94-E95-E96</f>
        <v>0</v>
      </c>
      <c r="F97" s="180"/>
      <c r="G97" s="175">
        <f>+G93-SUM(G94:G96)</f>
        <v>0</v>
      </c>
      <c r="H97" s="180"/>
      <c r="I97" s="175">
        <f>+I93-SUM(I94:I96)</f>
        <v>0</v>
      </c>
      <c r="O97" s="13"/>
      <c r="Q97"/>
    </row>
    <row r="98" spans="3:17" ht="15" customHeight="1" collapsed="1">
      <c r="C98" s="169"/>
      <c r="D98" s="169"/>
      <c r="E98" s="169"/>
      <c r="F98" s="169"/>
      <c r="G98" s="170"/>
      <c r="H98" s="169"/>
      <c r="I98" s="169"/>
      <c r="O98" s="13"/>
      <c r="Q98"/>
    </row>
    <row r="99" spans="3:17" ht="15" hidden="1" customHeight="1" outlineLevel="1">
      <c r="C99" s="171" t="s">
        <v>923</v>
      </c>
      <c r="D99" s="178"/>
      <c r="E99" s="172"/>
      <c r="F99" s="178"/>
      <c r="G99" s="172"/>
      <c r="H99" s="178"/>
      <c r="I99" s="172"/>
      <c r="O99" s="13"/>
      <c r="Q99"/>
    </row>
    <row r="100" spans="3:17" ht="15" hidden="1" customHeight="1" outlineLevel="1">
      <c r="C100" s="171" t="s">
        <v>924</v>
      </c>
      <c r="D100" s="178"/>
      <c r="E100" s="172"/>
      <c r="F100" s="178"/>
      <c r="G100" s="172"/>
      <c r="H100" s="178"/>
      <c r="I100" s="172"/>
      <c r="O100" s="13"/>
      <c r="Q100"/>
    </row>
    <row r="101" spans="3:17" ht="15" hidden="1" customHeight="1" outlineLevel="1">
      <c r="C101" s="173" t="s">
        <v>925</v>
      </c>
      <c r="D101" s="179"/>
      <c r="E101" s="181">
        <f>IF(D101=0,0,+LOOKUP(D101,SYS_cliente!$A$5:$A$22500,SYS_cliente!$C$5:$C$22500)-+LOOKUP(D101,SYS_cliente!$A$5:$A$22500,SYS_cliente!$D$5:$D$22500))</f>
        <v>0</v>
      </c>
      <c r="F101" s="179"/>
      <c r="G101" s="181">
        <f>IF(F101=0,0,+LOOKUP(F101,SYS_cliente!$A$5:$A$22500,SYS_cliente!$C$5:$C$22500)-+LOOKUP(F101,SYS_cliente!$A$5:$A$22500,SYS_cliente!$D$5:$D$22500))</f>
        <v>0</v>
      </c>
      <c r="H101" s="179"/>
      <c r="I101" s="181">
        <f>IF(H101=0,0,LOOKUP(H101,SYS_cliente!$A$5:$A$22500,SYS_cliente!$C$5:$C$22500)-+LOOKUP(H101,SYS_cliente!$A$5:$A$22500,SYS_cliente!$D$5:$D$22500))</f>
        <v>0</v>
      </c>
      <c r="O101" s="13"/>
      <c r="Q101"/>
    </row>
    <row r="102" spans="3:17" ht="15" hidden="1" customHeight="1" outlineLevel="1">
      <c r="C102" s="174" t="s">
        <v>644</v>
      </c>
      <c r="D102" s="180"/>
      <c r="E102" s="175">
        <f>+E98+E99-E100-E101</f>
        <v>0</v>
      </c>
      <c r="F102" s="180"/>
      <c r="G102" s="175">
        <f>+G98-SUM(G99:G101)</f>
        <v>0</v>
      </c>
      <c r="H102" s="180"/>
      <c r="I102" s="175">
        <f>+I98-SUM(I99:I101)</f>
        <v>0</v>
      </c>
      <c r="O102" s="13"/>
      <c r="Q102"/>
    </row>
    <row r="103" spans="3:17" ht="15" customHeight="1" collapsed="1">
      <c r="C103" s="169"/>
      <c r="D103" s="169"/>
      <c r="E103" s="169"/>
      <c r="F103" s="169"/>
      <c r="G103" s="170"/>
      <c r="H103" s="169"/>
      <c r="I103" s="169"/>
      <c r="O103" s="13"/>
      <c r="Q103"/>
    </row>
    <row r="104" spans="3:17" ht="15" hidden="1" customHeight="1" outlineLevel="1">
      <c r="C104" s="171" t="s">
        <v>923</v>
      </c>
      <c r="D104" s="178"/>
      <c r="E104" s="172"/>
      <c r="F104" s="178"/>
      <c r="G104" s="172"/>
      <c r="H104" s="178"/>
      <c r="I104" s="172"/>
      <c r="O104" s="13"/>
      <c r="Q104"/>
    </row>
    <row r="105" spans="3:17" ht="15" hidden="1" customHeight="1" outlineLevel="1">
      <c r="C105" s="171" t="s">
        <v>924</v>
      </c>
      <c r="D105" s="178"/>
      <c r="E105" s="172"/>
      <c r="F105" s="178"/>
      <c r="G105" s="172"/>
      <c r="H105" s="178"/>
      <c r="I105" s="172"/>
      <c r="O105" s="13"/>
      <c r="Q105"/>
    </row>
    <row r="106" spans="3:17" ht="15" hidden="1" customHeight="1" outlineLevel="1">
      <c r="C106" s="173" t="s">
        <v>925</v>
      </c>
      <c r="D106" s="179"/>
      <c r="E106" s="181">
        <f>IF(D106=0,0,+LOOKUP(D106,SYS_cliente!$A$5:$A$22500,SYS_cliente!$C$5:$C$22500)-+LOOKUP(D106,SYS_cliente!$A$5:$A$22500,SYS_cliente!$D$5:$D$22500))</f>
        <v>0</v>
      </c>
      <c r="F106" s="179"/>
      <c r="G106" s="181">
        <f>IF(F106=0,0,+LOOKUP(F106,SYS_cliente!$A$5:$A$22500,SYS_cliente!$C$5:$C$22500)-+LOOKUP(F106,SYS_cliente!$A$5:$A$22500,SYS_cliente!$D$5:$D$22500))</f>
        <v>0</v>
      </c>
      <c r="H106" s="179"/>
      <c r="I106" s="181">
        <f>IF(H106=0,0,LOOKUP(H106,SYS_cliente!$A$5:$A$22500,SYS_cliente!$C$5:$C$22500)-+LOOKUP(H106,SYS_cliente!$A$5:$A$22500,SYS_cliente!$D$5:$D$22500))</f>
        <v>0</v>
      </c>
      <c r="O106" s="13"/>
      <c r="Q106"/>
    </row>
    <row r="107" spans="3:17" ht="15" hidden="1" customHeight="1" outlineLevel="1">
      <c r="C107" s="174" t="s">
        <v>644</v>
      </c>
      <c r="D107" s="180"/>
      <c r="E107" s="175">
        <f>+E103+E104-E105-E106</f>
        <v>0</v>
      </c>
      <c r="F107" s="180"/>
      <c r="G107" s="175">
        <f>+G103-SUM(G104:G106)</f>
        <v>0</v>
      </c>
      <c r="H107" s="180"/>
      <c r="I107" s="175">
        <f>+I103-SUM(I104:I106)</f>
        <v>0</v>
      </c>
      <c r="O107" s="13"/>
      <c r="Q107"/>
    </row>
    <row r="108" spans="3:17" ht="15" customHeight="1" collapsed="1">
      <c r="C108" s="169"/>
      <c r="D108" s="169"/>
      <c r="E108" s="169"/>
      <c r="F108" s="169"/>
      <c r="G108" s="170"/>
      <c r="H108" s="169"/>
      <c r="I108" s="169"/>
      <c r="O108" s="13"/>
      <c r="Q108"/>
    </row>
    <row r="109" spans="3:17" ht="15" hidden="1" customHeight="1" outlineLevel="1">
      <c r="C109" s="171" t="s">
        <v>923</v>
      </c>
      <c r="D109" s="178"/>
      <c r="E109" s="172"/>
      <c r="F109" s="178"/>
      <c r="G109" s="172"/>
      <c r="H109" s="178"/>
      <c r="I109" s="172"/>
      <c r="O109" s="13"/>
      <c r="Q109"/>
    </row>
    <row r="110" spans="3:17" ht="15" hidden="1" customHeight="1" outlineLevel="1">
      <c r="C110" s="171" t="s">
        <v>924</v>
      </c>
      <c r="D110" s="178"/>
      <c r="E110" s="172"/>
      <c r="F110" s="178"/>
      <c r="G110" s="172"/>
      <c r="H110" s="178"/>
      <c r="I110" s="172"/>
      <c r="O110" s="13"/>
      <c r="Q110"/>
    </row>
    <row r="111" spans="3:17" ht="15" hidden="1" customHeight="1" outlineLevel="1">
      <c r="C111" s="173" t="s">
        <v>925</v>
      </c>
      <c r="D111" s="179"/>
      <c r="E111" s="181">
        <f>IF(D111=0,0,+LOOKUP(D111,SYS_cliente!$A$5:$A$22500,SYS_cliente!$C$5:$C$22500)-+LOOKUP(D111,SYS_cliente!$A$5:$A$22500,SYS_cliente!$D$5:$D$22500))</f>
        <v>0</v>
      </c>
      <c r="F111" s="179"/>
      <c r="G111" s="181">
        <f>IF(F111=0,0,+LOOKUP(F111,SYS_cliente!$A$5:$A$22500,SYS_cliente!$C$5:$C$22500)-+LOOKUP(F111,SYS_cliente!$A$5:$A$22500,SYS_cliente!$D$5:$D$22500))</f>
        <v>0</v>
      </c>
      <c r="H111" s="179"/>
      <c r="I111" s="181">
        <f>IF(H111=0,0,LOOKUP(H111,SYS_cliente!$A$5:$A$22500,SYS_cliente!$C$5:$C$22500)-+LOOKUP(H111,SYS_cliente!$A$5:$A$22500,SYS_cliente!$D$5:$D$22500))</f>
        <v>0</v>
      </c>
      <c r="O111" s="13"/>
      <c r="Q111"/>
    </row>
    <row r="112" spans="3:17" ht="15" hidden="1" customHeight="1" outlineLevel="1">
      <c r="C112" s="174" t="s">
        <v>644</v>
      </c>
      <c r="D112" s="180"/>
      <c r="E112" s="175">
        <f>+E108+E109-E110-E111</f>
        <v>0</v>
      </c>
      <c r="F112" s="180"/>
      <c r="G112" s="175">
        <f>+G108-SUM(G109:G111)</f>
        <v>0</v>
      </c>
      <c r="H112" s="180"/>
      <c r="I112" s="175">
        <f>+I108-SUM(I109:I111)</f>
        <v>0</v>
      </c>
      <c r="O112" s="13"/>
      <c r="Q112"/>
    </row>
    <row r="113" spans="3:17" ht="15" customHeight="1" collapsed="1">
      <c r="C113" s="169"/>
      <c r="D113" s="169"/>
      <c r="E113" s="169"/>
      <c r="F113" s="169"/>
      <c r="G113" s="170"/>
      <c r="H113" s="169"/>
      <c r="I113" s="169"/>
      <c r="O113" s="13"/>
      <c r="Q113"/>
    </row>
    <row r="114" spans="3:17" ht="15" hidden="1" customHeight="1" outlineLevel="1">
      <c r="C114" s="171" t="s">
        <v>923</v>
      </c>
      <c r="D114" s="178"/>
      <c r="E114" s="172"/>
      <c r="F114" s="178"/>
      <c r="G114" s="172"/>
      <c r="H114" s="178"/>
      <c r="I114" s="172"/>
      <c r="O114" s="13"/>
      <c r="Q114"/>
    </row>
    <row r="115" spans="3:17" ht="15" hidden="1" customHeight="1" outlineLevel="1">
      <c r="C115" s="171" t="s">
        <v>924</v>
      </c>
      <c r="D115" s="178"/>
      <c r="E115" s="172"/>
      <c r="F115" s="178"/>
      <c r="G115" s="172"/>
      <c r="H115" s="178"/>
      <c r="I115" s="172"/>
      <c r="O115" s="13"/>
      <c r="Q115"/>
    </row>
    <row r="116" spans="3:17" ht="15" hidden="1" customHeight="1" outlineLevel="1">
      <c r="C116" s="173" t="s">
        <v>925</v>
      </c>
      <c r="D116" s="179"/>
      <c r="E116" s="181">
        <f>IF(D116=0,0,+LOOKUP(D116,SYS_cliente!$A$5:$A$22500,SYS_cliente!$C$5:$C$22500)-+LOOKUP(D116,SYS_cliente!$A$5:$A$22500,SYS_cliente!$D$5:$D$22500))</f>
        <v>0</v>
      </c>
      <c r="F116" s="179"/>
      <c r="G116" s="181">
        <f>IF(F116=0,0,+LOOKUP(F116,SYS_cliente!$A$5:$A$22500,SYS_cliente!$C$5:$C$22500)-+LOOKUP(F116,SYS_cliente!$A$5:$A$22500,SYS_cliente!$D$5:$D$22500))</f>
        <v>0</v>
      </c>
      <c r="H116" s="179"/>
      <c r="I116" s="181">
        <f>IF(H116=0,0,LOOKUP(H116,SYS_cliente!$A$5:$A$22500,SYS_cliente!$C$5:$C$22500)-+LOOKUP(H116,SYS_cliente!$A$5:$A$22500,SYS_cliente!$D$5:$D$22500))</f>
        <v>0</v>
      </c>
      <c r="O116" s="13"/>
      <c r="Q116"/>
    </row>
    <row r="117" spans="3:17" ht="15" hidden="1" customHeight="1" outlineLevel="1">
      <c r="C117" s="174" t="s">
        <v>644</v>
      </c>
      <c r="D117" s="180"/>
      <c r="E117" s="175">
        <f>+E113+E114-E115-E116</f>
        <v>0</v>
      </c>
      <c r="F117" s="180"/>
      <c r="G117" s="175">
        <f>+G113-SUM(G114:G116)</f>
        <v>0</v>
      </c>
      <c r="H117" s="180"/>
      <c r="I117" s="175">
        <f>+I113-SUM(I114:I116)</f>
        <v>0</v>
      </c>
      <c r="O117" s="13"/>
      <c r="Q117"/>
    </row>
    <row r="118" spans="3:17" ht="15" customHeight="1" collapsed="1">
      <c r="C118" s="169"/>
      <c r="D118" s="169"/>
      <c r="E118" s="169"/>
      <c r="F118" s="169"/>
      <c r="G118" s="170"/>
      <c r="H118" s="169"/>
      <c r="I118" s="169"/>
      <c r="O118" s="13"/>
      <c r="Q118"/>
    </row>
    <row r="119" spans="3:17" ht="15" hidden="1" customHeight="1" outlineLevel="1">
      <c r="C119" s="171" t="s">
        <v>923</v>
      </c>
      <c r="D119" s="178"/>
      <c r="E119" s="172"/>
      <c r="F119" s="178"/>
      <c r="G119" s="172"/>
      <c r="H119" s="178"/>
      <c r="I119" s="172"/>
      <c r="O119" s="13"/>
      <c r="Q119"/>
    </row>
    <row r="120" spans="3:17" ht="15" hidden="1" customHeight="1" outlineLevel="1">
      <c r="C120" s="171" t="s">
        <v>924</v>
      </c>
      <c r="D120" s="178"/>
      <c r="E120" s="172"/>
      <c r="F120" s="178"/>
      <c r="G120" s="172"/>
      <c r="H120" s="178"/>
      <c r="I120" s="172"/>
      <c r="O120" s="13"/>
      <c r="Q120"/>
    </row>
    <row r="121" spans="3:17" ht="15" hidden="1" customHeight="1" outlineLevel="1">
      <c r="C121" s="173" t="s">
        <v>925</v>
      </c>
      <c r="D121" s="179"/>
      <c r="E121" s="181">
        <f>IF(D121=0,0,+LOOKUP(D121,SYS_cliente!$A$5:$A$22500,SYS_cliente!$C$5:$C$22500)-+LOOKUP(D121,SYS_cliente!$A$5:$A$22500,SYS_cliente!$D$5:$D$22500))</f>
        <v>0</v>
      </c>
      <c r="F121" s="179"/>
      <c r="G121" s="181">
        <f>IF(F121=0,0,+LOOKUP(F121,SYS_cliente!$A$5:$A$22500,SYS_cliente!$C$5:$C$22500)-+LOOKUP(F121,SYS_cliente!$A$5:$A$22500,SYS_cliente!$D$5:$D$22500))</f>
        <v>0</v>
      </c>
      <c r="H121" s="179"/>
      <c r="I121" s="181">
        <f>IF(H121=0,0,LOOKUP(H121,SYS_cliente!$A$5:$A$22500,SYS_cliente!$C$5:$C$22500)-+LOOKUP(H121,SYS_cliente!$A$5:$A$22500,SYS_cliente!$D$5:$D$22500))</f>
        <v>0</v>
      </c>
      <c r="O121" s="13"/>
      <c r="Q121"/>
    </row>
    <row r="122" spans="3:17" ht="15" hidden="1" customHeight="1" outlineLevel="1">
      <c r="C122" s="174" t="s">
        <v>644</v>
      </c>
      <c r="D122" s="180"/>
      <c r="E122" s="175">
        <f>+E118+E119-E120-E121</f>
        <v>0</v>
      </c>
      <c r="F122" s="180"/>
      <c r="G122" s="175">
        <f>+G118-SUM(G119:G121)</f>
        <v>0</v>
      </c>
      <c r="H122" s="180"/>
      <c r="I122" s="175">
        <f>+I118-SUM(I119:I121)</f>
        <v>0</v>
      </c>
      <c r="O122" s="13"/>
      <c r="Q122"/>
    </row>
    <row r="123" spans="3:17" ht="15" customHeight="1" collapsed="1">
      <c r="C123" s="169"/>
      <c r="D123" s="169"/>
      <c r="E123" s="169"/>
      <c r="F123" s="169"/>
      <c r="G123" s="170"/>
      <c r="H123" s="169"/>
      <c r="I123" s="169"/>
      <c r="O123" s="13"/>
      <c r="Q123"/>
    </row>
    <row r="124" spans="3:17" ht="15" hidden="1" customHeight="1" outlineLevel="1">
      <c r="C124" s="171" t="s">
        <v>923</v>
      </c>
      <c r="D124" s="178"/>
      <c r="E124" s="172"/>
      <c r="F124" s="178"/>
      <c r="G124" s="172"/>
      <c r="H124" s="178"/>
      <c r="I124" s="172"/>
      <c r="O124" s="13"/>
      <c r="Q124"/>
    </row>
    <row r="125" spans="3:17" ht="15" hidden="1" customHeight="1" outlineLevel="1">
      <c r="C125" s="171" t="s">
        <v>924</v>
      </c>
      <c r="D125" s="178"/>
      <c r="E125" s="172"/>
      <c r="F125" s="178"/>
      <c r="G125" s="172"/>
      <c r="H125" s="178"/>
      <c r="I125" s="172"/>
      <c r="O125" s="13"/>
      <c r="Q125"/>
    </row>
    <row r="126" spans="3:17" ht="15" hidden="1" customHeight="1" outlineLevel="1">
      <c r="C126" s="173" t="s">
        <v>925</v>
      </c>
      <c r="D126" s="179"/>
      <c r="E126" s="181">
        <f>IF(D126=0,0,+LOOKUP(D126,SYS_cliente!$A$5:$A$22500,SYS_cliente!$C$5:$C$22500)-+LOOKUP(D126,SYS_cliente!$A$5:$A$22500,SYS_cliente!$D$5:$D$22500))</f>
        <v>0</v>
      </c>
      <c r="F126" s="179"/>
      <c r="G126" s="181">
        <f>IF(F126=0,0,+LOOKUP(F126,SYS_cliente!$A$5:$A$22500,SYS_cliente!$C$5:$C$22500)-+LOOKUP(F126,SYS_cliente!$A$5:$A$22500,SYS_cliente!$D$5:$D$22500))</f>
        <v>0</v>
      </c>
      <c r="H126" s="179"/>
      <c r="I126" s="181">
        <f>IF(H126=0,0,LOOKUP(H126,SYS_cliente!$A$5:$A$22500,SYS_cliente!$C$5:$C$22500)-+LOOKUP(H126,SYS_cliente!$A$5:$A$22500,SYS_cliente!$D$5:$D$22500))</f>
        <v>0</v>
      </c>
      <c r="O126" s="13"/>
      <c r="Q126"/>
    </row>
    <row r="127" spans="3:17" ht="15" hidden="1" customHeight="1" outlineLevel="1">
      <c r="C127" s="174" t="s">
        <v>644</v>
      </c>
      <c r="D127" s="180"/>
      <c r="E127" s="175">
        <f>+E123+E124-E125-E126</f>
        <v>0</v>
      </c>
      <c r="F127" s="180"/>
      <c r="G127" s="175">
        <f>+G123-SUM(G124:G126)</f>
        <v>0</v>
      </c>
      <c r="H127" s="180"/>
      <c r="I127" s="175">
        <f>+I123-SUM(I124:I126)</f>
        <v>0</v>
      </c>
      <c r="O127" s="13"/>
      <c r="Q127"/>
    </row>
    <row r="128" spans="3:17" ht="15" customHeight="1" collapsed="1">
      <c r="C128" s="169"/>
      <c r="D128" s="169"/>
      <c r="E128" s="169"/>
      <c r="F128" s="169"/>
      <c r="G128" s="170"/>
      <c r="H128" s="169"/>
      <c r="I128" s="169"/>
      <c r="O128" s="13"/>
      <c r="Q128"/>
    </row>
    <row r="129" spans="3:17" ht="15" hidden="1" customHeight="1" outlineLevel="1">
      <c r="C129" s="171" t="s">
        <v>923</v>
      </c>
      <c r="D129" s="178"/>
      <c r="E129" s="172"/>
      <c r="F129" s="178"/>
      <c r="G129" s="172"/>
      <c r="H129" s="178"/>
      <c r="I129" s="172"/>
      <c r="O129" s="13"/>
      <c r="Q129"/>
    </row>
    <row r="130" spans="3:17" ht="15" hidden="1" customHeight="1" outlineLevel="1">
      <c r="C130" s="171" t="s">
        <v>924</v>
      </c>
      <c r="D130" s="178"/>
      <c r="E130" s="172"/>
      <c r="F130" s="178"/>
      <c r="G130" s="172"/>
      <c r="H130" s="178"/>
      <c r="I130" s="172"/>
      <c r="O130" s="13"/>
      <c r="Q130"/>
    </row>
    <row r="131" spans="3:17" ht="15" hidden="1" customHeight="1" outlineLevel="1">
      <c r="C131" s="173" t="s">
        <v>925</v>
      </c>
      <c r="D131" s="179"/>
      <c r="E131" s="181">
        <f>IF(D131=0,0,+LOOKUP(D131,SYS_cliente!$A$5:$A$22500,SYS_cliente!$C$5:$C$22500)-+LOOKUP(D131,SYS_cliente!$A$5:$A$22500,SYS_cliente!$D$5:$D$22500))</f>
        <v>0</v>
      </c>
      <c r="F131" s="179"/>
      <c r="G131" s="181">
        <f>IF(F131=0,0,+LOOKUP(F131,SYS_cliente!$A$5:$A$22500,SYS_cliente!$C$5:$C$22500)-+LOOKUP(F131,SYS_cliente!$A$5:$A$22500,SYS_cliente!$D$5:$D$22500))</f>
        <v>0</v>
      </c>
      <c r="H131" s="179"/>
      <c r="I131" s="181">
        <f>IF(H131=0,0,LOOKUP(H131,SYS_cliente!$A$5:$A$22500,SYS_cliente!$C$5:$C$22500)-+LOOKUP(H131,SYS_cliente!$A$5:$A$22500,SYS_cliente!$D$5:$D$22500))</f>
        <v>0</v>
      </c>
      <c r="O131" s="13"/>
      <c r="Q131"/>
    </row>
    <row r="132" spans="3:17" ht="15" hidden="1" customHeight="1" outlineLevel="1">
      <c r="C132" s="174" t="s">
        <v>644</v>
      </c>
      <c r="D132" s="180"/>
      <c r="E132" s="175">
        <f>+E128+E129-E130-E131</f>
        <v>0</v>
      </c>
      <c r="F132" s="180"/>
      <c r="G132" s="175">
        <f>+G128-SUM(G129:G131)</f>
        <v>0</v>
      </c>
      <c r="H132" s="180"/>
      <c r="I132" s="175">
        <f>+I128-SUM(I129:I131)</f>
        <v>0</v>
      </c>
      <c r="O132" s="13"/>
      <c r="Q132"/>
    </row>
    <row r="133" spans="3:17" ht="15" customHeight="1" collapsed="1">
      <c r="C133" s="169"/>
      <c r="D133" s="169"/>
      <c r="E133" s="169"/>
      <c r="F133" s="169"/>
      <c r="G133" s="170"/>
      <c r="H133" s="169"/>
      <c r="I133" s="169"/>
      <c r="O133" s="13"/>
      <c r="Q133"/>
    </row>
    <row r="134" spans="3:17" ht="15" hidden="1" customHeight="1" outlineLevel="1">
      <c r="C134" s="171" t="s">
        <v>923</v>
      </c>
      <c r="D134" s="178"/>
      <c r="E134" s="172"/>
      <c r="F134" s="178"/>
      <c r="G134" s="172"/>
      <c r="H134" s="178"/>
      <c r="I134" s="172"/>
      <c r="O134" s="13"/>
      <c r="Q134"/>
    </row>
    <row r="135" spans="3:17" ht="15" hidden="1" customHeight="1" outlineLevel="1">
      <c r="C135" s="171" t="s">
        <v>924</v>
      </c>
      <c r="D135" s="178"/>
      <c r="E135" s="172"/>
      <c r="F135" s="178"/>
      <c r="G135" s="172"/>
      <c r="H135" s="178"/>
      <c r="I135" s="172"/>
      <c r="O135" s="13"/>
      <c r="Q135"/>
    </row>
    <row r="136" spans="3:17" ht="15" hidden="1" customHeight="1" outlineLevel="1">
      <c r="C136" s="173" t="s">
        <v>925</v>
      </c>
      <c r="D136" s="179"/>
      <c r="E136" s="181">
        <f>IF(D136=0,0,+LOOKUP(D136,SYS_cliente!$A$5:$A$22500,SYS_cliente!$C$5:$C$22500)-+LOOKUP(D136,SYS_cliente!$A$5:$A$22500,SYS_cliente!$D$5:$D$22500))</f>
        <v>0</v>
      </c>
      <c r="F136" s="179"/>
      <c r="G136" s="181">
        <f>IF(F136=0,0,+LOOKUP(F136,SYS_cliente!$A$5:$A$22500,SYS_cliente!$C$5:$C$22500)-+LOOKUP(F136,SYS_cliente!$A$5:$A$22500,SYS_cliente!$D$5:$D$22500))</f>
        <v>0</v>
      </c>
      <c r="H136" s="179"/>
      <c r="I136" s="181">
        <f>IF(H136=0,0,LOOKUP(H136,SYS_cliente!$A$5:$A$22500,SYS_cliente!$C$5:$C$22500)-+LOOKUP(H136,SYS_cliente!$A$5:$A$22500,SYS_cliente!$D$5:$D$22500))</f>
        <v>0</v>
      </c>
      <c r="O136" s="13"/>
      <c r="Q136"/>
    </row>
    <row r="137" spans="3:17" ht="15" hidden="1" customHeight="1" outlineLevel="1">
      <c r="C137" s="174" t="s">
        <v>644</v>
      </c>
      <c r="D137" s="180"/>
      <c r="E137" s="175">
        <f>+E133+E134-E135-E136</f>
        <v>0</v>
      </c>
      <c r="F137" s="180"/>
      <c r="G137" s="175">
        <f>+G133-SUM(G134:G136)</f>
        <v>0</v>
      </c>
      <c r="H137" s="180"/>
      <c r="I137" s="175">
        <f>+I133-SUM(I134:I136)</f>
        <v>0</v>
      </c>
      <c r="O137" s="13"/>
      <c r="Q137"/>
    </row>
    <row r="138" spans="3:17" ht="15" customHeight="1" collapsed="1">
      <c r="C138" s="169"/>
      <c r="D138" s="169"/>
      <c r="E138" s="169"/>
      <c r="F138" s="169"/>
      <c r="G138" s="170"/>
      <c r="H138" s="169"/>
      <c r="I138" s="169"/>
      <c r="O138" s="13"/>
      <c r="Q138"/>
    </row>
    <row r="139" spans="3:17" ht="15" hidden="1" customHeight="1" outlineLevel="1">
      <c r="C139" s="171" t="s">
        <v>923</v>
      </c>
      <c r="D139" s="178"/>
      <c r="E139" s="172"/>
      <c r="F139" s="178"/>
      <c r="G139" s="172"/>
      <c r="H139" s="178"/>
      <c r="I139" s="172"/>
      <c r="O139" s="13"/>
      <c r="Q139"/>
    </row>
    <row r="140" spans="3:17" ht="15" hidden="1" customHeight="1" outlineLevel="1">
      <c r="C140" s="171" t="s">
        <v>924</v>
      </c>
      <c r="D140" s="178"/>
      <c r="E140" s="172"/>
      <c r="F140" s="178"/>
      <c r="G140" s="172"/>
      <c r="H140" s="178"/>
      <c r="I140" s="172"/>
      <c r="O140" s="13"/>
      <c r="Q140"/>
    </row>
    <row r="141" spans="3:17" ht="15" hidden="1" customHeight="1" outlineLevel="1">
      <c r="C141" s="173" t="s">
        <v>925</v>
      </c>
      <c r="D141" s="179"/>
      <c r="E141" s="181">
        <f>IF(D141=0,0,+LOOKUP(D141,SYS_cliente!$A$5:$A$22500,SYS_cliente!$C$5:$C$22500)-+LOOKUP(D141,SYS_cliente!$A$5:$A$22500,SYS_cliente!$D$5:$D$22500))</f>
        <v>0</v>
      </c>
      <c r="F141" s="179"/>
      <c r="G141" s="181">
        <f>IF(F141=0,0,+LOOKUP(F141,SYS_cliente!$A$5:$A$22500,SYS_cliente!$C$5:$C$22500)-+LOOKUP(F141,SYS_cliente!$A$5:$A$22500,SYS_cliente!$D$5:$D$22500))</f>
        <v>0</v>
      </c>
      <c r="H141" s="179"/>
      <c r="I141" s="181">
        <f>IF(H141=0,0,LOOKUP(H141,SYS_cliente!$A$5:$A$22500,SYS_cliente!$C$5:$C$22500)-+LOOKUP(H141,SYS_cliente!$A$5:$A$22500,SYS_cliente!$D$5:$D$22500))</f>
        <v>0</v>
      </c>
      <c r="O141" s="13"/>
      <c r="Q141"/>
    </row>
    <row r="142" spans="3:17" ht="15" hidden="1" customHeight="1" outlineLevel="1">
      <c r="C142" s="174" t="s">
        <v>644</v>
      </c>
      <c r="D142" s="180"/>
      <c r="E142" s="175">
        <f>+E138+E139-E140-E141</f>
        <v>0</v>
      </c>
      <c r="F142" s="180"/>
      <c r="G142" s="175">
        <f>+G138-SUM(G139:G141)</f>
        <v>0</v>
      </c>
      <c r="H142" s="180"/>
      <c r="I142" s="175">
        <f>+I138-SUM(I139:I141)</f>
        <v>0</v>
      </c>
      <c r="O142" s="13"/>
      <c r="Q142"/>
    </row>
    <row r="143" spans="3:17" ht="15" customHeight="1" collapsed="1">
      <c r="C143" s="169"/>
      <c r="D143" s="169"/>
      <c r="E143" s="169"/>
      <c r="F143" s="169"/>
      <c r="G143" s="170"/>
      <c r="H143" s="169"/>
      <c r="I143" s="169"/>
      <c r="O143" s="13"/>
      <c r="Q143"/>
    </row>
    <row r="144" spans="3:17" ht="15" hidden="1" customHeight="1" outlineLevel="1">
      <c r="C144" s="171" t="s">
        <v>923</v>
      </c>
      <c r="D144" s="178"/>
      <c r="E144" s="172"/>
      <c r="F144" s="178"/>
      <c r="G144" s="172"/>
      <c r="H144" s="178"/>
      <c r="I144" s="172"/>
      <c r="O144" s="13"/>
      <c r="Q144"/>
    </row>
    <row r="145" spans="3:17" ht="15" hidden="1" customHeight="1" outlineLevel="1">
      <c r="C145" s="171" t="s">
        <v>924</v>
      </c>
      <c r="D145" s="178"/>
      <c r="E145" s="172"/>
      <c r="F145" s="178"/>
      <c r="G145" s="172"/>
      <c r="H145" s="178"/>
      <c r="I145" s="172"/>
      <c r="O145" s="13"/>
      <c r="Q145"/>
    </row>
    <row r="146" spans="3:17" ht="15" hidden="1" customHeight="1" outlineLevel="1">
      <c r="C146" s="173" t="s">
        <v>925</v>
      </c>
      <c r="D146" s="179"/>
      <c r="E146" s="181">
        <f>IF(D146=0,0,+LOOKUP(D146,SYS_cliente!$A$5:$A$22500,SYS_cliente!$C$5:$C$22500)-+LOOKUP(D146,SYS_cliente!$A$5:$A$22500,SYS_cliente!$D$5:$D$22500))</f>
        <v>0</v>
      </c>
      <c r="F146" s="179"/>
      <c r="G146" s="181">
        <f>IF(F146=0,0,+LOOKUP(F146,SYS_cliente!$A$5:$A$22500,SYS_cliente!$C$5:$C$22500)-+LOOKUP(F146,SYS_cliente!$A$5:$A$22500,SYS_cliente!$D$5:$D$22500))</f>
        <v>0</v>
      </c>
      <c r="H146" s="179"/>
      <c r="I146" s="181">
        <f>IF(H146=0,0,LOOKUP(H146,SYS_cliente!$A$5:$A$22500,SYS_cliente!$C$5:$C$22500)-+LOOKUP(H146,SYS_cliente!$A$5:$A$22500,SYS_cliente!$D$5:$D$22500))</f>
        <v>0</v>
      </c>
      <c r="O146" s="13"/>
      <c r="Q146"/>
    </row>
    <row r="147" spans="3:17" ht="15" hidden="1" customHeight="1" outlineLevel="1">
      <c r="C147" s="174" t="s">
        <v>644</v>
      </c>
      <c r="D147" s="180"/>
      <c r="E147" s="175">
        <f>+E143+E144-E145-E146</f>
        <v>0</v>
      </c>
      <c r="F147" s="180"/>
      <c r="G147" s="175">
        <f>+G143-SUM(G144:G146)</f>
        <v>0</v>
      </c>
      <c r="H147" s="180"/>
      <c r="I147" s="175">
        <f>+I143-SUM(I144:I146)</f>
        <v>0</v>
      </c>
      <c r="O147" s="13"/>
      <c r="Q147"/>
    </row>
    <row r="148" spans="3:17" ht="15" customHeight="1" collapsed="1">
      <c r="C148" s="169"/>
      <c r="D148" s="169"/>
      <c r="E148" s="169"/>
      <c r="F148" s="169"/>
      <c r="G148" s="170"/>
      <c r="H148" s="169"/>
      <c r="I148" s="169"/>
      <c r="O148" s="13"/>
      <c r="Q148"/>
    </row>
    <row r="149" spans="3:17" ht="15" hidden="1" customHeight="1" outlineLevel="1">
      <c r="C149" s="171" t="s">
        <v>923</v>
      </c>
      <c r="D149" s="178"/>
      <c r="E149" s="172"/>
      <c r="F149" s="178"/>
      <c r="G149" s="172"/>
      <c r="H149" s="178"/>
      <c r="I149" s="172"/>
      <c r="O149" s="13"/>
      <c r="Q149"/>
    </row>
    <row r="150" spans="3:17" ht="15" hidden="1" customHeight="1" outlineLevel="1">
      <c r="C150" s="171" t="s">
        <v>924</v>
      </c>
      <c r="D150" s="178"/>
      <c r="E150" s="172"/>
      <c r="F150" s="178"/>
      <c r="G150" s="172"/>
      <c r="H150" s="178"/>
      <c r="I150" s="172"/>
      <c r="O150" s="13"/>
      <c r="Q150"/>
    </row>
    <row r="151" spans="3:17" ht="15" hidden="1" customHeight="1" outlineLevel="1">
      <c r="C151" s="173" t="s">
        <v>925</v>
      </c>
      <c r="D151" s="179"/>
      <c r="E151" s="181">
        <f>IF(D151=0,0,+LOOKUP(D151,SYS_cliente!$A$5:$A$22500,SYS_cliente!$C$5:$C$22500)-+LOOKUP(D151,SYS_cliente!$A$5:$A$22500,SYS_cliente!$D$5:$D$22500))</f>
        <v>0</v>
      </c>
      <c r="F151" s="179"/>
      <c r="G151" s="181">
        <f>IF(F151=0,0,+LOOKUP(F151,SYS_cliente!$A$5:$A$22500,SYS_cliente!$C$5:$C$22500)-+LOOKUP(F151,SYS_cliente!$A$5:$A$22500,SYS_cliente!$D$5:$D$22500))</f>
        <v>0</v>
      </c>
      <c r="H151" s="179"/>
      <c r="I151" s="181">
        <f>IF(H151=0,0,LOOKUP(H151,SYS_cliente!$A$5:$A$22500,SYS_cliente!$C$5:$C$22500)-+LOOKUP(H151,SYS_cliente!$A$5:$A$22500,SYS_cliente!$D$5:$D$22500))</f>
        <v>0</v>
      </c>
      <c r="O151" s="13"/>
      <c r="Q151"/>
    </row>
    <row r="152" spans="3:17" ht="15" hidden="1" customHeight="1" outlineLevel="1">
      <c r="C152" s="174" t="s">
        <v>644</v>
      </c>
      <c r="D152" s="180"/>
      <c r="E152" s="175">
        <f>+E148+E149-E150-E151</f>
        <v>0</v>
      </c>
      <c r="F152" s="180"/>
      <c r="G152" s="175">
        <f>+G148-SUM(G149:G151)</f>
        <v>0</v>
      </c>
      <c r="H152" s="180"/>
      <c r="I152" s="175">
        <f>+I148-SUM(I149:I151)</f>
        <v>0</v>
      </c>
      <c r="O152" s="13"/>
      <c r="Q152"/>
    </row>
    <row r="153" spans="3:17" ht="15" customHeight="1" collapsed="1">
      <c r="C153" s="169"/>
      <c r="D153" s="169"/>
      <c r="E153" s="169"/>
      <c r="F153" s="169"/>
      <c r="G153" s="170"/>
      <c r="H153" s="169"/>
      <c r="I153" s="169"/>
      <c r="O153" s="13"/>
      <c r="Q153"/>
    </row>
    <row r="154" spans="3:17" ht="15" hidden="1" customHeight="1" outlineLevel="1">
      <c r="C154" s="171" t="s">
        <v>923</v>
      </c>
      <c r="D154" s="178"/>
      <c r="E154" s="172"/>
      <c r="F154" s="178"/>
      <c r="G154" s="172"/>
      <c r="H154" s="178"/>
      <c r="I154" s="172"/>
      <c r="O154" s="13"/>
      <c r="Q154"/>
    </row>
    <row r="155" spans="3:17" ht="15" hidden="1" customHeight="1" outlineLevel="1">
      <c r="C155" s="171" t="s">
        <v>924</v>
      </c>
      <c r="D155" s="178"/>
      <c r="E155" s="172"/>
      <c r="F155" s="178"/>
      <c r="G155" s="172"/>
      <c r="H155" s="178"/>
      <c r="I155" s="172"/>
      <c r="O155" s="13"/>
      <c r="Q155"/>
    </row>
    <row r="156" spans="3:17" ht="15" hidden="1" customHeight="1" outlineLevel="1">
      <c r="C156" s="173" t="s">
        <v>925</v>
      </c>
      <c r="D156" s="179"/>
      <c r="E156" s="181">
        <f>IF(D156=0,0,+LOOKUP(D156,SYS_cliente!$A$5:$A$22500,SYS_cliente!$C$5:$C$22500)-+LOOKUP(D156,SYS_cliente!$A$5:$A$22500,SYS_cliente!$D$5:$D$22500))</f>
        <v>0</v>
      </c>
      <c r="F156" s="179"/>
      <c r="G156" s="181">
        <f>IF(F156=0,0,+LOOKUP(F156,SYS_cliente!$A$5:$A$22500,SYS_cliente!$C$5:$C$22500)-+LOOKUP(F156,SYS_cliente!$A$5:$A$22500,SYS_cliente!$D$5:$D$22500))</f>
        <v>0</v>
      </c>
      <c r="H156" s="179"/>
      <c r="I156" s="181">
        <f>IF(H156=0,0,LOOKUP(H156,SYS_cliente!$A$5:$A$22500,SYS_cliente!$C$5:$C$22500)-+LOOKUP(H156,SYS_cliente!$A$5:$A$22500,SYS_cliente!$D$5:$D$22500))</f>
        <v>0</v>
      </c>
      <c r="O156" s="13"/>
      <c r="Q156"/>
    </row>
    <row r="157" spans="3:17" ht="15" hidden="1" customHeight="1" outlineLevel="1">
      <c r="C157" s="174" t="s">
        <v>644</v>
      </c>
      <c r="D157" s="180"/>
      <c r="E157" s="175">
        <f>+E153+E154-E155-E156</f>
        <v>0</v>
      </c>
      <c r="F157" s="180"/>
      <c r="G157" s="175">
        <f>+G153-SUM(G154:G156)</f>
        <v>0</v>
      </c>
      <c r="H157" s="180"/>
      <c r="I157" s="175">
        <f>+I153-SUM(I154:I156)</f>
        <v>0</v>
      </c>
      <c r="O157" s="13"/>
      <c r="Q157"/>
    </row>
    <row r="158" spans="3:17" ht="15" customHeight="1" collapsed="1">
      <c r="C158" s="169"/>
      <c r="D158" s="169"/>
      <c r="E158" s="169"/>
      <c r="F158" s="169"/>
      <c r="G158" s="170"/>
      <c r="H158" s="169"/>
      <c r="I158" s="169"/>
      <c r="O158" s="13"/>
      <c r="Q158"/>
    </row>
    <row r="159" spans="3:17" ht="15" hidden="1" customHeight="1" outlineLevel="1">
      <c r="C159" s="171" t="s">
        <v>923</v>
      </c>
      <c r="D159" s="178"/>
      <c r="E159" s="172"/>
      <c r="F159" s="178"/>
      <c r="G159" s="172"/>
      <c r="H159" s="178"/>
      <c r="I159" s="172"/>
      <c r="O159" s="13"/>
      <c r="Q159"/>
    </row>
    <row r="160" spans="3:17" ht="15" hidden="1" customHeight="1" outlineLevel="1">
      <c r="C160" s="171" t="s">
        <v>924</v>
      </c>
      <c r="D160" s="178"/>
      <c r="E160" s="172"/>
      <c r="F160" s="178"/>
      <c r="G160" s="172"/>
      <c r="H160" s="178"/>
      <c r="I160" s="172"/>
      <c r="O160" s="13"/>
      <c r="Q160"/>
    </row>
    <row r="161" spans="3:17" ht="15" hidden="1" customHeight="1" outlineLevel="1">
      <c r="C161" s="173" t="s">
        <v>925</v>
      </c>
      <c r="D161" s="179"/>
      <c r="E161" s="181">
        <f>IF(D161=0,0,+LOOKUP(D161,SYS_cliente!$A$5:$A$22500,SYS_cliente!$C$5:$C$22500)-+LOOKUP(D161,SYS_cliente!$A$5:$A$22500,SYS_cliente!$D$5:$D$22500))</f>
        <v>0</v>
      </c>
      <c r="F161" s="179"/>
      <c r="G161" s="181">
        <f>IF(F161=0,0,+LOOKUP(F161,SYS_cliente!$A$5:$A$22500,SYS_cliente!$C$5:$C$22500)-+LOOKUP(F161,SYS_cliente!$A$5:$A$22500,SYS_cliente!$D$5:$D$22500))</f>
        <v>0</v>
      </c>
      <c r="H161" s="179"/>
      <c r="I161" s="181">
        <f>IF(H161=0,0,LOOKUP(H161,SYS_cliente!$A$5:$A$22500,SYS_cliente!$C$5:$C$22500)-+LOOKUP(H161,SYS_cliente!$A$5:$A$22500,SYS_cliente!$D$5:$D$22500))</f>
        <v>0</v>
      </c>
      <c r="O161" s="13"/>
      <c r="Q161"/>
    </row>
    <row r="162" spans="3:17" ht="15" hidden="1" customHeight="1" outlineLevel="1">
      <c r="C162" s="174" t="s">
        <v>644</v>
      </c>
      <c r="D162" s="180"/>
      <c r="E162" s="175">
        <f>+E158+E159-E160-E161</f>
        <v>0</v>
      </c>
      <c r="F162" s="180"/>
      <c r="G162" s="175">
        <f>+G158-SUM(G159:G161)</f>
        <v>0</v>
      </c>
      <c r="H162" s="180"/>
      <c r="I162" s="175">
        <f>+I158-SUM(I159:I161)</f>
        <v>0</v>
      </c>
      <c r="O162" s="13"/>
      <c r="Q162"/>
    </row>
    <row r="163" spans="3:17" ht="15" customHeight="1" collapsed="1">
      <c r="C163" s="169"/>
      <c r="D163" s="169"/>
      <c r="E163" s="169"/>
      <c r="F163" s="169"/>
      <c r="G163" s="170"/>
      <c r="H163" s="169"/>
      <c r="I163" s="169"/>
      <c r="O163" s="13"/>
      <c r="Q163"/>
    </row>
    <row r="164" spans="3:17" ht="15" hidden="1" customHeight="1" outlineLevel="1">
      <c r="C164" s="171" t="s">
        <v>923</v>
      </c>
      <c r="D164" s="178"/>
      <c r="E164" s="172"/>
      <c r="F164" s="178"/>
      <c r="G164" s="172"/>
      <c r="H164" s="178"/>
      <c r="I164" s="172"/>
      <c r="O164" s="13"/>
      <c r="Q164"/>
    </row>
    <row r="165" spans="3:17" ht="15" hidden="1" customHeight="1" outlineLevel="1">
      <c r="C165" s="171" t="s">
        <v>924</v>
      </c>
      <c r="D165" s="178"/>
      <c r="E165" s="172"/>
      <c r="F165" s="178"/>
      <c r="G165" s="172"/>
      <c r="H165" s="178"/>
      <c r="I165" s="172"/>
      <c r="O165" s="13"/>
      <c r="Q165"/>
    </row>
    <row r="166" spans="3:17" ht="15" hidden="1" customHeight="1" outlineLevel="1">
      <c r="C166" s="173" t="s">
        <v>925</v>
      </c>
      <c r="D166" s="179"/>
      <c r="E166" s="181">
        <f>IF(D166=0,0,+LOOKUP(D166,SYS_cliente!$A$5:$A$22500,SYS_cliente!$C$5:$C$22500)-+LOOKUP(D166,SYS_cliente!$A$5:$A$22500,SYS_cliente!$D$5:$D$22500))</f>
        <v>0</v>
      </c>
      <c r="F166" s="179"/>
      <c r="G166" s="181">
        <f>IF(F166=0,0,+LOOKUP(F166,SYS_cliente!$A$5:$A$22500,SYS_cliente!$C$5:$C$22500)-+LOOKUP(F166,SYS_cliente!$A$5:$A$22500,SYS_cliente!$D$5:$D$22500))</f>
        <v>0</v>
      </c>
      <c r="H166" s="179"/>
      <c r="I166" s="181">
        <f>IF(H166=0,0,LOOKUP(H166,SYS_cliente!$A$5:$A$22500,SYS_cliente!$C$5:$C$22500)-+LOOKUP(H166,SYS_cliente!$A$5:$A$22500,SYS_cliente!$D$5:$D$22500))</f>
        <v>0</v>
      </c>
      <c r="O166" s="13"/>
      <c r="Q166"/>
    </row>
    <row r="167" spans="3:17" ht="15" hidden="1" customHeight="1" outlineLevel="1">
      <c r="C167" s="174" t="s">
        <v>644</v>
      </c>
      <c r="D167" s="180"/>
      <c r="E167" s="175">
        <f>+E163+E164-E165-E166</f>
        <v>0</v>
      </c>
      <c r="F167" s="180"/>
      <c r="G167" s="175">
        <f>+G163-SUM(G164:G166)</f>
        <v>0</v>
      </c>
      <c r="H167" s="180"/>
      <c r="I167" s="175">
        <f>+I163-SUM(I164:I166)</f>
        <v>0</v>
      </c>
      <c r="O167" s="13"/>
      <c r="Q167"/>
    </row>
    <row r="168" spans="3:17" ht="15" customHeight="1" collapsed="1">
      <c r="C168" s="169"/>
      <c r="D168" s="169"/>
      <c r="E168" s="169"/>
      <c r="F168" s="169"/>
      <c r="G168" s="170"/>
      <c r="H168" s="169"/>
      <c r="I168" s="169"/>
      <c r="O168" s="13"/>
      <c r="Q168"/>
    </row>
    <row r="169" spans="3:17" ht="15" hidden="1" customHeight="1" outlineLevel="1">
      <c r="C169" s="171" t="s">
        <v>923</v>
      </c>
      <c r="D169" s="178"/>
      <c r="E169" s="172"/>
      <c r="F169" s="178"/>
      <c r="G169" s="172"/>
      <c r="H169" s="178"/>
      <c r="I169" s="172"/>
      <c r="O169" s="13"/>
      <c r="Q169"/>
    </row>
    <row r="170" spans="3:17" ht="15" hidden="1" customHeight="1" outlineLevel="1">
      <c r="C170" s="171" t="s">
        <v>924</v>
      </c>
      <c r="D170" s="178"/>
      <c r="E170" s="172"/>
      <c r="F170" s="178"/>
      <c r="G170" s="172"/>
      <c r="H170" s="178"/>
      <c r="I170" s="172"/>
      <c r="O170" s="13"/>
      <c r="Q170"/>
    </row>
    <row r="171" spans="3:17" ht="15" hidden="1" customHeight="1" outlineLevel="1">
      <c r="C171" s="173" t="s">
        <v>925</v>
      </c>
      <c r="D171" s="179"/>
      <c r="E171" s="181">
        <f>IF(D171=0,0,+LOOKUP(D171,SYS_cliente!$A$5:$A$22500,SYS_cliente!$C$5:$C$22500)-+LOOKUP(D171,SYS_cliente!$A$5:$A$22500,SYS_cliente!$D$5:$D$22500))</f>
        <v>0</v>
      </c>
      <c r="F171" s="179"/>
      <c r="G171" s="181">
        <f>IF(F171=0,0,+LOOKUP(F171,SYS_cliente!$A$5:$A$22500,SYS_cliente!$C$5:$C$22500)-+LOOKUP(F171,SYS_cliente!$A$5:$A$22500,SYS_cliente!$D$5:$D$22500))</f>
        <v>0</v>
      </c>
      <c r="H171" s="179"/>
      <c r="I171" s="181">
        <f>IF(H171=0,0,LOOKUP(H171,SYS_cliente!$A$5:$A$22500,SYS_cliente!$C$5:$C$22500)-+LOOKUP(H171,SYS_cliente!$A$5:$A$22500,SYS_cliente!$D$5:$D$22500))</f>
        <v>0</v>
      </c>
      <c r="O171" s="13"/>
      <c r="Q171"/>
    </row>
    <row r="172" spans="3:17" ht="15" hidden="1" customHeight="1" outlineLevel="1">
      <c r="C172" s="174" t="s">
        <v>644</v>
      </c>
      <c r="D172" s="180"/>
      <c r="E172" s="175">
        <f>+E168+E169-E170-E171</f>
        <v>0</v>
      </c>
      <c r="F172" s="180"/>
      <c r="G172" s="175">
        <f>+G168-SUM(G169:G171)</f>
        <v>0</v>
      </c>
      <c r="H172" s="180"/>
      <c r="I172" s="175">
        <f>+I168-SUM(I169:I171)</f>
        <v>0</v>
      </c>
      <c r="O172" s="13"/>
      <c r="Q172"/>
    </row>
    <row r="173" spans="3:17" ht="15" customHeight="1" collapsed="1">
      <c r="C173" s="169"/>
      <c r="D173" s="169"/>
      <c r="E173" s="169"/>
      <c r="F173" s="169"/>
      <c r="G173" s="170"/>
      <c r="H173" s="169"/>
      <c r="I173" s="169"/>
      <c r="O173" s="13"/>
      <c r="Q173"/>
    </row>
    <row r="174" spans="3:17" ht="15" hidden="1" customHeight="1" outlineLevel="1">
      <c r="C174" s="171" t="s">
        <v>923</v>
      </c>
      <c r="D174" s="178"/>
      <c r="E174" s="172"/>
      <c r="F174" s="178"/>
      <c r="G174" s="172"/>
      <c r="H174" s="178"/>
      <c r="I174" s="172"/>
      <c r="O174" s="13"/>
      <c r="Q174"/>
    </row>
    <row r="175" spans="3:17" ht="15" hidden="1" customHeight="1" outlineLevel="1">
      <c r="C175" s="171" t="s">
        <v>924</v>
      </c>
      <c r="D175" s="178"/>
      <c r="E175" s="172"/>
      <c r="F175" s="178"/>
      <c r="G175" s="172"/>
      <c r="H175" s="178"/>
      <c r="I175" s="172"/>
      <c r="O175" s="13"/>
      <c r="Q175"/>
    </row>
    <row r="176" spans="3:17" ht="15" hidden="1" customHeight="1" outlineLevel="1">
      <c r="C176" s="173" t="s">
        <v>925</v>
      </c>
      <c r="D176" s="179"/>
      <c r="E176" s="181">
        <f>IF(D176=0,0,+LOOKUP(D176,SYS_cliente!$A$5:$A$22500,SYS_cliente!$C$5:$C$22500)-+LOOKUP(D176,SYS_cliente!$A$5:$A$22500,SYS_cliente!$D$5:$D$22500))</f>
        <v>0</v>
      </c>
      <c r="F176" s="179"/>
      <c r="G176" s="181">
        <f>IF(F176=0,0,+LOOKUP(F176,SYS_cliente!$A$5:$A$22500,SYS_cliente!$C$5:$C$22500)-+LOOKUP(F176,SYS_cliente!$A$5:$A$22500,SYS_cliente!$D$5:$D$22500))</f>
        <v>0</v>
      </c>
      <c r="H176" s="179"/>
      <c r="I176" s="181">
        <f>IF(H176=0,0,LOOKUP(H176,SYS_cliente!$A$5:$A$22500,SYS_cliente!$C$5:$C$22500)-+LOOKUP(H176,SYS_cliente!$A$5:$A$22500,SYS_cliente!$D$5:$D$22500))</f>
        <v>0</v>
      </c>
      <c r="O176" s="13"/>
      <c r="Q176"/>
    </row>
    <row r="177" spans="3:17" ht="15" hidden="1" customHeight="1" outlineLevel="1">
      <c r="C177" s="174" t="s">
        <v>644</v>
      </c>
      <c r="D177" s="180"/>
      <c r="E177" s="175">
        <f>+E173+E174-E175-E176</f>
        <v>0</v>
      </c>
      <c r="F177" s="180"/>
      <c r="G177" s="175">
        <f>+G173-SUM(G174:G176)</f>
        <v>0</v>
      </c>
      <c r="H177" s="180"/>
      <c r="I177" s="175">
        <f>+I173-SUM(I174:I176)</f>
        <v>0</v>
      </c>
      <c r="O177" s="13"/>
      <c r="Q177"/>
    </row>
    <row r="178" spans="3:17" ht="15" customHeight="1" collapsed="1">
      <c r="C178" s="169"/>
      <c r="D178" s="169"/>
      <c r="E178" s="169"/>
      <c r="F178" s="169"/>
      <c r="G178" s="170"/>
      <c r="H178" s="169"/>
      <c r="I178" s="169"/>
      <c r="O178" s="13"/>
      <c r="Q178"/>
    </row>
    <row r="179" spans="3:17" ht="15" hidden="1" customHeight="1" outlineLevel="1">
      <c r="C179" s="171" t="s">
        <v>923</v>
      </c>
      <c r="D179" s="178"/>
      <c r="E179" s="172"/>
      <c r="F179" s="178"/>
      <c r="G179" s="172"/>
      <c r="H179" s="178"/>
      <c r="I179" s="172"/>
      <c r="O179" s="13"/>
      <c r="Q179"/>
    </row>
    <row r="180" spans="3:17" ht="15" hidden="1" customHeight="1" outlineLevel="1">
      <c r="C180" s="171" t="s">
        <v>924</v>
      </c>
      <c r="D180" s="178"/>
      <c r="E180" s="172"/>
      <c r="F180" s="178"/>
      <c r="G180" s="172"/>
      <c r="H180" s="178"/>
      <c r="I180" s="172"/>
      <c r="O180" s="13"/>
      <c r="Q180"/>
    </row>
    <row r="181" spans="3:17" ht="15" hidden="1" customHeight="1" outlineLevel="1">
      <c r="C181" s="173" t="s">
        <v>925</v>
      </c>
      <c r="D181" s="179"/>
      <c r="E181" s="181">
        <f>IF(D181=0,0,+LOOKUP(D181,SYS_cliente!$A$5:$A$22500,SYS_cliente!$C$5:$C$22500)-+LOOKUP(D181,SYS_cliente!$A$5:$A$22500,SYS_cliente!$D$5:$D$22500))</f>
        <v>0</v>
      </c>
      <c r="F181" s="179"/>
      <c r="G181" s="181">
        <f>IF(F181=0,0,+LOOKUP(F181,SYS_cliente!$A$5:$A$22500,SYS_cliente!$C$5:$C$22500)-+LOOKUP(F181,SYS_cliente!$A$5:$A$22500,SYS_cliente!$D$5:$D$22500))</f>
        <v>0</v>
      </c>
      <c r="H181" s="179"/>
      <c r="I181" s="181">
        <f>IF(H181=0,0,LOOKUP(H181,SYS_cliente!$A$5:$A$22500,SYS_cliente!$C$5:$C$22500)-+LOOKUP(H181,SYS_cliente!$A$5:$A$22500,SYS_cliente!$D$5:$D$22500))</f>
        <v>0</v>
      </c>
      <c r="O181" s="13"/>
      <c r="Q181"/>
    </row>
    <row r="182" spans="3:17" ht="15" hidden="1" customHeight="1" outlineLevel="1">
      <c r="C182" s="174" t="s">
        <v>644</v>
      </c>
      <c r="D182" s="180"/>
      <c r="E182" s="175">
        <f>+E178+E179-E180-E181</f>
        <v>0</v>
      </c>
      <c r="F182" s="180"/>
      <c r="G182" s="175">
        <f>+G178-SUM(G179:G181)</f>
        <v>0</v>
      </c>
      <c r="H182" s="180"/>
      <c r="I182" s="175">
        <f>+I178-SUM(I179:I181)</f>
        <v>0</v>
      </c>
      <c r="O182" s="13"/>
      <c r="Q182"/>
    </row>
    <row r="183" spans="3:17" ht="15" customHeight="1" collapsed="1">
      <c r="C183" s="169"/>
      <c r="D183" s="169"/>
      <c r="E183" s="169"/>
      <c r="F183" s="169"/>
      <c r="G183" s="170"/>
      <c r="H183" s="169"/>
      <c r="I183" s="169"/>
      <c r="O183" s="13"/>
      <c r="Q183"/>
    </row>
    <row r="184" spans="3:17" ht="15" hidden="1" customHeight="1" outlineLevel="1">
      <c r="C184" s="171" t="s">
        <v>923</v>
      </c>
      <c r="D184" s="178"/>
      <c r="E184" s="172"/>
      <c r="F184" s="178"/>
      <c r="G184" s="172"/>
      <c r="H184" s="178"/>
      <c r="I184" s="172"/>
      <c r="O184" s="13"/>
      <c r="Q184"/>
    </row>
    <row r="185" spans="3:17" ht="15" hidden="1" customHeight="1" outlineLevel="1">
      <c r="C185" s="171" t="s">
        <v>924</v>
      </c>
      <c r="D185" s="178"/>
      <c r="E185" s="172"/>
      <c r="F185" s="178"/>
      <c r="G185" s="172"/>
      <c r="H185" s="178"/>
      <c r="I185" s="172"/>
      <c r="O185" s="13"/>
      <c r="Q185"/>
    </row>
    <row r="186" spans="3:17" ht="15" hidden="1" customHeight="1" outlineLevel="1">
      <c r="C186" s="173" t="s">
        <v>925</v>
      </c>
      <c r="D186" s="179"/>
      <c r="E186" s="181">
        <f>IF(D186=0,0,+LOOKUP(D186,SYS_cliente!$A$5:$A$22500,SYS_cliente!$C$5:$C$22500)-+LOOKUP(D186,SYS_cliente!$A$5:$A$22500,SYS_cliente!$D$5:$D$22500))</f>
        <v>0</v>
      </c>
      <c r="F186" s="179"/>
      <c r="G186" s="181">
        <f>IF(F186=0,0,+LOOKUP(F186,SYS_cliente!$A$5:$A$22500,SYS_cliente!$C$5:$C$22500)-+LOOKUP(F186,SYS_cliente!$A$5:$A$22500,SYS_cliente!$D$5:$D$22500))</f>
        <v>0</v>
      </c>
      <c r="H186" s="179"/>
      <c r="I186" s="181">
        <f>IF(H186=0,0,LOOKUP(H186,SYS_cliente!$A$5:$A$22500,SYS_cliente!$C$5:$C$22500)-+LOOKUP(H186,SYS_cliente!$A$5:$A$22500,SYS_cliente!$D$5:$D$22500))</f>
        <v>0</v>
      </c>
      <c r="O186" s="13"/>
      <c r="Q186"/>
    </row>
    <row r="187" spans="3:17" ht="15" hidden="1" customHeight="1" outlineLevel="1">
      <c r="C187" s="174" t="s">
        <v>644</v>
      </c>
      <c r="D187" s="180"/>
      <c r="E187" s="175">
        <f>+E183+E184-E185-E186</f>
        <v>0</v>
      </c>
      <c r="F187" s="180"/>
      <c r="G187" s="175">
        <f>+G183-SUM(G184:G186)</f>
        <v>0</v>
      </c>
      <c r="H187" s="180"/>
      <c r="I187" s="175">
        <f>+I183-SUM(I184:I186)</f>
        <v>0</v>
      </c>
      <c r="O187" s="13"/>
      <c r="Q187"/>
    </row>
    <row r="188" spans="3:17" ht="15" customHeight="1" collapsed="1">
      <c r="C188" s="169"/>
      <c r="D188" s="169"/>
      <c r="E188" s="169"/>
      <c r="F188" s="169"/>
      <c r="G188" s="170"/>
      <c r="H188" s="169"/>
      <c r="I188" s="169"/>
      <c r="O188" s="13"/>
      <c r="Q188"/>
    </row>
    <row r="189" spans="3:17" ht="15" hidden="1" customHeight="1" outlineLevel="1">
      <c r="C189" s="171" t="s">
        <v>923</v>
      </c>
      <c r="D189" s="178"/>
      <c r="E189" s="172"/>
      <c r="F189" s="178"/>
      <c r="G189" s="172"/>
      <c r="H189" s="178"/>
      <c r="I189" s="172"/>
      <c r="O189" s="13"/>
      <c r="Q189"/>
    </row>
    <row r="190" spans="3:17" ht="15" hidden="1" customHeight="1" outlineLevel="1">
      <c r="C190" s="171" t="s">
        <v>924</v>
      </c>
      <c r="D190" s="178"/>
      <c r="E190" s="172"/>
      <c r="F190" s="178"/>
      <c r="G190" s="172"/>
      <c r="H190" s="178"/>
      <c r="I190" s="172"/>
      <c r="O190" s="13"/>
      <c r="Q190"/>
    </row>
    <row r="191" spans="3:17" ht="15" hidden="1" customHeight="1" outlineLevel="1">
      <c r="C191" s="173" t="s">
        <v>925</v>
      </c>
      <c r="D191" s="179"/>
      <c r="E191" s="181">
        <f>IF(D191=0,0,+LOOKUP(D191,SYS_cliente!$A$5:$A$22500,SYS_cliente!$C$5:$C$22500)-+LOOKUP(D191,SYS_cliente!$A$5:$A$22500,SYS_cliente!$D$5:$D$22500))</f>
        <v>0</v>
      </c>
      <c r="F191" s="179"/>
      <c r="G191" s="181">
        <f>IF(F191=0,0,+LOOKUP(F191,SYS_cliente!$A$5:$A$22500,SYS_cliente!$C$5:$C$22500)-+LOOKUP(F191,SYS_cliente!$A$5:$A$22500,SYS_cliente!$D$5:$D$22500))</f>
        <v>0</v>
      </c>
      <c r="H191" s="179"/>
      <c r="I191" s="181">
        <f>IF(H191=0,0,LOOKUP(H191,SYS_cliente!$A$5:$A$22500,SYS_cliente!$C$5:$C$22500)-+LOOKUP(H191,SYS_cliente!$A$5:$A$22500,SYS_cliente!$D$5:$D$22500))</f>
        <v>0</v>
      </c>
      <c r="O191" s="13"/>
      <c r="Q191"/>
    </row>
    <row r="192" spans="3:17" ht="15" hidden="1" customHeight="1" outlineLevel="1">
      <c r="C192" s="174" t="s">
        <v>644</v>
      </c>
      <c r="D192" s="180"/>
      <c r="E192" s="175">
        <f>+E188+E189-E190-E191</f>
        <v>0</v>
      </c>
      <c r="F192" s="180"/>
      <c r="G192" s="175">
        <f>+G188-SUM(G189:G191)</f>
        <v>0</v>
      </c>
      <c r="H192" s="180"/>
      <c r="I192" s="175">
        <f>+I188-SUM(I189:I191)</f>
        <v>0</v>
      </c>
      <c r="O192" s="13"/>
      <c r="Q192"/>
    </row>
    <row r="193" spans="3:17" ht="15" customHeight="1" collapsed="1">
      <c r="C193" s="169"/>
      <c r="D193" s="169"/>
      <c r="E193" s="169"/>
      <c r="F193" s="169"/>
      <c r="G193" s="170"/>
      <c r="H193" s="169"/>
      <c r="I193" s="169"/>
      <c r="O193" s="13"/>
      <c r="Q193"/>
    </row>
    <row r="194" spans="3:17" ht="15" hidden="1" customHeight="1" outlineLevel="1">
      <c r="C194" s="171" t="s">
        <v>923</v>
      </c>
      <c r="D194" s="178"/>
      <c r="E194" s="172"/>
      <c r="F194" s="178"/>
      <c r="G194" s="172"/>
      <c r="H194" s="178"/>
      <c r="I194" s="172"/>
      <c r="O194" s="13"/>
      <c r="Q194"/>
    </row>
    <row r="195" spans="3:17" ht="15" hidden="1" customHeight="1" outlineLevel="1">
      <c r="C195" s="171" t="s">
        <v>924</v>
      </c>
      <c r="D195" s="178"/>
      <c r="E195" s="172"/>
      <c r="F195" s="178"/>
      <c r="G195" s="172"/>
      <c r="H195" s="178"/>
      <c r="I195" s="172"/>
      <c r="O195" s="13"/>
      <c r="Q195"/>
    </row>
    <row r="196" spans="3:17" ht="15" hidden="1" customHeight="1" outlineLevel="1">
      <c r="C196" s="173" t="s">
        <v>925</v>
      </c>
      <c r="D196" s="179"/>
      <c r="E196" s="181">
        <f>IF(D196=0,0,+LOOKUP(D196,SYS_cliente!$A$5:$A$22500,SYS_cliente!$C$5:$C$22500)-+LOOKUP(D196,SYS_cliente!$A$5:$A$22500,SYS_cliente!$D$5:$D$22500))</f>
        <v>0</v>
      </c>
      <c r="F196" s="179"/>
      <c r="G196" s="181">
        <f>IF(F196=0,0,+LOOKUP(F196,SYS_cliente!$A$5:$A$22500,SYS_cliente!$C$5:$C$22500)-+LOOKUP(F196,SYS_cliente!$A$5:$A$22500,SYS_cliente!$D$5:$D$22500))</f>
        <v>0</v>
      </c>
      <c r="H196" s="179"/>
      <c r="I196" s="181">
        <f>IF(H196=0,0,LOOKUP(H196,SYS_cliente!$A$5:$A$22500,SYS_cliente!$C$5:$C$22500)-+LOOKUP(H196,SYS_cliente!$A$5:$A$22500,SYS_cliente!$D$5:$D$22500))</f>
        <v>0</v>
      </c>
      <c r="O196" s="13"/>
      <c r="Q196"/>
    </row>
    <row r="197" spans="3:17" ht="15" hidden="1" customHeight="1" outlineLevel="1">
      <c r="C197" s="174" t="s">
        <v>644</v>
      </c>
      <c r="D197" s="180"/>
      <c r="E197" s="175">
        <f>+E193+E194-E195-E196</f>
        <v>0</v>
      </c>
      <c r="F197" s="180"/>
      <c r="G197" s="175">
        <f>+G193-SUM(G194:G196)</f>
        <v>0</v>
      </c>
      <c r="H197" s="180"/>
      <c r="I197" s="175">
        <f>+I193-SUM(I194:I196)</f>
        <v>0</v>
      </c>
      <c r="O197" s="13"/>
      <c r="Q197"/>
    </row>
    <row r="198" spans="3:17" ht="15" customHeight="1" collapsed="1">
      <c r="C198" s="169"/>
      <c r="D198" s="169"/>
      <c r="E198" s="169"/>
      <c r="F198" s="169"/>
      <c r="G198" s="170"/>
      <c r="H198" s="169"/>
      <c r="I198" s="169"/>
      <c r="O198" s="13"/>
      <c r="Q198"/>
    </row>
    <row r="199" spans="3:17" ht="15" hidden="1" customHeight="1" outlineLevel="1">
      <c r="C199" s="171" t="s">
        <v>923</v>
      </c>
      <c r="D199" s="178"/>
      <c r="E199" s="172"/>
      <c r="F199" s="178"/>
      <c r="G199" s="172"/>
      <c r="H199" s="178"/>
      <c r="I199" s="172"/>
      <c r="O199" s="13"/>
      <c r="Q199"/>
    </row>
    <row r="200" spans="3:17" ht="15" hidden="1" customHeight="1" outlineLevel="1">
      <c r="C200" s="171" t="s">
        <v>924</v>
      </c>
      <c r="D200" s="178"/>
      <c r="E200" s="172"/>
      <c r="F200" s="178"/>
      <c r="G200" s="172"/>
      <c r="H200" s="178"/>
      <c r="I200" s="172"/>
      <c r="O200" s="13"/>
      <c r="Q200"/>
    </row>
    <row r="201" spans="3:17" ht="15" hidden="1" customHeight="1" outlineLevel="1">
      <c r="C201" s="173" t="s">
        <v>925</v>
      </c>
      <c r="D201" s="179"/>
      <c r="E201" s="181">
        <f>IF(D201=0,0,+LOOKUP(D201,SYS_cliente!$A$5:$A$22500,SYS_cliente!$C$5:$C$22500)-+LOOKUP(D201,SYS_cliente!$A$5:$A$22500,SYS_cliente!$D$5:$D$22500))</f>
        <v>0</v>
      </c>
      <c r="F201" s="179"/>
      <c r="G201" s="181">
        <f>IF(F201=0,0,+LOOKUP(F201,SYS_cliente!$A$5:$A$22500,SYS_cliente!$C$5:$C$22500)-+LOOKUP(F201,SYS_cliente!$A$5:$A$22500,SYS_cliente!$D$5:$D$22500))</f>
        <v>0</v>
      </c>
      <c r="H201" s="179"/>
      <c r="I201" s="181">
        <f>IF(H201=0,0,LOOKUP(H201,SYS_cliente!$A$5:$A$22500,SYS_cliente!$C$5:$C$22500)-+LOOKUP(H201,SYS_cliente!$A$5:$A$22500,SYS_cliente!$D$5:$D$22500))</f>
        <v>0</v>
      </c>
      <c r="O201" s="13"/>
      <c r="Q201"/>
    </row>
    <row r="202" spans="3:17" ht="15" hidden="1" customHeight="1" outlineLevel="1">
      <c r="C202" s="174" t="s">
        <v>644</v>
      </c>
      <c r="D202" s="180"/>
      <c r="E202" s="175">
        <f>+E198+E199-E200-E201</f>
        <v>0</v>
      </c>
      <c r="F202" s="180"/>
      <c r="G202" s="175">
        <f>+G198-SUM(G199:G201)</f>
        <v>0</v>
      </c>
      <c r="H202" s="180"/>
      <c r="I202" s="175">
        <f>+I198-SUM(I199:I201)</f>
        <v>0</v>
      </c>
      <c r="O202" s="13"/>
      <c r="Q202"/>
    </row>
    <row r="203" spans="3:17" ht="15" customHeight="1" collapsed="1">
      <c r="C203" s="169"/>
      <c r="D203" s="169"/>
      <c r="E203" s="169"/>
      <c r="F203" s="169"/>
      <c r="G203" s="170"/>
      <c r="H203" s="169"/>
      <c r="I203" s="169"/>
      <c r="O203" s="13"/>
      <c r="Q203"/>
    </row>
    <row r="204" spans="3:17" ht="15" hidden="1" customHeight="1" outlineLevel="1">
      <c r="C204" s="171" t="s">
        <v>923</v>
      </c>
      <c r="D204" s="178"/>
      <c r="E204" s="172"/>
      <c r="F204" s="178"/>
      <c r="G204" s="172"/>
      <c r="H204" s="178"/>
      <c r="I204" s="172"/>
      <c r="O204" s="13"/>
      <c r="Q204"/>
    </row>
    <row r="205" spans="3:17" ht="15" hidden="1" customHeight="1" outlineLevel="1">
      <c r="C205" s="171" t="s">
        <v>924</v>
      </c>
      <c r="D205" s="178"/>
      <c r="E205" s="172"/>
      <c r="F205" s="178"/>
      <c r="G205" s="172"/>
      <c r="H205" s="178"/>
      <c r="I205" s="172"/>
      <c r="O205" s="13"/>
      <c r="Q205"/>
    </row>
    <row r="206" spans="3:17" ht="15" hidden="1" customHeight="1" outlineLevel="1">
      <c r="C206" s="173" t="s">
        <v>925</v>
      </c>
      <c r="D206" s="179"/>
      <c r="E206" s="181">
        <f>IF(D206=0,0,+LOOKUP(D206,SYS_cliente!$A$5:$A$22500,SYS_cliente!$C$5:$C$22500)-+LOOKUP(D206,SYS_cliente!$A$5:$A$22500,SYS_cliente!$D$5:$D$22500))</f>
        <v>0</v>
      </c>
      <c r="F206" s="179"/>
      <c r="G206" s="181">
        <f>IF(F206=0,0,+LOOKUP(F206,SYS_cliente!$A$5:$A$22500,SYS_cliente!$C$5:$C$22500)-+LOOKUP(F206,SYS_cliente!$A$5:$A$22500,SYS_cliente!$D$5:$D$22500))</f>
        <v>0</v>
      </c>
      <c r="H206" s="179"/>
      <c r="I206" s="181">
        <f>IF(H206=0,0,LOOKUP(H206,SYS_cliente!$A$5:$A$22500,SYS_cliente!$C$5:$C$22500)-+LOOKUP(H206,SYS_cliente!$A$5:$A$22500,SYS_cliente!$D$5:$D$22500))</f>
        <v>0</v>
      </c>
      <c r="O206" s="13"/>
      <c r="Q206"/>
    </row>
    <row r="207" spans="3:17" ht="15" hidden="1" customHeight="1" outlineLevel="1">
      <c r="C207" s="174" t="s">
        <v>644</v>
      </c>
      <c r="D207" s="180"/>
      <c r="E207" s="175">
        <f>+E203+E204-E205-E206</f>
        <v>0</v>
      </c>
      <c r="F207" s="180"/>
      <c r="G207" s="175">
        <f>+G203-SUM(G204:G206)</f>
        <v>0</v>
      </c>
      <c r="H207" s="180"/>
      <c r="I207" s="175">
        <f>+I203-SUM(I204:I206)</f>
        <v>0</v>
      </c>
      <c r="O207" s="13"/>
      <c r="Q207"/>
    </row>
    <row r="208" spans="3:17" ht="15" customHeight="1" collapsed="1">
      <c r="C208" s="169"/>
      <c r="D208" s="169"/>
      <c r="E208" s="169"/>
      <c r="F208" s="169"/>
      <c r="G208" s="170"/>
      <c r="H208" s="169"/>
      <c r="I208" s="169"/>
      <c r="O208" s="13"/>
      <c r="Q208"/>
    </row>
    <row r="209" spans="3:17" ht="15" hidden="1" customHeight="1" outlineLevel="1">
      <c r="C209" s="171" t="s">
        <v>923</v>
      </c>
      <c r="D209" s="178"/>
      <c r="E209" s="172"/>
      <c r="F209" s="178"/>
      <c r="G209" s="172"/>
      <c r="H209" s="178"/>
      <c r="I209" s="172"/>
      <c r="O209" s="13"/>
      <c r="Q209"/>
    </row>
    <row r="210" spans="3:17" ht="15" hidden="1" customHeight="1" outlineLevel="1">
      <c r="C210" s="171" t="s">
        <v>924</v>
      </c>
      <c r="D210" s="178"/>
      <c r="E210" s="172"/>
      <c r="F210" s="178"/>
      <c r="G210" s="172"/>
      <c r="H210" s="178"/>
      <c r="I210" s="172"/>
      <c r="O210" s="13"/>
      <c r="Q210"/>
    </row>
    <row r="211" spans="3:17" ht="15" hidden="1" customHeight="1" outlineLevel="1">
      <c r="C211" s="173" t="s">
        <v>925</v>
      </c>
      <c r="D211" s="179"/>
      <c r="E211" s="181">
        <f>IF(D211=0,0,+LOOKUP(D211,SYS_cliente!$A$5:$A$22500,SYS_cliente!$C$5:$C$22500)-+LOOKUP(D211,SYS_cliente!$A$5:$A$22500,SYS_cliente!$D$5:$D$22500))</f>
        <v>0</v>
      </c>
      <c r="F211" s="179"/>
      <c r="G211" s="181">
        <f>IF(F211=0,0,+LOOKUP(F211,SYS_cliente!$A$5:$A$22500,SYS_cliente!$C$5:$C$22500)-+LOOKUP(F211,SYS_cliente!$A$5:$A$22500,SYS_cliente!$D$5:$D$22500))</f>
        <v>0</v>
      </c>
      <c r="H211" s="179"/>
      <c r="I211" s="181">
        <f>IF(H211=0,0,LOOKUP(H211,SYS_cliente!$A$5:$A$22500,SYS_cliente!$C$5:$C$22500)-+LOOKUP(H211,SYS_cliente!$A$5:$A$22500,SYS_cliente!$D$5:$D$22500))</f>
        <v>0</v>
      </c>
      <c r="O211" s="13"/>
      <c r="Q211"/>
    </row>
    <row r="212" spans="3:17" ht="15" hidden="1" customHeight="1" outlineLevel="1">
      <c r="C212" s="174" t="s">
        <v>644</v>
      </c>
      <c r="D212" s="180"/>
      <c r="E212" s="175">
        <f>+E208+E209-E210-E211</f>
        <v>0</v>
      </c>
      <c r="F212" s="180"/>
      <c r="G212" s="175">
        <f>+G208-SUM(G209:G211)</f>
        <v>0</v>
      </c>
      <c r="H212" s="180"/>
      <c r="I212" s="175">
        <f>+I208-SUM(I209:I211)</f>
        <v>0</v>
      </c>
      <c r="O212" s="13"/>
      <c r="Q212"/>
    </row>
    <row r="213" spans="3:17" ht="15" customHeight="1" collapsed="1">
      <c r="C213" s="169"/>
      <c r="D213" s="169"/>
      <c r="E213" s="169"/>
      <c r="F213" s="169"/>
      <c r="G213" s="170"/>
      <c r="H213" s="169"/>
      <c r="I213" s="169"/>
      <c r="O213" s="13"/>
      <c r="Q213"/>
    </row>
    <row r="214" spans="3:17" ht="15" hidden="1" customHeight="1" outlineLevel="1">
      <c r="C214" s="171" t="s">
        <v>923</v>
      </c>
      <c r="D214" s="178"/>
      <c r="E214" s="172"/>
      <c r="F214" s="178"/>
      <c r="G214" s="172"/>
      <c r="H214" s="178"/>
      <c r="I214" s="172"/>
      <c r="O214" s="13"/>
      <c r="Q214"/>
    </row>
    <row r="215" spans="3:17" ht="15" hidden="1" customHeight="1" outlineLevel="1">
      <c r="C215" s="171" t="s">
        <v>924</v>
      </c>
      <c r="D215" s="178"/>
      <c r="E215" s="172"/>
      <c r="F215" s="178"/>
      <c r="G215" s="172"/>
      <c r="H215" s="178"/>
      <c r="I215" s="172"/>
      <c r="O215" s="13"/>
      <c r="Q215"/>
    </row>
    <row r="216" spans="3:17" ht="15" hidden="1" customHeight="1" outlineLevel="1">
      <c r="C216" s="173" t="s">
        <v>925</v>
      </c>
      <c r="D216" s="179"/>
      <c r="E216" s="181">
        <f>IF(D216=0,0,+LOOKUP(D216,SYS_cliente!$A$5:$A$22500,SYS_cliente!$C$5:$C$22500)-+LOOKUP(D216,SYS_cliente!$A$5:$A$22500,SYS_cliente!$D$5:$D$22500))</f>
        <v>0</v>
      </c>
      <c r="F216" s="179"/>
      <c r="G216" s="181">
        <f>IF(F216=0,0,+LOOKUP(F216,SYS_cliente!$A$5:$A$22500,SYS_cliente!$C$5:$C$22500)-+LOOKUP(F216,SYS_cliente!$A$5:$A$22500,SYS_cliente!$D$5:$D$22500))</f>
        <v>0</v>
      </c>
      <c r="H216" s="179"/>
      <c r="I216" s="181">
        <f>IF(H216=0,0,LOOKUP(H216,SYS_cliente!$A$5:$A$22500,SYS_cliente!$C$5:$C$22500)-+LOOKUP(H216,SYS_cliente!$A$5:$A$22500,SYS_cliente!$D$5:$D$22500))</f>
        <v>0</v>
      </c>
      <c r="O216" s="13"/>
      <c r="Q216"/>
    </row>
    <row r="217" spans="3:17" ht="15" hidden="1" customHeight="1" outlineLevel="1">
      <c r="C217" s="174" t="s">
        <v>644</v>
      </c>
      <c r="D217" s="180"/>
      <c r="E217" s="175">
        <f>+E213+E214-E215-E216</f>
        <v>0</v>
      </c>
      <c r="F217" s="180"/>
      <c r="G217" s="175">
        <f>+G213-SUM(G214:G216)</f>
        <v>0</v>
      </c>
      <c r="H217" s="180"/>
      <c r="I217" s="175">
        <f>+I213-SUM(I214:I216)</f>
        <v>0</v>
      </c>
      <c r="O217" s="13"/>
      <c r="Q217"/>
    </row>
    <row r="218" spans="3:17" ht="15" customHeight="1" collapsed="1">
      <c r="C218" s="169"/>
      <c r="D218" s="169"/>
      <c r="E218" s="169"/>
      <c r="F218" s="169"/>
      <c r="G218" s="170"/>
      <c r="H218" s="169"/>
      <c r="I218" s="169"/>
      <c r="O218" s="13"/>
      <c r="Q218"/>
    </row>
    <row r="219" spans="3:17" ht="15" hidden="1" customHeight="1" outlineLevel="1">
      <c r="C219" s="171" t="s">
        <v>923</v>
      </c>
      <c r="D219" s="178"/>
      <c r="E219" s="172"/>
      <c r="F219" s="178"/>
      <c r="G219" s="172"/>
      <c r="H219" s="178"/>
      <c r="I219" s="172"/>
      <c r="O219" s="13"/>
      <c r="Q219"/>
    </row>
    <row r="220" spans="3:17" ht="15" hidden="1" customHeight="1" outlineLevel="1">
      <c r="C220" s="171" t="s">
        <v>924</v>
      </c>
      <c r="D220" s="178"/>
      <c r="E220" s="172"/>
      <c r="F220" s="178"/>
      <c r="G220" s="172"/>
      <c r="H220" s="178"/>
      <c r="I220" s="172"/>
      <c r="O220" s="13"/>
      <c r="Q220"/>
    </row>
    <row r="221" spans="3:17" ht="15" hidden="1" customHeight="1" outlineLevel="1">
      <c r="C221" s="173" t="s">
        <v>925</v>
      </c>
      <c r="D221" s="179"/>
      <c r="E221" s="181">
        <f>IF(D221=0,0,+LOOKUP(D221,SYS_cliente!$A$5:$A$22500,SYS_cliente!$C$5:$C$22500)-+LOOKUP(D221,SYS_cliente!$A$5:$A$22500,SYS_cliente!$D$5:$D$22500))</f>
        <v>0</v>
      </c>
      <c r="F221" s="179"/>
      <c r="G221" s="181">
        <f>IF(F221=0,0,+LOOKUP(F221,SYS_cliente!$A$5:$A$22500,SYS_cliente!$C$5:$C$22500)-+LOOKUP(F221,SYS_cliente!$A$5:$A$22500,SYS_cliente!$D$5:$D$22500))</f>
        <v>0</v>
      </c>
      <c r="H221" s="179"/>
      <c r="I221" s="181">
        <f>IF(H221=0,0,LOOKUP(H221,SYS_cliente!$A$5:$A$22500,SYS_cliente!$C$5:$C$22500)-+LOOKUP(H221,SYS_cliente!$A$5:$A$22500,SYS_cliente!$D$5:$D$22500))</f>
        <v>0</v>
      </c>
      <c r="O221" s="13"/>
      <c r="Q221"/>
    </row>
    <row r="222" spans="3:17" ht="15" hidden="1" customHeight="1" outlineLevel="1">
      <c r="C222" s="174" t="s">
        <v>644</v>
      </c>
      <c r="D222" s="180"/>
      <c r="E222" s="175">
        <f>+E218+E219-E220-E221</f>
        <v>0</v>
      </c>
      <c r="F222" s="180"/>
      <c r="G222" s="175">
        <f>+G218-SUM(G219:G221)</f>
        <v>0</v>
      </c>
      <c r="H222" s="180"/>
      <c r="I222" s="175">
        <f>+I218-SUM(I219:I221)</f>
        <v>0</v>
      </c>
      <c r="O222" s="13"/>
      <c r="Q222"/>
    </row>
    <row r="223" spans="3:17" ht="15" customHeight="1" collapsed="1">
      <c r="C223" s="169"/>
      <c r="D223" s="169"/>
      <c r="E223" s="169"/>
      <c r="F223" s="169"/>
      <c r="G223" s="170"/>
      <c r="H223" s="169"/>
      <c r="I223" s="169"/>
      <c r="O223" s="13"/>
      <c r="Q223"/>
    </row>
    <row r="224" spans="3:17" ht="15" hidden="1" customHeight="1" outlineLevel="1">
      <c r="C224" s="171" t="s">
        <v>923</v>
      </c>
      <c r="D224" s="178"/>
      <c r="E224" s="172"/>
      <c r="F224" s="178"/>
      <c r="G224" s="172"/>
      <c r="H224" s="178"/>
      <c r="I224" s="172"/>
      <c r="O224" s="13"/>
      <c r="Q224"/>
    </row>
    <row r="225" spans="3:17" ht="15" hidden="1" customHeight="1" outlineLevel="1">
      <c r="C225" s="171" t="s">
        <v>924</v>
      </c>
      <c r="D225" s="178"/>
      <c r="E225" s="172"/>
      <c r="F225" s="178"/>
      <c r="G225" s="172"/>
      <c r="H225" s="178"/>
      <c r="I225" s="172"/>
      <c r="O225" s="13"/>
      <c r="Q225"/>
    </row>
    <row r="226" spans="3:17" ht="15" hidden="1" customHeight="1" outlineLevel="1">
      <c r="C226" s="173" t="s">
        <v>925</v>
      </c>
      <c r="D226" s="179"/>
      <c r="E226" s="181">
        <f>IF(D226=0,0,+LOOKUP(D226,SYS_cliente!$A$5:$A$22500,SYS_cliente!$C$5:$C$22500)-+LOOKUP(D226,SYS_cliente!$A$5:$A$22500,SYS_cliente!$D$5:$D$22500))</f>
        <v>0</v>
      </c>
      <c r="F226" s="179"/>
      <c r="G226" s="181">
        <f>IF(F226=0,0,+LOOKUP(F226,SYS_cliente!$A$5:$A$22500,SYS_cliente!$C$5:$C$22500)-+LOOKUP(F226,SYS_cliente!$A$5:$A$22500,SYS_cliente!$D$5:$D$22500))</f>
        <v>0</v>
      </c>
      <c r="H226" s="179"/>
      <c r="I226" s="181">
        <f>IF(H226=0,0,LOOKUP(H226,SYS_cliente!$A$5:$A$22500,SYS_cliente!$C$5:$C$22500)-+LOOKUP(H226,SYS_cliente!$A$5:$A$22500,SYS_cliente!$D$5:$D$22500))</f>
        <v>0</v>
      </c>
      <c r="O226" s="13"/>
      <c r="Q226"/>
    </row>
    <row r="227" spans="3:17" ht="15" hidden="1" customHeight="1" outlineLevel="1">
      <c r="C227" s="174" t="s">
        <v>644</v>
      </c>
      <c r="D227" s="180"/>
      <c r="E227" s="175">
        <f>+E223+E224-E225-E226</f>
        <v>0</v>
      </c>
      <c r="F227" s="180"/>
      <c r="G227" s="175">
        <f>+G223-SUM(G224:G226)</f>
        <v>0</v>
      </c>
      <c r="H227" s="180"/>
      <c r="I227" s="175">
        <f>+I223-SUM(I224:I226)</f>
        <v>0</v>
      </c>
      <c r="O227" s="13"/>
      <c r="Q227"/>
    </row>
    <row r="228" spans="3:17" ht="15" customHeight="1" collapsed="1">
      <c r="C228" s="169"/>
      <c r="D228" s="169"/>
      <c r="E228" s="169"/>
      <c r="F228" s="169"/>
      <c r="G228" s="170"/>
      <c r="H228" s="169"/>
      <c r="I228" s="169"/>
      <c r="O228" s="13"/>
      <c r="Q228"/>
    </row>
    <row r="229" spans="3:17" ht="15" hidden="1" customHeight="1" outlineLevel="1">
      <c r="C229" s="171" t="s">
        <v>923</v>
      </c>
      <c r="D229" s="178"/>
      <c r="E229" s="172"/>
      <c r="F229" s="178"/>
      <c r="G229" s="172"/>
      <c r="H229" s="178"/>
      <c r="I229" s="172"/>
      <c r="O229" s="13"/>
      <c r="Q229"/>
    </row>
    <row r="230" spans="3:17" ht="15" hidden="1" customHeight="1" outlineLevel="1">
      <c r="C230" s="171" t="s">
        <v>924</v>
      </c>
      <c r="D230" s="178"/>
      <c r="E230" s="172"/>
      <c r="F230" s="178"/>
      <c r="G230" s="172"/>
      <c r="H230" s="178"/>
      <c r="I230" s="172"/>
      <c r="O230" s="13"/>
      <c r="Q230"/>
    </row>
    <row r="231" spans="3:17" ht="15" hidden="1" customHeight="1" outlineLevel="1">
      <c r="C231" s="173" t="s">
        <v>925</v>
      </c>
      <c r="D231" s="179"/>
      <c r="E231" s="181">
        <f>IF(D231=0,0,+LOOKUP(D231,SYS_cliente!$A$5:$A$22500,SYS_cliente!$C$5:$C$22500)-+LOOKUP(D231,SYS_cliente!$A$5:$A$22500,SYS_cliente!$D$5:$D$22500))</f>
        <v>0</v>
      </c>
      <c r="F231" s="179"/>
      <c r="G231" s="181">
        <f>IF(F231=0,0,+LOOKUP(F231,SYS_cliente!$A$5:$A$22500,SYS_cliente!$C$5:$C$22500)-+LOOKUP(F231,SYS_cliente!$A$5:$A$22500,SYS_cliente!$D$5:$D$22500))</f>
        <v>0</v>
      </c>
      <c r="H231" s="179"/>
      <c r="I231" s="181">
        <f>IF(H231=0,0,LOOKUP(H231,SYS_cliente!$A$5:$A$22500,SYS_cliente!$C$5:$C$22500)-+LOOKUP(H231,SYS_cliente!$A$5:$A$22500,SYS_cliente!$D$5:$D$22500))</f>
        <v>0</v>
      </c>
      <c r="O231" s="13"/>
      <c r="Q231"/>
    </row>
    <row r="232" spans="3:17" ht="15" hidden="1" customHeight="1" outlineLevel="1">
      <c r="C232" s="174" t="s">
        <v>644</v>
      </c>
      <c r="D232" s="180"/>
      <c r="E232" s="175">
        <f>+E228+E229-E230-E231</f>
        <v>0</v>
      </c>
      <c r="F232" s="180"/>
      <c r="G232" s="175">
        <f>+G228-SUM(G229:G231)</f>
        <v>0</v>
      </c>
      <c r="H232" s="180"/>
      <c r="I232" s="175">
        <f>+I228-SUM(I229:I231)</f>
        <v>0</v>
      </c>
      <c r="O232" s="13"/>
      <c r="Q232"/>
    </row>
    <row r="233" spans="3:17" ht="15" customHeight="1" collapsed="1"/>
  </sheetData>
  <sheetProtection selectLockedCells="1"/>
  <mergeCells count="3">
    <mergeCell ref="D5:F5"/>
    <mergeCell ref="D7:F7"/>
    <mergeCell ref="C13:F13"/>
  </mergeCells>
  <dataValidations disablePrompts="1" count="4">
    <dataValidation allowBlank="1" showInputMessage="1" showErrorMessage="1" promptTitle="524" prompt="PDTE PAGO CP 01" sqref="F15" xr:uid="{00000000-0002-0000-1100-000000000000}"/>
    <dataValidation allowBlank="1" showInputMessage="1" showErrorMessage="1" promptTitle="479" prompt="SALDO IMP DIF 01" sqref="E15" xr:uid="{00000000-0002-0000-1100-000001000000}"/>
    <dataValidation allowBlank="1" showInputMessage="1" showErrorMessage="1" promptTitle="174" prompt="PDTE PAGO LP 01" sqref="D15" xr:uid="{00000000-0002-0000-1100-000002000000}"/>
    <dataValidation type="list" allowBlank="1" showInputMessage="1" showErrorMessage="1" sqref="G16:G18" xr:uid="{00000000-0002-0000-1100-000003000000}">
      <formula1>#REF!</formula1>
    </dataValidation>
  </dataValidations>
  <printOptions horizontalCentered="1"/>
  <pageMargins left="0.23622047244094491" right="0.23622047244094491" top="0.55118110236220474" bottom="0.35433070866141736" header="0.31496062992125984" footer="0.31496062992125984"/>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basedatosleasing">
                <anchor moveWithCells="1" sizeWithCells="1">
                  <from>
                    <xdr:col>3</xdr:col>
                    <xdr:colOff>190500</xdr:colOff>
                    <xdr:row>8</xdr:row>
                    <xdr:rowOff>76200</xdr:rowOff>
                  </from>
                  <to>
                    <xdr:col>3</xdr:col>
                    <xdr:colOff>1257300</xdr:colOff>
                    <xdr:row>10</xdr:row>
                    <xdr:rowOff>114300</xdr:rowOff>
                  </to>
                </anchor>
              </controlPr>
            </control>
          </mc:Choice>
        </mc:AlternateContent>
        <mc:AlternateContent xmlns:mc="http://schemas.openxmlformats.org/markup-compatibility/2006">
          <mc:Choice Requires="x14">
            <control shapeId="35842" r:id="rId5" name="Button 2">
              <controlPr defaultSize="0" print="0" autoFill="0" autoPict="0" macro="[0]!actualizarleasing">
                <anchor moveWithCells="1" sizeWithCells="1">
                  <from>
                    <xdr:col>7</xdr:col>
                    <xdr:colOff>457200</xdr:colOff>
                    <xdr:row>8</xdr:row>
                    <xdr:rowOff>38100</xdr:rowOff>
                  </from>
                  <to>
                    <xdr:col>8</xdr:col>
                    <xdr:colOff>236220</xdr:colOff>
                    <xdr:row>10</xdr:row>
                    <xdr:rowOff>83820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2"/>
  <dimension ref="A4:IV211"/>
  <sheetViews>
    <sheetView showGridLines="0" showRowColHeaders="0" zoomScaleNormal="100" workbookViewId="0">
      <pane xSplit="1" ySplit="4" topLeftCell="B5" activePane="bottomRight" state="frozen"/>
      <selection activeCell="G9" sqref="G9"/>
      <selection pane="topRight" activeCell="G9" sqref="G9"/>
      <selection pane="bottomLeft" activeCell="G9" sqref="G9"/>
      <selection pane="bottomRight" activeCell="B5" sqref="B5:B30"/>
    </sheetView>
  </sheetViews>
  <sheetFormatPr baseColWidth="10" defaultColWidth="11.44140625" defaultRowHeight="14.4" outlineLevelCol="1"/>
  <cols>
    <col min="1" max="1" width="5" hidden="1" customWidth="1" outlineLevel="1"/>
    <col min="2" max="2" width="11" style="527" bestFit="1" customWidth="1" collapsed="1"/>
    <col min="3" max="3" width="11.44140625" style="136" bestFit="1" customWidth="1"/>
    <col min="4" max="4" width="15.44140625" hidden="1" customWidth="1" outlineLevel="1"/>
    <col min="5" max="5" width="11.44140625" style="136" bestFit="1" customWidth="1" collapsed="1"/>
    <col min="6" max="6" width="43.5546875" hidden="1" customWidth="1" outlineLevel="1"/>
    <col min="7" max="7" width="23" hidden="1" customWidth="1" outlineLevel="1"/>
    <col min="8" max="9" width="14" hidden="1" customWidth="1" outlineLevel="1"/>
    <col min="10" max="10" width="16" hidden="1" customWidth="1" outlineLevel="1"/>
    <col min="11" max="11" width="16.44140625" hidden="1" customWidth="1" outlineLevel="1"/>
    <col min="12" max="12" width="15" hidden="1" customWidth="1" outlineLevel="1"/>
    <col min="13" max="13" width="16" hidden="1" customWidth="1" outlineLevel="1"/>
    <col min="14" max="14" width="15.5546875" hidden="1" customWidth="1" outlineLevel="1"/>
    <col min="15" max="15" width="16" hidden="1" customWidth="1" outlineLevel="1"/>
    <col min="16" max="16" width="14" hidden="1" customWidth="1" outlineLevel="1"/>
    <col min="17" max="17" width="10" hidden="1" customWidth="1" outlineLevel="1"/>
    <col min="18" max="18" width="14.44140625" hidden="1" customWidth="1" outlineLevel="1"/>
    <col min="19" max="19" width="17" hidden="1" customWidth="1" outlineLevel="1"/>
    <col min="20" max="20" width="11.44140625" style="539" bestFit="1" customWidth="1" collapsed="1"/>
    <col min="21" max="21" width="17.5546875" style="538" hidden="1" customWidth="1" outlineLevel="1"/>
    <col min="22" max="22" width="16" style="538" hidden="1" customWidth="1" outlineLevel="1"/>
    <col min="23" max="23" width="15.44140625" style="538" hidden="1" customWidth="1" outlineLevel="1"/>
    <col min="24" max="24" width="11.44140625" style="539" bestFit="1" customWidth="1" collapsed="1"/>
    <col min="25" max="26" width="11.44140625" style="539" bestFit="1" customWidth="1"/>
    <col min="27" max="27" width="17" style="538" hidden="1" customWidth="1" outlineLevel="1"/>
    <col min="28" max="28" width="11.44140625" style="539" bestFit="1" customWidth="1" collapsed="1"/>
    <col min="29" max="30" width="11.44140625" style="539" bestFit="1" customWidth="1"/>
    <col min="31" max="31" width="16" hidden="1" customWidth="1" outlineLevel="1"/>
    <col min="32" max="32" width="10" hidden="1" customWidth="1" outlineLevel="1"/>
    <col min="33" max="33" width="14.44140625" hidden="1" customWidth="1" outlineLevel="1"/>
    <col min="34" max="34" width="17" hidden="1" customWidth="1" outlineLevel="1"/>
    <col min="35" max="35" width="14" hidden="1" customWidth="1" outlineLevel="1"/>
    <col min="36" max="36" width="17.5546875" hidden="1" customWidth="1" outlineLevel="1"/>
    <col min="37" max="37" width="16" hidden="1" customWidth="1" outlineLevel="1"/>
    <col min="38" max="38" width="15.44140625" hidden="1" customWidth="1" outlineLevel="1"/>
    <col min="39" max="39" width="17" hidden="1" customWidth="1" outlineLevel="1"/>
    <col min="40" max="41" width="18" hidden="1" customWidth="1" outlineLevel="1"/>
    <col min="42" max="42" width="17" hidden="1" customWidth="1" outlineLevel="1"/>
    <col min="43" max="44" width="14" hidden="1" customWidth="1" outlineLevel="1"/>
    <col min="45" max="45" width="18" hidden="1" customWidth="1" outlineLevel="1"/>
    <col min="46" max="46" width="16" hidden="1" customWidth="1" outlineLevel="1"/>
    <col min="47" max="47" width="10" hidden="1" customWidth="1" outlineLevel="1"/>
    <col min="48" max="48" width="14.44140625" hidden="1" customWidth="1" outlineLevel="1"/>
    <col min="49" max="49" width="17" hidden="1" customWidth="1" outlineLevel="1"/>
    <col min="50" max="50" width="14" hidden="1" customWidth="1" outlineLevel="1"/>
    <col min="51" max="51" width="17.5546875" hidden="1" customWidth="1" outlineLevel="1"/>
    <col min="52" max="52" width="16" hidden="1" customWidth="1" outlineLevel="1"/>
    <col min="53" max="53" width="15.44140625" hidden="1" customWidth="1" outlineLevel="1"/>
    <col min="54" max="54" width="17" hidden="1" customWidth="1" outlineLevel="1"/>
    <col min="55" max="56" width="18" hidden="1" customWidth="1" outlineLevel="1"/>
    <col min="57" max="57" width="17" hidden="1" customWidth="1" outlineLevel="1"/>
    <col min="58" max="59" width="14" hidden="1" customWidth="1" outlineLevel="1"/>
    <col min="60" max="60" width="18" hidden="1" customWidth="1" outlineLevel="1"/>
    <col min="61" max="61" width="16" hidden="1" customWidth="1" outlineLevel="1"/>
    <col min="62" max="62" width="10" hidden="1" customWidth="1" outlineLevel="1"/>
    <col min="63" max="63" width="14.44140625" hidden="1" customWidth="1" outlineLevel="1"/>
    <col min="64" max="64" width="17" hidden="1" customWidth="1" outlineLevel="1"/>
    <col min="65" max="65" width="14" hidden="1" customWidth="1" outlineLevel="1"/>
    <col min="66" max="66" width="17.5546875" hidden="1" customWidth="1" outlineLevel="1"/>
    <col min="67" max="67" width="16" hidden="1" customWidth="1" outlineLevel="1"/>
    <col min="68" max="68" width="15.44140625" hidden="1" customWidth="1" outlineLevel="1"/>
    <col min="69" max="69" width="17" hidden="1" customWidth="1" outlineLevel="1"/>
    <col min="70" max="71" width="18" hidden="1" customWidth="1" outlineLevel="1"/>
    <col min="72" max="72" width="17" hidden="1" customWidth="1" outlineLevel="1"/>
    <col min="73" max="74" width="14" hidden="1" customWidth="1" outlineLevel="1"/>
    <col min="75" max="75" width="18" hidden="1" customWidth="1" outlineLevel="1"/>
    <col min="76" max="76" width="16" hidden="1" customWidth="1" outlineLevel="1"/>
    <col min="77" max="77" width="10" hidden="1" customWidth="1" outlineLevel="1"/>
    <col min="78" max="78" width="14.44140625" hidden="1" customWidth="1" outlineLevel="1"/>
    <col min="79" max="79" width="17" hidden="1" customWidth="1" outlineLevel="1"/>
    <col min="80" max="80" width="14" hidden="1" customWidth="1" outlineLevel="1"/>
    <col min="81" max="81" width="17.5546875" hidden="1" customWidth="1" outlineLevel="1"/>
    <col min="82" max="82" width="16" hidden="1" customWidth="1" outlineLevel="1"/>
    <col min="83" max="83" width="15.44140625" hidden="1" customWidth="1" outlineLevel="1"/>
    <col min="84" max="84" width="17" hidden="1" customWidth="1" outlineLevel="1"/>
    <col min="85" max="86" width="18" hidden="1" customWidth="1" outlineLevel="1"/>
    <col min="87" max="87" width="17" hidden="1" customWidth="1" outlineLevel="1"/>
    <col min="88" max="89" width="14" hidden="1" customWidth="1" outlineLevel="1"/>
    <col min="90" max="90" width="18" hidden="1" customWidth="1" outlineLevel="1"/>
    <col min="91" max="91" width="16" hidden="1" customWidth="1" outlineLevel="1"/>
    <col min="92" max="92" width="10" hidden="1" customWidth="1" outlineLevel="1"/>
    <col min="93" max="93" width="14.44140625" hidden="1" customWidth="1" outlineLevel="1"/>
    <col min="94" max="94" width="17" hidden="1" customWidth="1" outlineLevel="1"/>
    <col min="95" max="95" width="14" hidden="1" customWidth="1" outlineLevel="1"/>
    <col min="96" max="96" width="17.5546875" hidden="1" customWidth="1" outlineLevel="1"/>
    <col min="97" max="97" width="16" hidden="1" customWidth="1" outlineLevel="1"/>
    <col min="98" max="98" width="15.44140625" hidden="1" customWidth="1" outlineLevel="1"/>
    <col min="99" max="99" width="17" hidden="1" customWidth="1" outlineLevel="1"/>
    <col min="100" max="101" width="18" hidden="1" customWidth="1" outlineLevel="1"/>
    <col min="102" max="102" width="17" hidden="1" customWidth="1" outlineLevel="1"/>
    <col min="103" max="104" width="14" hidden="1" customWidth="1" outlineLevel="1"/>
    <col min="105" max="105" width="18" hidden="1" customWidth="1" outlineLevel="1"/>
    <col min="106" max="106" width="16" hidden="1" customWidth="1" outlineLevel="1"/>
    <col min="107" max="107" width="10" hidden="1" customWidth="1" outlineLevel="1"/>
    <col min="108" max="108" width="14.44140625" hidden="1" customWidth="1" outlineLevel="1"/>
    <col min="109" max="109" width="17" hidden="1" customWidth="1" outlineLevel="1"/>
    <col min="110" max="110" width="14" hidden="1" customWidth="1" outlineLevel="1"/>
    <col min="111" max="111" width="17.5546875" hidden="1" customWidth="1" outlineLevel="1"/>
    <col min="112" max="112" width="16" hidden="1" customWidth="1" outlineLevel="1"/>
    <col min="113" max="113" width="15.44140625" hidden="1" customWidth="1" outlineLevel="1"/>
    <col min="114" max="114" width="17" hidden="1" customWidth="1" outlineLevel="1"/>
    <col min="115" max="116" width="18" hidden="1" customWidth="1" outlineLevel="1"/>
    <col min="117" max="117" width="17" hidden="1" customWidth="1" outlineLevel="1"/>
    <col min="118" max="119" width="14" hidden="1" customWidth="1" outlineLevel="1"/>
    <col min="120" max="120" width="18" hidden="1" customWidth="1" outlineLevel="1"/>
    <col min="121" max="121" width="16" hidden="1" customWidth="1" outlineLevel="1"/>
    <col min="122" max="122" width="10" hidden="1" customWidth="1" outlineLevel="1"/>
    <col min="123" max="123" width="14.44140625" hidden="1" customWidth="1" outlineLevel="1"/>
    <col min="124" max="124" width="17" hidden="1" customWidth="1" outlineLevel="1"/>
    <col min="125" max="125" width="14" hidden="1" customWidth="1" outlineLevel="1"/>
    <col min="126" max="126" width="17.5546875" hidden="1" customWidth="1" outlineLevel="1"/>
    <col min="127" max="127" width="16" hidden="1" customWidth="1" outlineLevel="1"/>
    <col min="128" max="128" width="15.44140625" hidden="1" customWidth="1" outlineLevel="1"/>
    <col min="129" max="129" width="17" hidden="1" customWidth="1" outlineLevel="1"/>
    <col min="130" max="131" width="18" hidden="1" customWidth="1" outlineLevel="1"/>
    <col min="132" max="132" width="17" hidden="1" customWidth="1" outlineLevel="1"/>
    <col min="133" max="134" width="14" hidden="1" customWidth="1" outlineLevel="1"/>
    <col min="135" max="135" width="18" hidden="1" customWidth="1" outlineLevel="1"/>
    <col min="136" max="136" width="16" hidden="1" customWidth="1" outlineLevel="1"/>
    <col min="137" max="137" width="10" hidden="1" customWidth="1" outlineLevel="1"/>
    <col min="138" max="138" width="14.44140625" hidden="1" customWidth="1" outlineLevel="1"/>
    <col min="139" max="139" width="17" hidden="1" customWidth="1" outlineLevel="1"/>
    <col min="140" max="140" width="14" hidden="1" customWidth="1" outlineLevel="1"/>
    <col min="141" max="141" width="17.5546875" hidden="1" customWidth="1" outlineLevel="1"/>
    <col min="142" max="142" width="16" hidden="1" customWidth="1" outlineLevel="1"/>
    <col min="143" max="143" width="15.44140625" hidden="1" customWidth="1" outlineLevel="1"/>
    <col min="144" max="144" width="17" hidden="1" customWidth="1" outlineLevel="1"/>
    <col min="145" max="146" width="18" hidden="1" customWidth="1" outlineLevel="1"/>
    <col min="147" max="147" width="17" hidden="1" customWidth="1" outlineLevel="1"/>
    <col min="148" max="149" width="14" hidden="1" customWidth="1" outlineLevel="1"/>
    <col min="150" max="150" width="18" hidden="1" customWidth="1" outlineLevel="1"/>
    <col min="151" max="151" width="16" hidden="1" customWidth="1" outlineLevel="1"/>
    <col min="152" max="152" width="10" hidden="1" customWidth="1" outlineLevel="1"/>
    <col min="153" max="153" width="14.44140625" hidden="1" customWidth="1" outlineLevel="1"/>
    <col min="154" max="154" width="17" hidden="1" customWidth="1" outlineLevel="1"/>
    <col min="155" max="155" width="14" hidden="1" customWidth="1" outlineLevel="1"/>
    <col min="156" max="156" width="17.5546875" hidden="1" customWidth="1" outlineLevel="1"/>
    <col min="157" max="157" width="16" hidden="1" customWidth="1" outlineLevel="1"/>
    <col min="158" max="158" width="15.44140625" hidden="1" customWidth="1" outlineLevel="1"/>
    <col min="159" max="159" width="17" hidden="1" customWidth="1" outlineLevel="1"/>
    <col min="160" max="161" width="18" hidden="1" customWidth="1" outlineLevel="1"/>
    <col min="162" max="162" width="17" hidden="1" customWidth="1" outlineLevel="1"/>
    <col min="163" max="164" width="14" hidden="1" customWidth="1" outlineLevel="1"/>
    <col min="165" max="165" width="18" hidden="1" customWidth="1" outlineLevel="1"/>
    <col min="166" max="166" width="16" hidden="1" customWidth="1" outlineLevel="1"/>
    <col min="167" max="167" width="10" hidden="1" customWidth="1" outlineLevel="1"/>
    <col min="168" max="168" width="14.44140625" hidden="1" customWidth="1" outlineLevel="1"/>
    <col min="169" max="169" width="17" hidden="1" customWidth="1" outlineLevel="1"/>
    <col min="170" max="170" width="14" hidden="1" customWidth="1" outlineLevel="1"/>
    <col min="171" max="171" width="17.5546875" hidden="1" customWidth="1" outlineLevel="1"/>
    <col min="172" max="172" width="16" hidden="1" customWidth="1" outlineLevel="1"/>
    <col min="173" max="173" width="15.44140625" hidden="1" customWidth="1" outlineLevel="1"/>
    <col min="174" max="174" width="17" hidden="1" customWidth="1" outlineLevel="1"/>
    <col min="175" max="176" width="18" hidden="1" customWidth="1" outlineLevel="1"/>
    <col min="177" max="177" width="17" hidden="1" customWidth="1" outlineLevel="1"/>
    <col min="178" max="179" width="14" hidden="1" customWidth="1" outlineLevel="1"/>
    <col min="180" max="180" width="18" hidden="1" customWidth="1" outlineLevel="1"/>
    <col min="181" max="181" width="16" hidden="1" customWidth="1" outlineLevel="1"/>
    <col min="182" max="182" width="10" hidden="1" customWidth="1" outlineLevel="1"/>
    <col min="183" max="183" width="14.44140625" hidden="1" customWidth="1" outlineLevel="1"/>
    <col min="184" max="184" width="17" hidden="1" customWidth="1" outlineLevel="1"/>
    <col min="185" max="185" width="14" hidden="1" customWidth="1" outlineLevel="1"/>
    <col min="186" max="186" width="17.5546875" hidden="1" customWidth="1" outlineLevel="1"/>
    <col min="187" max="187" width="16" hidden="1" customWidth="1" outlineLevel="1"/>
    <col min="188" max="188" width="15.44140625" hidden="1" customWidth="1" outlineLevel="1"/>
    <col min="189" max="189" width="17" hidden="1" customWidth="1" outlineLevel="1"/>
    <col min="190" max="191" width="18" hidden="1" customWidth="1" outlineLevel="1"/>
    <col min="192" max="192" width="17" hidden="1" customWidth="1" outlineLevel="1"/>
    <col min="193" max="194" width="14" hidden="1" customWidth="1" outlineLevel="1"/>
    <col min="195" max="195" width="18" hidden="1" customWidth="1" outlineLevel="1"/>
    <col min="196" max="196" width="16" hidden="1" customWidth="1" outlineLevel="1"/>
    <col min="197" max="197" width="10" hidden="1" customWidth="1" outlineLevel="1"/>
    <col min="198" max="198" width="14.44140625" hidden="1" customWidth="1" outlineLevel="1"/>
    <col min="199" max="199" width="17" hidden="1" customWidth="1" outlineLevel="1"/>
    <col min="200" max="200" width="14" hidden="1" customWidth="1" outlineLevel="1"/>
    <col min="201" max="201" width="17.5546875" hidden="1" customWidth="1" outlineLevel="1"/>
    <col min="202" max="202" width="16" hidden="1" customWidth="1" outlineLevel="1"/>
    <col min="203" max="203" width="15.44140625" hidden="1" customWidth="1" outlineLevel="1"/>
    <col min="204" max="204" width="17" hidden="1" customWidth="1" outlineLevel="1"/>
    <col min="205" max="206" width="18" hidden="1" customWidth="1" outlineLevel="1"/>
    <col min="207" max="207" width="17" hidden="1" customWidth="1" outlineLevel="1"/>
    <col min="208" max="209" width="14" hidden="1" customWidth="1" outlineLevel="1"/>
    <col min="210" max="210" width="18" hidden="1" customWidth="1" outlineLevel="1"/>
    <col min="211" max="211" width="16" hidden="1" customWidth="1" outlineLevel="1"/>
    <col min="212" max="212" width="10" hidden="1" customWidth="1" outlineLevel="1"/>
    <col min="213" max="213" width="14.44140625" hidden="1" customWidth="1" outlineLevel="1"/>
    <col min="214" max="214" width="17" hidden="1" customWidth="1" outlineLevel="1"/>
    <col min="215" max="215" width="14" hidden="1" customWidth="1" outlineLevel="1"/>
    <col min="216" max="216" width="17.5546875" hidden="1" customWidth="1" outlineLevel="1"/>
    <col min="217" max="217" width="16" hidden="1" customWidth="1" outlineLevel="1"/>
    <col min="218" max="218" width="15.44140625" hidden="1" customWidth="1" outlineLevel="1"/>
    <col min="219" max="219" width="17" hidden="1" customWidth="1" outlineLevel="1"/>
    <col min="220" max="221" width="18" hidden="1" customWidth="1" outlineLevel="1"/>
    <col min="222" max="222" width="17" hidden="1" customWidth="1" outlineLevel="1"/>
    <col min="223" max="224" width="14" hidden="1" customWidth="1" outlineLevel="1"/>
    <col min="225" max="225" width="18" hidden="1" customWidth="1" outlineLevel="1"/>
    <col min="226" max="226" width="16" hidden="1" customWidth="1" outlineLevel="1"/>
    <col min="227" max="227" width="10" hidden="1" customWidth="1" outlineLevel="1"/>
    <col min="228" max="228" width="14.44140625" hidden="1" customWidth="1" outlineLevel="1"/>
    <col min="229" max="229" width="17" hidden="1" customWidth="1" outlineLevel="1"/>
    <col min="230" max="230" width="14" hidden="1" customWidth="1" outlineLevel="1"/>
    <col min="231" max="231" width="17.5546875" hidden="1" customWidth="1" outlineLevel="1"/>
    <col min="232" max="232" width="16" hidden="1" customWidth="1" outlineLevel="1"/>
    <col min="233" max="233" width="15.44140625" hidden="1" customWidth="1" outlineLevel="1"/>
    <col min="234" max="234" width="17" hidden="1" customWidth="1" outlineLevel="1"/>
    <col min="235" max="236" width="18" hidden="1" customWidth="1" outlineLevel="1"/>
    <col min="237" max="237" width="17" hidden="1" customWidth="1" outlineLevel="1"/>
    <col min="238" max="239" width="14" hidden="1" customWidth="1" outlineLevel="1"/>
    <col min="240" max="240" width="18" hidden="1" customWidth="1" outlineLevel="1"/>
    <col min="241" max="241" width="16" hidden="1" customWidth="1" outlineLevel="1"/>
    <col min="242" max="250" width="10" hidden="1" customWidth="1" outlineLevel="1"/>
    <col min="251" max="255" width="11" hidden="1" customWidth="1" outlineLevel="1"/>
    <col min="256" max="256" width="11.44140625" style="136" collapsed="1"/>
    <col min="257" max="16384" width="11.44140625" style="136"/>
  </cols>
  <sheetData>
    <row r="4" spans="1:255">
      <c r="A4" t="s">
        <v>654</v>
      </c>
      <c r="B4" s="527" t="s">
        <v>655</v>
      </c>
      <c r="C4" s="136" t="s">
        <v>656</v>
      </c>
      <c r="D4" t="s">
        <v>657</v>
      </c>
      <c r="E4" s="136" t="s">
        <v>658</v>
      </c>
      <c r="F4" t="s">
        <v>659</v>
      </c>
      <c r="G4" t="s">
        <v>660</v>
      </c>
      <c r="H4" t="s">
        <v>661</v>
      </c>
      <c r="I4" t="s">
        <v>662</v>
      </c>
      <c r="J4" t="s">
        <v>663</v>
      </c>
      <c r="K4" t="s">
        <v>664</v>
      </c>
      <c r="L4" t="s">
        <v>665</v>
      </c>
      <c r="M4" t="s">
        <v>666</v>
      </c>
      <c r="N4" t="s">
        <v>667</v>
      </c>
      <c r="O4" t="s">
        <v>668</v>
      </c>
      <c r="P4" t="s">
        <v>669</v>
      </c>
      <c r="Q4" t="s">
        <v>670</v>
      </c>
      <c r="R4" t="s">
        <v>671</v>
      </c>
      <c r="S4" t="s">
        <v>672</v>
      </c>
      <c r="T4" s="539" t="s">
        <v>673</v>
      </c>
      <c r="U4" s="538" t="s">
        <v>674</v>
      </c>
      <c r="V4" s="538" t="s">
        <v>675</v>
      </c>
      <c r="W4" s="538" t="s">
        <v>676</v>
      </c>
      <c r="X4" s="539" t="s">
        <v>677</v>
      </c>
      <c r="Y4" s="539" t="s">
        <v>678</v>
      </c>
      <c r="Z4" s="539" t="s">
        <v>679</v>
      </c>
      <c r="AA4" s="538" t="s">
        <v>680</v>
      </c>
      <c r="AB4" s="539" t="s">
        <v>681</v>
      </c>
      <c r="AC4" s="539" t="s">
        <v>682</v>
      </c>
      <c r="AD4" s="539" t="s">
        <v>683</v>
      </c>
      <c r="AE4" t="s">
        <v>684</v>
      </c>
      <c r="AF4" t="s">
        <v>685</v>
      </c>
      <c r="AG4" t="s">
        <v>686</v>
      </c>
      <c r="AH4" t="s">
        <v>687</v>
      </c>
      <c r="AI4" t="s">
        <v>688</v>
      </c>
      <c r="AJ4" t="s">
        <v>689</v>
      </c>
      <c r="AK4" t="s">
        <v>690</v>
      </c>
      <c r="AL4" t="s">
        <v>691</v>
      </c>
      <c r="AM4" t="s">
        <v>692</v>
      </c>
      <c r="AN4" t="s">
        <v>693</v>
      </c>
      <c r="AO4" t="s">
        <v>694</v>
      </c>
      <c r="AP4" t="s">
        <v>695</v>
      </c>
      <c r="AQ4" t="s">
        <v>696</v>
      </c>
      <c r="AR4" t="s">
        <v>697</v>
      </c>
      <c r="AS4" t="s">
        <v>698</v>
      </c>
      <c r="AT4" t="s">
        <v>699</v>
      </c>
      <c r="AU4" t="s">
        <v>700</v>
      </c>
      <c r="AV4" t="s">
        <v>701</v>
      </c>
      <c r="AW4" t="s">
        <v>702</v>
      </c>
      <c r="AX4" t="s">
        <v>703</v>
      </c>
      <c r="AY4" t="s">
        <v>704</v>
      </c>
      <c r="AZ4" t="s">
        <v>705</v>
      </c>
      <c r="BA4" t="s">
        <v>706</v>
      </c>
      <c r="BB4" t="s">
        <v>707</v>
      </c>
      <c r="BC4" t="s">
        <v>708</v>
      </c>
      <c r="BD4" t="s">
        <v>709</v>
      </c>
      <c r="BE4" t="s">
        <v>710</v>
      </c>
      <c r="BF4" t="s">
        <v>711</v>
      </c>
      <c r="BG4" t="s">
        <v>712</v>
      </c>
      <c r="BH4" t="s">
        <v>713</v>
      </c>
      <c r="BI4" t="s">
        <v>714</v>
      </c>
      <c r="BJ4" t="s">
        <v>715</v>
      </c>
      <c r="BK4" t="s">
        <v>716</v>
      </c>
      <c r="BL4" t="s">
        <v>717</v>
      </c>
      <c r="BM4" t="s">
        <v>718</v>
      </c>
      <c r="BN4" t="s">
        <v>719</v>
      </c>
      <c r="BO4" t="s">
        <v>720</v>
      </c>
      <c r="BP4" t="s">
        <v>721</v>
      </c>
      <c r="BQ4" t="s">
        <v>722</v>
      </c>
      <c r="BR4" t="s">
        <v>723</v>
      </c>
      <c r="BS4" t="s">
        <v>724</v>
      </c>
      <c r="BT4" t="s">
        <v>725</v>
      </c>
      <c r="BU4" t="s">
        <v>726</v>
      </c>
      <c r="BV4" t="s">
        <v>727</v>
      </c>
      <c r="BW4" t="s">
        <v>728</v>
      </c>
      <c r="BX4" t="s">
        <v>729</v>
      </c>
      <c r="BY4" t="s">
        <v>730</v>
      </c>
      <c r="BZ4" t="s">
        <v>731</v>
      </c>
      <c r="CA4" t="s">
        <v>732</v>
      </c>
      <c r="CB4" t="s">
        <v>733</v>
      </c>
      <c r="CC4" t="s">
        <v>734</v>
      </c>
      <c r="CD4" t="s">
        <v>735</v>
      </c>
      <c r="CE4" t="s">
        <v>736</v>
      </c>
      <c r="CF4" t="s">
        <v>737</v>
      </c>
      <c r="CG4" t="s">
        <v>738</v>
      </c>
      <c r="CH4" t="s">
        <v>739</v>
      </c>
      <c r="CI4" t="s">
        <v>740</v>
      </c>
      <c r="CJ4" t="s">
        <v>741</v>
      </c>
      <c r="CK4" t="s">
        <v>742</v>
      </c>
      <c r="CL4" t="s">
        <v>743</v>
      </c>
      <c r="CM4" t="s">
        <v>744</v>
      </c>
      <c r="CN4" t="s">
        <v>745</v>
      </c>
      <c r="CO4" t="s">
        <v>746</v>
      </c>
      <c r="CP4" t="s">
        <v>747</v>
      </c>
      <c r="CQ4" t="s">
        <v>748</v>
      </c>
      <c r="CR4" t="s">
        <v>749</v>
      </c>
      <c r="CS4" t="s">
        <v>750</v>
      </c>
      <c r="CT4" t="s">
        <v>751</v>
      </c>
      <c r="CU4" t="s">
        <v>752</v>
      </c>
      <c r="CV4" t="s">
        <v>753</v>
      </c>
      <c r="CW4" t="s">
        <v>754</v>
      </c>
      <c r="CX4" t="s">
        <v>755</v>
      </c>
      <c r="CY4" t="s">
        <v>756</v>
      </c>
      <c r="CZ4" t="s">
        <v>757</v>
      </c>
      <c r="DA4" t="s">
        <v>758</v>
      </c>
      <c r="DB4" t="s">
        <v>759</v>
      </c>
      <c r="DC4" t="s">
        <v>760</v>
      </c>
      <c r="DD4" t="s">
        <v>761</v>
      </c>
      <c r="DE4" t="s">
        <v>762</v>
      </c>
      <c r="DF4" t="s">
        <v>763</v>
      </c>
      <c r="DG4" t="s">
        <v>764</v>
      </c>
      <c r="DH4" t="s">
        <v>765</v>
      </c>
      <c r="DI4" t="s">
        <v>766</v>
      </c>
      <c r="DJ4" t="s">
        <v>767</v>
      </c>
      <c r="DK4" t="s">
        <v>768</v>
      </c>
      <c r="DL4" t="s">
        <v>769</v>
      </c>
      <c r="DM4" t="s">
        <v>770</v>
      </c>
      <c r="DN4" t="s">
        <v>771</v>
      </c>
      <c r="DO4" t="s">
        <v>772</v>
      </c>
      <c r="DP4" t="s">
        <v>773</v>
      </c>
      <c r="DQ4" t="s">
        <v>774</v>
      </c>
      <c r="DR4" t="s">
        <v>775</v>
      </c>
      <c r="DS4" t="s">
        <v>776</v>
      </c>
      <c r="DT4" t="s">
        <v>777</v>
      </c>
      <c r="DU4" t="s">
        <v>778</v>
      </c>
      <c r="DV4" t="s">
        <v>779</v>
      </c>
      <c r="DW4" t="s">
        <v>780</v>
      </c>
      <c r="DX4" t="s">
        <v>781</v>
      </c>
      <c r="DY4" t="s">
        <v>782</v>
      </c>
      <c r="DZ4" t="s">
        <v>783</v>
      </c>
      <c r="EA4" t="s">
        <v>784</v>
      </c>
      <c r="EB4" t="s">
        <v>785</v>
      </c>
      <c r="EC4" t="s">
        <v>786</v>
      </c>
      <c r="ED4" t="s">
        <v>787</v>
      </c>
      <c r="EE4" t="s">
        <v>788</v>
      </c>
      <c r="EF4" t="s">
        <v>789</v>
      </c>
      <c r="EG4" t="s">
        <v>790</v>
      </c>
      <c r="EH4" t="s">
        <v>791</v>
      </c>
      <c r="EI4" t="s">
        <v>792</v>
      </c>
      <c r="EJ4" t="s">
        <v>793</v>
      </c>
      <c r="EK4" t="s">
        <v>794</v>
      </c>
      <c r="EL4" t="s">
        <v>795</v>
      </c>
      <c r="EM4" t="s">
        <v>796</v>
      </c>
      <c r="EN4" t="s">
        <v>797</v>
      </c>
      <c r="EO4" t="s">
        <v>798</v>
      </c>
      <c r="EP4" t="s">
        <v>799</v>
      </c>
      <c r="EQ4" t="s">
        <v>800</v>
      </c>
      <c r="ER4" t="s">
        <v>801</v>
      </c>
      <c r="ES4" t="s">
        <v>802</v>
      </c>
      <c r="ET4" t="s">
        <v>803</v>
      </c>
      <c r="EU4" t="s">
        <v>804</v>
      </c>
      <c r="EV4" t="s">
        <v>805</v>
      </c>
      <c r="EW4" t="s">
        <v>806</v>
      </c>
      <c r="EX4" t="s">
        <v>807</v>
      </c>
      <c r="EY4" t="s">
        <v>808</v>
      </c>
      <c r="EZ4" t="s">
        <v>809</v>
      </c>
      <c r="FA4" t="s">
        <v>810</v>
      </c>
      <c r="FB4" t="s">
        <v>811</v>
      </c>
      <c r="FC4" t="s">
        <v>812</v>
      </c>
      <c r="FD4" t="s">
        <v>813</v>
      </c>
      <c r="FE4" t="s">
        <v>814</v>
      </c>
      <c r="FF4" t="s">
        <v>815</v>
      </c>
      <c r="FG4" t="s">
        <v>816</v>
      </c>
      <c r="FH4" t="s">
        <v>817</v>
      </c>
      <c r="FI4" t="s">
        <v>818</v>
      </c>
      <c r="FJ4" t="s">
        <v>819</v>
      </c>
      <c r="FK4" t="s">
        <v>820</v>
      </c>
      <c r="FL4" t="s">
        <v>821</v>
      </c>
      <c r="FM4" t="s">
        <v>822</v>
      </c>
      <c r="FN4" t="s">
        <v>823</v>
      </c>
      <c r="FO4" t="s">
        <v>824</v>
      </c>
      <c r="FP4" t="s">
        <v>825</v>
      </c>
      <c r="FQ4" t="s">
        <v>826</v>
      </c>
      <c r="FR4" t="s">
        <v>827</v>
      </c>
      <c r="FS4" t="s">
        <v>828</v>
      </c>
      <c r="FT4" t="s">
        <v>829</v>
      </c>
      <c r="FU4" t="s">
        <v>830</v>
      </c>
      <c r="FV4" t="s">
        <v>831</v>
      </c>
      <c r="FW4" t="s">
        <v>832</v>
      </c>
      <c r="FX4" t="s">
        <v>833</v>
      </c>
      <c r="FY4" t="s">
        <v>834</v>
      </c>
      <c r="FZ4" t="s">
        <v>835</v>
      </c>
      <c r="GA4" t="s">
        <v>836</v>
      </c>
      <c r="GB4" t="s">
        <v>837</v>
      </c>
      <c r="GC4" t="s">
        <v>838</v>
      </c>
      <c r="GD4" t="s">
        <v>839</v>
      </c>
      <c r="GE4" t="s">
        <v>840</v>
      </c>
      <c r="GF4" t="s">
        <v>841</v>
      </c>
      <c r="GG4" t="s">
        <v>842</v>
      </c>
      <c r="GH4" t="s">
        <v>843</v>
      </c>
      <c r="GI4" t="s">
        <v>844</v>
      </c>
      <c r="GJ4" t="s">
        <v>845</v>
      </c>
      <c r="GK4" t="s">
        <v>846</v>
      </c>
      <c r="GL4" t="s">
        <v>847</v>
      </c>
      <c r="GM4" t="s">
        <v>848</v>
      </c>
      <c r="GN4" t="s">
        <v>849</v>
      </c>
      <c r="GO4" t="s">
        <v>850</v>
      </c>
      <c r="GP4" t="s">
        <v>851</v>
      </c>
      <c r="GQ4" t="s">
        <v>852</v>
      </c>
      <c r="GR4" t="s">
        <v>853</v>
      </c>
      <c r="GS4" t="s">
        <v>854</v>
      </c>
      <c r="GT4" t="s">
        <v>855</v>
      </c>
      <c r="GU4" t="s">
        <v>856</v>
      </c>
      <c r="GV4" t="s">
        <v>857</v>
      </c>
      <c r="GW4" t="s">
        <v>858</v>
      </c>
      <c r="GX4" t="s">
        <v>859</v>
      </c>
      <c r="GY4" t="s">
        <v>860</v>
      </c>
      <c r="GZ4" t="s">
        <v>861</v>
      </c>
      <c r="HA4" t="s">
        <v>862</v>
      </c>
      <c r="HB4" t="s">
        <v>863</v>
      </c>
      <c r="HC4" t="s">
        <v>864</v>
      </c>
      <c r="HD4" t="s">
        <v>865</v>
      </c>
      <c r="HE4" t="s">
        <v>866</v>
      </c>
      <c r="HF4" t="s">
        <v>867</v>
      </c>
      <c r="HG4" t="s">
        <v>868</v>
      </c>
      <c r="HH4" t="s">
        <v>869</v>
      </c>
      <c r="HI4" t="s">
        <v>870</v>
      </c>
      <c r="HJ4" t="s">
        <v>871</v>
      </c>
      <c r="HK4" t="s">
        <v>872</v>
      </c>
      <c r="HL4" t="s">
        <v>873</v>
      </c>
      <c r="HM4" t="s">
        <v>874</v>
      </c>
      <c r="HN4" t="s">
        <v>875</v>
      </c>
      <c r="HO4" t="s">
        <v>876</v>
      </c>
      <c r="HP4" t="s">
        <v>877</v>
      </c>
      <c r="HQ4" t="s">
        <v>878</v>
      </c>
      <c r="HR4" t="s">
        <v>879</v>
      </c>
      <c r="HS4" t="s">
        <v>880</v>
      </c>
      <c r="HT4" t="s">
        <v>881</v>
      </c>
      <c r="HU4" t="s">
        <v>882</v>
      </c>
      <c r="HV4" t="s">
        <v>883</v>
      </c>
      <c r="HW4" t="s">
        <v>884</v>
      </c>
      <c r="HX4" t="s">
        <v>885</v>
      </c>
      <c r="HY4" t="s">
        <v>886</v>
      </c>
      <c r="HZ4" t="s">
        <v>887</v>
      </c>
      <c r="IA4" t="s">
        <v>888</v>
      </c>
      <c r="IB4" t="s">
        <v>889</v>
      </c>
      <c r="IC4" t="s">
        <v>890</v>
      </c>
      <c r="ID4" t="s">
        <v>891</v>
      </c>
      <c r="IE4" t="s">
        <v>892</v>
      </c>
      <c r="IF4" t="s">
        <v>893</v>
      </c>
      <c r="IG4" t="s">
        <v>894</v>
      </c>
      <c r="IH4" t="s">
        <v>1511</v>
      </c>
      <c r="II4" t="s">
        <v>1512</v>
      </c>
      <c r="IJ4" t="s">
        <v>1513</v>
      </c>
      <c r="IK4" t="s">
        <v>1514</v>
      </c>
      <c r="IL4" t="s">
        <v>1515</v>
      </c>
      <c r="IM4" t="s">
        <v>1516</v>
      </c>
      <c r="IN4" t="s">
        <v>1517</v>
      </c>
      <c r="IO4" t="s">
        <v>1518</v>
      </c>
      <c r="IP4" t="s">
        <v>1519</v>
      </c>
      <c r="IQ4" t="s">
        <v>1520</v>
      </c>
      <c r="IR4" t="s">
        <v>1521</v>
      </c>
      <c r="IS4" t="s">
        <v>1522</v>
      </c>
      <c r="IT4" t="s">
        <v>1523</v>
      </c>
      <c r="IU4" t="s">
        <v>1524</v>
      </c>
    </row>
    <row r="5" spans="1:255" customFormat="1">
      <c r="A5">
        <v>1175</v>
      </c>
      <c r="B5" s="528">
        <v>5535</v>
      </c>
      <c r="C5" t="s">
        <v>2012</v>
      </c>
      <c r="D5">
        <v>218006</v>
      </c>
      <c r="E5" t="s">
        <v>2013</v>
      </c>
      <c r="F5" t="s">
        <v>2014</v>
      </c>
      <c r="G5" t="s">
        <v>2015</v>
      </c>
      <c r="H5" s="448">
        <v>44630</v>
      </c>
      <c r="I5" s="448">
        <v>46397</v>
      </c>
      <c r="J5">
        <v>97000</v>
      </c>
      <c r="K5">
        <v>97000</v>
      </c>
      <c r="L5">
        <v>6684.75</v>
      </c>
      <c r="M5">
        <v>103684.75</v>
      </c>
      <c r="N5">
        <v>16</v>
      </c>
      <c r="O5" s="448">
        <v>44926</v>
      </c>
      <c r="P5">
        <v>0</v>
      </c>
      <c r="Q5">
        <v>2024</v>
      </c>
      <c r="R5">
        <v>19003.48</v>
      </c>
      <c r="S5">
        <v>1393.51</v>
      </c>
      <c r="T5" s="538">
        <v>15520</v>
      </c>
      <c r="U5" s="538">
        <v>43626.082191780821</v>
      </c>
      <c r="V5" s="538">
        <v>15520</v>
      </c>
      <c r="W5" s="538">
        <v>43626.082191780821</v>
      </c>
      <c r="X5" s="538">
        <v>19003.48</v>
      </c>
      <c r="Y5" s="538">
        <v>19522.980000000003</v>
      </c>
      <c r="Z5" s="538">
        <v>23452.109999999997</v>
      </c>
      <c r="AA5" s="538">
        <v>1218.4099999999999</v>
      </c>
      <c r="AB5" s="538">
        <v>-3483.4799999999996</v>
      </c>
      <c r="AC5" s="538">
        <v>-870.86999999999989</v>
      </c>
      <c r="AD5" s="538">
        <v>-2599.7069520547943</v>
      </c>
      <c r="AE5">
        <v>0</v>
      </c>
      <c r="AF5">
        <v>2025</v>
      </c>
      <c r="AG5">
        <v>19522.980000000003</v>
      </c>
      <c r="AH5">
        <v>874.02</v>
      </c>
      <c r="AI5">
        <v>15520</v>
      </c>
      <c r="AJ5">
        <v>59146.082191780821</v>
      </c>
      <c r="AK5">
        <v>15520</v>
      </c>
      <c r="AL5">
        <v>59146.082191780821</v>
      </c>
      <c r="AM5">
        <v>19522.980000000003</v>
      </c>
      <c r="AN5">
        <v>20056.679999999997</v>
      </c>
      <c r="AO5">
        <v>3395.4300000000003</v>
      </c>
      <c r="AP5">
        <v>344.38999999999993</v>
      </c>
      <c r="AQ5">
        <v>-4002.9800000000032</v>
      </c>
      <c r="AR5">
        <v>-1000.7450000000008</v>
      </c>
      <c r="AS5">
        <v>-3600.4519520547951</v>
      </c>
      <c r="AT5">
        <v>0</v>
      </c>
      <c r="AU5">
        <v>2026</v>
      </c>
      <c r="AV5">
        <v>20056.679999999997</v>
      </c>
      <c r="AW5">
        <v>340.31999999999994</v>
      </c>
      <c r="AX5">
        <v>15520</v>
      </c>
      <c r="AY5">
        <v>74666.082191780821</v>
      </c>
      <c r="AZ5">
        <v>15520</v>
      </c>
      <c r="BA5">
        <v>74666.082191780821</v>
      </c>
      <c r="BB5">
        <v>20056.679999999997</v>
      </c>
      <c r="BC5">
        <v>3395.4300000000003</v>
      </c>
      <c r="BD5">
        <v>0</v>
      </c>
      <c r="BE5">
        <v>4.07</v>
      </c>
      <c r="BF5">
        <v>-4536.6799999999967</v>
      </c>
      <c r="BG5">
        <v>-1134.1699999999992</v>
      </c>
      <c r="BH5">
        <v>-4734.6219520547947</v>
      </c>
      <c r="BI5">
        <v>0</v>
      </c>
      <c r="BJ5">
        <v>2027</v>
      </c>
      <c r="BK5">
        <v>3395.4300000000003</v>
      </c>
      <c r="BL5">
        <v>4.07</v>
      </c>
      <c r="BM5">
        <v>15520</v>
      </c>
      <c r="BN5">
        <v>90186.082191780821</v>
      </c>
      <c r="BO5">
        <v>15520</v>
      </c>
      <c r="BP5">
        <v>90186.082191780821</v>
      </c>
      <c r="BQ5">
        <v>3395.4300000000003</v>
      </c>
      <c r="BR5">
        <v>0</v>
      </c>
      <c r="BS5">
        <v>0</v>
      </c>
      <c r="BT5">
        <v>0</v>
      </c>
      <c r="BU5">
        <v>12124.57</v>
      </c>
      <c r="BV5">
        <v>3031.1424999999999</v>
      </c>
      <c r="BW5">
        <v>-1703.4794520547948</v>
      </c>
      <c r="BX5">
        <v>0</v>
      </c>
      <c r="BY5">
        <v>2028</v>
      </c>
      <c r="BZ5">
        <v>0</v>
      </c>
      <c r="CA5">
        <v>0</v>
      </c>
      <c r="CB5">
        <v>6813.9178082191793</v>
      </c>
      <c r="CC5">
        <v>97000</v>
      </c>
      <c r="CD5">
        <v>6813.9178082191793</v>
      </c>
      <c r="CE5">
        <v>97000</v>
      </c>
      <c r="CF5">
        <v>0</v>
      </c>
      <c r="CG5">
        <v>0</v>
      </c>
      <c r="CH5">
        <v>0</v>
      </c>
      <c r="CI5">
        <v>0</v>
      </c>
      <c r="CJ5">
        <v>6813.9178082191793</v>
      </c>
      <c r="CK5">
        <v>1703.4794520547948</v>
      </c>
      <c r="CL5">
        <v>0</v>
      </c>
      <c r="CM5">
        <v>0</v>
      </c>
      <c r="CN5">
        <v>2029</v>
      </c>
      <c r="CO5">
        <v>0</v>
      </c>
      <c r="CP5">
        <v>0</v>
      </c>
      <c r="CQ5">
        <v>0</v>
      </c>
      <c r="CR5">
        <v>97000</v>
      </c>
      <c r="CS5">
        <v>0</v>
      </c>
      <c r="CT5">
        <v>97000</v>
      </c>
      <c r="CU5">
        <v>0</v>
      </c>
      <c r="CV5">
        <v>0</v>
      </c>
      <c r="CW5">
        <v>0</v>
      </c>
      <c r="CX5">
        <v>0</v>
      </c>
      <c r="CY5">
        <v>0</v>
      </c>
      <c r="CZ5">
        <v>0</v>
      </c>
      <c r="DA5">
        <v>0</v>
      </c>
      <c r="DB5">
        <v>0</v>
      </c>
      <c r="DC5">
        <v>2030</v>
      </c>
      <c r="DD5">
        <v>0</v>
      </c>
      <c r="DE5">
        <v>0</v>
      </c>
      <c r="DF5">
        <v>0</v>
      </c>
      <c r="DG5">
        <v>97000</v>
      </c>
      <c r="DH5">
        <v>0</v>
      </c>
      <c r="DI5">
        <v>97000</v>
      </c>
      <c r="DJ5">
        <v>0</v>
      </c>
      <c r="DK5">
        <v>0</v>
      </c>
      <c r="DL5">
        <v>0</v>
      </c>
      <c r="DM5">
        <v>0</v>
      </c>
      <c r="DN5">
        <v>0</v>
      </c>
      <c r="DO5">
        <v>0</v>
      </c>
      <c r="DP5">
        <v>0</v>
      </c>
      <c r="DQ5">
        <v>0</v>
      </c>
      <c r="DR5">
        <v>2031</v>
      </c>
      <c r="DS5">
        <v>0</v>
      </c>
      <c r="DT5">
        <v>0</v>
      </c>
      <c r="DU5">
        <v>0</v>
      </c>
      <c r="DV5">
        <v>97000</v>
      </c>
      <c r="DW5">
        <v>0</v>
      </c>
      <c r="DX5">
        <v>97000</v>
      </c>
      <c r="DY5">
        <v>0</v>
      </c>
      <c r="DZ5">
        <v>0</v>
      </c>
      <c r="EA5">
        <v>0</v>
      </c>
      <c r="EB5">
        <v>0</v>
      </c>
      <c r="EC5">
        <v>0</v>
      </c>
      <c r="ED5">
        <v>0</v>
      </c>
      <c r="EE5">
        <v>0</v>
      </c>
      <c r="EF5">
        <v>0</v>
      </c>
      <c r="EG5">
        <v>2032</v>
      </c>
      <c r="EH5">
        <v>0</v>
      </c>
      <c r="EI5">
        <v>0</v>
      </c>
      <c r="EJ5">
        <v>0</v>
      </c>
      <c r="EK5">
        <v>97000</v>
      </c>
      <c r="EL5">
        <v>0</v>
      </c>
      <c r="EM5">
        <v>97000</v>
      </c>
      <c r="EN5">
        <v>0</v>
      </c>
      <c r="EO5">
        <v>0</v>
      </c>
      <c r="EP5">
        <v>0</v>
      </c>
      <c r="EQ5">
        <v>0</v>
      </c>
      <c r="ER5">
        <v>0</v>
      </c>
      <c r="ES5">
        <v>0</v>
      </c>
      <c r="ET5">
        <v>0</v>
      </c>
      <c r="EU5">
        <v>0</v>
      </c>
      <c r="EV5">
        <v>2033</v>
      </c>
      <c r="EW5">
        <v>0</v>
      </c>
      <c r="EX5">
        <v>0</v>
      </c>
      <c r="EY5">
        <v>0</v>
      </c>
      <c r="EZ5">
        <v>97000</v>
      </c>
      <c r="FA5">
        <v>0</v>
      </c>
      <c r="FB5">
        <v>97000</v>
      </c>
      <c r="FC5">
        <v>0</v>
      </c>
      <c r="FD5">
        <v>0</v>
      </c>
      <c r="FE5">
        <v>0</v>
      </c>
      <c r="FF5">
        <v>0</v>
      </c>
      <c r="FG5">
        <v>0</v>
      </c>
      <c r="FH5">
        <v>0</v>
      </c>
      <c r="FI5">
        <v>0</v>
      </c>
      <c r="FJ5">
        <v>0</v>
      </c>
      <c r="FK5">
        <v>2034</v>
      </c>
      <c r="FL5">
        <v>0</v>
      </c>
      <c r="FM5">
        <v>0</v>
      </c>
      <c r="FN5">
        <v>0</v>
      </c>
      <c r="FO5">
        <v>97000</v>
      </c>
      <c r="FP5">
        <v>0</v>
      </c>
      <c r="FQ5">
        <v>97000</v>
      </c>
      <c r="FR5">
        <v>0</v>
      </c>
      <c r="FS5">
        <v>0</v>
      </c>
      <c r="FT5">
        <v>0</v>
      </c>
      <c r="FU5">
        <v>0</v>
      </c>
      <c r="FV5">
        <v>0</v>
      </c>
      <c r="FW5">
        <v>0</v>
      </c>
      <c r="FX5">
        <v>0</v>
      </c>
      <c r="FY5">
        <v>0</v>
      </c>
      <c r="FZ5">
        <v>2035</v>
      </c>
      <c r="GA5">
        <v>0</v>
      </c>
      <c r="GB5">
        <v>0</v>
      </c>
      <c r="GC5">
        <v>0</v>
      </c>
      <c r="GD5">
        <v>97000</v>
      </c>
      <c r="GE5">
        <v>0</v>
      </c>
      <c r="GF5">
        <v>97000</v>
      </c>
      <c r="GG5">
        <v>0</v>
      </c>
      <c r="GH5">
        <v>0</v>
      </c>
      <c r="GI5">
        <v>0</v>
      </c>
      <c r="GJ5">
        <v>0</v>
      </c>
      <c r="GK5">
        <v>0</v>
      </c>
      <c r="GL5">
        <v>0</v>
      </c>
      <c r="GM5">
        <v>0</v>
      </c>
      <c r="GN5">
        <v>0</v>
      </c>
      <c r="GO5">
        <v>2036</v>
      </c>
      <c r="GP5">
        <v>0</v>
      </c>
      <c r="GQ5">
        <v>0</v>
      </c>
      <c r="GR5">
        <v>0</v>
      </c>
      <c r="GS5">
        <v>97000</v>
      </c>
      <c r="GT5">
        <v>0</v>
      </c>
      <c r="GU5">
        <v>97000</v>
      </c>
      <c r="GV5">
        <v>0</v>
      </c>
      <c r="GW5">
        <v>0</v>
      </c>
      <c r="GX5">
        <v>0</v>
      </c>
      <c r="GY5">
        <v>0</v>
      </c>
      <c r="GZ5">
        <v>0</v>
      </c>
      <c r="HA5">
        <v>0</v>
      </c>
      <c r="HB5">
        <v>0</v>
      </c>
      <c r="HC5">
        <v>0</v>
      </c>
    </row>
    <row r="6" spans="1:255" customFormat="1">
      <c r="A6">
        <v>1170</v>
      </c>
      <c r="B6" s="528">
        <v>5615</v>
      </c>
      <c r="C6" t="s">
        <v>2019</v>
      </c>
      <c r="D6">
        <v>2180050</v>
      </c>
      <c r="E6" t="s">
        <v>1991</v>
      </c>
      <c r="F6" t="s">
        <v>1762</v>
      </c>
      <c r="G6" t="s">
        <v>1992</v>
      </c>
      <c r="H6" s="448">
        <v>44827</v>
      </c>
      <c r="I6" s="448">
        <v>47353</v>
      </c>
      <c r="J6">
        <v>495000</v>
      </c>
      <c r="K6">
        <v>488325.18</v>
      </c>
      <c r="L6">
        <v>72359.179999999993</v>
      </c>
      <c r="M6">
        <v>560684.36</v>
      </c>
      <c r="N6">
        <v>8</v>
      </c>
      <c r="O6" s="448">
        <v>44926</v>
      </c>
      <c r="P6">
        <v>0</v>
      </c>
      <c r="Q6">
        <v>2024</v>
      </c>
      <c r="R6">
        <v>64845.240000000005</v>
      </c>
      <c r="S6">
        <v>15252.08</v>
      </c>
      <c r="T6" s="538">
        <v>39600</v>
      </c>
      <c r="U6" s="538">
        <v>89940.821917808222</v>
      </c>
      <c r="V6" s="538">
        <v>39600</v>
      </c>
      <c r="W6" s="538">
        <v>89940.821917808222</v>
      </c>
      <c r="X6" s="538">
        <v>64845.240000000005</v>
      </c>
      <c r="Y6" s="538">
        <v>67487.12</v>
      </c>
      <c r="Z6" s="538">
        <v>278494.24</v>
      </c>
      <c r="AA6" s="538">
        <v>34483.380000000005</v>
      </c>
      <c r="AB6" s="538">
        <v>-25245.240000000005</v>
      </c>
      <c r="AC6" s="538">
        <v>-6311.3100000000013</v>
      </c>
      <c r="AD6" s="538">
        <v>-14769.454520547948</v>
      </c>
      <c r="AE6">
        <v>0</v>
      </c>
      <c r="AF6">
        <v>2025</v>
      </c>
      <c r="AG6">
        <v>67487.12</v>
      </c>
      <c r="AH6">
        <v>12610.720000000001</v>
      </c>
      <c r="AI6">
        <v>39600</v>
      </c>
      <c r="AJ6">
        <v>129540.82191780822</v>
      </c>
      <c r="AK6">
        <v>39600</v>
      </c>
      <c r="AL6">
        <v>129540.82191780822</v>
      </c>
      <c r="AM6">
        <v>67487.12</v>
      </c>
      <c r="AN6">
        <v>70236.62</v>
      </c>
      <c r="AO6">
        <v>208257.62</v>
      </c>
      <c r="AP6">
        <v>21872.66</v>
      </c>
      <c r="AQ6">
        <v>-27887.119999999995</v>
      </c>
      <c r="AR6">
        <v>-6971.7799999999988</v>
      </c>
      <c r="AS6">
        <v>-21741.234520547947</v>
      </c>
      <c r="AT6">
        <v>0</v>
      </c>
      <c r="AU6">
        <v>2026</v>
      </c>
      <c r="AV6">
        <v>70236.62</v>
      </c>
      <c r="AW6">
        <v>9861.2199999999993</v>
      </c>
      <c r="AX6">
        <v>39600</v>
      </c>
      <c r="AY6">
        <v>169140.82191780821</v>
      </c>
      <c r="AZ6">
        <v>39600</v>
      </c>
      <c r="BA6">
        <v>169140.82191780821</v>
      </c>
      <c r="BB6">
        <v>70236.62</v>
      </c>
      <c r="BC6">
        <v>73098.149999999994</v>
      </c>
      <c r="BD6">
        <v>135159.47</v>
      </c>
      <c r="BE6">
        <v>12011.44</v>
      </c>
      <c r="BF6">
        <v>-30636.619999999995</v>
      </c>
      <c r="BG6">
        <v>-7659.1549999999988</v>
      </c>
      <c r="BH6">
        <v>-29400.389520547946</v>
      </c>
      <c r="BI6">
        <v>0</v>
      </c>
      <c r="BJ6">
        <v>2027</v>
      </c>
      <c r="BK6">
        <v>73098.149999999994</v>
      </c>
      <c r="BL6">
        <v>6999.6900000000005</v>
      </c>
      <c r="BM6">
        <v>39600</v>
      </c>
      <c r="BN6">
        <v>208740.82191780821</v>
      </c>
      <c r="BO6">
        <v>39600</v>
      </c>
      <c r="BP6">
        <v>208740.82191780821</v>
      </c>
      <c r="BQ6">
        <v>73098.149999999994</v>
      </c>
      <c r="BR6">
        <v>76076.23</v>
      </c>
      <c r="BS6">
        <v>59083.24</v>
      </c>
      <c r="BT6">
        <v>5011.75</v>
      </c>
      <c r="BU6">
        <v>-33498.149999999994</v>
      </c>
      <c r="BV6">
        <v>-8374.5374999999985</v>
      </c>
      <c r="BW6">
        <v>-37774.927020547941</v>
      </c>
      <c r="BX6">
        <v>0</v>
      </c>
      <c r="BY6">
        <v>2028</v>
      </c>
      <c r="BZ6">
        <v>76076.23</v>
      </c>
      <c r="CA6">
        <v>4021.61</v>
      </c>
      <c r="CB6">
        <v>39600</v>
      </c>
      <c r="CC6">
        <v>248340.82191780821</v>
      </c>
      <c r="CD6">
        <v>39600</v>
      </c>
      <c r="CE6">
        <v>248340.82191780821</v>
      </c>
      <c r="CF6">
        <v>76076.23</v>
      </c>
      <c r="CG6">
        <v>59083.24</v>
      </c>
      <c r="CH6">
        <v>0</v>
      </c>
      <c r="CI6">
        <v>990.1400000000001</v>
      </c>
      <c r="CJ6">
        <v>-36476.229999999996</v>
      </c>
      <c r="CK6">
        <v>-9119.057499999999</v>
      </c>
      <c r="CL6">
        <v>-46893.984520547936</v>
      </c>
      <c r="CM6">
        <v>0</v>
      </c>
      <c r="CN6">
        <v>2029</v>
      </c>
      <c r="CO6">
        <v>59083.24</v>
      </c>
      <c r="CP6">
        <v>990.1400000000001</v>
      </c>
      <c r="CQ6">
        <v>39600</v>
      </c>
      <c r="CR6">
        <v>287940.82191780821</v>
      </c>
      <c r="CS6">
        <v>39600</v>
      </c>
      <c r="CT6">
        <v>287940.82191780821</v>
      </c>
      <c r="CU6">
        <v>59083.24</v>
      </c>
      <c r="CV6">
        <v>0</v>
      </c>
      <c r="CW6">
        <v>0</v>
      </c>
      <c r="CX6">
        <v>0</v>
      </c>
      <c r="CY6">
        <v>-19483.239999999998</v>
      </c>
      <c r="CZ6">
        <v>-4870.8099999999995</v>
      </c>
      <c r="DA6">
        <v>-51764.794520547934</v>
      </c>
      <c r="DB6">
        <v>0</v>
      </c>
      <c r="DC6">
        <v>2030</v>
      </c>
      <c r="DD6">
        <v>0</v>
      </c>
      <c r="DE6">
        <v>0</v>
      </c>
      <c r="DF6">
        <v>39600</v>
      </c>
      <c r="DG6">
        <v>327540.82191780821</v>
      </c>
      <c r="DH6">
        <v>39600</v>
      </c>
      <c r="DI6">
        <v>327540.82191780821</v>
      </c>
      <c r="DJ6">
        <v>0</v>
      </c>
      <c r="DK6">
        <v>0</v>
      </c>
      <c r="DL6">
        <v>0</v>
      </c>
      <c r="DM6">
        <v>0</v>
      </c>
      <c r="DN6">
        <v>39600</v>
      </c>
      <c r="DO6">
        <v>9900</v>
      </c>
      <c r="DP6">
        <v>-41864.794520547934</v>
      </c>
      <c r="DQ6">
        <v>0</v>
      </c>
      <c r="DR6">
        <v>2031</v>
      </c>
      <c r="DS6">
        <v>0</v>
      </c>
      <c r="DT6">
        <v>0</v>
      </c>
      <c r="DU6">
        <v>39600</v>
      </c>
      <c r="DV6">
        <v>367140.82191780821</v>
      </c>
      <c r="DW6">
        <v>39600</v>
      </c>
      <c r="DX6">
        <v>367140.82191780821</v>
      </c>
      <c r="DY6">
        <v>0</v>
      </c>
      <c r="DZ6">
        <v>0</v>
      </c>
      <c r="EA6">
        <v>0</v>
      </c>
      <c r="EB6">
        <v>0</v>
      </c>
      <c r="EC6">
        <v>39600</v>
      </c>
      <c r="ED6">
        <v>9900</v>
      </c>
      <c r="EE6">
        <v>-31964.794520547934</v>
      </c>
      <c r="EF6">
        <v>0</v>
      </c>
      <c r="EG6">
        <v>2032</v>
      </c>
      <c r="EH6">
        <v>0</v>
      </c>
      <c r="EI6">
        <v>0</v>
      </c>
      <c r="EJ6">
        <v>39600</v>
      </c>
      <c r="EK6">
        <v>406740.82191780821</v>
      </c>
      <c r="EL6">
        <v>39600</v>
      </c>
      <c r="EM6">
        <v>406740.82191780821</v>
      </c>
      <c r="EN6">
        <v>0</v>
      </c>
      <c r="EO6">
        <v>0</v>
      </c>
      <c r="EP6">
        <v>0</v>
      </c>
      <c r="EQ6">
        <v>0</v>
      </c>
      <c r="ER6">
        <v>39600</v>
      </c>
      <c r="ES6">
        <v>9900</v>
      </c>
      <c r="ET6">
        <v>-22064.794520547934</v>
      </c>
      <c r="EU6">
        <v>0</v>
      </c>
      <c r="EV6">
        <v>2033</v>
      </c>
      <c r="EW6">
        <v>0</v>
      </c>
      <c r="EX6">
        <v>0</v>
      </c>
      <c r="EY6">
        <v>39600</v>
      </c>
      <c r="EZ6">
        <v>446340.82191780821</v>
      </c>
      <c r="FA6">
        <v>39600</v>
      </c>
      <c r="FB6">
        <v>446340.82191780821</v>
      </c>
      <c r="FC6">
        <v>0</v>
      </c>
      <c r="FD6">
        <v>0</v>
      </c>
      <c r="FE6">
        <v>0</v>
      </c>
      <c r="FF6">
        <v>0</v>
      </c>
      <c r="FG6">
        <v>39600</v>
      </c>
      <c r="FH6">
        <v>9900</v>
      </c>
      <c r="FI6">
        <v>-12164.794520547934</v>
      </c>
      <c r="FJ6">
        <v>0</v>
      </c>
      <c r="FK6">
        <v>2034</v>
      </c>
      <c r="FL6">
        <v>0</v>
      </c>
      <c r="FM6">
        <v>0</v>
      </c>
      <c r="FN6">
        <v>39600</v>
      </c>
      <c r="FO6">
        <v>485940.82191780821</v>
      </c>
      <c r="FP6">
        <v>39600</v>
      </c>
      <c r="FQ6">
        <v>485940.82191780821</v>
      </c>
      <c r="FR6">
        <v>0</v>
      </c>
      <c r="FS6">
        <v>0</v>
      </c>
      <c r="FT6">
        <v>0</v>
      </c>
      <c r="FU6">
        <v>0</v>
      </c>
      <c r="FV6">
        <v>39600</v>
      </c>
      <c r="FW6">
        <v>9900</v>
      </c>
      <c r="FX6">
        <v>-2264.7945205479336</v>
      </c>
      <c r="FY6">
        <v>0</v>
      </c>
      <c r="FZ6">
        <v>2035</v>
      </c>
      <c r="GA6">
        <v>0</v>
      </c>
      <c r="GB6">
        <v>0</v>
      </c>
      <c r="GC6">
        <v>9059.1780821917928</v>
      </c>
      <c r="GD6">
        <v>495000</v>
      </c>
      <c r="GE6">
        <v>9059.1780821917928</v>
      </c>
      <c r="GF6">
        <v>495000</v>
      </c>
      <c r="GG6">
        <v>0</v>
      </c>
      <c r="GH6">
        <v>0</v>
      </c>
      <c r="GI6">
        <v>0</v>
      </c>
      <c r="GJ6">
        <v>0</v>
      </c>
      <c r="GK6">
        <v>9059.1780821917928</v>
      </c>
      <c r="GL6">
        <v>2264.7945205479482</v>
      </c>
      <c r="GM6">
        <v>1.4551915228366852E-11</v>
      </c>
      <c r="GN6">
        <v>0</v>
      </c>
      <c r="GO6">
        <v>2036</v>
      </c>
      <c r="GP6">
        <v>0</v>
      </c>
      <c r="GQ6">
        <v>0</v>
      </c>
      <c r="GR6">
        <v>0</v>
      </c>
      <c r="GS6">
        <v>495000</v>
      </c>
      <c r="GT6">
        <v>0</v>
      </c>
      <c r="GU6">
        <v>495000</v>
      </c>
      <c r="GV6">
        <v>0</v>
      </c>
      <c r="GW6">
        <v>0</v>
      </c>
      <c r="GX6">
        <v>0</v>
      </c>
      <c r="GY6">
        <v>0</v>
      </c>
      <c r="GZ6">
        <v>0</v>
      </c>
      <c r="HA6">
        <v>0</v>
      </c>
      <c r="HB6">
        <v>1.4551915228366852E-11</v>
      </c>
      <c r="HC6">
        <v>0</v>
      </c>
    </row>
    <row r="7" spans="1:255" customFormat="1">
      <c r="A7">
        <v>1187</v>
      </c>
      <c r="B7" s="528">
        <v>5615</v>
      </c>
      <c r="C7" t="s">
        <v>2019</v>
      </c>
      <c r="D7">
        <v>2180051</v>
      </c>
      <c r="E7" t="s">
        <v>2020</v>
      </c>
      <c r="F7" t="s">
        <v>1536</v>
      </c>
      <c r="G7" t="s">
        <v>2021</v>
      </c>
      <c r="H7" s="448">
        <v>44993</v>
      </c>
      <c r="I7" s="448">
        <v>46791</v>
      </c>
      <c r="J7">
        <v>26000</v>
      </c>
      <c r="K7">
        <v>25512.68</v>
      </c>
      <c r="L7">
        <v>3726.52</v>
      </c>
      <c r="M7">
        <v>29239.200000000001</v>
      </c>
      <c r="N7">
        <v>16</v>
      </c>
      <c r="O7" s="448">
        <v>45291</v>
      </c>
      <c r="P7">
        <v>0</v>
      </c>
      <c r="Q7">
        <v>2024</v>
      </c>
      <c r="R7">
        <v>4750</v>
      </c>
      <c r="S7">
        <v>1097.8399999999999</v>
      </c>
      <c r="T7" s="538">
        <v>4160</v>
      </c>
      <c r="U7" s="538">
        <v>7556.3835616438355</v>
      </c>
      <c r="V7" s="538">
        <v>4160</v>
      </c>
      <c r="W7" s="538">
        <v>7556.3835616438355</v>
      </c>
      <c r="X7" s="538">
        <v>4750</v>
      </c>
      <c r="Y7" s="538">
        <v>5017.95</v>
      </c>
      <c r="Z7" s="538">
        <v>12349.42</v>
      </c>
      <c r="AA7" s="538">
        <v>1638.11</v>
      </c>
      <c r="AB7" s="538">
        <v>-590</v>
      </c>
      <c r="AC7" s="538">
        <v>-147.5</v>
      </c>
      <c r="AD7" s="538">
        <v>-269.06160958904115</v>
      </c>
      <c r="AE7">
        <v>0</v>
      </c>
      <c r="AF7">
        <v>2025</v>
      </c>
      <c r="AG7">
        <v>5017.95</v>
      </c>
      <c r="AH7">
        <v>829.89</v>
      </c>
      <c r="AI7">
        <v>4160</v>
      </c>
      <c r="AJ7">
        <v>11716.383561643835</v>
      </c>
      <c r="AK7">
        <v>4160</v>
      </c>
      <c r="AL7">
        <v>11716.383561643835</v>
      </c>
      <c r="AM7">
        <v>5017.95</v>
      </c>
      <c r="AN7">
        <v>5300.98</v>
      </c>
      <c r="AO7">
        <v>7048.4400000000005</v>
      </c>
      <c r="AP7">
        <v>808.22</v>
      </c>
      <c r="AQ7">
        <v>-857.94999999999982</v>
      </c>
      <c r="AR7">
        <v>-214.48749999999995</v>
      </c>
      <c r="AS7">
        <v>-483.54910958904111</v>
      </c>
      <c r="AT7">
        <v>0</v>
      </c>
      <c r="AU7">
        <v>2026</v>
      </c>
      <c r="AV7">
        <v>5300.98</v>
      </c>
      <c r="AW7">
        <v>546.86</v>
      </c>
      <c r="AX7">
        <v>4160</v>
      </c>
      <c r="AY7">
        <v>15876.383561643835</v>
      </c>
      <c r="AZ7">
        <v>4160</v>
      </c>
      <c r="BA7">
        <v>15876.383561643835</v>
      </c>
      <c r="BB7">
        <v>5300.98</v>
      </c>
      <c r="BC7">
        <v>5600.01</v>
      </c>
      <c r="BD7">
        <v>1448.43</v>
      </c>
      <c r="BE7">
        <v>261.36</v>
      </c>
      <c r="BF7">
        <v>-1140.9799999999996</v>
      </c>
      <c r="BG7">
        <v>-285.24499999999989</v>
      </c>
      <c r="BH7">
        <v>-768.794109589041</v>
      </c>
      <c r="BI7">
        <v>0</v>
      </c>
      <c r="BJ7">
        <v>2027</v>
      </c>
      <c r="BK7">
        <v>5600.01</v>
      </c>
      <c r="BL7">
        <v>247.83</v>
      </c>
      <c r="BM7">
        <v>4160</v>
      </c>
      <c r="BN7">
        <v>20036.383561643837</v>
      </c>
      <c r="BO7">
        <v>4160</v>
      </c>
      <c r="BP7">
        <v>20036.383561643837</v>
      </c>
      <c r="BQ7">
        <v>5600.01</v>
      </c>
      <c r="BR7">
        <v>1448.43</v>
      </c>
      <c r="BS7">
        <v>0</v>
      </c>
      <c r="BT7">
        <v>13.53</v>
      </c>
      <c r="BU7">
        <v>-1440.0100000000002</v>
      </c>
      <c r="BV7">
        <v>-360.00250000000005</v>
      </c>
      <c r="BW7">
        <v>-1128.7966095890411</v>
      </c>
      <c r="BX7">
        <v>0</v>
      </c>
      <c r="BY7">
        <v>2028</v>
      </c>
      <c r="BZ7">
        <v>1448.43</v>
      </c>
      <c r="CA7">
        <v>13.53</v>
      </c>
      <c r="CB7">
        <v>4160</v>
      </c>
      <c r="CC7">
        <v>24196.383561643837</v>
      </c>
      <c r="CD7">
        <v>4160</v>
      </c>
      <c r="CE7">
        <v>24196.383561643837</v>
      </c>
      <c r="CF7">
        <v>1448.43</v>
      </c>
      <c r="CG7">
        <v>0</v>
      </c>
      <c r="CH7">
        <v>0</v>
      </c>
      <c r="CI7">
        <v>0</v>
      </c>
      <c r="CJ7">
        <v>2711.5699999999997</v>
      </c>
      <c r="CK7">
        <v>677.89249999999993</v>
      </c>
      <c r="CL7">
        <v>-450.90410958904113</v>
      </c>
      <c r="CM7">
        <v>0</v>
      </c>
      <c r="CN7">
        <v>2029</v>
      </c>
      <c r="CO7">
        <v>0</v>
      </c>
      <c r="CP7">
        <v>0</v>
      </c>
      <c r="CQ7">
        <v>1803.6164383561627</v>
      </c>
      <c r="CR7">
        <v>26000</v>
      </c>
      <c r="CS7">
        <v>1803.6164383561627</v>
      </c>
      <c r="CT7">
        <v>26000</v>
      </c>
      <c r="CU7">
        <v>0</v>
      </c>
      <c r="CV7">
        <v>0</v>
      </c>
      <c r="CW7">
        <v>0</v>
      </c>
      <c r="CX7">
        <v>0</v>
      </c>
      <c r="CY7">
        <v>1803.6164383561627</v>
      </c>
      <c r="CZ7">
        <v>450.90410958904067</v>
      </c>
      <c r="DA7">
        <v>-4.5474735088646412E-13</v>
      </c>
      <c r="DB7">
        <v>0</v>
      </c>
      <c r="DC7">
        <v>2030</v>
      </c>
      <c r="DD7">
        <v>0</v>
      </c>
      <c r="DE7">
        <v>0</v>
      </c>
      <c r="DF7">
        <v>0</v>
      </c>
      <c r="DG7">
        <v>26000</v>
      </c>
      <c r="DH7">
        <v>0</v>
      </c>
      <c r="DI7">
        <v>26000</v>
      </c>
      <c r="DJ7">
        <v>0</v>
      </c>
      <c r="DK7">
        <v>0</v>
      </c>
      <c r="DL7">
        <v>0</v>
      </c>
      <c r="DM7">
        <v>0</v>
      </c>
      <c r="DN7">
        <v>0</v>
      </c>
      <c r="DO7">
        <v>0</v>
      </c>
      <c r="DP7">
        <v>-4.5474735088646412E-13</v>
      </c>
      <c r="DQ7">
        <v>0</v>
      </c>
      <c r="DR7">
        <v>2031</v>
      </c>
      <c r="DS7">
        <v>0</v>
      </c>
      <c r="DT7">
        <v>0</v>
      </c>
      <c r="DU7">
        <v>0</v>
      </c>
      <c r="DV7">
        <v>26000</v>
      </c>
      <c r="DW7">
        <v>0</v>
      </c>
      <c r="DX7">
        <v>26000</v>
      </c>
      <c r="DY7">
        <v>0</v>
      </c>
      <c r="DZ7">
        <v>0</v>
      </c>
      <c r="EA7">
        <v>0</v>
      </c>
      <c r="EB7">
        <v>0</v>
      </c>
      <c r="EC7">
        <v>0</v>
      </c>
      <c r="ED7">
        <v>0</v>
      </c>
      <c r="EE7">
        <v>-4.5474735088646412E-13</v>
      </c>
      <c r="EF7">
        <v>0</v>
      </c>
      <c r="EG7">
        <v>2032</v>
      </c>
      <c r="EH7">
        <v>0</v>
      </c>
      <c r="EI7">
        <v>0</v>
      </c>
      <c r="EJ7">
        <v>0</v>
      </c>
      <c r="EK7">
        <v>26000</v>
      </c>
      <c r="EL7">
        <v>0</v>
      </c>
      <c r="EM7">
        <v>26000</v>
      </c>
      <c r="EN7">
        <v>0</v>
      </c>
      <c r="EO7">
        <v>0</v>
      </c>
      <c r="EP7">
        <v>0</v>
      </c>
      <c r="EQ7">
        <v>0</v>
      </c>
      <c r="ER7">
        <v>0</v>
      </c>
      <c r="ES7">
        <v>0</v>
      </c>
      <c r="ET7">
        <v>-4.5474735088646412E-13</v>
      </c>
      <c r="EU7">
        <v>0</v>
      </c>
      <c r="EV7">
        <v>2033</v>
      </c>
      <c r="EW7">
        <v>0</v>
      </c>
      <c r="EX7">
        <v>0</v>
      </c>
      <c r="EY7">
        <v>0</v>
      </c>
      <c r="EZ7">
        <v>26000</v>
      </c>
      <c r="FA7">
        <v>0</v>
      </c>
      <c r="FB7">
        <v>26000</v>
      </c>
      <c r="FC7">
        <v>0</v>
      </c>
      <c r="FD7">
        <v>0</v>
      </c>
      <c r="FE7">
        <v>0</v>
      </c>
      <c r="FF7">
        <v>0</v>
      </c>
      <c r="FG7">
        <v>0</v>
      </c>
      <c r="FH7">
        <v>0</v>
      </c>
      <c r="FI7">
        <v>-4.5474735088646412E-13</v>
      </c>
      <c r="FJ7">
        <v>0</v>
      </c>
      <c r="FK7">
        <v>2034</v>
      </c>
      <c r="FL7">
        <v>0</v>
      </c>
      <c r="FM7">
        <v>0</v>
      </c>
      <c r="FN7">
        <v>0</v>
      </c>
      <c r="FO7">
        <v>26000</v>
      </c>
      <c r="FP7">
        <v>0</v>
      </c>
      <c r="FQ7">
        <v>26000</v>
      </c>
      <c r="FR7">
        <v>0</v>
      </c>
      <c r="FS7">
        <v>0</v>
      </c>
      <c r="FT7">
        <v>0</v>
      </c>
      <c r="FU7">
        <v>0</v>
      </c>
      <c r="FV7">
        <v>0</v>
      </c>
      <c r="FW7">
        <v>0</v>
      </c>
      <c r="FX7">
        <v>-4.5474735088646412E-13</v>
      </c>
      <c r="FY7">
        <v>0</v>
      </c>
      <c r="FZ7">
        <v>2035</v>
      </c>
      <c r="GA7">
        <v>0</v>
      </c>
      <c r="GB7">
        <v>0</v>
      </c>
      <c r="GC7">
        <v>0</v>
      </c>
      <c r="GD7">
        <v>26000</v>
      </c>
      <c r="GE7">
        <v>0</v>
      </c>
      <c r="GF7">
        <v>26000</v>
      </c>
      <c r="GG7">
        <v>0</v>
      </c>
      <c r="GH7">
        <v>0</v>
      </c>
      <c r="GI7">
        <v>0</v>
      </c>
      <c r="GJ7">
        <v>0</v>
      </c>
      <c r="GK7">
        <v>0</v>
      </c>
      <c r="GL7">
        <v>0</v>
      </c>
      <c r="GM7">
        <v>-4.5474735088646412E-13</v>
      </c>
      <c r="GN7">
        <v>0</v>
      </c>
      <c r="GO7">
        <v>2036</v>
      </c>
      <c r="GP7">
        <v>0</v>
      </c>
      <c r="GQ7">
        <v>0</v>
      </c>
      <c r="GR7">
        <v>0</v>
      </c>
      <c r="GS7">
        <v>26000</v>
      </c>
      <c r="GT7">
        <v>0</v>
      </c>
      <c r="GU7">
        <v>26000</v>
      </c>
      <c r="GV7">
        <v>0</v>
      </c>
      <c r="GW7">
        <v>0</v>
      </c>
      <c r="GX7">
        <v>0</v>
      </c>
      <c r="GY7">
        <v>0</v>
      </c>
      <c r="GZ7">
        <v>0</v>
      </c>
      <c r="HA7">
        <v>0</v>
      </c>
      <c r="HB7">
        <v>-4.5474735088646412E-13</v>
      </c>
      <c r="HC7">
        <v>0</v>
      </c>
    </row>
    <row r="8" spans="1:255" customFormat="1">
      <c r="A8">
        <v>1173</v>
      </c>
      <c r="B8" s="528">
        <v>5615</v>
      </c>
      <c r="C8" t="s">
        <v>2019</v>
      </c>
      <c r="D8">
        <v>2180000</v>
      </c>
      <c r="E8" t="s">
        <v>1999</v>
      </c>
      <c r="F8" t="s">
        <v>1536</v>
      </c>
      <c r="G8" t="s">
        <v>2000</v>
      </c>
      <c r="H8" s="448">
        <v>44533</v>
      </c>
      <c r="I8" s="448">
        <v>46359</v>
      </c>
      <c r="J8">
        <v>274480</v>
      </c>
      <c r="K8">
        <v>274480</v>
      </c>
      <c r="L8">
        <v>9289.7800000000007</v>
      </c>
      <c r="M8">
        <v>283769.78000000003</v>
      </c>
      <c r="N8">
        <v>8</v>
      </c>
      <c r="O8" s="448">
        <v>44561</v>
      </c>
      <c r="P8">
        <v>0</v>
      </c>
      <c r="Q8">
        <v>2024</v>
      </c>
      <c r="R8">
        <v>47523.02</v>
      </c>
      <c r="S8">
        <v>1808.74</v>
      </c>
      <c r="T8" s="538">
        <v>21958.400000000001</v>
      </c>
      <c r="U8" s="538">
        <v>67559.679999999993</v>
      </c>
      <c r="V8" s="538">
        <v>21958.400000000001</v>
      </c>
      <c r="W8" s="538">
        <v>67559.679999999993</v>
      </c>
      <c r="X8" s="538">
        <v>47523.02</v>
      </c>
      <c r="Y8" s="538">
        <v>48250.83</v>
      </c>
      <c r="Z8" s="538">
        <v>48989.63</v>
      </c>
      <c r="AA8" s="538">
        <v>1423.06</v>
      </c>
      <c r="AB8" s="538">
        <v>-25564.619999999995</v>
      </c>
      <c r="AC8" s="538">
        <v>-6391.1549999999988</v>
      </c>
      <c r="AD8" s="538">
        <v>-27419.964999999997</v>
      </c>
      <c r="AE8">
        <v>0</v>
      </c>
      <c r="AF8">
        <v>2025</v>
      </c>
      <c r="AG8">
        <v>48250.83</v>
      </c>
      <c r="AH8">
        <v>1080.93</v>
      </c>
      <c r="AI8">
        <v>21958.400000000001</v>
      </c>
      <c r="AJ8">
        <v>89518.079999999987</v>
      </c>
      <c r="AK8">
        <v>21958.400000000001</v>
      </c>
      <c r="AL8">
        <v>89518.079999999987</v>
      </c>
      <c r="AM8">
        <v>48250.83</v>
      </c>
      <c r="AN8">
        <v>48989.63</v>
      </c>
      <c r="AO8">
        <v>0</v>
      </c>
      <c r="AP8">
        <v>342.13</v>
      </c>
      <c r="AQ8">
        <v>-26292.43</v>
      </c>
      <c r="AR8">
        <v>-6573.1075000000001</v>
      </c>
      <c r="AS8">
        <v>-33993.072499999995</v>
      </c>
      <c r="AT8">
        <v>0</v>
      </c>
      <c r="AU8">
        <v>2026</v>
      </c>
      <c r="AV8">
        <v>48989.63</v>
      </c>
      <c r="AW8">
        <v>342.13</v>
      </c>
      <c r="AX8">
        <v>21958.400000000001</v>
      </c>
      <c r="AY8">
        <v>111476.47999999998</v>
      </c>
      <c r="AZ8">
        <v>21958.400000000001</v>
      </c>
      <c r="BA8">
        <v>111476.47999999998</v>
      </c>
      <c r="BB8">
        <v>48989.63</v>
      </c>
      <c r="BC8">
        <v>0</v>
      </c>
      <c r="BD8">
        <v>0</v>
      </c>
      <c r="BE8">
        <v>0</v>
      </c>
      <c r="BF8">
        <v>-27031.229999999996</v>
      </c>
      <c r="BG8">
        <v>-6757.807499999999</v>
      </c>
      <c r="BH8">
        <v>-40750.87999999999</v>
      </c>
      <c r="BI8">
        <v>0</v>
      </c>
      <c r="BJ8">
        <v>2027</v>
      </c>
      <c r="BK8">
        <v>0</v>
      </c>
      <c r="BL8">
        <v>0</v>
      </c>
      <c r="BM8">
        <v>21958.400000000001</v>
      </c>
      <c r="BN8">
        <v>133434.87999999998</v>
      </c>
      <c r="BO8">
        <v>21958.400000000001</v>
      </c>
      <c r="BP8">
        <v>133434.87999999998</v>
      </c>
      <c r="BQ8">
        <v>0</v>
      </c>
      <c r="BR8">
        <v>0</v>
      </c>
      <c r="BS8">
        <v>0</v>
      </c>
      <c r="BT8">
        <v>0</v>
      </c>
      <c r="BU8">
        <v>21958.400000000001</v>
      </c>
      <c r="BV8">
        <v>5489.6</v>
      </c>
      <c r="BW8">
        <v>-35261.279999999992</v>
      </c>
      <c r="BX8">
        <v>0</v>
      </c>
      <c r="BY8">
        <v>2028</v>
      </c>
      <c r="BZ8">
        <v>0</v>
      </c>
      <c r="CA8">
        <v>0</v>
      </c>
      <c r="CB8">
        <v>21958.400000000001</v>
      </c>
      <c r="CC8">
        <v>155393.27999999997</v>
      </c>
      <c r="CD8">
        <v>21958.400000000001</v>
      </c>
      <c r="CE8">
        <v>155393.27999999997</v>
      </c>
      <c r="CF8">
        <v>0</v>
      </c>
      <c r="CG8">
        <v>0</v>
      </c>
      <c r="CH8">
        <v>0</v>
      </c>
      <c r="CI8">
        <v>0</v>
      </c>
      <c r="CJ8">
        <v>21958.400000000001</v>
      </c>
      <c r="CK8">
        <v>5489.6</v>
      </c>
      <c r="CL8">
        <v>-29771.679999999993</v>
      </c>
      <c r="CM8">
        <v>0</v>
      </c>
      <c r="CN8">
        <v>2029</v>
      </c>
      <c r="CO8">
        <v>0</v>
      </c>
      <c r="CP8">
        <v>0</v>
      </c>
      <c r="CQ8">
        <v>21958.400000000001</v>
      </c>
      <c r="CR8">
        <v>177351.67999999996</v>
      </c>
      <c r="CS8">
        <v>21958.400000000001</v>
      </c>
      <c r="CT8">
        <v>177351.67999999996</v>
      </c>
      <c r="CU8">
        <v>0</v>
      </c>
      <c r="CV8">
        <v>0</v>
      </c>
      <c r="CW8">
        <v>0</v>
      </c>
      <c r="CX8">
        <v>0</v>
      </c>
      <c r="CY8">
        <v>21958.400000000001</v>
      </c>
      <c r="CZ8">
        <v>5489.6</v>
      </c>
      <c r="DA8">
        <v>-24282.079999999994</v>
      </c>
      <c r="DB8">
        <v>0</v>
      </c>
      <c r="DC8">
        <v>2030</v>
      </c>
      <c r="DD8">
        <v>0</v>
      </c>
      <c r="DE8">
        <v>0</v>
      </c>
      <c r="DF8">
        <v>21958.400000000001</v>
      </c>
      <c r="DG8">
        <v>199310.07999999996</v>
      </c>
      <c r="DH8">
        <v>21958.400000000001</v>
      </c>
      <c r="DI8">
        <v>199310.07999999996</v>
      </c>
      <c r="DJ8">
        <v>0</v>
      </c>
      <c r="DK8">
        <v>0</v>
      </c>
      <c r="DL8">
        <v>0</v>
      </c>
      <c r="DM8">
        <v>0</v>
      </c>
      <c r="DN8">
        <v>21958.400000000001</v>
      </c>
      <c r="DO8">
        <v>5489.6</v>
      </c>
      <c r="DP8">
        <v>-18792.479999999996</v>
      </c>
      <c r="DQ8">
        <v>0</v>
      </c>
      <c r="DR8">
        <v>2031</v>
      </c>
      <c r="DS8">
        <v>0</v>
      </c>
      <c r="DT8">
        <v>0</v>
      </c>
      <c r="DU8">
        <v>21958.400000000001</v>
      </c>
      <c r="DV8">
        <v>221268.47999999995</v>
      </c>
      <c r="DW8">
        <v>21958.400000000001</v>
      </c>
      <c r="DX8">
        <v>221268.47999999995</v>
      </c>
      <c r="DY8">
        <v>0</v>
      </c>
      <c r="DZ8">
        <v>0</v>
      </c>
      <c r="EA8">
        <v>0</v>
      </c>
      <c r="EB8">
        <v>0</v>
      </c>
      <c r="EC8">
        <v>21958.400000000001</v>
      </c>
      <c r="ED8">
        <v>5489.6</v>
      </c>
      <c r="EE8">
        <v>-13302.879999999996</v>
      </c>
      <c r="EF8">
        <v>0</v>
      </c>
      <c r="EG8">
        <v>2032</v>
      </c>
      <c r="EH8">
        <v>0</v>
      </c>
      <c r="EI8">
        <v>0</v>
      </c>
      <c r="EJ8">
        <v>21958.400000000001</v>
      </c>
      <c r="EK8">
        <v>243226.87999999995</v>
      </c>
      <c r="EL8">
        <v>21958.400000000001</v>
      </c>
      <c r="EM8">
        <v>243226.87999999995</v>
      </c>
      <c r="EN8">
        <v>0</v>
      </c>
      <c r="EO8">
        <v>0</v>
      </c>
      <c r="EP8">
        <v>0</v>
      </c>
      <c r="EQ8">
        <v>0</v>
      </c>
      <c r="ER8">
        <v>21958.400000000001</v>
      </c>
      <c r="ES8">
        <v>5489.6</v>
      </c>
      <c r="ET8">
        <v>-7813.2799999999952</v>
      </c>
      <c r="EU8">
        <v>0</v>
      </c>
      <c r="EV8">
        <v>2033</v>
      </c>
      <c r="EW8">
        <v>0</v>
      </c>
      <c r="EX8">
        <v>0</v>
      </c>
      <c r="EY8">
        <v>21958.400000000001</v>
      </c>
      <c r="EZ8">
        <v>265185.27999999997</v>
      </c>
      <c r="FA8">
        <v>21958.400000000001</v>
      </c>
      <c r="FB8">
        <v>265185.27999999997</v>
      </c>
      <c r="FC8">
        <v>0</v>
      </c>
      <c r="FD8">
        <v>0</v>
      </c>
      <c r="FE8">
        <v>0</v>
      </c>
      <c r="FF8">
        <v>0</v>
      </c>
      <c r="FG8">
        <v>21958.400000000001</v>
      </c>
      <c r="FH8">
        <v>5489.6</v>
      </c>
      <c r="FI8">
        <v>-2323.6799999999948</v>
      </c>
      <c r="FJ8">
        <v>0</v>
      </c>
      <c r="FK8">
        <v>2034</v>
      </c>
      <c r="FL8">
        <v>0</v>
      </c>
      <c r="FM8">
        <v>0</v>
      </c>
      <c r="FN8">
        <v>9294.7200000000303</v>
      </c>
      <c r="FO8">
        <v>274480</v>
      </c>
      <c r="FP8">
        <v>9294.7200000000303</v>
      </c>
      <c r="FQ8">
        <v>274480</v>
      </c>
      <c r="FR8">
        <v>0</v>
      </c>
      <c r="FS8">
        <v>0</v>
      </c>
      <c r="FT8">
        <v>0</v>
      </c>
      <c r="FU8">
        <v>0</v>
      </c>
      <c r="FV8">
        <v>9294.7200000000303</v>
      </c>
      <c r="FW8">
        <v>2323.6800000000076</v>
      </c>
      <c r="FX8">
        <v>1.2732925824820995E-11</v>
      </c>
      <c r="FY8">
        <v>0</v>
      </c>
      <c r="FZ8">
        <v>2035</v>
      </c>
      <c r="GA8">
        <v>0</v>
      </c>
      <c r="GB8">
        <v>0</v>
      </c>
      <c r="GC8">
        <v>0</v>
      </c>
      <c r="GD8">
        <v>274480</v>
      </c>
      <c r="GE8">
        <v>0</v>
      </c>
      <c r="GF8">
        <v>274480</v>
      </c>
      <c r="GG8">
        <v>0</v>
      </c>
      <c r="GH8">
        <v>0</v>
      </c>
      <c r="GI8">
        <v>0</v>
      </c>
      <c r="GJ8">
        <v>0</v>
      </c>
      <c r="GK8">
        <v>0</v>
      </c>
      <c r="GL8">
        <v>0</v>
      </c>
      <c r="GM8">
        <v>1.2732925824820995E-11</v>
      </c>
      <c r="GN8">
        <v>0</v>
      </c>
    </row>
    <row r="9" spans="1:255" customFormat="1">
      <c r="A9">
        <v>1188</v>
      </c>
      <c r="B9" s="528">
        <v>5615</v>
      </c>
      <c r="C9" t="s">
        <v>2019</v>
      </c>
      <c r="D9">
        <v>2180052</v>
      </c>
      <c r="E9" t="s">
        <v>2023</v>
      </c>
      <c r="F9" t="s">
        <v>1773</v>
      </c>
      <c r="G9" t="s">
        <v>2024</v>
      </c>
      <c r="H9" s="448">
        <v>45218</v>
      </c>
      <c r="I9" s="448">
        <v>46314</v>
      </c>
      <c r="J9">
        <v>17500</v>
      </c>
      <c r="K9">
        <v>16987.060000000001</v>
      </c>
      <c r="L9">
        <v>1478.78</v>
      </c>
      <c r="M9">
        <v>18465.84</v>
      </c>
      <c r="N9">
        <v>10</v>
      </c>
      <c r="O9" s="448">
        <v>45291</v>
      </c>
      <c r="P9">
        <v>0</v>
      </c>
      <c r="Q9">
        <v>2024</v>
      </c>
      <c r="R9">
        <v>5428.59</v>
      </c>
      <c r="S9">
        <v>726.69</v>
      </c>
      <c r="T9" s="538">
        <v>1750</v>
      </c>
      <c r="U9" s="538">
        <v>2100</v>
      </c>
      <c r="V9" s="538">
        <v>1750</v>
      </c>
      <c r="W9" s="538">
        <v>2100</v>
      </c>
      <c r="X9" s="538">
        <v>5250</v>
      </c>
      <c r="Y9" s="538">
        <v>5734.8200000000006</v>
      </c>
      <c r="Z9" s="538">
        <v>5025.3500000000004</v>
      </c>
      <c r="AA9" s="538">
        <v>524.51</v>
      </c>
      <c r="AB9" s="538">
        <v>-3500</v>
      </c>
      <c r="AC9" s="538">
        <v>-875</v>
      </c>
      <c r="AD9" s="538">
        <v>-1050</v>
      </c>
      <c r="AE9">
        <v>439.82999999999993</v>
      </c>
      <c r="AF9">
        <v>2025</v>
      </c>
      <c r="AG9">
        <v>5734.8200000000006</v>
      </c>
      <c r="AH9">
        <v>420.46000000000004</v>
      </c>
      <c r="AI9">
        <v>1750</v>
      </c>
      <c r="AJ9">
        <v>3850</v>
      </c>
      <c r="AK9">
        <v>1750</v>
      </c>
      <c r="AL9">
        <v>3850</v>
      </c>
      <c r="AM9">
        <v>5250</v>
      </c>
      <c r="AN9">
        <v>5025.3500000000004</v>
      </c>
      <c r="AO9">
        <v>0</v>
      </c>
      <c r="AP9">
        <v>104.04999999999998</v>
      </c>
      <c r="AQ9">
        <v>-3500</v>
      </c>
      <c r="AR9">
        <v>-875</v>
      </c>
      <c r="AS9">
        <v>-1925</v>
      </c>
      <c r="AT9">
        <v>924.65000000000055</v>
      </c>
      <c r="AU9">
        <v>2026</v>
      </c>
      <c r="AV9">
        <v>5025.3500000000004</v>
      </c>
      <c r="AW9">
        <v>104.04999999999998</v>
      </c>
      <c r="AX9">
        <v>1750</v>
      </c>
      <c r="AY9">
        <v>5600</v>
      </c>
      <c r="AZ9">
        <v>1750</v>
      </c>
      <c r="BA9">
        <v>5600</v>
      </c>
      <c r="BB9">
        <v>5250</v>
      </c>
      <c r="BC9">
        <v>0</v>
      </c>
      <c r="BD9">
        <v>0</v>
      </c>
      <c r="BE9">
        <v>0</v>
      </c>
      <c r="BF9">
        <v>-3500</v>
      </c>
      <c r="BG9">
        <v>-875</v>
      </c>
      <c r="BH9">
        <v>-2800</v>
      </c>
      <c r="BI9">
        <v>700.00000000000091</v>
      </c>
      <c r="BJ9">
        <v>2027</v>
      </c>
      <c r="BK9">
        <v>0</v>
      </c>
      <c r="BL9">
        <v>0</v>
      </c>
      <c r="BM9">
        <v>1750</v>
      </c>
      <c r="BN9">
        <v>7350</v>
      </c>
      <c r="BO9">
        <v>1750</v>
      </c>
      <c r="BP9">
        <v>7350</v>
      </c>
      <c r="BQ9">
        <v>700.00000000000091</v>
      </c>
      <c r="BR9">
        <v>0</v>
      </c>
      <c r="BS9">
        <v>0</v>
      </c>
      <c r="BT9">
        <v>0</v>
      </c>
      <c r="BU9">
        <v>1049.9999999999991</v>
      </c>
      <c r="BV9">
        <v>262.49999999999977</v>
      </c>
      <c r="BW9">
        <v>-2537.5</v>
      </c>
      <c r="BX9">
        <v>0</v>
      </c>
      <c r="BY9">
        <v>2028</v>
      </c>
      <c r="BZ9">
        <v>0</v>
      </c>
      <c r="CA9">
        <v>0</v>
      </c>
      <c r="CB9">
        <v>1750</v>
      </c>
      <c r="CC9">
        <v>9100</v>
      </c>
      <c r="CD9">
        <v>1750</v>
      </c>
      <c r="CE9">
        <v>9100</v>
      </c>
      <c r="CF9">
        <v>0</v>
      </c>
      <c r="CG9">
        <v>0</v>
      </c>
      <c r="CH9">
        <v>0</v>
      </c>
      <c r="CI9">
        <v>0</v>
      </c>
      <c r="CJ9">
        <v>1750</v>
      </c>
      <c r="CK9">
        <v>437.5</v>
      </c>
      <c r="CL9">
        <v>-2100</v>
      </c>
      <c r="CM9">
        <v>0</v>
      </c>
      <c r="CN9">
        <v>2029</v>
      </c>
      <c r="CO9">
        <v>0</v>
      </c>
      <c r="CP9">
        <v>0</v>
      </c>
      <c r="CQ9">
        <v>1750</v>
      </c>
      <c r="CR9">
        <v>10850</v>
      </c>
      <c r="CS9">
        <v>1750</v>
      </c>
      <c r="CT9">
        <v>10850</v>
      </c>
      <c r="CU9">
        <v>0</v>
      </c>
      <c r="CV9">
        <v>0</v>
      </c>
      <c r="CW9">
        <v>0</v>
      </c>
      <c r="CX9">
        <v>0</v>
      </c>
      <c r="CY9">
        <v>1750</v>
      </c>
      <c r="CZ9">
        <v>437.5</v>
      </c>
      <c r="DA9">
        <v>-1662.5</v>
      </c>
      <c r="DB9">
        <v>0</v>
      </c>
      <c r="DC9">
        <v>2030</v>
      </c>
      <c r="DD9">
        <v>0</v>
      </c>
      <c r="DE9">
        <v>0</v>
      </c>
      <c r="DF9">
        <v>1750</v>
      </c>
      <c r="DG9">
        <v>12600</v>
      </c>
      <c r="DH9">
        <v>1750</v>
      </c>
      <c r="DI9">
        <v>12600</v>
      </c>
      <c r="DJ9">
        <v>0</v>
      </c>
      <c r="DK9">
        <v>0</v>
      </c>
      <c r="DL9">
        <v>0</v>
      </c>
      <c r="DM9">
        <v>0</v>
      </c>
      <c r="DN9">
        <v>1750</v>
      </c>
      <c r="DO9">
        <v>437.5</v>
      </c>
      <c r="DP9">
        <v>-1225</v>
      </c>
      <c r="DQ9">
        <v>0</v>
      </c>
      <c r="DR9">
        <v>2031</v>
      </c>
      <c r="DS9">
        <v>0</v>
      </c>
      <c r="DT9">
        <v>0</v>
      </c>
      <c r="DU9">
        <v>1750</v>
      </c>
      <c r="DV9">
        <v>14350</v>
      </c>
      <c r="DW9">
        <v>1750</v>
      </c>
      <c r="DX9">
        <v>14350</v>
      </c>
      <c r="DY9">
        <v>0</v>
      </c>
      <c r="DZ9">
        <v>0</v>
      </c>
      <c r="EA9">
        <v>0</v>
      </c>
      <c r="EB9">
        <v>0</v>
      </c>
      <c r="EC9">
        <v>1750</v>
      </c>
      <c r="ED9">
        <v>437.5</v>
      </c>
      <c r="EE9">
        <v>-787.5</v>
      </c>
      <c r="EF9">
        <v>0</v>
      </c>
      <c r="EG9">
        <v>2032</v>
      </c>
      <c r="EH9">
        <v>0</v>
      </c>
      <c r="EI9">
        <v>0</v>
      </c>
      <c r="EJ9">
        <v>1750</v>
      </c>
      <c r="EK9">
        <v>16100</v>
      </c>
      <c r="EL9">
        <v>1750</v>
      </c>
      <c r="EM9">
        <v>16100</v>
      </c>
      <c r="EN9">
        <v>0</v>
      </c>
      <c r="EO9">
        <v>0</v>
      </c>
      <c r="EP9">
        <v>0</v>
      </c>
      <c r="EQ9">
        <v>0</v>
      </c>
      <c r="ER9">
        <v>1750</v>
      </c>
      <c r="ES9">
        <v>437.5</v>
      </c>
      <c r="ET9">
        <v>-350</v>
      </c>
      <c r="EU9">
        <v>0</v>
      </c>
      <c r="EV9">
        <v>2033</v>
      </c>
      <c r="EW9">
        <v>0</v>
      </c>
      <c r="EX9">
        <v>0</v>
      </c>
      <c r="EY9">
        <v>1400</v>
      </c>
      <c r="EZ9">
        <v>17500</v>
      </c>
      <c r="FA9">
        <v>1400</v>
      </c>
      <c r="FB9">
        <v>17500</v>
      </c>
      <c r="FC9">
        <v>0</v>
      </c>
      <c r="FD9">
        <v>0</v>
      </c>
      <c r="FE9">
        <v>0</v>
      </c>
      <c r="FF9">
        <v>0</v>
      </c>
      <c r="FG9">
        <v>1400</v>
      </c>
      <c r="FH9">
        <v>350</v>
      </c>
      <c r="FI9">
        <v>0</v>
      </c>
      <c r="FJ9">
        <v>0</v>
      </c>
      <c r="FK9">
        <v>2034</v>
      </c>
      <c r="FL9">
        <v>0</v>
      </c>
      <c r="FM9">
        <v>0</v>
      </c>
      <c r="FN9">
        <v>0</v>
      </c>
      <c r="FO9">
        <v>17500</v>
      </c>
      <c r="FP9">
        <v>0</v>
      </c>
      <c r="FQ9">
        <v>17500</v>
      </c>
      <c r="FR9">
        <v>0</v>
      </c>
      <c r="FS9">
        <v>0</v>
      </c>
      <c r="FT9">
        <v>0</v>
      </c>
      <c r="FU9">
        <v>0</v>
      </c>
      <c r="FV9">
        <v>0</v>
      </c>
      <c r="FW9">
        <v>0</v>
      </c>
      <c r="FX9">
        <v>0</v>
      </c>
      <c r="FY9">
        <v>0</v>
      </c>
      <c r="FZ9">
        <v>2035</v>
      </c>
      <c r="GA9">
        <v>0</v>
      </c>
      <c r="GB9">
        <v>0</v>
      </c>
      <c r="GC9">
        <v>0</v>
      </c>
      <c r="GD9">
        <v>17500</v>
      </c>
      <c r="GE9">
        <v>0</v>
      </c>
      <c r="GF9">
        <v>17500</v>
      </c>
      <c r="GG9">
        <v>0</v>
      </c>
      <c r="GH9">
        <v>0</v>
      </c>
      <c r="GI9">
        <v>0</v>
      </c>
      <c r="GJ9">
        <v>0</v>
      </c>
      <c r="GK9">
        <v>0</v>
      </c>
      <c r="GL9">
        <v>0</v>
      </c>
      <c r="GM9">
        <v>0</v>
      </c>
      <c r="GN9">
        <v>0</v>
      </c>
      <c r="GO9">
        <v>2036</v>
      </c>
      <c r="GP9">
        <v>0</v>
      </c>
      <c r="GQ9">
        <v>0</v>
      </c>
      <c r="GR9">
        <v>0</v>
      </c>
      <c r="GS9">
        <v>17500</v>
      </c>
      <c r="GT9">
        <v>0</v>
      </c>
      <c r="GU9">
        <v>17500</v>
      </c>
      <c r="GV9">
        <v>0</v>
      </c>
      <c r="GW9">
        <v>0</v>
      </c>
      <c r="GX9">
        <v>0</v>
      </c>
      <c r="GY9">
        <v>0</v>
      </c>
      <c r="GZ9">
        <v>0</v>
      </c>
      <c r="HA9">
        <v>0</v>
      </c>
      <c r="HB9">
        <v>0</v>
      </c>
      <c r="HC9">
        <v>0</v>
      </c>
    </row>
    <row r="10" spans="1:255" customFormat="1">
      <c r="A10">
        <v>1138</v>
      </c>
      <c r="B10" s="528">
        <v>5615</v>
      </c>
      <c r="C10" t="s">
        <v>2019</v>
      </c>
      <c r="D10">
        <v>218</v>
      </c>
      <c r="E10" t="s">
        <v>1771</v>
      </c>
      <c r="F10" t="s">
        <v>1598</v>
      </c>
      <c r="G10" t="s">
        <v>1772</v>
      </c>
      <c r="H10" s="448">
        <v>43171</v>
      </c>
      <c r="I10" s="448">
        <v>45759</v>
      </c>
      <c r="J10">
        <v>330000</v>
      </c>
      <c r="K10">
        <v>270000</v>
      </c>
      <c r="L10">
        <v>16768.75</v>
      </c>
      <c r="M10">
        <v>286768.75</v>
      </c>
      <c r="N10">
        <v>8</v>
      </c>
      <c r="O10" s="448">
        <v>43465</v>
      </c>
      <c r="P10">
        <v>0</v>
      </c>
      <c r="Q10">
        <v>2024</v>
      </c>
      <c r="R10">
        <v>39944.57</v>
      </c>
      <c r="S10">
        <v>540.42999999999995</v>
      </c>
      <c r="T10" s="538">
        <v>26400</v>
      </c>
      <c r="U10" s="538">
        <v>179664.65753424657</v>
      </c>
      <c r="V10" s="538">
        <v>26400</v>
      </c>
      <c r="W10" s="538">
        <v>179664.65753424657</v>
      </c>
      <c r="X10" s="538">
        <v>48516.05</v>
      </c>
      <c r="Y10" s="538">
        <v>10097.52</v>
      </c>
      <c r="Z10" s="538">
        <v>0</v>
      </c>
      <c r="AA10" s="538">
        <v>23.73</v>
      </c>
      <c r="AB10" s="538">
        <v>-22116.050000000003</v>
      </c>
      <c r="AC10" s="538">
        <v>-5529.0125000000007</v>
      </c>
      <c r="AD10" s="538">
        <v>-34345.255616438357</v>
      </c>
      <c r="AE10">
        <v>0</v>
      </c>
      <c r="AF10">
        <v>2025</v>
      </c>
      <c r="AG10">
        <v>10097.52</v>
      </c>
      <c r="AH10">
        <v>23.73</v>
      </c>
      <c r="AI10">
        <v>26400</v>
      </c>
      <c r="AJ10">
        <v>206064.65753424657</v>
      </c>
      <c r="AK10">
        <v>26400</v>
      </c>
      <c r="AL10">
        <v>206064.65753424657</v>
      </c>
      <c r="AM10">
        <v>12954.32</v>
      </c>
      <c r="AN10">
        <v>0</v>
      </c>
      <c r="AO10">
        <v>0</v>
      </c>
      <c r="AP10">
        <v>0</v>
      </c>
      <c r="AQ10">
        <v>13445.68</v>
      </c>
      <c r="AR10">
        <v>3361.42</v>
      </c>
      <c r="AS10">
        <v>-30983.835616438359</v>
      </c>
      <c r="AT10">
        <v>0</v>
      </c>
      <c r="AU10">
        <v>2026</v>
      </c>
      <c r="AV10">
        <v>0</v>
      </c>
      <c r="AW10">
        <v>0</v>
      </c>
      <c r="AX10">
        <v>26400</v>
      </c>
      <c r="AY10">
        <v>232464.65753424657</v>
      </c>
      <c r="AZ10">
        <v>26400</v>
      </c>
      <c r="BA10">
        <v>232464.65753424657</v>
      </c>
      <c r="BB10">
        <v>0</v>
      </c>
      <c r="BC10">
        <v>0</v>
      </c>
      <c r="BD10">
        <v>0</v>
      </c>
      <c r="BE10">
        <v>0</v>
      </c>
      <c r="BF10">
        <v>26400</v>
      </c>
      <c r="BG10">
        <v>6600</v>
      </c>
      <c r="BH10">
        <v>-24383.835616438359</v>
      </c>
      <c r="BI10">
        <v>0</v>
      </c>
      <c r="BJ10">
        <v>2027</v>
      </c>
      <c r="BK10">
        <v>0</v>
      </c>
      <c r="BL10">
        <v>0</v>
      </c>
      <c r="BM10">
        <v>26400</v>
      </c>
      <c r="BN10">
        <v>258864.65753424657</v>
      </c>
      <c r="BO10">
        <v>26400</v>
      </c>
      <c r="BP10">
        <v>258864.65753424657</v>
      </c>
      <c r="BQ10">
        <v>0</v>
      </c>
      <c r="BR10">
        <v>0</v>
      </c>
      <c r="BS10">
        <v>0</v>
      </c>
      <c r="BT10">
        <v>0</v>
      </c>
      <c r="BU10">
        <v>26400</v>
      </c>
      <c r="BV10">
        <v>6600</v>
      </c>
      <c r="BW10">
        <v>-17783.835616438359</v>
      </c>
      <c r="BX10">
        <v>0</v>
      </c>
      <c r="BY10">
        <v>2028</v>
      </c>
      <c r="BZ10">
        <v>0</v>
      </c>
      <c r="CA10">
        <v>0</v>
      </c>
      <c r="CB10">
        <v>26400</v>
      </c>
      <c r="CC10">
        <v>285264.65753424657</v>
      </c>
      <c r="CD10">
        <v>26400</v>
      </c>
      <c r="CE10">
        <v>285264.65753424657</v>
      </c>
      <c r="CF10">
        <v>0</v>
      </c>
      <c r="CG10">
        <v>0</v>
      </c>
      <c r="CH10">
        <v>0</v>
      </c>
      <c r="CI10">
        <v>0</v>
      </c>
      <c r="CJ10">
        <v>26400</v>
      </c>
      <c r="CK10">
        <v>6600</v>
      </c>
      <c r="CL10">
        <v>-11183.835616438359</v>
      </c>
      <c r="CM10">
        <v>0</v>
      </c>
      <c r="CN10">
        <v>2029</v>
      </c>
      <c r="CO10">
        <v>0</v>
      </c>
      <c r="CP10">
        <v>0</v>
      </c>
      <c r="CQ10">
        <v>26400</v>
      </c>
      <c r="CR10">
        <v>311664.65753424657</v>
      </c>
      <c r="CS10">
        <v>26400</v>
      </c>
      <c r="CT10">
        <v>311664.65753424657</v>
      </c>
      <c r="CU10">
        <v>0</v>
      </c>
      <c r="CV10">
        <v>0</v>
      </c>
      <c r="CW10">
        <v>0</v>
      </c>
      <c r="CX10">
        <v>0</v>
      </c>
      <c r="CY10">
        <v>26400</v>
      </c>
      <c r="CZ10">
        <v>6600</v>
      </c>
      <c r="DA10">
        <v>-4583.8356164383586</v>
      </c>
      <c r="DB10">
        <v>0</v>
      </c>
      <c r="DC10">
        <v>2030</v>
      </c>
      <c r="DD10">
        <v>0</v>
      </c>
      <c r="DE10">
        <v>0</v>
      </c>
      <c r="DF10">
        <v>18335.342465753434</v>
      </c>
      <c r="DG10">
        <v>330000</v>
      </c>
      <c r="DH10">
        <v>18335.342465753434</v>
      </c>
      <c r="DI10">
        <v>330000</v>
      </c>
      <c r="DJ10">
        <v>0</v>
      </c>
      <c r="DK10">
        <v>0</v>
      </c>
      <c r="DL10">
        <v>0</v>
      </c>
      <c r="DM10">
        <v>0</v>
      </c>
      <c r="DN10">
        <v>18335.342465753434</v>
      </c>
      <c r="DO10">
        <v>4583.8356164383586</v>
      </c>
      <c r="DP10">
        <v>0</v>
      </c>
      <c r="DQ10">
        <v>0</v>
      </c>
      <c r="DR10">
        <v>2031</v>
      </c>
      <c r="DS10">
        <v>0</v>
      </c>
      <c r="DT10">
        <v>0</v>
      </c>
      <c r="DU10">
        <v>0</v>
      </c>
      <c r="DV10">
        <v>330000</v>
      </c>
      <c r="DW10">
        <v>0</v>
      </c>
      <c r="DX10">
        <v>330000</v>
      </c>
      <c r="DY10">
        <v>0</v>
      </c>
      <c r="DZ10">
        <v>0</v>
      </c>
      <c r="EA10">
        <v>0</v>
      </c>
      <c r="EB10">
        <v>0</v>
      </c>
      <c r="EC10">
        <v>0</v>
      </c>
      <c r="ED10">
        <v>0</v>
      </c>
      <c r="EE10">
        <v>0</v>
      </c>
      <c r="EF10">
        <v>0</v>
      </c>
    </row>
    <row r="11" spans="1:255" customFormat="1">
      <c r="A11">
        <v>1154</v>
      </c>
      <c r="B11" s="528">
        <v>5615</v>
      </c>
      <c r="C11" t="s">
        <v>2019</v>
      </c>
      <c r="D11">
        <v>218</v>
      </c>
      <c r="E11" t="s">
        <v>1776</v>
      </c>
      <c r="F11" t="s">
        <v>1777</v>
      </c>
      <c r="G11" t="s">
        <v>1778</v>
      </c>
      <c r="H11" s="448">
        <v>43752</v>
      </c>
      <c r="I11" s="448">
        <v>46309</v>
      </c>
      <c r="J11">
        <v>235371</v>
      </c>
      <c r="K11">
        <v>235371</v>
      </c>
      <c r="L11">
        <v>9394.15</v>
      </c>
      <c r="M11">
        <v>244765.15</v>
      </c>
      <c r="N11">
        <v>8</v>
      </c>
      <c r="O11" s="448">
        <v>43830</v>
      </c>
      <c r="P11">
        <v>0</v>
      </c>
      <c r="Q11">
        <v>2024</v>
      </c>
      <c r="R11">
        <v>33633.72</v>
      </c>
      <c r="S11">
        <v>921.36</v>
      </c>
      <c r="T11" s="538">
        <v>18829.68</v>
      </c>
      <c r="U11" s="538">
        <v>98172.276821917796</v>
      </c>
      <c r="V11" s="538">
        <v>18829.68</v>
      </c>
      <c r="W11" s="538">
        <v>98172.276821917796</v>
      </c>
      <c r="X11" s="538">
        <v>33633.72</v>
      </c>
      <c r="Y11" s="538">
        <v>34005.57</v>
      </c>
      <c r="Z11" s="538">
        <v>31504.49</v>
      </c>
      <c r="AA11" s="538">
        <v>720.51</v>
      </c>
      <c r="AB11" s="538">
        <v>-14804.04</v>
      </c>
      <c r="AC11" s="538">
        <v>-3701.01</v>
      </c>
      <c r="AD11" s="538">
        <v>-17922.165794520548</v>
      </c>
      <c r="AE11">
        <v>0</v>
      </c>
      <c r="AF11">
        <v>2025</v>
      </c>
      <c r="AG11">
        <v>34005.57</v>
      </c>
      <c r="AH11">
        <v>549.51</v>
      </c>
      <c r="AI11">
        <v>18829.68</v>
      </c>
      <c r="AJ11">
        <v>117001.95682191779</v>
      </c>
      <c r="AK11">
        <v>18829.68</v>
      </c>
      <c r="AL11">
        <v>117001.95682191779</v>
      </c>
      <c r="AM11">
        <v>34005.57</v>
      </c>
      <c r="AN11">
        <v>31504.49</v>
      </c>
      <c r="AO11">
        <v>0</v>
      </c>
      <c r="AP11">
        <v>171</v>
      </c>
      <c r="AQ11">
        <v>-15175.89</v>
      </c>
      <c r="AR11">
        <v>-3793.9724999999999</v>
      </c>
      <c r="AS11">
        <v>-21716.138294520548</v>
      </c>
      <c r="AT11">
        <v>0</v>
      </c>
      <c r="AU11">
        <v>2026</v>
      </c>
      <c r="AV11">
        <v>31504.49</v>
      </c>
      <c r="AW11">
        <v>171</v>
      </c>
      <c r="AX11">
        <v>18829.68</v>
      </c>
      <c r="AY11">
        <v>135831.63682191778</v>
      </c>
      <c r="AZ11">
        <v>18829.68</v>
      </c>
      <c r="BA11">
        <v>135831.63682191778</v>
      </c>
      <c r="BB11">
        <v>31504.49</v>
      </c>
      <c r="BC11">
        <v>0</v>
      </c>
      <c r="BD11">
        <v>0</v>
      </c>
      <c r="BE11">
        <v>0</v>
      </c>
      <c r="BF11">
        <v>-12674.810000000001</v>
      </c>
      <c r="BG11">
        <v>-3168.7025000000003</v>
      </c>
      <c r="BH11">
        <v>-24884.840794520547</v>
      </c>
      <c r="BI11">
        <v>0</v>
      </c>
      <c r="BJ11">
        <v>2027</v>
      </c>
      <c r="BK11">
        <v>0</v>
      </c>
      <c r="BL11">
        <v>0</v>
      </c>
      <c r="BM11">
        <v>18829.68</v>
      </c>
      <c r="BN11">
        <v>154661.31682191778</v>
      </c>
      <c r="BO11">
        <v>18829.68</v>
      </c>
      <c r="BP11">
        <v>154661.31682191778</v>
      </c>
      <c r="BQ11">
        <v>0</v>
      </c>
      <c r="BR11">
        <v>0</v>
      </c>
      <c r="BS11">
        <v>0</v>
      </c>
      <c r="BT11">
        <v>0</v>
      </c>
      <c r="BU11">
        <v>18829.68</v>
      </c>
      <c r="BV11">
        <v>4707.42</v>
      </c>
      <c r="BW11">
        <v>-20177.420794520549</v>
      </c>
      <c r="BX11">
        <v>0</v>
      </c>
      <c r="BY11">
        <v>2028</v>
      </c>
      <c r="BZ11">
        <v>0</v>
      </c>
      <c r="CA11">
        <v>0</v>
      </c>
      <c r="CB11">
        <v>18829.68</v>
      </c>
      <c r="CC11">
        <v>173490.99682191777</v>
      </c>
      <c r="CD11">
        <v>18829.68</v>
      </c>
      <c r="CE11">
        <v>173490.99682191777</v>
      </c>
      <c r="CF11">
        <v>0</v>
      </c>
      <c r="CG11">
        <v>0</v>
      </c>
      <c r="CH11">
        <v>0</v>
      </c>
      <c r="CI11">
        <v>0</v>
      </c>
      <c r="CJ11">
        <v>18829.68</v>
      </c>
      <c r="CK11">
        <v>4707.42</v>
      </c>
      <c r="CL11">
        <v>-15470.000794520549</v>
      </c>
      <c r="CM11">
        <v>0</v>
      </c>
      <c r="CN11">
        <v>2029</v>
      </c>
      <c r="CO11">
        <v>0</v>
      </c>
      <c r="CP11">
        <v>0</v>
      </c>
      <c r="CQ11">
        <v>18829.68</v>
      </c>
      <c r="CR11">
        <v>192320.67682191776</v>
      </c>
      <c r="CS11">
        <v>18829.68</v>
      </c>
      <c r="CT11">
        <v>192320.67682191776</v>
      </c>
      <c r="CU11">
        <v>0</v>
      </c>
      <c r="CV11">
        <v>0</v>
      </c>
      <c r="CW11">
        <v>0</v>
      </c>
      <c r="CX11">
        <v>0</v>
      </c>
      <c r="CY11">
        <v>18829.68</v>
      </c>
      <c r="CZ11">
        <v>4707.42</v>
      </c>
      <c r="DA11">
        <v>-10762.580794520549</v>
      </c>
      <c r="DB11">
        <v>0</v>
      </c>
      <c r="DC11">
        <v>2030</v>
      </c>
      <c r="DD11">
        <v>0</v>
      </c>
      <c r="DE11">
        <v>0</v>
      </c>
      <c r="DF11">
        <v>18829.68</v>
      </c>
      <c r="DG11">
        <v>211150.35682191775</v>
      </c>
      <c r="DH11">
        <v>18829.68</v>
      </c>
      <c r="DI11">
        <v>211150.35682191775</v>
      </c>
      <c r="DJ11">
        <v>0</v>
      </c>
      <c r="DK11">
        <v>0</v>
      </c>
      <c r="DL11">
        <v>0</v>
      </c>
      <c r="DM11">
        <v>0</v>
      </c>
      <c r="DN11">
        <v>18829.68</v>
      </c>
      <c r="DO11">
        <v>4707.42</v>
      </c>
      <c r="DP11">
        <v>-6055.1607945205487</v>
      </c>
      <c r="DQ11">
        <v>0</v>
      </c>
      <c r="DR11">
        <v>2031</v>
      </c>
      <c r="DS11">
        <v>0</v>
      </c>
      <c r="DT11">
        <v>0</v>
      </c>
      <c r="DU11">
        <v>18829.68</v>
      </c>
      <c r="DV11">
        <v>229980.03682191775</v>
      </c>
      <c r="DW11">
        <v>18829.68</v>
      </c>
      <c r="DX11">
        <v>229980.03682191775</v>
      </c>
      <c r="DY11">
        <v>0</v>
      </c>
      <c r="DZ11">
        <v>0</v>
      </c>
      <c r="EA11">
        <v>0</v>
      </c>
      <c r="EB11">
        <v>0</v>
      </c>
      <c r="EC11">
        <v>18829.68</v>
      </c>
      <c r="ED11">
        <v>4707.42</v>
      </c>
      <c r="EE11">
        <v>-1347.7407945205487</v>
      </c>
      <c r="EF11">
        <v>0</v>
      </c>
      <c r="EG11">
        <v>2032</v>
      </c>
      <c r="EH11">
        <v>0</v>
      </c>
      <c r="EI11">
        <v>0</v>
      </c>
      <c r="EJ11">
        <v>5390.9631780822529</v>
      </c>
      <c r="EK11">
        <v>235371</v>
      </c>
      <c r="EL11">
        <v>5390.9631780822529</v>
      </c>
      <c r="EM11">
        <v>235371</v>
      </c>
      <c r="EN11">
        <v>0</v>
      </c>
      <c r="EO11">
        <v>0</v>
      </c>
      <c r="EP11">
        <v>0</v>
      </c>
      <c r="EQ11">
        <v>0</v>
      </c>
      <c r="ER11">
        <v>5390.9631780822529</v>
      </c>
      <c r="ES11">
        <v>1347.7407945205632</v>
      </c>
      <c r="ET11">
        <v>1.4551915228366852E-11</v>
      </c>
      <c r="EU11">
        <v>0</v>
      </c>
      <c r="EV11">
        <v>2033</v>
      </c>
      <c r="EW11">
        <v>0</v>
      </c>
      <c r="EX11">
        <v>0</v>
      </c>
      <c r="EY11">
        <v>0</v>
      </c>
      <c r="EZ11">
        <v>235371</v>
      </c>
      <c r="FA11">
        <v>0</v>
      </c>
      <c r="FB11">
        <v>235371</v>
      </c>
      <c r="FC11">
        <v>0</v>
      </c>
      <c r="FD11">
        <v>0</v>
      </c>
      <c r="FE11">
        <v>0</v>
      </c>
      <c r="FF11">
        <v>0</v>
      </c>
      <c r="FG11">
        <v>0</v>
      </c>
      <c r="FH11">
        <v>0</v>
      </c>
      <c r="FI11">
        <v>1.4551915228366852E-11</v>
      </c>
      <c r="FJ11">
        <v>0</v>
      </c>
      <c r="FY11">
        <v>0</v>
      </c>
      <c r="GN11">
        <v>0</v>
      </c>
    </row>
    <row r="12" spans="1:255" customFormat="1">
      <c r="A12">
        <v>1153</v>
      </c>
      <c r="B12" s="528">
        <v>5615</v>
      </c>
      <c r="C12" t="s">
        <v>2019</v>
      </c>
      <c r="D12">
        <v>218</v>
      </c>
      <c r="E12" t="s">
        <v>1779</v>
      </c>
      <c r="F12" t="s">
        <v>1762</v>
      </c>
      <c r="G12" t="s">
        <v>1780</v>
      </c>
      <c r="H12" s="448">
        <v>43669</v>
      </c>
      <c r="I12" s="448">
        <v>45466</v>
      </c>
      <c r="J12">
        <v>270000</v>
      </c>
      <c r="K12">
        <v>270000</v>
      </c>
      <c r="L12">
        <v>10242.539999999999</v>
      </c>
      <c r="M12">
        <v>280242.53999999998</v>
      </c>
      <c r="N12">
        <v>8</v>
      </c>
      <c r="O12" s="448">
        <v>43830</v>
      </c>
      <c r="P12">
        <v>0</v>
      </c>
      <c r="Q12">
        <v>2024</v>
      </c>
      <c r="R12">
        <v>31998.880000000001</v>
      </c>
      <c r="S12">
        <v>160.09999999999997</v>
      </c>
      <c r="T12" s="538">
        <v>21600</v>
      </c>
      <c r="U12" s="538">
        <v>117527.67123287672</v>
      </c>
      <c r="V12" s="538">
        <v>21600</v>
      </c>
      <c r="W12" s="538">
        <v>117527.67123287672</v>
      </c>
      <c r="X12" s="538">
        <v>31998.880000000001</v>
      </c>
      <c r="Y12" s="538">
        <v>0</v>
      </c>
      <c r="Z12" s="538">
        <v>0</v>
      </c>
      <c r="AA12" s="538">
        <v>0</v>
      </c>
      <c r="AB12" s="538">
        <v>-10398.880000000001</v>
      </c>
      <c r="AC12" s="538">
        <v>-2599.7200000000003</v>
      </c>
      <c r="AD12" s="538">
        <v>-36969.547191780825</v>
      </c>
      <c r="AE12">
        <v>0</v>
      </c>
      <c r="AF12">
        <v>2025</v>
      </c>
      <c r="AG12">
        <v>0</v>
      </c>
      <c r="AH12">
        <v>0</v>
      </c>
      <c r="AI12">
        <v>21600</v>
      </c>
      <c r="AJ12">
        <v>139127.67123287672</v>
      </c>
      <c r="AK12">
        <v>21600</v>
      </c>
      <c r="AL12">
        <v>139127.67123287672</v>
      </c>
      <c r="AM12">
        <v>0</v>
      </c>
      <c r="AN12">
        <v>0</v>
      </c>
      <c r="AO12">
        <v>0</v>
      </c>
      <c r="AP12">
        <v>0</v>
      </c>
      <c r="AQ12">
        <v>21600</v>
      </c>
      <c r="AR12">
        <v>5400</v>
      </c>
      <c r="AS12">
        <v>-31569.547191780825</v>
      </c>
      <c r="AT12">
        <v>0</v>
      </c>
      <c r="AU12">
        <v>2026</v>
      </c>
      <c r="AV12">
        <v>0</v>
      </c>
      <c r="AW12">
        <v>0</v>
      </c>
      <c r="AX12">
        <v>21600</v>
      </c>
      <c r="AY12">
        <v>160727.67123287672</v>
      </c>
      <c r="AZ12">
        <v>21600</v>
      </c>
      <c r="BA12">
        <v>160727.67123287672</v>
      </c>
      <c r="BB12">
        <v>0</v>
      </c>
      <c r="BC12">
        <v>0</v>
      </c>
      <c r="BD12">
        <v>0</v>
      </c>
      <c r="BE12">
        <v>0</v>
      </c>
      <c r="BF12">
        <v>21600</v>
      </c>
      <c r="BG12">
        <v>5400</v>
      </c>
      <c r="BH12">
        <v>-26169.547191780825</v>
      </c>
      <c r="BI12">
        <v>0</v>
      </c>
      <c r="BJ12">
        <v>2027</v>
      </c>
      <c r="BK12">
        <v>0</v>
      </c>
      <c r="BL12">
        <v>0</v>
      </c>
      <c r="BM12">
        <v>21600</v>
      </c>
      <c r="BN12">
        <v>182327.67123287672</v>
      </c>
      <c r="BO12">
        <v>21600</v>
      </c>
      <c r="BP12">
        <v>182327.67123287672</v>
      </c>
      <c r="BQ12">
        <v>0</v>
      </c>
      <c r="BR12">
        <v>0</v>
      </c>
      <c r="BS12">
        <v>0</v>
      </c>
      <c r="BT12">
        <v>0</v>
      </c>
      <c r="BU12">
        <v>21600</v>
      </c>
      <c r="BV12">
        <v>5400</v>
      </c>
      <c r="BW12">
        <v>-20769.547191780825</v>
      </c>
      <c r="BX12">
        <v>0</v>
      </c>
      <c r="BY12">
        <v>2028</v>
      </c>
      <c r="BZ12">
        <v>0</v>
      </c>
      <c r="CA12">
        <v>0</v>
      </c>
      <c r="CB12">
        <v>21600</v>
      </c>
      <c r="CC12">
        <v>203927.67123287672</v>
      </c>
      <c r="CD12">
        <v>21600</v>
      </c>
      <c r="CE12">
        <v>203927.67123287672</v>
      </c>
      <c r="CF12">
        <v>0</v>
      </c>
      <c r="CG12">
        <v>0</v>
      </c>
      <c r="CH12">
        <v>0</v>
      </c>
      <c r="CI12">
        <v>0</v>
      </c>
      <c r="CJ12">
        <v>21600</v>
      </c>
      <c r="CK12">
        <v>5400</v>
      </c>
      <c r="CL12">
        <v>-15369.547191780825</v>
      </c>
      <c r="CM12">
        <v>0</v>
      </c>
      <c r="CN12">
        <v>2029</v>
      </c>
      <c r="CO12">
        <v>0</v>
      </c>
      <c r="CP12">
        <v>0</v>
      </c>
      <c r="CQ12">
        <v>21600</v>
      </c>
      <c r="CR12">
        <v>225527.67123287672</v>
      </c>
      <c r="CS12">
        <v>21600</v>
      </c>
      <c r="CT12">
        <v>225527.67123287672</v>
      </c>
      <c r="CU12">
        <v>0</v>
      </c>
      <c r="CV12">
        <v>0</v>
      </c>
      <c r="CW12">
        <v>0</v>
      </c>
      <c r="CX12">
        <v>0</v>
      </c>
      <c r="CY12">
        <v>21600</v>
      </c>
      <c r="CZ12">
        <v>5400</v>
      </c>
      <c r="DA12">
        <v>-9969.5471917808245</v>
      </c>
      <c r="DB12">
        <v>0</v>
      </c>
      <c r="DC12">
        <v>2030</v>
      </c>
      <c r="DD12">
        <v>0</v>
      </c>
      <c r="DE12">
        <v>0</v>
      </c>
      <c r="DF12">
        <v>21600</v>
      </c>
      <c r="DG12">
        <v>247127.67123287672</v>
      </c>
      <c r="DH12">
        <v>21600</v>
      </c>
      <c r="DI12">
        <v>247127.67123287672</v>
      </c>
      <c r="DJ12">
        <v>0</v>
      </c>
      <c r="DK12">
        <v>0</v>
      </c>
      <c r="DL12">
        <v>0</v>
      </c>
      <c r="DM12">
        <v>0</v>
      </c>
      <c r="DN12">
        <v>21600</v>
      </c>
      <c r="DO12">
        <v>5400</v>
      </c>
      <c r="DP12">
        <v>-4569.5471917808245</v>
      </c>
      <c r="DQ12">
        <v>0</v>
      </c>
      <c r="DR12">
        <v>2031</v>
      </c>
      <c r="DS12">
        <v>0</v>
      </c>
      <c r="DT12">
        <v>0</v>
      </c>
      <c r="DU12">
        <v>21600</v>
      </c>
      <c r="DV12">
        <v>268727.67123287672</v>
      </c>
      <c r="DW12">
        <v>21600</v>
      </c>
      <c r="DX12">
        <v>268727.67123287672</v>
      </c>
      <c r="DY12">
        <v>0</v>
      </c>
      <c r="DZ12">
        <v>0</v>
      </c>
      <c r="EA12">
        <v>0</v>
      </c>
      <c r="EB12">
        <v>0</v>
      </c>
      <c r="EC12">
        <v>21600</v>
      </c>
      <c r="ED12">
        <v>5400</v>
      </c>
      <c r="EE12">
        <v>830.45280821917549</v>
      </c>
      <c r="EF12">
        <v>0</v>
      </c>
      <c r="EG12">
        <v>2032</v>
      </c>
      <c r="EH12">
        <v>0</v>
      </c>
      <c r="EI12">
        <v>0</v>
      </c>
      <c r="EJ12">
        <v>1272.3287671232829</v>
      </c>
      <c r="EK12">
        <v>270000</v>
      </c>
      <c r="EL12">
        <v>1272.3287671232829</v>
      </c>
      <c r="EM12">
        <v>270000</v>
      </c>
      <c r="EN12">
        <v>0</v>
      </c>
      <c r="EO12">
        <v>0</v>
      </c>
      <c r="EP12">
        <v>0</v>
      </c>
      <c r="EQ12">
        <v>0</v>
      </c>
      <c r="ER12">
        <v>1272.3287671232829</v>
      </c>
      <c r="ES12">
        <v>318.08219178082072</v>
      </c>
      <c r="ET12">
        <v>1148.5349999999962</v>
      </c>
      <c r="EU12">
        <v>0</v>
      </c>
      <c r="EV12">
        <v>2033</v>
      </c>
      <c r="EW12">
        <v>0</v>
      </c>
      <c r="EX12">
        <v>0</v>
      </c>
      <c r="EY12">
        <v>0</v>
      </c>
      <c r="EZ12">
        <v>270000</v>
      </c>
      <c r="FA12">
        <v>0</v>
      </c>
      <c r="FB12">
        <v>270000</v>
      </c>
      <c r="FC12">
        <v>0</v>
      </c>
      <c r="FD12">
        <v>0</v>
      </c>
      <c r="FE12">
        <v>0</v>
      </c>
      <c r="FF12">
        <v>0</v>
      </c>
      <c r="FG12">
        <v>0</v>
      </c>
      <c r="FH12">
        <v>0</v>
      </c>
      <c r="FI12">
        <v>1148.5349999999962</v>
      </c>
      <c r="FJ12">
        <v>0</v>
      </c>
      <c r="FY12">
        <v>0</v>
      </c>
      <c r="GN12">
        <v>0</v>
      </c>
    </row>
    <row r="13" spans="1:255" customFormat="1">
      <c r="A13">
        <v>114</v>
      </c>
      <c r="B13" s="528">
        <v>5791</v>
      </c>
      <c r="C13" t="s">
        <v>1471</v>
      </c>
      <c r="D13">
        <v>21700007</v>
      </c>
      <c r="E13" t="s">
        <v>1475</v>
      </c>
      <c r="F13" t="s">
        <v>1474</v>
      </c>
      <c r="G13" t="s">
        <v>896</v>
      </c>
      <c r="H13" s="448">
        <v>34684</v>
      </c>
      <c r="I13" s="448">
        <v>37433</v>
      </c>
      <c r="J13">
        <v>51568.18</v>
      </c>
      <c r="K13">
        <v>51568.18</v>
      </c>
      <c r="N13">
        <v>3</v>
      </c>
      <c r="O13" s="448">
        <v>34699</v>
      </c>
      <c r="P13">
        <v>0</v>
      </c>
      <c r="Q13">
        <v>2024</v>
      </c>
      <c r="R13">
        <v>0</v>
      </c>
      <c r="S13">
        <v>0</v>
      </c>
      <c r="T13" s="538">
        <v>1547.05</v>
      </c>
      <c r="U13" s="538">
        <v>47981.82</v>
      </c>
      <c r="V13" s="538">
        <v>1547.05</v>
      </c>
      <c r="W13" s="538">
        <v>47981.82</v>
      </c>
      <c r="X13" s="538">
        <v>0</v>
      </c>
      <c r="Y13" s="538">
        <v>0</v>
      </c>
      <c r="Z13" s="538">
        <v>0</v>
      </c>
      <c r="AA13" s="538">
        <v>0</v>
      </c>
      <c r="AB13" s="538">
        <v>1547.05</v>
      </c>
      <c r="AC13" s="538">
        <v>386.76</v>
      </c>
      <c r="AD13" s="538">
        <v>-875.35</v>
      </c>
      <c r="AE13">
        <v>0</v>
      </c>
      <c r="AF13">
        <v>2025</v>
      </c>
      <c r="AG13">
        <v>0</v>
      </c>
      <c r="AH13">
        <v>0</v>
      </c>
      <c r="AI13">
        <v>1547.05</v>
      </c>
      <c r="AJ13">
        <v>49528.87</v>
      </c>
      <c r="AK13">
        <v>1547.05</v>
      </c>
      <c r="AL13">
        <v>49528.87</v>
      </c>
      <c r="AM13">
        <v>0</v>
      </c>
      <c r="AN13">
        <v>0</v>
      </c>
      <c r="AO13">
        <v>0</v>
      </c>
      <c r="AP13">
        <v>0</v>
      </c>
      <c r="AQ13">
        <v>1547.05</v>
      </c>
      <c r="AR13">
        <v>386.76</v>
      </c>
      <c r="AS13">
        <v>-488.59</v>
      </c>
      <c r="AT13">
        <v>0</v>
      </c>
      <c r="AU13">
        <v>2026</v>
      </c>
      <c r="AV13">
        <v>0</v>
      </c>
      <c r="AW13">
        <v>0</v>
      </c>
      <c r="AX13">
        <v>1547.05</v>
      </c>
      <c r="AY13">
        <v>51075.92</v>
      </c>
      <c r="AZ13">
        <v>1547.05</v>
      </c>
      <c r="BA13">
        <v>51075.92</v>
      </c>
      <c r="BB13">
        <v>0</v>
      </c>
      <c r="BC13">
        <v>0</v>
      </c>
      <c r="BD13">
        <v>0</v>
      </c>
      <c r="BE13">
        <v>0</v>
      </c>
      <c r="BF13">
        <v>1547.05</v>
      </c>
      <c r="BG13">
        <v>386.76</v>
      </c>
      <c r="BH13">
        <v>-101.83</v>
      </c>
      <c r="BI13">
        <v>0</v>
      </c>
      <c r="BJ13">
        <v>2027</v>
      </c>
      <c r="BK13">
        <v>0</v>
      </c>
      <c r="BL13">
        <v>0</v>
      </c>
      <c r="BM13">
        <v>492.26</v>
      </c>
      <c r="BN13">
        <v>51568.18</v>
      </c>
      <c r="BO13">
        <v>492.26</v>
      </c>
      <c r="BP13">
        <v>51568.18</v>
      </c>
      <c r="BQ13">
        <v>0</v>
      </c>
      <c r="BR13">
        <v>0</v>
      </c>
      <c r="BS13">
        <v>0</v>
      </c>
      <c r="BT13">
        <v>0</v>
      </c>
      <c r="BU13">
        <v>492.26</v>
      </c>
      <c r="BV13">
        <v>-123.07</v>
      </c>
      <c r="BW13">
        <v>0</v>
      </c>
      <c r="BX13">
        <v>0</v>
      </c>
    </row>
    <row r="14" spans="1:255" customFormat="1">
      <c r="A14">
        <v>115</v>
      </c>
      <c r="B14" s="528">
        <v>5791</v>
      </c>
      <c r="C14" t="s">
        <v>1471</v>
      </c>
      <c r="D14">
        <v>21700006</v>
      </c>
      <c r="E14" t="s">
        <v>1476</v>
      </c>
      <c r="F14" t="s">
        <v>1474</v>
      </c>
      <c r="G14" t="s">
        <v>896</v>
      </c>
      <c r="H14" s="448">
        <v>34684</v>
      </c>
      <c r="I14" s="448">
        <v>37433</v>
      </c>
      <c r="J14">
        <v>98824.420323825296</v>
      </c>
      <c r="K14">
        <v>98824.420323825296</v>
      </c>
      <c r="L14">
        <v>0</v>
      </c>
      <c r="M14">
        <v>98824.420324000006</v>
      </c>
      <c r="N14">
        <v>0</v>
      </c>
      <c r="O14" s="448">
        <v>34699</v>
      </c>
      <c r="P14">
        <v>0</v>
      </c>
      <c r="T14" s="538"/>
      <c r="U14" s="538"/>
      <c r="V14" s="538"/>
      <c r="W14" s="538"/>
      <c r="X14" s="538"/>
      <c r="Y14" s="538"/>
      <c r="Z14" s="538"/>
      <c r="AA14" s="538"/>
      <c r="AB14" s="538"/>
      <c r="AC14" s="538"/>
      <c r="AD14" s="538"/>
    </row>
    <row r="15" spans="1:255" customFormat="1">
      <c r="A15">
        <v>1126</v>
      </c>
      <c r="B15" s="528">
        <v>5940</v>
      </c>
      <c r="C15" t="s">
        <v>1472</v>
      </c>
      <c r="D15">
        <v>218000037</v>
      </c>
      <c r="E15" t="s">
        <v>1761</v>
      </c>
      <c r="F15" t="s">
        <v>1762</v>
      </c>
      <c r="G15" t="s">
        <v>1763</v>
      </c>
      <c r="H15" s="448">
        <v>43347</v>
      </c>
      <c r="I15" s="448">
        <v>45142</v>
      </c>
      <c r="J15">
        <v>45550</v>
      </c>
      <c r="K15">
        <v>45550</v>
      </c>
      <c r="L15">
        <v>2019.63</v>
      </c>
      <c r="M15">
        <v>47569.63</v>
      </c>
      <c r="N15">
        <v>16</v>
      </c>
      <c r="O15" s="448">
        <v>43465</v>
      </c>
      <c r="P15">
        <v>0</v>
      </c>
      <c r="Q15">
        <v>2024</v>
      </c>
      <c r="R15">
        <v>0</v>
      </c>
      <c r="S15">
        <v>0</v>
      </c>
      <c r="T15" s="538">
        <v>6753.8794520547963</v>
      </c>
      <c r="U15" s="538">
        <v>45550</v>
      </c>
      <c r="V15" s="538">
        <v>6753.8794520547963</v>
      </c>
      <c r="W15" s="538">
        <v>45550</v>
      </c>
      <c r="X15" s="538">
        <v>0</v>
      </c>
      <c r="Y15" s="538">
        <v>0</v>
      </c>
      <c r="Z15" s="538">
        <v>0</v>
      </c>
      <c r="AA15" s="538">
        <v>0</v>
      </c>
      <c r="AB15" s="538">
        <v>6753.8794520547963</v>
      </c>
      <c r="AC15" s="538">
        <v>1688.4698630136991</v>
      </c>
      <c r="AD15" s="538">
        <v>0</v>
      </c>
      <c r="AE15">
        <v>0</v>
      </c>
      <c r="AF15">
        <v>2025</v>
      </c>
      <c r="AG15">
        <v>0</v>
      </c>
      <c r="AH15">
        <v>0</v>
      </c>
      <c r="AI15">
        <v>0</v>
      </c>
      <c r="AJ15">
        <v>45550</v>
      </c>
      <c r="AK15">
        <v>0</v>
      </c>
      <c r="AL15">
        <v>45550</v>
      </c>
      <c r="AM15">
        <v>0</v>
      </c>
      <c r="AN15">
        <v>0</v>
      </c>
      <c r="AO15">
        <v>0</v>
      </c>
      <c r="AP15">
        <v>0</v>
      </c>
      <c r="AQ15">
        <v>0</v>
      </c>
      <c r="AR15">
        <v>0</v>
      </c>
      <c r="AS15">
        <v>0</v>
      </c>
      <c r="AT15">
        <v>0</v>
      </c>
      <c r="AU15">
        <v>2026</v>
      </c>
      <c r="AV15">
        <v>0</v>
      </c>
      <c r="AW15">
        <v>0</v>
      </c>
      <c r="AX15">
        <v>0</v>
      </c>
      <c r="AY15">
        <v>45550</v>
      </c>
      <c r="AZ15">
        <v>0</v>
      </c>
      <c r="BA15">
        <v>45550</v>
      </c>
      <c r="BB15">
        <v>0</v>
      </c>
      <c r="BC15">
        <v>0</v>
      </c>
      <c r="BD15">
        <v>0</v>
      </c>
      <c r="BE15">
        <v>0</v>
      </c>
      <c r="BF15">
        <v>0</v>
      </c>
      <c r="BG15">
        <v>0</v>
      </c>
      <c r="BH15">
        <v>0</v>
      </c>
      <c r="BI15">
        <v>0</v>
      </c>
      <c r="BJ15">
        <v>2027</v>
      </c>
      <c r="BK15">
        <v>0</v>
      </c>
      <c r="BL15">
        <v>0</v>
      </c>
      <c r="BM15">
        <v>0</v>
      </c>
      <c r="BN15">
        <v>45550</v>
      </c>
      <c r="BO15">
        <v>0</v>
      </c>
      <c r="BP15">
        <v>45550</v>
      </c>
      <c r="BQ15">
        <v>0</v>
      </c>
      <c r="BR15">
        <v>0</v>
      </c>
      <c r="BS15">
        <v>0</v>
      </c>
      <c r="BT15">
        <v>0</v>
      </c>
      <c r="BU15">
        <v>0</v>
      </c>
      <c r="BV15">
        <v>0</v>
      </c>
      <c r="BW15">
        <v>0</v>
      </c>
      <c r="BX15">
        <v>0</v>
      </c>
      <c r="BY15">
        <v>2028</v>
      </c>
      <c r="BZ15">
        <v>0</v>
      </c>
      <c r="CA15">
        <v>0</v>
      </c>
      <c r="CB15">
        <v>0</v>
      </c>
      <c r="CC15">
        <v>45550</v>
      </c>
      <c r="CD15">
        <v>0</v>
      </c>
      <c r="CE15">
        <v>45550</v>
      </c>
      <c r="CF15">
        <v>0</v>
      </c>
      <c r="CG15">
        <v>0</v>
      </c>
      <c r="CH15">
        <v>0</v>
      </c>
      <c r="CI15">
        <v>0</v>
      </c>
      <c r="CJ15">
        <v>0</v>
      </c>
      <c r="CK15">
        <v>0</v>
      </c>
      <c r="CL15">
        <v>0</v>
      </c>
      <c r="CM15">
        <v>0</v>
      </c>
      <c r="CN15">
        <v>2029</v>
      </c>
      <c r="CO15">
        <v>0</v>
      </c>
      <c r="CP15">
        <v>0</v>
      </c>
      <c r="CQ15">
        <v>0</v>
      </c>
      <c r="CR15">
        <v>45550</v>
      </c>
      <c r="CS15">
        <v>0</v>
      </c>
      <c r="CT15">
        <v>45550</v>
      </c>
      <c r="CU15">
        <v>0</v>
      </c>
      <c r="CV15">
        <v>0</v>
      </c>
      <c r="CW15">
        <v>0</v>
      </c>
      <c r="CX15">
        <v>0</v>
      </c>
      <c r="CY15">
        <v>0</v>
      </c>
      <c r="CZ15">
        <v>0</v>
      </c>
      <c r="DA15">
        <v>0</v>
      </c>
      <c r="DB15">
        <v>0</v>
      </c>
      <c r="DC15">
        <v>2030</v>
      </c>
      <c r="DD15">
        <v>0</v>
      </c>
      <c r="DE15">
        <v>0</v>
      </c>
      <c r="DF15">
        <v>0</v>
      </c>
      <c r="DG15">
        <v>45550</v>
      </c>
      <c r="DH15">
        <v>0</v>
      </c>
      <c r="DI15">
        <v>45550</v>
      </c>
      <c r="DJ15">
        <v>0</v>
      </c>
      <c r="DK15">
        <v>0</v>
      </c>
      <c r="DL15">
        <v>0</v>
      </c>
      <c r="DM15">
        <v>0</v>
      </c>
      <c r="DN15">
        <v>0</v>
      </c>
      <c r="DO15">
        <v>0</v>
      </c>
      <c r="DP15">
        <v>0</v>
      </c>
      <c r="DQ15">
        <v>0</v>
      </c>
      <c r="DR15">
        <v>2031</v>
      </c>
      <c r="DS15">
        <v>0</v>
      </c>
      <c r="DT15">
        <v>0</v>
      </c>
      <c r="DU15">
        <v>0</v>
      </c>
      <c r="DV15">
        <v>45550</v>
      </c>
      <c r="DW15">
        <v>0</v>
      </c>
      <c r="DX15">
        <v>45550</v>
      </c>
      <c r="DY15">
        <v>0</v>
      </c>
      <c r="DZ15">
        <v>0</v>
      </c>
      <c r="EA15">
        <v>0</v>
      </c>
      <c r="EB15">
        <v>0</v>
      </c>
      <c r="EC15">
        <v>0</v>
      </c>
      <c r="ED15">
        <v>0</v>
      </c>
      <c r="EE15">
        <v>0</v>
      </c>
      <c r="EF15">
        <v>0</v>
      </c>
      <c r="EG15">
        <v>2032</v>
      </c>
      <c r="EH15">
        <v>0</v>
      </c>
      <c r="EI15">
        <v>0</v>
      </c>
      <c r="EJ15">
        <v>0</v>
      </c>
      <c r="EK15">
        <v>45550</v>
      </c>
      <c r="EL15">
        <v>0</v>
      </c>
      <c r="EM15">
        <v>45550</v>
      </c>
      <c r="EN15">
        <v>0</v>
      </c>
      <c r="EO15">
        <v>0</v>
      </c>
      <c r="EP15">
        <v>0</v>
      </c>
      <c r="EQ15">
        <v>0</v>
      </c>
      <c r="ER15">
        <v>0</v>
      </c>
      <c r="ES15">
        <v>0</v>
      </c>
      <c r="ET15">
        <v>0</v>
      </c>
      <c r="EU15">
        <v>0</v>
      </c>
    </row>
    <row r="16" spans="1:255" customFormat="1">
      <c r="A16">
        <v>1127</v>
      </c>
      <c r="B16" s="528">
        <v>5940</v>
      </c>
      <c r="C16" t="s">
        <v>1472</v>
      </c>
      <c r="D16">
        <v>218000038</v>
      </c>
      <c r="E16" t="s">
        <v>1764</v>
      </c>
      <c r="F16" t="s">
        <v>1762</v>
      </c>
      <c r="G16" t="s">
        <v>1765</v>
      </c>
      <c r="H16" s="448">
        <v>43347</v>
      </c>
      <c r="I16" s="448">
        <v>45142</v>
      </c>
      <c r="J16">
        <v>45000</v>
      </c>
      <c r="K16">
        <v>45000</v>
      </c>
      <c r="L16">
        <v>1995.62</v>
      </c>
      <c r="M16">
        <v>46995.62</v>
      </c>
      <c r="N16">
        <v>16</v>
      </c>
      <c r="O16" s="448">
        <v>43465</v>
      </c>
      <c r="P16">
        <v>0</v>
      </c>
      <c r="Q16">
        <v>2024</v>
      </c>
      <c r="R16">
        <v>0</v>
      </c>
      <c r="S16">
        <v>0</v>
      </c>
      <c r="T16" s="538">
        <v>6672.3287671232902</v>
      </c>
      <c r="U16" s="538">
        <v>45000</v>
      </c>
      <c r="V16" s="538">
        <v>6672.3287671232902</v>
      </c>
      <c r="W16" s="538">
        <v>45000</v>
      </c>
      <c r="X16" s="538">
        <v>0</v>
      </c>
      <c r="Y16" s="538">
        <v>0</v>
      </c>
      <c r="Z16" s="538">
        <v>0</v>
      </c>
      <c r="AA16" s="538">
        <v>0</v>
      </c>
      <c r="AB16" s="538">
        <v>6672.3287671232902</v>
      </c>
      <c r="AC16" s="538">
        <v>1668.0821917808225</v>
      </c>
      <c r="AD16" s="538">
        <v>0</v>
      </c>
      <c r="AE16">
        <v>0</v>
      </c>
      <c r="AF16">
        <v>2025</v>
      </c>
      <c r="AG16">
        <v>0</v>
      </c>
      <c r="AH16">
        <v>0</v>
      </c>
      <c r="AI16">
        <v>0</v>
      </c>
      <c r="AJ16">
        <v>45000</v>
      </c>
      <c r="AK16">
        <v>0</v>
      </c>
      <c r="AL16">
        <v>45000</v>
      </c>
      <c r="AM16">
        <v>0</v>
      </c>
      <c r="AN16">
        <v>0</v>
      </c>
      <c r="AO16">
        <v>0</v>
      </c>
      <c r="AP16">
        <v>0</v>
      </c>
      <c r="AQ16">
        <v>0</v>
      </c>
      <c r="AR16">
        <v>0</v>
      </c>
      <c r="AS16">
        <v>0</v>
      </c>
      <c r="AT16">
        <v>0</v>
      </c>
      <c r="AU16">
        <v>2026</v>
      </c>
      <c r="AV16">
        <v>0</v>
      </c>
      <c r="AW16">
        <v>0</v>
      </c>
      <c r="AX16">
        <v>0</v>
      </c>
      <c r="AY16">
        <v>45000</v>
      </c>
      <c r="AZ16">
        <v>0</v>
      </c>
      <c r="BA16">
        <v>45000</v>
      </c>
      <c r="BB16">
        <v>0</v>
      </c>
      <c r="BC16">
        <v>0</v>
      </c>
      <c r="BD16">
        <v>0</v>
      </c>
      <c r="BE16">
        <v>0</v>
      </c>
      <c r="BF16">
        <v>0</v>
      </c>
      <c r="BG16">
        <v>0</v>
      </c>
      <c r="BH16">
        <v>0</v>
      </c>
      <c r="BI16">
        <v>0</v>
      </c>
      <c r="BJ16">
        <v>2027</v>
      </c>
      <c r="BK16">
        <v>0</v>
      </c>
      <c r="BL16">
        <v>0</v>
      </c>
      <c r="BM16">
        <v>0</v>
      </c>
      <c r="BN16">
        <v>45000</v>
      </c>
      <c r="BO16">
        <v>0</v>
      </c>
      <c r="BP16">
        <v>45000</v>
      </c>
      <c r="BQ16">
        <v>0</v>
      </c>
      <c r="BR16">
        <v>0</v>
      </c>
      <c r="BS16">
        <v>0</v>
      </c>
      <c r="BT16">
        <v>0</v>
      </c>
      <c r="BU16">
        <v>0</v>
      </c>
      <c r="BV16">
        <v>0</v>
      </c>
      <c r="BW16">
        <v>0</v>
      </c>
      <c r="BX16">
        <v>0</v>
      </c>
      <c r="BY16">
        <v>2028</v>
      </c>
      <c r="BZ16">
        <v>0</v>
      </c>
      <c r="CA16">
        <v>0</v>
      </c>
      <c r="CB16">
        <v>0</v>
      </c>
      <c r="CC16">
        <v>45000</v>
      </c>
      <c r="CD16">
        <v>0</v>
      </c>
      <c r="CE16">
        <v>45000</v>
      </c>
      <c r="CF16">
        <v>0</v>
      </c>
      <c r="CG16">
        <v>0</v>
      </c>
      <c r="CH16">
        <v>0</v>
      </c>
      <c r="CI16">
        <v>0</v>
      </c>
      <c r="CJ16">
        <v>0</v>
      </c>
      <c r="CK16">
        <v>0</v>
      </c>
      <c r="CL16">
        <v>0</v>
      </c>
      <c r="CM16">
        <v>0</v>
      </c>
      <c r="CN16">
        <v>2029</v>
      </c>
      <c r="CO16">
        <v>0</v>
      </c>
      <c r="CP16">
        <v>0</v>
      </c>
      <c r="CQ16">
        <v>0</v>
      </c>
      <c r="CR16">
        <v>45000</v>
      </c>
      <c r="CS16">
        <v>0</v>
      </c>
      <c r="CT16">
        <v>45000</v>
      </c>
      <c r="CU16">
        <v>0</v>
      </c>
      <c r="CV16">
        <v>0</v>
      </c>
      <c r="CW16">
        <v>0</v>
      </c>
      <c r="CX16">
        <v>0</v>
      </c>
      <c r="CY16">
        <v>0</v>
      </c>
      <c r="CZ16">
        <v>0</v>
      </c>
      <c r="DA16">
        <v>0</v>
      </c>
      <c r="DB16">
        <v>0</v>
      </c>
      <c r="DC16">
        <v>2030</v>
      </c>
      <c r="DD16">
        <v>0</v>
      </c>
      <c r="DE16">
        <v>0</v>
      </c>
      <c r="DF16">
        <v>0</v>
      </c>
      <c r="DG16">
        <v>45000</v>
      </c>
      <c r="DH16">
        <v>0</v>
      </c>
      <c r="DI16">
        <v>45000</v>
      </c>
      <c r="DJ16">
        <v>0</v>
      </c>
      <c r="DK16">
        <v>0</v>
      </c>
      <c r="DL16">
        <v>0</v>
      </c>
      <c r="DM16">
        <v>0</v>
      </c>
      <c r="DN16">
        <v>0</v>
      </c>
      <c r="DO16">
        <v>0</v>
      </c>
      <c r="DP16">
        <v>0</v>
      </c>
      <c r="DQ16">
        <v>0</v>
      </c>
      <c r="DR16">
        <v>2031</v>
      </c>
      <c r="DS16">
        <v>0</v>
      </c>
      <c r="DT16">
        <v>0</v>
      </c>
      <c r="DU16">
        <v>0</v>
      </c>
      <c r="DV16">
        <v>45000</v>
      </c>
      <c r="DW16">
        <v>0</v>
      </c>
      <c r="DX16">
        <v>45000</v>
      </c>
      <c r="DY16">
        <v>0</v>
      </c>
      <c r="DZ16">
        <v>0</v>
      </c>
      <c r="EA16">
        <v>0</v>
      </c>
      <c r="EB16">
        <v>0</v>
      </c>
      <c r="EC16">
        <v>0</v>
      </c>
      <c r="ED16">
        <v>0</v>
      </c>
      <c r="EE16">
        <v>0</v>
      </c>
      <c r="EF16">
        <v>0</v>
      </c>
      <c r="EG16">
        <v>2032</v>
      </c>
      <c r="EH16">
        <v>0</v>
      </c>
      <c r="EI16">
        <v>0</v>
      </c>
      <c r="EJ16">
        <v>0</v>
      </c>
      <c r="EK16">
        <v>45000</v>
      </c>
      <c r="EL16">
        <v>0</v>
      </c>
      <c r="EM16">
        <v>45000</v>
      </c>
      <c r="EN16">
        <v>0</v>
      </c>
      <c r="EO16">
        <v>0</v>
      </c>
      <c r="EP16">
        <v>0</v>
      </c>
      <c r="EQ16">
        <v>0</v>
      </c>
      <c r="ER16">
        <v>0</v>
      </c>
      <c r="ES16">
        <v>0</v>
      </c>
      <c r="ET16">
        <v>0</v>
      </c>
      <c r="EU16">
        <v>0</v>
      </c>
    </row>
    <row r="17" spans="1:211" customFormat="1">
      <c r="A17">
        <v>613</v>
      </c>
      <c r="B17" s="528">
        <v>5974</v>
      </c>
      <c r="C17" t="s">
        <v>1473</v>
      </c>
      <c r="D17">
        <v>217</v>
      </c>
      <c r="E17" t="s">
        <v>1477</v>
      </c>
      <c r="F17" t="s">
        <v>895</v>
      </c>
      <c r="G17" t="s">
        <v>1478</v>
      </c>
      <c r="H17" s="448">
        <v>38250</v>
      </c>
      <c r="I17" s="448">
        <v>43485</v>
      </c>
      <c r="J17">
        <v>1555591.54</v>
      </c>
      <c r="K17">
        <v>1555594.54</v>
      </c>
      <c r="L17">
        <v>523829.67</v>
      </c>
      <c r="M17">
        <v>2079424.21</v>
      </c>
      <c r="N17">
        <v>2</v>
      </c>
      <c r="O17" s="448">
        <v>38352</v>
      </c>
      <c r="P17">
        <v>0</v>
      </c>
      <c r="Q17">
        <v>2024</v>
      </c>
      <c r="R17">
        <v>0</v>
      </c>
      <c r="S17">
        <v>0</v>
      </c>
      <c r="T17" s="538">
        <v>31111.83</v>
      </c>
      <c r="U17" s="538">
        <v>630930.88</v>
      </c>
      <c r="V17" s="538">
        <v>31111.83</v>
      </c>
      <c r="W17" s="538">
        <v>630930.88</v>
      </c>
      <c r="X17" s="538">
        <v>0</v>
      </c>
      <c r="Y17" s="538">
        <v>0</v>
      </c>
      <c r="Z17" s="538">
        <v>0</v>
      </c>
      <c r="AA17" s="538">
        <v>0</v>
      </c>
      <c r="AB17" s="538">
        <v>31111.83</v>
      </c>
      <c r="AC17" s="538">
        <v>7777.96</v>
      </c>
      <c r="AD17" s="538">
        <v>-231165.16</v>
      </c>
      <c r="AE17">
        <v>0</v>
      </c>
      <c r="AF17">
        <v>2025</v>
      </c>
      <c r="AG17">
        <v>0</v>
      </c>
      <c r="AH17">
        <v>0</v>
      </c>
      <c r="AI17">
        <v>31111.83</v>
      </c>
      <c r="AJ17">
        <v>662042.71</v>
      </c>
      <c r="AK17">
        <v>31111.83</v>
      </c>
      <c r="AL17">
        <v>662042.71</v>
      </c>
      <c r="AM17">
        <v>0</v>
      </c>
      <c r="AN17">
        <v>0</v>
      </c>
      <c r="AO17">
        <v>0</v>
      </c>
      <c r="AP17">
        <v>0</v>
      </c>
      <c r="AQ17">
        <v>31111.83</v>
      </c>
      <c r="AR17">
        <v>7777.96</v>
      </c>
      <c r="AS17">
        <v>-223387.2</v>
      </c>
      <c r="AT17">
        <v>0</v>
      </c>
      <c r="AU17">
        <v>2026</v>
      </c>
      <c r="AV17">
        <v>0</v>
      </c>
      <c r="AW17">
        <v>0</v>
      </c>
      <c r="AX17">
        <v>31111.83</v>
      </c>
      <c r="AY17">
        <v>693154.54</v>
      </c>
      <c r="AZ17">
        <v>31111.83</v>
      </c>
      <c r="BA17">
        <v>693154.54</v>
      </c>
      <c r="BB17">
        <v>0</v>
      </c>
      <c r="BC17">
        <v>0</v>
      </c>
      <c r="BD17">
        <v>0</v>
      </c>
      <c r="BE17">
        <v>0</v>
      </c>
      <c r="BF17">
        <v>31111.83</v>
      </c>
      <c r="BG17">
        <v>7777.96</v>
      </c>
      <c r="BH17">
        <v>-215609.24</v>
      </c>
      <c r="BI17">
        <v>0</v>
      </c>
      <c r="BJ17">
        <v>2027</v>
      </c>
      <c r="BK17">
        <v>0</v>
      </c>
      <c r="BL17">
        <v>0</v>
      </c>
      <c r="BM17">
        <v>31111.83</v>
      </c>
      <c r="BN17">
        <v>724266.37</v>
      </c>
      <c r="BO17">
        <v>31111.83</v>
      </c>
      <c r="BP17">
        <v>724266.37</v>
      </c>
      <c r="BQ17">
        <v>0</v>
      </c>
      <c r="BR17">
        <v>0</v>
      </c>
      <c r="BS17">
        <v>0</v>
      </c>
      <c r="BT17">
        <v>0</v>
      </c>
      <c r="BU17">
        <v>31111.83</v>
      </c>
      <c r="BV17">
        <v>7777.96</v>
      </c>
      <c r="BW17">
        <v>-207831.28</v>
      </c>
      <c r="BX17">
        <v>0</v>
      </c>
      <c r="BY17">
        <v>2028</v>
      </c>
      <c r="BZ17">
        <v>0</v>
      </c>
      <c r="CA17">
        <v>0</v>
      </c>
      <c r="CB17">
        <v>31111.83</v>
      </c>
      <c r="CC17">
        <v>755378.2</v>
      </c>
      <c r="CD17">
        <v>31111.83</v>
      </c>
      <c r="CE17">
        <v>755378.2</v>
      </c>
      <c r="CF17">
        <v>0</v>
      </c>
      <c r="CG17">
        <v>0</v>
      </c>
      <c r="CH17">
        <v>0</v>
      </c>
      <c r="CI17">
        <v>0</v>
      </c>
      <c r="CJ17">
        <v>31111.83</v>
      </c>
      <c r="CK17">
        <v>7777.96</v>
      </c>
      <c r="CL17">
        <v>-200053.32</v>
      </c>
      <c r="CM17">
        <v>0</v>
      </c>
      <c r="CN17">
        <v>2029</v>
      </c>
      <c r="CO17">
        <v>0</v>
      </c>
      <c r="CP17">
        <v>0</v>
      </c>
      <c r="CQ17">
        <v>31111.83</v>
      </c>
      <c r="CR17">
        <v>786490.03</v>
      </c>
      <c r="CS17">
        <v>31111.83</v>
      </c>
      <c r="CT17">
        <v>786490.03</v>
      </c>
      <c r="CU17">
        <v>0</v>
      </c>
      <c r="CV17">
        <v>0</v>
      </c>
      <c r="CW17">
        <v>0</v>
      </c>
      <c r="CX17">
        <v>0</v>
      </c>
      <c r="CY17">
        <v>31111.83</v>
      </c>
      <c r="CZ17">
        <v>7777.96</v>
      </c>
      <c r="DA17">
        <v>-192275.36</v>
      </c>
      <c r="DB17">
        <v>0</v>
      </c>
    </row>
    <row r="18" spans="1:211" customFormat="1">
      <c r="A18">
        <v>614</v>
      </c>
      <c r="B18" s="528">
        <v>5974</v>
      </c>
      <c r="C18" t="s">
        <v>1473</v>
      </c>
      <c r="D18">
        <v>217</v>
      </c>
      <c r="E18" t="s">
        <v>1760</v>
      </c>
      <c r="F18" t="s">
        <v>895</v>
      </c>
      <c r="G18" t="s">
        <v>1478</v>
      </c>
      <c r="H18" s="448">
        <v>38250</v>
      </c>
      <c r="I18" s="448">
        <v>43485</v>
      </c>
      <c r="J18">
        <v>174768.77</v>
      </c>
      <c r="K18">
        <v>174768.77</v>
      </c>
      <c r="L18">
        <v>0</v>
      </c>
      <c r="M18">
        <v>174768.77</v>
      </c>
      <c r="N18">
        <v>0</v>
      </c>
      <c r="O18" s="448">
        <v>38352</v>
      </c>
      <c r="P18">
        <v>0</v>
      </c>
      <c r="T18" s="538"/>
      <c r="U18" s="538"/>
      <c r="V18" s="538"/>
      <c r="W18" s="538"/>
      <c r="X18" s="538"/>
      <c r="Y18" s="538"/>
      <c r="Z18" s="538"/>
      <c r="AA18" s="538"/>
      <c r="AB18" s="538"/>
      <c r="AC18" s="538"/>
      <c r="AD18" s="538"/>
    </row>
    <row r="19" spans="1:211" customFormat="1">
      <c r="A19">
        <v>1097</v>
      </c>
      <c r="B19" s="528">
        <v>5990</v>
      </c>
      <c r="C19" t="s">
        <v>1641</v>
      </c>
      <c r="D19">
        <v>218</v>
      </c>
      <c r="E19" t="s">
        <v>1642</v>
      </c>
      <c r="F19" t="s">
        <v>1598</v>
      </c>
      <c r="G19" t="s">
        <v>1643</v>
      </c>
      <c r="H19" s="448">
        <v>42901</v>
      </c>
      <c r="I19" s="448">
        <v>44362</v>
      </c>
      <c r="J19">
        <v>34359.58</v>
      </c>
      <c r="K19">
        <v>34359.58</v>
      </c>
      <c r="L19">
        <v>865.54</v>
      </c>
      <c r="M19">
        <v>35225.120000000003</v>
      </c>
      <c r="N19">
        <v>16</v>
      </c>
      <c r="O19" s="448">
        <v>43100</v>
      </c>
      <c r="P19">
        <v>0</v>
      </c>
      <c r="Q19">
        <v>2024</v>
      </c>
      <c r="R19">
        <v>0</v>
      </c>
      <c r="S19">
        <v>0</v>
      </c>
      <c r="T19" s="538">
        <v>0</v>
      </c>
      <c r="U19" s="538">
        <v>34359.58</v>
      </c>
      <c r="V19" s="538">
        <v>0</v>
      </c>
      <c r="W19" s="538">
        <v>34359.58</v>
      </c>
      <c r="X19" s="538">
        <v>0</v>
      </c>
      <c r="Y19" s="538">
        <v>0</v>
      </c>
      <c r="Z19" s="538">
        <v>0</v>
      </c>
      <c r="AA19" s="538">
        <v>0</v>
      </c>
      <c r="AB19" s="538">
        <v>0</v>
      </c>
      <c r="AC19" s="538">
        <v>0</v>
      </c>
      <c r="AD19" s="538">
        <v>0</v>
      </c>
      <c r="AE19">
        <v>0</v>
      </c>
      <c r="AF19">
        <v>2025</v>
      </c>
      <c r="AG19">
        <v>0</v>
      </c>
      <c r="AH19">
        <v>0</v>
      </c>
      <c r="AI19">
        <v>0</v>
      </c>
      <c r="AJ19">
        <v>34359.58</v>
      </c>
      <c r="AK19">
        <v>0</v>
      </c>
      <c r="AL19">
        <v>34359.58</v>
      </c>
      <c r="AM19">
        <v>0</v>
      </c>
      <c r="AN19">
        <v>0</v>
      </c>
      <c r="AO19">
        <v>0</v>
      </c>
      <c r="AP19">
        <v>0</v>
      </c>
      <c r="AQ19">
        <v>0</v>
      </c>
      <c r="AR19">
        <v>0</v>
      </c>
      <c r="AS19">
        <v>0</v>
      </c>
      <c r="AT19">
        <v>0</v>
      </c>
      <c r="AU19">
        <v>2026</v>
      </c>
      <c r="AV19">
        <v>0</v>
      </c>
      <c r="AW19">
        <v>0</v>
      </c>
      <c r="AX19">
        <v>0</v>
      </c>
      <c r="AY19">
        <v>34359.58</v>
      </c>
      <c r="AZ19">
        <v>0</v>
      </c>
      <c r="BA19">
        <v>34359.58</v>
      </c>
      <c r="BB19">
        <v>0</v>
      </c>
      <c r="BC19">
        <v>0</v>
      </c>
      <c r="BD19">
        <v>0</v>
      </c>
      <c r="BE19">
        <v>0</v>
      </c>
      <c r="BF19">
        <v>0</v>
      </c>
      <c r="BG19">
        <v>0</v>
      </c>
      <c r="BH19">
        <v>0</v>
      </c>
      <c r="BI19">
        <v>0</v>
      </c>
      <c r="BJ19">
        <v>2027</v>
      </c>
      <c r="BK19">
        <v>0</v>
      </c>
      <c r="BL19">
        <v>0</v>
      </c>
      <c r="BM19">
        <v>0</v>
      </c>
      <c r="BN19">
        <v>34359.58</v>
      </c>
      <c r="BO19">
        <v>0</v>
      </c>
      <c r="BP19">
        <v>34359.58</v>
      </c>
      <c r="BQ19">
        <v>0</v>
      </c>
      <c r="BR19">
        <v>0</v>
      </c>
      <c r="BS19">
        <v>0</v>
      </c>
      <c r="BT19">
        <v>0</v>
      </c>
      <c r="BU19">
        <v>0</v>
      </c>
      <c r="BV19">
        <v>0</v>
      </c>
      <c r="BW19">
        <v>0</v>
      </c>
      <c r="BX19">
        <v>0</v>
      </c>
      <c r="BY19">
        <v>2028</v>
      </c>
      <c r="BZ19">
        <v>0</v>
      </c>
      <c r="CA19">
        <v>0</v>
      </c>
      <c r="CB19">
        <v>0</v>
      </c>
      <c r="CC19">
        <v>34359.58</v>
      </c>
      <c r="CD19">
        <v>0</v>
      </c>
      <c r="CE19">
        <v>34359.58</v>
      </c>
      <c r="CF19">
        <v>0</v>
      </c>
      <c r="CG19">
        <v>0</v>
      </c>
      <c r="CH19">
        <v>0</v>
      </c>
      <c r="CI19">
        <v>0</v>
      </c>
      <c r="CJ19">
        <v>0</v>
      </c>
      <c r="CK19">
        <v>0</v>
      </c>
      <c r="CL19">
        <v>0</v>
      </c>
      <c r="CM19">
        <v>0</v>
      </c>
      <c r="CN19">
        <v>2029</v>
      </c>
      <c r="CO19">
        <v>0</v>
      </c>
      <c r="CP19">
        <v>0</v>
      </c>
      <c r="CQ19">
        <v>0</v>
      </c>
      <c r="CR19">
        <v>34359.58</v>
      </c>
      <c r="CS19">
        <v>0</v>
      </c>
      <c r="CT19">
        <v>34359.58</v>
      </c>
      <c r="CU19">
        <v>0</v>
      </c>
      <c r="CV19">
        <v>0</v>
      </c>
      <c r="CW19">
        <v>0</v>
      </c>
      <c r="CX19">
        <v>0</v>
      </c>
      <c r="CY19">
        <v>0</v>
      </c>
      <c r="CZ19">
        <v>0</v>
      </c>
      <c r="DA19">
        <v>0</v>
      </c>
      <c r="DB19">
        <v>0</v>
      </c>
      <c r="DC19">
        <v>2030</v>
      </c>
      <c r="DD19">
        <v>0</v>
      </c>
      <c r="DE19">
        <v>0</v>
      </c>
      <c r="DF19">
        <v>0</v>
      </c>
      <c r="DG19">
        <v>34359.58</v>
      </c>
      <c r="DH19">
        <v>0</v>
      </c>
      <c r="DI19">
        <v>34359.58</v>
      </c>
      <c r="DJ19">
        <v>0</v>
      </c>
      <c r="DK19">
        <v>0</v>
      </c>
      <c r="DL19">
        <v>0</v>
      </c>
      <c r="DM19">
        <v>0</v>
      </c>
      <c r="DN19">
        <v>0</v>
      </c>
      <c r="DO19">
        <v>0</v>
      </c>
      <c r="DP19">
        <v>0</v>
      </c>
      <c r="DQ19">
        <v>0</v>
      </c>
      <c r="DR19">
        <v>2031</v>
      </c>
      <c r="DS19">
        <v>0</v>
      </c>
      <c r="DT19">
        <v>0</v>
      </c>
      <c r="DU19">
        <v>0</v>
      </c>
      <c r="DV19">
        <v>34359.58</v>
      </c>
      <c r="DW19">
        <v>0</v>
      </c>
      <c r="DX19">
        <v>34359.58</v>
      </c>
      <c r="DY19">
        <v>0</v>
      </c>
      <c r="DZ19">
        <v>0</v>
      </c>
      <c r="EA19">
        <v>0</v>
      </c>
      <c r="EB19">
        <v>0</v>
      </c>
      <c r="EC19">
        <v>0</v>
      </c>
      <c r="ED19">
        <v>0</v>
      </c>
      <c r="EE19">
        <v>0</v>
      </c>
      <c r="EF19">
        <v>0</v>
      </c>
      <c r="EU19">
        <v>0</v>
      </c>
    </row>
    <row r="20" spans="1:211" customFormat="1">
      <c r="A20">
        <v>1160</v>
      </c>
      <c r="B20" s="528">
        <v>6277</v>
      </c>
      <c r="C20" t="s">
        <v>1753</v>
      </c>
      <c r="D20">
        <v>21300000</v>
      </c>
      <c r="E20" t="s">
        <v>1881</v>
      </c>
      <c r="F20" t="s">
        <v>1598</v>
      </c>
      <c r="G20" t="s">
        <v>896</v>
      </c>
      <c r="H20" s="448">
        <v>44280</v>
      </c>
      <c r="I20" s="448">
        <v>46078</v>
      </c>
      <c r="J20">
        <v>14999.5</v>
      </c>
      <c r="K20">
        <v>14999.5</v>
      </c>
      <c r="L20">
        <v>1150.8600000000001</v>
      </c>
      <c r="M20">
        <v>16150.36</v>
      </c>
      <c r="N20">
        <v>12</v>
      </c>
      <c r="O20" s="448">
        <v>44561</v>
      </c>
      <c r="P20">
        <v>0</v>
      </c>
      <c r="Q20">
        <v>2024</v>
      </c>
      <c r="R20">
        <v>3018.69</v>
      </c>
      <c r="S20">
        <v>158.43</v>
      </c>
      <c r="T20" s="538">
        <v>1799.94</v>
      </c>
      <c r="U20" s="538">
        <v>6785.5272328767132</v>
      </c>
      <c r="V20" s="538">
        <v>1799.94</v>
      </c>
      <c r="W20" s="538">
        <v>6785.5272328767132</v>
      </c>
      <c r="X20" s="538">
        <v>3018.69</v>
      </c>
      <c r="Y20" s="538">
        <v>3110.49</v>
      </c>
      <c r="Z20" s="538">
        <v>792.59</v>
      </c>
      <c r="AA20" s="538">
        <v>68.319999999999993</v>
      </c>
      <c r="AB20" s="538">
        <v>-1218.75</v>
      </c>
      <c r="AC20" s="538">
        <v>-304.6875</v>
      </c>
      <c r="AD20" s="538">
        <v>-1077.7231917808222</v>
      </c>
      <c r="AE20">
        <v>0</v>
      </c>
      <c r="AF20">
        <v>2025</v>
      </c>
      <c r="AG20">
        <v>3110.49</v>
      </c>
      <c r="AH20">
        <v>66.63</v>
      </c>
      <c r="AI20">
        <v>1799.94</v>
      </c>
      <c r="AJ20">
        <v>8585.4672328767138</v>
      </c>
      <c r="AK20">
        <v>1799.94</v>
      </c>
      <c r="AL20">
        <v>8585.4672328767138</v>
      </c>
      <c r="AM20">
        <v>3110.49</v>
      </c>
      <c r="AN20">
        <v>792.59</v>
      </c>
      <c r="AO20">
        <v>0</v>
      </c>
      <c r="AP20">
        <v>1.69</v>
      </c>
      <c r="AQ20">
        <v>-1310.5499999999997</v>
      </c>
      <c r="AR20">
        <v>-327.63749999999993</v>
      </c>
      <c r="AS20">
        <v>-1405.360691780822</v>
      </c>
      <c r="AT20">
        <v>0</v>
      </c>
      <c r="AU20">
        <v>2026</v>
      </c>
      <c r="AV20">
        <v>792.59</v>
      </c>
      <c r="AW20">
        <v>1.69</v>
      </c>
      <c r="AX20">
        <v>1799.94</v>
      </c>
      <c r="AY20">
        <v>10385.407232876714</v>
      </c>
      <c r="AZ20">
        <v>1799.94</v>
      </c>
      <c r="BA20">
        <v>10385.407232876714</v>
      </c>
      <c r="BB20">
        <v>792.59</v>
      </c>
      <c r="BC20">
        <v>0</v>
      </c>
      <c r="BD20">
        <v>0</v>
      </c>
      <c r="BE20">
        <v>0</v>
      </c>
      <c r="BF20">
        <v>1007.35</v>
      </c>
      <c r="BG20">
        <v>251.83750000000001</v>
      </c>
      <c r="BH20">
        <v>-1153.5231917808219</v>
      </c>
      <c r="BI20">
        <v>0</v>
      </c>
      <c r="BJ20">
        <v>2027</v>
      </c>
      <c r="BK20">
        <v>0</v>
      </c>
      <c r="BL20">
        <v>0</v>
      </c>
      <c r="BM20">
        <v>1799.94</v>
      </c>
      <c r="BN20">
        <v>12185.347232876715</v>
      </c>
      <c r="BO20">
        <v>1799.94</v>
      </c>
      <c r="BP20">
        <v>12185.347232876715</v>
      </c>
      <c r="BQ20">
        <v>0</v>
      </c>
      <c r="BR20">
        <v>0</v>
      </c>
      <c r="BS20">
        <v>0</v>
      </c>
      <c r="BT20">
        <v>0</v>
      </c>
      <c r="BU20">
        <v>1799.94</v>
      </c>
      <c r="BV20">
        <v>449.98500000000001</v>
      </c>
      <c r="BW20">
        <v>-703.53819178082188</v>
      </c>
      <c r="BX20">
        <v>0</v>
      </c>
      <c r="BY20">
        <v>2028</v>
      </c>
      <c r="BZ20">
        <v>0</v>
      </c>
      <c r="CA20">
        <v>0</v>
      </c>
      <c r="CB20">
        <v>1799.94</v>
      </c>
      <c r="CC20">
        <v>13985.287232876715</v>
      </c>
      <c r="CD20">
        <v>1799.94</v>
      </c>
      <c r="CE20">
        <v>13985.287232876715</v>
      </c>
      <c r="CF20">
        <v>0</v>
      </c>
      <c r="CG20">
        <v>0</v>
      </c>
      <c r="CH20">
        <v>0</v>
      </c>
      <c r="CI20">
        <v>0</v>
      </c>
      <c r="CJ20">
        <v>1799.94</v>
      </c>
      <c r="CK20">
        <v>449.98500000000001</v>
      </c>
      <c r="CL20">
        <v>-253.55319178082186</v>
      </c>
      <c r="CM20">
        <v>0</v>
      </c>
      <c r="CN20">
        <v>2029</v>
      </c>
      <c r="CO20">
        <v>0</v>
      </c>
      <c r="CP20">
        <v>0</v>
      </c>
      <c r="CQ20">
        <v>1014.2127671232847</v>
      </c>
      <c r="CR20">
        <v>14999.5</v>
      </c>
      <c r="CS20">
        <v>1014.2127671232847</v>
      </c>
      <c r="CT20">
        <v>14999.5</v>
      </c>
      <c r="CU20">
        <v>0</v>
      </c>
      <c r="CV20">
        <v>0</v>
      </c>
      <c r="CW20">
        <v>0</v>
      </c>
      <c r="CX20">
        <v>0</v>
      </c>
      <c r="CY20">
        <v>1014.2127671232847</v>
      </c>
      <c r="CZ20">
        <v>253.55319178082118</v>
      </c>
      <c r="DA20">
        <v>-6.8212102632969618E-13</v>
      </c>
      <c r="DB20">
        <v>0</v>
      </c>
      <c r="DC20">
        <v>2030</v>
      </c>
      <c r="DD20">
        <v>0</v>
      </c>
      <c r="DE20">
        <v>0</v>
      </c>
      <c r="DF20">
        <v>0</v>
      </c>
      <c r="DG20">
        <v>14999.5</v>
      </c>
      <c r="DH20">
        <v>0</v>
      </c>
      <c r="DI20">
        <v>14999.5</v>
      </c>
      <c r="DJ20">
        <v>0</v>
      </c>
      <c r="DK20">
        <v>0</v>
      </c>
      <c r="DL20">
        <v>0</v>
      </c>
      <c r="DM20">
        <v>0</v>
      </c>
      <c r="DN20">
        <v>0</v>
      </c>
      <c r="DO20">
        <v>0</v>
      </c>
      <c r="DP20">
        <v>-6.8212102632969618E-13</v>
      </c>
      <c r="DQ20">
        <v>0</v>
      </c>
      <c r="DR20">
        <v>2031</v>
      </c>
      <c r="DS20">
        <v>0</v>
      </c>
      <c r="DT20">
        <v>0</v>
      </c>
      <c r="DU20">
        <v>0</v>
      </c>
      <c r="DV20">
        <v>14999.5</v>
      </c>
      <c r="DW20">
        <v>0</v>
      </c>
      <c r="DX20">
        <v>14999.5</v>
      </c>
      <c r="DY20">
        <v>0</v>
      </c>
      <c r="DZ20">
        <v>0</v>
      </c>
      <c r="EA20">
        <v>0</v>
      </c>
      <c r="EB20">
        <v>0</v>
      </c>
      <c r="EC20">
        <v>0</v>
      </c>
      <c r="ED20">
        <v>0</v>
      </c>
      <c r="EE20">
        <v>-6.8212102632969618E-13</v>
      </c>
      <c r="EF20">
        <v>0</v>
      </c>
      <c r="EG20">
        <v>2032</v>
      </c>
      <c r="EH20">
        <v>0</v>
      </c>
      <c r="EI20">
        <v>0</v>
      </c>
      <c r="EJ20">
        <v>0</v>
      </c>
      <c r="EK20">
        <v>14999.5</v>
      </c>
      <c r="EL20">
        <v>0</v>
      </c>
      <c r="EM20">
        <v>14999.5</v>
      </c>
      <c r="EN20">
        <v>0</v>
      </c>
      <c r="EO20">
        <v>0</v>
      </c>
      <c r="EP20">
        <v>0</v>
      </c>
      <c r="EQ20">
        <v>0</v>
      </c>
      <c r="ER20">
        <v>0</v>
      </c>
      <c r="ES20">
        <v>0</v>
      </c>
      <c r="ET20">
        <v>-6.8212102632969618E-13</v>
      </c>
      <c r="EU20">
        <v>0</v>
      </c>
      <c r="EV20">
        <v>2033</v>
      </c>
      <c r="EW20">
        <v>0</v>
      </c>
      <c r="EX20">
        <v>0</v>
      </c>
      <c r="EY20">
        <v>0</v>
      </c>
      <c r="EZ20">
        <v>14999.5</v>
      </c>
      <c r="FA20">
        <v>0</v>
      </c>
      <c r="FB20">
        <v>14999.5</v>
      </c>
      <c r="FC20">
        <v>0</v>
      </c>
      <c r="FD20">
        <v>0</v>
      </c>
      <c r="FE20">
        <v>0</v>
      </c>
      <c r="FF20">
        <v>0</v>
      </c>
      <c r="FG20">
        <v>0</v>
      </c>
      <c r="FH20">
        <v>0</v>
      </c>
      <c r="FI20">
        <v>-6.8212102632969618E-13</v>
      </c>
      <c r="FJ20">
        <v>0</v>
      </c>
      <c r="FK20">
        <v>2034</v>
      </c>
      <c r="FL20">
        <v>0</v>
      </c>
      <c r="FM20">
        <v>0</v>
      </c>
      <c r="FN20">
        <v>0</v>
      </c>
      <c r="FO20">
        <v>14999.5</v>
      </c>
      <c r="FP20">
        <v>0</v>
      </c>
      <c r="FQ20">
        <v>14999.5</v>
      </c>
      <c r="FR20">
        <v>0</v>
      </c>
      <c r="FS20">
        <v>0</v>
      </c>
      <c r="FT20">
        <v>0</v>
      </c>
      <c r="FU20">
        <v>0</v>
      </c>
      <c r="FV20">
        <v>0</v>
      </c>
      <c r="FW20">
        <v>0</v>
      </c>
      <c r="FX20">
        <v>-6.8212102632969618E-13</v>
      </c>
      <c r="FY20">
        <v>0</v>
      </c>
      <c r="FZ20">
        <v>2035</v>
      </c>
      <c r="GA20">
        <v>0</v>
      </c>
      <c r="GB20">
        <v>0</v>
      </c>
      <c r="GC20">
        <v>0</v>
      </c>
      <c r="GD20">
        <v>14999.5</v>
      </c>
      <c r="GE20">
        <v>0</v>
      </c>
      <c r="GF20">
        <v>14999.5</v>
      </c>
      <c r="GG20">
        <v>0</v>
      </c>
      <c r="GH20">
        <v>0</v>
      </c>
      <c r="GI20">
        <v>0</v>
      </c>
      <c r="GJ20">
        <v>0</v>
      </c>
      <c r="GK20">
        <v>0</v>
      </c>
      <c r="GL20">
        <v>0</v>
      </c>
      <c r="GM20">
        <v>-6.8212102632969618E-13</v>
      </c>
      <c r="GN20">
        <v>0</v>
      </c>
    </row>
    <row r="21" spans="1:211" customFormat="1">
      <c r="A21">
        <v>1176</v>
      </c>
      <c r="B21" s="528">
        <v>6277</v>
      </c>
      <c r="C21" t="s">
        <v>1753</v>
      </c>
      <c r="D21">
        <v>213</v>
      </c>
      <c r="E21" t="s">
        <v>1993</v>
      </c>
      <c r="F21" t="s">
        <v>1773</v>
      </c>
      <c r="G21" t="s">
        <v>1994</v>
      </c>
      <c r="H21" s="448">
        <v>44596</v>
      </c>
      <c r="I21" s="448">
        <v>46391</v>
      </c>
      <c r="J21">
        <v>85000</v>
      </c>
      <c r="K21">
        <v>85000</v>
      </c>
      <c r="L21">
        <v>5286</v>
      </c>
      <c r="M21">
        <v>90286</v>
      </c>
      <c r="N21">
        <v>12</v>
      </c>
      <c r="O21" s="448">
        <v>44926</v>
      </c>
      <c r="P21">
        <v>0</v>
      </c>
      <c r="Q21">
        <v>2024</v>
      </c>
      <c r="R21">
        <v>16658.439999999999</v>
      </c>
      <c r="S21">
        <v>1128.2</v>
      </c>
      <c r="T21" s="538">
        <v>10200</v>
      </c>
      <c r="U21" s="538">
        <v>29621.917808219179</v>
      </c>
      <c r="V21" s="538">
        <v>10200</v>
      </c>
      <c r="W21" s="538">
        <v>29621.917808219179</v>
      </c>
      <c r="X21" s="538">
        <v>16658.439999999999</v>
      </c>
      <c r="Y21" s="538">
        <v>17079.7</v>
      </c>
      <c r="Z21" s="538">
        <v>20472.989999999998</v>
      </c>
      <c r="AA21" s="538">
        <v>988.12</v>
      </c>
      <c r="AB21" s="538">
        <v>-6458.4399999999987</v>
      </c>
      <c r="AC21" s="538">
        <v>-1614.6099999999997</v>
      </c>
      <c r="AD21" s="538">
        <v>-4456.3480479452046</v>
      </c>
      <c r="AE21">
        <v>0</v>
      </c>
      <c r="AF21">
        <v>2025</v>
      </c>
      <c r="AG21">
        <v>17079.7</v>
      </c>
      <c r="AH21">
        <v>706.94</v>
      </c>
      <c r="AI21">
        <v>10200</v>
      </c>
      <c r="AJ21">
        <v>39821.917808219179</v>
      </c>
      <c r="AK21">
        <v>10200</v>
      </c>
      <c r="AL21">
        <v>39821.917808219179</v>
      </c>
      <c r="AM21">
        <v>17079.7</v>
      </c>
      <c r="AN21">
        <v>17511.62</v>
      </c>
      <c r="AO21">
        <v>2961.37</v>
      </c>
      <c r="AP21">
        <v>281.18</v>
      </c>
      <c r="AQ21">
        <v>-6879.7000000000007</v>
      </c>
      <c r="AR21">
        <v>-1719.9250000000002</v>
      </c>
      <c r="AS21">
        <v>-6176.2730479452048</v>
      </c>
      <c r="AT21">
        <v>0</v>
      </c>
      <c r="AU21">
        <v>2026</v>
      </c>
      <c r="AV21">
        <v>17511.62</v>
      </c>
      <c r="AW21">
        <v>275.02</v>
      </c>
      <c r="AX21">
        <v>10200</v>
      </c>
      <c r="AY21">
        <v>50021.917808219179</v>
      </c>
      <c r="AZ21">
        <v>10200</v>
      </c>
      <c r="BA21">
        <v>50021.917808219179</v>
      </c>
      <c r="BB21">
        <v>17511.62</v>
      </c>
      <c r="BC21">
        <v>2961.37</v>
      </c>
      <c r="BD21">
        <v>0</v>
      </c>
      <c r="BE21">
        <v>6.16</v>
      </c>
      <c r="BF21">
        <v>-7311.619999999999</v>
      </c>
      <c r="BG21">
        <v>-1827.9049999999997</v>
      </c>
      <c r="BH21">
        <v>-8004.1780479452045</v>
      </c>
      <c r="BI21">
        <v>0</v>
      </c>
      <c r="BJ21">
        <v>2027</v>
      </c>
      <c r="BK21">
        <v>2961.37</v>
      </c>
      <c r="BL21">
        <v>6.16</v>
      </c>
      <c r="BM21">
        <v>10200</v>
      </c>
      <c r="BN21">
        <v>60221.917808219179</v>
      </c>
      <c r="BO21">
        <v>10200</v>
      </c>
      <c r="BP21">
        <v>60221.917808219179</v>
      </c>
      <c r="BQ21">
        <v>2961.37</v>
      </c>
      <c r="BR21">
        <v>0</v>
      </c>
      <c r="BS21">
        <v>0</v>
      </c>
      <c r="BT21">
        <v>0</v>
      </c>
      <c r="BU21">
        <v>7238.63</v>
      </c>
      <c r="BV21">
        <v>1809.6575</v>
      </c>
      <c r="BW21">
        <v>-6194.5205479452043</v>
      </c>
      <c r="BX21">
        <v>0</v>
      </c>
      <c r="BY21">
        <v>2028</v>
      </c>
      <c r="BZ21">
        <v>0</v>
      </c>
      <c r="CA21">
        <v>0</v>
      </c>
      <c r="CB21">
        <v>10200</v>
      </c>
      <c r="CC21">
        <v>70421.917808219179</v>
      </c>
      <c r="CD21">
        <v>10200</v>
      </c>
      <c r="CE21">
        <v>70421.917808219179</v>
      </c>
      <c r="CF21">
        <v>0</v>
      </c>
      <c r="CG21">
        <v>0</v>
      </c>
      <c r="CH21">
        <v>0</v>
      </c>
      <c r="CI21">
        <v>0</v>
      </c>
      <c r="CJ21">
        <v>10200</v>
      </c>
      <c r="CK21">
        <v>2550</v>
      </c>
      <c r="CL21">
        <v>-3644.5205479452043</v>
      </c>
      <c r="CM21">
        <v>0</v>
      </c>
      <c r="CN21">
        <v>2029</v>
      </c>
      <c r="CO21">
        <v>0</v>
      </c>
      <c r="CP21">
        <v>0</v>
      </c>
      <c r="CQ21">
        <v>10200</v>
      </c>
      <c r="CR21">
        <v>80621.917808219179</v>
      </c>
      <c r="CS21">
        <v>10200</v>
      </c>
      <c r="CT21">
        <v>80621.917808219179</v>
      </c>
      <c r="CU21">
        <v>0</v>
      </c>
      <c r="CV21">
        <v>0</v>
      </c>
      <c r="CW21">
        <v>0</v>
      </c>
      <c r="CX21">
        <v>0</v>
      </c>
      <c r="CY21">
        <v>10200</v>
      </c>
      <c r="CZ21">
        <v>2550</v>
      </c>
      <c r="DA21">
        <v>-1094.5205479452043</v>
      </c>
      <c r="DB21">
        <v>0</v>
      </c>
      <c r="DC21">
        <v>2030</v>
      </c>
      <c r="DD21">
        <v>0</v>
      </c>
      <c r="DE21">
        <v>0</v>
      </c>
      <c r="DF21">
        <v>4378.0821917808207</v>
      </c>
      <c r="DG21">
        <v>85000</v>
      </c>
      <c r="DH21">
        <v>4378.0821917808207</v>
      </c>
      <c r="DI21">
        <v>85000</v>
      </c>
      <c r="DJ21">
        <v>0</v>
      </c>
      <c r="DK21">
        <v>0</v>
      </c>
      <c r="DL21">
        <v>0</v>
      </c>
      <c r="DM21">
        <v>0</v>
      </c>
      <c r="DN21">
        <v>4378.0821917808207</v>
      </c>
      <c r="DO21">
        <v>1094.5205479452052</v>
      </c>
      <c r="DP21">
        <v>0</v>
      </c>
      <c r="DQ21">
        <v>0</v>
      </c>
      <c r="DR21">
        <v>2031</v>
      </c>
      <c r="DS21">
        <v>0</v>
      </c>
      <c r="DT21">
        <v>0</v>
      </c>
      <c r="DU21">
        <v>0</v>
      </c>
      <c r="DV21">
        <v>85000</v>
      </c>
      <c r="DW21">
        <v>0</v>
      </c>
      <c r="DX21">
        <v>85000</v>
      </c>
      <c r="DY21">
        <v>0</v>
      </c>
      <c r="DZ21">
        <v>0</v>
      </c>
      <c r="EA21">
        <v>0</v>
      </c>
      <c r="EB21">
        <v>0</v>
      </c>
      <c r="EC21">
        <v>0</v>
      </c>
      <c r="ED21">
        <v>0</v>
      </c>
      <c r="EE21">
        <v>0</v>
      </c>
      <c r="EF21">
        <v>0</v>
      </c>
      <c r="EG21">
        <v>2032</v>
      </c>
      <c r="EH21">
        <v>0</v>
      </c>
      <c r="EI21">
        <v>0</v>
      </c>
      <c r="EJ21">
        <v>0</v>
      </c>
      <c r="EK21">
        <v>85000</v>
      </c>
      <c r="EL21">
        <v>0</v>
      </c>
      <c r="EM21">
        <v>85000</v>
      </c>
      <c r="EN21">
        <v>0</v>
      </c>
      <c r="EO21">
        <v>0</v>
      </c>
      <c r="EP21">
        <v>0</v>
      </c>
      <c r="EQ21">
        <v>0</v>
      </c>
      <c r="ER21">
        <v>0</v>
      </c>
      <c r="ES21">
        <v>0</v>
      </c>
      <c r="ET21">
        <v>0</v>
      </c>
      <c r="EU21">
        <v>0</v>
      </c>
      <c r="EV21">
        <v>2033</v>
      </c>
      <c r="EW21">
        <v>0</v>
      </c>
      <c r="EX21">
        <v>0</v>
      </c>
      <c r="EY21">
        <v>0</v>
      </c>
      <c r="EZ21">
        <v>85000</v>
      </c>
      <c r="FA21">
        <v>0</v>
      </c>
      <c r="FB21">
        <v>85000</v>
      </c>
      <c r="FC21">
        <v>0</v>
      </c>
      <c r="FD21">
        <v>0</v>
      </c>
      <c r="FE21">
        <v>0</v>
      </c>
      <c r="FF21">
        <v>0</v>
      </c>
      <c r="FG21">
        <v>0</v>
      </c>
      <c r="FH21">
        <v>0</v>
      </c>
      <c r="FI21">
        <v>0</v>
      </c>
      <c r="FJ21">
        <v>0</v>
      </c>
      <c r="FK21">
        <v>2034</v>
      </c>
      <c r="FL21">
        <v>0</v>
      </c>
      <c r="FM21">
        <v>0</v>
      </c>
      <c r="FN21">
        <v>0</v>
      </c>
      <c r="FO21">
        <v>85000</v>
      </c>
      <c r="FP21">
        <v>0</v>
      </c>
      <c r="FQ21">
        <v>85000</v>
      </c>
      <c r="FR21">
        <v>0</v>
      </c>
      <c r="FS21">
        <v>0</v>
      </c>
      <c r="FT21">
        <v>0</v>
      </c>
      <c r="FU21">
        <v>0</v>
      </c>
      <c r="FV21">
        <v>0</v>
      </c>
      <c r="FW21">
        <v>0</v>
      </c>
      <c r="FX21">
        <v>0</v>
      </c>
      <c r="FY21">
        <v>0</v>
      </c>
      <c r="FZ21">
        <v>2035</v>
      </c>
      <c r="GA21">
        <v>0</v>
      </c>
      <c r="GB21">
        <v>0</v>
      </c>
      <c r="GC21">
        <v>0</v>
      </c>
      <c r="GD21">
        <v>85000</v>
      </c>
      <c r="GE21">
        <v>0</v>
      </c>
      <c r="GF21">
        <v>85000</v>
      </c>
      <c r="GG21">
        <v>0</v>
      </c>
      <c r="GH21">
        <v>0</v>
      </c>
      <c r="GI21">
        <v>0</v>
      </c>
      <c r="GJ21">
        <v>0</v>
      </c>
      <c r="GK21">
        <v>0</v>
      </c>
      <c r="GL21">
        <v>0</v>
      </c>
      <c r="GM21">
        <v>0</v>
      </c>
      <c r="GN21">
        <v>0</v>
      </c>
      <c r="GO21">
        <v>2036</v>
      </c>
      <c r="GP21">
        <v>0</v>
      </c>
      <c r="GQ21">
        <v>0</v>
      </c>
      <c r="GR21">
        <v>0</v>
      </c>
      <c r="GS21">
        <v>85000</v>
      </c>
      <c r="GT21">
        <v>0</v>
      </c>
      <c r="GU21">
        <v>85000</v>
      </c>
      <c r="GV21">
        <v>0</v>
      </c>
      <c r="GW21">
        <v>0</v>
      </c>
      <c r="GX21">
        <v>0</v>
      </c>
      <c r="GY21">
        <v>0</v>
      </c>
      <c r="GZ21">
        <v>0</v>
      </c>
      <c r="HA21">
        <v>0</v>
      </c>
      <c r="HB21">
        <v>0</v>
      </c>
      <c r="HC21">
        <v>0</v>
      </c>
    </row>
    <row r="22" spans="1:211" customFormat="1">
      <c r="A22">
        <v>1158</v>
      </c>
      <c r="B22" s="528">
        <v>6277</v>
      </c>
      <c r="C22" t="s">
        <v>1753</v>
      </c>
      <c r="D22">
        <v>213</v>
      </c>
      <c r="E22" t="s">
        <v>1781</v>
      </c>
      <c r="F22" t="s">
        <v>1754</v>
      </c>
      <c r="G22" t="s">
        <v>1782</v>
      </c>
      <c r="H22" s="448">
        <v>43537</v>
      </c>
      <c r="I22" s="448">
        <v>45701</v>
      </c>
      <c r="J22">
        <v>44149</v>
      </c>
      <c r="K22">
        <v>44149</v>
      </c>
      <c r="L22">
        <v>3388.87</v>
      </c>
      <c r="M22">
        <v>47537.87</v>
      </c>
      <c r="N22">
        <v>12</v>
      </c>
      <c r="O22" s="448">
        <v>43830</v>
      </c>
      <c r="P22">
        <v>0</v>
      </c>
      <c r="Q22">
        <v>2024</v>
      </c>
      <c r="R22">
        <v>7661.75</v>
      </c>
      <c r="S22">
        <v>152.77000000000001</v>
      </c>
      <c r="T22" s="538">
        <v>5297.88</v>
      </c>
      <c r="U22" s="538">
        <v>30742.218739726031</v>
      </c>
      <c r="V22" s="538">
        <v>5297.88</v>
      </c>
      <c r="W22" s="538">
        <v>30742.218739726031</v>
      </c>
      <c r="X22" s="538">
        <v>7661.75</v>
      </c>
      <c r="Y22" s="538">
        <v>1945.24</v>
      </c>
      <c r="Z22" s="538">
        <v>0</v>
      </c>
      <c r="AA22" s="538">
        <v>8.11</v>
      </c>
      <c r="AB22" s="538">
        <v>-2363.87</v>
      </c>
      <c r="AC22" s="538">
        <v>-590.96749999999997</v>
      </c>
      <c r="AD22" s="538">
        <v>-2865.3853150684918</v>
      </c>
      <c r="AE22">
        <v>0</v>
      </c>
      <c r="AF22">
        <v>2025</v>
      </c>
      <c r="AG22">
        <v>1945.24</v>
      </c>
      <c r="AH22">
        <v>8.11</v>
      </c>
      <c r="AI22">
        <v>5297.88</v>
      </c>
      <c r="AJ22">
        <v>36040.098739726032</v>
      </c>
      <c r="AK22">
        <v>5297.88</v>
      </c>
      <c r="AL22">
        <v>36040.098739726032</v>
      </c>
      <c r="AM22">
        <v>1945.24</v>
      </c>
      <c r="AN22">
        <v>0</v>
      </c>
      <c r="AO22">
        <v>0</v>
      </c>
      <c r="AP22">
        <v>0</v>
      </c>
      <c r="AQ22">
        <v>3352.6400000000003</v>
      </c>
      <c r="AR22">
        <v>838.16000000000008</v>
      </c>
      <c r="AS22">
        <v>-2027.2253150684917</v>
      </c>
      <c r="AT22">
        <v>0</v>
      </c>
      <c r="AU22">
        <v>2026</v>
      </c>
      <c r="AV22">
        <v>0</v>
      </c>
      <c r="AW22">
        <v>0</v>
      </c>
      <c r="AX22">
        <v>5297.88</v>
      </c>
      <c r="AY22">
        <v>41337.97873972603</v>
      </c>
      <c r="AZ22">
        <v>5297.88</v>
      </c>
      <c r="BA22">
        <v>41337.97873972603</v>
      </c>
      <c r="BB22">
        <v>0</v>
      </c>
      <c r="BC22">
        <v>0</v>
      </c>
      <c r="BD22">
        <v>0</v>
      </c>
      <c r="BE22">
        <v>0</v>
      </c>
      <c r="BF22">
        <v>5297.88</v>
      </c>
      <c r="BG22">
        <v>1324.47</v>
      </c>
      <c r="BH22">
        <v>-702.75531506849165</v>
      </c>
      <c r="BI22">
        <v>0</v>
      </c>
      <c r="BJ22">
        <v>2027</v>
      </c>
      <c r="BK22">
        <v>0</v>
      </c>
      <c r="BL22">
        <v>0</v>
      </c>
      <c r="BM22">
        <v>2811.0212602739703</v>
      </c>
      <c r="BN22">
        <v>44149</v>
      </c>
      <c r="BO22">
        <v>2811.0212602739703</v>
      </c>
      <c r="BP22">
        <v>44149</v>
      </c>
      <c r="BQ22">
        <v>0</v>
      </c>
      <c r="BR22">
        <v>0</v>
      </c>
      <c r="BS22">
        <v>0</v>
      </c>
      <c r="BT22">
        <v>0</v>
      </c>
      <c r="BU22">
        <v>2811.0212602739703</v>
      </c>
      <c r="BV22">
        <v>702.75531506849256</v>
      </c>
      <c r="BW22">
        <v>9.0949470177292824E-13</v>
      </c>
      <c r="BX22">
        <v>0</v>
      </c>
      <c r="BY22">
        <v>2028</v>
      </c>
      <c r="BZ22">
        <v>0</v>
      </c>
      <c r="CA22">
        <v>0</v>
      </c>
      <c r="CB22">
        <v>0</v>
      </c>
      <c r="CC22">
        <v>44149</v>
      </c>
      <c r="CD22">
        <v>0</v>
      </c>
      <c r="CE22">
        <v>44149</v>
      </c>
      <c r="CF22">
        <v>0</v>
      </c>
      <c r="CG22">
        <v>0</v>
      </c>
      <c r="CH22">
        <v>0</v>
      </c>
      <c r="CI22">
        <v>0</v>
      </c>
      <c r="CJ22">
        <v>0</v>
      </c>
      <c r="CK22">
        <v>0</v>
      </c>
      <c r="CL22">
        <v>9.0949470177292824E-13</v>
      </c>
      <c r="CM22">
        <v>0</v>
      </c>
      <c r="CN22">
        <v>2029</v>
      </c>
      <c r="CO22">
        <v>0</v>
      </c>
      <c r="CP22">
        <v>0</v>
      </c>
      <c r="CQ22">
        <v>0</v>
      </c>
      <c r="CR22">
        <v>44149</v>
      </c>
      <c r="CS22">
        <v>0</v>
      </c>
      <c r="CT22">
        <v>44149</v>
      </c>
      <c r="CU22">
        <v>0</v>
      </c>
      <c r="CV22">
        <v>0</v>
      </c>
      <c r="CW22">
        <v>0</v>
      </c>
      <c r="CX22">
        <v>0</v>
      </c>
      <c r="CY22">
        <v>0</v>
      </c>
      <c r="CZ22">
        <v>0</v>
      </c>
      <c r="DA22">
        <v>9.0949470177292824E-13</v>
      </c>
      <c r="DB22">
        <v>0</v>
      </c>
      <c r="DC22">
        <v>2030</v>
      </c>
      <c r="DD22">
        <v>0</v>
      </c>
      <c r="DE22">
        <v>0</v>
      </c>
      <c r="DF22">
        <v>0</v>
      </c>
      <c r="DG22">
        <v>44149</v>
      </c>
      <c r="DH22">
        <v>0</v>
      </c>
      <c r="DI22">
        <v>44149</v>
      </c>
      <c r="DJ22">
        <v>0</v>
      </c>
      <c r="DK22">
        <v>0</v>
      </c>
      <c r="DL22">
        <v>0</v>
      </c>
      <c r="DM22">
        <v>0</v>
      </c>
      <c r="DN22">
        <v>0</v>
      </c>
      <c r="DO22">
        <v>0</v>
      </c>
      <c r="DP22">
        <v>9.0949470177292824E-13</v>
      </c>
      <c r="DQ22">
        <v>0</v>
      </c>
      <c r="DR22">
        <v>2031</v>
      </c>
      <c r="DS22">
        <v>0</v>
      </c>
      <c r="DT22">
        <v>0</v>
      </c>
      <c r="DU22">
        <v>0</v>
      </c>
      <c r="DV22">
        <v>44149</v>
      </c>
      <c r="DW22">
        <v>0</v>
      </c>
      <c r="DX22">
        <v>44149</v>
      </c>
      <c r="DY22">
        <v>0</v>
      </c>
      <c r="DZ22">
        <v>0</v>
      </c>
      <c r="EA22">
        <v>0</v>
      </c>
      <c r="EB22">
        <v>0</v>
      </c>
      <c r="EC22">
        <v>0</v>
      </c>
      <c r="ED22">
        <v>0</v>
      </c>
      <c r="EE22">
        <v>9.0949470177292824E-13</v>
      </c>
      <c r="EF22">
        <v>0</v>
      </c>
      <c r="EG22">
        <v>2032</v>
      </c>
      <c r="EH22">
        <v>0</v>
      </c>
      <c r="EI22">
        <v>0</v>
      </c>
      <c r="EJ22">
        <v>0</v>
      </c>
      <c r="EK22">
        <v>44149</v>
      </c>
      <c r="EL22">
        <v>0</v>
      </c>
      <c r="EM22">
        <v>44149</v>
      </c>
      <c r="EN22">
        <v>0</v>
      </c>
      <c r="EO22">
        <v>0</v>
      </c>
      <c r="EP22">
        <v>0</v>
      </c>
      <c r="EQ22">
        <v>0</v>
      </c>
      <c r="ER22">
        <v>0</v>
      </c>
      <c r="ES22">
        <v>0</v>
      </c>
      <c r="ET22">
        <v>9.0949470177292824E-13</v>
      </c>
      <c r="EU22">
        <v>0</v>
      </c>
      <c r="EV22">
        <v>2033</v>
      </c>
      <c r="EW22">
        <v>0</v>
      </c>
      <c r="EX22">
        <v>0</v>
      </c>
      <c r="EY22">
        <v>0</v>
      </c>
      <c r="EZ22">
        <v>44149</v>
      </c>
      <c r="FA22">
        <v>0</v>
      </c>
      <c r="FB22">
        <v>44149</v>
      </c>
      <c r="FC22">
        <v>0</v>
      </c>
      <c r="FD22">
        <v>0</v>
      </c>
      <c r="FE22">
        <v>0</v>
      </c>
      <c r="FF22">
        <v>0</v>
      </c>
      <c r="FG22">
        <v>0</v>
      </c>
      <c r="FH22">
        <v>0</v>
      </c>
      <c r="FI22">
        <v>9.0949470177292824E-13</v>
      </c>
      <c r="FJ22">
        <v>0</v>
      </c>
      <c r="FY22">
        <v>0</v>
      </c>
      <c r="GN22">
        <v>0</v>
      </c>
    </row>
    <row r="23" spans="1:211" customFormat="1">
      <c r="A23">
        <v>1135</v>
      </c>
      <c r="B23" s="528">
        <v>6314</v>
      </c>
      <c r="C23" t="s">
        <v>1882</v>
      </c>
      <c r="D23">
        <v>213</v>
      </c>
      <c r="E23" t="s">
        <v>1766</v>
      </c>
      <c r="F23" t="s">
        <v>1767</v>
      </c>
      <c r="G23" t="s">
        <v>1768</v>
      </c>
      <c r="H23" s="448">
        <v>43605</v>
      </c>
      <c r="I23" s="448">
        <v>45432</v>
      </c>
      <c r="J23">
        <v>29200</v>
      </c>
      <c r="K23">
        <v>29200</v>
      </c>
      <c r="L23">
        <v>2355.31</v>
      </c>
      <c r="M23">
        <v>31555.31</v>
      </c>
      <c r="N23">
        <v>10</v>
      </c>
      <c r="O23" s="448">
        <v>43830</v>
      </c>
      <c r="P23">
        <v>0</v>
      </c>
      <c r="Q23">
        <v>2024</v>
      </c>
      <c r="R23">
        <v>2566.2599999999998</v>
      </c>
      <c r="S23">
        <v>20.25</v>
      </c>
      <c r="T23" s="538">
        <v>2920</v>
      </c>
      <c r="U23" s="538">
        <v>16400</v>
      </c>
      <c r="V23" s="538">
        <v>2920</v>
      </c>
      <c r="W23" s="538">
        <v>16400</v>
      </c>
      <c r="X23" s="538">
        <v>2566.2599999999998</v>
      </c>
      <c r="Y23" s="538">
        <v>0</v>
      </c>
      <c r="Z23" s="538">
        <v>0</v>
      </c>
      <c r="AA23" s="538">
        <v>0</v>
      </c>
      <c r="AB23" s="538">
        <v>353.74000000000024</v>
      </c>
      <c r="AC23" s="538">
        <v>88.435000000000059</v>
      </c>
      <c r="AD23" s="538">
        <v>-3200</v>
      </c>
      <c r="AE23">
        <v>0</v>
      </c>
      <c r="AF23">
        <v>2025</v>
      </c>
      <c r="AG23">
        <v>0</v>
      </c>
      <c r="AH23">
        <v>0</v>
      </c>
      <c r="AI23">
        <v>2920</v>
      </c>
      <c r="AJ23">
        <v>19320</v>
      </c>
      <c r="AK23">
        <v>2920</v>
      </c>
      <c r="AL23">
        <v>19320</v>
      </c>
      <c r="AM23">
        <v>0</v>
      </c>
      <c r="AN23">
        <v>0</v>
      </c>
      <c r="AO23">
        <v>0</v>
      </c>
      <c r="AP23">
        <v>0</v>
      </c>
      <c r="AQ23">
        <v>2920</v>
      </c>
      <c r="AR23">
        <v>730</v>
      </c>
      <c r="AS23">
        <v>-2470</v>
      </c>
      <c r="AT23">
        <v>0</v>
      </c>
      <c r="AU23">
        <v>2026</v>
      </c>
      <c r="AV23">
        <v>0</v>
      </c>
      <c r="AW23">
        <v>0</v>
      </c>
      <c r="AX23">
        <v>2920</v>
      </c>
      <c r="AY23">
        <v>22240</v>
      </c>
      <c r="AZ23">
        <v>2920</v>
      </c>
      <c r="BA23">
        <v>22240</v>
      </c>
      <c r="BB23">
        <v>0</v>
      </c>
      <c r="BC23">
        <v>0</v>
      </c>
      <c r="BD23">
        <v>0</v>
      </c>
      <c r="BE23">
        <v>0</v>
      </c>
      <c r="BF23">
        <v>2920</v>
      </c>
      <c r="BG23">
        <v>730</v>
      </c>
      <c r="BH23">
        <v>-1740</v>
      </c>
      <c r="BI23">
        <v>0</v>
      </c>
      <c r="BJ23">
        <v>2027</v>
      </c>
      <c r="BK23">
        <v>0</v>
      </c>
      <c r="BL23">
        <v>0</v>
      </c>
      <c r="BM23">
        <v>2920</v>
      </c>
      <c r="BN23">
        <v>25160</v>
      </c>
      <c r="BO23">
        <v>2920</v>
      </c>
      <c r="BP23">
        <v>25160</v>
      </c>
      <c r="BQ23">
        <v>0</v>
      </c>
      <c r="BR23">
        <v>0</v>
      </c>
      <c r="BS23">
        <v>0</v>
      </c>
      <c r="BT23">
        <v>0</v>
      </c>
      <c r="BU23">
        <v>2920</v>
      </c>
      <c r="BV23">
        <v>730</v>
      </c>
      <c r="BW23">
        <v>-1010</v>
      </c>
      <c r="BX23">
        <v>0</v>
      </c>
      <c r="BY23">
        <v>2028</v>
      </c>
      <c r="BZ23">
        <v>0</v>
      </c>
      <c r="CA23">
        <v>0</v>
      </c>
      <c r="CB23">
        <v>2920</v>
      </c>
      <c r="CC23">
        <v>28080</v>
      </c>
      <c r="CD23">
        <v>2920</v>
      </c>
      <c r="CE23">
        <v>28080</v>
      </c>
      <c r="CF23">
        <v>0</v>
      </c>
      <c r="CG23">
        <v>0</v>
      </c>
      <c r="CH23">
        <v>0</v>
      </c>
      <c r="CI23">
        <v>0</v>
      </c>
      <c r="CJ23">
        <v>2920</v>
      </c>
      <c r="CK23">
        <v>730</v>
      </c>
      <c r="CL23">
        <v>-280</v>
      </c>
      <c r="CM23">
        <v>0</v>
      </c>
      <c r="CN23">
        <v>2029</v>
      </c>
      <c r="CO23">
        <v>0</v>
      </c>
      <c r="CP23">
        <v>0</v>
      </c>
      <c r="CQ23">
        <v>1120</v>
      </c>
      <c r="CR23">
        <v>29200</v>
      </c>
      <c r="CS23">
        <v>1120</v>
      </c>
      <c r="CT23">
        <v>29200</v>
      </c>
      <c r="CU23">
        <v>0</v>
      </c>
      <c r="CV23">
        <v>0</v>
      </c>
      <c r="CW23">
        <v>0</v>
      </c>
      <c r="CX23">
        <v>0</v>
      </c>
      <c r="CY23">
        <v>1120</v>
      </c>
      <c r="CZ23">
        <v>280</v>
      </c>
      <c r="DA23">
        <v>0</v>
      </c>
      <c r="DB23">
        <v>0</v>
      </c>
      <c r="DC23">
        <v>2030</v>
      </c>
      <c r="DD23">
        <v>0</v>
      </c>
      <c r="DE23">
        <v>0</v>
      </c>
      <c r="DF23">
        <v>0</v>
      </c>
      <c r="DG23">
        <v>29200</v>
      </c>
      <c r="DH23">
        <v>0</v>
      </c>
      <c r="DI23">
        <v>29200</v>
      </c>
      <c r="DJ23">
        <v>0</v>
      </c>
      <c r="DK23">
        <v>0</v>
      </c>
      <c r="DL23">
        <v>0</v>
      </c>
      <c r="DM23">
        <v>0</v>
      </c>
      <c r="DN23">
        <v>0</v>
      </c>
      <c r="DO23">
        <v>0</v>
      </c>
      <c r="DP23">
        <v>0</v>
      </c>
      <c r="DQ23">
        <v>0</v>
      </c>
      <c r="DR23">
        <v>2031</v>
      </c>
      <c r="DS23">
        <v>0</v>
      </c>
      <c r="DT23">
        <v>0</v>
      </c>
      <c r="DU23">
        <v>0</v>
      </c>
      <c r="DV23">
        <v>29200</v>
      </c>
      <c r="DW23">
        <v>0</v>
      </c>
      <c r="DX23">
        <v>29200</v>
      </c>
      <c r="DY23">
        <v>0</v>
      </c>
      <c r="DZ23">
        <v>0</v>
      </c>
      <c r="EA23">
        <v>0</v>
      </c>
      <c r="EB23">
        <v>0</v>
      </c>
      <c r="EC23">
        <v>0</v>
      </c>
      <c r="ED23">
        <v>0</v>
      </c>
      <c r="EE23">
        <v>0</v>
      </c>
      <c r="EF23">
        <v>0</v>
      </c>
    </row>
    <row r="24" spans="1:211" customFormat="1">
      <c r="A24">
        <v>1178</v>
      </c>
      <c r="B24" s="528">
        <v>6403</v>
      </c>
      <c r="C24" t="s">
        <v>1995</v>
      </c>
      <c r="D24">
        <v>213</v>
      </c>
      <c r="E24" t="s">
        <v>1996</v>
      </c>
      <c r="F24" t="s">
        <v>1997</v>
      </c>
      <c r="G24" t="s">
        <v>1998</v>
      </c>
      <c r="H24" s="448">
        <v>44761</v>
      </c>
      <c r="I24" s="448">
        <v>45827</v>
      </c>
      <c r="J24">
        <v>47337.2</v>
      </c>
      <c r="K24">
        <v>47337.2</v>
      </c>
      <c r="L24">
        <v>1427.69</v>
      </c>
      <c r="M24">
        <v>48764.89</v>
      </c>
      <c r="N24">
        <v>12</v>
      </c>
      <c r="O24" s="448">
        <v>44926</v>
      </c>
      <c r="P24">
        <v>0</v>
      </c>
      <c r="Q24">
        <v>2024</v>
      </c>
      <c r="R24">
        <v>15464.300000000001</v>
      </c>
      <c r="S24">
        <v>351.34</v>
      </c>
      <c r="T24" s="538">
        <v>5680.463999999999</v>
      </c>
      <c r="U24" s="538">
        <v>13928.808986301367</v>
      </c>
      <c r="V24" s="538">
        <v>5680.463999999999</v>
      </c>
      <c r="W24" s="538">
        <v>13928.808986301367</v>
      </c>
      <c r="X24" s="538">
        <v>11360.927999999998</v>
      </c>
      <c r="Y24" s="538">
        <v>9164.3499999999985</v>
      </c>
      <c r="Z24" s="538">
        <v>0</v>
      </c>
      <c r="AA24" s="538">
        <v>61.44</v>
      </c>
      <c r="AB24" s="538">
        <v>-5680.463999999999</v>
      </c>
      <c r="AC24" s="538">
        <v>-1420.1159999999998</v>
      </c>
      <c r="AD24" s="538">
        <v>-3482.2022465753416</v>
      </c>
      <c r="AE24">
        <v>10315.232027397267</v>
      </c>
      <c r="AF24">
        <v>2025</v>
      </c>
      <c r="AG24">
        <v>9164.3499999999985</v>
      </c>
      <c r="AH24">
        <v>61.44</v>
      </c>
      <c r="AI24">
        <v>5680.463999999999</v>
      </c>
      <c r="AJ24">
        <v>19609.272986301366</v>
      </c>
      <c r="AK24">
        <v>5680.463999999999</v>
      </c>
      <c r="AL24">
        <v>19609.272986301366</v>
      </c>
      <c r="AM24">
        <v>11360.927999999998</v>
      </c>
      <c r="AN24">
        <v>0</v>
      </c>
      <c r="AO24">
        <v>0</v>
      </c>
      <c r="AP24">
        <v>0</v>
      </c>
      <c r="AQ24">
        <v>-5680.463999999999</v>
      </c>
      <c r="AR24">
        <v>-1420.1159999999998</v>
      </c>
      <c r="AS24">
        <v>-4902.3182465753416</v>
      </c>
      <c r="AT24">
        <v>8118.654027397266</v>
      </c>
      <c r="AU24">
        <v>2026</v>
      </c>
      <c r="AV24">
        <v>0</v>
      </c>
      <c r="AW24">
        <v>0</v>
      </c>
      <c r="AX24">
        <v>5680.463999999999</v>
      </c>
      <c r="AY24">
        <v>25289.736986301366</v>
      </c>
      <c r="AZ24">
        <v>5680.463999999999</v>
      </c>
      <c r="BA24">
        <v>25289.736986301366</v>
      </c>
      <c r="BB24">
        <v>8118.654027397266</v>
      </c>
      <c r="BC24">
        <v>0</v>
      </c>
      <c r="BD24">
        <v>0</v>
      </c>
      <c r="BE24">
        <v>0</v>
      </c>
      <c r="BF24">
        <v>-2438.1900273972669</v>
      </c>
      <c r="BG24">
        <v>-609.54750684931673</v>
      </c>
      <c r="BH24">
        <v>-5511.8657534246586</v>
      </c>
      <c r="BI24">
        <v>0</v>
      </c>
      <c r="BJ24">
        <v>2027</v>
      </c>
      <c r="BK24">
        <v>0</v>
      </c>
      <c r="BL24">
        <v>0</v>
      </c>
      <c r="BM24">
        <v>5680.463999999999</v>
      </c>
      <c r="BN24">
        <v>30970.200986301366</v>
      </c>
      <c r="BO24">
        <v>5680.463999999999</v>
      </c>
      <c r="BP24">
        <v>30970.200986301366</v>
      </c>
      <c r="BQ24">
        <v>0</v>
      </c>
      <c r="BR24">
        <v>0</v>
      </c>
      <c r="BS24">
        <v>0</v>
      </c>
      <c r="BT24">
        <v>0</v>
      </c>
      <c r="BU24">
        <v>5680.463999999999</v>
      </c>
      <c r="BV24">
        <v>1420.1159999999998</v>
      </c>
      <c r="BW24">
        <v>-4091.7497534246586</v>
      </c>
      <c r="BX24">
        <v>0</v>
      </c>
      <c r="BY24">
        <v>2028</v>
      </c>
      <c r="BZ24">
        <v>0</v>
      </c>
      <c r="CA24">
        <v>0</v>
      </c>
      <c r="CB24">
        <v>5680.463999999999</v>
      </c>
      <c r="CC24">
        <v>36650.664986301366</v>
      </c>
      <c r="CD24">
        <v>5680.463999999999</v>
      </c>
      <c r="CE24">
        <v>36650.664986301366</v>
      </c>
      <c r="CF24">
        <v>0</v>
      </c>
      <c r="CG24">
        <v>0</v>
      </c>
      <c r="CH24">
        <v>0</v>
      </c>
      <c r="CI24">
        <v>0</v>
      </c>
      <c r="CJ24">
        <v>5680.463999999999</v>
      </c>
      <c r="CK24">
        <v>1420.1159999999998</v>
      </c>
      <c r="CL24">
        <v>-2671.6337534246586</v>
      </c>
      <c r="CM24">
        <v>0</v>
      </c>
      <c r="CN24">
        <v>2029</v>
      </c>
      <c r="CO24">
        <v>0</v>
      </c>
      <c r="CP24">
        <v>0</v>
      </c>
      <c r="CQ24">
        <v>5680.463999999999</v>
      </c>
      <c r="CR24">
        <v>42331.128986301366</v>
      </c>
      <c r="CS24">
        <v>5680.463999999999</v>
      </c>
      <c r="CT24">
        <v>42331.128986301366</v>
      </c>
      <c r="CU24">
        <v>0</v>
      </c>
      <c r="CV24">
        <v>0</v>
      </c>
      <c r="CW24">
        <v>0</v>
      </c>
      <c r="CX24">
        <v>0</v>
      </c>
      <c r="CY24">
        <v>5680.463999999999</v>
      </c>
      <c r="CZ24">
        <v>1420.1159999999998</v>
      </c>
      <c r="DA24">
        <v>-1251.5177534246588</v>
      </c>
      <c r="DB24">
        <v>0</v>
      </c>
      <c r="DC24">
        <v>2030</v>
      </c>
      <c r="DD24">
        <v>0</v>
      </c>
      <c r="DE24">
        <v>0</v>
      </c>
      <c r="DF24">
        <v>5006.0710136986308</v>
      </c>
      <c r="DG24">
        <v>47337.2</v>
      </c>
      <c r="DH24">
        <v>5006.0710136986308</v>
      </c>
      <c r="DI24">
        <v>47337.2</v>
      </c>
      <c r="DJ24">
        <v>0</v>
      </c>
      <c r="DK24">
        <v>0</v>
      </c>
      <c r="DL24">
        <v>0</v>
      </c>
      <c r="DM24">
        <v>0</v>
      </c>
      <c r="DN24">
        <v>5006.0710136986308</v>
      </c>
      <c r="DO24">
        <v>1251.5177534246577</v>
      </c>
      <c r="DP24">
        <v>0</v>
      </c>
      <c r="DQ24">
        <v>0</v>
      </c>
      <c r="DR24">
        <v>2031</v>
      </c>
      <c r="DS24">
        <v>0</v>
      </c>
      <c r="DT24">
        <v>0</v>
      </c>
      <c r="DU24">
        <v>0</v>
      </c>
      <c r="DV24">
        <v>47337.2</v>
      </c>
      <c r="DW24">
        <v>0</v>
      </c>
      <c r="DX24">
        <v>47337.2</v>
      </c>
      <c r="DY24">
        <v>0</v>
      </c>
      <c r="DZ24">
        <v>0</v>
      </c>
      <c r="EA24">
        <v>0</v>
      </c>
      <c r="EB24">
        <v>0</v>
      </c>
      <c r="EC24">
        <v>0</v>
      </c>
      <c r="ED24">
        <v>0</v>
      </c>
      <c r="EE24">
        <v>0</v>
      </c>
      <c r="EF24">
        <v>0</v>
      </c>
      <c r="EG24">
        <v>2032</v>
      </c>
      <c r="EH24">
        <v>0</v>
      </c>
      <c r="EI24">
        <v>0</v>
      </c>
      <c r="EJ24">
        <v>0</v>
      </c>
      <c r="EK24">
        <v>47337.2</v>
      </c>
      <c r="EL24">
        <v>0</v>
      </c>
      <c r="EM24">
        <v>47337.2</v>
      </c>
      <c r="EN24">
        <v>0</v>
      </c>
      <c r="EO24">
        <v>0</v>
      </c>
      <c r="EP24">
        <v>0</v>
      </c>
      <c r="EQ24">
        <v>0</v>
      </c>
      <c r="ER24">
        <v>0</v>
      </c>
      <c r="ES24">
        <v>0</v>
      </c>
      <c r="ET24">
        <v>0</v>
      </c>
      <c r="EU24">
        <v>0</v>
      </c>
      <c r="EV24">
        <v>2033</v>
      </c>
      <c r="EW24">
        <v>0</v>
      </c>
      <c r="EX24">
        <v>0</v>
      </c>
      <c r="EY24">
        <v>0</v>
      </c>
      <c r="EZ24">
        <v>47337.2</v>
      </c>
      <c r="FA24">
        <v>0</v>
      </c>
      <c r="FB24">
        <v>47337.2</v>
      </c>
      <c r="FC24">
        <v>0</v>
      </c>
      <c r="FD24">
        <v>0</v>
      </c>
      <c r="FE24">
        <v>0</v>
      </c>
      <c r="FF24">
        <v>0</v>
      </c>
      <c r="FG24">
        <v>0</v>
      </c>
      <c r="FH24">
        <v>0</v>
      </c>
      <c r="FI24">
        <v>0</v>
      </c>
      <c r="FJ24">
        <v>0</v>
      </c>
      <c r="FK24">
        <v>2034</v>
      </c>
      <c r="FL24">
        <v>0</v>
      </c>
      <c r="FM24">
        <v>0</v>
      </c>
      <c r="FN24">
        <v>0</v>
      </c>
      <c r="FO24">
        <v>47337.2</v>
      </c>
      <c r="FP24">
        <v>0</v>
      </c>
      <c r="FQ24">
        <v>47337.2</v>
      </c>
      <c r="FR24">
        <v>0</v>
      </c>
      <c r="FS24">
        <v>0</v>
      </c>
      <c r="FT24">
        <v>0</v>
      </c>
      <c r="FU24">
        <v>0</v>
      </c>
      <c r="FV24">
        <v>0</v>
      </c>
      <c r="FW24">
        <v>0</v>
      </c>
      <c r="FX24">
        <v>0</v>
      </c>
      <c r="FY24">
        <v>0</v>
      </c>
      <c r="FZ24">
        <v>2035</v>
      </c>
      <c r="GA24">
        <v>0</v>
      </c>
      <c r="GB24">
        <v>0</v>
      </c>
      <c r="GC24">
        <v>0</v>
      </c>
      <c r="GD24">
        <v>47337.2</v>
      </c>
      <c r="GE24">
        <v>0</v>
      </c>
      <c r="GF24">
        <v>47337.2</v>
      </c>
      <c r="GG24">
        <v>0</v>
      </c>
      <c r="GH24">
        <v>0</v>
      </c>
      <c r="GI24">
        <v>0</v>
      </c>
      <c r="GJ24">
        <v>0</v>
      </c>
      <c r="GK24">
        <v>0</v>
      </c>
      <c r="GL24">
        <v>0</v>
      </c>
      <c r="GM24">
        <v>0</v>
      </c>
      <c r="GN24">
        <v>0</v>
      </c>
      <c r="GO24">
        <v>2036</v>
      </c>
      <c r="GP24">
        <v>0</v>
      </c>
      <c r="GQ24">
        <v>0</v>
      </c>
      <c r="GR24">
        <v>0</v>
      </c>
      <c r="GS24">
        <v>47337.2</v>
      </c>
      <c r="GT24">
        <v>0</v>
      </c>
      <c r="GU24">
        <v>47337.2</v>
      </c>
      <c r="GV24">
        <v>0</v>
      </c>
      <c r="GW24">
        <v>0</v>
      </c>
      <c r="GX24">
        <v>0</v>
      </c>
      <c r="GY24">
        <v>0</v>
      </c>
      <c r="GZ24">
        <v>0</v>
      </c>
      <c r="HA24">
        <v>0</v>
      </c>
      <c r="HB24">
        <v>0</v>
      </c>
      <c r="HC24">
        <v>0</v>
      </c>
    </row>
    <row r="25" spans="1:211" customFormat="1">
      <c r="A25">
        <v>1141</v>
      </c>
      <c r="B25" s="528">
        <v>6416</v>
      </c>
      <c r="C25" t="s">
        <v>1883</v>
      </c>
      <c r="D25">
        <v>218</v>
      </c>
      <c r="E25" t="s">
        <v>1774</v>
      </c>
      <c r="F25" t="s">
        <v>1775</v>
      </c>
      <c r="G25" t="s">
        <v>896</v>
      </c>
      <c r="H25" s="448">
        <v>43655</v>
      </c>
      <c r="I25" s="448">
        <v>45116</v>
      </c>
      <c r="J25">
        <v>60470.970300000001</v>
      </c>
      <c r="K25">
        <v>47438.975999999995</v>
      </c>
      <c r="L25">
        <v>12727.257399999999</v>
      </c>
      <c r="M25">
        <v>60166.233399999997</v>
      </c>
      <c r="N25">
        <v>16</v>
      </c>
      <c r="O25" s="448">
        <v>43830</v>
      </c>
      <c r="P25">
        <v>0</v>
      </c>
      <c r="Q25">
        <v>2024</v>
      </c>
      <c r="R25">
        <v>0</v>
      </c>
      <c r="S25">
        <v>0</v>
      </c>
      <c r="T25" s="538">
        <v>9675.3552479999998</v>
      </c>
      <c r="U25" s="538">
        <v>53015.645194520548</v>
      </c>
      <c r="V25" s="538">
        <v>9675.3552479999998</v>
      </c>
      <c r="W25" s="538">
        <v>53015.645194520548</v>
      </c>
      <c r="X25" s="538">
        <v>8985.4784434999965</v>
      </c>
      <c r="Y25" s="538">
        <v>0</v>
      </c>
      <c r="Z25" s="538">
        <v>0</v>
      </c>
      <c r="AA25" s="538">
        <v>0</v>
      </c>
      <c r="AB25" s="538">
        <v>689.87680450000335</v>
      </c>
      <c r="AC25" s="538">
        <v>172.46920112500084</v>
      </c>
      <c r="AD25" s="538">
        <v>-1863.8312763698618</v>
      </c>
      <c r="AE25">
        <v>0</v>
      </c>
      <c r="AF25">
        <v>2025</v>
      </c>
      <c r="AG25">
        <v>0</v>
      </c>
      <c r="AH25">
        <v>0</v>
      </c>
      <c r="AI25">
        <v>7455.3251054794528</v>
      </c>
      <c r="AJ25">
        <v>60470.970300000001</v>
      </c>
      <c r="AK25">
        <v>7455.3251054794528</v>
      </c>
      <c r="AL25">
        <v>60470.970300000001</v>
      </c>
      <c r="AM25">
        <v>0</v>
      </c>
      <c r="AN25">
        <v>0</v>
      </c>
      <c r="AO25">
        <v>0</v>
      </c>
      <c r="AP25">
        <v>0</v>
      </c>
      <c r="AQ25">
        <v>7455.3251054794528</v>
      </c>
      <c r="AR25">
        <v>1863.8312763698632</v>
      </c>
      <c r="AS25">
        <v>0</v>
      </c>
      <c r="AT25">
        <v>0</v>
      </c>
      <c r="AU25">
        <v>2026</v>
      </c>
      <c r="AV25">
        <v>0</v>
      </c>
      <c r="AW25">
        <v>0</v>
      </c>
      <c r="AX25">
        <v>0</v>
      </c>
      <c r="AY25">
        <v>60470.970300000001</v>
      </c>
      <c r="AZ25">
        <v>0</v>
      </c>
      <c r="BA25">
        <v>60470.970300000001</v>
      </c>
      <c r="BB25">
        <v>0</v>
      </c>
      <c r="BC25">
        <v>0</v>
      </c>
      <c r="BD25">
        <v>0</v>
      </c>
      <c r="BE25">
        <v>0</v>
      </c>
      <c r="BF25">
        <v>0</v>
      </c>
      <c r="BG25">
        <v>0</v>
      </c>
      <c r="BH25">
        <v>0</v>
      </c>
      <c r="BI25">
        <v>0</v>
      </c>
      <c r="BJ25">
        <v>2027</v>
      </c>
      <c r="BK25">
        <v>0</v>
      </c>
      <c r="BL25">
        <v>0</v>
      </c>
      <c r="BM25">
        <v>0</v>
      </c>
      <c r="BN25">
        <v>60470.970300000001</v>
      </c>
      <c r="BO25">
        <v>0</v>
      </c>
      <c r="BP25">
        <v>60470.970300000001</v>
      </c>
      <c r="BQ25">
        <v>0</v>
      </c>
      <c r="BR25">
        <v>0</v>
      </c>
      <c r="BS25">
        <v>0</v>
      </c>
      <c r="BT25">
        <v>0</v>
      </c>
      <c r="BU25">
        <v>0</v>
      </c>
      <c r="BV25">
        <v>0</v>
      </c>
      <c r="BW25">
        <v>0</v>
      </c>
      <c r="BX25">
        <v>0</v>
      </c>
      <c r="BY25">
        <v>2028</v>
      </c>
      <c r="BZ25">
        <v>0</v>
      </c>
      <c r="CA25">
        <v>0</v>
      </c>
      <c r="CB25">
        <v>0</v>
      </c>
      <c r="CC25">
        <v>60470.970300000001</v>
      </c>
      <c r="CD25">
        <v>0</v>
      </c>
      <c r="CE25">
        <v>60470.970300000001</v>
      </c>
      <c r="CF25">
        <v>0</v>
      </c>
      <c r="CG25">
        <v>0</v>
      </c>
      <c r="CH25">
        <v>0</v>
      </c>
      <c r="CI25">
        <v>0</v>
      </c>
      <c r="CJ25">
        <v>0</v>
      </c>
      <c r="CK25">
        <v>0</v>
      </c>
      <c r="CL25">
        <v>0</v>
      </c>
      <c r="CM25">
        <v>0</v>
      </c>
      <c r="CN25">
        <v>2029</v>
      </c>
      <c r="CO25">
        <v>0</v>
      </c>
      <c r="CP25">
        <v>0</v>
      </c>
      <c r="CQ25">
        <v>0</v>
      </c>
      <c r="CR25">
        <v>60470.970300000001</v>
      </c>
      <c r="CS25">
        <v>0</v>
      </c>
      <c r="CT25">
        <v>60470.970300000001</v>
      </c>
      <c r="CU25">
        <v>0</v>
      </c>
      <c r="CV25">
        <v>0</v>
      </c>
      <c r="CW25">
        <v>0</v>
      </c>
      <c r="CX25">
        <v>0</v>
      </c>
      <c r="CY25">
        <v>0</v>
      </c>
      <c r="CZ25">
        <v>0</v>
      </c>
      <c r="DA25">
        <v>0</v>
      </c>
      <c r="DB25">
        <v>0</v>
      </c>
      <c r="DC25">
        <v>2030</v>
      </c>
      <c r="DD25">
        <v>0</v>
      </c>
      <c r="DE25">
        <v>0</v>
      </c>
      <c r="DF25">
        <v>0</v>
      </c>
      <c r="DG25">
        <v>60470.970300000001</v>
      </c>
      <c r="DH25">
        <v>0</v>
      </c>
      <c r="DI25">
        <v>60470.970300000001</v>
      </c>
      <c r="DJ25">
        <v>0</v>
      </c>
      <c r="DK25">
        <v>0</v>
      </c>
      <c r="DL25">
        <v>0</v>
      </c>
      <c r="DM25">
        <v>0</v>
      </c>
      <c r="DN25">
        <v>0</v>
      </c>
      <c r="DO25">
        <v>0</v>
      </c>
      <c r="DP25">
        <v>0</v>
      </c>
      <c r="DQ25">
        <v>0</v>
      </c>
      <c r="DR25">
        <v>2031</v>
      </c>
      <c r="DS25">
        <v>0</v>
      </c>
      <c r="DT25">
        <v>0</v>
      </c>
      <c r="DU25">
        <v>0</v>
      </c>
      <c r="DV25">
        <v>60470.970300000001</v>
      </c>
      <c r="DW25">
        <v>0</v>
      </c>
      <c r="DX25">
        <v>60470.970300000001</v>
      </c>
      <c r="DY25">
        <v>0</v>
      </c>
      <c r="DZ25">
        <v>0</v>
      </c>
      <c r="EA25">
        <v>0</v>
      </c>
      <c r="EB25">
        <v>0</v>
      </c>
      <c r="EC25">
        <v>0</v>
      </c>
      <c r="ED25">
        <v>0</v>
      </c>
      <c r="EE25">
        <v>0</v>
      </c>
      <c r="EF25">
        <v>0</v>
      </c>
      <c r="EG25">
        <v>2032</v>
      </c>
      <c r="EH25">
        <v>0</v>
      </c>
      <c r="EI25">
        <v>0</v>
      </c>
      <c r="EJ25">
        <v>0</v>
      </c>
      <c r="EK25">
        <v>60470.970300000001</v>
      </c>
      <c r="EL25">
        <v>0</v>
      </c>
      <c r="EM25">
        <v>60470.970300000001</v>
      </c>
      <c r="EN25">
        <v>0</v>
      </c>
      <c r="EO25">
        <v>0</v>
      </c>
      <c r="EP25">
        <v>0</v>
      </c>
      <c r="EQ25">
        <v>0</v>
      </c>
      <c r="ER25">
        <v>0</v>
      </c>
      <c r="ES25">
        <v>0</v>
      </c>
      <c r="ET25">
        <v>0</v>
      </c>
      <c r="EU25">
        <v>0</v>
      </c>
    </row>
    <row r="26" spans="1:211" customFormat="1">
      <c r="A26">
        <v>1136</v>
      </c>
      <c r="B26" s="528">
        <v>6445</v>
      </c>
      <c r="C26" t="s">
        <v>2005</v>
      </c>
      <c r="D26">
        <v>218</v>
      </c>
      <c r="E26" t="s">
        <v>1769</v>
      </c>
      <c r="F26" t="s">
        <v>1752</v>
      </c>
      <c r="G26" t="s">
        <v>1770</v>
      </c>
      <c r="H26" s="448">
        <v>43313</v>
      </c>
      <c r="I26" s="448">
        <v>44409</v>
      </c>
      <c r="J26">
        <v>26322.31</v>
      </c>
      <c r="K26">
        <v>26322.31</v>
      </c>
      <c r="L26">
        <v>836.8</v>
      </c>
      <c r="M26">
        <v>27159.11</v>
      </c>
      <c r="N26">
        <v>12.5</v>
      </c>
      <c r="O26" s="448">
        <v>43465</v>
      </c>
      <c r="P26">
        <v>0</v>
      </c>
      <c r="Q26">
        <v>2024</v>
      </c>
      <c r="R26">
        <v>0</v>
      </c>
      <c r="S26">
        <v>0</v>
      </c>
      <c r="T26" s="538">
        <v>3290.2887500000002</v>
      </c>
      <c r="U26" s="538">
        <v>21111.934938356164</v>
      </c>
      <c r="V26" s="538">
        <v>3290.2887500000002</v>
      </c>
      <c r="W26" s="538">
        <v>21111.934938356164</v>
      </c>
      <c r="X26" s="538">
        <v>0</v>
      </c>
      <c r="Y26" s="538">
        <v>0</v>
      </c>
      <c r="Z26" s="538">
        <v>0</v>
      </c>
      <c r="AA26" s="538">
        <v>0</v>
      </c>
      <c r="AB26" s="538">
        <v>3290.2887500000002</v>
      </c>
      <c r="AC26" s="538">
        <v>822.57218750000004</v>
      </c>
      <c r="AD26" s="538">
        <v>-1302.5937654109589</v>
      </c>
      <c r="AE26">
        <v>0</v>
      </c>
      <c r="AF26">
        <v>2025</v>
      </c>
      <c r="AG26">
        <v>0</v>
      </c>
      <c r="AH26">
        <v>0</v>
      </c>
      <c r="AI26">
        <v>3290.2887500000002</v>
      </c>
      <c r="AJ26">
        <v>24402.223688356164</v>
      </c>
      <c r="AK26">
        <v>3290.2887500000002</v>
      </c>
      <c r="AL26">
        <v>24402.223688356164</v>
      </c>
      <c r="AM26">
        <v>0</v>
      </c>
      <c r="AN26">
        <v>0</v>
      </c>
      <c r="AO26">
        <v>0</v>
      </c>
      <c r="AP26">
        <v>0</v>
      </c>
      <c r="AQ26">
        <v>3290.2887500000002</v>
      </c>
      <c r="AR26">
        <v>822.57218750000004</v>
      </c>
      <c r="AS26">
        <v>-480.02157791095885</v>
      </c>
      <c r="AT26">
        <v>0</v>
      </c>
      <c r="AU26">
        <v>2026</v>
      </c>
      <c r="AV26">
        <v>0</v>
      </c>
      <c r="AW26">
        <v>0</v>
      </c>
      <c r="AX26">
        <v>1920.0863116438377</v>
      </c>
      <c r="AY26">
        <v>26322.31</v>
      </c>
      <c r="AZ26">
        <v>1920.0863116438377</v>
      </c>
      <c r="BA26">
        <v>26322.31</v>
      </c>
      <c r="BB26">
        <v>0</v>
      </c>
      <c r="BC26">
        <v>0</v>
      </c>
      <c r="BD26">
        <v>0</v>
      </c>
      <c r="BE26">
        <v>0</v>
      </c>
      <c r="BF26">
        <v>1920.0863116438377</v>
      </c>
      <c r="BG26">
        <v>480.02157791095942</v>
      </c>
      <c r="BH26">
        <v>5.6843418860808015E-13</v>
      </c>
      <c r="BI26">
        <v>0</v>
      </c>
      <c r="BJ26">
        <v>2027</v>
      </c>
      <c r="BK26">
        <v>0</v>
      </c>
      <c r="BL26">
        <v>0</v>
      </c>
      <c r="BM26">
        <v>0</v>
      </c>
      <c r="BN26">
        <v>26322.31</v>
      </c>
      <c r="BO26">
        <v>0</v>
      </c>
      <c r="BP26">
        <v>26322.31</v>
      </c>
      <c r="BQ26">
        <v>0</v>
      </c>
      <c r="BR26">
        <v>0</v>
      </c>
      <c r="BS26">
        <v>0</v>
      </c>
      <c r="BT26">
        <v>0</v>
      </c>
      <c r="BU26">
        <v>0</v>
      </c>
      <c r="BV26">
        <v>0</v>
      </c>
      <c r="BW26">
        <v>5.6843418860808015E-13</v>
      </c>
      <c r="BX26">
        <v>0</v>
      </c>
      <c r="BY26">
        <v>2028</v>
      </c>
      <c r="BZ26">
        <v>0</v>
      </c>
      <c r="CA26">
        <v>0</v>
      </c>
      <c r="CB26">
        <v>0</v>
      </c>
      <c r="CC26">
        <v>26322.31</v>
      </c>
      <c r="CD26">
        <v>0</v>
      </c>
      <c r="CE26">
        <v>26322.31</v>
      </c>
      <c r="CF26">
        <v>0</v>
      </c>
      <c r="CG26">
        <v>0</v>
      </c>
      <c r="CH26">
        <v>0</v>
      </c>
      <c r="CI26">
        <v>0</v>
      </c>
      <c r="CJ26">
        <v>0</v>
      </c>
      <c r="CK26">
        <v>0</v>
      </c>
      <c r="CL26">
        <v>5.6843418860808015E-13</v>
      </c>
      <c r="CM26">
        <v>0</v>
      </c>
      <c r="CN26">
        <v>2029</v>
      </c>
      <c r="CO26">
        <v>0</v>
      </c>
      <c r="CP26">
        <v>0</v>
      </c>
      <c r="CQ26">
        <v>0</v>
      </c>
      <c r="CR26">
        <v>26322.31</v>
      </c>
      <c r="CS26">
        <v>0</v>
      </c>
      <c r="CT26">
        <v>26322.31</v>
      </c>
      <c r="CU26">
        <v>0</v>
      </c>
      <c r="CV26">
        <v>0</v>
      </c>
      <c r="CW26">
        <v>0</v>
      </c>
      <c r="CX26">
        <v>0</v>
      </c>
      <c r="CY26">
        <v>0</v>
      </c>
      <c r="CZ26">
        <v>0</v>
      </c>
      <c r="DA26">
        <v>5.6843418860808015E-13</v>
      </c>
      <c r="DB26">
        <v>0</v>
      </c>
      <c r="DC26">
        <v>2030</v>
      </c>
      <c r="DD26">
        <v>0</v>
      </c>
      <c r="DE26">
        <v>0</v>
      </c>
      <c r="DF26">
        <v>0</v>
      </c>
      <c r="DG26">
        <v>26322.31</v>
      </c>
      <c r="DH26">
        <v>0</v>
      </c>
      <c r="DI26">
        <v>26322.31</v>
      </c>
      <c r="DJ26">
        <v>0</v>
      </c>
      <c r="DK26">
        <v>0</v>
      </c>
      <c r="DL26">
        <v>0</v>
      </c>
      <c r="DM26">
        <v>0</v>
      </c>
      <c r="DN26">
        <v>0</v>
      </c>
      <c r="DO26">
        <v>0</v>
      </c>
      <c r="DP26">
        <v>5.6843418860808015E-13</v>
      </c>
      <c r="DQ26">
        <v>0</v>
      </c>
      <c r="DR26">
        <v>2031</v>
      </c>
      <c r="DS26">
        <v>0</v>
      </c>
      <c r="DT26">
        <v>0</v>
      </c>
      <c r="DU26">
        <v>0</v>
      </c>
      <c r="DV26">
        <v>26322.31</v>
      </c>
      <c r="DW26">
        <v>0</v>
      </c>
      <c r="DX26">
        <v>26322.31</v>
      </c>
      <c r="DY26">
        <v>0</v>
      </c>
      <c r="DZ26">
        <v>0</v>
      </c>
      <c r="EA26">
        <v>0</v>
      </c>
      <c r="EB26">
        <v>0</v>
      </c>
      <c r="EC26">
        <v>0</v>
      </c>
      <c r="ED26">
        <v>0</v>
      </c>
      <c r="EE26">
        <v>5.6843418860808015E-13</v>
      </c>
      <c r="EF26">
        <v>0</v>
      </c>
      <c r="EG26">
        <v>2032</v>
      </c>
      <c r="EH26">
        <v>0</v>
      </c>
      <c r="EI26">
        <v>0</v>
      </c>
      <c r="EJ26">
        <v>0</v>
      </c>
      <c r="EK26">
        <v>26322.31</v>
      </c>
      <c r="EL26">
        <v>0</v>
      </c>
      <c r="EM26">
        <v>26322.31</v>
      </c>
      <c r="EN26">
        <v>0</v>
      </c>
      <c r="EO26">
        <v>0</v>
      </c>
      <c r="EP26">
        <v>0</v>
      </c>
      <c r="EQ26">
        <v>0</v>
      </c>
      <c r="ER26">
        <v>0</v>
      </c>
      <c r="ES26">
        <v>0</v>
      </c>
      <c r="ET26">
        <v>5.6843418860808015E-13</v>
      </c>
      <c r="EU26">
        <v>0</v>
      </c>
    </row>
    <row r="27" spans="1:211" customFormat="1">
      <c r="A27">
        <v>1182</v>
      </c>
      <c r="B27" s="528">
        <v>6538</v>
      </c>
      <c r="C27" t="s">
        <v>2008</v>
      </c>
      <c r="D27">
        <v>213</v>
      </c>
      <c r="E27" t="s">
        <v>2009</v>
      </c>
      <c r="F27" t="s">
        <v>2010</v>
      </c>
      <c r="G27" t="s">
        <v>2011</v>
      </c>
      <c r="H27" s="448">
        <v>44637</v>
      </c>
      <c r="I27" s="448">
        <v>46463</v>
      </c>
      <c r="J27">
        <v>27042.82</v>
      </c>
      <c r="K27">
        <v>26494.74</v>
      </c>
      <c r="L27">
        <v>1443.3</v>
      </c>
      <c r="M27">
        <v>27938.04</v>
      </c>
      <c r="N27">
        <v>12</v>
      </c>
      <c r="O27" s="448">
        <v>44926</v>
      </c>
      <c r="P27">
        <v>0</v>
      </c>
      <c r="Q27">
        <v>2024</v>
      </c>
      <c r="R27">
        <v>6490.93</v>
      </c>
      <c r="S27">
        <v>319.91000000000003</v>
      </c>
      <c r="T27" s="538">
        <v>3245.1383999999998</v>
      </c>
      <c r="U27" s="538">
        <v>9059.7151495890412</v>
      </c>
      <c r="V27" s="538">
        <v>3245.1383999999998</v>
      </c>
      <c r="W27" s="538">
        <v>9059.7151495890412</v>
      </c>
      <c r="X27" s="538">
        <v>6490.2767999999996</v>
      </c>
      <c r="Y27" s="538">
        <v>6607.43</v>
      </c>
      <c r="Z27" s="538">
        <v>8406.739999999998</v>
      </c>
      <c r="AA27" s="538">
        <v>290.73</v>
      </c>
      <c r="AB27" s="538">
        <v>-3245.1383999999998</v>
      </c>
      <c r="AC27" s="538">
        <v>-811.28459999999995</v>
      </c>
      <c r="AD27" s="538">
        <v>-742.07041260274002</v>
      </c>
      <c r="AE27">
        <v>0.65320000000065193</v>
      </c>
      <c r="AF27">
        <v>2025</v>
      </c>
      <c r="AG27">
        <v>6607.43</v>
      </c>
      <c r="AH27">
        <v>203.41000000000003</v>
      </c>
      <c r="AI27">
        <v>3245.1383999999998</v>
      </c>
      <c r="AJ27">
        <v>12304.853549589041</v>
      </c>
      <c r="AK27">
        <v>3245.1383999999998</v>
      </c>
      <c r="AL27">
        <v>12304.853549589041</v>
      </c>
      <c r="AM27">
        <v>6490.2767999999996</v>
      </c>
      <c r="AN27">
        <v>6725.9999999999991</v>
      </c>
      <c r="AO27">
        <v>1680.7399999999998</v>
      </c>
      <c r="AP27">
        <v>87.32</v>
      </c>
      <c r="AQ27">
        <v>-3245.1383999999998</v>
      </c>
      <c r="AR27">
        <v>-811.28459999999995</v>
      </c>
      <c r="AS27">
        <v>-1553.3550126027399</v>
      </c>
      <c r="AT27">
        <v>117.8064000000013</v>
      </c>
      <c r="AU27">
        <v>2026</v>
      </c>
      <c r="AV27">
        <v>6725.9999999999991</v>
      </c>
      <c r="AW27">
        <v>84.839999999999989</v>
      </c>
      <c r="AX27">
        <v>3245.1383999999998</v>
      </c>
      <c r="AY27">
        <v>15549.991949589041</v>
      </c>
      <c r="AZ27">
        <v>3245.1383999999998</v>
      </c>
      <c r="BA27">
        <v>15549.991949589041</v>
      </c>
      <c r="BB27">
        <v>6490.2767999999996</v>
      </c>
      <c r="BC27">
        <v>1680.7399999999998</v>
      </c>
      <c r="BD27">
        <v>0</v>
      </c>
      <c r="BE27">
        <v>2.48</v>
      </c>
      <c r="BF27">
        <v>-3245.1383999999998</v>
      </c>
      <c r="BG27">
        <v>-811.28459999999995</v>
      </c>
      <c r="BH27">
        <v>-2364.6396126027398</v>
      </c>
      <c r="BI27">
        <v>353.52960000000076</v>
      </c>
      <c r="BJ27">
        <v>2027</v>
      </c>
      <c r="BK27">
        <v>1680.7399999999998</v>
      </c>
      <c r="BL27">
        <v>2.48</v>
      </c>
      <c r="BM27">
        <v>3245.1383999999998</v>
      </c>
      <c r="BN27">
        <v>18795.130349589039</v>
      </c>
      <c r="BO27">
        <v>3245.1383999999998</v>
      </c>
      <c r="BP27">
        <v>18795.130349589039</v>
      </c>
      <c r="BQ27">
        <v>2034.2696000000005</v>
      </c>
      <c r="BR27">
        <v>0</v>
      </c>
      <c r="BS27">
        <v>0</v>
      </c>
      <c r="BT27">
        <v>0</v>
      </c>
      <c r="BU27">
        <v>1210.8687999999993</v>
      </c>
      <c r="BV27">
        <v>302.71719999999982</v>
      </c>
      <c r="BW27">
        <v>-2061.9224126027402</v>
      </c>
      <c r="BX27">
        <v>0</v>
      </c>
      <c r="BY27">
        <v>2028</v>
      </c>
      <c r="BZ27">
        <v>0</v>
      </c>
      <c r="CA27">
        <v>0</v>
      </c>
      <c r="CB27">
        <v>3245.1383999999998</v>
      </c>
      <c r="CC27">
        <v>22040.268749589039</v>
      </c>
      <c r="CD27">
        <v>3245.1383999999998</v>
      </c>
      <c r="CE27">
        <v>22040.268749589039</v>
      </c>
      <c r="CF27">
        <v>0</v>
      </c>
      <c r="CG27">
        <v>0</v>
      </c>
      <c r="CH27">
        <v>0</v>
      </c>
      <c r="CI27">
        <v>0</v>
      </c>
      <c r="CJ27">
        <v>3245.1383999999998</v>
      </c>
      <c r="CK27">
        <v>811.28459999999995</v>
      </c>
      <c r="CL27">
        <v>-1250.6378126027403</v>
      </c>
      <c r="CM27">
        <v>0</v>
      </c>
      <c r="CN27">
        <v>2029</v>
      </c>
      <c r="CO27">
        <v>0</v>
      </c>
      <c r="CP27">
        <v>0</v>
      </c>
      <c r="CQ27">
        <v>3245.1383999999998</v>
      </c>
      <c r="CR27">
        <v>25285.407149589038</v>
      </c>
      <c r="CS27">
        <v>3245.1383999999998</v>
      </c>
      <c r="CT27">
        <v>25285.407149589038</v>
      </c>
      <c r="CU27">
        <v>0</v>
      </c>
      <c r="CV27">
        <v>0</v>
      </c>
      <c r="CW27">
        <v>0</v>
      </c>
      <c r="CX27">
        <v>0</v>
      </c>
      <c r="CY27">
        <v>3245.1383999999998</v>
      </c>
      <c r="CZ27">
        <v>811.28459999999995</v>
      </c>
      <c r="DA27">
        <v>-439.35321260274031</v>
      </c>
      <c r="DB27">
        <v>0</v>
      </c>
      <c r="DC27">
        <v>2030</v>
      </c>
      <c r="DD27">
        <v>0</v>
      </c>
      <c r="DE27">
        <v>0</v>
      </c>
      <c r="DF27">
        <v>1757.4128504109613</v>
      </c>
      <c r="DG27">
        <v>27042.82</v>
      </c>
      <c r="DH27">
        <v>1757.4128504109613</v>
      </c>
      <c r="DI27">
        <v>27042.82</v>
      </c>
      <c r="DJ27">
        <v>0</v>
      </c>
      <c r="DK27">
        <v>0</v>
      </c>
      <c r="DL27">
        <v>0</v>
      </c>
      <c r="DM27">
        <v>0</v>
      </c>
      <c r="DN27">
        <v>1757.4128504109613</v>
      </c>
      <c r="DO27">
        <v>439.35321260274031</v>
      </c>
      <c r="DP27">
        <v>0</v>
      </c>
      <c r="DQ27">
        <v>0</v>
      </c>
      <c r="DR27">
        <v>2031</v>
      </c>
      <c r="DS27">
        <v>0</v>
      </c>
      <c r="DT27">
        <v>0</v>
      </c>
      <c r="DU27">
        <v>0</v>
      </c>
      <c r="DV27">
        <v>27042.82</v>
      </c>
      <c r="DW27">
        <v>0</v>
      </c>
      <c r="DX27">
        <v>27042.82</v>
      </c>
      <c r="DY27">
        <v>0</v>
      </c>
      <c r="DZ27">
        <v>0</v>
      </c>
      <c r="EA27">
        <v>0</v>
      </c>
      <c r="EB27">
        <v>0</v>
      </c>
      <c r="EC27">
        <v>0</v>
      </c>
      <c r="ED27">
        <v>0</v>
      </c>
      <c r="EE27">
        <v>0</v>
      </c>
      <c r="EF27">
        <v>0</v>
      </c>
      <c r="EG27">
        <v>2032</v>
      </c>
      <c r="EH27">
        <v>0</v>
      </c>
      <c r="EI27">
        <v>0</v>
      </c>
      <c r="EJ27">
        <v>0</v>
      </c>
      <c r="EK27">
        <v>27042.82</v>
      </c>
      <c r="EL27">
        <v>0</v>
      </c>
      <c r="EM27">
        <v>27042.82</v>
      </c>
      <c r="EN27">
        <v>0</v>
      </c>
      <c r="EO27">
        <v>0</v>
      </c>
      <c r="EP27">
        <v>0</v>
      </c>
      <c r="EQ27">
        <v>0</v>
      </c>
      <c r="ER27">
        <v>0</v>
      </c>
      <c r="ES27">
        <v>0</v>
      </c>
      <c r="ET27">
        <v>0</v>
      </c>
      <c r="EU27">
        <v>0</v>
      </c>
      <c r="EV27">
        <v>2033</v>
      </c>
      <c r="EW27">
        <v>0</v>
      </c>
      <c r="EX27">
        <v>0</v>
      </c>
      <c r="EY27">
        <v>0</v>
      </c>
      <c r="EZ27">
        <v>27042.82</v>
      </c>
      <c r="FA27">
        <v>0</v>
      </c>
      <c r="FB27">
        <v>27042.82</v>
      </c>
      <c r="FC27">
        <v>0</v>
      </c>
      <c r="FD27">
        <v>0</v>
      </c>
      <c r="FE27">
        <v>0</v>
      </c>
      <c r="FF27">
        <v>0</v>
      </c>
      <c r="FG27">
        <v>0</v>
      </c>
      <c r="FH27">
        <v>0</v>
      </c>
      <c r="FI27">
        <v>0</v>
      </c>
      <c r="FJ27">
        <v>0</v>
      </c>
      <c r="FK27">
        <v>2034</v>
      </c>
      <c r="FL27">
        <v>0</v>
      </c>
      <c r="FM27">
        <v>0</v>
      </c>
      <c r="FN27">
        <v>0</v>
      </c>
      <c r="FO27">
        <v>27042.82</v>
      </c>
      <c r="FP27">
        <v>0</v>
      </c>
      <c r="FQ27">
        <v>27042.82</v>
      </c>
      <c r="FR27">
        <v>0</v>
      </c>
      <c r="FS27">
        <v>0</v>
      </c>
      <c r="FT27">
        <v>0</v>
      </c>
      <c r="FU27">
        <v>0</v>
      </c>
      <c r="FV27">
        <v>0</v>
      </c>
      <c r="FW27">
        <v>0</v>
      </c>
      <c r="FX27">
        <v>0</v>
      </c>
      <c r="FY27">
        <v>0</v>
      </c>
      <c r="FZ27">
        <v>2035</v>
      </c>
      <c r="GA27">
        <v>0</v>
      </c>
      <c r="GB27">
        <v>0</v>
      </c>
      <c r="GC27">
        <v>0</v>
      </c>
      <c r="GD27">
        <v>27042.82</v>
      </c>
      <c r="GE27">
        <v>0</v>
      </c>
      <c r="GF27">
        <v>27042.82</v>
      </c>
      <c r="GG27">
        <v>0</v>
      </c>
      <c r="GH27">
        <v>0</v>
      </c>
      <c r="GI27">
        <v>0</v>
      </c>
      <c r="GJ27">
        <v>0</v>
      </c>
      <c r="GK27">
        <v>0</v>
      </c>
      <c r="GL27">
        <v>0</v>
      </c>
      <c r="GM27">
        <v>0</v>
      </c>
      <c r="GN27">
        <v>0</v>
      </c>
      <c r="GO27">
        <v>2036</v>
      </c>
      <c r="GP27">
        <v>0</v>
      </c>
      <c r="GQ27">
        <v>0</v>
      </c>
      <c r="GR27">
        <v>0</v>
      </c>
      <c r="GS27">
        <v>27042.82</v>
      </c>
      <c r="GT27">
        <v>0</v>
      </c>
      <c r="GU27">
        <v>27042.82</v>
      </c>
      <c r="GV27">
        <v>0</v>
      </c>
      <c r="GW27">
        <v>0</v>
      </c>
      <c r="GX27">
        <v>0</v>
      </c>
      <c r="GY27">
        <v>0</v>
      </c>
      <c r="GZ27">
        <v>0</v>
      </c>
      <c r="HA27">
        <v>0</v>
      </c>
      <c r="HB27">
        <v>0</v>
      </c>
      <c r="HC27">
        <v>0</v>
      </c>
    </row>
    <row r="28" spans="1:211" customFormat="1">
      <c r="A28">
        <v>1166</v>
      </c>
      <c r="B28" s="528">
        <v>6607</v>
      </c>
      <c r="C28" t="s">
        <v>2022</v>
      </c>
      <c r="D28">
        <v>21800000</v>
      </c>
      <c r="E28" t="s">
        <v>2006</v>
      </c>
      <c r="F28" t="s">
        <v>1773</v>
      </c>
      <c r="G28" t="s">
        <v>2007</v>
      </c>
      <c r="H28" s="448">
        <v>44796</v>
      </c>
      <c r="I28" s="448">
        <v>46622</v>
      </c>
      <c r="J28">
        <v>25728.22</v>
      </c>
      <c r="K28">
        <v>25728.22</v>
      </c>
      <c r="L28">
        <v>2478.38</v>
      </c>
      <c r="M28">
        <v>28206.600000000002</v>
      </c>
      <c r="N28">
        <v>16</v>
      </c>
      <c r="O28" s="448">
        <v>44926</v>
      </c>
      <c r="P28">
        <v>0</v>
      </c>
      <c r="Q28">
        <v>2024</v>
      </c>
      <c r="R28">
        <v>5029.8100000000004</v>
      </c>
      <c r="S28">
        <v>611.51</v>
      </c>
      <c r="T28" s="538">
        <v>4116.5151999999998</v>
      </c>
      <c r="U28" s="538">
        <v>9605.2003999999997</v>
      </c>
      <c r="V28" s="538">
        <v>4116.5151999999998</v>
      </c>
      <c r="W28" s="538">
        <v>9605.2003999999997</v>
      </c>
      <c r="X28" s="538">
        <v>5029.8100000000004</v>
      </c>
      <c r="Y28" s="538">
        <v>5218</v>
      </c>
      <c r="Z28" s="538">
        <v>8663.84</v>
      </c>
      <c r="AA28" s="538">
        <v>691.56999999999994</v>
      </c>
      <c r="AB28" s="538">
        <v>-913.29480000000058</v>
      </c>
      <c r="AC28" s="538">
        <v>-228.32370000000014</v>
      </c>
      <c r="AD28" s="538">
        <v>-560.29490000000033</v>
      </c>
      <c r="AE28">
        <v>0</v>
      </c>
      <c r="AF28">
        <v>2025</v>
      </c>
      <c r="AG28">
        <v>5218</v>
      </c>
      <c r="AH28">
        <v>423.32</v>
      </c>
      <c r="AI28">
        <v>4116.5151999999998</v>
      </c>
      <c r="AJ28">
        <v>13721.7156</v>
      </c>
      <c r="AK28">
        <v>4116.5151999999998</v>
      </c>
      <c r="AL28">
        <v>13721.7156</v>
      </c>
      <c r="AM28">
        <v>5218</v>
      </c>
      <c r="AN28">
        <v>5413.25</v>
      </c>
      <c r="AO28">
        <v>2780.4799999999996</v>
      </c>
      <c r="AP28">
        <v>268.25</v>
      </c>
      <c r="AQ28">
        <v>-1101.4848000000002</v>
      </c>
      <c r="AR28">
        <v>-275.37120000000004</v>
      </c>
      <c r="AS28">
        <v>-835.66610000000037</v>
      </c>
      <c r="AT28">
        <v>0</v>
      </c>
      <c r="AU28">
        <v>2026</v>
      </c>
      <c r="AV28">
        <v>5413.25</v>
      </c>
      <c r="AW28">
        <v>228.07</v>
      </c>
      <c r="AX28">
        <v>4116.5151999999998</v>
      </c>
      <c r="AY28">
        <v>17838.230799999998</v>
      </c>
      <c r="AZ28">
        <v>4116.5151999999998</v>
      </c>
      <c r="BA28">
        <v>17838.230799999998</v>
      </c>
      <c r="BB28">
        <v>5413.25</v>
      </c>
      <c r="BC28">
        <v>3250.5899999999997</v>
      </c>
      <c r="BD28">
        <v>0</v>
      </c>
      <c r="BE28">
        <v>40.18</v>
      </c>
      <c r="BF28">
        <v>-1296.7348000000002</v>
      </c>
      <c r="BG28">
        <v>-324.18370000000004</v>
      </c>
      <c r="BH28">
        <v>-1159.8498000000004</v>
      </c>
      <c r="BI28">
        <v>0</v>
      </c>
      <c r="BJ28">
        <v>2027</v>
      </c>
      <c r="BK28">
        <v>3250.5899999999997</v>
      </c>
      <c r="BL28">
        <v>40.18</v>
      </c>
      <c r="BM28">
        <v>4116.5151999999998</v>
      </c>
      <c r="BN28">
        <v>21954.745999999999</v>
      </c>
      <c r="BO28">
        <v>4116.5151999999998</v>
      </c>
      <c r="BP28">
        <v>21954.745999999999</v>
      </c>
      <c r="BQ28">
        <v>3250.5899999999997</v>
      </c>
      <c r="BR28">
        <v>0</v>
      </c>
      <c r="BS28">
        <v>0</v>
      </c>
      <c r="BT28">
        <v>0</v>
      </c>
      <c r="BU28">
        <v>865.92520000000013</v>
      </c>
      <c r="BV28">
        <v>216.48130000000003</v>
      </c>
      <c r="BW28">
        <v>-943.36850000000038</v>
      </c>
      <c r="BX28">
        <v>0</v>
      </c>
      <c r="BY28">
        <v>2028</v>
      </c>
      <c r="BZ28">
        <v>0</v>
      </c>
      <c r="CA28">
        <v>0</v>
      </c>
      <c r="CB28">
        <v>3773.47</v>
      </c>
      <c r="CC28">
        <v>25728.216</v>
      </c>
      <c r="CD28">
        <v>3773.47</v>
      </c>
      <c r="CE28">
        <v>25728.216</v>
      </c>
      <c r="CF28">
        <v>0</v>
      </c>
      <c r="CG28">
        <v>0</v>
      </c>
      <c r="CH28">
        <v>0</v>
      </c>
      <c r="CI28">
        <v>0</v>
      </c>
      <c r="CJ28">
        <v>3773.47</v>
      </c>
      <c r="CK28">
        <v>943.36749999999995</v>
      </c>
      <c r="CL28">
        <v>-1.0000000004311005E-3</v>
      </c>
      <c r="CM28">
        <v>0</v>
      </c>
      <c r="CN28">
        <v>2029</v>
      </c>
      <c r="CO28">
        <v>0</v>
      </c>
      <c r="CP28">
        <v>0</v>
      </c>
      <c r="CQ28">
        <v>0</v>
      </c>
      <c r="CR28">
        <v>25728.216</v>
      </c>
      <c r="CS28">
        <v>0</v>
      </c>
      <c r="CT28">
        <v>25728.216</v>
      </c>
      <c r="CU28">
        <v>0</v>
      </c>
      <c r="CV28">
        <v>0</v>
      </c>
      <c r="CW28">
        <v>0</v>
      </c>
      <c r="CX28">
        <v>0</v>
      </c>
      <c r="CY28">
        <v>0</v>
      </c>
      <c r="CZ28">
        <v>0</v>
      </c>
      <c r="DA28">
        <v>-1.0000000004311005E-3</v>
      </c>
      <c r="DB28">
        <v>0</v>
      </c>
      <c r="DC28">
        <v>2030</v>
      </c>
      <c r="DD28">
        <v>0</v>
      </c>
      <c r="DE28">
        <v>0</v>
      </c>
      <c r="DF28">
        <v>0</v>
      </c>
      <c r="DG28">
        <v>25728.216</v>
      </c>
      <c r="DH28">
        <v>0</v>
      </c>
      <c r="DI28">
        <v>25728.216</v>
      </c>
      <c r="DJ28">
        <v>0</v>
      </c>
      <c r="DK28">
        <v>0</v>
      </c>
      <c r="DL28">
        <v>0</v>
      </c>
      <c r="DM28">
        <v>0</v>
      </c>
      <c r="DN28">
        <v>0</v>
      </c>
      <c r="DO28">
        <v>0</v>
      </c>
      <c r="DP28">
        <v>-1.0000000004311005E-3</v>
      </c>
      <c r="DQ28">
        <v>0</v>
      </c>
      <c r="DR28">
        <v>2031</v>
      </c>
      <c r="DS28">
        <v>0</v>
      </c>
      <c r="DT28">
        <v>0</v>
      </c>
      <c r="DU28">
        <v>0</v>
      </c>
      <c r="DV28">
        <v>25728.216</v>
      </c>
      <c r="DW28">
        <v>0</v>
      </c>
      <c r="DX28">
        <v>25728.216</v>
      </c>
      <c r="DY28">
        <v>0</v>
      </c>
      <c r="DZ28">
        <v>0</v>
      </c>
      <c r="EA28">
        <v>0</v>
      </c>
      <c r="EB28">
        <v>0</v>
      </c>
      <c r="EC28">
        <v>0</v>
      </c>
      <c r="ED28">
        <v>0</v>
      </c>
      <c r="EE28">
        <v>-1.0000000004311005E-3</v>
      </c>
      <c r="EF28">
        <v>0</v>
      </c>
      <c r="EG28">
        <v>2032</v>
      </c>
      <c r="EH28">
        <v>0</v>
      </c>
      <c r="EI28">
        <v>0</v>
      </c>
      <c r="EJ28">
        <v>0</v>
      </c>
      <c r="EK28">
        <v>25728.216</v>
      </c>
      <c r="EL28">
        <v>0</v>
      </c>
      <c r="EM28">
        <v>25728.216</v>
      </c>
      <c r="EN28">
        <v>0</v>
      </c>
      <c r="EO28">
        <v>0</v>
      </c>
      <c r="EP28">
        <v>0</v>
      </c>
      <c r="EQ28">
        <v>0</v>
      </c>
      <c r="ER28">
        <v>0</v>
      </c>
      <c r="ES28">
        <v>0</v>
      </c>
      <c r="ET28">
        <v>-1.0000000004311005E-3</v>
      </c>
      <c r="EU28">
        <v>0</v>
      </c>
      <c r="EV28">
        <v>2033</v>
      </c>
      <c r="EW28">
        <v>0</v>
      </c>
      <c r="EX28">
        <v>0</v>
      </c>
      <c r="EY28">
        <v>0</v>
      </c>
      <c r="EZ28">
        <v>25728.216</v>
      </c>
      <c r="FA28">
        <v>0</v>
      </c>
      <c r="FB28">
        <v>25728.216</v>
      </c>
      <c r="FC28">
        <v>0</v>
      </c>
      <c r="FD28">
        <v>0</v>
      </c>
      <c r="FE28">
        <v>0</v>
      </c>
      <c r="FF28">
        <v>0</v>
      </c>
      <c r="FG28">
        <v>0</v>
      </c>
      <c r="FH28">
        <v>0</v>
      </c>
      <c r="FI28">
        <v>-1.0000000004311005E-3</v>
      </c>
      <c r="FJ28">
        <v>0</v>
      </c>
      <c r="FK28">
        <v>2034</v>
      </c>
      <c r="FL28">
        <v>0</v>
      </c>
      <c r="FM28">
        <v>0</v>
      </c>
      <c r="FN28">
        <v>0</v>
      </c>
      <c r="FO28">
        <v>25728.216</v>
      </c>
      <c r="FP28">
        <v>0</v>
      </c>
      <c r="FQ28">
        <v>25728.216</v>
      </c>
      <c r="FR28">
        <v>0</v>
      </c>
      <c r="FS28">
        <v>0</v>
      </c>
      <c r="FT28">
        <v>0</v>
      </c>
      <c r="FU28">
        <v>0</v>
      </c>
      <c r="FV28">
        <v>0</v>
      </c>
      <c r="FW28">
        <v>0</v>
      </c>
      <c r="FX28">
        <v>-1.0000000004311005E-3</v>
      </c>
      <c r="FY28">
        <v>0</v>
      </c>
      <c r="FZ28">
        <v>2035</v>
      </c>
      <c r="GA28">
        <v>0</v>
      </c>
      <c r="GB28">
        <v>0</v>
      </c>
      <c r="GC28">
        <v>0</v>
      </c>
      <c r="GD28">
        <v>25728.216</v>
      </c>
      <c r="GE28">
        <v>0</v>
      </c>
      <c r="GF28">
        <v>25728.216</v>
      </c>
      <c r="GG28">
        <v>0</v>
      </c>
      <c r="GH28">
        <v>0</v>
      </c>
      <c r="GI28">
        <v>0</v>
      </c>
      <c r="GJ28">
        <v>0</v>
      </c>
      <c r="GK28">
        <v>0</v>
      </c>
      <c r="GL28">
        <v>0</v>
      </c>
      <c r="GM28">
        <v>-1.0000000004311005E-3</v>
      </c>
      <c r="GN28">
        <v>0</v>
      </c>
      <c r="GO28">
        <v>2036</v>
      </c>
      <c r="GP28">
        <v>0</v>
      </c>
      <c r="GQ28">
        <v>0</v>
      </c>
      <c r="GR28">
        <v>0</v>
      </c>
      <c r="GS28">
        <v>25728.216</v>
      </c>
      <c r="GT28">
        <v>0</v>
      </c>
      <c r="GU28">
        <v>25728.216</v>
      </c>
      <c r="GV28">
        <v>0</v>
      </c>
      <c r="GW28">
        <v>0</v>
      </c>
      <c r="GX28">
        <v>0</v>
      </c>
      <c r="GY28">
        <v>0</v>
      </c>
      <c r="GZ28">
        <v>0</v>
      </c>
      <c r="HA28">
        <v>0</v>
      </c>
      <c r="HB28">
        <v>-1.0000000004311005E-3</v>
      </c>
      <c r="HC28">
        <v>0</v>
      </c>
    </row>
    <row r="29" spans="1:211" customFormat="1">
      <c r="A29">
        <v>1177</v>
      </c>
      <c r="B29" s="528">
        <v>6630</v>
      </c>
      <c r="C29" t="s">
        <v>2001</v>
      </c>
      <c r="D29">
        <v>218</v>
      </c>
      <c r="E29" t="s">
        <v>2002</v>
      </c>
      <c r="F29" t="s">
        <v>2003</v>
      </c>
      <c r="G29" t="s">
        <v>2004</v>
      </c>
      <c r="H29" s="448">
        <v>44854</v>
      </c>
      <c r="I29" s="448">
        <v>47046</v>
      </c>
      <c r="J29">
        <v>18330.580000000002</v>
      </c>
      <c r="K29">
        <v>18330.580000000002</v>
      </c>
      <c r="L29">
        <v>2430.62</v>
      </c>
      <c r="M29">
        <v>20761.2</v>
      </c>
      <c r="N29">
        <v>16</v>
      </c>
      <c r="O29" s="448">
        <v>44926</v>
      </c>
      <c r="P29">
        <v>0</v>
      </c>
      <c r="Q29">
        <v>2024</v>
      </c>
      <c r="R29">
        <v>2844.91</v>
      </c>
      <c r="S29">
        <v>567.89</v>
      </c>
      <c r="T29" s="538">
        <v>2932.8928000000001</v>
      </c>
      <c r="U29" s="538">
        <v>6444.3288372602747</v>
      </c>
      <c r="V29" s="538">
        <v>2932.8928000000001</v>
      </c>
      <c r="W29" s="538">
        <v>6444.3288372602747</v>
      </c>
      <c r="X29" s="538">
        <v>2844.91</v>
      </c>
      <c r="Y29" s="538">
        <v>2968.23</v>
      </c>
      <c r="Z29" s="538">
        <v>9126.880000000001</v>
      </c>
      <c r="AA29" s="538">
        <v>987.29</v>
      </c>
      <c r="AB29" s="538">
        <v>87.982800000000225</v>
      </c>
      <c r="AC29" s="538">
        <v>21.995700000000056</v>
      </c>
      <c r="AD29" s="538">
        <v>52.214709315068603</v>
      </c>
      <c r="AE29">
        <v>0</v>
      </c>
      <c r="AF29">
        <v>2025</v>
      </c>
      <c r="AG29">
        <v>2968.23</v>
      </c>
      <c r="AH29">
        <v>444.57</v>
      </c>
      <c r="AI29">
        <v>2932.8928000000001</v>
      </c>
      <c r="AJ29">
        <v>9377.2216372602743</v>
      </c>
      <c r="AK29">
        <v>2932.8928000000001</v>
      </c>
      <c r="AL29">
        <v>9377.2216372602743</v>
      </c>
      <c r="AM29">
        <v>2968.23</v>
      </c>
      <c r="AN29">
        <v>3096.86</v>
      </c>
      <c r="AO29">
        <v>6030.02</v>
      </c>
      <c r="AP29">
        <v>542.71999999999991</v>
      </c>
      <c r="AQ29">
        <v>-35.337199999999939</v>
      </c>
      <c r="AR29">
        <v>-8.8342999999999847</v>
      </c>
      <c r="AS29">
        <v>43.380409315068619</v>
      </c>
      <c r="AT29">
        <v>0</v>
      </c>
      <c r="AU29">
        <v>2026</v>
      </c>
      <c r="AV29">
        <v>3096.86</v>
      </c>
      <c r="AW29">
        <v>315.94</v>
      </c>
      <c r="AX29">
        <v>2932.8928000000001</v>
      </c>
      <c r="AY29">
        <v>12310.114437260274</v>
      </c>
      <c r="AZ29">
        <v>2932.8928000000001</v>
      </c>
      <c r="BA29">
        <v>12310.114437260274</v>
      </c>
      <c r="BB29">
        <v>3096.86</v>
      </c>
      <c r="BC29">
        <v>3231.07</v>
      </c>
      <c r="BD29">
        <v>2798.9500000000003</v>
      </c>
      <c r="BE29">
        <v>226.77999999999997</v>
      </c>
      <c r="BF29">
        <v>-163.96720000000005</v>
      </c>
      <c r="BG29">
        <v>-40.991800000000012</v>
      </c>
      <c r="BH29">
        <v>2.3886093150686065</v>
      </c>
      <c r="BI29">
        <v>0</v>
      </c>
      <c r="BJ29">
        <v>2027</v>
      </c>
      <c r="BK29">
        <v>3231.07</v>
      </c>
      <c r="BL29">
        <v>181.73</v>
      </c>
      <c r="BM29">
        <v>2932.8928000000001</v>
      </c>
      <c r="BN29">
        <v>15243.007237260274</v>
      </c>
      <c r="BO29">
        <v>2932.8928000000001</v>
      </c>
      <c r="BP29">
        <v>15243.007237260274</v>
      </c>
      <c r="BQ29">
        <v>3231.07</v>
      </c>
      <c r="BR29">
        <v>2798.9500000000003</v>
      </c>
      <c r="BS29">
        <v>0</v>
      </c>
      <c r="BT29">
        <v>45.05</v>
      </c>
      <c r="BU29">
        <v>-298.17720000000008</v>
      </c>
      <c r="BV29">
        <v>-74.544300000000021</v>
      </c>
      <c r="BW29">
        <v>-72.155690684931415</v>
      </c>
      <c r="BX29">
        <v>0</v>
      </c>
      <c r="BY29">
        <v>2028</v>
      </c>
      <c r="BZ29">
        <v>2798.9500000000003</v>
      </c>
      <c r="CA29">
        <v>45.05</v>
      </c>
      <c r="CB29">
        <v>2932.8928000000001</v>
      </c>
      <c r="CC29">
        <v>18175.900037260275</v>
      </c>
      <c r="CD29">
        <v>2932.8928000000001</v>
      </c>
      <c r="CE29">
        <v>18175.900037260275</v>
      </c>
      <c r="CF29">
        <v>2798.9500000000003</v>
      </c>
      <c r="CG29">
        <v>0</v>
      </c>
      <c r="CH29">
        <v>0</v>
      </c>
      <c r="CI29">
        <v>0</v>
      </c>
      <c r="CJ29">
        <v>133.94279999999981</v>
      </c>
      <c r="CK29">
        <v>33.485699999999952</v>
      </c>
      <c r="CL29">
        <v>-38.669990684931463</v>
      </c>
      <c r="CM29">
        <v>0</v>
      </c>
      <c r="CN29">
        <v>2029</v>
      </c>
      <c r="CO29">
        <v>0</v>
      </c>
      <c r="CP29">
        <v>0</v>
      </c>
      <c r="CQ29">
        <v>154.67996273972676</v>
      </c>
      <c r="CR29">
        <v>18330.580000000002</v>
      </c>
      <c r="CS29">
        <v>154.67996273972676</v>
      </c>
      <c r="CT29">
        <v>18330.580000000002</v>
      </c>
      <c r="CU29">
        <v>0</v>
      </c>
      <c r="CV29">
        <v>0</v>
      </c>
      <c r="CW29">
        <v>0</v>
      </c>
      <c r="CX29">
        <v>0</v>
      </c>
      <c r="CY29">
        <v>154.67996273972676</v>
      </c>
      <c r="CZ29">
        <v>38.66999068493169</v>
      </c>
      <c r="DA29">
        <v>2.2737367544323206E-13</v>
      </c>
      <c r="DB29">
        <v>0</v>
      </c>
      <c r="DC29">
        <v>2030</v>
      </c>
      <c r="DD29">
        <v>0</v>
      </c>
      <c r="DE29">
        <v>0</v>
      </c>
      <c r="DF29">
        <v>0</v>
      </c>
      <c r="DG29">
        <v>18330.580000000002</v>
      </c>
      <c r="DH29">
        <v>0</v>
      </c>
      <c r="DI29">
        <v>18330.580000000002</v>
      </c>
      <c r="DJ29">
        <v>0</v>
      </c>
      <c r="DK29">
        <v>0</v>
      </c>
      <c r="DL29">
        <v>0</v>
      </c>
      <c r="DM29">
        <v>0</v>
      </c>
      <c r="DN29">
        <v>0</v>
      </c>
      <c r="DO29">
        <v>0</v>
      </c>
      <c r="DP29">
        <v>2.2737367544323206E-13</v>
      </c>
      <c r="DQ29">
        <v>0</v>
      </c>
      <c r="DR29">
        <v>2031</v>
      </c>
      <c r="DS29">
        <v>0</v>
      </c>
      <c r="DT29">
        <v>0</v>
      </c>
      <c r="DU29">
        <v>0</v>
      </c>
      <c r="DV29">
        <v>18330.580000000002</v>
      </c>
      <c r="DW29">
        <v>0</v>
      </c>
      <c r="DX29">
        <v>18330.580000000002</v>
      </c>
      <c r="DY29">
        <v>0</v>
      </c>
      <c r="DZ29">
        <v>0</v>
      </c>
      <c r="EA29">
        <v>0</v>
      </c>
      <c r="EB29">
        <v>0</v>
      </c>
      <c r="EC29">
        <v>0</v>
      </c>
      <c r="ED29">
        <v>0</v>
      </c>
      <c r="EE29">
        <v>2.2737367544323206E-13</v>
      </c>
      <c r="EF29">
        <v>0</v>
      </c>
      <c r="EG29">
        <v>2032</v>
      </c>
      <c r="EH29">
        <v>0</v>
      </c>
      <c r="EI29">
        <v>0</v>
      </c>
      <c r="EJ29">
        <v>0</v>
      </c>
      <c r="EK29">
        <v>18330.580000000002</v>
      </c>
      <c r="EL29">
        <v>0</v>
      </c>
      <c r="EM29">
        <v>18330.580000000002</v>
      </c>
      <c r="EN29">
        <v>0</v>
      </c>
      <c r="EO29">
        <v>0</v>
      </c>
      <c r="EP29">
        <v>0</v>
      </c>
      <c r="EQ29">
        <v>0</v>
      </c>
      <c r="ER29">
        <v>0</v>
      </c>
      <c r="ES29">
        <v>0</v>
      </c>
      <c r="ET29">
        <v>2.2737367544323206E-13</v>
      </c>
      <c r="EU29">
        <v>0</v>
      </c>
      <c r="EV29">
        <v>2033</v>
      </c>
      <c r="EW29">
        <v>0</v>
      </c>
      <c r="EX29">
        <v>0</v>
      </c>
      <c r="EY29">
        <v>0</v>
      </c>
      <c r="EZ29">
        <v>18330.580000000002</v>
      </c>
      <c r="FA29">
        <v>0</v>
      </c>
      <c r="FB29">
        <v>18330.580000000002</v>
      </c>
      <c r="FC29">
        <v>0</v>
      </c>
      <c r="FD29">
        <v>0</v>
      </c>
      <c r="FE29">
        <v>0</v>
      </c>
      <c r="FF29">
        <v>0</v>
      </c>
      <c r="FG29">
        <v>0</v>
      </c>
      <c r="FH29">
        <v>0</v>
      </c>
      <c r="FI29">
        <v>2.2737367544323206E-13</v>
      </c>
      <c r="FJ29">
        <v>0</v>
      </c>
      <c r="FK29">
        <v>2034</v>
      </c>
      <c r="FL29">
        <v>0</v>
      </c>
      <c r="FM29">
        <v>0</v>
      </c>
      <c r="FN29">
        <v>0</v>
      </c>
      <c r="FO29">
        <v>18330.580000000002</v>
      </c>
      <c r="FP29">
        <v>0</v>
      </c>
      <c r="FQ29">
        <v>18330.580000000002</v>
      </c>
      <c r="FR29">
        <v>0</v>
      </c>
      <c r="FS29">
        <v>0</v>
      </c>
      <c r="FT29">
        <v>0</v>
      </c>
      <c r="FU29">
        <v>0</v>
      </c>
      <c r="FV29">
        <v>0</v>
      </c>
      <c r="FW29">
        <v>0</v>
      </c>
      <c r="FX29">
        <v>2.2737367544323206E-13</v>
      </c>
      <c r="FY29">
        <v>0</v>
      </c>
      <c r="FZ29">
        <v>2035</v>
      </c>
      <c r="GA29">
        <v>0</v>
      </c>
      <c r="GB29">
        <v>0</v>
      </c>
      <c r="GC29">
        <v>0</v>
      </c>
      <c r="GD29">
        <v>18330.580000000002</v>
      </c>
      <c r="GE29">
        <v>0</v>
      </c>
      <c r="GF29">
        <v>18330.580000000002</v>
      </c>
      <c r="GG29">
        <v>0</v>
      </c>
      <c r="GH29">
        <v>0</v>
      </c>
      <c r="GI29">
        <v>0</v>
      </c>
      <c r="GJ29">
        <v>0</v>
      </c>
      <c r="GK29">
        <v>0</v>
      </c>
      <c r="GL29">
        <v>0</v>
      </c>
      <c r="GM29">
        <v>2.2737367544323206E-13</v>
      </c>
      <c r="GN29">
        <v>0</v>
      </c>
      <c r="GO29">
        <v>2036</v>
      </c>
      <c r="GP29">
        <v>0</v>
      </c>
      <c r="GQ29">
        <v>0</v>
      </c>
      <c r="GR29">
        <v>0</v>
      </c>
      <c r="GS29">
        <v>18330.580000000002</v>
      </c>
      <c r="GT29">
        <v>0</v>
      </c>
      <c r="GU29">
        <v>18330.580000000002</v>
      </c>
      <c r="GV29">
        <v>0</v>
      </c>
      <c r="GW29">
        <v>0</v>
      </c>
      <c r="GX29">
        <v>0</v>
      </c>
      <c r="GY29">
        <v>0</v>
      </c>
      <c r="GZ29">
        <v>0</v>
      </c>
      <c r="HA29">
        <v>0</v>
      </c>
      <c r="HB29">
        <v>2.2737367544323206E-13</v>
      </c>
      <c r="HC29">
        <v>0</v>
      </c>
    </row>
    <row r="30" spans="1:211" customFormat="1">
      <c r="A30">
        <v>1159</v>
      </c>
      <c r="B30" s="528">
        <v>20268</v>
      </c>
      <c r="C30" t="s">
        <v>1880</v>
      </c>
      <c r="D30">
        <v>21300000</v>
      </c>
      <c r="E30" t="s">
        <v>1755</v>
      </c>
      <c r="F30" t="s">
        <v>1773</v>
      </c>
      <c r="G30" t="s">
        <v>896</v>
      </c>
      <c r="H30" s="448">
        <v>43437</v>
      </c>
      <c r="I30" s="448">
        <v>45233</v>
      </c>
      <c r="J30">
        <v>145000</v>
      </c>
      <c r="K30">
        <v>142544.03</v>
      </c>
      <c r="L30">
        <v>4759.88</v>
      </c>
      <c r="M30">
        <v>147303.91</v>
      </c>
      <c r="N30">
        <v>12</v>
      </c>
      <c r="O30" s="448">
        <v>43465</v>
      </c>
      <c r="P30">
        <v>0</v>
      </c>
      <c r="Q30">
        <v>2024</v>
      </c>
      <c r="R30">
        <v>0</v>
      </c>
      <c r="S30">
        <v>0</v>
      </c>
      <c r="T30" s="538">
        <v>17400</v>
      </c>
      <c r="U30" s="538">
        <v>105734.79452054795</v>
      </c>
      <c r="V30" s="538">
        <v>17400</v>
      </c>
      <c r="W30" s="538">
        <v>105734.79452054795</v>
      </c>
      <c r="X30" s="538">
        <v>0</v>
      </c>
      <c r="Y30" s="538">
        <v>0</v>
      </c>
      <c r="Z30" s="538">
        <v>0</v>
      </c>
      <c r="AA30" s="538">
        <v>0</v>
      </c>
      <c r="AB30" s="538">
        <v>17400</v>
      </c>
      <c r="AC30" s="538">
        <v>4350</v>
      </c>
      <c r="AD30" s="538">
        <v>-9816.301369863013</v>
      </c>
      <c r="AE30">
        <v>0</v>
      </c>
      <c r="AF30">
        <v>2025</v>
      </c>
      <c r="AG30">
        <v>0</v>
      </c>
      <c r="AH30">
        <v>0</v>
      </c>
      <c r="AI30">
        <v>17400</v>
      </c>
      <c r="AJ30">
        <v>123134.79452054795</v>
      </c>
      <c r="AK30">
        <v>17400</v>
      </c>
      <c r="AL30">
        <v>123134.79452054795</v>
      </c>
      <c r="AM30">
        <v>0</v>
      </c>
      <c r="AN30">
        <v>0</v>
      </c>
      <c r="AO30">
        <v>0</v>
      </c>
      <c r="AP30">
        <v>0</v>
      </c>
      <c r="AQ30">
        <v>17400</v>
      </c>
      <c r="AR30">
        <v>4350</v>
      </c>
      <c r="AS30">
        <v>-5466.301369863013</v>
      </c>
      <c r="AT30">
        <v>0</v>
      </c>
      <c r="AU30">
        <v>2026</v>
      </c>
      <c r="AV30">
        <v>0</v>
      </c>
      <c r="AW30">
        <v>0</v>
      </c>
      <c r="AX30">
        <v>17400</v>
      </c>
      <c r="AY30">
        <v>140534.79452054796</v>
      </c>
      <c r="AZ30">
        <v>17400</v>
      </c>
      <c r="BA30">
        <v>140534.79452054796</v>
      </c>
      <c r="BB30">
        <v>0</v>
      </c>
      <c r="BC30">
        <v>0</v>
      </c>
      <c r="BD30">
        <v>0</v>
      </c>
      <c r="BE30">
        <v>0</v>
      </c>
      <c r="BF30">
        <v>17400</v>
      </c>
      <c r="BG30">
        <v>4350</v>
      </c>
      <c r="BH30">
        <v>-1116.301369863013</v>
      </c>
      <c r="BI30">
        <v>0</v>
      </c>
      <c r="BJ30">
        <v>2027</v>
      </c>
      <c r="BK30">
        <v>0</v>
      </c>
      <c r="BL30">
        <v>0</v>
      </c>
      <c r="BM30">
        <v>4465.2054794520373</v>
      </c>
      <c r="BN30">
        <v>145000</v>
      </c>
      <c r="BO30">
        <v>4465.2054794520373</v>
      </c>
      <c r="BP30">
        <v>145000</v>
      </c>
      <c r="BQ30">
        <v>0</v>
      </c>
      <c r="BR30">
        <v>0</v>
      </c>
      <c r="BS30">
        <v>0</v>
      </c>
      <c r="BT30">
        <v>0</v>
      </c>
      <c r="BU30">
        <v>4465.2054794520373</v>
      </c>
      <c r="BV30">
        <v>1116.3013698630093</v>
      </c>
      <c r="BW30">
        <v>-3.637978807091713E-12</v>
      </c>
      <c r="BX30">
        <v>0</v>
      </c>
      <c r="BY30">
        <v>2028</v>
      </c>
      <c r="BZ30">
        <v>0</v>
      </c>
      <c r="CA30">
        <v>0</v>
      </c>
      <c r="CB30">
        <v>0</v>
      </c>
      <c r="CC30">
        <v>145000</v>
      </c>
      <c r="CD30">
        <v>0</v>
      </c>
      <c r="CE30">
        <v>145000</v>
      </c>
      <c r="CF30">
        <v>0</v>
      </c>
      <c r="CG30">
        <v>0</v>
      </c>
      <c r="CH30">
        <v>0</v>
      </c>
      <c r="CI30">
        <v>0</v>
      </c>
      <c r="CJ30">
        <v>0</v>
      </c>
      <c r="CK30">
        <v>0</v>
      </c>
      <c r="CL30">
        <v>-3.637978807091713E-12</v>
      </c>
      <c r="CM30">
        <v>0</v>
      </c>
      <c r="CN30">
        <v>2029</v>
      </c>
      <c r="CO30">
        <v>0</v>
      </c>
      <c r="CP30">
        <v>0</v>
      </c>
      <c r="CQ30">
        <v>0</v>
      </c>
      <c r="CR30">
        <v>145000</v>
      </c>
      <c r="CS30">
        <v>0</v>
      </c>
      <c r="CT30">
        <v>145000</v>
      </c>
      <c r="CU30">
        <v>0</v>
      </c>
      <c r="CV30">
        <v>0</v>
      </c>
      <c r="CW30">
        <v>0</v>
      </c>
      <c r="CX30">
        <v>0</v>
      </c>
      <c r="CY30">
        <v>0</v>
      </c>
      <c r="CZ30">
        <v>0</v>
      </c>
      <c r="DA30">
        <v>-3.637978807091713E-12</v>
      </c>
      <c r="DB30">
        <v>0</v>
      </c>
      <c r="DC30">
        <v>2030</v>
      </c>
      <c r="DD30">
        <v>0</v>
      </c>
      <c r="DE30">
        <v>0</v>
      </c>
      <c r="DF30">
        <v>0</v>
      </c>
      <c r="DG30">
        <v>145000</v>
      </c>
      <c r="DH30">
        <v>0</v>
      </c>
      <c r="DI30">
        <v>145000</v>
      </c>
      <c r="DJ30">
        <v>0</v>
      </c>
      <c r="DK30">
        <v>0</v>
      </c>
      <c r="DL30">
        <v>0</v>
      </c>
      <c r="DM30">
        <v>0</v>
      </c>
      <c r="DN30">
        <v>0</v>
      </c>
      <c r="DO30">
        <v>0</v>
      </c>
      <c r="DP30">
        <v>-3.637978807091713E-12</v>
      </c>
      <c r="DQ30">
        <v>0</v>
      </c>
      <c r="DR30">
        <v>2031</v>
      </c>
      <c r="DS30">
        <v>0</v>
      </c>
      <c r="DT30">
        <v>0</v>
      </c>
      <c r="DU30">
        <v>0</v>
      </c>
      <c r="DV30">
        <v>145000</v>
      </c>
      <c r="DW30">
        <v>0</v>
      </c>
      <c r="DX30">
        <v>145000</v>
      </c>
      <c r="DY30">
        <v>0</v>
      </c>
      <c r="DZ30">
        <v>0</v>
      </c>
      <c r="EA30">
        <v>0</v>
      </c>
      <c r="EB30">
        <v>0</v>
      </c>
      <c r="EC30">
        <v>0</v>
      </c>
      <c r="ED30">
        <v>0</v>
      </c>
      <c r="EE30">
        <v>-3.637978807091713E-12</v>
      </c>
      <c r="EF30">
        <v>0</v>
      </c>
      <c r="EG30">
        <v>2032</v>
      </c>
      <c r="EH30">
        <v>0</v>
      </c>
      <c r="EI30">
        <v>0</v>
      </c>
      <c r="EJ30">
        <v>0</v>
      </c>
      <c r="EK30">
        <v>145000</v>
      </c>
      <c r="EL30">
        <v>0</v>
      </c>
      <c r="EM30">
        <v>145000</v>
      </c>
      <c r="EN30">
        <v>0</v>
      </c>
      <c r="EO30">
        <v>0</v>
      </c>
      <c r="EP30">
        <v>0</v>
      </c>
      <c r="EQ30">
        <v>0</v>
      </c>
      <c r="ER30">
        <v>0</v>
      </c>
      <c r="ES30">
        <v>0</v>
      </c>
      <c r="ET30">
        <v>-3.637978807091713E-12</v>
      </c>
      <c r="EU30">
        <v>0</v>
      </c>
    </row>
    <row r="31" spans="1:211" customFormat="1">
      <c r="B31" s="527"/>
      <c r="C31" s="136"/>
      <c r="E31" s="136"/>
      <c r="T31" s="539"/>
      <c r="U31" s="538"/>
      <c r="V31" s="538"/>
      <c r="W31" s="538"/>
      <c r="X31" s="539"/>
      <c r="Y31" s="539"/>
      <c r="Z31" s="539"/>
      <c r="AA31" s="538"/>
      <c r="AB31" s="539"/>
      <c r="AC31" s="539"/>
      <c r="AD31" s="539"/>
    </row>
    <row r="32" spans="1:211" customFormat="1">
      <c r="B32" s="527"/>
      <c r="C32" s="136"/>
      <c r="E32" s="136"/>
      <c r="T32" s="539"/>
      <c r="U32" s="538"/>
      <c r="V32" s="538"/>
      <c r="W32" s="538"/>
      <c r="X32" s="539"/>
      <c r="Y32" s="539"/>
      <c r="Z32" s="539"/>
      <c r="AA32" s="538"/>
      <c r="AB32" s="539"/>
      <c r="AC32" s="539"/>
      <c r="AD32" s="539"/>
    </row>
    <row r="33" spans="2:30" customFormat="1">
      <c r="B33" s="527"/>
      <c r="C33" s="136"/>
      <c r="E33" s="136"/>
      <c r="T33" s="539"/>
      <c r="U33" s="538"/>
      <c r="V33" s="538"/>
      <c r="W33" s="538"/>
      <c r="X33" s="539"/>
      <c r="Y33" s="539"/>
      <c r="Z33" s="539"/>
      <c r="AA33" s="538"/>
      <c r="AB33" s="539"/>
      <c r="AC33" s="539"/>
      <c r="AD33" s="539"/>
    </row>
    <row r="34" spans="2:30" customFormat="1">
      <c r="B34" s="527"/>
      <c r="C34" s="136"/>
      <c r="E34" s="136"/>
      <c r="T34" s="539"/>
      <c r="U34" s="538"/>
      <c r="V34" s="538"/>
      <c r="W34" s="538"/>
      <c r="X34" s="539"/>
      <c r="Y34" s="539"/>
      <c r="Z34" s="539"/>
      <c r="AA34" s="538"/>
      <c r="AB34" s="539"/>
      <c r="AC34" s="539"/>
      <c r="AD34" s="539"/>
    </row>
    <row r="35" spans="2:30" customFormat="1">
      <c r="B35" s="527"/>
      <c r="C35" s="136"/>
      <c r="E35" s="136"/>
      <c r="T35" s="539"/>
      <c r="U35" s="538"/>
      <c r="V35" s="538"/>
      <c r="W35" s="538"/>
      <c r="X35" s="539"/>
      <c r="Y35" s="539"/>
      <c r="Z35" s="539"/>
      <c r="AA35" s="538"/>
      <c r="AB35" s="539"/>
      <c r="AC35" s="539"/>
      <c r="AD35" s="539"/>
    </row>
    <row r="36" spans="2:30" customFormat="1">
      <c r="B36" s="527"/>
      <c r="C36" s="136"/>
      <c r="E36" s="136"/>
      <c r="T36" s="539"/>
      <c r="U36" s="538"/>
      <c r="V36" s="538"/>
      <c r="W36" s="538"/>
      <c r="X36" s="539"/>
      <c r="Y36" s="539"/>
      <c r="Z36" s="539"/>
      <c r="AA36" s="538"/>
      <c r="AB36" s="539"/>
      <c r="AC36" s="539"/>
      <c r="AD36" s="539"/>
    </row>
    <row r="37" spans="2:30" customFormat="1">
      <c r="B37" s="527"/>
      <c r="C37" s="136"/>
      <c r="E37" s="136"/>
      <c r="T37" s="539"/>
      <c r="U37" s="538"/>
      <c r="V37" s="538"/>
      <c r="W37" s="538"/>
      <c r="X37" s="539"/>
      <c r="Y37" s="539"/>
      <c r="Z37" s="539"/>
      <c r="AA37" s="538"/>
      <c r="AB37" s="539"/>
      <c r="AC37" s="539"/>
      <c r="AD37" s="539"/>
    </row>
    <row r="38" spans="2:30" customFormat="1">
      <c r="B38" s="527"/>
      <c r="C38" s="136"/>
      <c r="E38" s="136"/>
      <c r="T38" s="539"/>
      <c r="U38" s="538"/>
      <c r="V38" s="538"/>
      <c r="W38" s="538"/>
      <c r="X38" s="539"/>
      <c r="Y38" s="539"/>
      <c r="Z38" s="539"/>
      <c r="AA38" s="538"/>
      <c r="AB38" s="539"/>
      <c r="AC38" s="539"/>
      <c r="AD38" s="539"/>
    </row>
    <row r="39" spans="2:30" customFormat="1">
      <c r="B39" s="527"/>
      <c r="C39" s="136"/>
      <c r="E39" s="136"/>
      <c r="T39" s="539"/>
      <c r="U39" s="538"/>
      <c r="V39" s="538"/>
      <c r="W39" s="538"/>
      <c r="X39" s="539"/>
      <c r="Y39" s="539"/>
      <c r="Z39" s="539"/>
      <c r="AA39" s="538"/>
      <c r="AB39" s="539"/>
      <c r="AC39" s="539"/>
      <c r="AD39" s="539"/>
    </row>
    <row r="40" spans="2:30" customFormat="1">
      <c r="B40" s="527"/>
      <c r="C40" s="136"/>
      <c r="E40" s="136"/>
      <c r="T40" s="539"/>
      <c r="U40" s="538"/>
      <c r="V40" s="538"/>
      <c r="W40" s="538"/>
      <c r="X40" s="539"/>
      <c r="Y40" s="539"/>
      <c r="Z40" s="539"/>
      <c r="AA40" s="538"/>
      <c r="AB40" s="539"/>
      <c r="AC40" s="539"/>
      <c r="AD40" s="539"/>
    </row>
    <row r="41" spans="2:30" customFormat="1">
      <c r="B41" s="527"/>
      <c r="C41" s="136"/>
      <c r="E41" s="136"/>
      <c r="T41" s="539"/>
      <c r="U41" s="538"/>
      <c r="V41" s="538"/>
      <c r="W41" s="538"/>
      <c r="X41" s="539"/>
      <c r="Y41" s="539"/>
      <c r="Z41" s="539"/>
      <c r="AA41" s="538"/>
      <c r="AB41" s="539"/>
      <c r="AC41" s="539"/>
      <c r="AD41" s="539"/>
    </row>
    <row r="42" spans="2:30" customFormat="1">
      <c r="B42" s="527"/>
      <c r="C42" s="136"/>
      <c r="E42" s="136"/>
      <c r="T42" s="539"/>
      <c r="U42" s="538"/>
      <c r="V42" s="538"/>
      <c r="W42" s="538"/>
      <c r="X42" s="539"/>
      <c r="Y42" s="539"/>
      <c r="Z42" s="539"/>
      <c r="AA42" s="538"/>
      <c r="AB42" s="539"/>
      <c r="AC42" s="539"/>
      <c r="AD42" s="539"/>
    </row>
    <row r="43" spans="2:30" customFormat="1">
      <c r="B43" s="527"/>
      <c r="C43" s="136"/>
      <c r="E43" s="136"/>
      <c r="T43" s="539"/>
      <c r="U43" s="538"/>
      <c r="V43" s="538"/>
      <c r="W43" s="538"/>
      <c r="X43" s="539"/>
      <c r="Y43" s="539"/>
      <c r="Z43" s="539"/>
      <c r="AA43" s="538"/>
      <c r="AB43" s="539"/>
      <c r="AC43" s="539"/>
      <c r="AD43" s="539"/>
    </row>
    <row r="44" spans="2:30" customFormat="1">
      <c r="B44" s="527"/>
      <c r="C44" s="136"/>
      <c r="E44" s="136"/>
      <c r="T44" s="539"/>
      <c r="U44" s="538"/>
      <c r="V44" s="538"/>
      <c r="W44" s="538"/>
      <c r="X44" s="539"/>
      <c r="Y44" s="539"/>
      <c r="Z44" s="539"/>
      <c r="AA44" s="538"/>
      <c r="AB44" s="539"/>
      <c r="AC44" s="539"/>
      <c r="AD44" s="539"/>
    </row>
    <row r="45" spans="2:30" customFormat="1">
      <c r="B45" s="527"/>
      <c r="C45" s="136"/>
      <c r="E45" s="136"/>
      <c r="T45" s="539"/>
      <c r="U45" s="538"/>
      <c r="V45" s="538"/>
      <c r="W45" s="538"/>
      <c r="X45" s="539"/>
      <c r="Y45" s="539"/>
      <c r="Z45" s="539"/>
      <c r="AA45" s="538"/>
      <c r="AB45" s="539"/>
      <c r="AC45" s="539"/>
      <c r="AD45" s="539"/>
    </row>
    <row r="46" spans="2:30" customFormat="1">
      <c r="B46" s="527"/>
      <c r="C46" s="136"/>
      <c r="E46" s="136"/>
      <c r="T46" s="539"/>
      <c r="U46" s="538"/>
      <c r="V46" s="538"/>
      <c r="W46" s="538"/>
      <c r="X46" s="539"/>
      <c r="Y46" s="539"/>
      <c r="Z46" s="539"/>
      <c r="AA46" s="538"/>
      <c r="AB46" s="539"/>
      <c r="AC46" s="539"/>
      <c r="AD46" s="539"/>
    </row>
    <row r="47" spans="2:30" customFormat="1">
      <c r="B47" s="527"/>
      <c r="C47" s="136"/>
      <c r="E47" s="136"/>
      <c r="T47" s="539"/>
      <c r="U47" s="538"/>
      <c r="V47" s="538"/>
      <c r="W47" s="538"/>
      <c r="X47" s="539"/>
      <c r="Y47" s="539"/>
      <c r="Z47" s="539"/>
      <c r="AA47" s="538"/>
      <c r="AB47" s="539"/>
      <c r="AC47" s="539"/>
      <c r="AD47" s="539"/>
    </row>
    <row r="48" spans="2:30" customFormat="1">
      <c r="B48" s="527"/>
      <c r="C48" s="136"/>
      <c r="E48" s="136"/>
      <c r="T48" s="539"/>
      <c r="U48" s="538"/>
      <c r="V48" s="538"/>
      <c r="W48" s="538"/>
      <c r="X48" s="539"/>
      <c r="Y48" s="539"/>
      <c r="Z48" s="539"/>
      <c r="AA48" s="538"/>
      <c r="AB48" s="539"/>
      <c r="AC48" s="539"/>
      <c r="AD48" s="539"/>
    </row>
    <row r="49" spans="2:30" customFormat="1">
      <c r="B49" s="527"/>
      <c r="C49" s="136"/>
      <c r="E49" s="136"/>
      <c r="T49" s="539"/>
      <c r="U49" s="538"/>
      <c r="V49" s="538"/>
      <c r="W49" s="538"/>
      <c r="X49" s="539"/>
      <c r="Y49" s="539"/>
      <c r="Z49" s="539"/>
      <c r="AA49" s="538"/>
      <c r="AB49" s="539"/>
      <c r="AC49" s="539"/>
      <c r="AD49" s="539"/>
    </row>
    <row r="50" spans="2:30" customFormat="1">
      <c r="B50" s="527"/>
      <c r="C50" s="136"/>
      <c r="E50" s="136"/>
      <c r="T50" s="539"/>
      <c r="U50" s="538"/>
      <c r="V50" s="538"/>
      <c r="W50" s="538"/>
      <c r="X50" s="539"/>
      <c r="Y50" s="539"/>
      <c r="Z50" s="539"/>
      <c r="AA50" s="538"/>
      <c r="AB50" s="539"/>
      <c r="AC50" s="539"/>
      <c r="AD50" s="539"/>
    </row>
    <row r="51" spans="2:30" customFormat="1">
      <c r="B51" s="527"/>
      <c r="C51" s="136"/>
      <c r="E51" s="136"/>
      <c r="T51" s="539"/>
      <c r="U51" s="538"/>
      <c r="V51" s="538"/>
      <c r="W51" s="538"/>
      <c r="X51" s="539"/>
      <c r="Y51" s="539"/>
      <c r="Z51" s="539"/>
      <c r="AA51" s="538"/>
      <c r="AB51" s="539"/>
      <c r="AC51" s="539"/>
      <c r="AD51" s="539"/>
    </row>
    <row r="52" spans="2:30" customFormat="1">
      <c r="B52" s="527"/>
      <c r="C52" s="136"/>
      <c r="E52" s="136"/>
      <c r="T52" s="539"/>
      <c r="U52" s="538"/>
      <c r="V52" s="538"/>
      <c r="W52" s="538"/>
      <c r="X52" s="539"/>
      <c r="Y52" s="539"/>
      <c r="Z52" s="539"/>
      <c r="AA52" s="538"/>
      <c r="AB52" s="539"/>
      <c r="AC52" s="539"/>
      <c r="AD52" s="539"/>
    </row>
    <row r="53" spans="2:30" customFormat="1">
      <c r="B53" s="527"/>
      <c r="C53" s="136"/>
      <c r="E53" s="136"/>
      <c r="T53" s="539"/>
      <c r="U53" s="538"/>
      <c r="V53" s="538"/>
      <c r="W53" s="538"/>
      <c r="X53" s="539"/>
      <c r="Y53" s="539"/>
      <c r="Z53" s="539"/>
      <c r="AA53" s="538"/>
      <c r="AB53" s="539"/>
      <c r="AC53" s="539"/>
      <c r="AD53" s="539"/>
    </row>
    <row r="54" spans="2:30" customFormat="1">
      <c r="B54" s="527"/>
      <c r="C54" s="136"/>
      <c r="E54" s="136"/>
      <c r="T54" s="539"/>
      <c r="U54" s="538"/>
      <c r="V54" s="538"/>
      <c r="W54" s="538"/>
      <c r="X54" s="539"/>
      <c r="Y54" s="539"/>
      <c r="Z54" s="539"/>
      <c r="AA54" s="538"/>
      <c r="AB54" s="539"/>
      <c r="AC54" s="539"/>
      <c r="AD54" s="539"/>
    </row>
    <row r="55" spans="2:30" customFormat="1">
      <c r="B55" s="527"/>
      <c r="C55" s="136"/>
      <c r="E55" s="136"/>
      <c r="T55" s="539"/>
      <c r="U55" s="538"/>
      <c r="V55" s="538"/>
      <c r="W55" s="538"/>
      <c r="X55" s="539"/>
      <c r="Y55" s="539"/>
      <c r="Z55" s="539"/>
      <c r="AA55" s="538"/>
      <c r="AB55" s="539"/>
      <c r="AC55" s="539"/>
      <c r="AD55" s="539"/>
    </row>
    <row r="56" spans="2:30" customFormat="1">
      <c r="B56" s="527"/>
      <c r="C56" s="136"/>
      <c r="E56" s="136"/>
      <c r="T56" s="539"/>
      <c r="U56" s="538"/>
      <c r="V56" s="538"/>
      <c r="W56" s="538"/>
      <c r="X56" s="539"/>
      <c r="Y56" s="539"/>
      <c r="Z56" s="539"/>
      <c r="AA56" s="538"/>
      <c r="AB56" s="539"/>
      <c r="AC56" s="539"/>
      <c r="AD56" s="539"/>
    </row>
    <row r="57" spans="2:30" customFormat="1">
      <c r="B57" s="527"/>
      <c r="C57" s="136"/>
      <c r="E57" s="136"/>
      <c r="T57" s="539"/>
      <c r="U57" s="538"/>
      <c r="V57" s="538"/>
      <c r="W57" s="538"/>
      <c r="X57" s="539"/>
      <c r="Y57" s="539"/>
      <c r="Z57" s="539"/>
      <c r="AA57" s="538"/>
      <c r="AB57" s="539"/>
      <c r="AC57" s="539"/>
      <c r="AD57" s="539"/>
    </row>
    <row r="58" spans="2:30" customFormat="1">
      <c r="B58" s="527"/>
      <c r="C58" s="136"/>
      <c r="E58" s="136"/>
      <c r="T58" s="539"/>
      <c r="U58" s="538"/>
      <c r="V58" s="538"/>
      <c r="W58" s="538"/>
      <c r="X58" s="539"/>
      <c r="Y58" s="539"/>
      <c r="Z58" s="539"/>
      <c r="AA58" s="538"/>
      <c r="AB58" s="539"/>
      <c r="AC58" s="539"/>
      <c r="AD58" s="539"/>
    </row>
    <row r="59" spans="2:30" customFormat="1">
      <c r="B59" s="527"/>
      <c r="C59" s="136"/>
      <c r="E59" s="136"/>
      <c r="T59" s="539"/>
      <c r="U59" s="538"/>
      <c r="V59" s="538"/>
      <c r="W59" s="538"/>
      <c r="X59" s="539"/>
      <c r="Y59" s="539"/>
      <c r="Z59" s="539"/>
      <c r="AA59" s="538"/>
      <c r="AB59" s="539"/>
      <c r="AC59" s="539"/>
      <c r="AD59" s="539"/>
    </row>
    <row r="60" spans="2:30" customFormat="1">
      <c r="B60" s="527"/>
      <c r="C60" s="136"/>
      <c r="E60" s="136"/>
      <c r="T60" s="539"/>
      <c r="U60" s="538"/>
      <c r="V60" s="538"/>
      <c r="W60" s="538"/>
      <c r="X60" s="539"/>
      <c r="Y60" s="539"/>
      <c r="Z60" s="539"/>
      <c r="AA60" s="538"/>
      <c r="AB60" s="539"/>
      <c r="AC60" s="539"/>
      <c r="AD60" s="539"/>
    </row>
    <row r="61" spans="2:30" customFormat="1">
      <c r="B61" s="527"/>
      <c r="C61" s="136"/>
      <c r="E61" s="136"/>
      <c r="T61" s="539"/>
      <c r="U61" s="538"/>
      <c r="V61" s="538"/>
      <c r="W61" s="538"/>
      <c r="X61" s="539"/>
      <c r="Y61" s="539"/>
      <c r="Z61" s="539"/>
      <c r="AA61" s="538"/>
      <c r="AB61" s="539"/>
      <c r="AC61" s="539"/>
      <c r="AD61" s="539"/>
    </row>
    <row r="62" spans="2:30" customFormat="1">
      <c r="B62" s="527"/>
      <c r="C62" s="136"/>
      <c r="E62" s="136"/>
      <c r="T62" s="539"/>
      <c r="U62" s="538"/>
      <c r="V62" s="538"/>
      <c r="W62" s="538"/>
      <c r="X62" s="539"/>
      <c r="Y62" s="539"/>
      <c r="Z62" s="539"/>
      <c r="AA62" s="538"/>
      <c r="AB62" s="539"/>
      <c r="AC62" s="539"/>
      <c r="AD62" s="539"/>
    </row>
    <row r="63" spans="2:30" customFormat="1">
      <c r="B63" s="527"/>
      <c r="C63" s="136"/>
      <c r="E63" s="136"/>
      <c r="T63" s="539"/>
      <c r="U63" s="538"/>
      <c r="V63" s="538"/>
      <c r="W63" s="538"/>
      <c r="X63" s="539"/>
      <c r="Y63" s="539"/>
      <c r="Z63" s="539"/>
      <c r="AA63" s="538"/>
      <c r="AB63" s="539"/>
      <c r="AC63" s="539"/>
      <c r="AD63" s="539"/>
    </row>
    <row r="64" spans="2:30" customFormat="1">
      <c r="B64" s="527"/>
      <c r="C64" s="136"/>
      <c r="E64" s="136"/>
      <c r="T64" s="539"/>
      <c r="U64" s="538"/>
      <c r="V64" s="538"/>
      <c r="W64" s="538"/>
      <c r="X64" s="539"/>
      <c r="Y64" s="539"/>
      <c r="Z64" s="539"/>
      <c r="AA64" s="538"/>
      <c r="AB64" s="539"/>
      <c r="AC64" s="539"/>
      <c r="AD64" s="539"/>
    </row>
    <row r="65" spans="2:30" customFormat="1">
      <c r="B65" s="527"/>
      <c r="C65" s="136"/>
      <c r="E65" s="136"/>
      <c r="T65" s="539"/>
      <c r="U65" s="538"/>
      <c r="V65" s="538"/>
      <c r="W65" s="538"/>
      <c r="X65" s="539"/>
      <c r="Y65" s="539"/>
      <c r="Z65" s="539"/>
      <c r="AA65" s="538"/>
      <c r="AB65" s="539"/>
      <c r="AC65" s="539"/>
      <c r="AD65" s="539"/>
    </row>
    <row r="66" spans="2:30" customFormat="1">
      <c r="B66" s="527"/>
      <c r="C66" s="136"/>
      <c r="E66" s="136"/>
      <c r="T66" s="539"/>
      <c r="U66" s="538"/>
      <c r="V66" s="538"/>
      <c r="W66" s="538"/>
      <c r="X66" s="539"/>
      <c r="Y66" s="539"/>
      <c r="Z66" s="539"/>
      <c r="AA66" s="538"/>
      <c r="AB66" s="539"/>
      <c r="AC66" s="539"/>
      <c r="AD66" s="539"/>
    </row>
    <row r="67" spans="2:30" customFormat="1">
      <c r="B67" s="527"/>
      <c r="C67" s="136"/>
      <c r="E67" s="136"/>
      <c r="T67" s="539"/>
      <c r="U67" s="538"/>
      <c r="V67" s="538"/>
      <c r="W67" s="538"/>
      <c r="X67" s="539"/>
      <c r="Y67" s="539"/>
      <c r="Z67" s="539"/>
      <c r="AA67" s="538"/>
      <c r="AB67" s="539"/>
      <c r="AC67" s="539"/>
      <c r="AD67" s="539"/>
    </row>
    <row r="68" spans="2:30" customFormat="1">
      <c r="B68" s="527"/>
      <c r="C68" s="136"/>
      <c r="E68" s="136"/>
      <c r="T68" s="539"/>
      <c r="U68" s="538"/>
      <c r="V68" s="538"/>
      <c r="W68" s="538"/>
      <c r="X68" s="539"/>
      <c r="Y68" s="539"/>
      <c r="Z68" s="539"/>
      <c r="AA68" s="538"/>
      <c r="AB68" s="539"/>
      <c r="AC68" s="539"/>
      <c r="AD68" s="539"/>
    </row>
    <row r="69" spans="2:30" customFormat="1">
      <c r="B69" s="527"/>
      <c r="C69" s="136"/>
      <c r="E69" s="136"/>
      <c r="T69" s="539"/>
      <c r="U69" s="538"/>
      <c r="V69" s="538"/>
      <c r="W69" s="538"/>
      <c r="X69" s="539"/>
      <c r="Y69" s="539"/>
      <c r="Z69" s="539"/>
      <c r="AA69" s="538"/>
      <c r="AB69" s="539"/>
      <c r="AC69" s="539"/>
      <c r="AD69" s="539"/>
    </row>
    <row r="70" spans="2:30" customFormat="1">
      <c r="B70" s="527"/>
      <c r="C70" s="136"/>
      <c r="E70" s="136"/>
      <c r="T70" s="539"/>
      <c r="U70" s="538"/>
      <c r="V70" s="538"/>
      <c r="W70" s="538"/>
      <c r="X70" s="539"/>
      <c r="Y70" s="539"/>
      <c r="Z70" s="539"/>
      <c r="AA70" s="538"/>
      <c r="AB70" s="539"/>
      <c r="AC70" s="539"/>
      <c r="AD70" s="539"/>
    </row>
    <row r="71" spans="2:30" customFormat="1">
      <c r="B71" s="527"/>
      <c r="C71" s="136"/>
      <c r="E71" s="136"/>
      <c r="T71" s="539"/>
      <c r="U71" s="538"/>
      <c r="V71" s="538"/>
      <c r="W71" s="538"/>
      <c r="X71" s="539"/>
      <c r="Y71" s="539"/>
      <c r="Z71" s="539"/>
      <c r="AA71" s="538"/>
      <c r="AB71" s="539"/>
      <c r="AC71" s="539"/>
      <c r="AD71" s="539"/>
    </row>
    <row r="72" spans="2:30" customFormat="1">
      <c r="B72" s="527"/>
      <c r="C72" s="136"/>
      <c r="E72" s="136"/>
      <c r="T72" s="539"/>
      <c r="U72" s="538"/>
      <c r="V72" s="538"/>
      <c r="W72" s="538"/>
      <c r="X72" s="539"/>
      <c r="Y72" s="539"/>
      <c r="Z72" s="539"/>
      <c r="AA72" s="538"/>
      <c r="AB72" s="539"/>
      <c r="AC72" s="539"/>
      <c r="AD72" s="539"/>
    </row>
    <row r="73" spans="2:30" customFormat="1">
      <c r="B73" s="527"/>
      <c r="C73" s="136"/>
      <c r="E73" s="136"/>
      <c r="T73" s="539"/>
      <c r="U73" s="538"/>
      <c r="V73" s="538"/>
      <c r="W73" s="538"/>
      <c r="X73" s="539"/>
      <c r="Y73" s="539"/>
      <c r="Z73" s="539"/>
      <c r="AA73" s="538"/>
      <c r="AB73" s="539"/>
      <c r="AC73" s="539"/>
      <c r="AD73" s="539"/>
    </row>
    <row r="74" spans="2:30" customFormat="1">
      <c r="B74" s="527"/>
      <c r="C74" s="136"/>
      <c r="E74" s="136"/>
      <c r="T74" s="539"/>
      <c r="U74" s="538"/>
      <c r="V74" s="538"/>
      <c r="W74" s="538"/>
      <c r="X74" s="539"/>
      <c r="Y74" s="539"/>
      <c r="Z74" s="539"/>
      <c r="AA74" s="538"/>
      <c r="AB74" s="539"/>
      <c r="AC74" s="539"/>
      <c r="AD74" s="539"/>
    </row>
    <row r="75" spans="2:30" customFormat="1">
      <c r="B75" s="527"/>
      <c r="C75" s="136"/>
      <c r="E75" s="136"/>
      <c r="T75" s="539"/>
      <c r="U75" s="538"/>
      <c r="V75" s="538"/>
      <c r="W75" s="538"/>
      <c r="X75" s="539"/>
      <c r="Y75" s="539"/>
      <c r="Z75" s="539"/>
      <c r="AA75" s="538"/>
      <c r="AB75" s="539"/>
      <c r="AC75" s="539"/>
      <c r="AD75" s="539"/>
    </row>
    <row r="77" spans="2:30" customFormat="1">
      <c r="B77" s="527"/>
      <c r="C77" s="136"/>
      <c r="E77" s="136"/>
      <c r="T77" s="539"/>
      <c r="U77" s="538"/>
      <c r="V77" s="538"/>
      <c r="W77" s="538"/>
      <c r="X77" s="539"/>
      <c r="Y77" s="539"/>
      <c r="Z77" s="539"/>
      <c r="AA77" s="538"/>
      <c r="AB77" s="539"/>
      <c r="AC77" s="539"/>
      <c r="AD77" s="539"/>
    </row>
    <row r="78" spans="2:30" customFormat="1">
      <c r="B78" s="527"/>
      <c r="C78" s="136"/>
      <c r="E78" s="136"/>
      <c r="T78" s="539"/>
      <c r="U78" s="538"/>
      <c r="V78" s="538"/>
      <c r="W78" s="538"/>
      <c r="X78" s="539"/>
      <c r="Y78" s="539"/>
      <c r="Z78" s="539"/>
      <c r="AA78" s="538"/>
      <c r="AB78" s="539"/>
      <c r="AC78" s="539"/>
      <c r="AD78" s="539"/>
    </row>
    <row r="79" spans="2:30" customFormat="1">
      <c r="B79" s="527"/>
      <c r="C79" s="136"/>
      <c r="E79" s="136"/>
      <c r="T79" s="539"/>
      <c r="U79" s="538"/>
      <c r="V79" s="538"/>
      <c r="W79" s="538"/>
      <c r="X79" s="539"/>
      <c r="Y79" s="539"/>
      <c r="Z79" s="539"/>
      <c r="AA79" s="538"/>
      <c r="AB79" s="539"/>
      <c r="AC79" s="539"/>
      <c r="AD79" s="539"/>
    </row>
    <row r="80" spans="2:30" customFormat="1">
      <c r="B80" s="527"/>
      <c r="C80" s="136"/>
      <c r="E80" s="136"/>
      <c r="T80" s="539"/>
      <c r="U80" s="538"/>
      <c r="V80" s="538"/>
      <c r="W80" s="538"/>
      <c r="X80" s="539"/>
      <c r="Y80" s="539"/>
      <c r="Z80" s="539"/>
      <c r="AA80" s="538"/>
      <c r="AB80" s="539"/>
      <c r="AC80" s="539"/>
      <c r="AD80" s="539"/>
    </row>
    <row r="81" spans="2:30" customFormat="1">
      <c r="B81" s="527"/>
      <c r="C81" s="136"/>
      <c r="E81" s="136"/>
      <c r="T81" s="539"/>
      <c r="U81" s="538"/>
      <c r="V81" s="538"/>
      <c r="W81" s="538"/>
      <c r="X81" s="539"/>
      <c r="Y81" s="539"/>
      <c r="Z81" s="539"/>
      <c r="AA81" s="538"/>
      <c r="AB81" s="539"/>
      <c r="AC81" s="539"/>
      <c r="AD81" s="539"/>
    </row>
    <row r="82" spans="2:30" customFormat="1">
      <c r="B82" s="527"/>
      <c r="C82" s="136"/>
      <c r="E82" s="136"/>
      <c r="T82" s="539"/>
      <c r="U82" s="538"/>
      <c r="V82" s="538"/>
      <c r="W82" s="538"/>
      <c r="X82" s="539"/>
      <c r="Y82" s="539"/>
      <c r="Z82" s="539"/>
      <c r="AA82" s="538"/>
      <c r="AB82" s="539"/>
      <c r="AC82" s="539"/>
      <c r="AD82" s="539"/>
    </row>
    <row r="83" spans="2:30" customFormat="1">
      <c r="B83" s="527"/>
      <c r="C83" s="136"/>
      <c r="E83" s="136"/>
      <c r="T83" s="539"/>
      <c r="U83" s="538"/>
      <c r="V83" s="538"/>
      <c r="W83" s="538"/>
      <c r="X83" s="539"/>
      <c r="Y83" s="539"/>
      <c r="Z83" s="539"/>
      <c r="AA83" s="538"/>
      <c r="AB83" s="539"/>
      <c r="AC83" s="539"/>
      <c r="AD83" s="539"/>
    </row>
    <row r="84" spans="2:30" customFormat="1">
      <c r="B84" s="527"/>
      <c r="C84" s="136"/>
      <c r="E84" s="136"/>
      <c r="T84" s="539"/>
      <c r="U84" s="538"/>
      <c r="V84" s="538"/>
      <c r="W84" s="538"/>
      <c r="X84" s="539"/>
      <c r="Y84" s="539"/>
      <c r="Z84" s="539"/>
      <c r="AA84" s="538"/>
      <c r="AB84" s="539"/>
      <c r="AC84" s="539"/>
      <c r="AD84" s="539"/>
    </row>
    <row r="85" spans="2:30" customFormat="1">
      <c r="B85" s="527"/>
      <c r="C85" s="136"/>
      <c r="E85" s="136"/>
      <c r="T85" s="539"/>
      <c r="U85" s="538"/>
      <c r="V85" s="538"/>
      <c r="W85" s="538"/>
      <c r="X85" s="539"/>
      <c r="Y85" s="539"/>
      <c r="Z85" s="539"/>
      <c r="AA85" s="538"/>
      <c r="AB85" s="539"/>
      <c r="AC85" s="539"/>
      <c r="AD85" s="539"/>
    </row>
    <row r="86" spans="2:30" customFormat="1">
      <c r="B86" s="527"/>
      <c r="C86" s="136"/>
      <c r="E86" s="136"/>
      <c r="T86" s="539"/>
      <c r="U86" s="538"/>
      <c r="V86" s="538"/>
      <c r="W86" s="538"/>
      <c r="X86" s="539"/>
      <c r="Y86" s="539"/>
      <c r="Z86" s="539"/>
      <c r="AA86" s="538"/>
      <c r="AB86" s="539"/>
      <c r="AC86" s="539"/>
      <c r="AD86" s="539"/>
    </row>
    <row r="87" spans="2:30" customFormat="1">
      <c r="B87" s="527"/>
      <c r="C87" s="136"/>
      <c r="E87" s="136"/>
      <c r="T87" s="539"/>
      <c r="U87" s="538"/>
      <c r="V87" s="538"/>
      <c r="W87" s="538"/>
      <c r="X87" s="539"/>
      <c r="Y87" s="539"/>
      <c r="Z87" s="539"/>
      <c r="AA87" s="538"/>
      <c r="AB87" s="539"/>
      <c r="AC87" s="539"/>
      <c r="AD87" s="539"/>
    </row>
    <row r="88" spans="2:30" customFormat="1">
      <c r="B88" s="527"/>
      <c r="C88" s="136"/>
      <c r="E88" s="136"/>
      <c r="T88" s="539"/>
      <c r="U88" s="538"/>
      <c r="V88" s="538"/>
      <c r="W88" s="538"/>
      <c r="X88" s="539"/>
      <c r="Y88" s="539"/>
      <c r="Z88" s="539"/>
      <c r="AA88" s="538"/>
      <c r="AB88" s="539"/>
      <c r="AC88" s="539"/>
      <c r="AD88" s="539"/>
    </row>
    <row r="89" spans="2:30" customFormat="1">
      <c r="B89" s="527"/>
      <c r="C89" s="136"/>
      <c r="E89" s="136"/>
      <c r="T89" s="539"/>
      <c r="U89" s="538"/>
      <c r="V89" s="538"/>
      <c r="W89" s="538"/>
      <c r="X89" s="539"/>
      <c r="Y89" s="539"/>
      <c r="Z89" s="539"/>
      <c r="AA89" s="538"/>
      <c r="AB89" s="539"/>
      <c r="AC89" s="539"/>
      <c r="AD89" s="539"/>
    </row>
    <row r="90" spans="2:30" customFormat="1">
      <c r="B90" s="527"/>
      <c r="C90" s="136"/>
      <c r="E90" s="136"/>
      <c r="T90" s="539"/>
      <c r="U90" s="538"/>
      <c r="V90" s="538"/>
      <c r="W90" s="538"/>
      <c r="X90" s="539"/>
      <c r="Y90" s="539"/>
      <c r="Z90" s="539"/>
      <c r="AA90" s="538"/>
      <c r="AB90" s="539"/>
      <c r="AC90" s="539"/>
      <c r="AD90" s="539"/>
    </row>
    <row r="91" spans="2:30" customFormat="1">
      <c r="B91" s="527"/>
      <c r="C91" s="136"/>
      <c r="E91" s="136"/>
      <c r="T91" s="539"/>
      <c r="U91" s="538"/>
      <c r="V91" s="538"/>
      <c r="W91" s="538"/>
      <c r="X91" s="539"/>
      <c r="Y91" s="539"/>
      <c r="Z91" s="539"/>
      <c r="AA91" s="538"/>
      <c r="AB91" s="539"/>
      <c r="AC91" s="539"/>
      <c r="AD91" s="539"/>
    </row>
    <row r="92" spans="2:30" customFormat="1">
      <c r="B92" s="527"/>
      <c r="C92" s="136"/>
      <c r="E92" s="136"/>
      <c r="T92" s="539"/>
      <c r="U92" s="538"/>
      <c r="V92" s="538"/>
      <c r="W92" s="538"/>
      <c r="X92" s="539"/>
      <c r="Y92" s="539"/>
      <c r="Z92" s="539"/>
      <c r="AA92" s="538"/>
      <c r="AB92" s="539"/>
      <c r="AC92" s="539"/>
      <c r="AD92" s="539"/>
    </row>
    <row r="93" spans="2:30" customFormat="1">
      <c r="B93" s="527"/>
      <c r="C93" s="136"/>
      <c r="E93" s="136"/>
      <c r="T93" s="539"/>
      <c r="U93" s="538"/>
      <c r="V93" s="538"/>
      <c r="W93" s="538"/>
      <c r="X93" s="539"/>
      <c r="Y93" s="539"/>
      <c r="Z93" s="539"/>
      <c r="AA93" s="538"/>
      <c r="AB93" s="539"/>
      <c r="AC93" s="539"/>
      <c r="AD93" s="539"/>
    </row>
    <row r="94" spans="2:30" customFormat="1">
      <c r="B94" s="527"/>
      <c r="C94" s="136"/>
      <c r="E94" s="136"/>
      <c r="T94" s="539"/>
      <c r="U94" s="538"/>
      <c r="V94" s="538"/>
      <c r="W94" s="538"/>
      <c r="X94" s="539"/>
      <c r="Y94" s="539"/>
      <c r="Z94" s="539"/>
      <c r="AA94" s="538"/>
      <c r="AB94" s="539"/>
      <c r="AC94" s="539"/>
      <c r="AD94" s="539"/>
    </row>
    <row r="95" spans="2:30" customFormat="1">
      <c r="B95" s="527"/>
      <c r="C95" s="136"/>
      <c r="E95" s="136"/>
      <c r="T95" s="539"/>
      <c r="U95" s="538"/>
      <c r="V95" s="538"/>
      <c r="W95" s="538"/>
      <c r="X95" s="539"/>
      <c r="Y95" s="539"/>
      <c r="Z95" s="539"/>
      <c r="AA95" s="538"/>
      <c r="AB95" s="539"/>
      <c r="AC95" s="539"/>
      <c r="AD95" s="539"/>
    </row>
    <row r="96" spans="2:30" customFormat="1">
      <c r="B96" s="527"/>
      <c r="C96" s="136"/>
      <c r="E96" s="136"/>
      <c r="T96" s="539"/>
      <c r="U96" s="538"/>
      <c r="V96" s="538"/>
      <c r="W96" s="538"/>
      <c r="X96" s="539"/>
      <c r="Y96" s="539"/>
      <c r="Z96" s="539"/>
      <c r="AA96" s="538"/>
      <c r="AB96" s="539"/>
      <c r="AC96" s="539"/>
      <c r="AD96" s="539"/>
    </row>
    <row r="97" spans="2:30" customFormat="1">
      <c r="B97" s="527"/>
      <c r="C97" s="136"/>
      <c r="E97" s="136"/>
      <c r="T97" s="539"/>
      <c r="U97" s="538"/>
      <c r="V97" s="538"/>
      <c r="W97" s="538"/>
      <c r="X97" s="539"/>
      <c r="Y97" s="539"/>
      <c r="Z97" s="539"/>
      <c r="AA97" s="538"/>
      <c r="AB97" s="539"/>
      <c r="AC97" s="539"/>
      <c r="AD97" s="539"/>
    </row>
    <row r="98" spans="2:30" customFormat="1">
      <c r="B98" s="527"/>
      <c r="C98" s="136"/>
      <c r="E98" s="136"/>
      <c r="T98" s="539"/>
      <c r="U98" s="538"/>
      <c r="V98" s="538"/>
      <c r="W98" s="538"/>
      <c r="X98" s="539"/>
      <c r="Y98" s="539"/>
      <c r="Z98" s="539"/>
      <c r="AA98" s="538"/>
      <c r="AB98" s="539"/>
      <c r="AC98" s="539"/>
      <c r="AD98" s="539"/>
    </row>
    <row r="99" spans="2:30" customFormat="1">
      <c r="B99" s="527"/>
      <c r="C99" s="136"/>
      <c r="E99" s="136"/>
      <c r="T99" s="539"/>
      <c r="U99" s="538"/>
      <c r="V99" s="538"/>
      <c r="W99" s="538"/>
      <c r="X99" s="539"/>
      <c r="Y99" s="539"/>
      <c r="Z99" s="539"/>
      <c r="AA99" s="538"/>
      <c r="AB99" s="539"/>
      <c r="AC99" s="539"/>
      <c r="AD99" s="539"/>
    </row>
    <row r="100" spans="2:30" customFormat="1">
      <c r="B100" s="527"/>
      <c r="C100" s="136"/>
      <c r="E100" s="136"/>
      <c r="T100" s="539"/>
      <c r="U100" s="538"/>
      <c r="V100" s="538"/>
      <c r="W100" s="538"/>
      <c r="X100" s="539"/>
      <c r="Y100" s="539"/>
      <c r="Z100" s="539"/>
      <c r="AA100" s="538"/>
      <c r="AB100" s="539"/>
      <c r="AC100" s="539"/>
      <c r="AD100" s="539"/>
    </row>
    <row r="101" spans="2:30" customFormat="1">
      <c r="B101" s="527"/>
      <c r="C101" s="136"/>
      <c r="E101" s="136"/>
      <c r="T101" s="539"/>
      <c r="U101" s="538"/>
      <c r="V101" s="538"/>
      <c r="W101" s="538"/>
      <c r="X101" s="539"/>
      <c r="Y101" s="539"/>
      <c r="Z101" s="539"/>
      <c r="AA101" s="538"/>
      <c r="AB101" s="539"/>
      <c r="AC101" s="539"/>
      <c r="AD101" s="539"/>
    </row>
    <row r="102" spans="2:30" customFormat="1">
      <c r="B102" s="527"/>
      <c r="C102" s="136"/>
      <c r="E102" s="136"/>
      <c r="T102" s="539"/>
      <c r="U102" s="538"/>
      <c r="V102" s="538"/>
      <c r="W102" s="538"/>
      <c r="X102" s="539"/>
      <c r="Y102" s="539"/>
      <c r="Z102" s="539"/>
      <c r="AA102" s="538"/>
      <c r="AB102" s="539"/>
      <c r="AC102" s="539"/>
      <c r="AD102" s="539"/>
    </row>
    <row r="103" spans="2:30" customFormat="1">
      <c r="B103" s="527"/>
      <c r="C103" s="136"/>
      <c r="E103" s="136"/>
      <c r="T103" s="539"/>
      <c r="U103" s="538"/>
      <c r="V103" s="538"/>
      <c r="W103" s="538"/>
      <c r="X103" s="539"/>
      <c r="Y103" s="539"/>
      <c r="Z103" s="539"/>
      <c r="AA103" s="538"/>
      <c r="AB103" s="539"/>
      <c r="AC103" s="539"/>
      <c r="AD103" s="539"/>
    </row>
    <row r="104" spans="2:30" customFormat="1">
      <c r="B104" s="527"/>
      <c r="C104" s="136"/>
      <c r="E104" s="136"/>
      <c r="T104" s="539"/>
      <c r="U104" s="538"/>
      <c r="V104" s="538"/>
      <c r="W104" s="538"/>
      <c r="X104" s="539"/>
      <c r="Y104" s="539"/>
      <c r="Z104" s="539"/>
      <c r="AA104" s="538"/>
      <c r="AB104" s="539"/>
      <c r="AC104" s="539"/>
      <c r="AD104" s="539"/>
    </row>
    <row r="105" spans="2:30" customFormat="1">
      <c r="B105" s="527"/>
      <c r="C105" s="136"/>
      <c r="E105" s="136"/>
      <c r="T105" s="539"/>
      <c r="U105" s="538"/>
      <c r="V105" s="538"/>
      <c r="W105" s="538"/>
      <c r="X105" s="539"/>
      <c r="Y105" s="539"/>
      <c r="Z105" s="539"/>
      <c r="AA105" s="538"/>
      <c r="AB105" s="539"/>
      <c r="AC105" s="539"/>
      <c r="AD105" s="539"/>
    </row>
    <row r="106" spans="2:30" customFormat="1">
      <c r="B106" s="527"/>
      <c r="C106" s="136"/>
      <c r="E106" s="136"/>
      <c r="T106" s="539"/>
      <c r="U106" s="538"/>
      <c r="V106" s="538"/>
      <c r="W106" s="538"/>
      <c r="X106" s="539"/>
      <c r="Y106" s="539"/>
      <c r="Z106" s="539"/>
      <c r="AA106" s="538"/>
      <c r="AB106" s="539"/>
      <c r="AC106" s="539"/>
      <c r="AD106" s="539"/>
    </row>
    <row r="107" spans="2:30" customFormat="1">
      <c r="B107" s="527"/>
      <c r="C107" s="136"/>
      <c r="E107" s="136"/>
      <c r="T107" s="539"/>
      <c r="U107" s="538"/>
      <c r="V107" s="538"/>
      <c r="W107" s="538"/>
      <c r="X107" s="539"/>
      <c r="Y107" s="539"/>
      <c r="Z107" s="539"/>
      <c r="AA107" s="538"/>
      <c r="AB107" s="539"/>
      <c r="AC107" s="539"/>
      <c r="AD107" s="539"/>
    </row>
    <row r="108" spans="2:30" customFormat="1">
      <c r="B108" s="527"/>
      <c r="C108" s="136"/>
      <c r="E108" s="136"/>
      <c r="T108" s="539"/>
      <c r="U108" s="538"/>
      <c r="V108" s="538"/>
      <c r="W108" s="538"/>
      <c r="X108" s="539"/>
      <c r="Y108" s="539"/>
      <c r="Z108" s="539"/>
      <c r="AA108" s="538"/>
      <c r="AB108" s="539"/>
      <c r="AC108" s="539"/>
      <c r="AD108" s="539"/>
    </row>
    <row r="109" spans="2:30" customFormat="1">
      <c r="B109" s="527"/>
      <c r="C109" s="136"/>
      <c r="E109" s="136"/>
      <c r="T109" s="539"/>
      <c r="U109" s="538"/>
      <c r="V109" s="538"/>
      <c r="W109" s="538"/>
      <c r="X109" s="539"/>
      <c r="Y109" s="539"/>
      <c r="Z109" s="539"/>
      <c r="AA109" s="538"/>
      <c r="AB109" s="539"/>
      <c r="AC109" s="539"/>
      <c r="AD109" s="539"/>
    </row>
    <row r="110" spans="2:30" customFormat="1">
      <c r="B110" s="527"/>
      <c r="C110" s="136"/>
      <c r="E110" s="136"/>
      <c r="T110" s="539"/>
      <c r="U110" s="538"/>
      <c r="V110" s="538"/>
      <c r="W110" s="538"/>
      <c r="X110" s="539"/>
      <c r="Y110" s="539"/>
      <c r="Z110" s="539"/>
      <c r="AA110" s="538"/>
      <c r="AB110" s="539"/>
      <c r="AC110" s="539"/>
      <c r="AD110" s="539"/>
    </row>
    <row r="111" spans="2:30" customFormat="1">
      <c r="B111" s="527"/>
      <c r="C111" s="136"/>
      <c r="E111" s="136"/>
      <c r="T111" s="539"/>
      <c r="U111" s="538"/>
      <c r="V111" s="538"/>
      <c r="W111" s="538"/>
      <c r="X111" s="539"/>
      <c r="Y111" s="539"/>
      <c r="Z111" s="539"/>
      <c r="AA111" s="538"/>
      <c r="AB111" s="539"/>
      <c r="AC111" s="539"/>
      <c r="AD111" s="539"/>
    </row>
    <row r="112" spans="2:30" customFormat="1">
      <c r="B112" s="527"/>
      <c r="C112" s="136"/>
      <c r="E112" s="136"/>
      <c r="T112" s="539"/>
      <c r="U112" s="538"/>
      <c r="V112" s="538"/>
      <c r="W112" s="538"/>
      <c r="X112" s="539"/>
      <c r="Y112" s="539"/>
      <c r="Z112" s="539"/>
      <c r="AA112" s="538"/>
      <c r="AB112" s="539"/>
      <c r="AC112" s="539"/>
      <c r="AD112" s="539"/>
    </row>
    <row r="113" spans="2:30" customFormat="1">
      <c r="B113" s="527"/>
      <c r="C113" s="136"/>
      <c r="E113" s="136"/>
      <c r="T113" s="539"/>
      <c r="U113" s="538"/>
      <c r="V113" s="538"/>
      <c r="W113" s="538"/>
      <c r="X113" s="539"/>
      <c r="Y113" s="539"/>
      <c r="Z113" s="539"/>
      <c r="AA113" s="538"/>
      <c r="AB113" s="539"/>
      <c r="AC113" s="539"/>
      <c r="AD113" s="539"/>
    </row>
    <row r="114" spans="2:30" customFormat="1">
      <c r="B114" s="527"/>
      <c r="C114" s="136"/>
      <c r="E114" s="136"/>
      <c r="T114" s="539"/>
      <c r="U114" s="538"/>
      <c r="V114" s="538"/>
      <c r="W114" s="538"/>
      <c r="X114" s="539"/>
      <c r="Y114" s="539"/>
      <c r="Z114" s="539"/>
      <c r="AA114" s="538"/>
      <c r="AB114" s="539"/>
      <c r="AC114" s="539"/>
      <c r="AD114" s="539"/>
    </row>
    <row r="115" spans="2:30" customFormat="1">
      <c r="B115" s="527"/>
      <c r="C115" s="136"/>
      <c r="E115" s="136"/>
      <c r="T115" s="539"/>
      <c r="U115" s="538"/>
      <c r="V115" s="538"/>
      <c r="W115" s="538"/>
      <c r="X115" s="539"/>
      <c r="Y115" s="539"/>
      <c r="Z115" s="539"/>
      <c r="AA115" s="538"/>
      <c r="AB115" s="539"/>
      <c r="AC115" s="539"/>
      <c r="AD115" s="539"/>
    </row>
    <row r="116" spans="2:30" customFormat="1">
      <c r="B116" s="527"/>
      <c r="C116" s="136"/>
      <c r="E116" s="136"/>
      <c r="T116" s="539"/>
      <c r="U116" s="538"/>
      <c r="V116" s="538"/>
      <c r="W116" s="538"/>
      <c r="X116" s="539"/>
      <c r="Y116" s="539"/>
      <c r="Z116" s="539"/>
      <c r="AA116" s="538"/>
      <c r="AB116" s="539"/>
      <c r="AC116" s="539"/>
      <c r="AD116" s="539"/>
    </row>
    <row r="117" spans="2:30" customFormat="1">
      <c r="B117" s="527"/>
      <c r="C117" s="136"/>
      <c r="E117" s="136"/>
      <c r="T117" s="539"/>
      <c r="U117" s="538"/>
      <c r="V117" s="538"/>
      <c r="W117" s="538"/>
      <c r="X117" s="539"/>
      <c r="Y117" s="539"/>
      <c r="Z117" s="539"/>
      <c r="AA117" s="538"/>
      <c r="AB117" s="539"/>
      <c r="AC117" s="539"/>
      <c r="AD117" s="539"/>
    </row>
    <row r="118" spans="2:30" customFormat="1">
      <c r="B118" s="527"/>
      <c r="C118" s="136"/>
      <c r="E118" s="136"/>
      <c r="T118" s="539"/>
      <c r="U118" s="538"/>
      <c r="V118" s="538"/>
      <c r="W118" s="538"/>
      <c r="X118" s="539"/>
      <c r="Y118" s="539"/>
      <c r="Z118" s="539"/>
      <c r="AA118" s="538"/>
      <c r="AB118" s="539"/>
      <c r="AC118" s="539"/>
      <c r="AD118" s="539"/>
    </row>
    <row r="119" spans="2:30" customFormat="1">
      <c r="B119" s="527"/>
      <c r="C119" s="136"/>
      <c r="E119" s="136"/>
      <c r="T119" s="539"/>
      <c r="U119" s="538"/>
      <c r="V119" s="538"/>
      <c r="W119" s="538"/>
      <c r="X119" s="539"/>
      <c r="Y119" s="539"/>
      <c r="Z119" s="539"/>
      <c r="AA119" s="538"/>
      <c r="AB119" s="539"/>
      <c r="AC119" s="539"/>
      <c r="AD119" s="539"/>
    </row>
    <row r="120" spans="2:30" customFormat="1">
      <c r="B120" s="527"/>
      <c r="C120" s="136"/>
      <c r="E120" s="136"/>
      <c r="T120" s="539"/>
      <c r="U120" s="538"/>
      <c r="V120" s="538"/>
      <c r="W120" s="538"/>
      <c r="X120" s="539"/>
      <c r="Y120" s="539"/>
      <c r="Z120" s="539"/>
      <c r="AA120" s="538"/>
      <c r="AB120" s="539"/>
      <c r="AC120" s="539"/>
      <c r="AD120" s="539"/>
    </row>
    <row r="121" spans="2:30" customFormat="1">
      <c r="B121" s="527"/>
      <c r="C121" s="136"/>
      <c r="E121" s="136"/>
      <c r="T121" s="539"/>
      <c r="U121" s="538"/>
      <c r="V121" s="538"/>
      <c r="W121" s="538"/>
      <c r="X121" s="539"/>
      <c r="Y121" s="539"/>
      <c r="Z121" s="539"/>
      <c r="AA121" s="538"/>
      <c r="AB121" s="539"/>
      <c r="AC121" s="539"/>
      <c r="AD121" s="539"/>
    </row>
    <row r="122" spans="2:30" customFormat="1">
      <c r="B122" s="527"/>
      <c r="C122" s="136"/>
      <c r="E122" s="136"/>
      <c r="T122" s="539"/>
      <c r="U122" s="538"/>
      <c r="V122" s="538"/>
      <c r="W122" s="538"/>
      <c r="X122" s="539"/>
      <c r="Y122" s="539"/>
      <c r="Z122" s="539"/>
      <c r="AA122" s="538"/>
      <c r="AB122" s="539"/>
      <c r="AC122" s="539"/>
      <c r="AD122" s="539"/>
    </row>
    <row r="123" spans="2:30" customFormat="1">
      <c r="B123" s="527"/>
      <c r="C123" s="136"/>
      <c r="E123" s="136"/>
      <c r="T123" s="539"/>
      <c r="U123" s="538"/>
      <c r="V123" s="538"/>
      <c r="W123" s="538"/>
      <c r="X123" s="539"/>
      <c r="Y123" s="539"/>
      <c r="Z123" s="539"/>
      <c r="AA123" s="538"/>
      <c r="AB123" s="539"/>
      <c r="AC123" s="539"/>
      <c r="AD123" s="539"/>
    </row>
    <row r="124" spans="2:30" customFormat="1">
      <c r="B124" s="527"/>
      <c r="C124" s="136"/>
      <c r="E124" s="136"/>
      <c r="T124" s="539"/>
      <c r="U124" s="538"/>
      <c r="V124" s="538"/>
      <c r="W124" s="538"/>
      <c r="X124" s="539"/>
      <c r="Y124" s="539"/>
      <c r="Z124" s="539"/>
      <c r="AA124" s="538"/>
      <c r="AB124" s="539"/>
      <c r="AC124" s="539"/>
      <c r="AD124" s="539"/>
    </row>
    <row r="125" spans="2:30" customFormat="1">
      <c r="B125" s="527"/>
      <c r="C125" s="136"/>
      <c r="E125" s="136"/>
      <c r="T125" s="539"/>
      <c r="U125" s="538"/>
      <c r="V125" s="538"/>
      <c r="W125" s="538"/>
      <c r="X125" s="539"/>
      <c r="Y125" s="539"/>
      <c r="Z125" s="539"/>
      <c r="AA125" s="538"/>
      <c r="AB125" s="539"/>
      <c r="AC125" s="539"/>
      <c r="AD125" s="539"/>
    </row>
    <row r="126" spans="2:30" customFormat="1">
      <c r="B126" s="527"/>
      <c r="C126" s="136"/>
      <c r="E126" s="136"/>
      <c r="T126" s="539"/>
      <c r="U126" s="538"/>
      <c r="V126" s="538"/>
      <c r="W126" s="538"/>
      <c r="X126" s="539"/>
      <c r="Y126" s="539"/>
      <c r="Z126" s="539"/>
      <c r="AA126" s="538"/>
      <c r="AB126" s="539"/>
      <c r="AC126" s="539"/>
      <c r="AD126" s="539"/>
    </row>
    <row r="127" spans="2:30" customFormat="1">
      <c r="B127" s="527"/>
      <c r="C127" s="136"/>
      <c r="E127" s="136"/>
      <c r="T127" s="539"/>
      <c r="U127" s="538"/>
      <c r="V127" s="538"/>
      <c r="W127" s="538"/>
      <c r="X127" s="539"/>
      <c r="Y127" s="539"/>
      <c r="Z127" s="539"/>
      <c r="AA127" s="538"/>
      <c r="AB127" s="539"/>
      <c r="AC127" s="539"/>
      <c r="AD127" s="539"/>
    </row>
    <row r="128" spans="2:30" customFormat="1">
      <c r="B128" s="527"/>
      <c r="C128" s="136"/>
      <c r="E128" s="136"/>
      <c r="T128" s="539"/>
      <c r="U128" s="538"/>
      <c r="V128" s="538"/>
      <c r="W128" s="538"/>
      <c r="X128" s="539"/>
      <c r="Y128" s="539"/>
      <c r="Z128" s="539"/>
      <c r="AA128" s="538"/>
      <c r="AB128" s="539"/>
      <c r="AC128" s="539"/>
      <c r="AD128" s="539"/>
    </row>
    <row r="129" spans="2:30" customFormat="1">
      <c r="B129" s="527"/>
      <c r="C129" s="136"/>
      <c r="E129" s="136"/>
      <c r="T129" s="539"/>
      <c r="U129" s="538"/>
      <c r="V129" s="538"/>
      <c r="W129" s="538"/>
      <c r="X129" s="539"/>
      <c r="Y129" s="539"/>
      <c r="Z129" s="539"/>
      <c r="AA129" s="538"/>
      <c r="AB129" s="539"/>
      <c r="AC129" s="539"/>
      <c r="AD129" s="539"/>
    </row>
    <row r="130" spans="2:30" customFormat="1">
      <c r="B130" s="527"/>
      <c r="C130" s="136"/>
      <c r="E130" s="136"/>
      <c r="T130" s="539"/>
      <c r="U130" s="538"/>
      <c r="V130" s="538"/>
      <c r="W130" s="538"/>
      <c r="X130" s="539"/>
      <c r="Y130" s="539"/>
      <c r="Z130" s="539"/>
      <c r="AA130" s="538"/>
      <c r="AB130" s="539"/>
      <c r="AC130" s="539"/>
      <c r="AD130" s="539"/>
    </row>
    <row r="131" spans="2:30" customFormat="1">
      <c r="B131" s="527"/>
      <c r="C131" s="136"/>
      <c r="E131" s="136"/>
      <c r="T131" s="539"/>
      <c r="U131" s="538"/>
      <c r="V131" s="538"/>
      <c r="W131" s="538"/>
      <c r="X131" s="539"/>
      <c r="Y131" s="539"/>
      <c r="Z131" s="539"/>
      <c r="AA131" s="538"/>
      <c r="AB131" s="539"/>
      <c r="AC131" s="539"/>
      <c r="AD131" s="539"/>
    </row>
    <row r="132" spans="2:30" customFormat="1">
      <c r="B132" s="527"/>
      <c r="C132" s="136"/>
      <c r="E132" s="136"/>
      <c r="T132" s="539"/>
      <c r="U132" s="538"/>
      <c r="V132" s="538"/>
      <c r="W132" s="538"/>
      <c r="X132" s="539"/>
      <c r="Y132" s="539"/>
      <c r="Z132" s="539"/>
      <c r="AA132" s="538"/>
      <c r="AB132" s="539"/>
      <c r="AC132" s="539"/>
      <c r="AD132" s="539"/>
    </row>
    <row r="133" spans="2:30" customFormat="1">
      <c r="B133" s="527"/>
      <c r="C133" s="136"/>
      <c r="E133" s="136"/>
      <c r="T133" s="539"/>
      <c r="U133" s="538"/>
      <c r="V133" s="538"/>
      <c r="W133" s="538"/>
      <c r="X133" s="539"/>
      <c r="Y133" s="539"/>
      <c r="Z133" s="539"/>
      <c r="AA133" s="538"/>
      <c r="AB133" s="539"/>
      <c r="AC133" s="539"/>
      <c r="AD133" s="539"/>
    </row>
    <row r="134" spans="2:30" customFormat="1">
      <c r="B134" s="527"/>
      <c r="C134" s="136"/>
      <c r="E134" s="136"/>
      <c r="T134" s="539"/>
      <c r="U134" s="538"/>
      <c r="V134" s="538"/>
      <c r="W134" s="538"/>
      <c r="X134" s="539"/>
      <c r="Y134" s="539"/>
      <c r="Z134" s="539"/>
      <c r="AA134" s="538"/>
      <c r="AB134" s="539"/>
      <c r="AC134" s="539"/>
      <c r="AD134" s="539"/>
    </row>
    <row r="135" spans="2:30" customFormat="1">
      <c r="B135" s="527"/>
      <c r="C135" s="136"/>
      <c r="E135" s="136"/>
      <c r="T135" s="539"/>
      <c r="U135" s="538"/>
      <c r="V135" s="538"/>
      <c r="W135" s="538"/>
      <c r="X135" s="539"/>
      <c r="Y135" s="539"/>
      <c r="Z135" s="539"/>
      <c r="AA135" s="538"/>
      <c r="AB135" s="539"/>
      <c r="AC135" s="539"/>
      <c r="AD135" s="539"/>
    </row>
    <row r="136" spans="2:30" customFormat="1">
      <c r="B136" s="527"/>
      <c r="C136" s="136"/>
      <c r="E136" s="136"/>
      <c r="T136" s="539"/>
      <c r="U136" s="538"/>
      <c r="V136" s="538"/>
      <c r="W136" s="538"/>
      <c r="X136" s="539"/>
      <c r="Y136" s="539"/>
      <c r="Z136" s="539"/>
      <c r="AA136" s="538"/>
      <c r="AB136" s="539"/>
      <c r="AC136" s="539"/>
      <c r="AD136" s="539"/>
    </row>
    <row r="137" spans="2:30" customFormat="1">
      <c r="B137" s="527"/>
      <c r="C137" s="136"/>
      <c r="E137" s="136"/>
      <c r="T137" s="539"/>
      <c r="U137" s="538"/>
      <c r="V137" s="538"/>
      <c r="W137" s="538"/>
      <c r="X137" s="539"/>
      <c r="Y137" s="539"/>
      <c r="Z137" s="539"/>
      <c r="AA137" s="538"/>
      <c r="AB137" s="539"/>
      <c r="AC137" s="539"/>
      <c r="AD137" s="539"/>
    </row>
    <row r="138" spans="2:30" customFormat="1">
      <c r="B138" s="527"/>
      <c r="C138" s="136"/>
      <c r="E138" s="136"/>
      <c r="T138" s="539"/>
      <c r="U138" s="538"/>
      <c r="V138" s="538"/>
      <c r="W138" s="538"/>
      <c r="X138" s="539"/>
      <c r="Y138" s="539"/>
      <c r="Z138" s="539"/>
      <c r="AA138" s="538"/>
      <c r="AB138" s="539"/>
      <c r="AC138" s="539"/>
      <c r="AD138" s="539"/>
    </row>
    <row r="139" spans="2:30" customFormat="1">
      <c r="B139" s="527"/>
      <c r="C139" s="136"/>
      <c r="E139" s="136"/>
      <c r="T139" s="539"/>
      <c r="U139" s="538"/>
      <c r="V139" s="538"/>
      <c r="W139" s="538"/>
      <c r="X139" s="539"/>
      <c r="Y139" s="539"/>
      <c r="Z139" s="539"/>
      <c r="AA139" s="538"/>
      <c r="AB139" s="539"/>
      <c r="AC139" s="539"/>
      <c r="AD139" s="539"/>
    </row>
    <row r="140" spans="2:30" customFormat="1">
      <c r="B140" s="527"/>
      <c r="C140" s="136"/>
      <c r="E140" s="136"/>
      <c r="T140" s="539"/>
      <c r="U140" s="538"/>
      <c r="V140" s="538"/>
      <c r="W140" s="538"/>
      <c r="X140" s="539"/>
      <c r="Y140" s="539"/>
      <c r="Z140" s="539"/>
      <c r="AA140" s="538"/>
      <c r="AB140" s="539"/>
      <c r="AC140" s="539"/>
      <c r="AD140" s="539"/>
    </row>
    <row r="141" spans="2:30" customFormat="1">
      <c r="B141" s="527"/>
      <c r="C141" s="136"/>
      <c r="E141" s="136"/>
      <c r="T141" s="539"/>
      <c r="U141" s="538"/>
      <c r="V141" s="538"/>
      <c r="W141" s="538"/>
      <c r="X141" s="539"/>
      <c r="Y141" s="539"/>
      <c r="Z141" s="539"/>
      <c r="AA141" s="538"/>
      <c r="AB141" s="539"/>
      <c r="AC141" s="539"/>
      <c r="AD141" s="539"/>
    </row>
    <row r="142" spans="2:30" customFormat="1">
      <c r="B142" s="527"/>
      <c r="C142" s="136"/>
      <c r="E142" s="136"/>
      <c r="T142" s="539"/>
      <c r="U142" s="538"/>
      <c r="V142" s="538"/>
      <c r="W142" s="538"/>
      <c r="X142" s="539"/>
      <c r="Y142" s="539"/>
      <c r="Z142" s="539"/>
      <c r="AA142" s="538"/>
      <c r="AB142" s="539"/>
      <c r="AC142" s="539"/>
      <c r="AD142" s="539"/>
    </row>
    <row r="143" spans="2:30" customFormat="1">
      <c r="B143" s="527"/>
      <c r="C143" s="136"/>
      <c r="E143" s="136"/>
      <c r="T143" s="539"/>
      <c r="U143" s="538"/>
      <c r="V143" s="538"/>
      <c r="W143" s="538"/>
      <c r="X143" s="539"/>
      <c r="Y143" s="539"/>
      <c r="Z143" s="539"/>
      <c r="AA143" s="538"/>
      <c r="AB143" s="539"/>
      <c r="AC143" s="539"/>
      <c r="AD143" s="539"/>
    </row>
    <row r="144" spans="2:30" customFormat="1">
      <c r="B144" s="527"/>
      <c r="C144" s="136"/>
      <c r="E144" s="136"/>
      <c r="T144" s="539"/>
      <c r="U144" s="538"/>
      <c r="V144" s="538"/>
      <c r="W144" s="538"/>
      <c r="X144" s="539"/>
      <c r="Y144" s="539"/>
      <c r="Z144" s="539"/>
      <c r="AA144" s="538"/>
      <c r="AB144" s="539"/>
      <c r="AC144" s="539"/>
      <c r="AD144" s="539"/>
    </row>
    <row r="145" spans="2:30" customFormat="1">
      <c r="B145" s="527"/>
      <c r="C145" s="136"/>
      <c r="E145" s="136"/>
      <c r="T145" s="539"/>
      <c r="U145" s="538"/>
      <c r="V145" s="538"/>
      <c r="W145" s="538"/>
      <c r="X145" s="539"/>
      <c r="Y145" s="539"/>
      <c r="Z145" s="539"/>
      <c r="AA145" s="538"/>
      <c r="AB145" s="539"/>
      <c r="AC145" s="539"/>
      <c r="AD145" s="539"/>
    </row>
    <row r="146" spans="2:30" customFormat="1">
      <c r="B146" s="527"/>
      <c r="C146" s="136"/>
      <c r="E146" s="136"/>
      <c r="T146" s="539"/>
      <c r="U146" s="538"/>
      <c r="V146" s="538"/>
      <c r="W146" s="538"/>
      <c r="X146" s="539"/>
      <c r="Y146" s="539"/>
      <c r="Z146" s="539"/>
      <c r="AA146" s="538"/>
      <c r="AB146" s="539"/>
      <c r="AC146" s="539"/>
      <c r="AD146" s="539"/>
    </row>
    <row r="147" spans="2:30" customFormat="1">
      <c r="B147" s="527"/>
      <c r="C147" s="136"/>
      <c r="E147" s="136"/>
      <c r="T147" s="539"/>
      <c r="U147" s="538"/>
      <c r="V147" s="538"/>
      <c r="W147" s="538"/>
      <c r="X147" s="539"/>
      <c r="Y147" s="539"/>
      <c r="Z147" s="539"/>
      <c r="AA147" s="538"/>
      <c r="AB147" s="539"/>
      <c r="AC147" s="539"/>
      <c r="AD147" s="539"/>
    </row>
    <row r="148" spans="2:30" customFormat="1">
      <c r="B148" s="527"/>
      <c r="C148" s="136"/>
      <c r="E148" s="136"/>
      <c r="T148" s="539"/>
      <c r="U148" s="538"/>
      <c r="V148" s="538"/>
      <c r="W148" s="538"/>
      <c r="X148" s="539"/>
      <c r="Y148" s="539"/>
      <c r="Z148" s="539"/>
      <c r="AA148" s="538"/>
      <c r="AB148" s="539"/>
      <c r="AC148" s="539"/>
      <c r="AD148" s="539"/>
    </row>
    <row r="149" spans="2:30" customFormat="1">
      <c r="B149" s="527"/>
      <c r="C149" s="136"/>
      <c r="E149" s="136"/>
      <c r="T149" s="539"/>
      <c r="U149" s="538"/>
      <c r="V149" s="538"/>
      <c r="W149" s="538"/>
      <c r="X149" s="539"/>
      <c r="Y149" s="539"/>
      <c r="Z149" s="539"/>
      <c r="AA149" s="538"/>
      <c r="AB149" s="539"/>
      <c r="AC149" s="539"/>
      <c r="AD149" s="539"/>
    </row>
    <row r="150" spans="2:30" customFormat="1">
      <c r="B150" s="527"/>
      <c r="C150" s="136"/>
      <c r="E150" s="136"/>
      <c r="T150" s="539"/>
      <c r="U150" s="538"/>
      <c r="V150" s="538"/>
      <c r="W150" s="538"/>
      <c r="X150" s="539"/>
      <c r="Y150" s="539"/>
      <c r="Z150" s="539"/>
      <c r="AA150" s="538"/>
      <c r="AB150" s="539"/>
      <c r="AC150" s="539"/>
      <c r="AD150" s="539"/>
    </row>
    <row r="151" spans="2:30" customFormat="1">
      <c r="B151" s="527"/>
      <c r="C151" s="136"/>
      <c r="E151" s="136"/>
      <c r="T151" s="539"/>
      <c r="U151" s="538"/>
      <c r="V151" s="538"/>
      <c r="W151" s="538"/>
      <c r="X151" s="539"/>
      <c r="Y151" s="539"/>
      <c r="Z151" s="539"/>
      <c r="AA151" s="538"/>
      <c r="AB151" s="539"/>
      <c r="AC151" s="539"/>
      <c r="AD151" s="539"/>
    </row>
    <row r="152" spans="2:30" customFormat="1">
      <c r="B152" s="527"/>
      <c r="C152" s="136"/>
      <c r="E152" s="136"/>
      <c r="T152" s="539"/>
      <c r="U152" s="538"/>
      <c r="V152" s="538"/>
      <c r="W152" s="538"/>
      <c r="X152" s="539"/>
      <c r="Y152" s="539"/>
      <c r="Z152" s="539"/>
      <c r="AA152" s="538"/>
      <c r="AB152" s="539"/>
      <c r="AC152" s="539"/>
      <c r="AD152" s="539"/>
    </row>
    <row r="153" spans="2:30" customFormat="1">
      <c r="B153" s="527"/>
      <c r="C153" s="136"/>
      <c r="E153" s="136"/>
      <c r="T153" s="539"/>
      <c r="U153" s="538"/>
      <c r="V153" s="538"/>
      <c r="W153" s="538"/>
      <c r="X153" s="539"/>
      <c r="Y153" s="539"/>
      <c r="Z153" s="539"/>
      <c r="AA153" s="538"/>
      <c r="AB153" s="539"/>
      <c r="AC153" s="539"/>
      <c r="AD153" s="539"/>
    </row>
    <row r="154" spans="2:30" customFormat="1">
      <c r="B154" s="527"/>
      <c r="C154" s="136"/>
      <c r="E154" s="136"/>
      <c r="T154" s="539"/>
      <c r="U154" s="538"/>
      <c r="V154" s="538"/>
      <c r="W154" s="538"/>
      <c r="X154" s="539"/>
      <c r="Y154" s="539"/>
      <c r="Z154" s="539"/>
      <c r="AA154" s="538"/>
      <c r="AB154" s="539"/>
      <c r="AC154" s="539"/>
      <c r="AD154" s="539"/>
    </row>
    <row r="155" spans="2:30" customFormat="1">
      <c r="B155" s="527"/>
      <c r="C155" s="136"/>
      <c r="E155" s="136"/>
      <c r="T155" s="539"/>
      <c r="U155" s="538"/>
      <c r="V155" s="538"/>
      <c r="W155" s="538"/>
      <c r="X155" s="539"/>
      <c r="Y155" s="539"/>
      <c r="Z155" s="539"/>
      <c r="AA155" s="538"/>
      <c r="AB155" s="539"/>
      <c r="AC155" s="539"/>
      <c r="AD155" s="539"/>
    </row>
    <row r="156" spans="2:30" customFormat="1">
      <c r="B156" s="527"/>
      <c r="C156" s="136"/>
      <c r="E156" s="136"/>
      <c r="T156" s="539"/>
      <c r="U156" s="538"/>
      <c r="V156" s="538"/>
      <c r="W156" s="538"/>
      <c r="X156" s="539"/>
      <c r="Y156" s="539"/>
      <c r="Z156" s="539"/>
      <c r="AA156" s="538"/>
      <c r="AB156" s="539"/>
      <c r="AC156" s="539"/>
      <c r="AD156" s="539"/>
    </row>
    <row r="157" spans="2:30" customFormat="1">
      <c r="B157" s="527"/>
      <c r="C157" s="136"/>
      <c r="E157" s="136"/>
      <c r="T157" s="539"/>
      <c r="U157" s="538"/>
      <c r="V157" s="538"/>
      <c r="W157" s="538"/>
      <c r="X157" s="539"/>
      <c r="Y157" s="539"/>
      <c r="Z157" s="539"/>
      <c r="AA157" s="538"/>
      <c r="AB157" s="539"/>
      <c r="AC157" s="539"/>
      <c r="AD157" s="539"/>
    </row>
    <row r="158" spans="2:30" customFormat="1">
      <c r="B158" s="527"/>
      <c r="C158" s="136"/>
      <c r="E158" s="136"/>
      <c r="T158" s="539"/>
      <c r="U158" s="538"/>
      <c r="V158" s="538"/>
      <c r="W158" s="538"/>
      <c r="X158" s="539"/>
      <c r="Y158" s="539"/>
      <c r="Z158" s="539"/>
      <c r="AA158" s="538"/>
      <c r="AB158" s="539"/>
      <c r="AC158" s="539"/>
      <c r="AD158" s="539"/>
    </row>
    <row r="159" spans="2:30" customFormat="1">
      <c r="B159" s="527"/>
      <c r="C159" s="136"/>
      <c r="E159" s="136"/>
      <c r="T159" s="539"/>
      <c r="U159" s="538"/>
      <c r="V159" s="538"/>
      <c r="W159" s="538"/>
      <c r="X159" s="539"/>
      <c r="Y159" s="539"/>
      <c r="Z159" s="539"/>
      <c r="AA159" s="538"/>
      <c r="AB159" s="539"/>
      <c r="AC159" s="539"/>
      <c r="AD159" s="539"/>
    </row>
    <row r="160" spans="2:30" customFormat="1">
      <c r="B160" s="527"/>
      <c r="C160" s="136"/>
      <c r="E160" s="136"/>
      <c r="T160" s="539"/>
      <c r="U160" s="538"/>
      <c r="V160" s="538"/>
      <c r="W160" s="538"/>
      <c r="X160" s="539"/>
      <c r="Y160" s="539"/>
      <c r="Z160" s="539"/>
      <c r="AA160" s="538"/>
      <c r="AB160" s="539"/>
      <c r="AC160" s="539"/>
      <c r="AD160" s="539"/>
    </row>
    <row r="161" spans="2:30" customFormat="1">
      <c r="B161" s="527"/>
      <c r="C161" s="136"/>
      <c r="E161" s="136"/>
      <c r="T161" s="539"/>
      <c r="U161" s="538"/>
      <c r="V161" s="538"/>
      <c r="W161" s="538"/>
      <c r="X161" s="539"/>
      <c r="Y161" s="539"/>
      <c r="Z161" s="539"/>
      <c r="AA161" s="538"/>
      <c r="AB161" s="539"/>
      <c r="AC161" s="539"/>
      <c r="AD161" s="539"/>
    </row>
    <row r="162" spans="2:30" customFormat="1">
      <c r="B162" s="527"/>
      <c r="C162" s="136"/>
      <c r="E162" s="136"/>
      <c r="T162" s="539"/>
      <c r="U162" s="538"/>
      <c r="V162" s="538"/>
      <c r="W162" s="538"/>
      <c r="X162" s="539"/>
      <c r="Y162" s="539"/>
      <c r="Z162" s="539"/>
      <c r="AA162" s="538"/>
      <c r="AB162" s="539"/>
      <c r="AC162" s="539"/>
      <c r="AD162" s="539"/>
    </row>
    <row r="163" spans="2:30" customFormat="1">
      <c r="B163" s="527"/>
      <c r="C163" s="136"/>
      <c r="E163" s="136"/>
      <c r="T163" s="539"/>
      <c r="U163" s="538"/>
      <c r="V163" s="538"/>
      <c r="W163" s="538"/>
      <c r="X163" s="539"/>
      <c r="Y163" s="539"/>
      <c r="Z163" s="539"/>
      <c r="AA163" s="538"/>
      <c r="AB163" s="539"/>
      <c r="AC163" s="539"/>
      <c r="AD163" s="539"/>
    </row>
    <row r="164" spans="2:30" customFormat="1">
      <c r="B164" s="527"/>
      <c r="C164" s="136"/>
      <c r="E164" s="136"/>
      <c r="T164" s="539"/>
      <c r="U164" s="538"/>
      <c r="V164" s="538"/>
      <c r="W164" s="538"/>
      <c r="X164" s="539"/>
      <c r="Y164" s="539"/>
      <c r="Z164" s="539"/>
      <c r="AA164" s="538"/>
      <c r="AB164" s="539"/>
      <c r="AC164" s="539"/>
      <c r="AD164" s="539"/>
    </row>
    <row r="165" spans="2:30" customFormat="1">
      <c r="B165" s="527"/>
      <c r="C165" s="136"/>
      <c r="E165" s="136"/>
      <c r="T165" s="539"/>
      <c r="U165" s="538"/>
      <c r="V165" s="538"/>
      <c r="W165" s="538"/>
      <c r="X165" s="539"/>
      <c r="Y165" s="539"/>
      <c r="Z165" s="539"/>
      <c r="AA165" s="538"/>
      <c r="AB165" s="539"/>
      <c r="AC165" s="539"/>
      <c r="AD165" s="539"/>
    </row>
    <row r="166" spans="2:30" customFormat="1">
      <c r="B166" s="527"/>
      <c r="C166" s="136"/>
      <c r="E166" s="136"/>
      <c r="T166" s="539"/>
      <c r="U166" s="538"/>
      <c r="V166" s="538"/>
      <c r="W166" s="538"/>
      <c r="X166" s="539"/>
      <c r="Y166" s="539"/>
      <c r="Z166" s="539"/>
      <c r="AA166" s="538"/>
      <c r="AB166" s="539"/>
      <c r="AC166" s="539"/>
      <c r="AD166" s="539"/>
    </row>
    <row r="167" spans="2:30" customFormat="1">
      <c r="B167" s="527"/>
      <c r="C167" s="136"/>
      <c r="E167" s="136"/>
      <c r="T167" s="539"/>
      <c r="U167" s="538"/>
      <c r="V167" s="538"/>
      <c r="W167" s="538"/>
      <c r="X167" s="539"/>
      <c r="Y167" s="539"/>
      <c r="Z167" s="539"/>
      <c r="AA167" s="538"/>
      <c r="AB167" s="539"/>
      <c r="AC167" s="539"/>
      <c r="AD167" s="539"/>
    </row>
    <row r="168" spans="2:30" customFormat="1">
      <c r="B168" s="527"/>
      <c r="C168" s="136"/>
      <c r="E168" s="136"/>
      <c r="T168" s="539"/>
      <c r="U168" s="538"/>
      <c r="V168" s="538"/>
      <c r="W168" s="538"/>
      <c r="X168" s="539"/>
      <c r="Y168" s="539"/>
      <c r="Z168" s="539"/>
      <c r="AA168" s="538"/>
      <c r="AB168" s="539"/>
      <c r="AC168" s="539"/>
      <c r="AD168" s="539"/>
    </row>
    <row r="169" spans="2:30" customFormat="1">
      <c r="B169" s="527"/>
      <c r="C169" s="136"/>
      <c r="E169" s="136"/>
      <c r="T169" s="539"/>
      <c r="U169" s="538"/>
      <c r="V169" s="538"/>
      <c r="W169" s="538"/>
      <c r="X169" s="539"/>
      <c r="Y169" s="539"/>
      <c r="Z169" s="539"/>
      <c r="AA169" s="538"/>
      <c r="AB169" s="539"/>
      <c r="AC169" s="539"/>
      <c r="AD169" s="539"/>
    </row>
    <row r="170" spans="2:30" customFormat="1">
      <c r="B170" s="527"/>
      <c r="C170" s="136"/>
      <c r="E170" s="136"/>
      <c r="T170" s="539"/>
      <c r="U170" s="538"/>
      <c r="V170" s="538"/>
      <c r="W170" s="538"/>
      <c r="X170" s="539"/>
      <c r="Y170" s="539"/>
      <c r="Z170" s="539"/>
      <c r="AA170" s="538"/>
      <c r="AB170" s="539"/>
      <c r="AC170" s="539"/>
      <c r="AD170" s="539"/>
    </row>
    <row r="171" spans="2:30" customFormat="1">
      <c r="B171" s="527"/>
      <c r="C171" s="136"/>
      <c r="E171" s="136"/>
      <c r="T171" s="539"/>
      <c r="U171" s="538"/>
      <c r="V171" s="538"/>
      <c r="W171" s="538"/>
      <c r="X171" s="539"/>
      <c r="Y171" s="539"/>
      <c r="Z171" s="539"/>
      <c r="AA171" s="538"/>
      <c r="AB171" s="539"/>
      <c r="AC171" s="539"/>
      <c r="AD171" s="539"/>
    </row>
    <row r="172" spans="2:30" customFormat="1">
      <c r="B172" s="527"/>
      <c r="C172" s="136"/>
      <c r="E172" s="136"/>
      <c r="T172" s="539"/>
      <c r="U172" s="538"/>
      <c r="V172" s="538"/>
      <c r="W172" s="538"/>
      <c r="X172" s="539"/>
      <c r="Y172" s="539"/>
      <c r="Z172" s="539"/>
      <c r="AA172" s="538"/>
      <c r="AB172" s="539"/>
      <c r="AC172" s="539"/>
      <c r="AD172" s="539"/>
    </row>
    <row r="173" spans="2:30" customFormat="1">
      <c r="B173" s="527"/>
      <c r="C173" s="136"/>
      <c r="E173" s="136"/>
      <c r="T173" s="539"/>
      <c r="U173" s="538"/>
      <c r="V173" s="538"/>
      <c r="W173" s="538"/>
      <c r="X173" s="539"/>
      <c r="Y173" s="539"/>
      <c r="Z173" s="539"/>
      <c r="AA173" s="538"/>
      <c r="AB173" s="539"/>
      <c r="AC173" s="539"/>
      <c r="AD173" s="539"/>
    </row>
    <row r="174" spans="2:30" customFormat="1">
      <c r="B174" s="527"/>
      <c r="C174" s="136"/>
      <c r="E174" s="136"/>
      <c r="T174" s="539"/>
      <c r="U174" s="538"/>
      <c r="V174" s="538"/>
      <c r="W174" s="538"/>
      <c r="X174" s="539"/>
      <c r="Y174" s="539"/>
      <c r="Z174" s="539"/>
      <c r="AA174" s="538"/>
      <c r="AB174" s="539"/>
      <c r="AC174" s="539"/>
      <c r="AD174" s="539"/>
    </row>
    <row r="175" spans="2:30" customFormat="1">
      <c r="B175" s="527"/>
      <c r="C175" s="136"/>
      <c r="E175" s="136"/>
      <c r="T175" s="539"/>
      <c r="U175" s="538"/>
      <c r="V175" s="538"/>
      <c r="W175" s="538"/>
      <c r="X175" s="539"/>
      <c r="Y175" s="539"/>
      <c r="Z175" s="539"/>
      <c r="AA175" s="538"/>
      <c r="AB175" s="539"/>
      <c r="AC175" s="539"/>
      <c r="AD175" s="539"/>
    </row>
    <row r="176" spans="2:30" customFormat="1">
      <c r="B176" s="527"/>
      <c r="C176" s="136"/>
      <c r="E176" s="136"/>
      <c r="T176" s="539"/>
      <c r="U176" s="538"/>
      <c r="V176" s="538"/>
      <c r="W176" s="538"/>
      <c r="X176" s="539"/>
      <c r="Y176" s="539"/>
      <c r="Z176" s="539"/>
      <c r="AA176" s="538"/>
      <c r="AB176" s="539"/>
      <c r="AC176" s="539"/>
      <c r="AD176" s="539"/>
    </row>
    <row r="177" spans="2:30" customFormat="1">
      <c r="B177" s="527"/>
      <c r="C177" s="136"/>
      <c r="E177" s="136"/>
      <c r="T177" s="539"/>
      <c r="U177" s="538"/>
      <c r="V177" s="538"/>
      <c r="W177" s="538"/>
      <c r="X177" s="539"/>
      <c r="Y177" s="539"/>
      <c r="Z177" s="539"/>
      <c r="AA177" s="538"/>
      <c r="AB177" s="539"/>
      <c r="AC177" s="539"/>
      <c r="AD177" s="539"/>
    </row>
    <row r="178" spans="2:30" customFormat="1">
      <c r="B178" s="527"/>
      <c r="C178" s="136"/>
      <c r="E178" s="136"/>
      <c r="T178" s="539"/>
      <c r="U178" s="538"/>
      <c r="V178" s="538"/>
      <c r="W178" s="538"/>
      <c r="X178" s="539"/>
      <c r="Y178" s="539"/>
      <c r="Z178" s="539"/>
      <c r="AA178" s="538"/>
      <c r="AB178" s="539"/>
      <c r="AC178" s="539"/>
      <c r="AD178" s="539"/>
    </row>
    <row r="179" spans="2:30" customFormat="1">
      <c r="B179" s="527"/>
      <c r="C179" s="136"/>
      <c r="E179" s="136"/>
      <c r="T179" s="539"/>
      <c r="U179" s="538"/>
      <c r="V179" s="538"/>
      <c r="W179" s="538"/>
      <c r="X179" s="539"/>
      <c r="Y179" s="539"/>
      <c r="Z179" s="539"/>
      <c r="AA179" s="538"/>
      <c r="AB179" s="539"/>
      <c r="AC179" s="539"/>
      <c r="AD179" s="539"/>
    </row>
    <row r="180" spans="2:30" customFormat="1">
      <c r="B180" s="527"/>
      <c r="C180" s="136"/>
      <c r="E180" s="136"/>
      <c r="T180" s="539"/>
      <c r="U180" s="538"/>
      <c r="V180" s="538"/>
      <c r="W180" s="538"/>
      <c r="X180" s="539"/>
      <c r="Y180" s="539"/>
      <c r="Z180" s="539"/>
      <c r="AA180" s="538"/>
      <c r="AB180" s="539"/>
      <c r="AC180" s="539"/>
      <c r="AD180" s="539"/>
    </row>
    <row r="181" spans="2:30" customFormat="1">
      <c r="B181" s="527"/>
      <c r="C181" s="136"/>
      <c r="E181" s="136"/>
      <c r="T181" s="539"/>
      <c r="U181" s="538"/>
      <c r="V181" s="538"/>
      <c r="W181" s="538"/>
      <c r="X181" s="539"/>
      <c r="Y181" s="539"/>
      <c r="Z181" s="539"/>
      <c r="AA181" s="538"/>
      <c r="AB181" s="539"/>
      <c r="AC181" s="539"/>
      <c r="AD181" s="539"/>
    </row>
    <row r="182" spans="2:30" customFormat="1">
      <c r="B182" s="527"/>
      <c r="C182" s="136"/>
      <c r="E182" s="136"/>
      <c r="T182" s="539"/>
      <c r="U182" s="538"/>
      <c r="V182" s="538"/>
      <c r="W182" s="538"/>
      <c r="X182" s="539"/>
      <c r="Y182" s="539"/>
      <c r="Z182" s="539"/>
      <c r="AA182" s="538"/>
      <c r="AB182" s="539"/>
      <c r="AC182" s="539"/>
      <c r="AD182" s="539"/>
    </row>
    <row r="183" spans="2:30" customFormat="1">
      <c r="B183" s="527"/>
      <c r="C183" s="136"/>
      <c r="E183" s="136"/>
      <c r="T183" s="539"/>
      <c r="U183" s="538"/>
      <c r="V183" s="538"/>
      <c r="W183" s="538"/>
      <c r="X183" s="539"/>
      <c r="Y183" s="539"/>
      <c r="Z183" s="539"/>
      <c r="AA183" s="538"/>
      <c r="AB183" s="539"/>
      <c r="AC183" s="539"/>
      <c r="AD183" s="539"/>
    </row>
    <row r="184" spans="2:30" customFormat="1">
      <c r="B184" s="527"/>
      <c r="C184" s="136"/>
      <c r="E184" s="136"/>
      <c r="T184" s="539"/>
      <c r="U184" s="538"/>
      <c r="V184" s="538"/>
      <c r="W184" s="538"/>
      <c r="X184" s="539"/>
      <c r="Y184" s="539"/>
      <c r="Z184" s="539"/>
      <c r="AA184" s="538"/>
      <c r="AB184" s="539"/>
      <c r="AC184" s="539"/>
      <c r="AD184" s="539"/>
    </row>
    <row r="185" spans="2:30" customFormat="1">
      <c r="B185" s="527"/>
      <c r="C185" s="136"/>
      <c r="E185" s="136"/>
      <c r="T185" s="539"/>
      <c r="U185" s="538"/>
      <c r="V185" s="538"/>
      <c r="W185" s="538"/>
      <c r="X185" s="539"/>
      <c r="Y185" s="539"/>
      <c r="Z185" s="539"/>
      <c r="AA185" s="538"/>
      <c r="AB185" s="539"/>
      <c r="AC185" s="539"/>
      <c r="AD185" s="539"/>
    </row>
    <row r="186" spans="2:30" customFormat="1">
      <c r="B186" s="527"/>
      <c r="C186" s="136"/>
      <c r="E186" s="136"/>
      <c r="T186" s="539"/>
      <c r="U186" s="538"/>
      <c r="V186" s="538"/>
      <c r="W186" s="538"/>
      <c r="X186" s="539"/>
      <c r="Y186" s="539"/>
      <c r="Z186" s="539"/>
      <c r="AA186" s="538"/>
      <c r="AB186" s="539"/>
      <c r="AC186" s="539"/>
      <c r="AD186" s="539"/>
    </row>
    <row r="187" spans="2:30" customFormat="1">
      <c r="B187" s="527"/>
      <c r="C187" s="136"/>
      <c r="E187" s="136"/>
      <c r="T187" s="539"/>
      <c r="U187" s="538"/>
      <c r="V187" s="538"/>
      <c r="W187" s="538"/>
      <c r="X187" s="539"/>
      <c r="Y187" s="539"/>
      <c r="Z187" s="539"/>
      <c r="AA187" s="538"/>
      <c r="AB187" s="539"/>
      <c r="AC187" s="539"/>
      <c r="AD187" s="539"/>
    </row>
    <row r="188" spans="2:30" customFormat="1">
      <c r="B188" s="527"/>
      <c r="C188" s="136"/>
      <c r="E188" s="136"/>
      <c r="T188" s="539"/>
      <c r="U188" s="538"/>
      <c r="V188" s="538"/>
      <c r="W188" s="538"/>
      <c r="X188" s="539"/>
      <c r="Y188" s="539"/>
      <c r="Z188" s="539"/>
      <c r="AA188" s="538"/>
      <c r="AB188" s="539"/>
      <c r="AC188" s="539"/>
      <c r="AD188" s="539"/>
    </row>
    <row r="189" spans="2:30" customFormat="1">
      <c r="B189" s="527"/>
      <c r="C189" s="136"/>
      <c r="E189" s="136"/>
      <c r="T189" s="539"/>
      <c r="U189" s="538"/>
      <c r="V189" s="538"/>
      <c r="W189" s="538"/>
      <c r="X189" s="539"/>
      <c r="Y189" s="539"/>
      <c r="Z189" s="539"/>
      <c r="AA189" s="538"/>
      <c r="AB189" s="539"/>
      <c r="AC189" s="539"/>
      <c r="AD189" s="539"/>
    </row>
    <row r="190" spans="2:30" customFormat="1">
      <c r="B190" s="527"/>
      <c r="C190" s="136"/>
      <c r="E190" s="136"/>
      <c r="T190" s="539"/>
      <c r="U190" s="538"/>
      <c r="V190" s="538"/>
      <c r="W190" s="538"/>
      <c r="X190" s="539"/>
      <c r="Y190" s="539"/>
      <c r="Z190" s="539"/>
      <c r="AA190" s="538"/>
      <c r="AB190" s="539"/>
      <c r="AC190" s="539"/>
      <c r="AD190" s="539"/>
    </row>
    <row r="191" spans="2:30" customFormat="1">
      <c r="B191" s="527"/>
      <c r="C191" s="136"/>
      <c r="E191" s="136"/>
      <c r="T191" s="539"/>
      <c r="U191" s="538"/>
      <c r="V191" s="538"/>
      <c r="W191" s="538"/>
      <c r="X191" s="539"/>
      <c r="Y191" s="539"/>
      <c r="Z191" s="539"/>
      <c r="AA191" s="538"/>
      <c r="AB191" s="539"/>
      <c r="AC191" s="539"/>
      <c r="AD191" s="539"/>
    </row>
    <row r="192" spans="2:30" customFormat="1">
      <c r="B192" s="527"/>
      <c r="C192" s="136"/>
      <c r="E192" s="136"/>
      <c r="T192" s="539"/>
      <c r="U192" s="538"/>
      <c r="V192" s="538"/>
      <c r="W192" s="538"/>
      <c r="X192" s="539"/>
      <c r="Y192" s="539"/>
      <c r="Z192" s="539"/>
      <c r="AA192" s="538"/>
      <c r="AB192" s="539"/>
      <c r="AC192" s="539"/>
      <c r="AD192" s="539"/>
    </row>
    <row r="193" spans="2:30" customFormat="1">
      <c r="B193" s="527"/>
      <c r="C193" s="136"/>
      <c r="E193" s="136"/>
      <c r="T193" s="539"/>
      <c r="U193" s="538"/>
      <c r="V193" s="538"/>
      <c r="W193" s="538"/>
      <c r="X193" s="539"/>
      <c r="Y193" s="539"/>
      <c r="Z193" s="539"/>
      <c r="AA193" s="538"/>
      <c r="AB193" s="539"/>
      <c r="AC193" s="539"/>
      <c r="AD193" s="539"/>
    </row>
    <row r="194" spans="2:30" customFormat="1">
      <c r="B194" s="527"/>
      <c r="C194" s="136"/>
      <c r="E194" s="136"/>
      <c r="T194" s="539"/>
      <c r="U194" s="538"/>
      <c r="V194" s="538"/>
      <c r="W194" s="538"/>
      <c r="X194" s="539"/>
      <c r="Y194" s="539"/>
      <c r="Z194" s="539"/>
      <c r="AA194" s="538"/>
      <c r="AB194" s="539"/>
      <c r="AC194" s="539"/>
      <c r="AD194" s="539"/>
    </row>
    <row r="195" spans="2:30" customFormat="1">
      <c r="B195" s="527"/>
      <c r="C195" s="136"/>
      <c r="E195" s="136"/>
      <c r="T195" s="539"/>
      <c r="U195" s="538"/>
      <c r="V195" s="538"/>
      <c r="W195" s="538"/>
      <c r="X195" s="539"/>
      <c r="Y195" s="539"/>
      <c r="Z195" s="539"/>
      <c r="AA195" s="538"/>
      <c r="AB195" s="539"/>
      <c r="AC195" s="539"/>
      <c r="AD195" s="539"/>
    </row>
    <row r="196" spans="2:30" customFormat="1">
      <c r="B196" s="527"/>
      <c r="C196" s="136"/>
      <c r="E196" s="136"/>
      <c r="T196" s="539"/>
      <c r="U196" s="538"/>
      <c r="V196" s="538"/>
      <c r="W196" s="538"/>
      <c r="X196" s="539"/>
      <c r="Y196" s="539"/>
      <c r="Z196" s="539"/>
      <c r="AA196" s="538"/>
      <c r="AB196" s="539"/>
      <c r="AC196" s="539"/>
      <c r="AD196" s="539"/>
    </row>
    <row r="197" spans="2:30" customFormat="1">
      <c r="B197" s="527"/>
      <c r="C197" s="136"/>
      <c r="E197" s="136"/>
      <c r="T197" s="539"/>
      <c r="U197" s="538"/>
      <c r="V197" s="538"/>
      <c r="W197" s="538"/>
      <c r="X197" s="539"/>
      <c r="Y197" s="539"/>
      <c r="Z197" s="539"/>
      <c r="AA197" s="538"/>
      <c r="AB197" s="539"/>
      <c r="AC197" s="539"/>
      <c r="AD197" s="539"/>
    </row>
    <row r="199" spans="2:30" customFormat="1">
      <c r="B199" s="527"/>
      <c r="C199" s="136"/>
      <c r="E199" s="136"/>
      <c r="T199" s="539"/>
      <c r="U199" s="538"/>
      <c r="V199" s="538"/>
      <c r="W199" s="538"/>
      <c r="X199" s="539"/>
      <c r="Y199" s="539"/>
      <c r="Z199" s="539"/>
      <c r="AA199" s="538"/>
      <c r="AB199" s="539"/>
      <c r="AC199" s="539"/>
      <c r="AD199" s="539"/>
    </row>
    <row r="200" spans="2:30" customFormat="1">
      <c r="B200" s="527"/>
      <c r="C200" s="136"/>
      <c r="E200" s="136"/>
      <c r="T200" s="539"/>
      <c r="U200" s="538"/>
      <c r="V200" s="538"/>
      <c r="W200" s="538"/>
      <c r="X200" s="539"/>
      <c r="Y200" s="539"/>
      <c r="Z200" s="539"/>
      <c r="AA200" s="538"/>
      <c r="AB200" s="539"/>
      <c r="AC200" s="539"/>
      <c r="AD200" s="539"/>
    </row>
    <row r="201" spans="2:30" customFormat="1">
      <c r="B201" s="527"/>
      <c r="C201" s="136"/>
      <c r="E201" s="136"/>
      <c r="T201" s="539"/>
      <c r="U201" s="538"/>
      <c r="V201" s="538"/>
      <c r="W201" s="538"/>
      <c r="X201" s="539"/>
      <c r="Y201" s="539"/>
      <c r="Z201" s="539"/>
      <c r="AA201" s="538"/>
      <c r="AB201" s="539"/>
      <c r="AC201" s="539"/>
      <c r="AD201" s="539"/>
    </row>
    <row r="202" spans="2:30" customFormat="1">
      <c r="B202" s="527"/>
      <c r="C202" s="136"/>
      <c r="E202" s="136"/>
      <c r="T202" s="539"/>
      <c r="U202" s="538"/>
      <c r="V202" s="538"/>
      <c r="W202" s="538"/>
      <c r="X202" s="539"/>
      <c r="Y202" s="539"/>
      <c r="Z202" s="539"/>
      <c r="AA202" s="538"/>
      <c r="AB202" s="539"/>
      <c r="AC202" s="539"/>
      <c r="AD202" s="539"/>
    </row>
    <row r="203" spans="2:30" customFormat="1">
      <c r="B203" s="527"/>
      <c r="C203" s="136"/>
      <c r="E203" s="136"/>
      <c r="T203" s="539"/>
      <c r="U203" s="538"/>
      <c r="V203" s="538"/>
      <c r="W203" s="538"/>
      <c r="X203" s="539"/>
      <c r="Y203" s="539"/>
      <c r="Z203" s="539"/>
      <c r="AA203" s="538"/>
      <c r="AB203" s="539"/>
      <c r="AC203" s="539"/>
      <c r="AD203" s="539"/>
    </row>
    <row r="204" spans="2:30" customFormat="1">
      <c r="B204" s="527"/>
      <c r="C204" s="136"/>
      <c r="E204" s="136"/>
      <c r="T204" s="539"/>
      <c r="U204" s="538"/>
      <c r="V204" s="538"/>
      <c r="W204" s="538"/>
      <c r="X204" s="539"/>
      <c r="Y204" s="539"/>
      <c r="Z204" s="539"/>
      <c r="AA204" s="538"/>
      <c r="AB204" s="539"/>
      <c r="AC204" s="539"/>
      <c r="AD204" s="539"/>
    </row>
    <row r="206" spans="2:30" customFormat="1">
      <c r="B206" s="527"/>
      <c r="C206" s="136"/>
      <c r="E206" s="136"/>
      <c r="T206" s="539"/>
      <c r="U206" s="538"/>
      <c r="V206" s="538"/>
      <c r="W206" s="538"/>
      <c r="X206" s="539"/>
      <c r="Y206" s="539"/>
      <c r="Z206" s="539"/>
      <c r="AA206" s="538"/>
      <c r="AB206" s="539"/>
      <c r="AC206" s="539"/>
      <c r="AD206" s="539"/>
    </row>
    <row r="208" spans="2:30" customFormat="1">
      <c r="B208" s="527"/>
      <c r="C208" s="136"/>
      <c r="E208" s="136"/>
      <c r="T208" s="539"/>
      <c r="U208" s="538"/>
      <c r="V208" s="538"/>
      <c r="W208" s="538"/>
      <c r="X208" s="539"/>
      <c r="Y208" s="539"/>
      <c r="Z208" s="539"/>
      <c r="AA208" s="538"/>
      <c r="AB208" s="539"/>
      <c r="AC208" s="539"/>
      <c r="AD208" s="539"/>
    </row>
    <row r="209" spans="2:30" customFormat="1">
      <c r="B209" s="527"/>
      <c r="C209" s="136"/>
      <c r="E209" s="136"/>
      <c r="T209" s="539"/>
      <c r="U209" s="538"/>
      <c r="V209" s="538"/>
      <c r="W209" s="538"/>
      <c r="X209" s="539"/>
      <c r="Y209" s="539"/>
      <c r="Z209" s="539"/>
      <c r="AA209" s="538"/>
      <c r="AB209" s="539"/>
      <c r="AC209" s="539"/>
      <c r="AD209" s="539"/>
    </row>
    <row r="210" spans="2:30" customFormat="1">
      <c r="B210" s="527"/>
      <c r="C210" s="136"/>
      <c r="E210" s="136"/>
      <c r="T210" s="539"/>
      <c r="U210" s="538"/>
      <c r="V210" s="538"/>
      <c r="W210" s="538"/>
      <c r="X210" s="539"/>
      <c r="Y210" s="539"/>
      <c r="Z210" s="539"/>
      <c r="AA210" s="538"/>
      <c r="AB210" s="539"/>
      <c r="AC210" s="539"/>
      <c r="AD210" s="539"/>
    </row>
    <row r="211" spans="2:30" customFormat="1">
      <c r="B211" s="527"/>
      <c r="C211" s="136"/>
      <c r="E211" s="136"/>
      <c r="T211" s="539"/>
      <c r="U211" s="538"/>
      <c r="V211" s="538"/>
      <c r="W211" s="538"/>
      <c r="X211" s="539"/>
      <c r="Y211" s="539"/>
      <c r="Z211" s="539"/>
      <c r="AA211" s="538"/>
      <c r="AB211" s="539"/>
      <c r="AC211" s="539"/>
      <c r="AD211" s="539"/>
    </row>
  </sheetData>
  <dataConsolidate topLabels="1" link="1">
    <dataRefs count="1">
      <dataRef ref="B1:AD76" sheet="BASE DATOS LEASING"/>
    </dataRefs>
  </dataConsolidate>
  <pageMargins left="0.7" right="0.7" top="0.75" bottom="0.75" header="0.3" footer="0.3"/>
  <pageSetup paperSize="9" scale="69" orientation="portrait"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6">
    <pageSetUpPr autoPageBreaks="0" fitToPage="1"/>
  </sheetPr>
  <dimension ref="B1:M137"/>
  <sheetViews>
    <sheetView showGridLines="0" showRowColHeaders="0" showZeros="0" zoomScaleNormal="100" zoomScaleSheetLayoutView="85" zoomScalePageLayoutView="55" workbookViewId="0">
      <pane xSplit="3" ySplit="13" topLeftCell="F30" activePane="bottomRight" state="frozen"/>
      <selection activeCell="G9" sqref="G9"/>
      <selection pane="topRight" activeCell="G9" sqref="G9"/>
      <selection pane="bottomLeft" activeCell="G9" sqref="G9"/>
      <selection pane="bottomRight" activeCell="L35" sqref="L35"/>
    </sheetView>
  </sheetViews>
  <sheetFormatPr baseColWidth="10" defaultColWidth="21" defaultRowHeight="15" customHeight="1" zeroHeight="1" outlineLevelRow="1"/>
  <cols>
    <col min="1" max="1" width="2" customWidth="1"/>
    <col min="2" max="2" width="7.5546875" customWidth="1"/>
    <col min="3" max="3" width="42.44140625" customWidth="1"/>
    <col min="4" max="11" width="20" customWidth="1"/>
  </cols>
  <sheetData>
    <row r="1" spans="2:13" ht="15" customHeight="1"/>
    <row r="2" spans="2:13" ht="9" customHeight="1"/>
    <row r="3" spans="2:13" ht="5.25" customHeight="1">
      <c r="C3" s="1"/>
    </row>
    <row r="4" spans="2:13" ht="5.25" customHeight="1"/>
    <row r="5" spans="2:13" ht="21">
      <c r="C5" s="35" t="str">
        <f>+MENU!C5</f>
        <v>Sociedad:</v>
      </c>
      <c r="D5" s="2254" t="str">
        <f>+MENU!E5</f>
        <v>MARIO PILATO BLAT, S.A.</v>
      </c>
      <c r="E5" s="2255"/>
      <c r="F5" s="2255"/>
      <c r="J5" s="40"/>
    </row>
    <row r="6" spans="2:13" ht="12.75" customHeight="1"/>
    <row r="7" spans="2:13" ht="18">
      <c r="C7" s="35" t="str">
        <f>+instrucciones!$C$7</f>
        <v>Fecha de cierre</v>
      </c>
      <c r="D7" s="2261">
        <f>+MENU!D7</f>
        <v>45657</v>
      </c>
      <c r="E7" s="2261"/>
      <c r="F7" s="2261"/>
      <c r="I7" s="34"/>
    </row>
    <row r="8" spans="2:13" ht="15" customHeight="1">
      <c r="C8" s="2"/>
      <c r="E8" s="3"/>
      <c r="F8" s="3"/>
      <c r="G8" s="3"/>
      <c r="H8" s="3"/>
      <c r="I8" s="3"/>
      <c r="J8" s="3"/>
    </row>
    <row r="9" spans="2:13" ht="15" customHeight="1"/>
    <row r="10" spans="2:13" ht="15" customHeight="1"/>
    <row r="11" spans="2:13" ht="15" customHeight="1"/>
    <row r="12" spans="2:13" ht="6" customHeight="1"/>
    <row r="13" spans="2:13" ht="22.5" customHeight="1">
      <c r="C13" s="2333" t="s">
        <v>927</v>
      </c>
      <c r="D13" s="2334"/>
    </row>
    <row r="14" spans="2:13" ht="6" customHeight="1"/>
    <row r="15" spans="2:13" s="1341" customFormat="1" ht="21">
      <c r="C15" s="1342" t="s">
        <v>931</v>
      </c>
      <c r="D15" s="2335" t="s">
        <v>928</v>
      </c>
      <c r="E15" s="2335"/>
      <c r="F15" s="2335" t="s">
        <v>929</v>
      </c>
      <c r="G15" s="2335"/>
      <c r="H15" s="2335" t="s">
        <v>944</v>
      </c>
      <c r="I15" s="2335"/>
      <c r="J15" s="2335" t="s">
        <v>930</v>
      </c>
      <c r="K15" s="2335"/>
      <c r="L15" s="2332" t="s">
        <v>1485</v>
      </c>
      <c r="M15" s="2332"/>
    </row>
    <row r="16" spans="2:13" s="1341" customFormat="1" ht="18">
      <c r="B16" s="1343" t="s">
        <v>1715</v>
      </c>
      <c r="C16" s="1344" t="s">
        <v>1716</v>
      </c>
      <c r="D16" s="1345" t="s">
        <v>932</v>
      </c>
      <c r="E16" s="1346" t="s">
        <v>933</v>
      </c>
      <c r="F16" s="1345" t="s">
        <v>932</v>
      </c>
      <c r="G16" s="1346" t="s">
        <v>933</v>
      </c>
      <c r="H16" s="1345" t="s">
        <v>932</v>
      </c>
      <c r="I16" s="1346" t="s">
        <v>933</v>
      </c>
      <c r="J16" s="1345" t="s">
        <v>932</v>
      </c>
      <c r="K16" s="1346" t="s">
        <v>933</v>
      </c>
      <c r="L16" s="1347" t="s">
        <v>932</v>
      </c>
      <c r="M16" s="1348" t="s">
        <v>933</v>
      </c>
    </row>
    <row r="17" spans="2:13" s="1341" customFormat="1" ht="22.5" customHeight="1">
      <c r="B17" s="1349">
        <v>1</v>
      </c>
      <c r="C17" s="1350" t="s">
        <v>946</v>
      </c>
      <c r="D17" s="1351">
        <v>182239.18</v>
      </c>
      <c r="E17" s="1352">
        <v>44505.11</v>
      </c>
      <c r="F17" s="1351"/>
      <c r="G17" s="1352"/>
      <c r="H17" s="1351">
        <v>1680.45</v>
      </c>
      <c r="I17" s="1352">
        <v>231</v>
      </c>
      <c r="J17" s="1351"/>
      <c r="K17" s="1352"/>
      <c r="L17" s="1353">
        <f>+D17+F17+H17+J17</f>
        <v>183919.63</v>
      </c>
      <c r="M17" s="1354">
        <f t="shared" ref="M17:M27" si="0">+E17+G17+I17+K17</f>
        <v>44736.11</v>
      </c>
    </row>
    <row r="18" spans="2:13" s="1341" customFormat="1" ht="22.5" customHeight="1">
      <c r="B18" s="1349">
        <v>2</v>
      </c>
      <c r="C18" s="1355" t="s">
        <v>947</v>
      </c>
      <c r="D18" s="1351">
        <v>153269.72</v>
      </c>
      <c r="E18" s="1352">
        <v>33942.699999999997</v>
      </c>
      <c r="F18" s="1351"/>
      <c r="G18" s="1352"/>
      <c r="H18" s="1351">
        <v>4735.5</v>
      </c>
      <c r="I18" s="1352">
        <v>710.33</v>
      </c>
      <c r="J18" s="1351"/>
      <c r="K18" s="1352"/>
      <c r="L18" s="1353">
        <f t="shared" ref="L18:L27" si="1">+D18+F18+H18+J18</f>
        <v>158005.22</v>
      </c>
      <c r="M18" s="1354">
        <f t="shared" si="0"/>
        <v>34653.03</v>
      </c>
    </row>
    <row r="19" spans="2:13" s="1341" customFormat="1" ht="22.5" customHeight="1">
      <c r="B19" s="1356">
        <v>3</v>
      </c>
      <c r="C19" s="1357" t="s">
        <v>948</v>
      </c>
      <c r="D19" s="1351">
        <v>545970.11</v>
      </c>
      <c r="E19" s="1352">
        <v>153561.56</v>
      </c>
      <c r="F19" s="1351"/>
      <c r="G19" s="1352"/>
      <c r="H19" s="1351">
        <v>20160.03</v>
      </c>
      <c r="I19" s="1352">
        <v>3024</v>
      </c>
      <c r="J19" s="1351"/>
      <c r="K19" s="1352"/>
      <c r="L19" s="1353">
        <f t="shared" si="1"/>
        <v>566130.14</v>
      </c>
      <c r="M19" s="1354">
        <f t="shared" si="0"/>
        <v>156585.56</v>
      </c>
    </row>
    <row r="20" spans="2:13" s="1341" customFormat="1" ht="22.5" customHeight="1">
      <c r="B20" s="1349">
        <v>4</v>
      </c>
      <c r="C20" s="1355" t="s">
        <v>949</v>
      </c>
      <c r="D20" s="1351">
        <v>157025.4</v>
      </c>
      <c r="E20" s="1352">
        <v>34746.5</v>
      </c>
      <c r="F20" s="1351"/>
      <c r="G20" s="1352"/>
      <c r="H20" s="1351">
        <v>30217.360000000001</v>
      </c>
      <c r="I20" s="1352">
        <v>4511.41</v>
      </c>
      <c r="J20" s="1351"/>
      <c r="K20" s="1352"/>
      <c r="L20" s="1353">
        <f t="shared" si="1"/>
        <v>187242.76</v>
      </c>
      <c r="M20" s="1354">
        <f t="shared" si="0"/>
        <v>39257.910000000003</v>
      </c>
    </row>
    <row r="21" spans="2:13" s="1341" customFormat="1" ht="22.5" customHeight="1">
      <c r="B21" s="1349">
        <v>5</v>
      </c>
      <c r="C21" s="1355" t="s">
        <v>950</v>
      </c>
      <c r="D21" s="1351">
        <v>162771.29999999999</v>
      </c>
      <c r="E21" s="1352">
        <v>35784.83</v>
      </c>
      <c r="F21" s="1351"/>
      <c r="G21" s="1352"/>
      <c r="H21" s="1351">
        <v>6452</v>
      </c>
      <c r="I21" s="1352">
        <v>967.8</v>
      </c>
      <c r="J21" s="1351"/>
      <c r="K21" s="1352"/>
      <c r="L21" s="1353">
        <f t="shared" si="1"/>
        <v>169223.3</v>
      </c>
      <c r="M21" s="1354">
        <f t="shared" si="0"/>
        <v>36752.630000000005</v>
      </c>
    </row>
    <row r="22" spans="2:13" s="1341" customFormat="1" ht="22.5" customHeight="1">
      <c r="B22" s="1356">
        <v>6</v>
      </c>
      <c r="C22" s="1357" t="s">
        <v>951</v>
      </c>
      <c r="D22" s="1351">
        <v>553247.68999999994</v>
      </c>
      <c r="E22" s="1352">
        <v>155602.79999999999</v>
      </c>
      <c r="F22" s="1351"/>
      <c r="G22" s="1352"/>
      <c r="H22" s="1351">
        <v>12284.72</v>
      </c>
      <c r="I22" s="1352">
        <v>1830.55</v>
      </c>
      <c r="J22" s="1351"/>
      <c r="K22" s="1352"/>
      <c r="L22" s="1353">
        <f t="shared" si="1"/>
        <v>565532.40999999992</v>
      </c>
      <c r="M22" s="1354">
        <f t="shared" si="0"/>
        <v>157433.34999999998</v>
      </c>
    </row>
    <row r="23" spans="2:13" s="1341" customFormat="1" ht="22.5" customHeight="1">
      <c r="B23" s="1349">
        <v>7</v>
      </c>
      <c r="C23" s="1355" t="s">
        <v>952</v>
      </c>
      <c r="D23" s="1351">
        <v>154344.91</v>
      </c>
      <c r="E23" s="1352">
        <v>34417.54</v>
      </c>
      <c r="F23" s="1351"/>
      <c r="G23" s="1352"/>
      <c r="H23" s="1351">
        <v>1677.75</v>
      </c>
      <c r="I23" s="1352">
        <v>251.66</v>
      </c>
      <c r="J23" s="1351"/>
      <c r="K23" s="1352"/>
      <c r="L23" s="1353">
        <f t="shared" si="1"/>
        <v>156022.66</v>
      </c>
      <c r="M23" s="1354">
        <f t="shared" si="0"/>
        <v>34669.200000000004</v>
      </c>
    </row>
    <row r="24" spans="2:13" s="1341" customFormat="1" ht="22.5" customHeight="1">
      <c r="B24" s="1349">
        <v>8</v>
      </c>
      <c r="C24" s="1355" t="s">
        <v>953</v>
      </c>
      <c r="D24" s="1351">
        <v>151737.67000000001</v>
      </c>
      <c r="E24" s="1352">
        <v>34045.33</v>
      </c>
      <c r="F24" s="1351"/>
      <c r="G24" s="1352"/>
      <c r="H24" s="1351">
        <v>1273</v>
      </c>
      <c r="I24" s="1352">
        <v>190.95</v>
      </c>
      <c r="J24" s="1351"/>
      <c r="K24" s="1352"/>
      <c r="L24" s="1353">
        <f t="shared" si="1"/>
        <v>153010.67000000001</v>
      </c>
      <c r="M24" s="1354">
        <f t="shared" si="0"/>
        <v>34236.28</v>
      </c>
    </row>
    <row r="25" spans="2:13" s="1341" customFormat="1" ht="22.5" customHeight="1">
      <c r="B25" s="1356">
        <v>9</v>
      </c>
      <c r="C25" s="1357" t="s">
        <v>954</v>
      </c>
      <c r="D25" s="1351">
        <v>406248.71</v>
      </c>
      <c r="E25" s="1352">
        <v>122691.92</v>
      </c>
      <c r="F25" s="1351"/>
      <c r="G25" s="1352"/>
      <c r="H25" s="1351">
        <v>55238.59</v>
      </c>
      <c r="I25" s="1352">
        <v>8285.7900000000009</v>
      </c>
      <c r="J25" s="1351"/>
      <c r="K25" s="1352"/>
      <c r="L25" s="1353">
        <f t="shared" si="1"/>
        <v>461487.30000000005</v>
      </c>
      <c r="M25" s="1354">
        <f t="shared" si="0"/>
        <v>130977.70999999999</v>
      </c>
    </row>
    <row r="26" spans="2:13" s="1341" customFormat="1" ht="22.5" customHeight="1">
      <c r="B26" s="1349">
        <v>10</v>
      </c>
      <c r="C26" s="1355" t="s">
        <v>955</v>
      </c>
      <c r="D26" s="1351">
        <v>157869.42000000001</v>
      </c>
      <c r="E26" s="1352">
        <v>35080.49</v>
      </c>
      <c r="F26" s="1351"/>
      <c r="G26" s="1352"/>
      <c r="H26" s="1351">
        <v>1831</v>
      </c>
      <c r="I26" s="1352">
        <v>274.64999999999998</v>
      </c>
      <c r="J26" s="1351"/>
      <c r="K26" s="1352"/>
      <c r="L26" s="1353">
        <f t="shared" si="1"/>
        <v>159700.42000000001</v>
      </c>
      <c r="M26" s="1354">
        <f t="shared" si="0"/>
        <v>35355.14</v>
      </c>
    </row>
    <row r="27" spans="2:13" s="1341" customFormat="1" ht="22.5" customHeight="1">
      <c r="B27" s="1349">
        <v>11</v>
      </c>
      <c r="C27" s="1355" t="s">
        <v>956</v>
      </c>
      <c r="D27" s="1351">
        <v>164978.47</v>
      </c>
      <c r="E27" s="1352">
        <v>37044.53</v>
      </c>
      <c r="F27" s="1351"/>
      <c r="G27" s="1352"/>
      <c r="H27" s="1351">
        <v>95972.2</v>
      </c>
      <c r="I27" s="1352">
        <v>14395.83</v>
      </c>
      <c r="J27" s="1351"/>
      <c r="K27" s="1352"/>
      <c r="L27" s="1353">
        <f t="shared" si="1"/>
        <v>260950.66999999998</v>
      </c>
      <c r="M27" s="1354">
        <f t="shared" si="0"/>
        <v>51440.36</v>
      </c>
    </row>
    <row r="28" spans="2:13" s="1341" customFormat="1" ht="22.5" customHeight="1">
      <c r="B28" s="1356">
        <v>12</v>
      </c>
      <c r="C28" s="1357" t="s">
        <v>957</v>
      </c>
      <c r="D28" s="1351">
        <v>564053.36</v>
      </c>
      <c r="E28" s="1358">
        <v>160190.98000000001</v>
      </c>
      <c r="F28" s="1359"/>
      <c r="G28" s="1358"/>
      <c r="H28" s="1359">
        <v>62614.73</v>
      </c>
      <c r="I28" s="1358">
        <v>9371.2800000000007</v>
      </c>
      <c r="J28" s="1359"/>
      <c r="K28" s="1358"/>
      <c r="L28" s="1360">
        <f>+D28+F28+H28+J28</f>
        <v>626668.09</v>
      </c>
      <c r="M28" s="1361">
        <f>+E28+G28+I28+K28</f>
        <v>169562.26</v>
      </c>
    </row>
    <row r="29" spans="2:13" s="1341" customFormat="1" ht="3.75" customHeight="1">
      <c r="D29" s="1362"/>
      <c r="E29" s="1363"/>
      <c r="F29" s="1362"/>
      <c r="G29" s="1363"/>
      <c r="H29" s="1362"/>
      <c r="I29" s="1363"/>
      <c r="J29" s="1362"/>
      <c r="K29" s="1363"/>
      <c r="L29" s="1362"/>
      <c r="M29" s="1363"/>
    </row>
    <row r="30" spans="2:13" s="1341" customFormat="1" ht="18.75" customHeight="1">
      <c r="C30" s="1364" t="s">
        <v>959</v>
      </c>
      <c r="D30" s="1365">
        <f>SUM(D17:D29)</f>
        <v>3353755.94</v>
      </c>
      <c r="E30" s="1366">
        <f>SUM(E17:E29)</f>
        <v>881614.29</v>
      </c>
      <c r="F30" s="1365">
        <f t="shared" ref="F30:K30" si="2">SUM(F17:F29)</f>
        <v>0</v>
      </c>
      <c r="G30" s="1366">
        <f t="shared" si="2"/>
        <v>0</v>
      </c>
      <c r="H30" s="1365">
        <f t="shared" si="2"/>
        <v>294137.32999999996</v>
      </c>
      <c r="I30" s="1366">
        <f t="shared" si="2"/>
        <v>44045.25</v>
      </c>
      <c r="J30" s="1365">
        <f t="shared" si="2"/>
        <v>0</v>
      </c>
      <c r="K30" s="1366">
        <f t="shared" si="2"/>
        <v>0</v>
      </c>
      <c r="L30" s="1367">
        <f>SUM(L17:L29)</f>
        <v>3647893.2699999996</v>
      </c>
      <c r="M30" s="1366">
        <f>SUM(M17:M29)</f>
        <v>925659.53999999992</v>
      </c>
    </row>
    <row r="31" spans="2:13" s="1341" customFormat="1" ht="18.75" customHeight="1">
      <c r="E31" s="1368"/>
      <c r="G31" s="1368"/>
      <c r="I31" s="1368"/>
      <c r="K31" s="1368"/>
      <c r="M31" s="1368"/>
    </row>
    <row r="32" spans="2:13" s="1341" customFormat="1" ht="18.75" customHeight="1">
      <c r="C32" s="1369" t="s">
        <v>934</v>
      </c>
      <c r="D32" s="1370">
        <f>3684175.8-H32-D36</f>
        <v>3353755.94</v>
      </c>
      <c r="E32" s="1371">
        <f>925659.54-I32</f>
        <v>881614.29</v>
      </c>
      <c r="F32" s="1370"/>
      <c r="G32" s="1371"/>
      <c r="H32" s="1370">
        <f>388.66+211220.1+610.83+23436+5220+2246.47+936+4954.25+360+3435.24+80.84+41099.41+149.53</f>
        <v>294137.33</v>
      </c>
      <c r="I32" s="1371">
        <f>3.88+31683.02+91.62+3515.4+783+336.97+140.4+743.14+54+515.29+12.12+6164.91+1.5</f>
        <v>44045.25</v>
      </c>
      <c r="J32" s="1370"/>
      <c r="K32" s="1371"/>
      <c r="L32" s="1372">
        <f>+D32+F32+H32+J32+D36</f>
        <v>3684175.8</v>
      </c>
      <c r="M32" s="1371">
        <f>+E32+G32+I32+K32</f>
        <v>925659.54</v>
      </c>
    </row>
    <row r="33" spans="2:13" s="1341" customFormat="1" ht="18.75" customHeight="1"/>
    <row r="34" spans="2:13" s="1341" customFormat="1" ht="18.75" customHeight="1">
      <c r="C34" s="1373" t="s">
        <v>935</v>
      </c>
      <c r="D34" s="1374">
        <f>+D30-D32</f>
        <v>0</v>
      </c>
      <c r="E34" s="1374">
        <f t="shared" ref="E34:K34" si="3">+E30-E32</f>
        <v>0</v>
      </c>
      <c r="F34" s="1374">
        <f t="shared" si="3"/>
        <v>0</v>
      </c>
      <c r="G34" s="1374">
        <f t="shared" si="3"/>
        <v>0</v>
      </c>
      <c r="H34" s="1374">
        <f t="shared" si="3"/>
        <v>0</v>
      </c>
      <c r="I34" s="1374">
        <f t="shared" si="3"/>
        <v>0</v>
      </c>
      <c r="J34" s="1374">
        <f t="shared" si="3"/>
        <v>0</v>
      </c>
      <c r="K34" s="1374">
        <f t="shared" si="3"/>
        <v>0</v>
      </c>
      <c r="L34" s="1375">
        <f>+L30-L32+D36</f>
        <v>-3.2014213502407074E-10</v>
      </c>
      <c r="M34" s="1375">
        <f>+M30-M32</f>
        <v>0</v>
      </c>
    </row>
    <row r="35" spans="2:13" s="1341" customFormat="1" ht="18.75" customHeight="1">
      <c r="C35" s="1376"/>
      <c r="D35" s="1377"/>
      <c r="E35" s="1377"/>
      <c r="F35" s="1377"/>
      <c r="G35" s="1377"/>
      <c r="H35" s="1377"/>
      <c r="I35" s="1377"/>
      <c r="J35" s="1377"/>
      <c r="K35" s="1377"/>
    </row>
    <row r="36" spans="2:13" s="1341" customFormat="1" ht="18.75" customHeight="1">
      <c r="C36" s="1373" t="s">
        <v>960</v>
      </c>
      <c r="D36" s="1378">
        <f>8.52+8.52+8.04+8.4+8.52+8.52+9.6+8.52+8.05+8.52+8.52+1.68+8.52+1.44+8.52+8.52+9.6+7.43+9.6+8.52+8.52+8.52+8.52+6.7+8.5+8.52+8.52+8.52+35858.52+1.31+8.52+9.6+8.52+8.52+8.52+8.52+8.52+8.85+8.52+8.52+8.52+8.52+8.52+8.52+9.6+8.52+0.97+9.6+7.55+8.52+7.83+8.5+8.52+8.52</f>
        <v>36282.529999999941</v>
      </c>
      <c r="E36" s="1377"/>
      <c r="F36" s="1377"/>
      <c r="G36" s="1377"/>
      <c r="H36" s="1377"/>
      <c r="I36" s="1377"/>
      <c r="J36" s="1377"/>
      <c r="K36" s="1377"/>
    </row>
    <row r="37" spans="2:13" s="1341" customFormat="1" ht="15" customHeight="1"/>
    <row r="38" spans="2:13" s="1341" customFormat="1" ht="21.6" hidden="1" outlineLevel="1" thickTop="1">
      <c r="B38" s="1379"/>
      <c r="C38" s="1380" t="s">
        <v>931</v>
      </c>
      <c r="D38" s="2336" t="s">
        <v>928</v>
      </c>
      <c r="E38" s="2336"/>
      <c r="F38" s="2336" t="s">
        <v>929</v>
      </c>
      <c r="G38" s="2336"/>
      <c r="H38" s="2336" t="s">
        <v>944</v>
      </c>
      <c r="I38" s="2336"/>
      <c r="J38" s="2336" t="s">
        <v>930</v>
      </c>
      <c r="K38" s="2336"/>
      <c r="L38" s="2337" t="s">
        <v>1485</v>
      </c>
      <c r="M38" s="2337"/>
    </row>
    <row r="39" spans="2:13" s="1341" customFormat="1" ht="18" hidden="1" outlineLevel="1">
      <c r="B39" s="1343" t="s">
        <v>1715</v>
      </c>
      <c r="D39" s="1345" t="s">
        <v>932</v>
      </c>
      <c r="E39" s="1346" t="s">
        <v>933</v>
      </c>
      <c r="F39" s="1345" t="s">
        <v>932</v>
      </c>
      <c r="G39" s="1346" t="s">
        <v>933</v>
      </c>
      <c r="H39" s="1345" t="s">
        <v>932</v>
      </c>
      <c r="I39" s="1346" t="s">
        <v>933</v>
      </c>
      <c r="J39" s="1345" t="s">
        <v>932</v>
      </c>
      <c r="K39" s="1346" t="s">
        <v>933</v>
      </c>
      <c r="L39" s="1347" t="s">
        <v>932</v>
      </c>
      <c r="M39" s="1348" t="s">
        <v>933</v>
      </c>
    </row>
    <row r="40" spans="2:13" s="1341" customFormat="1" ht="22.5" hidden="1" customHeight="1" outlineLevel="1">
      <c r="B40" s="1349">
        <v>1</v>
      </c>
      <c r="C40" s="1350" t="s">
        <v>946</v>
      </c>
      <c r="D40" s="1351"/>
      <c r="E40" s="1352"/>
      <c r="F40" s="1351"/>
      <c r="G40" s="1352"/>
      <c r="H40" s="1351"/>
      <c r="I40" s="1352"/>
      <c r="J40" s="1351"/>
      <c r="K40" s="1352"/>
      <c r="L40" s="1353">
        <f>+D40+F40+H40+J40</f>
        <v>0</v>
      </c>
      <c r="M40" s="1354">
        <f t="shared" ref="M40:M51" si="4">+E40+G40+I40+K40</f>
        <v>0</v>
      </c>
    </row>
    <row r="41" spans="2:13" s="1341" customFormat="1" ht="22.5" hidden="1" customHeight="1" outlineLevel="1">
      <c r="B41" s="1349">
        <v>2</v>
      </c>
      <c r="C41" s="1355" t="s">
        <v>947</v>
      </c>
      <c r="D41" s="1351"/>
      <c r="E41" s="1352"/>
      <c r="F41" s="1351"/>
      <c r="G41" s="1352"/>
      <c r="H41" s="1351"/>
      <c r="I41" s="1352"/>
      <c r="J41" s="1351"/>
      <c r="K41" s="1352"/>
      <c r="L41" s="1353">
        <f t="shared" ref="L41:L51" si="5">+D41+F41+H41+J41</f>
        <v>0</v>
      </c>
      <c r="M41" s="1354">
        <f t="shared" si="4"/>
        <v>0</v>
      </c>
    </row>
    <row r="42" spans="2:13" s="1341" customFormat="1" ht="22.5" hidden="1" customHeight="1" outlineLevel="1">
      <c r="B42" s="1356">
        <v>3</v>
      </c>
      <c r="C42" s="1355" t="s">
        <v>948</v>
      </c>
      <c r="D42" s="1351"/>
      <c r="E42" s="1352"/>
      <c r="F42" s="1351"/>
      <c r="G42" s="1352"/>
      <c r="H42" s="1351"/>
      <c r="I42" s="1352"/>
      <c r="J42" s="1351"/>
      <c r="K42" s="1352"/>
      <c r="L42" s="1353">
        <f t="shared" si="5"/>
        <v>0</v>
      </c>
      <c r="M42" s="1354">
        <f t="shared" si="4"/>
        <v>0</v>
      </c>
    </row>
    <row r="43" spans="2:13" s="1341" customFormat="1" ht="22.5" hidden="1" customHeight="1" outlineLevel="1">
      <c r="B43" s="1349">
        <v>4</v>
      </c>
      <c r="C43" s="1355" t="s">
        <v>949</v>
      </c>
      <c r="D43" s="1351"/>
      <c r="E43" s="1352"/>
      <c r="F43" s="1351"/>
      <c r="G43" s="1352"/>
      <c r="H43" s="1351"/>
      <c r="I43" s="1352"/>
      <c r="J43" s="1351"/>
      <c r="K43" s="1352"/>
      <c r="L43" s="1353">
        <f t="shared" si="5"/>
        <v>0</v>
      </c>
      <c r="M43" s="1354">
        <f t="shared" si="4"/>
        <v>0</v>
      </c>
    </row>
    <row r="44" spans="2:13" s="1341" customFormat="1" ht="22.5" hidden="1" customHeight="1" outlineLevel="1">
      <c r="B44" s="1349">
        <v>5</v>
      </c>
      <c r="C44" s="1355" t="s">
        <v>950</v>
      </c>
      <c r="D44" s="1351"/>
      <c r="E44" s="1352"/>
      <c r="F44" s="1351"/>
      <c r="G44" s="1352"/>
      <c r="H44" s="1351"/>
      <c r="I44" s="1352"/>
      <c r="J44" s="1351"/>
      <c r="K44" s="1352"/>
      <c r="L44" s="1353">
        <f t="shared" si="5"/>
        <v>0</v>
      </c>
      <c r="M44" s="1354">
        <f t="shared" si="4"/>
        <v>0</v>
      </c>
    </row>
    <row r="45" spans="2:13" s="1341" customFormat="1" ht="22.5" hidden="1" customHeight="1" outlineLevel="1">
      <c r="B45" s="1356">
        <v>6</v>
      </c>
      <c r="C45" s="1355" t="s">
        <v>951</v>
      </c>
      <c r="D45" s="1351"/>
      <c r="E45" s="1352"/>
      <c r="F45" s="1351"/>
      <c r="G45" s="1352"/>
      <c r="H45" s="1351"/>
      <c r="I45" s="1352"/>
      <c r="J45" s="1351"/>
      <c r="K45" s="1352"/>
      <c r="L45" s="1353">
        <f t="shared" si="5"/>
        <v>0</v>
      </c>
      <c r="M45" s="1354">
        <f t="shared" si="4"/>
        <v>0</v>
      </c>
    </row>
    <row r="46" spans="2:13" s="1341" customFormat="1" ht="22.5" hidden="1" customHeight="1" outlineLevel="1">
      <c r="B46" s="1349">
        <v>7</v>
      </c>
      <c r="C46" s="1355" t="s">
        <v>952</v>
      </c>
      <c r="D46" s="1351"/>
      <c r="E46" s="1352"/>
      <c r="F46" s="1351"/>
      <c r="G46" s="1352"/>
      <c r="H46" s="1351"/>
      <c r="I46" s="1352"/>
      <c r="J46" s="1351"/>
      <c r="K46" s="1352"/>
      <c r="L46" s="1353">
        <f t="shared" si="5"/>
        <v>0</v>
      </c>
      <c r="M46" s="1354">
        <f t="shared" si="4"/>
        <v>0</v>
      </c>
    </row>
    <row r="47" spans="2:13" s="1341" customFormat="1" ht="22.5" hidden="1" customHeight="1" outlineLevel="1">
      <c r="B47" s="1349">
        <v>8</v>
      </c>
      <c r="C47" s="1355" t="s">
        <v>953</v>
      </c>
      <c r="D47" s="1351"/>
      <c r="E47" s="1352"/>
      <c r="F47" s="1351"/>
      <c r="G47" s="1352"/>
      <c r="H47" s="1351"/>
      <c r="I47" s="1352"/>
      <c r="J47" s="1351"/>
      <c r="K47" s="1352"/>
      <c r="L47" s="1353">
        <f t="shared" si="5"/>
        <v>0</v>
      </c>
      <c r="M47" s="1354">
        <f t="shared" si="4"/>
        <v>0</v>
      </c>
    </row>
    <row r="48" spans="2:13" s="1341" customFormat="1" ht="22.5" hidden="1" customHeight="1" outlineLevel="1">
      <c r="B48" s="1356">
        <v>9</v>
      </c>
      <c r="C48" s="1355" t="s">
        <v>954</v>
      </c>
      <c r="D48" s="1351"/>
      <c r="E48" s="1352"/>
      <c r="F48" s="1351"/>
      <c r="G48" s="1352"/>
      <c r="H48" s="1351"/>
      <c r="I48" s="1352"/>
      <c r="J48" s="1351"/>
      <c r="K48" s="1352"/>
      <c r="L48" s="1353">
        <f t="shared" si="5"/>
        <v>0</v>
      </c>
      <c r="M48" s="1354">
        <f t="shared" si="4"/>
        <v>0</v>
      </c>
    </row>
    <row r="49" spans="2:13" s="1341" customFormat="1" ht="22.5" hidden="1" customHeight="1" outlineLevel="1">
      <c r="B49" s="1349">
        <v>10</v>
      </c>
      <c r="C49" s="1355" t="s">
        <v>955</v>
      </c>
      <c r="D49" s="1351"/>
      <c r="E49" s="1352"/>
      <c r="F49" s="1351"/>
      <c r="G49" s="1352"/>
      <c r="H49" s="1351"/>
      <c r="I49" s="1352"/>
      <c r="J49" s="1351"/>
      <c r="K49" s="1352"/>
      <c r="L49" s="1353">
        <f t="shared" si="5"/>
        <v>0</v>
      </c>
      <c r="M49" s="1354">
        <f t="shared" si="4"/>
        <v>0</v>
      </c>
    </row>
    <row r="50" spans="2:13" s="1341" customFormat="1" ht="22.5" hidden="1" customHeight="1" outlineLevel="1">
      <c r="B50" s="1349">
        <v>11</v>
      </c>
      <c r="C50" s="1355" t="s">
        <v>956</v>
      </c>
      <c r="D50" s="1351"/>
      <c r="E50" s="1352"/>
      <c r="F50" s="1351"/>
      <c r="G50" s="1352"/>
      <c r="H50" s="1351"/>
      <c r="I50" s="1352"/>
      <c r="J50" s="1351"/>
      <c r="K50" s="1352"/>
      <c r="L50" s="1353">
        <f t="shared" si="5"/>
        <v>0</v>
      </c>
      <c r="M50" s="1354">
        <f t="shared" si="4"/>
        <v>0</v>
      </c>
    </row>
    <row r="51" spans="2:13" s="1341" customFormat="1" ht="22.5" hidden="1" customHeight="1" outlineLevel="1">
      <c r="B51" s="1356">
        <v>12</v>
      </c>
      <c r="C51" s="1381" t="s">
        <v>957</v>
      </c>
      <c r="D51" s="1359"/>
      <c r="E51" s="1358"/>
      <c r="F51" s="1359"/>
      <c r="G51" s="1358"/>
      <c r="H51" s="1359"/>
      <c r="I51" s="1358"/>
      <c r="J51" s="1359"/>
      <c r="K51" s="1358"/>
      <c r="L51" s="1360">
        <f t="shared" si="5"/>
        <v>0</v>
      </c>
      <c r="M51" s="1361">
        <f t="shared" si="4"/>
        <v>0</v>
      </c>
    </row>
    <row r="52" spans="2:13" s="1341" customFormat="1" ht="3.75" hidden="1" customHeight="1" outlineLevel="1">
      <c r="D52" s="1362"/>
      <c r="E52" s="1363"/>
      <c r="F52" s="1362"/>
      <c r="G52" s="1363"/>
      <c r="H52" s="1362"/>
      <c r="I52" s="1363"/>
      <c r="J52" s="1362"/>
      <c r="K52" s="1363"/>
      <c r="L52" s="1362"/>
      <c r="M52" s="1363"/>
    </row>
    <row r="53" spans="2:13" s="1341" customFormat="1" ht="18.75" hidden="1" customHeight="1" outlineLevel="1">
      <c r="C53" s="1364" t="s">
        <v>959</v>
      </c>
      <c r="D53" s="1365">
        <f>SUM(D40:D52)</f>
        <v>0</v>
      </c>
      <c r="E53" s="1366">
        <f>SUM(E40:E52)</f>
        <v>0</v>
      </c>
      <c r="F53" s="1365">
        <f t="shared" ref="F53:K53" si="6">SUM(F40:F52)</f>
        <v>0</v>
      </c>
      <c r="G53" s="1366">
        <f t="shared" si="6"/>
        <v>0</v>
      </c>
      <c r="H53" s="1365">
        <f t="shared" si="6"/>
        <v>0</v>
      </c>
      <c r="I53" s="1366">
        <f t="shared" si="6"/>
        <v>0</v>
      </c>
      <c r="J53" s="1365">
        <f t="shared" si="6"/>
        <v>0</v>
      </c>
      <c r="K53" s="1366">
        <f t="shared" si="6"/>
        <v>0</v>
      </c>
      <c r="L53" s="1367">
        <f>SUM(L40:L52)</f>
        <v>0</v>
      </c>
      <c r="M53" s="1366">
        <f>SUM(M40:M52)</f>
        <v>0</v>
      </c>
    </row>
    <row r="54" spans="2:13" s="1341" customFormat="1" ht="18.75" hidden="1" customHeight="1" outlineLevel="1">
      <c r="E54" s="1368"/>
      <c r="G54" s="1368"/>
      <c r="I54" s="1368"/>
      <c r="K54" s="1368"/>
      <c r="M54" s="1368"/>
    </row>
    <row r="55" spans="2:13" s="1341" customFormat="1" ht="18.75" hidden="1" customHeight="1" outlineLevel="1">
      <c r="C55" s="1369" t="s">
        <v>934</v>
      </c>
      <c r="D55" s="1370">
        <f>+D53</f>
        <v>0</v>
      </c>
      <c r="E55" s="1371">
        <f t="shared" ref="E55:K55" si="7">+E53</f>
        <v>0</v>
      </c>
      <c r="F55" s="1370">
        <f t="shared" si="7"/>
        <v>0</v>
      </c>
      <c r="G55" s="1371">
        <f t="shared" si="7"/>
        <v>0</v>
      </c>
      <c r="H55" s="1370">
        <f t="shared" si="7"/>
        <v>0</v>
      </c>
      <c r="I55" s="1371">
        <f t="shared" si="7"/>
        <v>0</v>
      </c>
      <c r="J55" s="1370">
        <f t="shared" si="7"/>
        <v>0</v>
      </c>
      <c r="K55" s="1371">
        <f t="shared" si="7"/>
        <v>0</v>
      </c>
      <c r="L55" s="1372">
        <f>+D55+F55+H55+J55</f>
        <v>0</v>
      </c>
      <c r="M55" s="1371">
        <f>+E55+G55+I55+K55</f>
        <v>0</v>
      </c>
    </row>
    <row r="56" spans="2:13" s="1341" customFormat="1" ht="18.75" hidden="1" customHeight="1" outlineLevel="1"/>
    <row r="57" spans="2:13" s="1341" customFormat="1" ht="18.75" hidden="1" customHeight="1" outlineLevel="1">
      <c r="C57" s="1373" t="s">
        <v>935</v>
      </c>
      <c r="D57" s="1374">
        <f t="shared" ref="D57:M57" si="8">+D53-D55</f>
        <v>0</v>
      </c>
      <c r="E57" s="1374">
        <f t="shared" si="8"/>
        <v>0</v>
      </c>
      <c r="F57" s="1374">
        <f t="shared" si="8"/>
        <v>0</v>
      </c>
      <c r="G57" s="1374">
        <f t="shared" si="8"/>
        <v>0</v>
      </c>
      <c r="H57" s="1374">
        <f t="shared" si="8"/>
        <v>0</v>
      </c>
      <c r="I57" s="1374">
        <f t="shared" si="8"/>
        <v>0</v>
      </c>
      <c r="J57" s="1374">
        <f t="shared" si="8"/>
        <v>0</v>
      </c>
      <c r="K57" s="1374">
        <f t="shared" si="8"/>
        <v>0</v>
      </c>
      <c r="L57" s="1375">
        <f t="shared" si="8"/>
        <v>0</v>
      </c>
      <c r="M57" s="1375">
        <f t="shared" si="8"/>
        <v>0</v>
      </c>
    </row>
    <row r="58" spans="2:13" s="1341" customFormat="1" ht="18.75" hidden="1" customHeight="1" outlineLevel="1">
      <c r="C58" s="1376"/>
      <c r="D58" s="1377"/>
      <c r="E58" s="1377"/>
      <c r="F58" s="1377"/>
      <c r="G58" s="1377"/>
      <c r="H58" s="1377"/>
      <c r="I58" s="1377"/>
      <c r="J58" s="1377"/>
      <c r="K58" s="1377"/>
    </row>
    <row r="59" spans="2:13" s="1341" customFormat="1" ht="18.75" hidden="1" customHeight="1" outlineLevel="1">
      <c r="C59" s="1373" t="s">
        <v>960</v>
      </c>
      <c r="D59" s="1378"/>
      <c r="E59" s="1377"/>
      <c r="F59" s="1377"/>
      <c r="G59" s="1377"/>
      <c r="H59" s="1377"/>
      <c r="I59" s="1377"/>
      <c r="J59" s="1377"/>
      <c r="K59" s="1377"/>
    </row>
    <row r="60" spans="2:13" s="1341" customFormat="1" ht="18.75" hidden="1" customHeight="1" outlineLevel="1"/>
    <row r="61" spans="2:13" s="1341" customFormat="1" ht="18.75" hidden="1" customHeight="1" outlineLevel="1">
      <c r="C61" s="1382" t="s">
        <v>1717</v>
      </c>
      <c r="D61" s="1383">
        <f>D55+IF(MONTH($D$7)=1,SUMIF($B$17:$B$28,"&gt;1",D17:D28),IF(MONTH($D$7)=2,SUMIF($B$17:$B$28,"&gt;2",D17:D28),IF(MONTH($D$7)=3,SUMIF($B$17:$B$28,"&gt;3",D17:D28),IF(MONTH($D$7)=4,SUMIF($B$17:$B$28,"&gt;4",D17:D28),IF(MONTH($D$7)=5,SUMIF($B$17:$B$28,"&gt;5",D17:D28),IF(MONTH($D$7)=6,SUMIF($B$17:$B$28,"&gt;6",D17:D28),IF(MONTH($D$7)=7,SUMIF($B$17:$B$28,"&gt;7",D17:D28),IF(MONTH($D$7)=8,SUMIF($B$17:$B$28,"&gt;8",D17:D28),IF(MONTH($D$7)=9,SUMIF($B$17:$B$28,"&gt;9",D17:D28),IF(MONTH($D$7)=10,SUMIF($B$17:$B$28,"&gt;10",D17:D28),IF(MONTH($D$7)=11,SUMIF($B$17:$B$28,"&gt;11",D17:D28),0)))))))))))</f>
        <v>0</v>
      </c>
      <c r="E61" s="1371">
        <f>E55+IF(MONTH($D$7)=1,SUMIF($B$17:$B$28,"&gt;1",E17:E28),IF(MONTH($D$7)=2,SUMIF($B$17:$B$28,"&gt;2",E17:E28),IF(MONTH($D$7)=3,SUMIF($B$17:$B$28,"&gt;3",E17:E28),IF(MONTH($D$7)=4,SUMIF($B$17:$B$28,"&gt;4",E17:E28),IF(MONTH($D$7)=5,SUMIF($B$17:$B$28,"&gt;5",E17:E28),IF(MONTH($D$7)=6,SUMIF($B$17:$B$28,"&gt;6",E17:E28),IF(MONTH($D$7)=7,SUMIF($B$17:$B$28,"&gt;7",E17:E28),IF(MONTH($D$7)=8,SUMIF($B$17:$B$28,"&gt;8",E17:E28),IF(MONTH($D$7)=9,SUMIF($B$17:$B$28,"&gt;9",E17:E28),IF(MONTH($D$7)=10,SUMIF($B$17:$B$28,"&gt;10",E17:E28),IF(MONTH($D$7)=11,SUMIF($B$17:$B$28,"&gt;11",E17:E28),0)))))))))))</f>
        <v>0</v>
      </c>
      <c r="F61" s="1370">
        <f t="shared" ref="F61:M61" si="9">F55+IF(MONTH($D$7)=1,SUMIF($B$17:$B$28,"&gt;1",F17:F28),IF(MONTH($D$7)=2,SUMIF($B$17:$B$28,"&gt;2",F17:F28),IF(MONTH($D$7)=3,SUMIF($B$17:$B$28,"&gt;3",F17:F28),IF(MONTH($D$7)=4,SUMIF($B$17:$B$28,"&gt;4",F17:F28),IF(MONTH($D$7)=5,SUMIF($B$17:$B$28,"&gt;5",F17:F28),IF(MONTH($D$7)=6,SUMIF($B$17:$B$28,"&gt;6",F17:F28),IF(MONTH($D$7)=7,SUMIF($B$17:$B$28,"&gt;7",F17:F28),IF(MONTH($D$7)=8,SUMIF($B$17:$B$28,"&gt;8",F17:F28),IF(MONTH($D$7)=9,SUMIF($B$17:$B$28,"&gt;9",F17:F28),IF(MONTH($D$7)=10,SUMIF($B$17:$B$28,"&gt;10",F17:F28),IF(MONTH($D$7)=11,SUMIF($B$17:$B$28,"&gt;11",F17:F28),0)))))))))))</f>
        <v>0</v>
      </c>
      <c r="G61" s="1371">
        <f t="shared" si="9"/>
        <v>0</v>
      </c>
      <c r="H61" s="1370">
        <f t="shared" si="9"/>
        <v>0</v>
      </c>
      <c r="I61" s="1371">
        <f>I55+IF(MONTH($D$7)=1,SUMIF($B$17:$B$28,"&gt;1",I17:I28),IF(MONTH($D$7)=2,SUMIF($B$17:$B$28,"&gt;2",I17:I28),IF(MONTH($D$7)=3,SUMIF($B$17:$B$28,"&gt;3",I17:I28),IF(MONTH($D$7)=4,SUMIF($B$17:$B$28,"&gt;4",I17:I28),IF(MONTH($D$7)=5,SUMIF($B$17:$B$28,"&gt;5",I17:I28),IF(MONTH($D$7)=6,SUMIF($B$17:$B$28,"&gt;6",I17:I28),IF(MONTH($D$7)=7,SUMIF($B$17:$B$28,"&gt;7",I17:I28),IF(MONTH($D$7)=8,SUMIF($B$17:$B$28,"&gt;8",I17:I28),IF(MONTH($D$7)=9,SUMIF($B$17:$B$28,"&gt;9",I17:I28),IF(MONTH($D$7)=10,SUMIF($B$17:$B$28,"&gt;10",I17:I28),IF(MONTH($D$7)=11,SUMIF($B$17:$B$28,"&gt;11",I17:I28),0)))))))))))</f>
        <v>0</v>
      </c>
      <c r="J61" s="1370">
        <f t="shared" si="9"/>
        <v>0</v>
      </c>
      <c r="K61" s="1371">
        <f t="shared" si="9"/>
        <v>0</v>
      </c>
      <c r="L61" s="1372">
        <f t="shared" si="9"/>
        <v>0</v>
      </c>
      <c r="M61" s="1371">
        <f t="shared" si="9"/>
        <v>0</v>
      </c>
    </row>
    <row r="62" spans="2:13" ht="18.75" hidden="1" customHeight="1" outlineLevel="1"/>
    <row r="63" spans="2:13" ht="18.75" hidden="1" customHeight="1" outlineLevel="1">
      <c r="C63" s="1382" t="s">
        <v>1718</v>
      </c>
      <c r="D63" s="1378"/>
    </row>
    <row r="64" spans="2:13" s="1341" customFormat="1" ht="20.25" customHeight="1" collapsed="1"/>
    <row r="65" spans="3:13" s="1341" customFormat="1" ht="18.75" customHeight="1">
      <c r="C65" s="2318" t="s">
        <v>982</v>
      </c>
      <c r="D65" s="2319"/>
    </row>
    <row r="66" spans="3:13" s="1341" customFormat="1" ht="6" customHeight="1"/>
    <row r="67" spans="3:13" s="1384" customFormat="1" ht="21.75" customHeight="1">
      <c r="C67" s="1385" t="s">
        <v>936</v>
      </c>
      <c r="D67" s="1385" t="s">
        <v>937</v>
      </c>
      <c r="E67" s="1385" t="s">
        <v>938</v>
      </c>
      <c r="F67" s="1385" t="s">
        <v>939</v>
      </c>
      <c r="G67" s="1385" t="s">
        <v>940</v>
      </c>
      <c r="H67" s="1385" t="s">
        <v>177</v>
      </c>
      <c r="I67" s="2320" t="s">
        <v>943</v>
      </c>
      <c r="J67" s="2321"/>
      <c r="K67" s="2321"/>
      <c r="L67" s="2321"/>
      <c r="M67" s="2322"/>
    </row>
    <row r="68" spans="3:13" s="1341" customFormat="1" ht="19.5" customHeight="1">
      <c r="C68" s="1386">
        <v>640</v>
      </c>
      <c r="D68" s="1387">
        <f ca="1">+SUMIF(SYS_4_3_Digitos!$A$5:$A$6031,'IRPF (mensual)'!C68,SYS_4_3_Digitos!$I$5:$I$6031)-SUMIF(SYS_4_3_Digitos!$A$5:$A$6031,'IRPF (mensual)'!C68,SYS_4_3_Digitos!$J$5:$J$6031)</f>
        <v>3352261.73</v>
      </c>
      <c r="E68" s="1387">
        <f>IF(MENU!$P$11="NO",+D32,D61)</f>
        <v>3353755.94</v>
      </c>
      <c r="F68" s="1387">
        <f>IF(MENU!$P$11="NO",+F32+G32,F61+G61)</f>
        <v>0</v>
      </c>
      <c r="G68" s="1387"/>
      <c r="H68" s="1432">
        <f ca="1">+D68-SUM(E68:G68)</f>
        <v>-1494.2099999999627</v>
      </c>
      <c r="I68" s="2323" t="s">
        <v>2935</v>
      </c>
      <c r="J68" s="2324"/>
      <c r="K68" s="2324"/>
      <c r="L68" s="2324"/>
      <c r="M68" s="2325"/>
    </row>
    <row r="69" spans="3:13" s="1341" customFormat="1" ht="19.5" customHeight="1">
      <c r="C69" s="1388">
        <v>641</v>
      </c>
      <c r="D69" s="1387">
        <f ca="1">+SUMIF(SYS_4_3_Digitos!$A$5:$A$6031,'IRPF (mensual)'!C69,SYS_4_3_Digitos!$I$5:$I$6031)-SUMIF(SYS_4_3_Digitos!$A$5:$A$6031,'IRPF (mensual)'!C69,SYS_4_3_Digitos!$J$5:$J$6031)</f>
        <v>37352.629999999997</v>
      </c>
      <c r="E69" s="1389"/>
      <c r="F69" s="1389"/>
      <c r="G69" s="1389">
        <f>IF(MENU!$P$11="NO",D36,D63)</f>
        <v>36282.529999999941</v>
      </c>
      <c r="H69" s="1432">
        <f ca="1">+D69-SUM(E69:G69)</f>
        <v>1070.1000000000568</v>
      </c>
      <c r="I69" s="2326"/>
      <c r="J69" s="2327"/>
      <c r="K69" s="2327"/>
      <c r="L69" s="2327"/>
      <c r="M69" s="2328"/>
    </row>
    <row r="70" spans="3:13" s="1341" customFormat="1" ht="19.5" customHeight="1">
      <c r="C70" s="1388">
        <v>645</v>
      </c>
      <c r="D70" s="1387">
        <f ca="1">+SUMIF(SYS_4_3_Digitos!$A$5:$A$6031,'IRPF (mensual)'!C70,SYS_4_3_Digitos!$I$5:$I$6031)-SUMIF(SYS_4_3_Digitos!$A$5:$A$6031,'IRPF (mensual)'!C70,SYS_4_3_Digitos!$J$5:$J$6031)</f>
        <v>0</v>
      </c>
      <c r="E70" s="1389"/>
      <c r="F70" s="1389"/>
      <c r="G70" s="1389"/>
      <c r="H70" s="1432">
        <f t="shared" ref="H70:H78" ca="1" si="10">+D70-SUM(E70:G70)</f>
        <v>0</v>
      </c>
      <c r="I70" s="2326"/>
      <c r="J70" s="2327"/>
      <c r="K70" s="2327"/>
      <c r="L70" s="2327"/>
      <c r="M70" s="2328"/>
    </row>
    <row r="71" spans="3:13" s="1341" customFormat="1" ht="19.5" customHeight="1">
      <c r="C71" s="1388" t="s">
        <v>1719</v>
      </c>
      <c r="D71" s="1390"/>
      <c r="E71" s="1389"/>
      <c r="F71" s="1389"/>
      <c r="G71" s="1389"/>
      <c r="H71" s="1432">
        <f t="shared" si="10"/>
        <v>0</v>
      </c>
      <c r="I71" s="2326"/>
      <c r="J71" s="2327"/>
      <c r="K71" s="2327"/>
      <c r="L71" s="2327"/>
      <c r="M71" s="2328"/>
    </row>
    <row r="72" spans="3:13" s="1341" customFormat="1" ht="19.5" customHeight="1">
      <c r="C72" s="1391" t="s">
        <v>958</v>
      </c>
      <c r="D72" s="1392">
        <f ca="1">SUM(D68:D71)</f>
        <v>3389614.36</v>
      </c>
      <c r="E72" s="1392">
        <f t="shared" ref="E72:H72" si="11">SUM(E68:E71)</f>
        <v>3353755.94</v>
      </c>
      <c r="F72" s="1392">
        <f t="shared" si="11"/>
        <v>0</v>
      </c>
      <c r="G72" s="1392">
        <f t="shared" si="11"/>
        <v>36282.529999999941</v>
      </c>
      <c r="H72" s="1427">
        <f t="shared" ca="1" si="11"/>
        <v>-424.10999999990599</v>
      </c>
      <c r="I72" s="2326"/>
      <c r="J72" s="2327"/>
      <c r="K72" s="2327"/>
      <c r="L72" s="2327"/>
      <c r="M72" s="2328"/>
    </row>
    <row r="73" spans="3:13" s="1341" customFormat="1" ht="19.5" customHeight="1">
      <c r="C73"/>
      <c r="D73"/>
      <c r="E73"/>
      <c r="F73"/>
      <c r="G73"/>
      <c r="H73"/>
      <c r="I73" s="2326"/>
      <c r="J73" s="2327"/>
      <c r="K73" s="2327"/>
      <c r="L73" s="2327"/>
      <c r="M73" s="2328"/>
    </row>
    <row r="74" spans="3:13" s="1341" customFormat="1" ht="19.5" customHeight="1">
      <c r="C74" s="1393">
        <v>623</v>
      </c>
      <c r="D74" s="1394">
        <f ca="1">+SUMIF(SYS_4_3_Digitos!$A$5:$A$6031,'IRPF (mensual)'!C74,SYS_4_3_Digitos!$I$5:$I$6031)-SUMIF(SYS_4_3_Digitos!$A$5:$A$6031,'IRPF (mensual)'!C74,SYS_4_3_Digitos!$J$5:$J$6031)</f>
        <v>1289990.83</v>
      </c>
      <c r="E74" s="1394">
        <f>IF(MENU!$P$11="NO",+H32,H61)</f>
        <v>294137.33</v>
      </c>
      <c r="F74" s="1394"/>
      <c r="G74" s="1394">
        <v>995853.5</v>
      </c>
      <c r="H74" s="1967">
        <f ca="1">+D74-SUM(E74:G74)</f>
        <v>0</v>
      </c>
      <c r="I74" s="2326"/>
      <c r="J74" s="2327"/>
      <c r="K74" s="2327"/>
      <c r="L74" s="2327"/>
      <c r="M74" s="2328"/>
    </row>
    <row r="75" spans="3:13" s="1341" customFormat="1" ht="19.5" customHeight="1">
      <c r="C75" s="1395"/>
      <c r="D75" s="1387">
        <f>+SUMIF(SYS_4_3_Digitos!$A$5:$A$6031,'IRPF (mensual)'!C75,SYS_4_3_Digitos!$I$5:$I$6031)-SUMIF(SYS_4_3_Digitos!$A$5:$A$6031,'IRPF (mensual)'!C75,SYS_4_3_Digitos!$J$5:$J$6031)</f>
        <v>0</v>
      </c>
      <c r="E75" s="1389"/>
      <c r="F75" s="1389"/>
      <c r="G75" s="1389"/>
      <c r="H75" s="1432"/>
      <c r="I75" s="2326"/>
      <c r="J75" s="2327"/>
      <c r="K75" s="2327"/>
      <c r="L75" s="2327"/>
      <c r="M75" s="2328"/>
    </row>
    <row r="76" spans="3:13" s="1341" customFormat="1" ht="19.5" customHeight="1">
      <c r="C76" s="1396" t="s">
        <v>958</v>
      </c>
      <c r="D76" s="1397">
        <f ca="1">SUM(D74:D75)</f>
        <v>1289990.83</v>
      </c>
      <c r="E76" s="1397">
        <f t="shared" ref="E76:H76" si="12">SUM(E74:E75)</f>
        <v>294137.33</v>
      </c>
      <c r="F76" s="1397">
        <f t="shared" si="12"/>
        <v>0</v>
      </c>
      <c r="G76" s="1397">
        <f t="shared" si="12"/>
        <v>995853.5</v>
      </c>
      <c r="H76" s="1968">
        <f t="shared" ca="1" si="12"/>
        <v>0</v>
      </c>
      <c r="I76" s="2326"/>
      <c r="J76" s="2327"/>
      <c r="K76" s="2327"/>
      <c r="L76" s="2327"/>
      <c r="M76" s="2328"/>
    </row>
    <row r="77" spans="3:13" s="1341" customFormat="1" ht="19.5" customHeight="1">
      <c r="C77"/>
      <c r="D77"/>
      <c r="E77"/>
      <c r="F77"/>
      <c r="G77"/>
      <c r="H77"/>
      <c r="I77" s="2326"/>
      <c r="J77" s="2327"/>
      <c r="K77" s="2327"/>
      <c r="L77" s="2327"/>
      <c r="M77" s="2328"/>
    </row>
    <row r="78" spans="3:13" s="1341" customFormat="1" ht="19.5" customHeight="1">
      <c r="C78" s="1398" t="s">
        <v>945</v>
      </c>
      <c r="D78" s="1399"/>
      <c r="E78" s="1400">
        <f>IF(MENU!$P$11="NO",+J32,J61)</f>
        <v>0</v>
      </c>
      <c r="F78" s="1400"/>
      <c r="G78" s="1400"/>
      <c r="H78" s="1969">
        <f t="shared" si="10"/>
        <v>0</v>
      </c>
      <c r="I78" s="2326"/>
      <c r="J78" s="2327"/>
      <c r="K78" s="2327"/>
      <c r="L78" s="2327"/>
      <c r="M78" s="2328"/>
    </row>
    <row r="79" spans="3:13" ht="15" customHeight="1">
      <c r="C79" s="1396" t="s">
        <v>958</v>
      </c>
      <c r="D79" s="1397">
        <f>SUM(D78)</f>
        <v>0</v>
      </c>
      <c r="E79" s="1397">
        <f t="shared" ref="E79:H79" si="13">SUM(E78)</f>
        <v>0</v>
      </c>
      <c r="F79" s="1397">
        <f t="shared" si="13"/>
        <v>0</v>
      </c>
      <c r="G79" s="1397">
        <f t="shared" si="13"/>
        <v>0</v>
      </c>
      <c r="H79" s="1968">
        <f t="shared" si="13"/>
        <v>0</v>
      </c>
      <c r="I79" s="2329"/>
      <c r="J79" s="2330"/>
      <c r="K79" s="2330"/>
      <c r="L79" s="2330"/>
      <c r="M79" s="2331"/>
    </row>
    <row r="80" spans="3:13" ht="20.25" customHeight="1">
      <c r="I80" s="2222" t="s">
        <v>2934</v>
      </c>
    </row>
    <row r="81" spans="7:8" ht="20.25" customHeight="1">
      <c r="G81" s="1401" t="s">
        <v>1720</v>
      </c>
      <c r="H81" s="1402">
        <f ca="1">+H72+H76+H79</f>
        <v>-424.10999999990599</v>
      </c>
    </row>
    <row r="82" spans="7:8" ht="20.25" customHeight="1"/>
    <row r="83" spans="7:8" ht="15" customHeight="1"/>
    <row r="84" spans="7:8" ht="15" customHeight="1"/>
    <row r="85" spans="7:8" s="1341" customFormat="1" ht="15" customHeight="1"/>
    <row r="86" spans="7:8" s="1341" customFormat="1" ht="15" customHeight="1"/>
    <row r="87" spans="7:8" s="1341" customFormat="1" ht="15" customHeight="1"/>
    <row r="88" spans="7:8" s="1341" customFormat="1" ht="15" customHeight="1"/>
    <row r="89" spans="7:8" s="1341" customFormat="1" ht="15" customHeight="1"/>
    <row r="90" spans="7:8" s="1341" customFormat="1" ht="15" customHeight="1"/>
    <row r="91" spans="7:8" s="1341" customFormat="1" ht="15" customHeight="1"/>
    <row r="92" spans="7:8" s="1341" customFormat="1" ht="15" customHeight="1"/>
    <row r="93" spans="7:8" s="1341" customFormat="1" ht="15" customHeight="1"/>
    <row r="94" spans="7:8" s="1341" customFormat="1" ht="15" customHeight="1"/>
    <row r="95" spans="7:8" s="1341" customFormat="1" ht="15" customHeight="1"/>
    <row r="96" spans="7:8" s="1341" customFormat="1" ht="15" customHeight="1"/>
    <row r="97" s="1341" customFormat="1" ht="15" hidden="1" customHeight="1"/>
    <row r="98" s="1341" customFormat="1" ht="15" hidden="1" customHeight="1"/>
    <row r="99" s="1341" customFormat="1" ht="15" hidden="1" customHeight="1"/>
    <row r="100" s="1341" customFormat="1" ht="15" hidden="1" customHeight="1"/>
    <row r="101" s="1341" customFormat="1" ht="15" hidden="1" customHeight="1"/>
    <row r="102" s="1341" customFormat="1" ht="15" hidden="1" customHeight="1"/>
    <row r="103" s="1341" customFormat="1" ht="15" hidden="1" customHeight="1"/>
    <row r="104" s="1341" customFormat="1" ht="15" hidden="1" customHeight="1"/>
    <row r="105" s="1341" customFormat="1" ht="15" hidden="1" customHeight="1"/>
    <row r="106" s="1341" customFormat="1" ht="15" hidden="1" customHeight="1"/>
    <row r="107" s="1341" customFormat="1" ht="15" hidden="1" customHeight="1"/>
    <row r="108" s="1341" customFormat="1" ht="15" hidden="1" customHeight="1"/>
    <row r="109" s="1341" customFormat="1" ht="15" hidden="1" customHeight="1"/>
    <row r="110" s="1341" customFormat="1" ht="15" hidden="1" customHeight="1"/>
    <row r="111" s="1341" customFormat="1" ht="15" hidden="1" customHeight="1"/>
    <row r="112" s="1341" customFormat="1" ht="15" hidden="1" customHeight="1"/>
    <row r="113" s="1341" customFormat="1" ht="15" hidden="1" customHeight="1"/>
    <row r="114" s="1341" customFormat="1" ht="15" hidden="1" customHeight="1"/>
    <row r="115" s="1341" customFormat="1" ht="15" hidden="1" customHeight="1"/>
    <row r="116" s="1341" customFormat="1" ht="15" hidden="1" customHeight="1"/>
    <row r="117" s="1341" customFormat="1" ht="15" hidden="1" customHeight="1"/>
    <row r="118" s="1341" customFormat="1" ht="15" hidden="1" customHeight="1"/>
    <row r="119" s="1341" customFormat="1" ht="15" hidden="1" customHeight="1"/>
    <row r="120" s="1341" customFormat="1" ht="15" hidden="1" customHeight="1"/>
    <row r="121" s="1341" customFormat="1" ht="15" hidden="1" customHeight="1"/>
    <row r="122" s="1341" customFormat="1" ht="15" hidden="1" customHeight="1"/>
    <row r="123" s="1341" customFormat="1" ht="15" hidden="1" customHeight="1"/>
    <row r="124" s="1341" customFormat="1" ht="15" hidden="1" customHeight="1"/>
    <row r="125" s="1341" customFormat="1" ht="15" hidden="1" customHeight="1"/>
    <row r="126" s="1341" customFormat="1" ht="15" hidden="1" customHeight="1"/>
    <row r="127" s="1341" customFormat="1" ht="15" hidden="1" customHeight="1"/>
    <row r="128" s="1341" customFormat="1" ht="15" hidden="1" customHeight="1"/>
    <row r="129" s="1341" customFormat="1" ht="15" hidden="1" customHeight="1"/>
    <row r="130" s="1341" customFormat="1" ht="15" hidden="1" customHeight="1"/>
    <row r="131" s="1341" customFormat="1" ht="15" hidden="1" customHeight="1"/>
    <row r="132" s="1341" customFormat="1" ht="15" hidden="1" customHeight="1"/>
    <row r="133" s="1341" customFormat="1" ht="15" hidden="1" customHeight="1"/>
    <row r="134" s="1341" customFormat="1" ht="15" hidden="1" customHeight="1"/>
    <row r="135" s="1341" customFormat="1" ht="15" hidden="1" customHeight="1"/>
    <row r="136" s="1341" customFormat="1" ht="15" hidden="1" customHeight="1"/>
    <row r="137" s="1341" customFormat="1" ht="15" hidden="1" customHeight="1"/>
  </sheetData>
  <mergeCells count="16">
    <mergeCell ref="C65:D65"/>
    <mergeCell ref="I67:M67"/>
    <mergeCell ref="I68:M79"/>
    <mergeCell ref="L15:M15"/>
    <mergeCell ref="D5:F5"/>
    <mergeCell ref="D7:F7"/>
    <mergeCell ref="C13:D13"/>
    <mergeCell ref="D15:E15"/>
    <mergeCell ref="F15:G15"/>
    <mergeCell ref="J15:K15"/>
    <mergeCell ref="H15:I15"/>
    <mergeCell ref="D38:E38"/>
    <mergeCell ref="F38:G38"/>
    <mergeCell ref="H38:I38"/>
    <mergeCell ref="J38:K38"/>
    <mergeCell ref="L38:M38"/>
  </mergeCells>
  <conditionalFormatting sqref="D34">
    <cfRule type="expression" dxfId="484" priority="6">
      <formula>D34&lt;&gt;0</formula>
    </cfRule>
  </conditionalFormatting>
  <conditionalFormatting sqref="E34:K34">
    <cfRule type="expression" dxfId="483" priority="5">
      <formula>E34&lt;&gt;0</formula>
    </cfRule>
  </conditionalFormatting>
  <conditionalFormatting sqref="L34:M34">
    <cfRule type="expression" dxfId="482" priority="4">
      <formula>L34&lt;&gt;0</formula>
    </cfRule>
  </conditionalFormatting>
  <conditionalFormatting sqref="D57">
    <cfRule type="expression" dxfId="481" priority="3">
      <formula>D57&lt;&gt;0</formula>
    </cfRule>
  </conditionalFormatting>
  <conditionalFormatting sqref="E57:K57">
    <cfRule type="expression" dxfId="480" priority="2">
      <formula>E57&lt;&gt;0</formula>
    </cfRule>
  </conditionalFormatting>
  <conditionalFormatting sqref="L57:M57">
    <cfRule type="expression" dxfId="479" priority="1">
      <formula>L57&lt;&gt;0</formula>
    </cfRule>
  </conditionalFormatting>
  <printOptions horizontalCentered="1"/>
  <pageMargins left="0.23622047244094491" right="0.23622047244094491" top="0.55118110236220474" bottom="0.35433070866141736" header="0.31496062992125984" footer="0.31496062992125984"/>
  <pageSetup paperSize="9" scale="52" orientation="landscape" r:id="rId1"/>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7">
    <pageSetUpPr autoPageBreaks="0" fitToPage="1"/>
  </sheetPr>
  <dimension ref="C1:M77"/>
  <sheetViews>
    <sheetView showGridLines="0" showRowColHeaders="0" showZeros="0" zoomScale="93" zoomScaleNormal="93" zoomScaleSheetLayoutView="85" zoomScalePageLayoutView="55" workbookViewId="0">
      <pane xSplit="3" ySplit="13" topLeftCell="D14" activePane="bottomRight" state="frozen"/>
      <selection activeCell="G9" sqref="G9"/>
      <selection pane="topRight" activeCell="G9" sqref="G9"/>
      <selection pane="bottomLeft" activeCell="G9" sqref="G9"/>
      <selection pane="bottomRight"/>
    </sheetView>
  </sheetViews>
  <sheetFormatPr baseColWidth="10" defaultColWidth="11.44140625" defaultRowHeight="15" customHeight="1" zeroHeight="1" outlineLevelRow="1"/>
  <cols>
    <col min="1" max="2" width="2" customWidth="1"/>
    <col min="3" max="3" width="42.44140625" customWidth="1"/>
    <col min="4" max="11" width="20" customWidth="1"/>
    <col min="12" max="12" width="20.44140625" customWidth="1"/>
    <col min="13" max="13" width="18" customWidth="1"/>
    <col min="14" max="14" width="19.5546875" customWidth="1"/>
    <col min="15" max="15" width="49" customWidth="1"/>
    <col min="16" max="16" width="21" customWidth="1"/>
    <col min="17" max="17" width="9" customWidth="1"/>
    <col min="18" max="18" width="4.5546875" customWidth="1"/>
    <col min="19" max="20" width="11.44140625" customWidth="1"/>
    <col min="21" max="21" width="46" customWidth="1"/>
    <col min="22" max="22" width="40" customWidth="1"/>
    <col min="23" max="23" width="16" customWidth="1"/>
    <col min="24" max="25" width="11.44140625" customWidth="1"/>
    <col min="26" max="26" width="49" customWidth="1"/>
    <col min="27" max="27" width="47.5546875" customWidth="1"/>
    <col min="28" max="28" width="18" customWidth="1"/>
    <col min="29" max="16383" width="11.44140625" customWidth="1"/>
  </cols>
  <sheetData>
    <row r="1" spans="3:13" ht="15" customHeight="1"/>
    <row r="2" spans="3:13" ht="9" customHeight="1"/>
    <row r="3" spans="3:13" ht="5.25" customHeight="1">
      <c r="C3" s="1"/>
    </row>
    <row r="4" spans="3:13" ht="5.25" customHeight="1"/>
    <row r="5" spans="3:13" ht="21">
      <c r="C5" s="35" t="str">
        <f>+MENU!C5</f>
        <v>Sociedad:</v>
      </c>
      <c r="D5" s="2254" t="str">
        <f>+MENU!E5</f>
        <v>MARIO PILATO BLAT, S.A.</v>
      </c>
      <c r="E5" s="2255"/>
      <c r="F5" s="2255"/>
      <c r="J5" s="40"/>
    </row>
    <row r="6" spans="3:13" ht="12.75" customHeight="1"/>
    <row r="7" spans="3:13" ht="18">
      <c r="C7" s="35" t="str">
        <f>+instrucciones!$C$7</f>
        <v>Fecha de cierre</v>
      </c>
      <c r="D7" s="2261">
        <f>+MENU!D7</f>
        <v>45657</v>
      </c>
      <c r="E7" s="2261"/>
      <c r="F7" s="2261"/>
      <c r="I7" s="34"/>
    </row>
    <row r="8" spans="3:13" ht="15" customHeight="1">
      <c r="C8" s="2"/>
      <c r="E8" s="3"/>
      <c r="F8" s="3"/>
      <c r="G8" s="3"/>
      <c r="H8" s="3"/>
      <c r="I8" s="3"/>
      <c r="J8" s="3"/>
    </row>
    <row r="9" spans="3:13" ht="15" customHeight="1"/>
    <row r="10" spans="3:13" ht="15" customHeight="1"/>
    <row r="11" spans="3:13" ht="15" customHeight="1"/>
    <row r="12" spans="3:13" ht="6" customHeight="1"/>
    <row r="13" spans="3:13" ht="22.5" customHeight="1">
      <c r="C13" s="2333" t="s">
        <v>927</v>
      </c>
      <c r="D13" s="2334"/>
    </row>
    <row r="14" spans="3:13" ht="6" customHeight="1"/>
    <row r="15" spans="3:13" s="1341" customFormat="1" ht="21">
      <c r="C15" s="1342" t="s">
        <v>931</v>
      </c>
      <c r="D15" s="2335" t="s">
        <v>928</v>
      </c>
      <c r="E15" s="2335"/>
      <c r="F15" s="2335" t="s">
        <v>929</v>
      </c>
      <c r="G15" s="2335"/>
      <c r="H15" s="2335" t="s">
        <v>944</v>
      </c>
      <c r="I15" s="2335"/>
      <c r="J15" s="2335" t="s">
        <v>930</v>
      </c>
      <c r="K15" s="2335"/>
      <c r="L15" s="2332" t="s">
        <v>1485</v>
      </c>
      <c r="M15" s="2332"/>
    </row>
    <row r="16" spans="3:13" s="1341" customFormat="1" ht="18">
      <c r="D16" s="1345" t="s">
        <v>932</v>
      </c>
      <c r="E16" s="1346" t="s">
        <v>933</v>
      </c>
      <c r="F16" s="1345" t="s">
        <v>932</v>
      </c>
      <c r="G16" s="1346" t="s">
        <v>933</v>
      </c>
      <c r="H16" s="1345" t="s">
        <v>932</v>
      </c>
      <c r="I16" s="1346" t="s">
        <v>933</v>
      </c>
      <c r="J16" s="1345" t="s">
        <v>932</v>
      </c>
      <c r="K16" s="1346" t="s">
        <v>933</v>
      </c>
      <c r="L16" s="1347" t="s">
        <v>932</v>
      </c>
      <c r="M16" s="1348" t="s">
        <v>933</v>
      </c>
    </row>
    <row r="17" spans="3:13" s="1341" customFormat="1" ht="22.5" customHeight="1">
      <c r="C17" s="1350" t="s">
        <v>961</v>
      </c>
      <c r="D17" s="1403"/>
      <c r="E17" s="1404"/>
      <c r="F17" s="1403"/>
      <c r="G17" s="1404"/>
      <c r="H17" s="1403"/>
      <c r="I17" s="1404"/>
      <c r="J17" s="1403"/>
      <c r="K17" s="1404"/>
      <c r="L17" s="1405">
        <f t="shared" ref="L17:M20" si="0">+D17+F17+H17+J17</f>
        <v>0</v>
      </c>
      <c r="M17" s="1406">
        <f t="shared" si="0"/>
        <v>0</v>
      </c>
    </row>
    <row r="18" spans="3:13" s="1341" customFormat="1" ht="22.5" customHeight="1">
      <c r="C18" s="1355" t="s">
        <v>962</v>
      </c>
      <c r="D18" s="1351"/>
      <c r="E18" s="1352"/>
      <c r="F18" s="1351"/>
      <c r="G18" s="1352"/>
      <c r="H18" s="1351"/>
      <c r="I18" s="1352"/>
      <c r="J18" s="1351"/>
      <c r="K18" s="1352"/>
      <c r="L18" s="1353">
        <f t="shared" si="0"/>
        <v>0</v>
      </c>
      <c r="M18" s="1354">
        <f t="shared" si="0"/>
        <v>0</v>
      </c>
    </row>
    <row r="19" spans="3:13" s="1341" customFormat="1" ht="22.5" customHeight="1">
      <c r="C19" s="1355" t="s">
        <v>963</v>
      </c>
      <c r="D19" s="1351"/>
      <c r="E19" s="1352"/>
      <c r="F19" s="1351"/>
      <c r="G19" s="1352"/>
      <c r="H19" s="1351"/>
      <c r="I19" s="1352"/>
      <c r="J19" s="1351"/>
      <c r="K19" s="1352"/>
      <c r="L19" s="1353">
        <f t="shared" si="0"/>
        <v>0</v>
      </c>
      <c r="M19" s="1354">
        <f t="shared" si="0"/>
        <v>0</v>
      </c>
    </row>
    <row r="20" spans="3:13" s="1341" customFormat="1" ht="22.5" customHeight="1">
      <c r="C20" s="1381" t="s">
        <v>964</v>
      </c>
      <c r="D20" s="1359"/>
      <c r="E20" s="1358"/>
      <c r="F20" s="1359"/>
      <c r="G20" s="1358"/>
      <c r="H20" s="1359"/>
      <c r="I20" s="1358"/>
      <c r="J20" s="1359"/>
      <c r="K20" s="1358"/>
      <c r="L20" s="1360">
        <f t="shared" si="0"/>
        <v>0</v>
      </c>
      <c r="M20" s="1361">
        <f t="shared" si="0"/>
        <v>0</v>
      </c>
    </row>
    <row r="21" spans="3:13" s="1341" customFormat="1" ht="5.25" customHeight="1">
      <c r="D21" s="1362"/>
      <c r="E21" s="1363"/>
      <c r="F21" s="1362"/>
      <c r="G21" s="1363"/>
      <c r="H21" s="1362"/>
      <c r="I21" s="1363"/>
      <c r="J21" s="1362"/>
      <c r="K21" s="1363"/>
      <c r="L21" s="1362"/>
      <c r="M21" s="1363"/>
    </row>
    <row r="22" spans="3:13" s="1341" customFormat="1" ht="18.75" customHeight="1">
      <c r="C22" s="1364" t="s">
        <v>959</v>
      </c>
      <c r="D22" s="1365">
        <f t="shared" ref="D22:M22" si="1">SUM(D17:D21)</f>
        <v>0</v>
      </c>
      <c r="E22" s="1366">
        <f t="shared" si="1"/>
        <v>0</v>
      </c>
      <c r="F22" s="1365">
        <f t="shared" si="1"/>
        <v>0</v>
      </c>
      <c r="G22" s="1366">
        <f t="shared" si="1"/>
        <v>0</v>
      </c>
      <c r="H22" s="1365">
        <f t="shared" si="1"/>
        <v>0</v>
      </c>
      <c r="I22" s="1366">
        <f t="shared" si="1"/>
        <v>0</v>
      </c>
      <c r="J22" s="1365">
        <f t="shared" si="1"/>
        <v>0</v>
      </c>
      <c r="K22" s="1366">
        <f t="shared" si="1"/>
        <v>0</v>
      </c>
      <c r="L22" s="1367">
        <f t="shared" si="1"/>
        <v>0</v>
      </c>
      <c r="M22" s="1366">
        <f t="shared" si="1"/>
        <v>0</v>
      </c>
    </row>
    <row r="23" spans="3:13" s="1341" customFormat="1" ht="18.75" customHeight="1">
      <c r="E23" s="1368"/>
      <c r="G23" s="1368"/>
      <c r="I23" s="1368"/>
      <c r="K23" s="1368"/>
      <c r="M23" s="1368"/>
    </row>
    <row r="24" spans="3:13" s="1341" customFormat="1" ht="18.75" customHeight="1">
      <c r="C24" s="1369" t="s">
        <v>934</v>
      </c>
      <c r="D24" s="1365">
        <f>SUM(D25:D33)</f>
        <v>0</v>
      </c>
      <c r="E24" s="1407">
        <f t="shared" ref="E24:K24" si="2">SUM(E25:E33)</f>
        <v>0</v>
      </c>
      <c r="F24" s="1365">
        <f t="shared" si="2"/>
        <v>0</v>
      </c>
      <c r="G24" s="1407">
        <f t="shared" si="2"/>
        <v>0</v>
      </c>
      <c r="H24" s="1365">
        <f t="shared" si="2"/>
        <v>0</v>
      </c>
      <c r="I24" s="1407">
        <f t="shared" si="2"/>
        <v>0</v>
      </c>
      <c r="J24" s="1365">
        <f t="shared" si="2"/>
        <v>0</v>
      </c>
      <c r="K24" s="1407">
        <f t="shared" si="2"/>
        <v>0</v>
      </c>
      <c r="L24" s="1367">
        <f>SUM(L25:L33)</f>
        <v>0</v>
      </c>
      <c r="M24" s="1407">
        <f>SUM(M25:M33)</f>
        <v>0</v>
      </c>
    </row>
    <row r="25" spans="3:13" s="1341" customFormat="1" ht="18.75" customHeight="1" outlineLevel="1">
      <c r="C25" s="1408" t="s">
        <v>965</v>
      </c>
      <c r="D25" s="1409"/>
      <c r="E25" s="1404"/>
      <c r="F25" s="1409"/>
      <c r="G25" s="1404"/>
      <c r="H25" s="1409"/>
      <c r="I25" s="1404"/>
      <c r="J25" s="1409"/>
      <c r="K25" s="1404"/>
      <c r="L25" s="1410">
        <f t="shared" ref="L25:M28" si="3">+D25+F25+H25+J25</f>
        <v>0</v>
      </c>
      <c r="M25" s="1406">
        <f t="shared" si="3"/>
        <v>0</v>
      </c>
    </row>
    <row r="26" spans="3:13" s="1341" customFormat="1" ht="18.75" customHeight="1" outlineLevel="1">
      <c r="C26" s="1411" t="s">
        <v>966</v>
      </c>
      <c r="D26" s="1412"/>
      <c r="E26" s="1352"/>
      <c r="F26" s="1412"/>
      <c r="G26" s="1352"/>
      <c r="H26" s="1412"/>
      <c r="I26" s="1352"/>
      <c r="J26" s="1412"/>
      <c r="K26" s="1352"/>
      <c r="L26" s="1413">
        <f t="shared" si="3"/>
        <v>0</v>
      </c>
      <c r="M26" s="1354">
        <f t="shared" si="3"/>
        <v>0</v>
      </c>
    </row>
    <row r="27" spans="3:13" s="1341" customFormat="1" ht="18.75" customHeight="1" outlineLevel="1">
      <c r="C27" s="1411" t="s">
        <v>967</v>
      </c>
      <c r="D27" s="1412"/>
      <c r="E27" s="1352"/>
      <c r="F27" s="1412"/>
      <c r="G27" s="1352"/>
      <c r="H27" s="1412"/>
      <c r="I27" s="1352"/>
      <c r="J27" s="1412"/>
      <c r="K27" s="1352"/>
      <c r="L27" s="1413">
        <f t="shared" si="3"/>
        <v>0</v>
      </c>
      <c r="M27" s="1354">
        <f t="shared" si="3"/>
        <v>0</v>
      </c>
    </row>
    <row r="28" spans="3:13" s="1341" customFormat="1" ht="18.75" customHeight="1" outlineLevel="1">
      <c r="C28" s="1414" t="s">
        <v>968</v>
      </c>
      <c r="D28" s="1415"/>
      <c r="E28" s="1358"/>
      <c r="F28" s="1415"/>
      <c r="G28" s="1358"/>
      <c r="H28" s="1415"/>
      <c r="I28" s="1358"/>
      <c r="J28" s="1415"/>
      <c r="K28" s="1358"/>
      <c r="L28" s="1416">
        <f t="shared" si="3"/>
        <v>0</v>
      </c>
      <c r="M28" s="1361">
        <f t="shared" si="3"/>
        <v>0</v>
      </c>
    </row>
    <row r="29" spans="3:13" s="1341" customFormat="1" ht="4.5" customHeight="1" outlineLevel="1">
      <c r="D29" s="1417"/>
      <c r="E29" s="1417"/>
      <c r="F29" s="1417"/>
      <c r="G29" s="1417"/>
      <c r="H29" s="1417"/>
      <c r="I29" s="1417"/>
      <c r="J29" s="1417"/>
      <c r="K29" s="1417"/>
      <c r="L29" s="1417"/>
      <c r="M29" s="1417"/>
    </row>
    <row r="30" spans="3:13" s="1341" customFormat="1" ht="18.75" customHeight="1" outlineLevel="1">
      <c r="C30" s="1408" t="s">
        <v>969</v>
      </c>
      <c r="D30" s="1409"/>
      <c r="E30" s="1404"/>
      <c r="F30" s="1409"/>
      <c r="G30" s="1404"/>
      <c r="H30" s="1409"/>
      <c r="I30" s="1404"/>
      <c r="J30" s="1409"/>
      <c r="K30" s="1404"/>
      <c r="L30" s="1410">
        <f t="shared" ref="L30:M33" si="4">+D30+F30+H30+J30</f>
        <v>0</v>
      </c>
      <c r="M30" s="1406">
        <f t="shared" si="4"/>
        <v>0</v>
      </c>
    </row>
    <row r="31" spans="3:13" s="1341" customFormat="1" ht="18.75" customHeight="1" outlineLevel="1">
      <c r="C31" s="1411" t="s">
        <v>970</v>
      </c>
      <c r="D31" s="1412"/>
      <c r="E31" s="1352"/>
      <c r="F31" s="1412"/>
      <c r="G31" s="1352"/>
      <c r="H31" s="1412"/>
      <c r="I31" s="1352"/>
      <c r="J31" s="1412"/>
      <c r="K31" s="1352"/>
      <c r="L31" s="1413">
        <f t="shared" si="4"/>
        <v>0</v>
      </c>
      <c r="M31" s="1354">
        <f t="shared" si="4"/>
        <v>0</v>
      </c>
    </row>
    <row r="32" spans="3:13" s="1341" customFormat="1" ht="18.75" customHeight="1" outlineLevel="1">
      <c r="C32" s="1411" t="s">
        <v>971</v>
      </c>
      <c r="D32" s="1412"/>
      <c r="E32" s="1352"/>
      <c r="F32" s="1412"/>
      <c r="G32" s="1352"/>
      <c r="H32" s="1412"/>
      <c r="I32" s="1352"/>
      <c r="J32" s="1412"/>
      <c r="K32" s="1352"/>
      <c r="L32" s="1413">
        <f t="shared" si="4"/>
        <v>0</v>
      </c>
      <c r="M32" s="1354">
        <f t="shared" si="4"/>
        <v>0</v>
      </c>
    </row>
    <row r="33" spans="3:13" s="1341" customFormat="1" ht="18.75" customHeight="1" outlineLevel="1">
      <c r="C33" s="1414" t="s">
        <v>972</v>
      </c>
      <c r="D33" s="1415"/>
      <c r="E33" s="1358"/>
      <c r="F33" s="1415"/>
      <c r="G33" s="1358"/>
      <c r="H33" s="1415"/>
      <c r="I33" s="1358"/>
      <c r="J33" s="1415"/>
      <c r="K33" s="1358"/>
      <c r="L33" s="1416">
        <f t="shared" si="4"/>
        <v>0</v>
      </c>
      <c r="M33" s="1361">
        <f t="shared" si="4"/>
        <v>0</v>
      </c>
    </row>
    <row r="34" spans="3:13" s="1341" customFormat="1" ht="4.5" customHeight="1" outlineLevel="1"/>
    <row r="35" spans="3:13" s="1341" customFormat="1" ht="18.75" customHeight="1" outlineLevel="1">
      <c r="C35" s="1373" t="s">
        <v>935</v>
      </c>
      <c r="D35" s="1374">
        <f>+D22-D24</f>
        <v>0</v>
      </c>
      <c r="E35" s="1374">
        <f t="shared" ref="E35:K35" si="5">+E22-E24</f>
        <v>0</v>
      </c>
      <c r="F35" s="1374">
        <f t="shared" si="5"/>
        <v>0</v>
      </c>
      <c r="G35" s="1374">
        <f t="shared" si="5"/>
        <v>0</v>
      </c>
      <c r="H35" s="1374">
        <f t="shared" si="5"/>
        <v>0</v>
      </c>
      <c r="I35" s="1374">
        <f t="shared" si="5"/>
        <v>0</v>
      </c>
      <c r="J35" s="1374">
        <f t="shared" si="5"/>
        <v>0</v>
      </c>
      <c r="K35" s="1374">
        <f t="shared" si="5"/>
        <v>0</v>
      </c>
      <c r="L35" s="1374">
        <f>+L22-L24</f>
        <v>0</v>
      </c>
      <c r="M35" s="1374">
        <f>+M22-M24</f>
        <v>0</v>
      </c>
    </row>
    <row r="36" spans="3:13" s="1341" customFormat="1" ht="18.75" customHeight="1">
      <c r="C36" s="1376"/>
      <c r="D36" s="1377"/>
      <c r="E36" s="1377"/>
      <c r="F36" s="1377"/>
      <c r="G36" s="1377"/>
      <c r="H36" s="1377"/>
      <c r="I36" s="1377"/>
      <c r="J36" s="1377"/>
      <c r="K36" s="1377"/>
    </row>
    <row r="37" spans="3:13" s="1341" customFormat="1" ht="18.75" customHeight="1">
      <c r="C37" s="1373" t="s">
        <v>960</v>
      </c>
      <c r="D37" s="1378"/>
      <c r="E37" s="1377"/>
      <c r="F37" s="1377"/>
      <c r="G37" s="1377"/>
      <c r="H37" s="1377"/>
      <c r="I37" s="1377"/>
      <c r="J37" s="1377"/>
      <c r="K37" s="1377"/>
    </row>
    <row r="38" spans="3:13" s="1341" customFormat="1" ht="6" customHeight="1"/>
    <row r="39" spans="3:13" s="1341" customFormat="1" ht="18.75" customHeight="1">
      <c r="C39" s="2318" t="s">
        <v>982</v>
      </c>
      <c r="D39" s="2319"/>
    </row>
    <row r="40" spans="3:13" s="1341" customFormat="1" ht="6" customHeight="1"/>
    <row r="41" spans="3:13" s="1384" customFormat="1" ht="21.75" customHeight="1">
      <c r="C41" s="1385" t="s">
        <v>936</v>
      </c>
      <c r="D41" s="1385" t="s">
        <v>937</v>
      </c>
      <c r="E41" s="1385" t="s">
        <v>938</v>
      </c>
      <c r="F41" s="1385" t="s">
        <v>939</v>
      </c>
      <c r="G41" s="1906" t="s">
        <v>940</v>
      </c>
      <c r="H41" s="1906" t="s">
        <v>1746</v>
      </c>
      <c r="I41" s="2320"/>
      <c r="J41" s="2321"/>
      <c r="K41" s="2321"/>
      <c r="L41" s="2321"/>
      <c r="M41" s="2322"/>
    </row>
    <row r="42" spans="3:13" s="1341" customFormat="1" ht="19.5" customHeight="1">
      <c r="C42" s="1418">
        <v>640</v>
      </c>
      <c r="D42" s="1419">
        <f ca="1">+SUMIF(SYS_4_3_Digitos!$A$5:$A$6031,'IRPF (TRIM)'!C42,SYS_4_3_Digitos!$I$5:$I$6031)-SUMIF(SYS_4_3_Digitos!$A$5:$A$6031,'IRPF (TRIM)'!C42,SYS_4_3_Digitos!$J$5:$J$6031)</f>
        <v>3352261.73</v>
      </c>
      <c r="E42" s="1975">
        <f>+D24</f>
        <v>0</v>
      </c>
      <c r="F42" s="1976">
        <f>+F24+G24</f>
        <v>0</v>
      </c>
      <c r="G42" s="1420"/>
      <c r="H42" s="1972">
        <f ca="1">+D42-SUM(E42:G42)</f>
        <v>3352261.73</v>
      </c>
      <c r="I42" s="1421"/>
      <c r="J42" s="1422"/>
      <c r="K42" s="1422"/>
      <c r="L42" s="1422"/>
      <c r="M42" s="1423"/>
    </row>
    <row r="43" spans="3:13" s="1341" customFormat="1" ht="19.5" customHeight="1">
      <c r="C43" s="1388">
        <v>641</v>
      </c>
      <c r="D43" s="1387">
        <f ca="1">+SUMIF(SYS_4_3_Digitos!$A$5:$A$6031,'IRPF (TRIM)'!C43,SYS_4_3_Digitos!$I$5:$I$6031)-SUMIF(SYS_4_3_Digitos!$A$5:$A$6031,'IRPF (TRIM)'!C43,SYS_4_3_Digitos!$J$5:$J$6031)</f>
        <v>37352.629999999997</v>
      </c>
      <c r="E43" s="1389"/>
      <c r="F43" s="1389"/>
      <c r="G43" s="1389"/>
      <c r="H43" s="1973">
        <f t="shared" ref="H43:H47" ca="1" si="6">+D43-SUM(E43:G43)</f>
        <v>37352.629999999997</v>
      </c>
      <c r="I43" s="1424"/>
      <c r="J43" s="1425"/>
      <c r="K43" s="1425"/>
      <c r="L43" s="1425"/>
      <c r="M43" s="1426"/>
    </row>
    <row r="44" spans="3:13" s="1341" customFormat="1" ht="19.5" customHeight="1">
      <c r="C44" s="1388">
        <v>645</v>
      </c>
      <c r="D44" s="1387">
        <f ca="1">+SUMIF(SYS_4_3_Digitos!$A$5:$A$6031,'IRPF (TRIM)'!C44,SYS_4_3_Digitos!$I$5:$I$6031)-SUMIF(SYS_4_3_Digitos!$A$5:$A$6031,'IRPF (TRIM)'!C44,SYS_4_3_Digitos!$J$5:$J$6031)</f>
        <v>0</v>
      </c>
      <c r="E44" s="1389"/>
      <c r="F44" s="1389"/>
      <c r="G44" s="1389"/>
      <c r="H44" s="1973">
        <f t="shared" ca="1" si="6"/>
        <v>0</v>
      </c>
      <c r="I44" s="1424"/>
      <c r="J44" s="1425"/>
      <c r="K44" s="1425"/>
      <c r="L44" s="1425"/>
      <c r="M44" s="1426"/>
    </row>
    <row r="45" spans="3:13" s="1341" customFormat="1" ht="19.5" customHeight="1">
      <c r="C45" s="1388" t="s">
        <v>1719</v>
      </c>
      <c r="D45" s="1390"/>
      <c r="E45" s="1389"/>
      <c r="F45" s="1389"/>
      <c r="G45" s="1389"/>
      <c r="H45" s="1973">
        <f t="shared" si="6"/>
        <v>0</v>
      </c>
      <c r="I45" s="1424"/>
      <c r="J45" s="1425"/>
      <c r="K45" s="1425"/>
      <c r="L45" s="1425"/>
      <c r="M45" s="1426"/>
    </row>
    <row r="46" spans="3:13" s="1341" customFormat="1" ht="19.5" customHeight="1">
      <c r="C46" s="1388"/>
      <c r="D46" s="1387">
        <f>+SUMIF(SYS_4_3_Digitos!$A$5:$A$6031,'IRPF (TRIM)'!C46,SYS_4_3_Digitos!$I$5:$I$6031)-SUMIF(SYS_4_3_Digitos!$A$5:$A$6031,'IRPF (TRIM)'!C46,SYS_4_3_Digitos!$J$5:$J$6031)</f>
        <v>0</v>
      </c>
      <c r="E46" s="1389"/>
      <c r="F46" s="1389"/>
      <c r="G46" s="1389"/>
      <c r="H46" s="1973">
        <f t="shared" si="6"/>
        <v>0</v>
      </c>
      <c r="I46" s="1424"/>
      <c r="J46" s="1425"/>
      <c r="K46" s="1425"/>
      <c r="L46" s="1425"/>
      <c r="M46" s="1426"/>
    </row>
    <row r="47" spans="3:13" s="1341" customFormat="1" ht="19.5" customHeight="1">
      <c r="C47" s="1391" t="s">
        <v>958</v>
      </c>
      <c r="D47" s="1392">
        <f ca="1">SUM(D42:D46)</f>
        <v>3389614.36</v>
      </c>
      <c r="E47" s="1392">
        <f>SUM(E42:E46)</f>
        <v>0</v>
      </c>
      <c r="F47" s="1392">
        <f>SUM(F42:F46)</f>
        <v>0</v>
      </c>
      <c r="G47" s="1392">
        <f>SUM(G42:G46)</f>
        <v>0</v>
      </c>
      <c r="H47" s="1974">
        <f t="shared" ca="1" si="6"/>
        <v>3389614.36</v>
      </c>
      <c r="I47" s="1424"/>
      <c r="J47" s="1425"/>
      <c r="K47" s="1425"/>
      <c r="L47" s="1425"/>
      <c r="M47" s="1426"/>
    </row>
    <row r="48" spans="3:13" s="1428" customFormat="1" ht="13.5" customHeight="1">
      <c r="C48" s="1429">
        <v>190</v>
      </c>
      <c r="D48" s="1430"/>
      <c r="E48" s="1430">
        <f>+SUM(L25:L28)+L30+G24+D37</f>
        <v>0</v>
      </c>
      <c r="F48" s="1341"/>
      <c r="G48" s="1341"/>
      <c r="H48" s="1341"/>
      <c r="I48" s="1424"/>
      <c r="J48" s="1425"/>
      <c r="K48" s="1425"/>
      <c r="L48" s="1425"/>
      <c r="M48" s="1426"/>
    </row>
    <row r="49" spans="3:13" s="1341" customFormat="1" ht="19.5" customHeight="1">
      <c r="I49" s="1424"/>
      <c r="J49" s="1425"/>
      <c r="K49" s="1425"/>
      <c r="L49" s="1425"/>
      <c r="M49" s="1426"/>
    </row>
    <row r="50" spans="3:13" s="1341" customFormat="1" ht="19.5" customHeight="1">
      <c r="C50" s="1431">
        <v>623</v>
      </c>
      <c r="D50" s="1419">
        <f ca="1">+SUMIF(SYS_4_3_Digitos!$A$5:$A$6031,'IRPF (TRIM)'!C50,SYS_4_3_Digitos!$I$5:$I$6031)-SUMIF(SYS_4_3_Digitos!$A$5:$A$6031,'IRPF (TRIM)'!C50,SYS_4_3_Digitos!$J$5:$J$6031)</f>
        <v>1289990.83</v>
      </c>
      <c r="E50" s="1419">
        <f>+H24</f>
        <v>0</v>
      </c>
      <c r="F50" s="1420"/>
      <c r="G50" s="1420"/>
      <c r="H50" s="1972">
        <f ca="1">+D50-E50-F50-G50</f>
        <v>1289990.83</v>
      </c>
      <c r="I50" s="1424"/>
      <c r="J50" s="1425"/>
      <c r="K50" s="1425"/>
      <c r="L50" s="1425"/>
      <c r="M50" s="1426"/>
    </row>
    <row r="51" spans="3:13" s="1341" customFormat="1" ht="19.5" customHeight="1">
      <c r="C51" s="1388"/>
      <c r="D51" s="1387">
        <f>+SUMIF(SYS_4_3_Digitos!$A$5:$A$6031,'IRPF (TRIM)'!C51,SYS_4_3_Digitos!$I$5:$I$6031)-SUMIF(SYS_4_3_Digitos!$A$5:$A$6031,'IRPF (TRIM)'!C51,SYS_4_3_Digitos!$J$5:$J$6031)</f>
        <v>0</v>
      </c>
      <c r="E51" s="1387"/>
      <c r="F51" s="1387"/>
      <c r="G51" s="1387"/>
      <c r="H51" s="1977"/>
      <c r="I51" s="1424"/>
      <c r="J51" s="1425"/>
      <c r="K51" s="1425"/>
      <c r="L51" s="1425"/>
      <c r="M51" s="1426"/>
    </row>
    <row r="52" spans="3:13" s="1341" customFormat="1" ht="19.5" customHeight="1">
      <c r="C52" s="1391" t="s">
        <v>958</v>
      </c>
      <c r="D52" s="1392">
        <f ca="1">SUM(D50:D51)</f>
        <v>1289990.83</v>
      </c>
      <c r="E52" s="1392">
        <f>SUM(E50:E51)</f>
        <v>0</v>
      </c>
      <c r="F52" s="1392">
        <f>SUM(F50:F51)</f>
        <v>0</v>
      </c>
      <c r="G52" s="1392">
        <f>SUM(G50:G51)</f>
        <v>0</v>
      </c>
      <c r="H52" s="1974">
        <f ca="1">SUM(H50:H51)</f>
        <v>1289990.83</v>
      </c>
      <c r="I52" s="1424"/>
      <c r="J52" s="1425"/>
      <c r="K52" s="1425"/>
      <c r="L52" s="1425"/>
      <c r="M52" s="1426"/>
    </row>
    <row r="53" spans="3:13" s="1428" customFormat="1" ht="14.25" customHeight="1">
      <c r="C53" s="1429">
        <v>190</v>
      </c>
      <c r="D53" s="1430"/>
      <c r="E53" s="1430">
        <f>L32</f>
        <v>0</v>
      </c>
      <c r="F53" s="1341"/>
      <c r="G53" s="1341"/>
      <c r="H53" s="1341"/>
      <c r="I53" s="1424"/>
      <c r="J53" s="1425"/>
      <c r="K53" s="1425"/>
      <c r="L53" s="1425"/>
      <c r="M53" s="1426"/>
    </row>
    <row r="54" spans="3:13" s="1341" customFormat="1" ht="19.5" customHeight="1">
      <c r="I54" s="1424"/>
      <c r="J54" s="1425"/>
      <c r="K54" s="1425"/>
      <c r="L54" s="1425"/>
      <c r="M54" s="1426"/>
    </row>
    <row r="55" spans="3:13" s="1341" customFormat="1" ht="19.5" customHeight="1">
      <c r="C55" s="1433" t="s">
        <v>945</v>
      </c>
      <c r="D55" s="1434"/>
      <c r="E55" s="1435">
        <f>+J24</f>
        <v>0</v>
      </c>
      <c r="F55" s="1436"/>
      <c r="G55" s="1436"/>
      <c r="H55" s="1978">
        <f>+D55-E55-F55-G55</f>
        <v>0</v>
      </c>
      <c r="I55" s="1424"/>
      <c r="J55" s="1425"/>
      <c r="K55" s="1425"/>
      <c r="L55" s="1425"/>
      <c r="M55" s="1426"/>
    </row>
    <row r="56" spans="3:13" s="1341" customFormat="1" ht="15" customHeight="1">
      <c r="C56" s="1391" t="s">
        <v>958</v>
      </c>
      <c r="D56" s="1392">
        <f>SUM(D55)</f>
        <v>0</v>
      </c>
      <c r="E56" s="1392">
        <f>SUM(E55)</f>
        <v>0</v>
      </c>
      <c r="F56" s="1391"/>
      <c r="G56" s="1392"/>
      <c r="H56" s="1974">
        <f>+H55</f>
        <v>0</v>
      </c>
      <c r="I56" s="1424"/>
      <c r="J56" s="1425"/>
      <c r="K56" s="1425"/>
      <c r="L56" s="1425"/>
      <c r="M56" s="1426"/>
    </row>
    <row r="57" spans="3:13" s="1428" customFormat="1" ht="13.5" customHeight="1">
      <c r="C57" s="1429">
        <v>190</v>
      </c>
      <c r="D57" s="1430"/>
      <c r="E57" s="1430">
        <f>L33</f>
        <v>0</v>
      </c>
      <c r="F57" s="1341"/>
      <c r="G57" s="1341"/>
      <c r="H57"/>
      <c r="I57" s="1437"/>
      <c r="J57" s="1438"/>
      <c r="K57" s="1438"/>
      <c r="L57" s="1438"/>
      <c r="M57" s="1439"/>
    </row>
    <row r="58" spans="3:13" s="1341" customFormat="1" ht="20.25" customHeight="1"/>
    <row r="59" spans="3:13" s="1341" customFormat="1" ht="15" hidden="1" customHeight="1"/>
    <row r="60" spans="3:13" s="1341" customFormat="1" ht="15" hidden="1" customHeight="1"/>
    <row r="61" spans="3:13" s="1341" customFormat="1" ht="15" hidden="1" customHeight="1"/>
    <row r="62" spans="3:13" s="1341" customFormat="1" ht="15" hidden="1" customHeight="1"/>
    <row r="63" spans="3:13" s="1341" customFormat="1" ht="15" hidden="1" customHeight="1"/>
    <row r="64" spans="3:13" s="1341" customFormat="1" ht="15" hidden="1" customHeight="1"/>
    <row r="65" spans="7:8" s="1341" customFormat="1" ht="15" hidden="1" customHeight="1"/>
    <row r="66" spans="7:8" s="1341" customFormat="1" ht="15" hidden="1" customHeight="1"/>
    <row r="67" spans="7:8" s="1341" customFormat="1" ht="15" hidden="1" customHeight="1"/>
    <row r="68" spans="7:8" s="1341" customFormat="1" ht="15" hidden="1" customHeight="1"/>
    <row r="69" spans="7:8" s="1341" customFormat="1" ht="15" hidden="1" customHeight="1"/>
    <row r="70" spans="7:8" s="1341" customFormat="1" ht="15" hidden="1" customHeight="1"/>
    <row r="71" spans="7:8" s="1341" customFormat="1" ht="15" hidden="1" customHeight="1"/>
    <row r="72" spans="7:8" s="1341" customFormat="1" ht="15" hidden="1" customHeight="1"/>
    <row r="73" spans="7:8" s="1341" customFormat="1" ht="15" hidden="1" customHeight="1"/>
    <row r="74" spans="7:8" s="1341" customFormat="1" ht="15" customHeight="1">
      <c r="G74" s="1401" t="s">
        <v>1720</v>
      </c>
      <c r="H74" s="1402">
        <f ca="1">+H47+H52+H56</f>
        <v>4679605.1899999995</v>
      </c>
    </row>
    <row r="75" spans="7:8" s="1341" customFormat="1" ht="15" customHeight="1"/>
    <row r="76" spans="7:8" s="1341" customFormat="1" ht="15" customHeight="1"/>
    <row r="77" spans="7:8" s="1341" customFormat="1" ht="15" customHeight="1"/>
  </sheetData>
  <mergeCells count="10">
    <mergeCell ref="D5:F5"/>
    <mergeCell ref="D7:F7"/>
    <mergeCell ref="C13:D13"/>
    <mergeCell ref="D15:E15"/>
    <mergeCell ref="F15:G15"/>
    <mergeCell ref="L15:M15"/>
    <mergeCell ref="J15:K15"/>
    <mergeCell ref="C39:D39"/>
    <mergeCell ref="H15:I15"/>
    <mergeCell ref="I41:M41"/>
  </mergeCells>
  <conditionalFormatting sqref="E35:K35">
    <cfRule type="expression" dxfId="478" priority="4">
      <formula>E35&lt;&gt;0</formula>
    </cfRule>
  </conditionalFormatting>
  <conditionalFormatting sqref="D35:K35">
    <cfRule type="expression" dxfId="477" priority="3">
      <formula>D35&lt;&gt;0</formula>
    </cfRule>
  </conditionalFormatting>
  <conditionalFormatting sqref="L35:M35">
    <cfRule type="expression" dxfId="476" priority="2">
      <formula>L35&lt;&gt;0</formula>
    </cfRule>
  </conditionalFormatting>
  <conditionalFormatting sqref="L35:M35">
    <cfRule type="expression" dxfId="475" priority="1">
      <formula>L35&lt;&gt;0</formula>
    </cfRule>
  </conditionalFormatting>
  <printOptions horizontalCentered="1"/>
  <pageMargins left="0.23622047244094491" right="0.23622047244094491" top="0.55118110236220474" bottom="0.35433070866141736" header="0.31496062992125984" footer="0.31496062992125984"/>
  <pageSetup paperSize="9" scale="4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locked="0" defaultSize="0" print="0" autoFill="0" autoPict="0" macro="[0]!borrarirpftrimestral">
                <anchor moveWithCells="1" sizeWithCells="1">
                  <from>
                    <xdr:col>5</xdr:col>
                    <xdr:colOff>114300</xdr:colOff>
                    <xdr:row>8</xdr:row>
                    <xdr:rowOff>114300</xdr:rowOff>
                  </from>
                  <to>
                    <xdr:col>5</xdr:col>
                    <xdr:colOff>1333500</xdr:colOff>
                    <xdr:row>10</xdr:row>
                    <xdr:rowOff>7620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1CE2B-F06A-452A-AE0A-E62D10E1CB3A}">
  <sheetPr codeName="Hoja57"/>
  <dimension ref="A1:M135"/>
  <sheetViews>
    <sheetView showGridLines="0" showRowColHeaders="0" zoomScaleNormal="100" workbookViewId="0">
      <selection activeCell="I18" sqref="I18"/>
    </sheetView>
  </sheetViews>
  <sheetFormatPr baseColWidth="10" defaultColWidth="0" defaultRowHeight="15" customHeight="1" zeroHeight="1"/>
  <cols>
    <col min="1" max="2" width="2" customWidth="1"/>
    <col min="3" max="5" width="16" customWidth="1"/>
    <col min="6" max="6" width="21" customWidth="1"/>
    <col min="7" max="7" width="11.5546875" customWidth="1"/>
    <col min="8" max="8" width="18" customWidth="1"/>
    <col min="9" max="9" width="10" customWidth="1"/>
    <col min="10" max="11" width="19.44140625" customWidth="1"/>
    <col min="12" max="12" width="38" customWidth="1"/>
    <col min="13" max="13" width="5" customWidth="1"/>
    <col min="14" max="16384" width="13" hidden="1"/>
  </cols>
  <sheetData>
    <row r="1" spans="3:12" ht="15" customHeight="1"/>
    <row r="2" spans="3:12" ht="9" customHeight="1"/>
    <row r="3" spans="3:12" ht="5.25" customHeight="1">
      <c r="C3" s="1230"/>
      <c r="D3" s="1230"/>
    </row>
    <row r="4" spans="3:12" ht="5.25" customHeight="1"/>
    <row r="5" spans="3:12" ht="21">
      <c r="C5" s="2252" t="str">
        <f>+MENU!C5</f>
        <v>Sociedad:</v>
      </c>
      <c r="D5" s="2342"/>
      <c r="E5" s="2285" t="str">
        <f>+MENU!E5</f>
        <v>MARIO PILATO BLAT, S.A.</v>
      </c>
      <c r="F5" s="2286"/>
    </row>
    <row r="6" spans="3:12" ht="12.75" customHeight="1">
      <c r="C6" s="218"/>
      <c r="D6" s="218"/>
      <c r="E6" s="218"/>
      <c r="F6" s="218"/>
    </row>
    <row r="7" spans="3:12" ht="21">
      <c r="C7" s="2252" t="str">
        <f>+instrucciones!$C$7</f>
        <v>Fecha de cierre</v>
      </c>
      <c r="D7" s="2298"/>
      <c r="E7" s="2299">
        <f>+MENU!D7</f>
        <v>45657</v>
      </c>
      <c r="F7" s="2300"/>
    </row>
    <row r="8" spans="3:12" ht="15" customHeight="1">
      <c r="C8" s="2"/>
      <c r="D8" s="2"/>
      <c r="F8" s="3"/>
      <c r="G8" s="3"/>
      <c r="H8" s="3"/>
      <c r="I8" s="3"/>
    </row>
    <row r="9" spans="3:12" ht="15" customHeight="1"/>
    <row r="10" spans="3:12" ht="5.25" customHeight="1">
      <c r="F10" s="219"/>
    </row>
    <row r="11" spans="3:12" ht="5.25" customHeight="1"/>
    <row r="12" spans="3:12" ht="6" customHeight="1"/>
    <row r="13" spans="3:12" ht="22.5" customHeight="1"/>
    <row r="14" spans="3:12" ht="6" customHeight="1"/>
    <row r="15" spans="3:12" s="33" customFormat="1" ht="21" customHeight="1">
      <c r="C15" s="2345" t="s">
        <v>1840</v>
      </c>
      <c r="D15" s="2346"/>
      <c r="E15" s="2346"/>
      <c r="F15" s="2346"/>
      <c r="G15" s="2346"/>
      <c r="H15" s="2346"/>
      <c r="I15" s="2346"/>
      <c r="J15" s="2346"/>
      <c r="K15" s="2346"/>
      <c r="L15" s="2346"/>
    </row>
    <row r="16" spans="3:12" ht="15" customHeight="1">
      <c r="C16" s="1992"/>
      <c r="D16" s="1993"/>
      <c r="E16" s="1993"/>
      <c r="F16" s="1993"/>
      <c r="G16" s="1993"/>
      <c r="H16" s="1993"/>
      <c r="I16" s="1993"/>
      <c r="J16" s="1993"/>
      <c r="K16" s="1993"/>
      <c r="L16" s="1994"/>
    </row>
    <row r="17" spans="3:12" ht="15" customHeight="1">
      <c r="C17" s="2343" t="s">
        <v>1841</v>
      </c>
      <c r="D17" s="2344"/>
      <c r="E17" s="2344"/>
      <c r="F17" s="444"/>
      <c r="G17" s="444"/>
      <c r="H17" s="2011" t="s">
        <v>1863</v>
      </c>
      <c r="I17" s="2012" t="s">
        <v>1668</v>
      </c>
      <c r="J17" s="444"/>
      <c r="K17" s="444"/>
      <c r="L17" s="1995"/>
    </row>
    <row r="18" spans="3:12" ht="15" customHeight="1">
      <c r="C18" s="1996"/>
      <c r="D18" s="444"/>
      <c r="E18" s="444"/>
      <c r="F18" s="444"/>
      <c r="G18" s="444"/>
      <c r="H18" s="444"/>
      <c r="I18" s="444"/>
      <c r="J18" s="444"/>
      <c r="K18" s="444"/>
      <c r="L18" s="1995"/>
    </row>
    <row r="19" spans="3:12" ht="15" customHeight="1">
      <c r="C19" s="2303" t="s">
        <v>1842</v>
      </c>
      <c r="D19" s="2347"/>
      <c r="E19" s="2347"/>
      <c r="F19" s="2000" t="s">
        <v>1843</v>
      </c>
      <c r="G19" s="2001" t="s">
        <v>1844</v>
      </c>
      <c r="H19" s="2000" t="s">
        <v>1845</v>
      </c>
      <c r="I19" s="2000" t="s">
        <v>1847</v>
      </c>
      <c r="J19" s="2000" t="s">
        <v>1846</v>
      </c>
      <c r="K19" s="2000" t="s">
        <v>1848</v>
      </c>
      <c r="L19" s="2002" t="s">
        <v>1849</v>
      </c>
    </row>
    <row r="20" spans="3:12" ht="15" customHeight="1">
      <c r="C20" s="2348" t="s">
        <v>2920</v>
      </c>
      <c r="D20" s="2349"/>
      <c r="E20" s="2349"/>
      <c r="F20" s="2003" t="s">
        <v>1854</v>
      </c>
      <c r="G20" s="2004" t="s">
        <v>2930</v>
      </c>
      <c r="H20" s="2219">
        <f>84000+30000</f>
        <v>114000</v>
      </c>
      <c r="I20" s="2218">
        <f>+J20/H20</f>
        <v>0.35</v>
      </c>
      <c r="J20" s="2219">
        <f>29400+10500</f>
        <v>39900</v>
      </c>
      <c r="K20" s="2003" t="s">
        <v>2932</v>
      </c>
      <c r="L20" s="2005" t="s">
        <v>2933</v>
      </c>
    </row>
    <row r="21" spans="3:12" ht="15" customHeight="1">
      <c r="C21" s="2338" t="s">
        <v>2921</v>
      </c>
      <c r="D21" s="2339"/>
      <c r="E21" s="2339"/>
      <c r="F21" s="2006" t="s">
        <v>2929</v>
      </c>
      <c r="G21" s="2006" t="s">
        <v>2931</v>
      </c>
      <c r="H21" s="2220">
        <f>(84000+28000)+152561.89</f>
        <v>264561.89</v>
      </c>
      <c r="I21" s="2218">
        <f t="shared" ref="I21:I29" si="0">+J21/H21</f>
        <v>0.36049515672873367</v>
      </c>
      <c r="J21" s="2220">
        <f>(29400+9800)+56173.28</f>
        <v>95373.28</v>
      </c>
      <c r="K21" s="2006"/>
      <c r="L21" s="2007" t="s">
        <v>2928</v>
      </c>
    </row>
    <row r="22" spans="3:12" ht="15" customHeight="1">
      <c r="C22" s="2338" t="s">
        <v>2922</v>
      </c>
      <c r="D22" s="2339"/>
      <c r="E22" s="2339"/>
      <c r="F22" s="2006" t="s">
        <v>2929</v>
      </c>
      <c r="G22" s="2006" t="s">
        <v>2931</v>
      </c>
      <c r="H22" s="2220">
        <f>+(84000+28000)+152561.89</f>
        <v>264561.89</v>
      </c>
      <c r="I22" s="2218">
        <f t="shared" si="0"/>
        <v>0.36136017171634205</v>
      </c>
      <c r="J22" s="2220">
        <f>(29400+9800)+56402.13</f>
        <v>95602.13</v>
      </c>
      <c r="K22" s="2006"/>
      <c r="L22" s="2007"/>
    </row>
    <row r="23" spans="3:12" ht="15" customHeight="1">
      <c r="C23" s="2338" t="s">
        <v>2923</v>
      </c>
      <c r="D23" s="2339"/>
      <c r="E23" s="2339"/>
      <c r="F23" s="2006" t="s">
        <v>2929</v>
      </c>
      <c r="G23" s="2006" t="s">
        <v>2931</v>
      </c>
      <c r="H23" s="2220">
        <f>+(84000+28000)+152561.89</f>
        <v>264561.89</v>
      </c>
      <c r="I23" s="2218">
        <f t="shared" si="0"/>
        <v>0.36049515672873367</v>
      </c>
      <c r="J23" s="2220">
        <f>(29400+9800)+56173.28</f>
        <v>95373.28</v>
      </c>
      <c r="K23" s="2006"/>
      <c r="L23" s="2007"/>
    </row>
    <row r="24" spans="3:12" ht="15" customHeight="1">
      <c r="C24" s="2338" t="s">
        <v>2924</v>
      </c>
      <c r="D24" s="2339"/>
      <c r="E24" s="2339"/>
      <c r="F24" s="2006" t="s">
        <v>2929</v>
      </c>
      <c r="G24" s="2006" t="s">
        <v>2930</v>
      </c>
      <c r="H24" s="2220">
        <f>84000+28000</f>
        <v>112000</v>
      </c>
      <c r="I24" s="2218">
        <f t="shared" si="0"/>
        <v>0.35</v>
      </c>
      <c r="J24" s="2220">
        <f>29400+9800</f>
        <v>39200</v>
      </c>
      <c r="K24" s="2006"/>
      <c r="L24" s="2007"/>
    </row>
    <row r="25" spans="3:12" ht="15" customHeight="1">
      <c r="C25" s="2338" t="s">
        <v>2925</v>
      </c>
      <c r="D25" s="2339"/>
      <c r="E25" s="2339"/>
      <c r="F25" s="2006" t="s">
        <v>2929</v>
      </c>
      <c r="G25" s="2006" t="s">
        <v>2930</v>
      </c>
      <c r="H25" s="2220">
        <f>84000+28000</f>
        <v>112000</v>
      </c>
      <c r="I25" s="2218">
        <f t="shared" si="0"/>
        <v>0.35</v>
      </c>
      <c r="J25" s="2220">
        <f>29400+9800</f>
        <v>39200</v>
      </c>
      <c r="K25" s="2006"/>
      <c r="L25" s="2007"/>
    </row>
    <row r="26" spans="3:12" ht="15" customHeight="1">
      <c r="C26" s="2338" t="s">
        <v>2926</v>
      </c>
      <c r="D26" s="2339"/>
      <c r="E26" s="2339"/>
      <c r="F26" s="2006" t="s">
        <v>1855</v>
      </c>
      <c r="G26" s="2006" t="s">
        <v>2930</v>
      </c>
      <c r="H26" s="2220">
        <f>84000+28000</f>
        <v>112000</v>
      </c>
      <c r="I26" s="2218">
        <f t="shared" si="0"/>
        <v>0.35</v>
      </c>
      <c r="J26" s="2220">
        <f>29400+9800</f>
        <v>39200</v>
      </c>
      <c r="K26" s="2006"/>
      <c r="L26" s="2007"/>
    </row>
    <row r="27" spans="3:12" ht="15" customHeight="1">
      <c r="C27" s="2338" t="s">
        <v>2927</v>
      </c>
      <c r="D27" s="2339"/>
      <c r="E27" s="2339"/>
      <c r="F27" s="2006" t="s">
        <v>2929</v>
      </c>
      <c r="G27" s="2006" t="s">
        <v>2930</v>
      </c>
      <c r="H27" s="2220">
        <f>84000+28000</f>
        <v>112000</v>
      </c>
      <c r="I27" s="2218">
        <f t="shared" si="0"/>
        <v>0.35</v>
      </c>
      <c r="J27" s="2220">
        <f>29400+9800</f>
        <v>39200</v>
      </c>
      <c r="K27" s="2006"/>
      <c r="L27" s="2007"/>
    </row>
    <row r="28" spans="3:12" ht="15" customHeight="1">
      <c r="C28" s="2338" t="s">
        <v>2928</v>
      </c>
      <c r="D28" s="2339"/>
      <c r="E28" s="2339"/>
      <c r="F28" s="2006" t="s">
        <v>2929</v>
      </c>
      <c r="G28" s="2006" t="s">
        <v>2931</v>
      </c>
      <c r="H28" s="2220">
        <f>+(84000+28000)+71276.83</f>
        <v>183276.83000000002</v>
      </c>
      <c r="I28" s="2218">
        <f t="shared" si="0"/>
        <v>0.31978592165741843</v>
      </c>
      <c r="J28" s="2220">
        <f>(29400+9800)+19409.35</f>
        <v>58609.35</v>
      </c>
      <c r="K28" s="2006"/>
      <c r="L28" s="2007"/>
    </row>
    <row r="29" spans="3:12" ht="15" customHeight="1">
      <c r="C29" s="2340"/>
      <c r="D29" s="2341"/>
      <c r="E29" s="2341"/>
      <c r="F29" s="2008"/>
      <c r="G29" s="2008"/>
      <c r="H29" s="2221"/>
      <c r="I29" s="2218" t="e">
        <f t="shared" si="0"/>
        <v>#DIV/0!</v>
      </c>
      <c r="J29" s="2221"/>
      <c r="K29" s="2008"/>
      <c r="L29" s="2009"/>
    </row>
    <row r="30" spans="3:12" ht="15" customHeight="1">
      <c r="C30" s="1996"/>
      <c r="D30" s="444"/>
      <c r="E30" s="444"/>
      <c r="F30" s="444"/>
      <c r="G30" s="444"/>
      <c r="H30" s="444"/>
      <c r="I30" s="444"/>
      <c r="J30" s="444"/>
      <c r="K30" s="444"/>
      <c r="L30" s="1995"/>
    </row>
    <row r="31" spans="3:12" ht="15" customHeight="1">
      <c r="C31" s="1996"/>
      <c r="D31" s="444"/>
      <c r="E31" s="444"/>
      <c r="F31" s="444"/>
      <c r="G31" s="444"/>
      <c r="H31" s="444"/>
      <c r="I31" s="444"/>
      <c r="J31" s="444"/>
      <c r="K31" s="444"/>
      <c r="L31" s="1995"/>
    </row>
    <row r="32" spans="3:12" ht="15" customHeight="1">
      <c r="C32" s="1996"/>
      <c r="D32" s="444"/>
      <c r="E32" s="444"/>
      <c r="F32" s="444"/>
      <c r="G32" s="444"/>
      <c r="H32" s="444"/>
      <c r="I32" s="444"/>
      <c r="J32" s="444"/>
      <c r="K32" s="444"/>
      <c r="L32" s="1995"/>
    </row>
    <row r="33" spans="3:12" ht="15" customHeight="1">
      <c r="C33" s="1996"/>
      <c r="E33" s="2010" t="s">
        <v>1850</v>
      </c>
      <c r="F33" s="444" t="s">
        <v>1851</v>
      </c>
      <c r="G33" s="444"/>
      <c r="H33" s="1991" t="s">
        <v>1864</v>
      </c>
      <c r="I33" s="444" t="s">
        <v>1668</v>
      </c>
      <c r="J33" s="2010" t="s">
        <v>1858</v>
      </c>
      <c r="K33" s="444" t="s">
        <v>1859</v>
      </c>
      <c r="L33" s="1995"/>
    </row>
    <row r="34" spans="3:12" ht="15" customHeight="1">
      <c r="C34" s="1996"/>
      <c r="E34" s="444"/>
      <c r="F34" s="444" t="s">
        <v>1852</v>
      </c>
      <c r="G34" s="444"/>
      <c r="H34" s="444"/>
      <c r="I34" s="444" t="s">
        <v>1670</v>
      </c>
      <c r="J34" s="444"/>
      <c r="K34" s="444" t="s">
        <v>1860</v>
      </c>
      <c r="L34" s="1995"/>
    </row>
    <row r="35" spans="3:12" ht="15" customHeight="1">
      <c r="C35" s="1996"/>
      <c r="D35" s="444"/>
      <c r="E35" s="444"/>
      <c r="F35" s="444" t="s">
        <v>1853</v>
      </c>
      <c r="G35" s="444"/>
      <c r="H35" s="444"/>
      <c r="I35" s="444"/>
      <c r="J35" s="444"/>
      <c r="K35" s="444" t="s">
        <v>1861</v>
      </c>
      <c r="L35" s="1995"/>
    </row>
    <row r="36" spans="3:12" ht="15" customHeight="1">
      <c r="C36" s="1996"/>
      <c r="D36" s="444"/>
      <c r="E36" s="444"/>
      <c r="F36" s="444" t="s">
        <v>1854</v>
      </c>
      <c r="G36" s="444"/>
      <c r="H36" s="444"/>
      <c r="I36" s="444"/>
      <c r="J36" s="444"/>
      <c r="K36" s="444"/>
      <c r="L36" s="1995"/>
    </row>
    <row r="37" spans="3:12" ht="15" customHeight="1">
      <c r="C37" s="1996"/>
      <c r="D37" s="444"/>
      <c r="E37" s="444"/>
      <c r="F37" s="444" t="s">
        <v>1855</v>
      </c>
      <c r="G37" s="444"/>
      <c r="H37" s="444"/>
      <c r="I37" s="444"/>
      <c r="J37" s="444"/>
      <c r="K37" s="444"/>
      <c r="L37" s="1995"/>
    </row>
    <row r="38" spans="3:12" ht="15" customHeight="1">
      <c r="C38" s="1996"/>
      <c r="D38" s="444"/>
      <c r="E38" s="444"/>
      <c r="F38" s="444" t="s">
        <v>1856</v>
      </c>
      <c r="G38" s="444"/>
      <c r="H38" s="444"/>
      <c r="I38" s="444"/>
      <c r="J38" s="444"/>
      <c r="K38" s="444"/>
      <c r="L38" s="1995"/>
    </row>
    <row r="39" spans="3:12" ht="15" customHeight="1">
      <c r="C39" s="1996"/>
      <c r="D39" s="444"/>
      <c r="E39" s="444"/>
      <c r="F39" s="444" t="s">
        <v>1857</v>
      </c>
      <c r="G39" s="444"/>
      <c r="H39" s="444"/>
      <c r="I39" s="444"/>
      <c r="J39" s="444"/>
      <c r="K39" s="444"/>
      <c r="L39" s="1995"/>
    </row>
    <row r="40" spans="3:12" ht="15" customHeight="1">
      <c r="C40" s="1996"/>
      <c r="D40" s="444"/>
      <c r="E40" s="444"/>
      <c r="F40" s="444"/>
      <c r="G40" s="444"/>
      <c r="H40" s="444"/>
      <c r="I40" s="444"/>
      <c r="J40" s="444"/>
      <c r="K40" s="444"/>
      <c r="L40" s="1995"/>
    </row>
    <row r="41" spans="3:12" ht="15" customHeight="1">
      <c r="C41" s="1996"/>
      <c r="D41" s="444"/>
      <c r="E41" s="444"/>
      <c r="F41" s="444"/>
      <c r="G41" s="444"/>
      <c r="H41" s="444"/>
      <c r="I41" s="444"/>
      <c r="J41" s="444"/>
      <c r="K41" s="444"/>
      <c r="L41" s="1995"/>
    </row>
    <row r="42" spans="3:12" ht="15" customHeight="1">
      <c r="C42" s="1996"/>
      <c r="D42" s="444"/>
      <c r="E42" s="444"/>
      <c r="F42" s="444"/>
      <c r="G42" s="444"/>
      <c r="H42" s="444"/>
      <c r="I42" s="444"/>
      <c r="J42" s="444"/>
      <c r="K42" s="444"/>
      <c r="L42" s="1995"/>
    </row>
    <row r="43" spans="3:12" ht="15" customHeight="1">
      <c r="C43" s="1996"/>
      <c r="D43" s="444"/>
      <c r="E43" s="444"/>
      <c r="F43" s="444"/>
      <c r="G43" s="444"/>
      <c r="H43" s="444"/>
      <c r="I43" s="444"/>
      <c r="J43" s="444"/>
      <c r="K43" s="444"/>
      <c r="L43" s="1995"/>
    </row>
    <row r="44" spans="3:12" ht="15" customHeight="1">
      <c r="C44" s="1996"/>
      <c r="D44" s="444"/>
      <c r="E44" s="444"/>
      <c r="F44" s="444"/>
      <c r="G44" s="444"/>
      <c r="H44" s="444"/>
      <c r="I44" s="444"/>
      <c r="J44" s="444"/>
      <c r="K44" s="444"/>
      <c r="L44" s="1995"/>
    </row>
    <row r="45" spans="3:12" ht="15" customHeight="1">
      <c r="C45" s="1996"/>
      <c r="D45" s="444"/>
      <c r="E45" s="444"/>
      <c r="F45" s="444"/>
      <c r="G45" s="444"/>
      <c r="H45" s="444"/>
      <c r="I45" s="444"/>
      <c r="J45" s="444"/>
      <c r="K45" s="444"/>
      <c r="L45" s="1995"/>
    </row>
    <row r="46" spans="3:12" ht="15" customHeight="1">
      <c r="C46" s="1996"/>
      <c r="D46" s="444"/>
      <c r="E46" s="444"/>
      <c r="F46" s="444"/>
      <c r="G46" s="444"/>
      <c r="H46" s="444"/>
      <c r="I46" s="444"/>
      <c r="J46" s="444"/>
      <c r="K46" s="444"/>
      <c r="L46" s="1995"/>
    </row>
    <row r="47" spans="3:12" ht="15" customHeight="1">
      <c r="C47" s="1996"/>
      <c r="D47" s="444"/>
      <c r="E47" s="444"/>
      <c r="F47" s="444"/>
      <c r="G47" s="444"/>
      <c r="H47" s="444"/>
      <c r="I47" s="444"/>
      <c r="J47" s="444"/>
      <c r="K47" s="444"/>
      <c r="L47" s="1995"/>
    </row>
    <row r="48" spans="3:12" ht="15" customHeight="1">
      <c r="C48" s="1996"/>
      <c r="D48" s="444"/>
      <c r="E48" s="444"/>
      <c r="F48" s="444"/>
      <c r="G48" s="444"/>
      <c r="H48" s="444"/>
      <c r="I48" s="444"/>
      <c r="J48" s="444"/>
      <c r="K48" s="444"/>
      <c r="L48" s="1995"/>
    </row>
    <row r="49" spans="3:12" ht="15" customHeight="1">
      <c r="C49" s="1996"/>
      <c r="D49" s="444"/>
      <c r="E49" s="444"/>
      <c r="F49" s="444"/>
      <c r="G49" s="444"/>
      <c r="H49" s="444"/>
      <c r="I49" s="444"/>
      <c r="J49" s="444"/>
      <c r="K49" s="444"/>
      <c r="L49" s="1995"/>
    </row>
    <row r="50" spans="3:12" ht="15" customHeight="1">
      <c r="C50" s="1996"/>
      <c r="D50" s="444"/>
      <c r="E50" s="444"/>
      <c r="F50" s="444"/>
      <c r="G50" s="444"/>
      <c r="H50" s="444"/>
      <c r="I50" s="444"/>
      <c r="J50" s="444"/>
      <c r="K50" s="444"/>
      <c r="L50" s="1995"/>
    </row>
    <row r="51" spans="3:12" ht="15" customHeight="1">
      <c r="C51" s="1996"/>
      <c r="D51" s="444"/>
      <c r="E51" s="444"/>
      <c r="F51" s="444"/>
      <c r="G51" s="444"/>
      <c r="H51" s="444"/>
      <c r="I51" s="444"/>
      <c r="J51" s="444"/>
      <c r="K51" s="444"/>
      <c r="L51" s="1995"/>
    </row>
    <row r="52" spans="3:12" ht="15" customHeight="1">
      <c r="C52" s="1996"/>
      <c r="D52" s="444"/>
      <c r="E52" s="444"/>
      <c r="F52" s="444"/>
      <c r="G52" s="444"/>
      <c r="H52" s="444"/>
      <c r="I52" s="444"/>
      <c r="J52" s="444"/>
      <c r="K52" s="444"/>
      <c r="L52" s="1995"/>
    </row>
    <row r="53" spans="3:12" ht="15" customHeight="1">
      <c r="C53" s="1996"/>
      <c r="D53" s="444"/>
      <c r="E53" s="444"/>
      <c r="F53" s="444"/>
      <c r="G53" s="444"/>
      <c r="H53" s="444"/>
      <c r="I53" s="444"/>
      <c r="J53" s="444"/>
      <c r="K53" s="444"/>
      <c r="L53" s="1995"/>
    </row>
    <row r="54" spans="3:12" ht="15" customHeight="1">
      <c r="C54" s="1996"/>
      <c r="D54" s="444"/>
      <c r="E54" s="444"/>
      <c r="F54" s="444"/>
      <c r="G54" s="444"/>
      <c r="H54" s="444"/>
      <c r="I54" s="444"/>
      <c r="J54" s="444"/>
      <c r="K54" s="444"/>
      <c r="L54" s="1995"/>
    </row>
    <row r="55" spans="3:12" ht="15" customHeight="1">
      <c r="C55" s="1996"/>
      <c r="D55" s="444"/>
      <c r="E55" s="444"/>
      <c r="F55" s="444"/>
      <c r="G55" s="444"/>
      <c r="H55" s="444"/>
      <c r="I55" s="444"/>
      <c r="J55" s="444"/>
      <c r="K55" s="444"/>
      <c r="L55" s="1995"/>
    </row>
    <row r="56" spans="3:12" ht="15" customHeight="1">
      <c r="C56" s="1996"/>
      <c r="D56" s="444"/>
      <c r="E56" s="444"/>
      <c r="F56" s="444"/>
      <c r="G56" s="444"/>
      <c r="H56" s="444"/>
      <c r="I56" s="444"/>
      <c r="J56" s="444"/>
      <c r="K56" s="444"/>
      <c r="L56" s="1995"/>
    </row>
    <row r="57" spans="3:12" ht="15" customHeight="1">
      <c r="C57" s="1996"/>
      <c r="D57" s="444"/>
      <c r="E57" s="444"/>
      <c r="F57" s="444"/>
      <c r="G57" s="444"/>
      <c r="H57" s="444"/>
      <c r="I57" s="444"/>
      <c r="J57" s="444"/>
      <c r="K57" s="444"/>
      <c r="L57" s="1995"/>
    </row>
    <row r="58" spans="3:12" ht="15" customHeight="1">
      <c r="C58" s="1996"/>
      <c r="D58" s="444"/>
      <c r="E58" s="444"/>
      <c r="F58" s="444"/>
      <c r="G58" s="444"/>
      <c r="H58" s="444"/>
      <c r="I58" s="444"/>
      <c r="J58" s="444"/>
      <c r="K58" s="444"/>
      <c r="L58" s="1995"/>
    </row>
    <row r="59" spans="3:12" ht="15" customHeight="1">
      <c r="C59" s="1996"/>
      <c r="D59" s="444"/>
      <c r="E59" s="444"/>
      <c r="F59" s="444"/>
      <c r="G59" s="444"/>
      <c r="H59" s="444"/>
      <c r="I59" s="444"/>
      <c r="J59" s="444"/>
      <c r="K59" s="444"/>
      <c r="L59" s="1995"/>
    </row>
    <row r="60" spans="3:12" ht="15" customHeight="1">
      <c r="C60" s="1997"/>
      <c r="D60" s="1998"/>
      <c r="E60" s="1998"/>
      <c r="F60" s="1998"/>
      <c r="G60" s="1998"/>
      <c r="H60" s="1998"/>
      <c r="I60" s="1998"/>
      <c r="J60" s="1998"/>
      <c r="K60" s="1998"/>
      <c r="L60" s="1999"/>
    </row>
    <row r="61" spans="3:12" ht="15" customHeight="1">
      <c r="C61" s="444"/>
      <c r="D61" s="444"/>
      <c r="E61" s="444"/>
      <c r="F61" s="444"/>
      <c r="G61" s="444"/>
      <c r="H61" s="444"/>
      <c r="I61" s="444"/>
      <c r="J61" s="444"/>
      <c r="K61" s="444"/>
      <c r="L61" s="444"/>
    </row>
    <row r="62" spans="3:12" ht="15" customHeight="1">
      <c r="C62" s="444"/>
      <c r="D62" s="444"/>
      <c r="E62" s="444"/>
      <c r="F62" s="444"/>
      <c r="G62" s="444"/>
      <c r="H62" s="444"/>
      <c r="I62" s="444"/>
      <c r="J62" s="444"/>
      <c r="K62" s="444"/>
      <c r="L62" s="444"/>
    </row>
    <row r="63" spans="3:12" ht="15" customHeight="1">
      <c r="C63" s="444"/>
      <c r="D63" s="444"/>
      <c r="E63" s="444"/>
      <c r="F63" s="444"/>
      <c r="G63" s="444"/>
      <c r="H63" s="444"/>
      <c r="I63" s="444"/>
      <c r="J63" s="444"/>
      <c r="K63" s="444"/>
      <c r="L63" s="444"/>
    </row>
    <row r="64" spans="3:12" ht="15" customHeight="1">
      <c r="C64" s="444"/>
      <c r="D64" s="444"/>
      <c r="E64" s="444"/>
      <c r="F64" s="444"/>
      <c r="G64" s="444"/>
      <c r="H64" s="444"/>
      <c r="I64" s="444"/>
      <c r="J64" s="444"/>
      <c r="K64" s="444"/>
      <c r="L64" s="444"/>
    </row>
    <row r="65" spans="3:12" ht="15" customHeight="1">
      <c r="C65" s="444"/>
      <c r="D65" s="444"/>
      <c r="E65" s="444"/>
      <c r="F65" s="444"/>
      <c r="G65" s="444"/>
      <c r="H65" s="444"/>
      <c r="I65" s="444"/>
      <c r="J65" s="444"/>
      <c r="K65" s="444"/>
      <c r="L65" s="444"/>
    </row>
    <row r="66" spans="3:12" ht="15" customHeight="1">
      <c r="C66" s="444"/>
      <c r="D66" s="444"/>
      <c r="E66" s="444"/>
      <c r="F66" s="444"/>
      <c r="G66" s="444"/>
      <c r="H66" s="444"/>
      <c r="I66" s="444"/>
      <c r="J66" s="444"/>
      <c r="K66" s="444"/>
      <c r="L66" s="444"/>
    </row>
    <row r="67" spans="3:12" ht="15" customHeight="1">
      <c r="C67" s="444"/>
      <c r="D67" s="444"/>
      <c r="E67" s="444"/>
      <c r="F67" s="444"/>
      <c r="G67" s="444"/>
      <c r="H67" s="444"/>
      <c r="I67" s="444"/>
      <c r="J67" s="444"/>
      <c r="K67" s="444"/>
      <c r="L67" s="444"/>
    </row>
    <row r="68" spans="3:12" ht="15" customHeight="1">
      <c r="C68" s="444"/>
      <c r="D68" s="444"/>
      <c r="E68" s="444"/>
      <c r="F68" s="444"/>
      <c r="G68" s="444"/>
      <c r="H68" s="444"/>
      <c r="I68" s="444"/>
      <c r="J68" s="444"/>
      <c r="K68" s="444"/>
      <c r="L68" s="444"/>
    </row>
    <row r="69" spans="3:12" ht="15" customHeight="1">
      <c r="C69" s="444"/>
      <c r="D69" s="444"/>
      <c r="E69" s="444"/>
      <c r="F69" s="444"/>
      <c r="G69" s="444"/>
      <c r="H69" s="444"/>
      <c r="I69" s="444"/>
      <c r="J69" s="444"/>
      <c r="K69" s="444"/>
      <c r="L69" s="444"/>
    </row>
    <row r="70" spans="3:12" ht="15" customHeight="1">
      <c r="C70" s="444"/>
      <c r="D70" s="444"/>
      <c r="E70" s="444"/>
      <c r="F70" s="444"/>
      <c r="G70" s="444"/>
      <c r="H70" s="444"/>
      <c r="I70" s="444"/>
      <c r="J70" s="444"/>
      <c r="K70" s="444"/>
      <c r="L70" s="444"/>
    </row>
    <row r="71" spans="3:12" ht="15" customHeight="1">
      <c r="C71" s="444"/>
      <c r="D71" s="444"/>
      <c r="E71" s="444"/>
      <c r="F71" s="444"/>
      <c r="G71" s="444"/>
      <c r="H71" s="444"/>
      <c r="I71" s="444"/>
      <c r="J71" s="444"/>
      <c r="K71" s="444"/>
      <c r="L71" s="444"/>
    </row>
    <row r="72" spans="3:12" ht="15" customHeight="1">
      <c r="C72" s="444"/>
      <c r="D72" s="444"/>
      <c r="E72" s="444"/>
      <c r="F72" s="444"/>
      <c r="G72" s="444"/>
      <c r="H72" s="444"/>
      <c r="I72" s="444"/>
      <c r="J72" s="444"/>
      <c r="K72" s="444"/>
      <c r="L72" s="444"/>
    </row>
    <row r="73" spans="3:12" ht="15" customHeight="1">
      <c r="C73" s="444"/>
      <c r="D73" s="444"/>
      <c r="E73" s="444"/>
      <c r="F73" s="444"/>
      <c r="G73" s="444"/>
      <c r="H73" s="444"/>
      <c r="I73" s="444"/>
      <c r="J73" s="444"/>
      <c r="K73" s="444"/>
      <c r="L73" s="444"/>
    </row>
    <row r="74" spans="3:12" ht="15" customHeight="1">
      <c r="C74" s="444"/>
      <c r="D74" s="444"/>
      <c r="E74" s="444"/>
      <c r="F74" s="444"/>
      <c r="G74" s="444"/>
      <c r="H74" s="444"/>
      <c r="I74" s="444"/>
      <c r="J74" s="444"/>
      <c r="K74" s="444"/>
      <c r="L74" s="444"/>
    </row>
    <row r="75" spans="3:12" ht="15" customHeight="1">
      <c r="C75" s="444"/>
      <c r="D75" s="444"/>
      <c r="E75" s="444"/>
      <c r="F75" s="444"/>
      <c r="G75" s="444"/>
      <c r="H75" s="444"/>
      <c r="I75" s="444"/>
      <c r="J75" s="444"/>
      <c r="K75" s="444"/>
      <c r="L75" s="444"/>
    </row>
    <row r="76" spans="3:12" ht="15" customHeight="1">
      <c r="C76" s="444"/>
      <c r="D76" s="444"/>
      <c r="E76" s="444"/>
      <c r="F76" s="444"/>
      <c r="G76" s="444"/>
      <c r="H76" s="444"/>
      <c r="I76" s="444"/>
      <c r="J76" s="444"/>
      <c r="K76" s="444"/>
      <c r="L76" s="444"/>
    </row>
    <row r="77" spans="3:12" ht="15" customHeight="1">
      <c r="C77" s="444"/>
      <c r="D77" s="444"/>
      <c r="E77" s="444"/>
      <c r="F77" s="444"/>
      <c r="G77" s="444"/>
      <c r="H77" s="444"/>
      <c r="I77" s="444"/>
      <c r="J77" s="444"/>
      <c r="K77" s="444"/>
      <c r="L77" s="444"/>
    </row>
    <row r="78" spans="3:12" ht="15" customHeight="1">
      <c r="C78" s="444"/>
      <c r="D78" s="444"/>
      <c r="E78" s="444"/>
      <c r="F78" s="444"/>
      <c r="G78" s="444"/>
      <c r="H78" s="444"/>
      <c r="I78" s="444"/>
      <c r="J78" s="444"/>
      <c r="K78" s="444"/>
      <c r="L78" s="444"/>
    </row>
    <row r="79" spans="3:12" ht="15" customHeight="1">
      <c r="C79" s="444"/>
      <c r="D79" s="444"/>
      <c r="E79" s="444"/>
      <c r="F79" s="444"/>
      <c r="G79" s="444"/>
      <c r="H79" s="444"/>
      <c r="I79" s="444"/>
      <c r="J79" s="444"/>
      <c r="K79" s="444"/>
      <c r="L79" s="444"/>
    </row>
    <row r="80" spans="3:12" ht="15" customHeight="1">
      <c r="C80" s="444"/>
      <c r="D80" s="444"/>
      <c r="E80" s="444"/>
      <c r="F80" s="444"/>
      <c r="G80" s="444"/>
      <c r="H80" s="444"/>
      <c r="I80" s="444"/>
      <c r="J80" s="444"/>
      <c r="K80" s="444"/>
      <c r="L80" s="444"/>
    </row>
    <row r="81" spans="3:12" ht="15" customHeight="1">
      <c r="C81" s="444"/>
      <c r="D81" s="444"/>
      <c r="E81" s="444"/>
      <c r="F81" s="444"/>
      <c r="G81" s="444"/>
      <c r="H81" s="444"/>
      <c r="I81" s="444"/>
      <c r="J81" s="444"/>
      <c r="K81" s="444"/>
      <c r="L81" s="444"/>
    </row>
    <row r="82" spans="3:12" ht="15" customHeight="1">
      <c r="C82" s="444"/>
      <c r="D82" s="444"/>
      <c r="E82" s="444"/>
      <c r="F82" s="444"/>
      <c r="G82" s="444"/>
      <c r="H82" s="444"/>
      <c r="I82" s="444"/>
      <c r="J82" s="444"/>
      <c r="K82" s="444"/>
      <c r="L82" s="444"/>
    </row>
    <row r="83" spans="3:12" ht="15" customHeight="1">
      <c r="C83" s="444"/>
      <c r="D83" s="444"/>
      <c r="E83" s="444"/>
      <c r="F83" s="444"/>
      <c r="G83" s="444"/>
      <c r="H83" s="444"/>
      <c r="I83" s="444"/>
      <c r="J83" s="444"/>
      <c r="K83" s="444"/>
      <c r="L83" s="444"/>
    </row>
    <row r="84" spans="3:12" ht="15" customHeight="1">
      <c r="C84" s="444"/>
      <c r="D84" s="444"/>
      <c r="E84" s="444"/>
      <c r="F84" s="444"/>
      <c r="G84" s="444"/>
      <c r="H84" s="444"/>
      <c r="I84" s="444"/>
      <c r="J84" s="444"/>
      <c r="K84" s="444"/>
      <c r="L84" s="444"/>
    </row>
    <row r="85" spans="3:12" ht="15" customHeight="1">
      <c r="C85" s="444"/>
      <c r="D85" s="444"/>
      <c r="E85" s="444"/>
      <c r="F85" s="444"/>
      <c r="G85" s="444"/>
      <c r="H85" s="444"/>
      <c r="I85" s="444"/>
      <c r="J85" s="444"/>
      <c r="K85" s="444"/>
      <c r="L85" s="444"/>
    </row>
    <row r="86" spans="3:12" ht="15" customHeight="1">
      <c r="C86" s="444"/>
      <c r="D86" s="444"/>
      <c r="E86" s="444"/>
      <c r="F86" s="444"/>
      <c r="G86" s="444"/>
      <c r="H86" s="444"/>
      <c r="I86" s="444"/>
      <c r="J86" s="444"/>
      <c r="K86" s="444"/>
      <c r="L86" s="444"/>
    </row>
    <row r="87" spans="3:12" ht="15" customHeight="1">
      <c r="C87" s="444"/>
      <c r="D87" s="444"/>
      <c r="E87" s="444"/>
      <c r="F87" s="444"/>
      <c r="G87" s="444"/>
      <c r="H87" s="444"/>
      <c r="I87" s="444"/>
      <c r="J87" s="444"/>
      <c r="K87" s="444"/>
      <c r="L87" s="444"/>
    </row>
    <row r="88" spans="3:12" ht="15" customHeight="1">
      <c r="C88" s="444"/>
      <c r="D88" s="444"/>
      <c r="E88" s="444"/>
      <c r="F88" s="444"/>
      <c r="G88" s="444"/>
      <c r="H88" s="444"/>
      <c r="I88" s="444"/>
      <c r="J88" s="444"/>
      <c r="K88" s="444"/>
      <c r="L88" s="444"/>
    </row>
    <row r="89" spans="3:12" ht="15" customHeight="1">
      <c r="C89" s="444"/>
      <c r="D89" s="444"/>
      <c r="E89" s="444"/>
      <c r="F89" s="444"/>
      <c r="G89" s="444"/>
      <c r="H89" s="444"/>
      <c r="I89" s="444"/>
      <c r="J89" s="444"/>
      <c r="K89" s="444"/>
      <c r="L89" s="444"/>
    </row>
    <row r="90" spans="3:12" ht="15" customHeight="1">
      <c r="C90" s="444"/>
      <c r="D90" s="444"/>
      <c r="E90" s="444"/>
      <c r="F90" s="444"/>
      <c r="G90" s="444"/>
      <c r="H90" s="444"/>
      <c r="I90" s="444"/>
      <c r="J90" s="444"/>
      <c r="K90" s="444"/>
      <c r="L90" s="444"/>
    </row>
    <row r="91" spans="3:12" ht="15" customHeight="1">
      <c r="C91" s="444"/>
      <c r="D91" s="444"/>
      <c r="E91" s="444"/>
      <c r="F91" s="444"/>
      <c r="G91" s="444"/>
      <c r="H91" s="444"/>
      <c r="I91" s="444"/>
      <c r="J91" s="444"/>
      <c r="K91" s="444"/>
      <c r="L91" s="444"/>
    </row>
    <row r="92" spans="3:12" ht="15" customHeight="1">
      <c r="C92" s="444"/>
      <c r="D92" s="444"/>
      <c r="E92" s="444"/>
      <c r="F92" s="444"/>
      <c r="G92" s="444"/>
      <c r="H92" s="444"/>
      <c r="I92" s="444"/>
      <c r="J92" s="444"/>
      <c r="K92" s="444"/>
      <c r="L92" s="444"/>
    </row>
    <row r="93" spans="3:12" ht="15" customHeight="1">
      <c r="C93" s="444"/>
      <c r="D93" s="444"/>
      <c r="E93" s="444"/>
      <c r="F93" s="444"/>
      <c r="G93" s="444"/>
      <c r="H93" s="444"/>
      <c r="I93" s="444"/>
      <c r="J93" s="444"/>
      <c r="K93" s="444"/>
      <c r="L93" s="444"/>
    </row>
    <row r="94" spans="3:12" ht="15" customHeight="1">
      <c r="C94" s="444"/>
      <c r="D94" s="444"/>
      <c r="E94" s="444"/>
      <c r="F94" s="444"/>
      <c r="G94" s="444"/>
      <c r="H94" s="444"/>
      <c r="I94" s="444"/>
      <c r="J94" s="444"/>
      <c r="K94" s="444"/>
      <c r="L94" s="444"/>
    </row>
    <row r="95" spans="3:12" ht="15" customHeight="1">
      <c r="C95" s="444"/>
      <c r="D95" s="444"/>
      <c r="E95" s="444"/>
      <c r="F95" s="444"/>
      <c r="G95" s="444"/>
      <c r="H95" s="444"/>
      <c r="I95" s="444"/>
      <c r="J95" s="444"/>
      <c r="K95" s="444"/>
      <c r="L95" s="444"/>
    </row>
    <row r="96" spans="3:12" ht="15" customHeight="1">
      <c r="C96" s="444"/>
      <c r="D96" s="444"/>
      <c r="E96" s="444"/>
      <c r="F96" s="444"/>
      <c r="G96" s="444"/>
      <c r="H96" s="444"/>
      <c r="I96" s="444"/>
      <c r="J96" s="444"/>
      <c r="K96" s="444"/>
      <c r="L96" s="444"/>
    </row>
    <row r="97" spans="3:12" ht="15" customHeight="1">
      <c r="C97" s="444"/>
      <c r="D97" s="444"/>
      <c r="E97" s="444"/>
      <c r="F97" s="444"/>
      <c r="G97" s="444"/>
      <c r="H97" s="444"/>
      <c r="I97" s="444"/>
      <c r="J97" s="444"/>
      <c r="K97" s="444"/>
      <c r="L97" s="444"/>
    </row>
    <row r="98" spans="3:12" ht="15" customHeight="1">
      <c r="C98" s="444"/>
      <c r="D98" s="444"/>
      <c r="E98" s="444"/>
      <c r="F98" s="444"/>
      <c r="G98" s="444"/>
      <c r="H98" s="444"/>
      <c r="I98" s="444"/>
      <c r="J98" s="444"/>
      <c r="K98" s="444"/>
      <c r="L98" s="444"/>
    </row>
    <row r="99" spans="3:12" ht="15" customHeight="1">
      <c r="C99" s="444"/>
      <c r="D99" s="444"/>
      <c r="E99" s="444"/>
      <c r="F99" s="444"/>
      <c r="G99" s="444"/>
      <c r="H99" s="444"/>
      <c r="I99" s="444"/>
      <c r="J99" s="444"/>
      <c r="K99" s="444"/>
      <c r="L99" s="444"/>
    </row>
    <row r="100" spans="3:12" ht="15" customHeight="1">
      <c r="C100" s="444"/>
      <c r="D100" s="444"/>
      <c r="E100" s="444"/>
      <c r="F100" s="444"/>
      <c r="G100" s="444"/>
      <c r="H100" s="444"/>
      <c r="I100" s="444"/>
      <c r="J100" s="444"/>
      <c r="K100" s="444"/>
      <c r="L100" s="444"/>
    </row>
    <row r="101" spans="3:12" ht="15" customHeight="1">
      <c r="C101" s="444"/>
      <c r="D101" s="444"/>
      <c r="E101" s="444"/>
      <c r="F101" s="444"/>
      <c r="G101" s="444"/>
      <c r="H101" s="444"/>
      <c r="I101" s="444"/>
      <c r="J101" s="444"/>
      <c r="K101" s="444"/>
      <c r="L101" s="444"/>
    </row>
    <row r="102" spans="3:12" ht="15" customHeight="1">
      <c r="C102" s="444"/>
      <c r="D102" s="444"/>
      <c r="E102" s="444"/>
      <c r="F102" s="444"/>
      <c r="G102" s="444"/>
      <c r="H102" s="444"/>
      <c r="I102" s="444"/>
      <c r="J102" s="444"/>
      <c r="K102" s="444"/>
      <c r="L102" s="444"/>
    </row>
    <row r="103" spans="3:12" ht="15" customHeight="1">
      <c r="C103" s="444"/>
      <c r="D103" s="444"/>
      <c r="E103" s="444"/>
      <c r="F103" s="444"/>
      <c r="G103" s="444"/>
      <c r="H103" s="444"/>
      <c r="I103" s="444"/>
      <c r="J103" s="444"/>
      <c r="K103" s="444"/>
      <c r="L103" s="444"/>
    </row>
    <row r="104" spans="3:12" ht="15" customHeight="1">
      <c r="C104" s="444"/>
      <c r="D104" s="444"/>
      <c r="E104" s="444"/>
      <c r="F104" s="444"/>
      <c r="G104" s="444"/>
      <c r="H104" s="444"/>
      <c r="I104" s="444"/>
      <c r="J104" s="444"/>
      <c r="K104" s="444"/>
      <c r="L104" s="444"/>
    </row>
    <row r="105" spans="3:12" ht="15" customHeight="1">
      <c r="C105" s="444"/>
      <c r="D105" s="444"/>
      <c r="E105" s="444"/>
      <c r="F105" s="444"/>
      <c r="G105" s="444"/>
      <c r="H105" s="444"/>
      <c r="I105" s="444"/>
      <c r="J105" s="444"/>
      <c r="K105" s="444"/>
      <c r="L105" s="444"/>
    </row>
    <row r="106" spans="3:12" ht="15" customHeight="1">
      <c r="C106" s="444"/>
      <c r="D106" s="444"/>
      <c r="E106" s="444"/>
      <c r="F106" s="444"/>
      <c r="G106" s="444"/>
      <c r="H106" s="444"/>
      <c r="I106" s="444"/>
      <c r="J106" s="444"/>
      <c r="K106" s="444"/>
      <c r="L106" s="444"/>
    </row>
    <row r="107" spans="3:12" ht="15" customHeight="1">
      <c r="C107" s="444"/>
      <c r="D107" s="444"/>
      <c r="E107" s="444"/>
      <c r="F107" s="444"/>
      <c r="G107" s="444"/>
      <c r="H107" s="444"/>
      <c r="I107" s="444"/>
      <c r="J107" s="444"/>
      <c r="K107" s="444"/>
      <c r="L107" s="444"/>
    </row>
    <row r="108" spans="3:12" ht="15" customHeight="1">
      <c r="C108" s="444"/>
      <c r="D108" s="444"/>
      <c r="E108" s="444"/>
      <c r="F108" s="444"/>
      <c r="G108" s="444"/>
      <c r="H108" s="444"/>
      <c r="I108" s="444"/>
      <c r="J108" s="444"/>
      <c r="K108" s="444"/>
      <c r="L108" s="444"/>
    </row>
    <row r="109" spans="3:12" ht="15" customHeight="1">
      <c r="C109" s="444"/>
      <c r="D109" s="444"/>
      <c r="E109" s="444"/>
      <c r="F109" s="444"/>
      <c r="G109" s="444"/>
      <c r="H109" s="444"/>
      <c r="I109" s="444"/>
      <c r="J109" s="444"/>
      <c r="K109" s="444"/>
      <c r="L109" s="444"/>
    </row>
    <row r="110" spans="3:12" ht="15" customHeight="1">
      <c r="C110" s="444"/>
      <c r="D110" s="444"/>
      <c r="E110" s="444"/>
      <c r="F110" s="444"/>
      <c r="G110" s="444"/>
      <c r="H110" s="444"/>
      <c r="I110" s="444"/>
      <c r="J110" s="444"/>
      <c r="K110" s="444"/>
      <c r="L110" s="444"/>
    </row>
    <row r="111" spans="3:12" ht="15" customHeight="1">
      <c r="C111" s="444"/>
      <c r="D111" s="444"/>
      <c r="E111" s="444"/>
      <c r="F111" s="444"/>
      <c r="G111" s="444"/>
      <c r="H111" s="444"/>
      <c r="I111" s="444"/>
      <c r="J111" s="444"/>
      <c r="K111" s="444"/>
      <c r="L111" s="444"/>
    </row>
    <row r="112" spans="3:12" ht="15" customHeight="1">
      <c r="C112" s="444"/>
      <c r="D112" s="444"/>
      <c r="E112" s="444"/>
      <c r="F112" s="444"/>
      <c r="G112" s="444"/>
      <c r="H112" s="444"/>
      <c r="I112" s="444"/>
      <c r="J112" s="444"/>
      <c r="K112" s="444"/>
      <c r="L112" s="444"/>
    </row>
    <row r="113" spans="3:12" ht="15" customHeight="1">
      <c r="C113" s="444"/>
      <c r="D113" s="444"/>
      <c r="E113" s="444"/>
      <c r="F113" s="444"/>
      <c r="G113" s="444"/>
      <c r="H113" s="444"/>
      <c r="I113" s="444"/>
      <c r="J113" s="444"/>
      <c r="K113" s="444"/>
      <c r="L113" s="444"/>
    </row>
    <row r="114" spans="3:12" ht="15" customHeight="1">
      <c r="C114" s="444"/>
      <c r="D114" s="444"/>
      <c r="E114" s="444"/>
      <c r="F114" s="444"/>
      <c r="G114" s="444"/>
      <c r="H114" s="444"/>
      <c r="I114" s="444"/>
      <c r="J114" s="444"/>
      <c r="K114" s="444"/>
      <c r="L114" s="444"/>
    </row>
    <row r="115" spans="3:12" ht="15" customHeight="1">
      <c r="C115" s="444"/>
      <c r="D115" s="444"/>
      <c r="E115" s="444"/>
      <c r="F115" s="444"/>
      <c r="G115" s="444"/>
      <c r="H115" s="444"/>
      <c r="I115" s="444"/>
      <c r="J115" s="444"/>
      <c r="K115" s="444"/>
      <c r="L115" s="444"/>
    </row>
    <row r="116" spans="3:12" ht="15" customHeight="1">
      <c r="C116" s="444"/>
      <c r="D116" s="444"/>
      <c r="E116" s="444"/>
      <c r="F116" s="444"/>
      <c r="G116" s="444"/>
      <c r="H116" s="444"/>
      <c r="I116" s="444"/>
      <c r="J116" s="444"/>
      <c r="K116" s="444"/>
      <c r="L116" s="444"/>
    </row>
    <row r="117" spans="3:12" ht="15" customHeight="1">
      <c r="C117" s="444"/>
      <c r="D117" s="444"/>
      <c r="E117" s="444"/>
      <c r="F117" s="444"/>
      <c r="G117" s="444"/>
      <c r="H117" s="444"/>
      <c r="I117" s="444"/>
      <c r="J117" s="444"/>
      <c r="K117" s="444"/>
      <c r="L117" s="444"/>
    </row>
    <row r="118" spans="3:12" ht="15" customHeight="1">
      <c r="C118" s="444"/>
      <c r="D118" s="444"/>
      <c r="E118" s="444"/>
      <c r="F118" s="444"/>
      <c r="G118" s="444"/>
      <c r="H118" s="444"/>
      <c r="I118" s="444"/>
      <c r="J118" s="444"/>
      <c r="K118" s="444"/>
      <c r="L118" s="444"/>
    </row>
    <row r="119" spans="3:12" ht="15" customHeight="1">
      <c r="C119" s="444"/>
      <c r="D119" s="444"/>
      <c r="E119" s="444"/>
      <c r="F119" s="444"/>
      <c r="G119" s="444"/>
      <c r="H119" s="444"/>
      <c r="I119" s="444"/>
      <c r="J119" s="444"/>
      <c r="K119" s="444"/>
      <c r="L119" s="444"/>
    </row>
    <row r="120" spans="3:12" ht="15" customHeight="1">
      <c r="C120" s="444"/>
      <c r="D120" s="444"/>
      <c r="E120" s="444"/>
      <c r="F120" s="444"/>
      <c r="G120" s="444"/>
      <c r="H120" s="444"/>
      <c r="I120" s="444"/>
      <c r="J120" s="444"/>
      <c r="K120" s="444"/>
      <c r="L120" s="444"/>
    </row>
    <row r="121" spans="3:12" ht="15" customHeight="1">
      <c r="C121" s="444"/>
      <c r="D121" s="444"/>
      <c r="E121" s="444"/>
      <c r="F121" s="444"/>
      <c r="G121" s="444"/>
      <c r="H121" s="444"/>
      <c r="I121" s="444"/>
      <c r="J121" s="444"/>
      <c r="K121" s="444"/>
      <c r="L121" s="444"/>
    </row>
    <row r="122" spans="3:12" ht="15" customHeight="1">
      <c r="C122" s="444"/>
      <c r="D122" s="444"/>
      <c r="E122" s="444"/>
      <c r="F122" s="444"/>
      <c r="G122" s="444"/>
      <c r="H122" s="444"/>
      <c r="I122" s="444"/>
      <c r="J122" s="444"/>
      <c r="K122" s="444"/>
      <c r="L122" s="444"/>
    </row>
    <row r="123" spans="3:12" ht="15" customHeight="1">
      <c r="C123" s="444"/>
      <c r="D123" s="444"/>
      <c r="E123" s="444"/>
      <c r="F123" s="444"/>
      <c r="G123" s="444"/>
      <c r="H123" s="444"/>
      <c r="I123" s="444"/>
      <c r="J123" s="444"/>
      <c r="K123" s="444"/>
      <c r="L123" s="444"/>
    </row>
    <row r="124" spans="3:12" ht="15" customHeight="1">
      <c r="C124" s="444"/>
      <c r="D124" s="444"/>
      <c r="E124" s="444"/>
      <c r="F124" s="444"/>
      <c r="G124" s="444"/>
      <c r="H124" s="444"/>
      <c r="I124" s="444"/>
      <c r="J124" s="444"/>
      <c r="K124" s="444"/>
      <c r="L124" s="444"/>
    </row>
    <row r="125" spans="3:12" ht="15" customHeight="1">
      <c r="C125" s="444"/>
      <c r="D125" s="444"/>
      <c r="E125" s="444"/>
      <c r="F125" s="444"/>
      <c r="G125" s="444"/>
      <c r="H125" s="444"/>
      <c r="I125" s="444"/>
      <c r="J125" s="444"/>
      <c r="K125" s="444"/>
      <c r="L125" s="444"/>
    </row>
    <row r="126" spans="3:12" ht="15" customHeight="1">
      <c r="C126" s="444"/>
      <c r="D126" s="444"/>
      <c r="E126" s="444"/>
      <c r="F126" s="444"/>
      <c r="G126" s="444"/>
      <c r="H126" s="444"/>
      <c r="I126" s="444"/>
      <c r="J126" s="444"/>
      <c r="K126" s="444"/>
      <c r="L126" s="444"/>
    </row>
    <row r="127" spans="3:12" ht="15" customHeight="1">
      <c r="C127" s="444"/>
      <c r="D127" s="444"/>
      <c r="E127" s="444"/>
      <c r="F127" s="444"/>
      <c r="G127" s="444"/>
      <c r="H127" s="444"/>
      <c r="I127" s="444"/>
      <c r="J127" s="444"/>
      <c r="K127" s="444"/>
      <c r="L127" s="444"/>
    </row>
    <row r="128" spans="3:12" ht="15" customHeight="1">
      <c r="C128" s="444"/>
      <c r="D128" s="444"/>
      <c r="E128" s="444"/>
      <c r="F128" s="444"/>
      <c r="G128" s="444"/>
      <c r="H128" s="444"/>
      <c r="I128" s="444"/>
      <c r="J128" s="444"/>
      <c r="K128" s="444"/>
      <c r="L128" s="444"/>
    </row>
    <row r="129" spans="3:12" ht="15" customHeight="1">
      <c r="C129" s="444"/>
      <c r="D129" s="444"/>
      <c r="E129" s="444"/>
      <c r="F129" s="444"/>
      <c r="G129" s="444"/>
      <c r="H129" s="444"/>
      <c r="I129" s="444"/>
      <c r="J129" s="444"/>
      <c r="K129" s="444"/>
      <c r="L129" s="444"/>
    </row>
    <row r="130" spans="3:12" ht="15" customHeight="1">
      <c r="C130" s="444"/>
      <c r="D130" s="444"/>
      <c r="E130" s="444"/>
      <c r="F130" s="444"/>
      <c r="G130" s="444"/>
      <c r="H130" s="444"/>
      <c r="I130" s="444"/>
      <c r="J130" s="444"/>
      <c r="K130" s="444"/>
      <c r="L130" s="444"/>
    </row>
    <row r="131" spans="3:12" ht="15" customHeight="1">
      <c r="C131" s="444"/>
      <c r="D131" s="444"/>
      <c r="E131" s="444"/>
      <c r="F131" s="444"/>
      <c r="G131" s="444"/>
      <c r="H131" s="444"/>
      <c r="I131" s="444"/>
      <c r="J131" s="444"/>
      <c r="K131" s="444"/>
      <c r="L131" s="444"/>
    </row>
    <row r="132" spans="3:12" ht="15" customHeight="1">
      <c r="C132" s="444"/>
      <c r="D132" s="444"/>
      <c r="E132" s="444"/>
      <c r="F132" s="444"/>
      <c r="G132" s="444"/>
      <c r="H132" s="444"/>
      <c r="I132" s="444"/>
      <c r="J132" s="444"/>
      <c r="K132" s="444"/>
      <c r="L132" s="444"/>
    </row>
    <row r="133" spans="3:12" ht="15" customHeight="1">
      <c r="C133" s="444"/>
      <c r="D133" s="444"/>
      <c r="E133" s="444"/>
      <c r="F133" s="444"/>
      <c r="G133" s="444"/>
      <c r="H133" s="444"/>
      <c r="I133" s="444"/>
      <c r="J133" s="444"/>
      <c r="K133" s="444"/>
      <c r="L133" s="444"/>
    </row>
    <row r="134" spans="3:12" ht="15" customHeight="1">
      <c r="C134" s="444"/>
      <c r="D134" s="444"/>
      <c r="E134" s="444"/>
      <c r="F134" s="444"/>
      <c r="G134" s="444"/>
      <c r="H134" s="444"/>
      <c r="I134" s="444"/>
      <c r="J134" s="444"/>
      <c r="K134" s="444"/>
      <c r="L134" s="444"/>
    </row>
    <row r="135" spans="3:12" ht="15" customHeight="1"/>
  </sheetData>
  <mergeCells count="17">
    <mergeCell ref="C23:E23"/>
    <mergeCell ref="C24:E24"/>
    <mergeCell ref="C5:D5"/>
    <mergeCell ref="E5:F5"/>
    <mergeCell ref="C7:D7"/>
    <mergeCell ref="E7:F7"/>
    <mergeCell ref="C17:E17"/>
    <mergeCell ref="C15:L15"/>
    <mergeCell ref="C19:E19"/>
    <mergeCell ref="C20:E20"/>
    <mergeCell ref="C21:E21"/>
    <mergeCell ref="C22:E22"/>
    <mergeCell ref="C25:E25"/>
    <mergeCell ref="C26:E26"/>
    <mergeCell ref="C27:E27"/>
    <mergeCell ref="C28:E28"/>
    <mergeCell ref="C29:E29"/>
  </mergeCells>
  <pageMargins left="0.70866141732283472" right="0.70866141732283472" top="0.74803149606299213" bottom="0.74803149606299213" header="0.31496062992125984" footer="0.31496062992125984"/>
  <pageSetup paperSize="9" scale="57" orientation="landscape" horizontalDpi="4294967295" verticalDpi="4294967295" r:id="rId1"/>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8">
    <pageSetUpPr autoPageBreaks="0" fitToPage="1"/>
  </sheetPr>
  <dimension ref="A1:AB84"/>
  <sheetViews>
    <sheetView showGridLines="0" showRowColHeaders="0" showZeros="0" zoomScale="115" zoomScaleNormal="115" zoomScaleSheetLayoutView="85" zoomScalePageLayoutView="55" workbookViewId="0">
      <pane xSplit="3" ySplit="13" topLeftCell="D36" activePane="bottomRight" state="frozen"/>
      <selection activeCell="G9" sqref="G9"/>
      <selection pane="topRight" activeCell="G9" sqref="G9"/>
      <selection pane="bottomLeft" activeCell="G9" sqref="G9"/>
      <selection pane="bottomRight"/>
    </sheetView>
  </sheetViews>
  <sheetFormatPr baseColWidth="10" defaultColWidth="0" defaultRowHeight="15" customHeight="1" zeroHeight="1" outlineLevelRow="1"/>
  <cols>
    <col min="1" max="2" width="2" customWidth="1"/>
    <col min="3" max="3" width="42.44140625" customWidth="1"/>
    <col min="4" max="4" width="26" customWidth="1"/>
    <col min="5" max="5" width="24" customWidth="1"/>
    <col min="6" max="7" width="27.5546875" customWidth="1"/>
    <col min="8" max="8" width="22" customWidth="1"/>
    <col min="9" max="10" width="20" customWidth="1"/>
    <col min="11" max="11" width="7" customWidth="1"/>
    <col min="12" max="12" width="6.44140625" hidden="1" customWidth="1"/>
    <col min="13" max="13" width="5" hidden="1" customWidth="1"/>
    <col min="14" max="14" width="19.5546875" hidden="1" customWidth="1"/>
    <col min="15" max="15" width="49" hidden="1" customWidth="1"/>
    <col min="16" max="16" width="21" hidden="1" customWidth="1"/>
    <col min="17" max="17" width="9" hidden="1" customWidth="1"/>
    <col min="18" max="18" width="4.5546875" hidden="1" customWidth="1"/>
    <col min="19" max="20" width="11.44140625" hidden="1" customWidth="1"/>
    <col min="21" max="21" width="46" hidden="1" customWidth="1"/>
    <col min="22" max="22" width="40" hidden="1" customWidth="1"/>
    <col min="23" max="23" width="16" hidden="1" customWidth="1"/>
    <col min="24" max="25" width="11.44140625" hidden="1" customWidth="1"/>
    <col min="26" max="26" width="49" hidden="1" customWidth="1"/>
    <col min="27" max="27" width="47.5546875" hidden="1" customWidth="1"/>
    <col min="28" max="28" width="18" hidden="1" customWidth="1"/>
    <col min="29" max="16384" width="11.44140625" hidden="1"/>
  </cols>
  <sheetData>
    <row r="1" spans="2:10" ht="15" customHeight="1"/>
    <row r="2" spans="2:10" ht="9" customHeight="1"/>
    <row r="3" spans="2:10" ht="5.25" customHeight="1">
      <c r="C3" s="1"/>
    </row>
    <row r="4" spans="2:10" ht="5.25" customHeight="1"/>
    <row r="5" spans="2:10" ht="21">
      <c r="C5" s="35" t="str">
        <f>+MENU!C5</f>
        <v>Sociedad:</v>
      </c>
      <c r="D5" s="2254" t="str">
        <f>+MENU!E5</f>
        <v>MARIO PILATO BLAT, S.A.</v>
      </c>
      <c r="E5" s="2255"/>
      <c r="F5" s="2255"/>
      <c r="J5" s="40"/>
    </row>
    <row r="6" spans="2:10" ht="12.75" customHeight="1"/>
    <row r="7" spans="2:10" ht="18">
      <c r="C7" s="35" t="str">
        <f>+instrucciones!$C$7</f>
        <v>Fecha de cierre</v>
      </c>
      <c r="D7" s="2261">
        <f>+MENU!D7</f>
        <v>45657</v>
      </c>
      <c r="E7" s="2261"/>
      <c r="F7" s="2261"/>
      <c r="I7" s="34"/>
    </row>
    <row r="8" spans="2:10" ht="15" customHeight="1">
      <c r="C8" s="2"/>
      <c r="E8" s="3"/>
      <c r="F8" s="3"/>
      <c r="G8" s="3"/>
      <c r="H8" s="3"/>
      <c r="I8" s="3"/>
      <c r="J8" s="3"/>
    </row>
    <row r="9" spans="2:10" ht="15" customHeight="1"/>
    <row r="10" spans="2:10" ht="15" customHeight="1"/>
    <row r="11" spans="2:10" ht="15" customHeight="1"/>
    <row r="12" spans="2:10" ht="6" customHeight="1"/>
    <row r="13" spans="2:10" ht="22.5" customHeight="1">
      <c r="C13" s="2356" t="s">
        <v>973</v>
      </c>
      <c r="D13" s="2357"/>
      <c r="E13" s="2357"/>
    </row>
    <row r="14" spans="2:10" ht="6" customHeight="1"/>
    <row r="15" spans="2:10" s="1341" customFormat="1" ht="21">
      <c r="C15" s="1342" t="s">
        <v>931</v>
      </c>
      <c r="D15" s="2358" t="s">
        <v>974</v>
      </c>
      <c r="E15" s="2358" t="s">
        <v>975</v>
      </c>
      <c r="F15" s="2335" t="s">
        <v>976</v>
      </c>
      <c r="G15" s="2335"/>
      <c r="H15" s="2358" t="s">
        <v>979</v>
      </c>
      <c r="I15" s="2320" t="s">
        <v>943</v>
      </c>
      <c r="J15" s="2322"/>
    </row>
    <row r="16" spans="2:10" s="1341" customFormat="1" ht="18">
      <c r="B16" s="1343" t="s">
        <v>1715</v>
      </c>
      <c r="C16" s="1345" t="s">
        <v>1716</v>
      </c>
      <c r="D16" s="2359"/>
      <c r="E16" s="2359"/>
      <c r="F16" s="1345" t="s">
        <v>977</v>
      </c>
      <c r="G16" s="1346" t="s">
        <v>978</v>
      </c>
      <c r="H16" s="2359"/>
      <c r="I16" s="2360"/>
      <c r="J16" s="2361"/>
    </row>
    <row r="17" spans="2:10" s="1341" customFormat="1" ht="22.5" customHeight="1">
      <c r="B17" s="1349">
        <v>1</v>
      </c>
      <c r="C17" s="1350" t="s">
        <v>946</v>
      </c>
      <c r="D17" s="1351">
        <v>6078.82</v>
      </c>
      <c r="E17" s="1351">
        <v>1154.97</v>
      </c>
      <c r="F17" s="1351"/>
      <c r="G17" s="1352"/>
      <c r="H17" s="1440">
        <f>+E17+G17</f>
        <v>1154.97</v>
      </c>
      <c r="I17" s="2362"/>
      <c r="J17" s="2363"/>
    </row>
    <row r="18" spans="2:10" s="1341" customFormat="1" ht="22.5" customHeight="1">
      <c r="B18" s="1349">
        <v>2</v>
      </c>
      <c r="C18" s="1355" t="s">
        <v>947</v>
      </c>
      <c r="D18" s="1351">
        <v>2758.44</v>
      </c>
      <c r="E18" s="1351">
        <v>524.1</v>
      </c>
      <c r="F18" s="1351"/>
      <c r="G18" s="1352"/>
      <c r="H18" s="1440">
        <f t="shared" ref="H18:H28" si="0">+E18+G18</f>
        <v>524.1</v>
      </c>
      <c r="I18" s="2364"/>
      <c r="J18" s="2365"/>
    </row>
    <row r="19" spans="2:10" s="1341" customFormat="1" ht="22.5" customHeight="1">
      <c r="B19" s="1356">
        <v>3</v>
      </c>
      <c r="C19" s="1357" t="s">
        <v>948</v>
      </c>
      <c r="D19" s="1351">
        <v>2758.44</v>
      </c>
      <c r="E19" s="1351">
        <v>524.1</v>
      </c>
      <c r="F19" s="1351"/>
      <c r="G19" s="1352"/>
      <c r="H19" s="1440">
        <f t="shared" si="0"/>
        <v>524.1</v>
      </c>
      <c r="I19" s="2364"/>
      <c r="J19" s="2365"/>
    </row>
    <row r="20" spans="2:10" s="1341" customFormat="1" ht="22.5" customHeight="1">
      <c r="B20" s="1349">
        <v>4</v>
      </c>
      <c r="C20" s="1355" t="s">
        <v>949</v>
      </c>
      <c r="D20" s="1351">
        <v>4326.67</v>
      </c>
      <c r="E20" s="1351">
        <v>822.06</v>
      </c>
      <c r="F20" s="1351"/>
      <c r="G20" s="1352"/>
      <c r="H20" s="1440">
        <f t="shared" si="0"/>
        <v>822.06</v>
      </c>
      <c r="I20" s="2364"/>
      <c r="J20" s="2365"/>
    </row>
    <row r="21" spans="2:10" s="1341" customFormat="1" ht="22.5" customHeight="1">
      <c r="B21" s="1349">
        <v>5</v>
      </c>
      <c r="C21" s="1355" t="s">
        <v>950</v>
      </c>
      <c r="D21" s="1351">
        <v>2758.44</v>
      </c>
      <c r="E21" s="1351">
        <v>524.1</v>
      </c>
      <c r="F21" s="1351"/>
      <c r="G21" s="1352"/>
      <c r="H21" s="1440">
        <f t="shared" si="0"/>
        <v>524.1</v>
      </c>
      <c r="I21" s="2364"/>
      <c r="J21" s="2365"/>
    </row>
    <row r="22" spans="2:10" s="1341" customFormat="1" ht="22.5" customHeight="1">
      <c r="B22" s="1356">
        <v>6</v>
      </c>
      <c r="C22" s="1357" t="s">
        <v>951</v>
      </c>
      <c r="D22" s="1351">
        <v>2758.44</v>
      </c>
      <c r="E22" s="1351">
        <v>524.1</v>
      </c>
      <c r="F22" s="1351"/>
      <c r="G22" s="1352"/>
      <c r="H22" s="1440">
        <f t="shared" si="0"/>
        <v>524.1</v>
      </c>
      <c r="I22" s="2364"/>
      <c r="J22" s="2365"/>
    </row>
    <row r="23" spans="2:10" s="1341" customFormat="1" ht="22.5" customHeight="1">
      <c r="B23" s="1349">
        <v>7</v>
      </c>
      <c r="C23" s="1355" t="s">
        <v>952</v>
      </c>
      <c r="D23" s="1351">
        <v>4326.67</v>
      </c>
      <c r="E23" s="1351">
        <v>822.06</v>
      </c>
      <c r="F23" s="1351"/>
      <c r="G23" s="1352"/>
      <c r="H23" s="1440">
        <f t="shared" si="0"/>
        <v>822.06</v>
      </c>
      <c r="I23" s="2364"/>
      <c r="J23" s="2365"/>
    </row>
    <row r="24" spans="2:10" s="1341" customFormat="1" ht="22.5" customHeight="1">
      <c r="B24" s="1349">
        <v>8</v>
      </c>
      <c r="C24" s="1355" t="s">
        <v>953</v>
      </c>
      <c r="D24" s="1351">
        <v>2758.44</v>
      </c>
      <c r="E24" s="1351">
        <v>524.1</v>
      </c>
      <c r="F24" s="1351"/>
      <c r="G24" s="1352"/>
      <c r="H24" s="1440">
        <f>+E24+G24</f>
        <v>524.1</v>
      </c>
      <c r="I24" s="2364"/>
      <c r="J24" s="2365"/>
    </row>
    <row r="25" spans="2:10" s="1341" customFormat="1" ht="22.5" customHeight="1">
      <c r="B25" s="1356">
        <v>9</v>
      </c>
      <c r="C25" s="1357" t="s">
        <v>954</v>
      </c>
      <c r="D25" s="1351">
        <v>2912.87</v>
      </c>
      <c r="E25" s="1351">
        <v>553.45000000000005</v>
      </c>
      <c r="F25" s="1351"/>
      <c r="G25" s="1352"/>
      <c r="H25" s="1440">
        <f>+E25+G25</f>
        <v>553.45000000000005</v>
      </c>
      <c r="I25" s="2364"/>
      <c r="J25" s="2365"/>
    </row>
    <row r="26" spans="2:10" s="1341" customFormat="1" ht="22.5" customHeight="1">
      <c r="B26" s="1349">
        <v>10</v>
      </c>
      <c r="C26" s="1355" t="s">
        <v>955</v>
      </c>
      <c r="D26" s="1351">
        <v>4403.8999999999996</v>
      </c>
      <c r="E26" s="1351">
        <v>836.74</v>
      </c>
      <c r="F26" s="1351"/>
      <c r="G26" s="1352"/>
      <c r="H26" s="1440">
        <f t="shared" si="0"/>
        <v>836.74</v>
      </c>
      <c r="I26" s="2364"/>
      <c r="J26" s="2365"/>
    </row>
    <row r="27" spans="2:10" s="1341" customFormat="1" ht="22.5" customHeight="1">
      <c r="B27" s="1349">
        <v>11</v>
      </c>
      <c r="C27" s="1355" t="s">
        <v>956</v>
      </c>
      <c r="D27" s="1351">
        <v>2835.67</v>
      </c>
      <c r="E27" s="1351">
        <v>538.78</v>
      </c>
      <c r="F27" s="1351"/>
      <c r="G27" s="1352"/>
      <c r="H27" s="1440">
        <f t="shared" si="0"/>
        <v>538.78</v>
      </c>
      <c r="I27" s="2364"/>
      <c r="J27" s="2365"/>
    </row>
    <row r="28" spans="2:10" s="1341" customFormat="1" ht="22.5" customHeight="1">
      <c r="B28" s="1356">
        <v>12</v>
      </c>
      <c r="C28" s="1357" t="s">
        <v>957</v>
      </c>
      <c r="D28" s="1359">
        <v>2835.67</v>
      </c>
      <c r="E28" s="1359">
        <v>538.78</v>
      </c>
      <c r="F28" s="1359"/>
      <c r="G28" s="1358"/>
      <c r="H28" s="1441">
        <f t="shared" si="0"/>
        <v>538.78</v>
      </c>
      <c r="I28" s="2366"/>
      <c r="J28" s="2367"/>
    </row>
    <row r="29" spans="2:10" s="1341" customFormat="1" ht="3.75" customHeight="1">
      <c r="D29" s="1362"/>
      <c r="E29" s="1362"/>
      <c r="F29" s="1362"/>
      <c r="G29" s="1363"/>
      <c r="H29" s="1362"/>
    </row>
    <row r="30" spans="2:10" s="1341" customFormat="1" ht="18.75" customHeight="1">
      <c r="C30" s="1391" t="s">
        <v>959</v>
      </c>
      <c r="D30" s="1442">
        <f>SUM(D17:D29)</f>
        <v>41512.469999999994</v>
      </c>
      <c r="E30" s="1442">
        <f>SUM(E17:E29)</f>
        <v>7887.3399999999992</v>
      </c>
      <c r="F30" s="1442">
        <f>SUM(F17:F29)</f>
        <v>0</v>
      </c>
      <c r="G30" s="1443">
        <f>SUM(G17:G29)</f>
        <v>0</v>
      </c>
      <c r="H30" s="1442">
        <f>SUM(H17:H29)</f>
        <v>7887.3399999999992</v>
      </c>
    </row>
    <row r="31" spans="2:10" s="1341" customFormat="1" ht="18.75" customHeight="1">
      <c r="G31" s="1368"/>
    </row>
    <row r="32" spans="2:10" s="1341" customFormat="1" ht="18.75" customHeight="1">
      <c r="C32" s="1369" t="s">
        <v>980</v>
      </c>
      <c r="D32" s="1444">
        <v>41512.47</v>
      </c>
      <c r="E32" s="1444">
        <v>7887.34</v>
      </c>
      <c r="F32" s="1444"/>
      <c r="G32" s="1371"/>
      <c r="H32" s="1407">
        <f>SUM(D32:G32)</f>
        <v>49399.81</v>
      </c>
    </row>
    <row r="33" spans="2:10" s="1341" customFormat="1" ht="5.25" customHeight="1"/>
    <row r="34" spans="2:10" s="1341" customFormat="1" ht="18.75" customHeight="1">
      <c r="C34" s="1369" t="s">
        <v>981</v>
      </c>
      <c r="D34" s="1407">
        <f>+D30</f>
        <v>41512.469999999994</v>
      </c>
      <c r="E34" s="1407">
        <f>+E30</f>
        <v>7887.3399999999992</v>
      </c>
      <c r="F34" s="1407">
        <f>+F30</f>
        <v>0</v>
      </c>
      <c r="G34" s="1445">
        <f>+G30</f>
        <v>0</v>
      </c>
      <c r="H34" s="1407">
        <f>SUM(D34:G34)</f>
        <v>49399.80999999999</v>
      </c>
    </row>
    <row r="35" spans="2:10" s="1341" customFormat="1" ht="5.25" customHeight="1"/>
    <row r="36" spans="2:10" s="1341" customFormat="1" ht="18.75" customHeight="1">
      <c r="C36" s="1373" t="s">
        <v>935</v>
      </c>
      <c r="D36" s="1374">
        <f>+D32-D34</f>
        <v>0</v>
      </c>
      <c r="E36" s="1374">
        <f>ROUND(+E32-E34,2)</f>
        <v>0</v>
      </c>
      <c r="F36" s="1374">
        <f>+F32-F34</f>
        <v>0</v>
      </c>
      <c r="G36" s="1374">
        <f>+G32-G34</f>
        <v>0</v>
      </c>
      <c r="H36" s="1374">
        <f>+H32-H34</f>
        <v>0</v>
      </c>
    </row>
    <row r="37" spans="2:10" s="1341" customFormat="1" ht="15" customHeight="1"/>
    <row r="38" spans="2:10" s="1341" customFormat="1" ht="21" hidden="1" outlineLevel="1">
      <c r="C38" s="1342" t="s">
        <v>931</v>
      </c>
      <c r="D38" s="2358" t="s">
        <v>974</v>
      </c>
      <c r="E38" s="2358" t="s">
        <v>975</v>
      </c>
      <c r="F38" s="2335" t="s">
        <v>976</v>
      </c>
      <c r="G38" s="2335"/>
      <c r="H38" s="2358" t="s">
        <v>979</v>
      </c>
      <c r="I38" s="2320" t="s">
        <v>943</v>
      </c>
      <c r="J38" s="2322"/>
    </row>
    <row r="39" spans="2:10" s="1341" customFormat="1" ht="18" hidden="1" outlineLevel="1">
      <c r="B39" s="1343" t="s">
        <v>1715</v>
      </c>
      <c r="D39" s="2359"/>
      <c r="E39" s="2359"/>
      <c r="F39" s="1345" t="s">
        <v>977</v>
      </c>
      <c r="G39" s="1346" t="s">
        <v>978</v>
      </c>
      <c r="H39" s="2359"/>
      <c r="I39" s="2360"/>
      <c r="J39" s="2361"/>
    </row>
    <row r="40" spans="2:10" s="1341" customFormat="1" ht="22.5" hidden="1" customHeight="1" outlineLevel="1">
      <c r="B40" s="1349">
        <v>1</v>
      </c>
      <c r="C40" s="1350" t="s">
        <v>946</v>
      </c>
      <c r="D40" s="1351"/>
      <c r="E40" s="1351"/>
      <c r="F40" s="1351"/>
      <c r="G40" s="1352"/>
      <c r="H40" s="1440">
        <f>+E40+G40</f>
        <v>0</v>
      </c>
      <c r="I40" s="2362"/>
      <c r="J40" s="2363"/>
    </row>
    <row r="41" spans="2:10" s="1341" customFormat="1" ht="22.5" hidden="1" customHeight="1" outlineLevel="1">
      <c r="B41" s="1349">
        <v>2</v>
      </c>
      <c r="C41" s="1355" t="s">
        <v>947</v>
      </c>
      <c r="D41" s="1351"/>
      <c r="E41" s="1351"/>
      <c r="F41" s="1351"/>
      <c r="G41" s="1352"/>
      <c r="H41" s="1440">
        <f t="shared" ref="H41:H51" si="1">+E41+G41</f>
        <v>0</v>
      </c>
      <c r="I41" s="2364"/>
      <c r="J41" s="2365"/>
    </row>
    <row r="42" spans="2:10" s="1341" customFormat="1" ht="22.5" hidden="1" customHeight="1" outlineLevel="1">
      <c r="B42" s="1356">
        <v>3</v>
      </c>
      <c r="C42" s="1357" t="s">
        <v>948</v>
      </c>
      <c r="D42" s="1351"/>
      <c r="E42" s="1351"/>
      <c r="F42" s="1351"/>
      <c r="G42" s="1352"/>
      <c r="H42" s="1440">
        <f t="shared" si="1"/>
        <v>0</v>
      </c>
      <c r="I42" s="2364"/>
      <c r="J42" s="2365"/>
    </row>
    <row r="43" spans="2:10" s="1341" customFormat="1" ht="22.5" hidden="1" customHeight="1" outlineLevel="1">
      <c r="B43" s="1349">
        <v>4</v>
      </c>
      <c r="C43" s="1355" t="s">
        <v>949</v>
      </c>
      <c r="D43" s="1351"/>
      <c r="E43" s="1351"/>
      <c r="F43" s="1351"/>
      <c r="G43" s="1352"/>
      <c r="H43" s="1440">
        <f t="shared" si="1"/>
        <v>0</v>
      </c>
      <c r="I43" s="2364"/>
      <c r="J43" s="2365"/>
    </row>
    <row r="44" spans="2:10" s="1341" customFormat="1" ht="22.5" hidden="1" customHeight="1" outlineLevel="1">
      <c r="B44" s="1349">
        <v>5</v>
      </c>
      <c r="C44" s="1355" t="s">
        <v>950</v>
      </c>
      <c r="D44" s="1351"/>
      <c r="E44" s="1351"/>
      <c r="F44" s="1351"/>
      <c r="G44" s="1352"/>
      <c r="H44" s="1440">
        <f t="shared" si="1"/>
        <v>0</v>
      </c>
      <c r="I44" s="2364"/>
      <c r="J44" s="2365"/>
    </row>
    <row r="45" spans="2:10" s="1341" customFormat="1" ht="22.5" hidden="1" customHeight="1" outlineLevel="1">
      <c r="B45" s="1356">
        <v>6</v>
      </c>
      <c r="C45" s="1357" t="s">
        <v>951</v>
      </c>
      <c r="D45" s="1351"/>
      <c r="E45" s="1351"/>
      <c r="F45" s="1351"/>
      <c r="G45" s="1352"/>
      <c r="H45" s="1440">
        <f t="shared" si="1"/>
        <v>0</v>
      </c>
      <c r="I45" s="2364"/>
      <c r="J45" s="2365"/>
    </row>
    <row r="46" spans="2:10" s="1341" customFormat="1" ht="22.5" hidden="1" customHeight="1" outlineLevel="1">
      <c r="B46" s="1349">
        <v>7</v>
      </c>
      <c r="C46" s="1355" t="s">
        <v>952</v>
      </c>
      <c r="D46" s="1351"/>
      <c r="E46" s="1351"/>
      <c r="F46" s="1351"/>
      <c r="G46" s="1352"/>
      <c r="H46" s="1440">
        <f t="shared" si="1"/>
        <v>0</v>
      </c>
      <c r="I46" s="2364"/>
      <c r="J46" s="2365"/>
    </row>
    <row r="47" spans="2:10" s="1341" customFormat="1" ht="22.5" hidden="1" customHeight="1" outlineLevel="1">
      <c r="B47" s="1349">
        <v>8</v>
      </c>
      <c r="C47" s="1355" t="s">
        <v>953</v>
      </c>
      <c r="D47" s="1351"/>
      <c r="E47" s="1351"/>
      <c r="F47" s="1351"/>
      <c r="G47" s="1352"/>
      <c r="H47" s="1440">
        <f t="shared" si="1"/>
        <v>0</v>
      </c>
      <c r="I47" s="2364"/>
      <c r="J47" s="2365"/>
    </row>
    <row r="48" spans="2:10" s="1341" customFormat="1" ht="22.5" hidden="1" customHeight="1" outlineLevel="1">
      <c r="B48" s="1356">
        <v>9</v>
      </c>
      <c r="C48" s="1357" t="s">
        <v>954</v>
      </c>
      <c r="D48" s="1351"/>
      <c r="E48" s="1351"/>
      <c r="F48" s="1351"/>
      <c r="G48" s="1352"/>
      <c r="H48" s="1440">
        <f t="shared" si="1"/>
        <v>0</v>
      </c>
      <c r="I48" s="2364"/>
      <c r="J48" s="2365"/>
    </row>
    <row r="49" spans="2:10" s="1341" customFormat="1" ht="22.5" hidden="1" customHeight="1" outlineLevel="1">
      <c r="B49" s="1349">
        <v>10</v>
      </c>
      <c r="C49" s="1355" t="s">
        <v>955</v>
      </c>
      <c r="D49" s="1351"/>
      <c r="E49" s="1351"/>
      <c r="F49" s="1351"/>
      <c r="G49" s="1352"/>
      <c r="H49" s="1440">
        <f t="shared" si="1"/>
        <v>0</v>
      </c>
      <c r="I49" s="2364"/>
      <c r="J49" s="2365"/>
    </row>
    <row r="50" spans="2:10" s="1341" customFormat="1" ht="22.5" hidden="1" customHeight="1" outlineLevel="1">
      <c r="B50" s="1349">
        <v>11</v>
      </c>
      <c r="C50" s="1355" t="s">
        <v>956</v>
      </c>
      <c r="D50" s="1351"/>
      <c r="E50" s="1351"/>
      <c r="F50" s="1351"/>
      <c r="G50" s="1352"/>
      <c r="H50" s="1440">
        <f t="shared" si="1"/>
        <v>0</v>
      </c>
      <c r="I50" s="2364"/>
      <c r="J50" s="2365"/>
    </row>
    <row r="51" spans="2:10" s="1341" customFormat="1" ht="22.5" hidden="1" customHeight="1" outlineLevel="1">
      <c r="B51" s="1446">
        <v>12</v>
      </c>
      <c r="C51" s="1447" t="s">
        <v>957</v>
      </c>
      <c r="D51" s="1448"/>
      <c r="E51" s="1448"/>
      <c r="F51" s="1448"/>
      <c r="G51" s="1449"/>
      <c r="H51" s="1450">
        <f t="shared" si="1"/>
        <v>0</v>
      </c>
      <c r="I51" s="2366"/>
      <c r="J51" s="2367"/>
    </row>
    <row r="52" spans="2:10" s="1341" customFormat="1" ht="3.75" hidden="1" customHeight="1" outlineLevel="1">
      <c r="C52" s="1355"/>
      <c r="D52" s="1362"/>
      <c r="E52" s="1362"/>
      <c r="F52" s="1362"/>
      <c r="G52" s="1363"/>
      <c r="H52" s="1362"/>
    </row>
    <row r="53" spans="2:10" s="1341" customFormat="1" ht="18.75" hidden="1" customHeight="1" outlineLevel="1">
      <c r="C53" s="1391"/>
      <c r="D53" s="1442">
        <f t="shared" ref="D53:E53" si="2">SUM(D40:D52)</f>
        <v>0</v>
      </c>
      <c r="E53" s="1442">
        <f t="shared" si="2"/>
        <v>0</v>
      </c>
      <c r="F53" s="1442">
        <f>SUM(F40:F52)</f>
        <v>0</v>
      </c>
      <c r="G53" s="1443">
        <f>SUM(G40:G52)</f>
        <v>0</v>
      </c>
      <c r="H53" s="1442">
        <f>SUM(H40:H52)</f>
        <v>0</v>
      </c>
    </row>
    <row r="54" spans="2:10" s="1341" customFormat="1" ht="18.75" hidden="1" customHeight="1" outlineLevel="1">
      <c r="G54" s="1368"/>
    </row>
    <row r="55" spans="2:10" s="1341" customFormat="1" ht="18.75" hidden="1" customHeight="1" outlineLevel="1">
      <c r="C55" s="1369" t="s">
        <v>980</v>
      </c>
      <c r="D55" s="1444">
        <f>+D53</f>
        <v>0</v>
      </c>
      <c r="E55" s="1444">
        <f t="shared" ref="E55:G55" si="3">+E53</f>
        <v>0</v>
      </c>
      <c r="F55" s="1444">
        <f t="shared" si="3"/>
        <v>0</v>
      </c>
      <c r="G55" s="1444">
        <f t="shared" si="3"/>
        <v>0</v>
      </c>
      <c r="H55" s="1407">
        <f>SUM(D55:G55)</f>
        <v>0</v>
      </c>
    </row>
    <row r="56" spans="2:10" s="1341" customFormat="1" ht="5.25" hidden="1" customHeight="1" outlineLevel="1"/>
    <row r="57" spans="2:10" s="1341" customFormat="1" ht="18.75" hidden="1" customHeight="1" outlineLevel="1">
      <c r="C57" s="1369" t="s">
        <v>981</v>
      </c>
      <c r="D57" s="1407">
        <f t="shared" ref="D57:E57" si="4">+D53</f>
        <v>0</v>
      </c>
      <c r="E57" s="1407">
        <f t="shared" si="4"/>
        <v>0</v>
      </c>
      <c r="F57" s="1407">
        <f>+F53</f>
        <v>0</v>
      </c>
      <c r="G57" s="1445">
        <f>+G53</f>
        <v>0</v>
      </c>
      <c r="H57" s="1407">
        <f>SUM(D57:G57)</f>
        <v>0</v>
      </c>
    </row>
    <row r="58" spans="2:10" s="1341" customFormat="1" ht="5.25" hidden="1" customHeight="1" outlineLevel="1"/>
    <row r="59" spans="2:10" s="1341" customFormat="1" ht="18.75" hidden="1" customHeight="1" outlineLevel="1">
      <c r="C59" s="1373" t="s">
        <v>935</v>
      </c>
      <c r="D59" s="1374">
        <f>+D55-D57</f>
        <v>0</v>
      </c>
      <c r="E59" s="1374">
        <f>+E55-E57</f>
        <v>0</v>
      </c>
      <c r="F59" s="1374">
        <f>+F55-F57</f>
        <v>0</v>
      </c>
      <c r="G59" s="1374">
        <f>+G55-G57</f>
        <v>0</v>
      </c>
      <c r="H59" s="1374">
        <f>+H55-H57</f>
        <v>0</v>
      </c>
    </row>
    <row r="60" spans="2:10" s="1341" customFormat="1" ht="18.75" hidden="1" customHeight="1" outlineLevel="1">
      <c r="G60" s="1368"/>
    </row>
    <row r="61" spans="2:10" s="1341" customFormat="1" ht="18.75" hidden="1" customHeight="1" outlineLevel="1">
      <c r="C61" s="1382" t="s">
        <v>1721</v>
      </c>
      <c r="D61" s="1451">
        <f>D57+IF(MONTH($D$7)=1,SUMIF($B$17:$B$28,"&gt;1",D17:D28),IF(MONTH($D$7)=2,SUMIF($B$17:$B$28,"&gt;2",D17:D28),IF(MONTH($D$7)=3,SUMIF($B$17:$B$28,"&gt;3",D17:D28),IF(MONTH($D$7)=4,SUMIF($B$17:$B$28,"&gt;4",D17:D28),IF(MONTH($D$7)=5,SUMIF($B$17:$B$28,"&gt;5",D17:D28),IF(MONTH($D$7)=6,SUMIF($B$17:$B$28,"&gt;6",D17:D28),IF(MONTH($D$7)=7,SUMIF($B$17:$B$28,"&gt;7",D17:D28),IF(MONTH($D$7)=8,SUMIF($B$17:$B$28,"&gt;8",D17:D28),IF(MONTH($D$7)=9,SUMIF($B$17:$B$28,"&gt;9",D17:D28),IF(MONTH($D$7)=10,SUMIF($B$17:$B$28,"&gt;10",D17:D28),IF(MONTH($D$7)=11,SUMIF($B$17:$B$28,"&gt;11",D17:D28),0)))))))))))</f>
        <v>0</v>
      </c>
      <c r="E61" s="1451">
        <f>E57+IF(MONTH($D$7)=1,SUMIF($B$17:$B$28,"&gt;1",E17:E28),IF(MONTH($D$7)=2,SUMIF($B$17:$B$28,"&gt;2",E17:E28),IF(MONTH($D$7)=3,SUMIF($B$17:$B$28,"&gt;3",E17:E28),IF(MONTH($D$7)=4,SUMIF($B$17:$B$28,"&gt;4",E17:E28),IF(MONTH($D$7)=5,SUMIF($B$17:$B$28,"&gt;5",E17:E28),IF(MONTH($D$7)=6,SUMIF($B$17:$B$28,"&gt;6",E17:E28),IF(MONTH($D$7)=7,SUMIF($B$17:$B$28,"&gt;7",E17:E28),IF(MONTH($D$7)=8,SUMIF($B$17:$B$28,"&gt;8",E17:E28),IF(MONTH($D$7)=9,SUMIF($B$17:$B$28,"&gt;9",E17:E28),IF(MONTH($D$7)=10,SUMIF($B$17:$B$28,"&gt;10",E17:E28),IF(MONTH($D$7)=11,SUMIF($B$17:$B$28,"&gt;11",E17:E28),0)))))))))))</f>
        <v>0</v>
      </c>
      <c r="F61" s="1451">
        <f t="shared" ref="F61:G61" si="5">F57+IF(MONTH($D$7)=1,SUMIF($B$17:$B$28,"&gt;1",F17:F28),IF(MONTH($D$7)=2,SUMIF($B$17:$B$28,"&gt;2",F17:F28),IF(MONTH($D$7)=3,SUMIF($B$17:$B$28,"&gt;3",F17:F28),IF(MONTH($D$7)=4,SUMIF($B$17:$B$28,"&gt;4",F17:F28),IF(MONTH($D$7)=5,SUMIF($B$17:$B$28,"&gt;5",F17:F28),IF(MONTH($D$7)=6,SUMIF($B$17:$B$28,"&gt;6",F17:F28),IF(MONTH($D$7)=7,SUMIF($B$17:$B$28,"&gt;7",F17:F28),IF(MONTH($D$7)=8,SUMIF($B$17:$B$28,"&gt;8",F17:F28),IF(MONTH($D$7)=9,SUMIF($B$17:$B$28,"&gt;9",F17:F28),IF(MONTH($D$7)=10,SUMIF($B$17:$B$28,"&gt;10",F17:F28),IF(MONTH($D$7)=11,SUMIF($B$17:$B$28,"&gt;11",F17:F28),0)))))))))))</f>
        <v>0</v>
      </c>
      <c r="G61" s="1451">
        <f t="shared" si="5"/>
        <v>0</v>
      </c>
      <c r="H61" s="1451">
        <f>+SUM(D61:G61)</f>
        <v>0</v>
      </c>
    </row>
    <row r="62" spans="2:10" s="1341" customFormat="1" ht="18.75" hidden="1" customHeight="1" outlineLevel="1">
      <c r="G62" s="1368"/>
    </row>
    <row r="63" spans="2:10" s="1341" customFormat="1" ht="18.75" customHeight="1" collapsed="1">
      <c r="C63" s="2318" t="s">
        <v>982</v>
      </c>
      <c r="D63" s="2319"/>
    </row>
    <row r="64" spans="2:10" s="1341" customFormat="1" ht="6" customHeight="1"/>
    <row r="65" spans="3:11" s="1384" customFormat="1" ht="21.75" customHeight="1">
      <c r="C65" s="1385" t="s">
        <v>936</v>
      </c>
      <c r="D65" s="1385" t="s">
        <v>937</v>
      </c>
      <c r="E65" s="1385" t="s">
        <v>938</v>
      </c>
      <c r="F65" s="1385" t="s">
        <v>939</v>
      </c>
      <c r="G65" s="1385" t="s">
        <v>940</v>
      </c>
      <c r="H65" s="1385" t="s">
        <v>177</v>
      </c>
      <c r="I65" s="2350" t="s">
        <v>943</v>
      </c>
      <c r="J65" s="2351"/>
      <c r="K65" s="1341"/>
    </row>
    <row r="66" spans="3:11" s="1341" customFormat="1" ht="19.5" customHeight="1">
      <c r="C66" s="1418">
        <v>621</v>
      </c>
      <c r="D66" s="1419">
        <f ca="1">+SUMIF(SYS_4_3_Digitos!$A$5:$A$6031,'Arrendamiento (mensual)'!C66,SYS_4_3_Digitos!$I$5:$I$6031)-SUMIF(SYS_4_3_Digitos!$A$5:$A$6031,'Arrendamiento (mensual)'!C66,SYS_4_3_Digitos!$J$5:$J$6031)</f>
        <v>45607.610000000008</v>
      </c>
      <c r="E66" s="1419">
        <f>IF(MENU!$P$11="NO",+D32,D61)</f>
        <v>41512.47</v>
      </c>
      <c r="F66" s="1419">
        <f>IF(MENU!$P$11="NO",+F32,F61)</f>
        <v>0</v>
      </c>
      <c r="G66" s="1419">
        <f>+E83</f>
        <v>4095.14</v>
      </c>
      <c r="H66" s="1452">
        <f ca="1">+D66-SUM(E66:G66)</f>
        <v>0</v>
      </c>
      <c r="I66" s="2352"/>
      <c r="J66" s="2353"/>
    </row>
    <row r="67" spans="3:11" s="1341" customFormat="1" ht="19.5" customHeight="1">
      <c r="C67" s="1453"/>
      <c r="D67" s="1454"/>
      <c r="E67" s="1454"/>
      <c r="F67" s="1454"/>
      <c r="G67" s="1454"/>
      <c r="H67" s="1454"/>
      <c r="I67" s="2354"/>
      <c r="J67" s="2355"/>
    </row>
    <row r="68" spans="3:11" s="1341" customFormat="1" ht="15" customHeight="1"/>
    <row r="69" spans="3:11" s="1341" customFormat="1" ht="15" customHeight="1">
      <c r="C69" s="1455" t="s">
        <v>983</v>
      </c>
    </row>
    <row r="70" spans="3:11" s="1341" customFormat="1" ht="6.75" customHeight="1"/>
    <row r="71" spans="3:11" s="1341" customFormat="1" ht="15" customHeight="1">
      <c r="C71" s="1456">
        <v>6211006</v>
      </c>
      <c r="D71" s="1409" t="s">
        <v>2532</v>
      </c>
      <c r="E71" s="1409">
        <v>196.08</v>
      </c>
    </row>
    <row r="72" spans="3:11" s="1341" customFormat="1" ht="15" customHeight="1">
      <c r="C72" s="1457">
        <v>6211007</v>
      </c>
      <c r="D72" s="1412" t="s">
        <v>2534</v>
      </c>
      <c r="E72" s="1412">
        <v>-292</v>
      </c>
    </row>
    <row r="73" spans="3:11" s="1341" customFormat="1" ht="15" customHeight="1">
      <c r="C73" s="1457" t="s">
        <v>2535</v>
      </c>
      <c r="D73" s="1412" t="s">
        <v>2536</v>
      </c>
      <c r="E73" s="1412">
        <v>4052.44</v>
      </c>
    </row>
    <row r="74" spans="3:11" s="1341" customFormat="1" ht="15" customHeight="1">
      <c r="C74" s="1457" t="s">
        <v>2537</v>
      </c>
      <c r="D74" s="1412" t="s">
        <v>2538</v>
      </c>
      <c r="E74" s="1412">
        <v>138.62</v>
      </c>
    </row>
    <row r="75" spans="3:11" s="1341" customFormat="1" ht="15" customHeight="1">
      <c r="C75" s="1457"/>
      <c r="D75" s="1412"/>
      <c r="E75" s="1412"/>
    </row>
    <row r="76" spans="3:11" s="1341" customFormat="1" ht="15" customHeight="1">
      <c r="C76" s="1457"/>
      <c r="D76" s="1412"/>
      <c r="E76" s="1412"/>
    </row>
    <row r="77" spans="3:11" s="1341" customFormat="1" ht="15" customHeight="1">
      <c r="C77" s="1457"/>
      <c r="D77" s="1412"/>
      <c r="E77" s="1412"/>
    </row>
    <row r="78" spans="3:11" s="1341" customFormat="1" ht="15" customHeight="1">
      <c r="C78" s="1457"/>
      <c r="D78" s="1412"/>
      <c r="E78" s="1412"/>
    </row>
    <row r="79" spans="3:11" s="1341" customFormat="1" ht="15" customHeight="1">
      <c r="C79" s="1457"/>
      <c r="D79" s="1412"/>
      <c r="E79" s="1412"/>
    </row>
    <row r="80" spans="3:11" s="1341" customFormat="1" ht="15" customHeight="1">
      <c r="C80" s="1457"/>
      <c r="D80" s="1412"/>
      <c r="E80" s="1412"/>
    </row>
    <row r="81" spans="3:5" s="1341" customFormat="1" ht="15" customHeight="1">
      <c r="C81" s="1457"/>
      <c r="D81" s="1412"/>
      <c r="E81" s="1412"/>
    </row>
    <row r="82" spans="3:5" s="1341" customFormat="1" ht="15" customHeight="1">
      <c r="C82" s="1458"/>
      <c r="D82" s="1415"/>
      <c r="E82" s="1415"/>
    </row>
    <row r="83" spans="3:5" s="1341" customFormat="1" ht="15" customHeight="1">
      <c r="E83" s="1442">
        <f>SUM(E71:E82)</f>
        <v>4095.14</v>
      </c>
    </row>
    <row r="84" spans="3:5" s="1341" customFormat="1" ht="15" customHeight="1"/>
  </sheetData>
  <mergeCells count="18">
    <mergeCell ref="D5:F5"/>
    <mergeCell ref="D7:F7"/>
    <mergeCell ref="F15:G15"/>
    <mergeCell ref="I15:J16"/>
    <mergeCell ref="I17:J28"/>
    <mergeCell ref="C63:D63"/>
    <mergeCell ref="I65:J65"/>
    <mergeCell ref="I66:J67"/>
    <mergeCell ref="C13:E13"/>
    <mergeCell ref="E15:E16"/>
    <mergeCell ref="D15:D16"/>
    <mergeCell ref="H15:H16"/>
    <mergeCell ref="D38:D39"/>
    <mergeCell ref="E38:E39"/>
    <mergeCell ref="F38:G38"/>
    <mergeCell ref="H38:H39"/>
    <mergeCell ref="I38:J39"/>
    <mergeCell ref="I40:J51"/>
  </mergeCells>
  <conditionalFormatting sqref="D36:H36">
    <cfRule type="expression" dxfId="474" priority="2">
      <formula>D36&lt;&gt;0</formula>
    </cfRule>
  </conditionalFormatting>
  <conditionalFormatting sqref="D59:H59">
    <cfRule type="expression" dxfId="473" priority="1">
      <formula>D59&lt;&gt;0</formula>
    </cfRule>
  </conditionalFormatting>
  <printOptions horizontalCentered="1"/>
  <pageMargins left="0.23622047244094491" right="0.23622047244094491" top="0.55118110236220474" bottom="0.35433070866141736" header="0.31496062992125984" footer="0.31496062992125984"/>
  <pageSetup paperSize="9" scale="5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locked="0" defaultSize="0" print="0" autoFill="0" autoPict="0" macro="[0]!borrararrendamientomensual">
                <anchor moveWithCells="1" sizeWithCells="1">
                  <from>
                    <xdr:col>4</xdr:col>
                    <xdr:colOff>419100</xdr:colOff>
                    <xdr:row>8</xdr:row>
                    <xdr:rowOff>114300</xdr:rowOff>
                  </from>
                  <to>
                    <xdr:col>5</xdr:col>
                    <xdr:colOff>38100</xdr:colOff>
                    <xdr:row>10</xdr:row>
                    <xdr:rowOff>38100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9">
    <pageSetUpPr autoPageBreaks="0" fitToPage="1"/>
  </sheetPr>
  <dimension ref="A1:AB63"/>
  <sheetViews>
    <sheetView showGridLines="0" showRowColHeaders="0" showZeros="0" zoomScale="85" zoomScaleNormal="85" zoomScaleSheetLayoutView="85" zoomScalePageLayoutView="55" workbookViewId="0">
      <pane xSplit="3" ySplit="13" topLeftCell="D14" activePane="bottomRight" state="frozen"/>
      <selection activeCell="G9" sqref="G9"/>
      <selection pane="topRight" activeCell="G9" sqref="G9"/>
      <selection pane="bottomLeft" activeCell="G9" sqref="G9"/>
      <selection pane="bottomRight"/>
    </sheetView>
  </sheetViews>
  <sheetFormatPr baseColWidth="10" defaultColWidth="0" defaultRowHeight="15" customHeight="1" zeroHeight="1" outlineLevelRow="1"/>
  <cols>
    <col min="1" max="2" width="2" customWidth="1"/>
    <col min="3" max="3" width="42.44140625" customWidth="1"/>
    <col min="4" max="4" width="26" customWidth="1"/>
    <col min="5" max="5" width="24" customWidth="1"/>
    <col min="6" max="7" width="27.5546875" customWidth="1"/>
    <col min="8" max="8" width="22" customWidth="1"/>
    <col min="9" max="10" width="20" customWidth="1"/>
    <col min="11" max="11" width="7" customWidth="1"/>
    <col min="12" max="12" width="6.44140625" hidden="1" customWidth="1"/>
    <col min="13" max="13" width="5" hidden="1" customWidth="1"/>
    <col min="14" max="14" width="19.5546875" hidden="1" customWidth="1"/>
    <col min="15" max="15" width="49" hidden="1" customWidth="1"/>
    <col min="16" max="16" width="21" hidden="1" customWidth="1"/>
    <col min="17" max="17" width="9" hidden="1" customWidth="1"/>
    <col min="18" max="18" width="4.5546875" hidden="1" customWidth="1"/>
    <col min="19" max="20" width="11.44140625" hidden="1" customWidth="1"/>
    <col min="21" max="21" width="46" hidden="1" customWidth="1"/>
    <col min="22" max="22" width="40" hidden="1" customWidth="1"/>
    <col min="23" max="23" width="16" hidden="1" customWidth="1"/>
    <col min="24" max="25" width="11.44140625" hidden="1" customWidth="1"/>
    <col min="26" max="26" width="49" hidden="1" customWidth="1"/>
    <col min="27" max="27" width="47.5546875" hidden="1" customWidth="1"/>
    <col min="28" max="28" width="18" hidden="1" customWidth="1"/>
    <col min="29" max="16384" width="11.44140625" hidden="1"/>
  </cols>
  <sheetData>
    <row r="1" spans="3:10" ht="15" customHeight="1"/>
    <row r="2" spans="3:10" ht="9" customHeight="1"/>
    <row r="3" spans="3:10" ht="5.25" customHeight="1">
      <c r="C3" s="1"/>
    </row>
    <row r="4" spans="3:10" ht="5.25" customHeight="1"/>
    <row r="5" spans="3:10" ht="21">
      <c r="C5" s="35" t="str">
        <f>+MENU!C5</f>
        <v>Sociedad:</v>
      </c>
      <c r="D5" s="2254" t="str">
        <f>+MENU!E5</f>
        <v>MARIO PILATO BLAT, S.A.</v>
      </c>
      <c r="E5" s="2255"/>
      <c r="F5" s="2255"/>
      <c r="J5" s="40"/>
    </row>
    <row r="6" spans="3:10" ht="12.75" customHeight="1"/>
    <row r="7" spans="3:10" ht="18">
      <c r="C7" s="35" t="str">
        <f>+instrucciones!$C$7</f>
        <v>Fecha de cierre</v>
      </c>
      <c r="D7" s="2261">
        <f>+MENU!D7</f>
        <v>45657</v>
      </c>
      <c r="E7" s="2261"/>
      <c r="F7" s="2261"/>
      <c r="I7" s="34"/>
    </row>
    <row r="8" spans="3:10" ht="15" customHeight="1">
      <c r="C8" s="2"/>
      <c r="E8" s="3"/>
      <c r="F8" s="3"/>
      <c r="G8" s="3"/>
      <c r="H8" s="3"/>
      <c r="I8" s="3"/>
      <c r="J8" s="3"/>
    </row>
    <row r="9" spans="3:10" ht="15" customHeight="1"/>
    <row r="10" spans="3:10" ht="15" customHeight="1"/>
    <row r="11" spans="3:10" ht="15" customHeight="1"/>
    <row r="12" spans="3:10" ht="6" customHeight="1"/>
    <row r="13" spans="3:10" ht="22.5" customHeight="1">
      <c r="C13" s="2356" t="s">
        <v>973</v>
      </c>
      <c r="D13" s="2357"/>
      <c r="E13" s="2357"/>
    </row>
    <row r="14" spans="3:10" ht="6" customHeight="1"/>
    <row r="15" spans="3:10" ht="21">
      <c r="C15" s="185" t="s">
        <v>931</v>
      </c>
      <c r="D15" s="2372" t="s">
        <v>974</v>
      </c>
      <c r="E15" s="2372" t="s">
        <v>975</v>
      </c>
      <c r="F15" s="2374" t="s">
        <v>976</v>
      </c>
      <c r="G15" s="2374"/>
      <c r="H15" s="2372" t="s">
        <v>979</v>
      </c>
      <c r="I15" s="2375" t="s">
        <v>943</v>
      </c>
      <c r="J15" s="2376"/>
    </row>
    <row r="16" spans="3:10" ht="18">
      <c r="D16" s="2373"/>
      <c r="E16" s="2373"/>
      <c r="F16" s="194" t="s">
        <v>977</v>
      </c>
      <c r="G16" s="197" t="s">
        <v>978</v>
      </c>
      <c r="H16" s="2373"/>
      <c r="I16" s="2377"/>
      <c r="J16" s="2378"/>
    </row>
    <row r="17" spans="3:10" ht="22.5" customHeight="1">
      <c r="C17" s="189" t="s">
        <v>961</v>
      </c>
      <c r="D17" s="333"/>
      <c r="E17" s="333"/>
      <c r="F17" s="333"/>
      <c r="G17" s="334"/>
      <c r="H17" s="207">
        <f>+E17+G17</f>
        <v>0</v>
      </c>
      <c r="I17" s="2379"/>
      <c r="J17" s="2380"/>
    </row>
    <row r="18" spans="3:10" ht="22.5" customHeight="1">
      <c r="C18" s="190" t="s">
        <v>962</v>
      </c>
      <c r="D18" s="327"/>
      <c r="E18" s="327"/>
      <c r="F18" s="327"/>
      <c r="G18" s="328"/>
      <c r="H18" s="201">
        <f>+E18+G18</f>
        <v>0</v>
      </c>
      <c r="I18" s="2381"/>
      <c r="J18" s="2382"/>
    </row>
    <row r="19" spans="3:10" ht="22.5" customHeight="1">
      <c r="C19" s="190" t="s">
        <v>963</v>
      </c>
      <c r="D19" s="327"/>
      <c r="E19" s="327"/>
      <c r="F19" s="327"/>
      <c r="G19" s="328"/>
      <c r="H19" s="201">
        <f>+E19+G19</f>
        <v>0</v>
      </c>
      <c r="I19" s="2381"/>
      <c r="J19" s="2382"/>
    </row>
    <row r="20" spans="3:10" ht="22.5" customHeight="1">
      <c r="C20" s="191" t="s">
        <v>964</v>
      </c>
      <c r="D20" s="329"/>
      <c r="E20" s="329"/>
      <c r="F20" s="329"/>
      <c r="G20" s="330"/>
      <c r="H20" s="202">
        <f>+E20+G20</f>
        <v>0</v>
      </c>
      <c r="I20" s="2383"/>
      <c r="J20" s="2384"/>
    </row>
    <row r="21" spans="3:10" ht="3.75" customHeight="1">
      <c r="D21" s="183"/>
      <c r="E21" s="183"/>
      <c r="F21" s="183"/>
      <c r="G21" s="136"/>
      <c r="H21" s="183"/>
    </row>
    <row r="22" spans="3:10" ht="18.75" customHeight="1">
      <c r="C22" s="192" t="s">
        <v>959</v>
      </c>
      <c r="D22" s="195">
        <f>SUM(D17:D21)</f>
        <v>0</v>
      </c>
      <c r="E22" s="195">
        <f>SUM(E17:E21)</f>
        <v>0</v>
      </c>
      <c r="F22" s="195">
        <f>SUM(F17:F21)</f>
        <v>0</v>
      </c>
      <c r="G22" s="198">
        <f>SUM(G17:G21)</f>
        <v>0</v>
      </c>
      <c r="H22" s="195">
        <f>SUM(H17:H21)</f>
        <v>0</v>
      </c>
    </row>
    <row r="23" spans="3:10" ht="18.75" customHeight="1"/>
    <row r="24" spans="3:10" ht="18.75" customHeight="1">
      <c r="C24" s="203" t="s">
        <v>980</v>
      </c>
      <c r="D24" s="331"/>
      <c r="E24" s="331"/>
      <c r="F24" s="331"/>
      <c r="G24" s="332"/>
      <c r="H24" s="204">
        <f>SUM(D24:G24)</f>
        <v>0</v>
      </c>
    </row>
    <row r="25" spans="3:10" ht="5.25" customHeight="1"/>
    <row r="26" spans="3:10" ht="18.75" customHeight="1">
      <c r="C26" s="203" t="s">
        <v>981</v>
      </c>
      <c r="D26" s="204">
        <f>+D22</f>
        <v>0</v>
      </c>
      <c r="E26" s="204">
        <f>+E22</f>
        <v>0</v>
      </c>
      <c r="F26" s="204">
        <f>+F22</f>
        <v>0</v>
      </c>
      <c r="G26" s="205">
        <f>+G22</f>
        <v>0</v>
      </c>
      <c r="H26" s="204">
        <f>SUM(D26:G26)</f>
        <v>0</v>
      </c>
    </row>
    <row r="27" spans="3:10" ht="5.25" customHeight="1"/>
    <row r="28" spans="3:10" ht="18.75" customHeight="1">
      <c r="C28" s="188" t="s">
        <v>935</v>
      </c>
      <c r="D28" s="196">
        <f>+D24-D26</f>
        <v>0</v>
      </c>
      <c r="E28" s="196">
        <f>+E24-E26</f>
        <v>0</v>
      </c>
      <c r="F28" s="196">
        <f>+F24-F26</f>
        <v>0</v>
      </c>
      <c r="G28" s="196">
        <f>+G24-G26</f>
        <v>0</v>
      </c>
      <c r="H28" s="196">
        <f>+H24-H26</f>
        <v>0</v>
      </c>
    </row>
    <row r="29" spans="3:10" ht="15" customHeight="1"/>
    <row r="30" spans="3:10" ht="6" customHeight="1"/>
    <row r="31" spans="3:10" ht="18.75" customHeight="1">
      <c r="C31" s="2333" t="s">
        <v>982</v>
      </c>
      <c r="D31" s="2334"/>
    </row>
    <row r="32" spans="3:10" ht="6" customHeight="1"/>
    <row r="33" spans="3:11" s="184" customFormat="1" ht="21.75" customHeight="1">
      <c r="C33" s="193" t="s">
        <v>936</v>
      </c>
      <c r="D33" s="193" t="s">
        <v>937</v>
      </c>
      <c r="E33" s="193" t="s">
        <v>938</v>
      </c>
      <c r="F33" s="193" t="s">
        <v>939</v>
      </c>
      <c r="G33" s="193" t="s">
        <v>940</v>
      </c>
      <c r="H33" s="193" t="s">
        <v>177</v>
      </c>
      <c r="I33" s="2385" t="s">
        <v>943</v>
      </c>
      <c r="J33" s="2386"/>
      <c r="K33"/>
    </row>
    <row r="34" spans="3:11" ht="19.5" customHeight="1">
      <c r="C34" s="200">
        <v>621</v>
      </c>
      <c r="D34" s="199">
        <f ca="1">+SUMIF(SYS_4_3_Digitos!$A$5:$A$6004,'Arrendamiento (TRIM)'!C34,SYS_4_3_Digitos!$I$5:$I$6004)-SUMIF(SYS_4_3_Digitos!$A$5:$A$6004,'Arrendamiento (TRIM)'!C34,SYS_4_3_Digitos!$J$5:$J$6004)</f>
        <v>45607.610000000008</v>
      </c>
      <c r="E34" s="199">
        <f>+D24</f>
        <v>0</v>
      </c>
      <c r="F34" s="199">
        <f>+F24</f>
        <v>0</v>
      </c>
      <c r="G34" s="199">
        <f>+E52</f>
        <v>0</v>
      </c>
      <c r="H34" s="544">
        <f ca="1">+D34-SUM(E34:G34)</f>
        <v>45607.610000000008</v>
      </c>
      <c r="I34" s="2368"/>
      <c r="J34" s="2369"/>
    </row>
    <row r="35" spans="3:11" ht="19.5" customHeight="1">
      <c r="C35" s="186"/>
      <c r="D35" s="187"/>
      <c r="E35" s="187"/>
      <c r="F35" s="187"/>
      <c r="G35" s="187"/>
      <c r="H35" s="187"/>
      <c r="I35" s="2370"/>
      <c r="J35" s="2371"/>
    </row>
    <row r="36" spans="3:11" ht="15" customHeight="1"/>
    <row r="37" spans="3:11" ht="15" customHeight="1" outlineLevel="1">
      <c r="C37" s="206" t="s">
        <v>983</v>
      </c>
    </row>
    <row r="38" spans="3:11" ht="6.75" customHeight="1" outlineLevel="1"/>
    <row r="39" spans="3:11" ht="14.4" outlineLevel="1">
      <c r="C39" s="208" t="s">
        <v>984</v>
      </c>
      <c r="D39" s="208" t="s">
        <v>985</v>
      </c>
      <c r="E39" s="208" t="s">
        <v>986</v>
      </c>
    </row>
    <row r="40" spans="3:11" ht="15" customHeight="1" outlineLevel="1">
      <c r="C40" s="338"/>
      <c r="D40" s="335"/>
      <c r="E40" s="335"/>
    </row>
    <row r="41" spans="3:11" ht="15" customHeight="1" outlineLevel="1">
      <c r="C41" s="339"/>
      <c r="D41" s="336"/>
      <c r="E41" s="336"/>
    </row>
    <row r="42" spans="3:11" ht="15" customHeight="1" outlineLevel="1">
      <c r="C42" s="339"/>
      <c r="D42" s="336"/>
      <c r="E42" s="336"/>
    </row>
    <row r="43" spans="3:11" ht="15" customHeight="1" outlineLevel="1">
      <c r="C43" s="339"/>
      <c r="D43" s="336"/>
      <c r="E43" s="336"/>
    </row>
    <row r="44" spans="3:11" ht="15" customHeight="1" outlineLevel="1">
      <c r="C44" s="339"/>
      <c r="D44" s="336"/>
      <c r="E44" s="336"/>
    </row>
    <row r="45" spans="3:11" ht="15" customHeight="1" outlineLevel="1">
      <c r="C45" s="339"/>
      <c r="D45" s="336"/>
      <c r="E45" s="336"/>
    </row>
    <row r="46" spans="3:11" ht="15" customHeight="1" outlineLevel="1">
      <c r="C46" s="339"/>
      <c r="D46" s="336"/>
      <c r="E46" s="336"/>
    </row>
    <row r="47" spans="3:11" ht="15" customHeight="1" outlineLevel="1">
      <c r="C47" s="339"/>
      <c r="D47" s="336"/>
      <c r="E47" s="336"/>
    </row>
    <row r="48" spans="3:11" ht="15" customHeight="1" outlineLevel="1">
      <c r="C48" s="339"/>
      <c r="D48" s="336"/>
      <c r="E48" s="336"/>
    </row>
    <row r="49" spans="3:5" ht="15" customHeight="1" outlineLevel="1">
      <c r="C49" s="339"/>
      <c r="D49" s="336"/>
      <c r="E49" s="336"/>
    </row>
    <row r="50" spans="3:5" ht="15" customHeight="1" outlineLevel="1">
      <c r="C50" s="339"/>
      <c r="D50" s="336"/>
      <c r="E50" s="336"/>
    </row>
    <row r="51" spans="3:5" ht="15" customHeight="1" outlineLevel="1">
      <c r="C51" s="340"/>
      <c r="D51" s="337"/>
      <c r="E51" s="337"/>
    </row>
    <row r="52" spans="3:5" ht="15" customHeight="1" outlineLevel="1">
      <c r="E52" s="195">
        <f>SUM(E40:E51)</f>
        <v>0</v>
      </c>
    </row>
    <row r="53" spans="3:5" ht="15" customHeight="1"/>
    <row r="54" spans="3:5" ht="15" customHeight="1"/>
    <row r="55" spans="3:5" ht="15" customHeight="1"/>
    <row r="56" spans="3:5" ht="15" customHeight="1"/>
    <row r="57" spans="3:5" ht="15" customHeight="1"/>
    <row r="58" spans="3:5" ht="15" customHeight="1"/>
    <row r="59" spans="3:5" ht="15" customHeight="1"/>
    <row r="60" spans="3:5" ht="15" customHeight="1"/>
    <row r="61" spans="3:5" ht="15" customHeight="1"/>
    <row r="62" spans="3:5" ht="15" customHeight="1"/>
    <row r="63" spans="3:5" ht="15" customHeight="1"/>
  </sheetData>
  <mergeCells count="12">
    <mergeCell ref="I34:J35"/>
    <mergeCell ref="D5:F5"/>
    <mergeCell ref="D7:F7"/>
    <mergeCell ref="C13:E13"/>
    <mergeCell ref="D15:D16"/>
    <mergeCell ref="E15:E16"/>
    <mergeCell ref="F15:G15"/>
    <mergeCell ref="H15:H16"/>
    <mergeCell ref="I15:J16"/>
    <mergeCell ref="I17:J20"/>
    <mergeCell ref="C31:D31"/>
    <mergeCell ref="I33:J33"/>
  </mergeCells>
  <conditionalFormatting sqref="D28:H28">
    <cfRule type="expression" dxfId="472" priority="1">
      <formula>D28&lt;&gt;0</formula>
    </cfRule>
  </conditionalFormatting>
  <printOptions horizontalCentered="1"/>
  <pageMargins left="0.23622047244094491" right="0.23622047244094491" top="0.55118110236220474" bottom="0.35433070866141736" header="0.31496062992125984" footer="0.31496062992125984"/>
  <pageSetup paperSize="9" scale="5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locked="0" defaultSize="0" print="0" autoFill="0" autoPict="0" macro="[0]!borrararrendamientotrimestral">
                <anchor moveWithCells="1" sizeWithCells="1">
                  <from>
                    <xdr:col>4</xdr:col>
                    <xdr:colOff>342900</xdr:colOff>
                    <xdr:row>8</xdr:row>
                    <xdr:rowOff>152400</xdr:rowOff>
                  </from>
                  <to>
                    <xdr:col>4</xdr:col>
                    <xdr:colOff>1600200</xdr:colOff>
                    <xdr:row>10</xdr:row>
                    <xdr:rowOff>76200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B2A67-9BDA-4EA6-AEB0-631E6FC0E41B}">
  <sheetPr codeName="Hoja53">
    <pageSetUpPr autoPageBreaks="0" fitToPage="1"/>
  </sheetPr>
  <dimension ref="A1:AB90"/>
  <sheetViews>
    <sheetView showGridLines="0" showRowColHeaders="0" showZeros="0" zoomScale="85" zoomScaleNormal="85" zoomScaleSheetLayoutView="85" zoomScalePageLayoutView="55" workbookViewId="0">
      <pane xSplit="3" ySplit="13" topLeftCell="D14" activePane="bottomRight" state="frozen"/>
      <selection activeCell="G9" sqref="G9"/>
      <selection pane="topRight" activeCell="G9" sqref="G9"/>
      <selection pane="bottomLeft" activeCell="G9" sqref="G9"/>
      <selection pane="bottomRight"/>
    </sheetView>
  </sheetViews>
  <sheetFormatPr baseColWidth="10" defaultColWidth="0" defaultRowHeight="15" customHeight="1" zeroHeight="1" outlineLevelRow="1"/>
  <cols>
    <col min="1" max="1" width="2" style="1860" customWidth="1"/>
    <col min="2" max="2" width="6.44140625" style="1860" bestFit="1" customWidth="1"/>
    <col min="3" max="3" width="45" style="1860" customWidth="1"/>
    <col min="4" max="6" width="28" style="1860" customWidth="1"/>
    <col min="7" max="7" width="35" style="1860" customWidth="1"/>
    <col min="8" max="8" width="22" style="1860" customWidth="1"/>
    <col min="9" max="9" width="29" style="1860" customWidth="1"/>
    <col min="10" max="10" width="20" style="1860" customWidth="1"/>
    <col min="11" max="11" width="7" style="1860" hidden="1" customWidth="1"/>
    <col min="12" max="12" width="6.44140625" style="1860" hidden="1" customWidth="1"/>
    <col min="13" max="13" width="5" style="1860" hidden="1" customWidth="1"/>
    <col min="14" max="14" width="19.5546875" style="1860" hidden="1" customWidth="1"/>
    <col min="15" max="15" width="49" style="1860" hidden="1" customWidth="1"/>
    <col min="16" max="16" width="21" style="1860" hidden="1" customWidth="1"/>
    <col min="17" max="17" width="9" style="1860" hidden="1" customWidth="1"/>
    <col min="18" max="18" width="4.5546875" style="1860" hidden="1" customWidth="1"/>
    <col min="19" max="20" width="11.44140625" style="1860" hidden="1" customWidth="1"/>
    <col min="21" max="21" width="46" style="1860" hidden="1" customWidth="1"/>
    <col min="22" max="22" width="40" style="1860" hidden="1" customWidth="1"/>
    <col min="23" max="23" width="16" style="1860" hidden="1" customWidth="1"/>
    <col min="24" max="25" width="11.44140625" style="1860" hidden="1" customWidth="1"/>
    <col min="26" max="26" width="49" style="1860" hidden="1" customWidth="1"/>
    <col min="27" max="27" width="47.5546875" style="1860" hidden="1" customWidth="1"/>
    <col min="28" max="28" width="18" style="1860" hidden="1" customWidth="1"/>
    <col min="29" max="16384" width="11.44140625" style="1860" hidden="1"/>
  </cols>
  <sheetData>
    <row r="1" spans="2:10" ht="15" customHeight="1"/>
    <row r="2" spans="2:10" ht="9" customHeight="1"/>
    <row r="3" spans="2:10" ht="5.25" customHeight="1">
      <c r="C3" s="1861"/>
    </row>
    <row r="4" spans="2:10" ht="5.25" customHeight="1"/>
    <row r="5" spans="2:10" ht="21">
      <c r="C5" s="1862" t="s">
        <v>1</v>
      </c>
      <c r="D5" s="2414" t="str">
        <f>+MENU!E5</f>
        <v>MARIO PILATO BLAT, S.A.</v>
      </c>
      <c r="E5" s="2415"/>
      <c r="F5" s="2415"/>
      <c r="J5" s="1863"/>
    </row>
    <row r="6" spans="2:10" ht="12.75" customHeight="1"/>
    <row r="7" spans="2:10" ht="18">
      <c r="C7" s="1862" t="s">
        <v>1361</v>
      </c>
      <c r="D7" s="2416">
        <f>+MENU!D7</f>
        <v>45657</v>
      </c>
      <c r="E7" s="2416"/>
      <c r="F7" s="2416"/>
      <c r="I7" s="1864"/>
    </row>
    <row r="8" spans="2:10" ht="15" customHeight="1">
      <c r="C8" s="1865"/>
      <c r="E8" s="1866"/>
      <c r="F8" s="1866"/>
      <c r="G8" s="1866"/>
      <c r="H8" s="1866"/>
      <c r="I8" s="1866"/>
      <c r="J8" s="1866"/>
    </row>
    <row r="9" spans="2:10" ht="15" customHeight="1"/>
    <row r="10" spans="2:10" ht="15" customHeight="1"/>
    <row r="11" spans="2:10" ht="15" customHeight="1"/>
    <row r="12" spans="2:10" ht="6" customHeight="1"/>
    <row r="13" spans="2:10" ht="22.5" customHeight="1">
      <c r="C13" s="2417" t="s">
        <v>987</v>
      </c>
      <c r="D13" s="2418"/>
      <c r="E13" s="2418"/>
    </row>
    <row r="14" spans="2:10" ht="6" customHeight="1"/>
    <row r="15" spans="2:10" ht="21" customHeight="1">
      <c r="C15" s="1867" t="s">
        <v>931</v>
      </c>
      <c r="D15" s="2419" t="s">
        <v>932</v>
      </c>
      <c r="E15" s="2419" t="s">
        <v>933</v>
      </c>
      <c r="F15" s="2421" t="s">
        <v>989</v>
      </c>
      <c r="G15" s="2421"/>
      <c r="H15" s="2403" t="s">
        <v>943</v>
      </c>
      <c r="I15" s="2404"/>
    </row>
    <row r="16" spans="2:10" ht="18">
      <c r="B16" s="1868" t="s">
        <v>1715</v>
      </c>
      <c r="C16" s="1869" t="s">
        <v>1716</v>
      </c>
      <c r="D16" s="2420"/>
      <c r="E16" s="2420"/>
      <c r="F16" s="1870" t="s">
        <v>990</v>
      </c>
      <c r="G16" s="1870" t="s">
        <v>991</v>
      </c>
      <c r="H16" s="2405"/>
      <c r="I16" s="2406"/>
    </row>
    <row r="17" spans="2:9" ht="22.5" customHeight="1">
      <c r="B17" s="1871">
        <v>1</v>
      </c>
      <c r="C17" s="1872" t="s">
        <v>946</v>
      </c>
      <c r="D17" s="1873"/>
      <c r="E17" s="1874"/>
      <c r="F17" s="1873"/>
      <c r="G17" s="1874"/>
      <c r="H17" s="2387"/>
      <c r="I17" s="2388"/>
    </row>
    <row r="18" spans="2:9" ht="22.5" customHeight="1">
      <c r="B18" s="1875">
        <v>2</v>
      </c>
      <c r="C18" s="1876" t="s">
        <v>947</v>
      </c>
      <c r="D18" s="1877"/>
      <c r="E18" s="1878"/>
      <c r="F18" s="1877"/>
      <c r="G18" s="1878"/>
      <c r="H18" s="2389"/>
      <c r="I18" s="2390"/>
    </row>
    <row r="19" spans="2:9" ht="22.5" customHeight="1">
      <c r="B19" s="1879">
        <v>3</v>
      </c>
      <c r="C19" s="1880" t="s">
        <v>948</v>
      </c>
      <c r="D19" s="1881"/>
      <c r="E19" s="1882"/>
      <c r="F19" s="1881"/>
      <c r="G19" s="1882"/>
      <c r="H19" s="2389"/>
      <c r="I19" s="2390"/>
    </row>
    <row r="20" spans="2:9" ht="22.5" customHeight="1">
      <c r="B20" s="1875">
        <v>4</v>
      </c>
      <c r="C20" s="1876" t="s">
        <v>949</v>
      </c>
      <c r="D20" s="1877"/>
      <c r="E20" s="1878"/>
      <c r="F20" s="1877"/>
      <c r="G20" s="1878"/>
      <c r="H20" s="2389"/>
      <c r="I20" s="2390"/>
    </row>
    <row r="21" spans="2:9" ht="22.5" customHeight="1">
      <c r="B21" s="1875">
        <v>5</v>
      </c>
      <c r="C21" s="1876" t="s">
        <v>950</v>
      </c>
      <c r="D21" s="1877"/>
      <c r="E21" s="1878"/>
      <c r="F21" s="1877"/>
      <c r="G21" s="1878"/>
      <c r="H21" s="2389"/>
      <c r="I21" s="2390"/>
    </row>
    <row r="22" spans="2:9" ht="22.5" customHeight="1">
      <c r="B22" s="1879">
        <v>6</v>
      </c>
      <c r="C22" s="1880" t="s">
        <v>951</v>
      </c>
      <c r="D22" s="1881"/>
      <c r="E22" s="1882"/>
      <c r="F22" s="1881"/>
      <c r="G22" s="1882"/>
      <c r="H22" s="2389"/>
      <c r="I22" s="2390"/>
    </row>
    <row r="23" spans="2:9" ht="22.5" customHeight="1">
      <c r="B23" s="1875">
        <v>7</v>
      </c>
      <c r="C23" s="1876" t="s">
        <v>952</v>
      </c>
      <c r="D23" s="1877"/>
      <c r="E23" s="1878"/>
      <c r="F23" s="1877"/>
      <c r="G23" s="1878"/>
      <c r="H23" s="2389"/>
      <c r="I23" s="2390"/>
    </row>
    <row r="24" spans="2:9" ht="22.5" customHeight="1">
      <c r="B24" s="1875">
        <v>8</v>
      </c>
      <c r="C24" s="1876" t="s">
        <v>953</v>
      </c>
      <c r="D24" s="1877"/>
      <c r="E24" s="1878"/>
      <c r="F24" s="1877"/>
      <c r="G24" s="1878"/>
      <c r="H24" s="2389"/>
      <c r="I24" s="2390"/>
    </row>
    <row r="25" spans="2:9" ht="22.5" customHeight="1">
      <c r="B25" s="1879">
        <v>9</v>
      </c>
      <c r="C25" s="1880" t="s">
        <v>954</v>
      </c>
      <c r="D25" s="1881"/>
      <c r="E25" s="1882"/>
      <c r="F25" s="1881"/>
      <c r="G25" s="1882"/>
      <c r="H25" s="2389"/>
      <c r="I25" s="2390"/>
    </row>
    <row r="26" spans="2:9" ht="22.5" customHeight="1">
      <c r="B26" s="1875">
        <v>10</v>
      </c>
      <c r="C26" s="1876" t="s">
        <v>955</v>
      </c>
      <c r="D26" s="1877"/>
      <c r="E26" s="1878"/>
      <c r="F26" s="1877"/>
      <c r="G26" s="1878"/>
      <c r="H26" s="2389"/>
      <c r="I26" s="2390"/>
    </row>
    <row r="27" spans="2:9" ht="22.5" customHeight="1">
      <c r="B27" s="1875">
        <v>11</v>
      </c>
      <c r="C27" s="1876" t="s">
        <v>956</v>
      </c>
      <c r="D27" s="1877"/>
      <c r="E27" s="1878"/>
      <c r="F27" s="1877"/>
      <c r="G27" s="1878"/>
      <c r="H27" s="2389"/>
      <c r="I27" s="2390"/>
    </row>
    <row r="28" spans="2:9" ht="22.5" customHeight="1">
      <c r="B28" s="1883">
        <v>12</v>
      </c>
      <c r="C28" s="1884" t="s">
        <v>957</v>
      </c>
      <c r="D28" s="1885"/>
      <c r="E28" s="1886"/>
      <c r="F28" s="1885"/>
      <c r="G28" s="1886"/>
      <c r="H28" s="2391"/>
      <c r="I28" s="2392"/>
    </row>
    <row r="29" spans="2:9" ht="15.6">
      <c r="D29" s="1887"/>
      <c r="E29" s="1887"/>
      <c r="F29" s="1887"/>
      <c r="G29" s="1888"/>
    </row>
    <row r="30" spans="2:9" ht="18.75" customHeight="1">
      <c r="C30" s="1889" t="s">
        <v>959</v>
      </c>
      <c r="D30" s="1890">
        <f>SUM(D17:D29)</f>
        <v>0</v>
      </c>
      <c r="E30" s="1890">
        <f>SUM(E17:E29)</f>
        <v>0</v>
      </c>
      <c r="F30" s="1890">
        <f>SUM(F17:F29)</f>
        <v>0</v>
      </c>
      <c r="G30" s="1891">
        <f>SUM(G17:G29)</f>
        <v>0</v>
      </c>
    </row>
    <row r="31" spans="2:9" ht="9" customHeight="1"/>
    <row r="32" spans="2:9" ht="18.75" customHeight="1">
      <c r="C32" s="1892" t="s">
        <v>992</v>
      </c>
      <c r="D32" s="1893"/>
      <c r="E32" s="1893"/>
      <c r="F32" s="1893"/>
      <c r="G32" s="1894"/>
    </row>
    <row r="33" spans="2:9" ht="5.25" customHeight="1">
      <c r="D33" s="1895"/>
      <c r="E33" s="1895"/>
      <c r="F33" s="1895"/>
      <c r="G33" s="1895"/>
    </row>
    <row r="34" spans="2:9" ht="18.75" customHeight="1">
      <c r="C34" s="1896" t="s">
        <v>935</v>
      </c>
      <c r="D34" s="1897">
        <f>+D30-D32</f>
        <v>0</v>
      </c>
      <c r="E34" s="1897">
        <f>+E30-E32</f>
        <v>0</v>
      </c>
      <c r="F34" s="1897">
        <f>+F30-F32</f>
        <v>0</v>
      </c>
      <c r="G34" s="1897">
        <f>+G30-G32</f>
        <v>0</v>
      </c>
    </row>
    <row r="35" spans="2:9" ht="15" customHeight="1"/>
    <row r="36" spans="2:9" ht="6" customHeight="1"/>
    <row r="37" spans="2:9" ht="21" hidden="1" customHeight="1" outlineLevel="1" thickTop="1">
      <c r="B37" s="1898"/>
      <c r="C37" s="1899" t="s">
        <v>931</v>
      </c>
      <c r="D37" s="2407" t="s">
        <v>932</v>
      </c>
      <c r="E37" s="2407" t="s">
        <v>933</v>
      </c>
      <c r="F37" s="2409" t="s">
        <v>989</v>
      </c>
      <c r="G37" s="2409"/>
      <c r="H37" s="2410" t="s">
        <v>943</v>
      </c>
      <c r="I37" s="2411"/>
    </row>
    <row r="38" spans="2:9" ht="18" hidden="1" outlineLevel="1">
      <c r="B38" s="1900" t="s">
        <v>1715</v>
      </c>
      <c r="C38" s="1901" t="s">
        <v>1716</v>
      </c>
      <c r="D38" s="2408"/>
      <c r="E38" s="2408"/>
      <c r="F38" s="1902" t="s">
        <v>990</v>
      </c>
      <c r="G38" s="1902" t="s">
        <v>991</v>
      </c>
      <c r="H38" s="2412"/>
      <c r="I38" s="2413"/>
    </row>
    <row r="39" spans="2:9" ht="22.5" hidden="1" customHeight="1" outlineLevel="1">
      <c r="B39" s="1871">
        <v>1</v>
      </c>
      <c r="C39" s="1872" t="s">
        <v>946</v>
      </c>
      <c r="D39" s="1873"/>
      <c r="E39" s="1874"/>
      <c r="F39" s="1873"/>
      <c r="G39" s="1874"/>
      <c r="H39" s="2387"/>
      <c r="I39" s="2388"/>
    </row>
    <row r="40" spans="2:9" ht="22.5" hidden="1" customHeight="1" outlineLevel="1">
      <c r="B40" s="1875">
        <v>2</v>
      </c>
      <c r="C40" s="1876" t="s">
        <v>947</v>
      </c>
      <c r="D40" s="1877"/>
      <c r="E40" s="1878"/>
      <c r="F40" s="1877"/>
      <c r="G40" s="1878"/>
      <c r="H40" s="2389"/>
      <c r="I40" s="2390"/>
    </row>
    <row r="41" spans="2:9" ht="22.5" hidden="1" customHeight="1" outlineLevel="1">
      <c r="B41" s="1879">
        <v>3</v>
      </c>
      <c r="C41" s="1880" t="s">
        <v>948</v>
      </c>
      <c r="D41" s="1881"/>
      <c r="E41" s="1882"/>
      <c r="F41" s="1881"/>
      <c r="G41" s="1882"/>
      <c r="H41" s="2389"/>
      <c r="I41" s="2390"/>
    </row>
    <row r="42" spans="2:9" ht="22.5" hidden="1" customHeight="1" outlineLevel="1">
      <c r="B42" s="1875">
        <v>4</v>
      </c>
      <c r="C42" s="1876" t="s">
        <v>949</v>
      </c>
      <c r="D42" s="1877"/>
      <c r="E42" s="1878"/>
      <c r="F42" s="1877"/>
      <c r="G42" s="1878"/>
      <c r="H42" s="2389"/>
      <c r="I42" s="2390"/>
    </row>
    <row r="43" spans="2:9" ht="22.5" hidden="1" customHeight="1" outlineLevel="1">
      <c r="B43" s="1875">
        <v>5</v>
      </c>
      <c r="C43" s="1876" t="s">
        <v>950</v>
      </c>
      <c r="D43" s="1877"/>
      <c r="E43" s="1878"/>
      <c r="F43" s="1877"/>
      <c r="G43" s="1878"/>
      <c r="H43" s="2389"/>
      <c r="I43" s="2390"/>
    </row>
    <row r="44" spans="2:9" ht="22.5" hidden="1" customHeight="1" outlineLevel="1">
      <c r="B44" s="1879">
        <v>6</v>
      </c>
      <c r="C44" s="1880" t="s">
        <v>951</v>
      </c>
      <c r="D44" s="1881"/>
      <c r="E44" s="1882"/>
      <c r="F44" s="1881"/>
      <c r="G44" s="1882"/>
      <c r="H44" s="2389"/>
      <c r="I44" s="2390"/>
    </row>
    <row r="45" spans="2:9" ht="22.5" hidden="1" customHeight="1" outlineLevel="1">
      <c r="B45" s="1875">
        <v>7</v>
      </c>
      <c r="C45" s="1876" t="s">
        <v>952</v>
      </c>
      <c r="D45" s="1877"/>
      <c r="E45" s="1878"/>
      <c r="F45" s="1877"/>
      <c r="G45" s="1878"/>
      <c r="H45" s="2389"/>
      <c r="I45" s="2390"/>
    </row>
    <row r="46" spans="2:9" ht="22.5" hidden="1" customHeight="1" outlineLevel="1">
      <c r="B46" s="1875">
        <v>8</v>
      </c>
      <c r="C46" s="1876" t="s">
        <v>953</v>
      </c>
      <c r="D46" s="1877"/>
      <c r="E46" s="1878"/>
      <c r="F46" s="1877"/>
      <c r="G46" s="1878"/>
      <c r="H46" s="2389"/>
      <c r="I46" s="2390"/>
    </row>
    <row r="47" spans="2:9" ht="22.5" hidden="1" customHeight="1" outlineLevel="1">
      <c r="B47" s="1879">
        <v>9</v>
      </c>
      <c r="C47" s="1880" t="s">
        <v>954</v>
      </c>
      <c r="D47" s="1881"/>
      <c r="E47" s="1882"/>
      <c r="F47" s="1881"/>
      <c r="G47" s="1882"/>
      <c r="H47" s="2389"/>
      <c r="I47" s="2390"/>
    </row>
    <row r="48" spans="2:9" ht="22.5" hidden="1" customHeight="1" outlineLevel="1">
      <c r="B48" s="1875">
        <v>10</v>
      </c>
      <c r="C48" s="1876" t="s">
        <v>955</v>
      </c>
      <c r="D48" s="1877"/>
      <c r="E48" s="1878"/>
      <c r="F48" s="1877"/>
      <c r="G48" s="1878"/>
      <c r="H48" s="2389"/>
      <c r="I48" s="2390"/>
    </row>
    <row r="49" spans="2:10" ht="22.5" hidden="1" customHeight="1" outlineLevel="1">
      <c r="B49" s="1875">
        <v>11</v>
      </c>
      <c r="C49" s="1876" t="s">
        <v>956</v>
      </c>
      <c r="D49" s="1877"/>
      <c r="E49" s="1878"/>
      <c r="F49" s="1877"/>
      <c r="G49" s="1878"/>
      <c r="H49" s="2389"/>
      <c r="I49" s="2390"/>
    </row>
    <row r="50" spans="2:10" ht="22.5" hidden="1" customHeight="1" outlineLevel="1">
      <c r="B50" s="1883">
        <v>12</v>
      </c>
      <c r="C50" s="1884" t="s">
        <v>957</v>
      </c>
      <c r="D50" s="1885"/>
      <c r="E50" s="1886"/>
      <c r="F50" s="1885"/>
      <c r="G50" s="1886"/>
      <c r="H50" s="2391"/>
      <c r="I50" s="2392"/>
    </row>
    <row r="51" spans="2:10" ht="15.6" hidden="1" outlineLevel="1">
      <c r="D51" s="1887"/>
      <c r="E51" s="1887"/>
      <c r="F51" s="1887"/>
      <c r="G51" s="1888"/>
    </row>
    <row r="52" spans="2:10" ht="18.75" hidden="1" customHeight="1" outlineLevel="1">
      <c r="C52" s="1889" t="s">
        <v>959</v>
      </c>
      <c r="D52" s="1890">
        <f>SUM(D39:D51)</f>
        <v>0</v>
      </c>
      <c r="E52" s="1890">
        <f>SUM(E39:E51)</f>
        <v>0</v>
      </c>
      <c r="F52" s="1890">
        <f>SUM(F39:F51)</f>
        <v>0</v>
      </c>
      <c r="G52" s="1891">
        <f>SUM(G39:G51)</f>
        <v>0</v>
      </c>
    </row>
    <row r="53" spans="2:10" ht="9" hidden="1" customHeight="1" outlineLevel="1"/>
    <row r="54" spans="2:10" ht="18.75" hidden="1" customHeight="1" outlineLevel="1">
      <c r="C54" s="1892" t="s">
        <v>992</v>
      </c>
      <c r="D54" s="1893"/>
      <c r="E54" s="1893"/>
      <c r="F54" s="1893"/>
      <c r="G54" s="1894"/>
    </row>
    <row r="55" spans="2:10" ht="5.25" hidden="1" customHeight="1" outlineLevel="1">
      <c r="D55" s="1895"/>
      <c r="E55" s="1895"/>
      <c r="F55" s="1895"/>
      <c r="G55" s="1895"/>
    </row>
    <row r="56" spans="2:10" ht="18.75" hidden="1" customHeight="1" outlineLevel="1">
      <c r="C56" s="1896" t="s">
        <v>935</v>
      </c>
      <c r="D56" s="1897">
        <f>+D52-D54</f>
        <v>0</v>
      </c>
      <c r="E56" s="1897">
        <f>+E52-E54</f>
        <v>0</v>
      </c>
      <c r="F56" s="1897">
        <f>+F52-F54</f>
        <v>0</v>
      </c>
      <c r="G56" s="1897">
        <f>+G52-G54</f>
        <v>0</v>
      </c>
    </row>
    <row r="57" spans="2:10" s="1903" customFormat="1" ht="18.75" hidden="1" customHeight="1" outlineLevel="1"/>
    <row r="58" spans="2:10" s="1903" customFormat="1" ht="18.75" hidden="1" customHeight="1" outlineLevel="1">
      <c r="C58" s="1904" t="s">
        <v>1722</v>
      </c>
      <c r="D58" s="1897">
        <f>D54+IF(MONTH($D$7)=1,SUMIF($B$17:$B$28,"&gt;1",D17:D28),IF(MONTH($D$7)=2,SUMIF($B$17:$B$28,"&gt;2",D17:D28),IF(MONTH($D$7)=3,SUMIF($B$17:$B$28,"&gt;3",D17:D28),IF(MONTH($D$7)=4,SUMIF($B$17:$B$28,"&gt;4",D17:D28),IF(MONTH($D$7)=5,SUMIF($B$17:$B$28,"&gt;5",D17:D28),IF(MONTH($D$7)=6,SUMIF($B$17:$B$28,"&gt;6",D17:D28),IF(MONTH($D$7)=7,SUMIF($B$17:$B$28,"&gt;7",D17:D28),IF(MONTH($D$7)=8,SUMIF($B$17:$B$28,"&gt;8",D17:D28),IF(MONTH($D$7)=9,SUMIF($B$17:$B$28,"&gt;9",D17:D28),IF(MONTH($D$7)=10,SUMIF($B$17:$B$28,"&gt;10",D17:D28),IF(MONTH($D$7)=11,SUMIF($B$17:$B$28,"&gt;11",D17:D28),0)))))))))))</f>
        <v>0</v>
      </c>
      <c r="E58" s="1897">
        <f>E54+IF(MONTH($D$7)=1,SUMIF($B$17:$B$28,"&gt;1",E17:E28),IF(MONTH($D$7)=2,SUMIF($B$17:$B$28,"&gt;2",E17:E28),IF(MONTH($D$7)=3,SUMIF($B$17:$B$28,"&gt;3",E17:E28),IF(MONTH($D$7)=4,SUMIF($B$17:$B$28,"&gt;4",E17:E28),IF(MONTH($D$7)=5,SUMIF($B$17:$B$28,"&gt;5",E17:E28),IF(MONTH($D$7)=6,SUMIF($B$17:$B$28,"&gt;6",E17:E28),IF(MONTH($D$7)=7,SUMIF($B$17:$B$28,"&gt;7",E17:E28),IF(MONTH($D$7)=8,SUMIF($B$17:$B$28,"&gt;8",E17:E28),IF(MONTH($D$7)=9,SUMIF($B$17:$B$28,"&gt;9",E17:E28),IF(MONTH($D$7)=10,SUMIF($B$17:$B$28,"&gt;10",E17:E28),IF(MONTH($D$7)=11,SUMIF($B$17:$B$28,"&gt;11",E17:E28),0)))))))))))</f>
        <v>0</v>
      </c>
      <c r="F58" s="1897">
        <f t="shared" ref="F58:G58" si="0">F54+IF(MONTH($D$7)=1,SUMIF($B$17:$B$28,"&gt;1",F17:F28),IF(MONTH($D$7)=2,SUMIF($B$17:$B$28,"&gt;2",F17:F28),IF(MONTH($D$7)=3,SUMIF($B$17:$B$28,"&gt;3",F17:F28),IF(MONTH($D$7)=4,SUMIF($B$17:$B$28,"&gt;4",F17:F28),IF(MONTH($D$7)=5,SUMIF($B$17:$B$28,"&gt;5",F17:F28),IF(MONTH($D$7)=6,SUMIF($B$17:$B$28,"&gt;6",F17:F28),IF(MONTH($D$7)=7,SUMIF($B$17:$B$28,"&gt;7",F17:F28),IF(MONTH($D$7)=8,SUMIF($B$17:$B$28,"&gt;8",F17:F28),IF(MONTH($D$7)=9,SUMIF($B$17:$B$28,"&gt;9",F17:F28),IF(MONTH($D$7)=10,SUMIF($B$17:$B$28,"&gt;10",F17:F28),IF(MONTH($D$7)=11,SUMIF($B$17:$B$28,"&gt;11",F17:F28),0)))))))))))</f>
        <v>0</v>
      </c>
      <c r="G58" s="1897">
        <f t="shared" si="0"/>
        <v>0</v>
      </c>
    </row>
    <row r="59" spans="2:10" s="1903" customFormat="1" ht="18.75" customHeight="1" collapsed="1"/>
    <row r="60" spans="2:10" s="1903" customFormat="1" ht="18.75" customHeight="1"/>
    <row r="61" spans="2:10" ht="18.75" customHeight="1">
      <c r="C61" s="2393" t="s">
        <v>982</v>
      </c>
      <c r="D61" s="2394"/>
    </row>
    <row r="62" spans="2:10" ht="6" customHeight="1"/>
    <row r="63" spans="2:10" s="1905" customFormat="1" ht="21.75" customHeight="1">
      <c r="C63" s="1906" t="s">
        <v>936</v>
      </c>
      <c r="D63" s="1906" t="s">
        <v>995</v>
      </c>
      <c r="E63" s="1906" t="s">
        <v>994</v>
      </c>
      <c r="F63" s="1906" t="s">
        <v>996</v>
      </c>
      <c r="G63" s="1906" t="s">
        <v>997</v>
      </c>
      <c r="H63" s="2395" t="s">
        <v>943</v>
      </c>
      <c r="I63" s="2396"/>
      <c r="J63" s="1860"/>
    </row>
    <row r="64" spans="2:10" ht="19.5" customHeight="1">
      <c r="C64" s="1907"/>
      <c r="D64" s="1908"/>
      <c r="E64" s="1909">
        <f>IF(MENU!$P$11="NO",+D32,+D54)</f>
        <v>0</v>
      </c>
      <c r="F64" s="1909"/>
      <c r="G64" s="1909">
        <f>+E88</f>
        <v>0</v>
      </c>
      <c r="H64" s="2397"/>
      <c r="I64" s="2398"/>
    </row>
    <row r="65" spans="3:9" ht="19.5" customHeight="1">
      <c r="C65" s="1910"/>
      <c r="D65" s="1911"/>
      <c r="E65" s="1912"/>
      <c r="F65" s="1912"/>
      <c r="G65" s="1912"/>
      <c r="H65" s="2399"/>
      <c r="I65" s="2400"/>
    </row>
    <row r="66" spans="3:9" ht="19.5" customHeight="1">
      <c r="C66" s="1910"/>
      <c r="D66" s="1911"/>
      <c r="E66" s="1912"/>
      <c r="F66" s="1912"/>
      <c r="G66" s="1912"/>
      <c r="H66" s="2399"/>
      <c r="I66" s="2400"/>
    </row>
    <row r="67" spans="3:9" ht="19.5" customHeight="1">
      <c r="C67" s="1910"/>
      <c r="D67" s="1911"/>
      <c r="E67" s="1912"/>
      <c r="F67" s="1912"/>
      <c r="G67" s="1912"/>
      <c r="H67" s="2399"/>
      <c r="I67" s="2400"/>
    </row>
    <row r="68" spans="3:9" ht="19.5" customHeight="1">
      <c r="C68" s="1910"/>
      <c r="D68" s="1911"/>
      <c r="E68" s="1912"/>
      <c r="F68" s="1912"/>
      <c r="G68" s="1912"/>
      <c r="H68" s="2399"/>
      <c r="I68" s="2400"/>
    </row>
    <row r="69" spans="3:9" ht="19.5" customHeight="1">
      <c r="C69" s="1910"/>
      <c r="D69" s="1911"/>
      <c r="E69" s="1912"/>
      <c r="F69" s="1912"/>
      <c r="G69" s="1912"/>
      <c r="H69" s="2399"/>
      <c r="I69" s="2400"/>
    </row>
    <row r="70" spans="3:9" ht="19.5" customHeight="1">
      <c r="C70" s="1913"/>
      <c r="D70" s="1914"/>
      <c r="E70" s="1915"/>
      <c r="F70" s="1915"/>
      <c r="G70" s="1915"/>
      <c r="H70" s="2399"/>
      <c r="I70" s="2400"/>
    </row>
    <row r="71" spans="3:9" ht="19.5" customHeight="1">
      <c r="C71" s="1916"/>
      <c r="D71" s="1917"/>
      <c r="E71" s="1917"/>
      <c r="F71" s="1917"/>
      <c r="G71" s="1917"/>
      <c r="H71" s="2401"/>
      <c r="I71" s="2402"/>
    </row>
    <row r="72" spans="3:9" ht="15" customHeight="1"/>
    <row r="73" spans="3:9" ht="15" customHeight="1">
      <c r="C73" s="1918" t="s">
        <v>993</v>
      </c>
    </row>
    <row r="74" spans="3:9" ht="6.75" customHeight="1"/>
    <row r="75" spans="3:9" ht="14.4">
      <c r="C75" s="1919" t="s">
        <v>984</v>
      </c>
      <c r="D75" s="1919" t="s">
        <v>985</v>
      </c>
      <c r="E75" s="1919" t="s">
        <v>986</v>
      </c>
    </row>
    <row r="76" spans="3:9" ht="15" customHeight="1">
      <c r="C76" s="1920"/>
      <c r="D76" s="1921"/>
      <c r="E76" s="1921"/>
    </row>
    <row r="77" spans="3:9" ht="15" customHeight="1">
      <c r="C77" s="1922"/>
      <c r="D77" s="1923"/>
      <c r="E77" s="1923"/>
    </row>
    <row r="78" spans="3:9" ht="15" customHeight="1">
      <c r="C78" s="1922"/>
      <c r="D78" s="1923"/>
      <c r="E78" s="1923"/>
    </row>
    <row r="79" spans="3:9" ht="15" customHeight="1">
      <c r="C79" s="1922"/>
      <c r="D79" s="1923"/>
      <c r="E79" s="1923"/>
    </row>
    <row r="80" spans="3:9" ht="15" customHeight="1">
      <c r="C80" s="1922"/>
      <c r="D80" s="1923"/>
      <c r="E80" s="1923"/>
    </row>
    <row r="81" spans="3:5" ht="15" customHeight="1">
      <c r="C81" s="1922"/>
      <c r="D81" s="1923"/>
      <c r="E81" s="1923"/>
    </row>
    <row r="82" spans="3:5" ht="15" customHeight="1">
      <c r="C82" s="1922"/>
      <c r="D82" s="1923"/>
      <c r="E82" s="1923"/>
    </row>
    <row r="83" spans="3:5" ht="15" customHeight="1">
      <c r="C83" s="1922"/>
      <c r="D83" s="1923"/>
      <c r="E83" s="1923"/>
    </row>
    <row r="84" spans="3:5" ht="15" customHeight="1">
      <c r="C84" s="1922"/>
      <c r="D84" s="1923"/>
      <c r="E84" s="1923"/>
    </row>
    <row r="85" spans="3:5" ht="15" customHeight="1">
      <c r="C85" s="1922"/>
      <c r="D85" s="1923"/>
      <c r="E85" s="1923"/>
    </row>
    <row r="86" spans="3:5" ht="15" customHeight="1">
      <c r="C86" s="1922"/>
      <c r="D86" s="1923"/>
      <c r="E86" s="1923"/>
    </row>
    <row r="87" spans="3:5" ht="15" customHeight="1">
      <c r="C87" s="1924"/>
      <c r="D87" s="1925"/>
      <c r="E87" s="1925"/>
    </row>
    <row r="88" spans="3:5" ht="15" customHeight="1">
      <c r="E88" s="1890">
        <f>SUM(E76:E87)</f>
        <v>0</v>
      </c>
    </row>
    <row r="89" spans="3:5" ht="15" customHeight="1"/>
    <row r="90" spans="3:5" ht="15" customHeight="1"/>
  </sheetData>
  <mergeCells count="16">
    <mergeCell ref="D5:F5"/>
    <mergeCell ref="D7:F7"/>
    <mergeCell ref="C13:E13"/>
    <mergeCell ref="D15:D16"/>
    <mergeCell ref="E15:E16"/>
    <mergeCell ref="F15:G15"/>
    <mergeCell ref="H39:I50"/>
    <mergeCell ref="C61:D61"/>
    <mergeCell ref="H63:I63"/>
    <mergeCell ref="H64:I71"/>
    <mergeCell ref="H15:I16"/>
    <mergeCell ref="H17:I28"/>
    <mergeCell ref="D37:D38"/>
    <mergeCell ref="E37:E38"/>
    <mergeCell ref="F37:G37"/>
    <mergeCell ref="H37:I38"/>
  </mergeCells>
  <conditionalFormatting sqref="D34:G34">
    <cfRule type="expression" dxfId="471" priority="3">
      <formula>D34&lt;&gt;0</formula>
    </cfRule>
  </conditionalFormatting>
  <conditionalFormatting sqref="D56:G56">
    <cfRule type="expression" dxfId="470" priority="2">
      <formula>D56&lt;&gt;0</formula>
    </cfRule>
  </conditionalFormatting>
  <conditionalFormatting sqref="D58:G58">
    <cfRule type="expression" dxfId="469" priority="1">
      <formula>D58&lt;&gt;0</formula>
    </cfRule>
  </conditionalFormatting>
  <printOptions horizontalCentered="1"/>
  <pageMargins left="0.23622047244094491" right="0.23622047244094491" top="0.55118110236220474" bottom="0.35433070866141736" header="0.31496062992125984" footer="0.31496062992125984"/>
  <pageSetup paperSize="9" scale="58" orientation="landscape"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0">
    <pageSetUpPr autoPageBreaks="0" fitToPage="1"/>
  </sheetPr>
  <dimension ref="A1:AB89"/>
  <sheetViews>
    <sheetView showGridLines="0" showRowColHeaders="0" showZeros="0" zoomScale="85" zoomScaleNormal="85" zoomScaleSheetLayoutView="85" zoomScalePageLayoutView="55" workbookViewId="0">
      <pane xSplit="3" ySplit="13" topLeftCell="D14" activePane="bottomRight" state="frozen"/>
      <selection activeCell="A38" sqref="A38:H38"/>
      <selection pane="topRight" activeCell="A38" sqref="A38:H38"/>
      <selection pane="bottomLeft" activeCell="A38" sqref="A38:H38"/>
      <selection pane="bottomRight"/>
    </sheetView>
  </sheetViews>
  <sheetFormatPr baseColWidth="10" defaultColWidth="0" defaultRowHeight="15" customHeight="1" zeroHeight="1" outlineLevelRow="1"/>
  <cols>
    <col min="1" max="2" width="2" customWidth="1"/>
    <col min="3" max="3" width="45" customWidth="1"/>
    <col min="4" max="6" width="28" customWidth="1"/>
    <col min="7" max="7" width="35" customWidth="1"/>
    <col min="8" max="8" width="22" customWidth="1"/>
    <col min="9" max="9" width="29" customWidth="1"/>
    <col min="10" max="10" width="20" customWidth="1"/>
    <col min="11" max="11" width="7" hidden="1" customWidth="1"/>
    <col min="12" max="12" width="6.44140625" hidden="1" customWidth="1"/>
    <col min="13" max="13" width="5" hidden="1" customWidth="1"/>
    <col min="14" max="14" width="19.5546875" hidden="1" customWidth="1"/>
    <col min="15" max="15" width="49" hidden="1" customWidth="1"/>
    <col min="16" max="16" width="21" hidden="1" customWidth="1"/>
    <col min="17" max="17" width="9" hidden="1" customWidth="1"/>
    <col min="18" max="18" width="4.5546875" hidden="1" customWidth="1"/>
    <col min="19" max="20" width="11.44140625" hidden="1" customWidth="1"/>
    <col min="21" max="21" width="46" hidden="1" customWidth="1"/>
    <col min="22" max="22" width="40" hidden="1" customWidth="1"/>
    <col min="23" max="23" width="16" hidden="1" customWidth="1"/>
    <col min="24" max="25" width="11.44140625" hidden="1" customWidth="1"/>
    <col min="26" max="26" width="49" hidden="1" customWidth="1"/>
    <col min="27" max="27" width="47.5546875" hidden="1" customWidth="1"/>
    <col min="28" max="28" width="18" hidden="1" customWidth="1"/>
    <col min="29" max="16384" width="11.44140625" hidden="1"/>
  </cols>
  <sheetData>
    <row r="1" spans="2:10" ht="15" customHeight="1"/>
    <row r="2" spans="2:10" ht="9" customHeight="1"/>
    <row r="3" spans="2:10" ht="5.25" customHeight="1">
      <c r="C3" s="1"/>
    </row>
    <row r="4" spans="2:10" ht="5.25" customHeight="1"/>
    <row r="5" spans="2:10" ht="21">
      <c r="C5" s="35" t="str">
        <f>+MENU!C5</f>
        <v>Sociedad:</v>
      </c>
      <c r="D5" s="2254" t="str">
        <f>+MENU!E5</f>
        <v>MARIO PILATO BLAT, S.A.</v>
      </c>
      <c r="E5" s="2255"/>
      <c r="F5" s="2255"/>
      <c r="J5" s="40"/>
    </row>
    <row r="6" spans="2:10" ht="12.75" customHeight="1"/>
    <row r="7" spans="2:10" ht="18">
      <c r="C7" s="35" t="str">
        <f>+instrucciones!$C$7</f>
        <v>Fecha de cierre</v>
      </c>
      <c r="D7" s="2261">
        <f>+MENU!D7</f>
        <v>45657</v>
      </c>
      <c r="E7" s="2261"/>
      <c r="F7" s="2261"/>
      <c r="I7" s="34"/>
    </row>
    <row r="8" spans="2:10" ht="15" customHeight="1">
      <c r="C8" s="2"/>
      <c r="E8" s="3"/>
      <c r="F8" s="3"/>
      <c r="G8" s="3"/>
      <c r="H8" s="3"/>
      <c r="I8" s="3"/>
      <c r="J8" s="3"/>
    </row>
    <row r="9" spans="2:10" ht="15" customHeight="1"/>
    <row r="10" spans="2:10" ht="15" customHeight="1"/>
    <row r="11" spans="2:10" ht="15" customHeight="1"/>
    <row r="12" spans="2:10" ht="6" customHeight="1"/>
    <row r="13" spans="2:10" ht="22.5" customHeight="1">
      <c r="C13" s="2356" t="s">
        <v>987</v>
      </c>
      <c r="D13" s="2357"/>
      <c r="E13" s="2357"/>
    </row>
    <row r="14" spans="2:10" ht="6" customHeight="1"/>
    <row r="15" spans="2:10" s="1341" customFormat="1" ht="21" customHeight="1">
      <c r="C15" s="1342" t="s">
        <v>931</v>
      </c>
      <c r="D15" s="2358" t="s">
        <v>932</v>
      </c>
      <c r="E15" s="2358" t="s">
        <v>933</v>
      </c>
      <c r="F15" s="2335" t="s">
        <v>989</v>
      </c>
      <c r="G15" s="2335"/>
      <c r="H15" s="2320" t="s">
        <v>943</v>
      </c>
      <c r="I15" s="2322"/>
    </row>
    <row r="16" spans="2:10" s="1341" customFormat="1" ht="18">
      <c r="B16" s="1459" t="s">
        <v>1715</v>
      </c>
      <c r="C16" s="1460" t="s">
        <v>1716</v>
      </c>
      <c r="D16" s="2441"/>
      <c r="E16" s="2441"/>
      <c r="F16" s="1461" t="s">
        <v>990</v>
      </c>
      <c r="G16" s="1461" t="s">
        <v>991</v>
      </c>
      <c r="H16" s="2439"/>
      <c r="I16" s="2440"/>
    </row>
    <row r="17" spans="2:9" s="1341" customFormat="1" ht="22.5" customHeight="1">
      <c r="B17" s="1462">
        <v>1</v>
      </c>
      <c r="C17" s="1463" t="s">
        <v>946</v>
      </c>
      <c r="D17" s="1464"/>
      <c r="E17" s="1465"/>
      <c r="F17" s="1464"/>
      <c r="G17" s="1465"/>
      <c r="H17" s="2434"/>
      <c r="I17" s="2435"/>
    </row>
    <row r="18" spans="2:9" s="1341" customFormat="1" ht="22.5" customHeight="1">
      <c r="B18" s="1466">
        <v>2</v>
      </c>
      <c r="C18" s="1355" t="s">
        <v>947</v>
      </c>
      <c r="D18" s="1351"/>
      <c r="E18" s="1352"/>
      <c r="F18" s="1351"/>
      <c r="G18" s="1352"/>
      <c r="H18" s="2364"/>
      <c r="I18" s="2436"/>
    </row>
    <row r="19" spans="2:9" s="1341" customFormat="1" ht="22.5" customHeight="1">
      <c r="B19" s="1467">
        <v>3</v>
      </c>
      <c r="C19" s="1468" t="s">
        <v>948</v>
      </c>
      <c r="D19" s="1469"/>
      <c r="E19" s="1470"/>
      <c r="F19" s="1469"/>
      <c r="G19" s="1470"/>
      <c r="H19" s="2364"/>
      <c r="I19" s="2436"/>
    </row>
    <row r="20" spans="2:9" s="1341" customFormat="1" ht="22.5" customHeight="1">
      <c r="B20" s="1466">
        <v>4</v>
      </c>
      <c r="C20" s="1355" t="s">
        <v>949</v>
      </c>
      <c r="D20" s="1351"/>
      <c r="E20" s="1352"/>
      <c r="F20" s="1351"/>
      <c r="G20" s="1352"/>
      <c r="H20" s="2364"/>
      <c r="I20" s="2436"/>
    </row>
    <row r="21" spans="2:9" s="1341" customFormat="1" ht="22.5" customHeight="1">
      <c r="B21" s="1466">
        <v>5</v>
      </c>
      <c r="C21" s="1355" t="s">
        <v>950</v>
      </c>
      <c r="D21" s="1351"/>
      <c r="E21" s="1352"/>
      <c r="F21" s="1351"/>
      <c r="G21" s="1352"/>
      <c r="H21" s="2364"/>
      <c r="I21" s="2436"/>
    </row>
    <row r="22" spans="2:9" s="1341" customFormat="1" ht="22.5" customHeight="1">
      <c r="B22" s="1467">
        <v>6</v>
      </c>
      <c r="C22" s="1468" t="s">
        <v>951</v>
      </c>
      <c r="D22" s="1469"/>
      <c r="E22" s="1470"/>
      <c r="F22" s="1469"/>
      <c r="G22" s="1470"/>
      <c r="H22" s="2364"/>
      <c r="I22" s="2436"/>
    </row>
    <row r="23" spans="2:9" s="1341" customFormat="1" ht="22.5" customHeight="1">
      <c r="B23" s="1466">
        <v>7</v>
      </c>
      <c r="C23" s="1355" t="s">
        <v>952</v>
      </c>
      <c r="D23" s="1351"/>
      <c r="E23" s="1352"/>
      <c r="F23" s="1351"/>
      <c r="G23" s="1352"/>
      <c r="H23" s="2364"/>
      <c r="I23" s="2436"/>
    </row>
    <row r="24" spans="2:9" s="1341" customFormat="1" ht="22.5" customHeight="1">
      <c r="B24" s="1466">
        <v>8</v>
      </c>
      <c r="C24" s="1355" t="s">
        <v>953</v>
      </c>
      <c r="D24" s="1351"/>
      <c r="E24" s="1352"/>
      <c r="F24" s="1351"/>
      <c r="G24" s="1352"/>
      <c r="H24" s="2364"/>
      <c r="I24" s="2436"/>
    </row>
    <row r="25" spans="2:9" s="1341" customFormat="1" ht="22.5" customHeight="1">
      <c r="B25" s="1467">
        <v>9</v>
      </c>
      <c r="C25" s="1468" t="s">
        <v>954</v>
      </c>
      <c r="D25" s="1469"/>
      <c r="E25" s="1470"/>
      <c r="F25" s="1469"/>
      <c r="G25" s="1470"/>
      <c r="H25" s="2364"/>
      <c r="I25" s="2436"/>
    </row>
    <row r="26" spans="2:9" s="1341" customFormat="1" ht="22.5" customHeight="1">
      <c r="B26" s="1466">
        <v>10</v>
      </c>
      <c r="C26" s="1355" t="s">
        <v>955</v>
      </c>
      <c r="D26" s="1351"/>
      <c r="E26" s="1352"/>
      <c r="F26" s="1351"/>
      <c r="G26" s="1352"/>
      <c r="H26" s="2364"/>
      <c r="I26" s="2436"/>
    </row>
    <row r="27" spans="2:9" s="1341" customFormat="1" ht="22.5" customHeight="1">
      <c r="B27" s="1466">
        <v>11</v>
      </c>
      <c r="C27" s="1355" t="s">
        <v>956</v>
      </c>
      <c r="D27" s="1351"/>
      <c r="E27" s="1352"/>
      <c r="F27" s="1351"/>
      <c r="G27" s="1352"/>
      <c r="H27" s="2364"/>
      <c r="I27" s="2436"/>
    </row>
    <row r="28" spans="2:9" s="1341" customFormat="1" ht="22.5" customHeight="1">
      <c r="B28" s="1471">
        <v>12</v>
      </c>
      <c r="C28" s="1472" t="s">
        <v>957</v>
      </c>
      <c r="D28" s="1473"/>
      <c r="E28" s="1474"/>
      <c r="F28" s="1473"/>
      <c r="G28" s="1474"/>
      <c r="H28" s="2437"/>
      <c r="I28" s="2438"/>
    </row>
    <row r="29" spans="2:9" s="1341" customFormat="1" ht="15.6">
      <c r="D29" s="1362"/>
      <c r="E29" s="1362"/>
      <c r="F29" s="1362"/>
      <c r="G29" s="1363"/>
    </row>
    <row r="30" spans="2:9" s="1341" customFormat="1" ht="18.75" customHeight="1">
      <c r="C30" s="1391" t="s">
        <v>959</v>
      </c>
      <c r="D30" s="1442">
        <f>SUM(D17:D29)</f>
        <v>0</v>
      </c>
      <c r="E30" s="1442">
        <f>SUM(E17:E29)</f>
        <v>0</v>
      </c>
      <c r="F30" s="1442">
        <f>SUM(F17:F29)</f>
        <v>0</v>
      </c>
      <c r="G30" s="1443">
        <f>SUM(G17:G29)</f>
        <v>0</v>
      </c>
    </row>
    <row r="31" spans="2:9" s="1341" customFormat="1" ht="9" customHeight="1">
      <c r="G31" s="1368"/>
    </row>
    <row r="32" spans="2:9" s="1341" customFormat="1" ht="18.75" customHeight="1">
      <c r="C32" s="1369" t="s">
        <v>992</v>
      </c>
      <c r="D32" s="1444"/>
      <c r="E32" s="1444"/>
      <c r="F32" s="1444"/>
      <c r="G32" s="1371"/>
    </row>
    <row r="33" spans="2:9" s="1341" customFormat="1" ht="5.25" customHeight="1">
      <c r="D33" s="1417"/>
      <c r="E33" s="1417"/>
      <c r="F33" s="1417"/>
      <c r="G33" s="1417"/>
    </row>
    <row r="34" spans="2:9" s="1341" customFormat="1" ht="18.75" customHeight="1">
      <c r="C34" s="1373" t="s">
        <v>935</v>
      </c>
      <c r="D34" s="1374">
        <f>+D30-D32</f>
        <v>0</v>
      </c>
      <c r="E34" s="1374">
        <f>+E30-E32</f>
        <v>0</v>
      </c>
      <c r="F34" s="1374">
        <f>+F30-F32</f>
        <v>0</v>
      </c>
      <c r="G34" s="1374">
        <f>+G30-G32</f>
        <v>0</v>
      </c>
    </row>
    <row r="35" spans="2:9" s="1341" customFormat="1" ht="15" customHeight="1"/>
    <row r="36" spans="2:9" s="1341" customFormat="1" ht="6" customHeight="1" thickBot="1"/>
    <row r="37" spans="2:9" s="1341" customFormat="1" ht="21" customHeight="1" thickTop="1">
      <c r="B37" s="1379"/>
      <c r="C37" s="1380" t="s">
        <v>931</v>
      </c>
      <c r="D37" s="2428" t="s">
        <v>932</v>
      </c>
      <c r="E37" s="2428" t="s">
        <v>933</v>
      </c>
      <c r="F37" s="2336" t="s">
        <v>989</v>
      </c>
      <c r="G37" s="2336"/>
      <c r="H37" s="2430" t="s">
        <v>943</v>
      </c>
      <c r="I37" s="2431"/>
    </row>
    <row r="38" spans="2:9" s="1341" customFormat="1" ht="18">
      <c r="B38" s="1475" t="s">
        <v>1715</v>
      </c>
      <c r="C38" s="1476" t="s">
        <v>1716</v>
      </c>
      <c r="D38" s="2429"/>
      <c r="E38" s="2429"/>
      <c r="F38" s="1477" t="s">
        <v>990</v>
      </c>
      <c r="G38" s="1477" t="s">
        <v>991</v>
      </c>
      <c r="H38" s="2432"/>
      <c r="I38" s="2433"/>
    </row>
    <row r="39" spans="2:9" s="1341" customFormat="1" ht="22.5" customHeight="1">
      <c r="B39" s="1462">
        <v>1</v>
      </c>
      <c r="C39" s="1463" t="s">
        <v>946</v>
      </c>
      <c r="D39" s="1464"/>
      <c r="E39" s="1465"/>
      <c r="F39" s="1464"/>
      <c r="G39" s="1465"/>
      <c r="H39" s="2434"/>
      <c r="I39" s="2435"/>
    </row>
    <row r="40" spans="2:9" s="1341" customFormat="1" ht="22.5" customHeight="1">
      <c r="B40" s="1466">
        <v>2</v>
      </c>
      <c r="C40" s="1355" t="s">
        <v>947</v>
      </c>
      <c r="D40" s="1351"/>
      <c r="E40" s="1352"/>
      <c r="F40" s="1351"/>
      <c r="G40" s="1352"/>
      <c r="H40" s="2364"/>
      <c r="I40" s="2436"/>
    </row>
    <row r="41" spans="2:9" s="1341" customFormat="1" ht="22.5" customHeight="1">
      <c r="B41" s="1467">
        <v>3</v>
      </c>
      <c r="C41" s="1468" t="s">
        <v>948</v>
      </c>
      <c r="D41" s="1469"/>
      <c r="E41" s="1470"/>
      <c r="F41" s="1469"/>
      <c r="G41" s="1470"/>
      <c r="H41" s="2364"/>
      <c r="I41" s="2436"/>
    </row>
    <row r="42" spans="2:9" s="1341" customFormat="1" ht="22.5" customHeight="1">
      <c r="B42" s="1466">
        <v>4</v>
      </c>
      <c r="C42" s="1355" t="s">
        <v>949</v>
      </c>
      <c r="D42" s="1351"/>
      <c r="E42" s="1352"/>
      <c r="F42" s="1351"/>
      <c r="G42" s="1352"/>
      <c r="H42" s="2364"/>
      <c r="I42" s="2436"/>
    </row>
    <row r="43" spans="2:9" s="1341" customFormat="1" ht="22.5" customHeight="1">
      <c r="B43" s="1466">
        <v>5</v>
      </c>
      <c r="C43" s="1355" t="s">
        <v>950</v>
      </c>
      <c r="D43" s="1351"/>
      <c r="E43" s="1352"/>
      <c r="F43" s="1351"/>
      <c r="G43" s="1352"/>
      <c r="H43" s="2364"/>
      <c r="I43" s="2436"/>
    </row>
    <row r="44" spans="2:9" s="1341" customFormat="1" ht="22.5" customHeight="1">
      <c r="B44" s="1467">
        <v>6</v>
      </c>
      <c r="C44" s="1468" t="s">
        <v>951</v>
      </c>
      <c r="D44" s="1469"/>
      <c r="E44" s="1470"/>
      <c r="F44" s="1469"/>
      <c r="G44" s="1470"/>
      <c r="H44" s="2364"/>
      <c r="I44" s="2436"/>
    </row>
    <row r="45" spans="2:9" s="1341" customFormat="1" ht="22.5" customHeight="1">
      <c r="B45" s="1466">
        <v>7</v>
      </c>
      <c r="C45" s="1355" t="s">
        <v>952</v>
      </c>
      <c r="D45" s="1351"/>
      <c r="E45" s="1352"/>
      <c r="F45" s="1351"/>
      <c r="G45" s="1352"/>
      <c r="H45" s="2364"/>
      <c r="I45" s="2436"/>
    </row>
    <row r="46" spans="2:9" s="1341" customFormat="1" ht="22.5" customHeight="1">
      <c r="B46" s="1466">
        <v>8</v>
      </c>
      <c r="C46" s="1355" t="s">
        <v>953</v>
      </c>
      <c r="D46" s="1351"/>
      <c r="E46" s="1352"/>
      <c r="F46" s="1351"/>
      <c r="G46" s="1352"/>
      <c r="H46" s="2364"/>
      <c r="I46" s="2436"/>
    </row>
    <row r="47" spans="2:9" s="1341" customFormat="1" ht="22.5" customHeight="1">
      <c r="B47" s="1467">
        <v>9</v>
      </c>
      <c r="C47" s="1468" t="s">
        <v>954</v>
      </c>
      <c r="D47" s="1469"/>
      <c r="E47" s="1470"/>
      <c r="F47" s="1469"/>
      <c r="G47" s="1470"/>
      <c r="H47" s="2364"/>
      <c r="I47" s="2436"/>
    </row>
    <row r="48" spans="2:9" s="1341" customFormat="1" ht="22.5" customHeight="1">
      <c r="B48" s="1466">
        <v>10</v>
      </c>
      <c r="C48" s="1355" t="s">
        <v>955</v>
      </c>
      <c r="D48" s="1351"/>
      <c r="E48" s="1352"/>
      <c r="F48" s="1351"/>
      <c r="G48" s="1352"/>
      <c r="H48" s="2364"/>
      <c r="I48" s="2436"/>
    </row>
    <row r="49" spans="2:10" s="1341" customFormat="1" ht="22.5" customHeight="1">
      <c r="B49" s="1466">
        <v>11</v>
      </c>
      <c r="C49" s="1355" t="s">
        <v>956</v>
      </c>
      <c r="D49" s="1351"/>
      <c r="E49" s="1352"/>
      <c r="F49" s="1351"/>
      <c r="G49" s="1352"/>
      <c r="H49" s="2364"/>
      <c r="I49" s="2436"/>
    </row>
    <row r="50" spans="2:10" s="1341" customFormat="1" ht="22.5" customHeight="1">
      <c r="B50" s="1471">
        <v>12</v>
      </c>
      <c r="C50" s="1472" t="s">
        <v>957</v>
      </c>
      <c r="D50" s="1473"/>
      <c r="E50" s="1474"/>
      <c r="F50" s="1473"/>
      <c r="G50" s="1474"/>
      <c r="H50" s="2437"/>
      <c r="I50" s="2438"/>
    </row>
    <row r="51" spans="2:10" s="1341" customFormat="1" ht="15.6">
      <c r="D51" s="1362"/>
      <c r="E51" s="1362"/>
      <c r="F51" s="1362"/>
      <c r="G51" s="1363"/>
    </row>
    <row r="52" spans="2:10" s="1341" customFormat="1" ht="18.75" customHeight="1">
      <c r="C52" s="1391" t="s">
        <v>959</v>
      </c>
      <c r="D52" s="1442">
        <f>SUM(D39:D51)</f>
        <v>0</v>
      </c>
      <c r="E52" s="1442">
        <f>SUM(E39:E51)</f>
        <v>0</v>
      </c>
      <c r="F52" s="1442">
        <f>SUM(F39:F51)</f>
        <v>0</v>
      </c>
      <c r="G52" s="1443">
        <f>SUM(G39:G51)</f>
        <v>0</v>
      </c>
    </row>
    <row r="53" spans="2:10" s="1341" customFormat="1" ht="9" customHeight="1">
      <c r="G53" s="1368"/>
    </row>
    <row r="54" spans="2:10" s="1341" customFormat="1" ht="18.75" customHeight="1">
      <c r="C54" s="1369" t="s">
        <v>992</v>
      </c>
      <c r="D54" s="1444"/>
      <c r="E54" s="1444"/>
      <c r="F54" s="1444"/>
      <c r="G54" s="1371"/>
    </row>
    <row r="55" spans="2:10" s="1341" customFormat="1" ht="5.25" customHeight="1">
      <c r="D55" s="1417"/>
      <c r="E55" s="1417"/>
      <c r="F55" s="1417"/>
      <c r="G55" s="1417"/>
    </row>
    <row r="56" spans="2:10" s="1341" customFormat="1" ht="18.75" customHeight="1">
      <c r="C56" s="1373" t="s">
        <v>935</v>
      </c>
      <c r="D56" s="1374">
        <f>+D52-D54</f>
        <v>0</v>
      </c>
      <c r="E56" s="1374">
        <f>+E52-E54</f>
        <v>0</v>
      </c>
      <c r="F56" s="1374">
        <f>+F52-F54</f>
        <v>0</v>
      </c>
      <c r="G56" s="1374">
        <f>+G52-G54</f>
        <v>0</v>
      </c>
    </row>
    <row r="57" spans="2:10" ht="18.75" customHeight="1"/>
    <row r="58" spans="2:10" ht="18.75" customHeight="1">
      <c r="C58" s="1382" t="s">
        <v>1722</v>
      </c>
      <c r="D58" s="1374">
        <f>D54+IF(MONTH($D$7)=1,SUMIF($B$17:$B$28,"&gt;1",D17:D28),IF(MONTH($D$7)=2,SUMIF($B$17:$B$28,"&gt;2",D17:D28),IF(MONTH($D$7)=3,SUMIF($B$17:$B$28,"&gt;3",D17:D28),IF(MONTH($D$7)=4,SUMIF($B$17:$B$28,"&gt;4",D17:D28),IF(MONTH($D$7)=5,SUMIF($B$17:$B$28,"&gt;5",D17:D28),IF(MONTH($D$7)=6,SUMIF($B$17:$B$28,"&gt;6",D17:D28),IF(MONTH($D$7)=7,SUMIF($B$17:$B$28,"&gt;7",D17:D28),IF(MONTH($D$7)=8,SUMIF($B$17:$B$28,"&gt;8",D17:D28),IF(MONTH($D$7)=9,SUMIF($B$17:$B$28,"&gt;9",D17:D28),IF(MONTH($D$7)=10,SUMIF($B$17:$B$28,"&gt;10",D17:D28),IF(MONTH($D$7)=11,SUMIF($B$17:$B$28,"&gt;11",D17:D28),0)))))))))))</f>
        <v>0</v>
      </c>
      <c r="E58" s="1374">
        <f>E54+IF(MONTH($D$7)=1,SUMIF($B$17:$B$28,"&gt;1",E17:E28),IF(MONTH($D$7)=2,SUMIF($B$17:$B$28,"&gt;2",E17:E28),IF(MONTH($D$7)=3,SUMIF($B$17:$B$28,"&gt;3",E17:E28),IF(MONTH($D$7)=4,SUMIF($B$17:$B$28,"&gt;4",E17:E28),IF(MONTH($D$7)=5,SUMIF($B$17:$B$28,"&gt;5",E17:E28),IF(MONTH($D$7)=6,SUMIF($B$17:$B$28,"&gt;6",E17:E28),IF(MONTH($D$7)=7,SUMIF($B$17:$B$28,"&gt;7",E17:E28),IF(MONTH($D$7)=8,SUMIF($B$17:$B$28,"&gt;8",E17:E28),IF(MONTH($D$7)=9,SUMIF($B$17:$B$28,"&gt;9",E17:E28),IF(MONTH($D$7)=10,SUMIF($B$17:$B$28,"&gt;10",E17:E28),IF(MONTH($D$7)=11,SUMIF($B$17:$B$28,"&gt;11",E17:E28),0)))))))))))</f>
        <v>0</v>
      </c>
      <c r="F58" s="1374">
        <f t="shared" ref="F58:G58" si="0">F54+IF(MONTH($D$7)=1,SUMIF($B$17:$B$28,"&gt;1",F17:F28),IF(MONTH($D$7)=2,SUMIF($B$17:$B$28,"&gt;2",F17:F28),IF(MONTH($D$7)=3,SUMIF($B$17:$B$28,"&gt;3",F17:F28),IF(MONTH($D$7)=4,SUMIF($B$17:$B$28,"&gt;4",F17:F28),IF(MONTH($D$7)=5,SUMIF($B$17:$B$28,"&gt;5",F17:F28),IF(MONTH($D$7)=6,SUMIF($B$17:$B$28,"&gt;6",F17:F28),IF(MONTH($D$7)=7,SUMIF($B$17:$B$28,"&gt;7",F17:F28),IF(MONTH($D$7)=8,SUMIF($B$17:$B$28,"&gt;8",F17:F28),IF(MONTH($D$7)=9,SUMIF($B$17:$B$28,"&gt;9",F17:F28),IF(MONTH($D$7)=10,SUMIF($B$17:$B$28,"&gt;10",F17:F28),IF(MONTH($D$7)=11,SUMIF($B$17:$B$28,"&gt;11",F17:F28),0)))))))))))</f>
        <v>0</v>
      </c>
      <c r="G58" s="1374">
        <f t="shared" si="0"/>
        <v>0</v>
      </c>
    </row>
    <row r="59" spans="2:10" ht="18.75" customHeight="1"/>
    <row r="60" spans="2:10" ht="18.75" customHeight="1"/>
    <row r="61" spans="2:10" s="1341" customFormat="1" ht="18.75" customHeight="1">
      <c r="C61" s="2318" t="s">
        <v>982</v>
      </c>
      <c r="D61" s="2319"/>
    </row>
    <row r="62" spans="2:10" s="1341" customFormat="1" ht="6" customHeight="1"/>
    <row r="63" spans="2:10" s="1384" customFormat="1" ht="21.75" customHeight="1">
      <c r="C63" s="1385" t="s">
        <v>936</v>
      </c>
      <c r="D63" s="1385" t="s">
        <v>995</v>
      </c>
      <c r="E63" s="1385" t="s">
        <v>994</v>
      </c>
      <c r="F63" s="1385" t="s">
        <v>996</v>
      </c>
      <c r="G63" s="1385" t="s">
        <v>997</v>
      </c>
      <c r="H63" s="2350" t="s">
        <v>943</v>
      </c>
      <c r="I63" s="2351"/>
      <c r="J63" s="1341"/>
    </row>
    <row r="64" spans="2:10" s="1341" customFormat="1" ht="19.5" customHeight="1">
      <c r="C64" s="1478"/>
      <c r="D64" s="1479"/>
      <c r="E64" s="1480">
        <f>IF(MENU!$P$11="NO",+D32,+D54)</f>
        <v>0</v>
      </c>
      <c r="F64" s="1480"/>
      <c r="G64" s="1480">
        <f>+E88</f>
        <v>0</v>
      </c>
      <c r="H64" s="2422"/>
      <c r="I64" s="2423"/>
    </row>
    <row r="65" spans="3:9" s="1341" customFormat="1" ht="19.5" customHeight="1">
      <c r="C65" s="1481"/>
      <c r="D65" s="1482"/>
      <c r="E65" s="1483"/>
      <c r="F65" s="1483"/>
      <c r="G65" s="1483"/>
      <c r="H65" s="2424"/>
      <c r="I65" s="2425"/>
    </row>
    <row r="66" spans="3:9" s="1341" customFormat="1" ht="19.5" customHeight="1">
      <c r="C66" s="1481"/>
      <c r="D66" s="1482"/>
      <c r="E66" s="1483"/>
      <c r="F66" s="1483"/>
      <c r="G66" s="1483"/>
      <c r="H66" s="2424"/>
      <c r="I66" s="2425"/>
    </row>
    <row r="67" spans="3:9" s="1341" customFormat="1" ht="19.5" customHeight="1">
      <c r="C67" s="1481"/>
      <c r="D67" s="1482"/>
      <c r="E67" s="1483"/>
      <c r="F67" s="1483"/>
      <c r="G67" s="1483"/>
      <c r="H67" s="2424"/>
      <c r="I67" s="2425"/>
    </row>
    <row r="68" spans="3:9" s="1341" customFormat="1" ht="19.5" customHeight="1">
      <c r="C68" s="1481"/>
      <c r="D68" s="1482"/>
      <c r="E68" s="1483"/>
      <c r="F68" s="1483"/>
      <c r="G68" s="1483"/>
      <c r="H68" s="2424"/>
      <c r="I68" s="2425"/>
    </row>
    <row r="69" spans="3:9" s="1341" customFormat="1" ht="19.5" customHeight="1">
      <c r="C69" s="1481"/>
      <c r="D69" s="1482"/>
      <c r="E69" s="1483"/>
      <c r="F69" s="1483"/>
      <c r="G69" s="1483"/>
      <c r="H69" s="2424"/>
      <c r="I69" s="2425"/>
    </row>
    <row r="70" spans="3:9" s="1341" customFormat="1" ht="19.5" customHeight="1">
      <c r="C70" s="1484"/>
      <c r="D70" s="1485"/>
      <c r="E70" s="1486"/>
      <c r="F70" s="1486"/>
      <c r="G70" s="1486"/>
      <c r="H70" s="2424"/>
      <c r="I70" s="2425"/>
    </row>
    <row r="71" spans="3:9" s="1341" customFormat="1" ht="19.5" customHeight="1">
      <c r="C71" s="1453"/>
      <c r="D71" s="1454"/>
      <c r="E71" s="1454"/>
      <c r="F71" s="1454"/>
      <c r="G71" s="1454"/>
      <c r="H71" s="2426"/>
      <c r="I71" s="2427"/>
    </row>
    <row r="72" spans="3:9" s="1341" customFormat="1" ht="15" customHeight="1"/>
    <row r="73" spans="3:9" s="1341" customFormat="1" ht="15" customHeight="1" outlineLevel="1">
      <c r="C73" s="1455" t="s">
        <v>993</v>
      </c>
    </row>
    <row r="74" spans="3:9" s="1341" customFormat="1" ht="6.75" customHeight="1" outlineLevel="1"/>
    <row r="75" spans="3:9" s="1341" customFormat="1" ht="14.4" outlineLevel="1">
      <c r="C75" s="1487" t="s">
        <v>984</v>
      </c>
      <c r="D75" s="1487" t="s">
        <v>985</v>
      </c>
      <c r="E75" s="1487" t="s">
        <v>986</v>
      </c>
    </row>
    <row r="76" spans="3:9" s="1341" customFormat="1" ht="15" customHeight="1" outlineLevel="1">
      <c r="C76" s="1456"/>
      <c r="D76" s="1409"/>
      <c r="E76" s="1409"/>
    </row>
    <row r="77" spans="3:9" s="1341" customFormat="1" ht="15" customHeight="1" outlineLevel="1">
      <c r="C77" s="1457"/>
      <c r="D77" s="1412"/>
      <c r="E77" s="1412"/>
    </row>
    <row r="78" spans="3:9" s="1341" customFormat="1" ht="15" customHeight="1" outlineLevel="1">
      <c r="C78" s="1457"/>
      <c r="D78" s="1412"/>
      <c r="E78" s="1412"/>
    </row>
    <row r="79" spans="3:9" s="1341" customFormat="1" ht="15" customHeight="1" outlineLevel="1">
      <c r="C79" s="1457"/>
      <c r="D79" s="1412"/>
      <c r="E79" s="1412"/>
    </row>
    <row r="80" spans="3:9" s="1341" customFormat="1" ht="15" customHeight="1" outlineLevel="1">
      <c r="C80" s="1457"/>
      <c r="D80" s="1412"/>
      <c r="E80" s="1412"/>
    </row>
    <row r="81" spans="3:5" s="1341" customFormat="1" ht="15" customHeight="1" outlineLevel="1">
      <c r="C81" s="1457"/>
      <c r="D81" s="1412"/>
      <c r="E81" s="1412"/>
    </row>
    <row r="82" spans="3:5" s="1341" customFormat="1" ht="15" customHeight="1" outlineLevel="1">
      <c r="C82" s="1457"/>
      <c r="D82" s="1412"/>
      <c r="E82" s="1412"/>
    </row>
    <row r="83" spans="3:5" s="1341" customFormat="1" ht="15" customHeight="1" outlineLevel="1">
      <c r="C83" s="1457"/>
      <c r="D83" s="1412"/>
      <c r="E83" s="1412"/>
    </row>
    <row r="84" spans="3:5" s="1341" customFormat="1" ht="15" customHeight="1" outlineLevel="1">
      <c r="C84" s="1457"/>
      <c r="D84" s="1412"/>
      <c r="E84" s="1412"/>
    </row>
    <row r="85" spans="3:5" s="1341" customFormat="1" ht="15" customHeight="1" outlineLevel="1">
      <c r="C85" s="1457"/>
      <c r="D85" s="1412"/>
      <c r="E85" s="1412"/>
    </row>
    <row r="86" spans="3:5" s="1341" customFormat="1" ht="15" customHeight="1" outlineLevel="1">
      <c r="C86" s="1457"/>
      <c r="D86" s="1412"/>
      <c r="E86" s="1412"/>
    </row>
    <row r="87" spans="3:5" s="1341" customFormat="1" ht="15" customHeight="1" outlineLevel="1">
      <c r="C87" s="1458"/>
      <c r="D87" s="1415"/>
      <c r="E87" s="1415"/>
    </row>
    <row r="88" spans="3:5" s="1341" customFormat="1" ht="15" customHeight="1" outlineLevel="1">
      <c r="E88" s="1442">
        <f>SUM(E76:E87)</f>
        <v>0</v>
      </c>
    </row>
    <row r="89" spans="3:5" s="1341" customFormat="1" ht="15" customHeight="1"/>
  </sheetData>
  <mergeCells count="16">
    <mergeCell ref="H15:I16"/>
    <mergeCell ref="H17:I28"/>
    <mergeCell ref="D5:F5"/>
    <mergeCell ref="D7:F7"/>
    <mergeCell ref="C13:E13"/>
    <mergeCell ref="D15:D16"/>
    <mergeCell ref="E15:E16"/>
    <mergeCell ref="F15:G15"/>
    <mergeCell ref="C61:D61"/>
    <mergeCell ref="H63:I63"/>
    <mergeCell ref="H64:I71"/>
    <mergeCell ref="D37:D38"/>
    <mergeCell ref="E37:E38"/>
    <mergeCell ref="F37:G37"/>
    <mergeCell ref="H37:I38"/>
    <mergeCell ref="H39:I50"/>
  </mergeCells>
  <conditionalFormatting sqref="D34:G34">
    <cfRule type="expression" dxfId="468" priority="3">
      <formula>D34&lt;&gt;0</formula>
    </cfRule>
  </conditionalFormatting>
  <conditionalFormatting sqref="D56:G56">
    <cfRule type="expression" dxfId="467" priority="2">
      <formula>D56&lt;&gt;0</formula>
    </cfRule>
  </conditionalFormatting>
  <conditionalFormatting sqref="D58:G58">
    <cfRule type="expression" dxfId="466" priority="1">
      <formula>D58&lt;&gt;0</formula>
    </cfRule>
  </conditionalFormatting>
  <printOptions horizontalCentered="1"/>
  <pageMargins left="0.23622047244094491" right="0.23622047244094491" top="0.55118110236220474" bottom="0.35433070866141736" header="0.31496062992125984" footer="0.31496062992125984"/>
  <pageSetup paperSize="9"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locked="0" defaultSize="0" print="0" autoFill="0" autoPict="0" macro="[0]!borrarajuirctrimestral">
                <anchor moveWithCells="1" sizeWithCells="1">
                  <from>
                    <xdr:col>4</xdr:col>
                    <xdr:colOff>236220</xdr:colOff>
                    <xdr:row>8</xdr:row>
                    <xdr:rowOff>114300</xdr:rowOff>
                  </from>
                  <to>
                    <xdr:col>4</xdr:col>
                    <xdr:colOff>1676400</xdr:colOff>
                    <xdr:row>10</xdr:row>
                    <xdr:rowOff>38100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1">
    <pageSetUpPr autoPageBreaks="0" fitToPage="1"/>
  </sheetPr>
  <dimension ref="A1:AXR158"/>
  <sheetViews>
    <sheetView showGridLines="0" showRowColHeaders="0" showZeros="0" zoomScale="90" zoomScaleNormal="90" zoomScaleSheetLayoutView="40" zoomScalePageLayoutView="55" workbookViewId="0">
      <pane xSplit="4" ySplit="17" topLeftCell="K28" activePane="bottomRight" state="frozen"/>
      <selection activeCell="G9" sqref="G9"/>
      <selection pane="topRight" activeCell="G9" sqref="G9"/>
      <selection pane="bottomLeft" activeCell="G9" sqref="G9"/>
      <selection pane="bottomRight" activeCell="A37" sqref="A37"/>
    </sheetView>
  </sheetViews>
  <sheetFormatPr baseColWidth="10" defaultColWidth="0" defaultRowHeight="0" customHeight="1" zeroHeight="1" outlineLevelRow="1" outlineLevelCol="1"/>
  <cols>
    <col min="1" max="2" width="2" customWidth="1"/>
    <col min="3" max="3" width="58.5546875" customWidth="1"/>
    <col min="4" max="4" width="26" bestFit="1" customWidth="1"/>
    <col min="5" max="28" width="16" customWidth="1"/>
    <col min="29" max="29" width="21" customWidth="1"/>
    <col min="30" max="30" width="20" customWidth="1"/>
    <col min="31" max="31" width="50" customWidth="1" outlineLevel="1"/>
    <col min="32" max="32" width="39" customWidth="1" outlineLevel="1"/>
    <col min="33" max="33" width="13" customWidth="1"/>
    <col min="34" max="44" width="13" hidden="1" customWidth="1"/>
    <col min="45" max="1318" width="0" hidden="1" customWidth="1"/>
    <col min="1319" max="16384" width="13" hidden="1"/>
  </cols>
  <sheetData>
    <row r="1" spans="3:44" ht="15" customHeight="1"/>
    <row r="2" spans="3:44" ht="9" customHeight="1"/>
    <row r="3" spans="3:44" ht="5.25" customHeight="1">
      <c r="C3" s="1"/>
      <c r="D3" s="1"/>
    </row>
    <row r="4" spans="3:44" ht="5.25" customHeight="1"/>
    <row r="5" spans="3:44" ht="21">
      <c r="C5" s="2469" t="str">
        <f>+MENU!C5</f>
        <v>Sociedad:</v>
      </c>
      <c r="D5" s="2470"/>
      <c r="E5" s="2254" t="str">
        <f>+MENU!E5</f>
        <v>MARIO PILATO BLAT, S.A.</v>
      </c>
      <c r="F5" s="2255"/>
      <c r="G5" s="2255"/>
      <c r="K5" s="40"/>
    </row>
    <row r="6" spans="3:44" ht="12.75" customHeight="1"/>
    <row r="7" spans="3:44" ht="18">
      <c r="C7" s="2469" t="str">
        <f>+instrucciones!$C$7</f>
        <v>Fecha de cierre</v>
      </c>
      <c r="D7" s="2470"/>
      <c r="E7" s="2261">
        <f>+MENU!D7</f>
        <v>45657</v>
      </c>
      <c r="F7" s="2261"/>
      <c r="G7" s="2261"/>
      <c r="J7" s="34"/>
    </row>
    <row r="8" spans="3:44" ht="15" customHeight="1">
      <c r="C8" s="2"/>
      <c r="D8" s="2"/>
      <c r="F8" s="3"/>
      <c r="G8" s="3"/>
      <c r="H8" s="3"/>
      <c r="I8" s="3"/>
      <c r="J8" s="3"/>
      <c r="K8" s="3"/>
    </row>
    <row r="9" spans="3:44" ht="15" customHeight="1"/>
    <row r="10" spans="3:44" ht="5.25" customHeight="1"/>
    <row r="11" spans="3:44" ht="5.25" customHeight="1"/>
    <row r="12" spans="3:44" ht="6" customHeight="1"/>
    <row r="13" spans="3:44" s="1341" customFormat="1" ht="22.5" customHeight="1">
      <c r="C13" s="2476" t="s">
        <v>998</v>
      </c>
      <c r="D13" s="2477"/>
    </row>
    <row r="14" spans="3:44" s="1341" customFormat="1" ht="6" customHeight="1"/>
    <row r="15" spans="3:44" s="1341" customFormat="1" ht="21">
      <c r="C15" s="1342"/>
      <c r="D15" s="1342"/>
    </row>
    <row r="16" spans="3:44" s="1488" customFormat="1" ht="21" customHeight="1">
      <c r="E16" s="2471" t="s">
        <v>946</v>
      </c>
      <c r="F16" s="2471"/>
      <c r="G16" s="2471" t="s">
        <v>947</v>
      </c>
      <c r="H16" s="2471"/>
      <c r="I16" s="2471" t="s">
        <v>948</v>
      </c>
      <c r="J16" s="2471"/>
      <c r="K16" s="2471" t="s">
        <v>949</v>
      </c>
      <c r="L16" s="2471"/>
      <c r="M16" s="2471" t="s">
        <v>950</v>
      </c>
      <c r="N16" s="2471"/>
      <c r="O16" s="2471" t="s">
        <v>951</v>
      </c>
      <c r="P16" s="2471"/>
      <c r="Q16" s="2471" t="s">
        <v>952</v>
      </c>
      <c r="R16" s="2471"/>
      <c r="S16" s="2471" t="s">
        <v>953</v>
      </c>
      <c r="T16" s="2471"/>
      <c r="U16" s="2471" t="s">
        <v>954</v>
      </c>
      <c r="V16" s="2471"/>
      <c r="W16" s="2471" t="s">
        <v>955</v>
      </c>
      <c r="X16" s="2471"/>
      <c r="Y16" s="2471" t="s">
        <v>956</v>
      </c>
      <c r="Z16" s="2471"/>
      <c r="AA16" s="2471" t="s">
        <v>957</v>
      </c>
      <c r="AB16" s="2472"/>
      <c r="AC16" s="2474" t="s">
        <v>1035</v>
      </c>
      <c r="AD16" s="2475"/>
      <c r="AE16" s="2461" t="s">
        <v>1723</v>
      </c>
      <c r="AF16" s="2462"/>
      <c r="AG16" s="1489"/>
      <c r="AH16" s="1489"/>
      <c r="AI16" s="1489"/>
      <c r="AJ16" s="1489"/>
      <c r="AK16" s="1489"/>
      <c r="AL16" s="1489"/>
      <c r="AM16" s="1489"/>
      <c r="AN16" s="1489"/>
      <c r="AO16" s="1489"/>
      <c r="AP16" s="1489"/>
      <c r="AQ16" s="1489"/>
      <c r="AR16" s="1489"/>
    </row>
    <row r="17" spans="3:44" s="1488" customFormat="1" ht="21" customHeight="1">
      <c r="C17" s="1490" t="s">
        <v>1038</v>
      </c>
      <c r="D17" s="1491" t="s">
        <v>180</v>
      </c>
      <c r="E17" s="1492" t="s">
        <v>1011</v>
      </c>
      <c r="F17" s="1492" t="s">
        <v>933</v>
      </c>
      <c r="G17" s="1492" t="s">
        <v>1011</v>
      </c>
      <c r="H17" s="1492" t="s">
        <v>933</v>
      </c>
      <c r="I17" s="1492" t="s">
        <v>1011</v>
      </c>
      <c r="J17" s="1492" t="s">
        <v>933</v>
      </c>
      <c r="K17" s="1492" t="s">
        <v>1011</v>
      </c>
      <c r="L17" s="1492" t="s">
        <v>933</v>
      </c>
      <c r="M17" s="1492" t="s">
        <v>1011</v>
      </c>
      <c r="N17" s="1492" t="s">
        <v>933</v>
      </c>
      <c r="O17" s="1492" t="s">
        <v>1011</v>
      </c>
      <c r="P17" s="1492" t="s">
        <v>933</v>
      </c>
      <c r="Q17" s="1492" t="s">
        <v>1011</v>
      </c>
      <c r="R17" s="1492" t="s">
        <v>933</v>
      </c>
      <c r="S17" s="1492" t="s">
        <v>1011</v>
      </c>
      <c r="T17" s="1492" t="s">
        <v>933</v>
      </c>
      <c r="U17" s="1492" t="s">
        <v>1011</v>
      </c>
      <c r="V17" s="1492" t="s">
        <v>933</v>
      </c>
      <c r="W17" s="1492" t="s">
        <v>1011</v>
      </c>
      <c r="X17" s="1492" t="s">
        <v>933</v>
      </c>
      <c r="Y17" s="1492" t="s">
        <v>1011</v>
      </c>
      <c r="Z17" s="1492" t="s">
        <v>933</v>
      </c>
      <c r="AA17" s="1492" t="s">
        <v>1011</v>
      </c>
      <c r="AB17" s="1493" t="s">
        <v>933</v>
      </c>
      <c r="AC17" s="1494" t="s">
        <v>1011</v>
      </c>
      <c r="AD17" s="1495" t="s">
        <v>933</v>
      </c>
      <c r="AE17" s="1496" t="s">
        <v>1011</v>
      </c>
      <c r="AF17" s="1497" t="s">
        <v>933</v>
      </c>
      <c r="AG17" s="1489"/>
      <c r="AH17" s="1489"/>
      <c r="AI17" s="1489"/>
      <c r="AJ17" s="1489"/>
      <c r="AK17" s="1489"/>
      <c r="AL17" s="1489"/>
      <c r="AM17" s="1489"/>
      <c r="AN17" s="1489"/>
      <c r="AO17" s="1489"/>
      <c r="AP17" s="1489"/>
      <c r="AQ17" s="1489"/>
      <c r="AR17" s="1489"/>
    </row>
    <row r="18" spans="3:44" s="1498" customFormat="1" ht="21" customHeight="1" outlineLevel="1">
      <c r="C18" s="2458" t="s">
        <v>1013</v>
      </c>
      <c r="D18" s="2176" t="s">
        <v>2016</v>
      </c>
      <c r="E18" s="1500"/>
      <c r="F18" s="1501"/>
      <c r="G18" s="1502"/>
      <c r="H18" s="1503"/>
      <c r="I18" s="1500"/>
      <c r="J18" s="1501"/>
      <c r="K18" s="1502"/>
      <c r="L18" s="1503"/>
      <c r="M18" s="1500"/>
      <c r="N18" s="1501"/>
      <c r="O18" s="1502"/>
      <c r="P18" s="1503"/>
      <c r="Q18" s="1500"/>
      <c r="R18" s="1501"/>
      <c r="S18" s="1502">
        <v>13125.93</v>
      </c>
      <c r="T18" s="1503"/>
      <c r="U18" s="1500"/>
      <c r="V18" s="1501"/>
      <c r="W18" s="1502"/>
      <c r="X18" s="1503"/>
      <c r="Y18" s="1500"/>
      <c r="Z18" s="1501"/>
      <c r="AA18" s="1502"/>
      <c r="AB18" s="1503"/>
      <c r="AC18" s="1504">
        <f>+E18+G18+I18+K18+M18+O18+Q18+S18+U18+W18+Y18+AA18</f>
        <v>13125.93</v>
      </c>
      <c r="AD18" s="1505">
        <f t="shared" ref="AD18" si="0">+F18+H18+J18+L18+N18+P18+R18+T18+V18+X18+Z18+AB18</f>
        <v>0</v>
      </c>
      <c r="AE18" s="1506">
        <f>IF(MONTH($E$7)=1,G18+I18+K18+M18+O18+Q18+S18+U18+W18+Y18+AA18,IF(MONTH($E$7)=2,I18+K18+M18+O18+Q18+S18+U18+W18+Y18+AA18,IF(MONTH($E$7)=3,K18+M18+O18+Q18+S18+U18+W18+Y18+AA18,IF(MONTH($E$7)=4,M18+O18+Q18+S18+U18+W18+Y18+AA18,IF(MONTH($E$7)=5,O18+Q18+S18+U18+W18+Y18+AA18,IF(MONTH($E$7)=6,Q18+S18+U18+W18+Y18+AA18,IF(MONTH($E$7)=7,S18+U18+W18+Y18+AA18,IF(MONTH($E$7)=8,U18+W18+Y18+AA18,IF(MONTH($E$7)=9,W18+Y18+AA18,IF(MONTH($E$7)=10,Y18+AA18,IF(MONTH($E$7)=11,AA18,0)))))))))))</f>
        <v>0</v>
      </c>
      <c r="AF18" s="1507">
        <f t="shared" ref="AF18:AF24" si="1">IF(MONTH($E$7)=1,H18+J18+L18+N18+P18+R18+T18+V18+X18+Z18+AB18,IF(MONTH($E$7)=2,J18+L18+N18+P18+R18+T18+V18+X18+Z18+AB18,IF(MONTH($E$7)=3,L18+N18+P18+R18+T18+V18+X18+Z18+AB18,IF(MONTH($E$7)=4,N18+P18+R18+T18+V18+X18+Z18+AB18,IF(MONTH($E$7)=5,P18+R18+T18+V18+X18+Z18+AB18,IF(MONTH($E$7)=6,R18+T18+V18+X18+Z18+AB18,IF(MONTH($E$7)=7,T18+V18+X18+Z18+AB18,IF(MONTH($E$7)=8,V18+X18+Z18+AB18,IF(MONTH($E$7)=9,X18+Z18+AB18,IF(MONTH($E$7)=10,Z18+AB18,IF(MONTH($E$7)=11,AB18,0)))))))))))</f>
        <v>0</v>
      </c>
      <c r="AG18" s="1368"/>
      <c r="AH18" s="1368"/>
      <c r="AI18" s="1368"/>
      <c r="AJ18" s="1368"/>
      <c r="AK18" s="1368"/>
      <c r="AL18" s="1368"/>
      <c r="AM18" s="1368"/>
      <c r="AN18" s="1368"/>
      <c r="AO18" s="1368"/>
      <c r="AP18" s="1368"/>
      <c r="AQ18" s="1368"/>
      <c r="AR18" s="1368"/>
    </row>
    <row r="19" spans="3:44" s="1498" customFormat="1" ht="21" customHeight="1" outlineLevel="1">
      <c r="C19" s="2459"/>
      <c r="D19" s="2176" t="s">
        <v>2025</v>
      </c>
      <c r="E19" s="2172"/>
      <c r="F19" s="2173"/>
      <c r="G19" s="2174"/>
      <c r="H19" s="2175"/>
      <c r="I19" s="2172"/>
      <c r="J19" s="2173"/>
      <c r="K19" s="2174"/>
      <c r="L19" s="2175"/>
      <c r="M19" s="2172"/>
      <c r="N19" s="2173"/>
      <c r="O19" s="2174"/>
      <c r="P19" s="2175"/>
      <c r="Q19" s="2172"/>
      <c r="R19" s="2173"/>
      <c r="S19" s="2174"/>
      <c r="T19" s="2175"/>
      <c r="U19" s="2172"/>
      <c r="V19" s="2173"/>
      <c r="W19" s="2174"/>
      <c r="X19" s="2175"/>
      <c r="Y19" s="2172"/>
      <c r="Z19" s="2173"/>
      <c r="AA19" s="2174"/>
      <c r="AB19" s="2175"/>
      <c r="AC19" s="1504">
        <f t="shared" ref="AC19:AC24" si="2">+E19+G19+I19+K19+M19+O19+Q19+S19+U19+W19+Y19+AA19</f>
        <v>0</v>
      </c>
      <c r="AD19" s="1505">
        <f t="shared" ref="AD19:AD24" si="3">+F19+H19+J19+L19+N19+P19+R19+T19+V19+X19+Z19+AB19</f>
        <v>0</v>
      </c>
      <c r="AE19" s="1506">
        <f t="shared" ref="AE19:AE24" si="4">IF(MONTH($E$7)=1,G19+I19+K19+M19+O19+Q19+S19+U19+W19+Y19+AA19,IF(MONTH($E$7)=2,I19+K19+M19+O19+Q19+S19+U19+W19+Y19+AA19,IF(MONTH($E$7)=3,K19+M19+O19+Q19+S19+U19+W19+Y19+AA19,IF(MONTH($E$7)=4,M19+O19+Q19+S19+U19+W19+Y19+AA19,IF(MONTH($E$7)=5,O19+Q19+S19+U19+W19+Y19+AA19,IF(MONTH($E$7)=6,Q19+S19+U19+W19+Y19+AA19,IF(MONTH($E$7)=7,S19+U19+W19+Y19+AA19,IF(MONTH($E$7)=8,U19+W19+Y19+AA19,IF(MONTH($E$7)=9,W19+Y19+AA19,IF(MONTH($E$7)=10,Y19+AA19,IF(MONTH($E$7)=11,AA19,0)))))))))))</f>
        <v>0</v>
      </c>
      <c r="AF19" s="1507">
        <f>IF(MONTH($E$7)=1,H19+J19+L19+N19+P19+R19+T19+V19+X19+Z19+AB19,IF(MONTH($E$7)=2,J19+L19+N19+P19+R19+T19+V19+X19+Z19+AB19,IF(MONTH($E$7)=3,L19+N19+P19+R19+T19+V19+X19+Z19+AB19,IF(MONTH($E$7)=4,N19+P19+R19+T19+V19+X19+Z19+AB19,IF(MONTH($E$7)=5,P19+R19+T19+V19+X19+Z19+AB19,IF(MONTH($E$7)=6,R19+T19+V19+X19+Z19+AB19,IF(MONTH($E$7)=7,T19+V19+X19+Z19+AB19,IF(MONTH($E$7)=8,V19+X19+Z19+AB19,IF(MONTH($E$7)=9,X19+Z19+AB19,IF(MONTH($E$7)=10,Z19+AB19,IF(MONTH($E$7)=11,AB19,0)))))))))))</f>
        <v>0</v>
      </c>
      <c r="AG19" s="1368"/>
      <c r="AH19" s="1368"/>
      <c r="AI19" s="1368"/>
      <c r="AJ19" s="1368"/>
      <c r="AK19" s="1368"/>
      <c r="AL19" s="1368"/>
      <c r="AM19" s="1368"/>
      <c r="AN19" s="1368"/>
      <c r="AO19" s="1368"/>
      <c r="AP19" s="1368"/>
      <c r="AQ19" s="1368"/>
      <c r="AR19" s="1368"/>
    </row>
    <row r="20" spans="3:44" s="1498" customFormat="1" ht="21" customHeight="1" outlineLevel="1">
      <c r="C20" s="2459"/>
      <c r="D20" s="1499">
        <v>0.04</v>
      </c>
      <c r="E20" s="2172"/>
      <c r="F20" s="2173">
        <v>0</v>
      </c>
      <c r="G20" s="2174"/>
      <c r="H20" s="2175"/>
      <c r="I20" s="2172"/>
      <c r="J20" s="2173"/>
      <c r="K20" s="2174"/>
      <c r="L20" s="2175"/>
      <c r="M20" s="2172"/>
      <c r="N20" s="2173"/>
      <c r="O20" s="2174"/>
      <c r="P20" s="2175"/>
      <c r="Q20" s="2172"/>
      <c r="R20" s="2173"/>
      <c r="S20" s="2174"/>
      <c r="T20" s="2175"/>
      <c r="U20" s="2172"/>
      <c r="V20" s="2173"/>
      <c r="W20" s="2174"/>
      <c r="X20" s="2175"/>
      <c r="Y20" s="2172"/>
      <c r="Z20" s="2173"/>
      <c r="AA20" s="2174"/>
      <c r="AB20" s="2175"/>
      <c r="AC20" s="1504">
        <f t="shared" si="2"/>
        <v>0</v>
      </c>
      <c r="AD20" s="1505">
        <f t="shared" si="3"/>
        <v>0</v>
      </c>
      <c r="AE20" s="1506">
        <f t="shared" si="4"/>
        <v>0</v>
      </c>
      <c r="AF20" s="1507">
        <f t="shared" si="1"/>
        <v>0</v>
      </c>
      <c r="AG20" s="1368"/>
      <c r="AH20" s="1368"/>
      <c r="AI20" s="1368"/>
      <c r="AJ20" s="1368"/>
      <c r="AK20" s="1368"/>
      <c r="AL20" s="1368"/>
      <c r="AM20" s="1368"/>
      <c r="AN20" s="1368"/>
      <c r="AO20" s="1368"/>
      <c r="AP20" s="1368"/>
      <c r="AQ20" s="1368"/>
      <c r="AR20" s="1368"/>
    </row>
    <row r="21" spans="3:44" s="1498" customFormat="1" ht="21" customHeight="1" outlineLevel="1">
      <c r="C21" s="2459"/>
      <c r="D21" s="1499">
        <v>0.05</v>
      </c>
      <c r="E21" s="2172"/>
      <c r="F21" s="2173"/>
      <c r="G21" s="2174"/>
      <c r="H21" s="2175"/>
      <c r="I21" s="2172"/>
      <c r="J21" s="2173"/>
      <c r="K21" s="2174"/>
      <c r="L21" s="2175"/>
      <c r="M21" s="2172"/>
      <c r="N21" s="2173"/>
      <c r="O21" s="2174"/>
      <c r="P21" s="2175"/>
      <c r="Q21" s="2172"/>
      <c r="R21" s="2173"/>
      <c r="S21" s="2174"/>
      <c r="T21" s="2175"/>
      <c r="U21" s="2172"/>
      <c r="V21" s="2173"/>
      <c r="W21" s="2174"/>
      <c r="X21" s="2175"/>
      <c r="Y21" s="2172"/>
      <c r="Z21" s="2173"/>
      <c r="AA21" s="2174"/>
      <c r="AB21" s="2175"/>
      <c r="AC21" s="1504">
        <f t="shared" si="2"/>
        <v>0</v>
      </c>
      <c r="AD21" s="1505">
        <f t="shared" si="3"/>
        <v>0</v>
      </c>
      <c r="AE21" s="1506">
        <f t="shared" si="4"/>
        <v>0</v>
      </c>
      <c r="AF21" s="1507">
        <f t="shared" si="1"/>
        <v>0</v>
      </c>
      <c r="AG21" s="1368"/>
      <c r="AH21" s="1368"/>
      <c r="AI21" s="1368"/>
      <c r="AJ21" s="1368"/>
      <c r="AK21" s="1368"/>
      <c r="AL21" s="1368"/>
      <c r="AM21" s="1368"/>
      <c r="AN21" s="1368"/>
      <c r="AO21" s="1368"/>
      <c r="AP21" s="1368"/>
      <c r="AQ21" s="1368"/>
      <c r="AR21" s="1368"/>
    </row>
    <row r="22" spans="3:44" s="1498" customFormat="1" ht="21" customHeight="1" outlineLevel="1">
      <c r="C22" s="2459"/>
      <c r="D22" s="2189">
        <v>7.4999999999999997E-2</v>
      </c>
      <c r="E22" s="2172"/>
      <c r="F22" s="2173"/>
      <c r="G22" s="2174"/>
      <c r="H22" s="2175"/>
      <c r="I22" s="2172"/>
      <c r="J22" s="2173"/>
      <c r="K22" s="2174"/>
      <c r="L22" s="2175"/>
      <c r="M22" s="2172"/>
      <c r="N22" s="2173"/>
      <c r="O22" s="2174"/>
      <c r="P22" s="2175"/>
      <c r="Q22" s="2172"/>
      <c r="R22" s="2173"/>
      <c r="S22" s="2174"/>
      <c r="T22" s="2175"/>
      <c r="U22" s="2172"/>
      <c r="V22" s="2173"/>
      <c r="W22" s="2174"/>
      <c r="X22" s="2175"/>
      <c r="Y22" s="2172"/>
      <c r="Z22" s="2173"/>
      <c r="AA22" s="2174"/>
      <c r="AB22" s="2175"/>
      <c r="AC22" s="1504">
        <f t="shared" si="2"/>
        <v>0</v>
      </c>
      <c r="AD22" s="1505">
        <f t="shared" si="3"/>
        <v>0</v>
      </c>
      <c r="AE22" s="1506">
        <f t="shared" si="4"/>
        <v>0</v>
      </c>
      <c r="AF22" s="1507">
        <f t="shared" si="1"/>
        <v>0</v>
      </c>
      <c r="AG22" s="1368"/>
      <c r="AH22" s="1368"/>
      <c r="AI22" s="1368"/>
      <c r="AJ22" s="1368"/>
      <c r="AK22" s="1368"/>
      <c r="AL22" s="1368"/>
      <c r="AM22" s="1368"/>
      <c r="AN22" s="1368"/>
      <c r="AO22" s="1368"/>
      <c r="AP22" s="1368"/>
      <c r="AQ22" s="1368"/>
      <c r="AR22" s="1368"/>
    </row>
    <row r="23" spans="3:44" s="1498" customFormat="1" ht="21" customHeight="1" outlineLevel="1">
      <c r="C23" s="2459"/>
      <c r="D23" s="1499">
        <v>0.1</v>
      </c>
      <c r="E23" s="1508"/>
      <c r="F23" s="1509"/>
      <c r="G23" s="1510"/>
      <c r="H23" s="1511"/>
      <c r="I23" s="1508"/>
      <c r="J23" s="1509"/>
      <c r="K23" s="1510"/>
      <c r="L23" s="1511"/>
      <c r="M23" s="1508"/>
      <c r="N23" s="1509"/>
      <c r="O23" s="1510"/>
      <c r="P23" s="1511"/>
      <c r="Q23" s="1508"/>
      <c r="R23" s="1509"/>
      <c r="S23" s="1510"/>
      <c r="T23" s="1511"/>
      <c r="U23" s="1508"/>
      <c r="V23" s="1509"/>
      <c r="W23" s="1510"/>
      <c r="X23" s="1511"/>
      <c r="Y23" s="1508"/>
      <c r="Z23" s="1509"/>
      <c r="AA23" s="1510"/>
      <c r="AB23" s="1511"/>
      <c r="AC23" s="1504">
        <f t="shared" si="2"/>
        <v>0</v>
      </c>
      <c r="AD23" s="1505">
        <f t="shared" si="3"/>
        <v>0</v>
      </c>
      <c r="AE23" s="1506">
        <f t="shared" si="4"/>
        <v>0</v>
      </c>
      <c r="AF23" s="1507">
        <f t="shared" si="1"/>
        <v>0</v>
      </c>
      <c r="AG23" s="1368"/>
      <c r="AH23" s="1368"/>
      <c r="AI23" s="1368"/>
      <c r="AJ23" s="1368"/>
      <c r="AK23" s="1368"/>
      <c r="AL23" s="1368"/>
      <c r="AM23" s="1368"/>
      <c r="AN23" s="1368"/>
      <c r="AO23" s="1368"/>
      <c r="AP23" s="1368"/>
      <c r="AQ23" s="1368"/>
      <c r="AR23" s="1368"/>
    </row>
    <row r="24" spans="3:44" s="1368" customFormat="1" ht="21" customHeight="1" outlineLevel="1">
      <c r="C24" s="2460"/>
      <c r="D24" s="1515">
        <v>0.21</v>
      </c>
      <c r="E24" s="1516">
        <v>4594777.84</v>
      </c>
      <c r="F24" s="1517">
        <v>964903.4</v>
      </c>
      <c r="G24" s="1518">
        <v>6088939</v>
      </c>
      <c r="H24" s="1519">
        <v>1278677.25</v>
      </c>
      <c r="I24" s="1516">
        <v>5459281.0099999998</v>
      </c>
      <c r="J24" s="1517">
        <v>1146449.07</v>
      </c>
      <c r="K24" s="1518">
        <v>5832928.0300000003</v>
      </c>
      <c r="L24" s="1519">
        <v>1224914.8999999999</v>
      </c>
      <c r="M24" s="2217">
        <v>5279576.32</v>
      </c>
      <c r="N24" s="1517">
        <v>1108711.08</v>
      </c>
      <c r="O24" s="1518">
        <v>4735408.32</v>
      </c>
      <c r="P24" s="1519">
        <v>994435.79</v>
      </c>
      <c r="Q24" s="1516">
        <v>5071747.38</v>
      </c>
      <c r="R24" s="1517">
        <v>1065067.01</v>
      </c>
      <c r="S24" s="1518">
        <v>2475346.7999999998</v>
      </c>
      <c r="T24" s="1519">
        <v>519822.87</v>
      </c>
      <c r="U24" s="1516">
        <v>4058001.49</v>
      </c>
      <c r="V24" s="1517">
        <v>852180.34</v>
      </c>
      <c r="W24" s="1518">
        <v>4321968.5</v>
      </c>
      <c r="X24" s="1519">
        <v>907613.42</v>
      </c>
      <c r="Y24" s="1516">
        <v>4784145.13</v>
      </c>
      <c r="Z24" s="1517">
        <v>1004670.55</v>
      </c>
      <c r="AA24" s="1518">
        <v>3626848.14</v>
      </c>
      <c r="AB24" s="1519">
        <v>761638.15</v>
      </c>
      <c r="AC24" s="1520">
        <f t="shared" si="2"/>
        <v>56328967.960000001</v>
      </c>
      <c r="AD24" s="1521">
        <f t="shared" si="3"/>
        <v>11829083.83</v>
      </c>
      <c r="AE24" s="1522">
        <f t="shared" si="4"/>
        <v>0</v>
      </c>
      <c r="AF24" s="1523">
        <f t="shared" si="1"/>
        <v>0</v>
      </c>
    </row>
    <row r="25" spans="3:44" s="1368" customFormat="1" ht="21" customHeight="1" outlineLevel="1">
      <c r="C25" s="2449" t="s">
        <v>1660</v>
      </c>
      <c r="D25" s="2450"/>
      <c r="E25" s="1524">
        <v>12374.6</v>
      </c>
      <c r="F25" s="1525">
        <v>2598.67</v>
      </c>
      <c r="G25" s="1526">
        <v>78641.66</v>
      </c>
      <c r="H25" s="1527">
        <v>16514.740000000002</v>
      </c>
      <c r="I25" s="1524">
        <v>10775.1</v>
      </c>
      <c r="J25" s="1525">
        <v>2262.77</v>
      </c>
      <c r="K25" s="1526">
        <v>70510.490000000005</v>
      </c>
      <c r="L25" s="1527">
        <v>14807.21</v>
      </c>
      <c r="M25" s="1524">
        <v>27408.81</v>
      </c>
      <c r="N25" s="1525">
        <v>5755.85</v>
      </c>
      <c r="O25" s="1526">
        <v>40010</v>
      </c>
      <c r="P25" s="1527">
        <v>8402.1</v>
      </c>
      <c r="Q25" s="1524">
        <v>79473.98</v>
      </c>
      <c r="R25" s="1525">
        <v>16689.54</v>
      </c>
      <c r="S25" s="1526">
        <v>3300</v>
      </c>
      <c r="T25" s="1527">
        <v>693</v>
      </c>
      <c r="U25" s="1524">
        <v>91064.5</v>
      </c>
      <c r="V25" s="1525">
        <v>19123.55</v>
      </c>
      <c r="W25" s="1526">
        <v>91436.479999999996</v>
      </c>
      <c r="X25" s="1527">
        <v>19201.66</v>
      </c>
      <c r="Y25" s="1524">
        <v>92435.66</v>
      </c>
      <c r="Z25" s="1525">
        <v>19411.490000000002</v>
      </c>
      <c r="AA25" s="1526">
        <v>38589</v>
      </c>
      <c r="AB25" s="1527">
        <v>8103.69</v>
      </c>
      <c r="AC25" s="1528">
        <f t="shared" ref="AC25:AC32" si="5">+E25+G25+I25+K25+M25+O25+Q25+S25+U25+W25+Y25+AA25</f>
        <v>636020.28</v>
      </c>
      <c r="AD25" s="1529">
        <f t="shared" ref="AD25:AD32" si="6">+F25+H25+J25+L25+N25+P25+R25+T25+V25+X25+Z25+AB25</f>
        <v>133564.27000000002</v>
      </c>
      <c r="AE25" s="1530">
        <f t="shared" ref="AE25:AE32" si="7">IF(MONTH($E$7)=1,G25+I25+K25+M25+O25+Q25+S25+U25+W25+Y25+AA25,IF(MONTH($E$7)=2,I25+K25+M25+O25+Q25+S25+U25+W25+Y25+AA25,IF(MONTH($E$7)=3,K25+M25+O25+Q25+S25+U25+W25+Y25+AA25,IF(MONTH($E$7)=4,M25+O25+Q25+S25+U25+W25+Y25+AA25,IF(MONTH($E$7)=5,O25+Q25+S25+U25+W25+Y25+AA25,IF(MONTH($E$7)=6,Q25+S25+U25+W25+Y25+AA25,IF(MONTH($E$7)=7,S25+U25+W25+Y25+AA25,IF(MONTH($E$7)=8,U25+W25+Y25+AA25,IF(MONTH($E$7)=9,W25+Y25+AA25,IF(MONTH($E$7)=10,Y25+AA25,IF(MONTH($E$7)=11,AA25,0)))))))))))</f>
        <v>0</v>
      </c>
      <c r="AF25" s="1531">
        <f t="shared" ref="AF25:AF32" si="8">IF(MONTH($E$7)=1,H25+J25+L25+N25+P25+R25+T25+V25+X25+Z25+AB25,IF(MONTH($E$7)=2,J25+L25+N25+P25+R25+T25+V25+X25+Z25+AB25,IF(MONTH($E$7)=3,L25+N25+P25+R25+T25+V25+X25+Z25+AB25,IF(MONTH($E$7)=4,N25+P25+R25+T25+V25+X25+Z25+AB25,IF(MONTH($E$7)=5,P25+R25+T25+V25+X25+Z25+AB25,IF(MONTH($E$7)=6,R25+T25+V25+X25+Z25+AB25,IF(MONTH($E$7)=7,T25+V25+X25+Z25+AB25,IF(MONTH($E$7)=8,V25+X25+Z25+AB25,IF(MONTH($E$7)=9,X25+Z25+AB25,IF(MONTH($E$7)=10,Z25+AB25,IF(MONTH($E$7)=11,AB25,0)))))))))))</f>
        <v>0</v>
      </c>
    </row>
    <row r="26" spans="3:44" s="1368" customFormat="1" ht="26.25" customHeight="1" outlineLevel="1">
      <c r="C26" s="2478" t="s">
        <v>1649</v>
      </c>
      <c r="D26" s="2479"/>
      <c r="E26" s="1532">
        <v>530072.13</v>
      </c>
      <c r="F26" s="1533">
        <v>111315.15</v>
      </c>
      <c r="G26" s="1534">
        <v>1091295.6100000001</v>
      </c>
      <c r="H26" s="1535">
        <v>229172.07</v>
      </c>
      <c r="I26" s="1532">
        <v>513603.99</v>
      </c>
      <c r="J26" s="1533">
        <v>107856.83</v>
      </c>
      <c r="K26" s="1534">
        <v>1176757.99</v>
      </c>
      <c r="L26" s="1535">
        <v>247119.18</v>
      </c>
      <c r="M26" s="1532">
        <v>239490.13</v>
      </c>
      <c r="N26" s="1533">
        <v>50292.93</v>
      </c>
      <c r="O26" s="1534">
        <v>1665620.15</v>
      </c>
      <c r="P26" s="1535">
        <v>349780.23</v>
      </c>
      <c r="Q26" s="1532">
        <v>1960473.66</v>
      </c>
      <c r="R26" s="1533">
        <v>411699.48</v>
      </c>
      <c r="S26" s="1534">
        <v>802680.03</v>
      </c>
      <c r="T26" s="1535">
        <v>168562.8</v>
      </c>
      <c r="U26" s="1532">
        <v>938976.91</v>
      </c>
      <c r="V26" s="1533">
        <v>197185.15</v>
      </c>
      <c r="W26" s="1534">
        <v>468183.67</v>
      </c>
      <c r="X26" s="1535">
        <v>98318.57</v>
      </c>
      <c r="Y26" s="1532">
        <v>519659.3</v>
      </c>
      <c r="Z26" s="1533">
        <v>109128.45</v>
      </c>
      <c r="AA26" s="1534">
        <v>426059.62</v>
      </c>
      <c r="AB26" s="1535">
        <v>89472.54</v>
      </c>
      <c r="AC26" s="1536">
        <f t="shared" si="5"/>
        <v>10332873.189999999</v>
      </c>
      <c r="AD26" s="1537">
        <f t="shared" si="6"/>
        <v>2169903.38</v>
      </c>
      <c r="AE26" s="1538">
        <f t="shared" si="7"/>
        <v>0</v>
      </c>
      <c r="AF26" s="1539">
        <f t="shared" si="8"/>
        <v>0</v>
      </c>
    </row>
    <row r="27" spans="3:44" s="1368" customFormat="1" ht="26.25" customHeight="1" outlineLevel="1">
      <c r="C27" s="2453" t="s">
        <v>1651</v>
      </c>
      <c r="D27" s="2454"/>
      <c r="E27" s="1524"/>
      <c r="F27" s="1525"/>
      <c r="G27" s="1526"/>
      <c r="H27" s="1527"/>
      <c r="I27" s="1524"/>
      <c r="J27" s="1525"/>
      <c r="K27" s="1526"/>
      <c r="L27" s="1527"/>
      <c r="M27" s="1524"/>
      <c r="N27" s="1525"/>
      <c r="O27" s="1526">
        <v>-17115.240000000002</v>
      </c>
      <c r="P27" s="1527">
        <v>-3594.21</v>
      </c>
      <c r="Q27" s="1524"/>
      <c r="R27" s="1525"/>
      <c r="S27" s="1526"/>
      <c r="T27" s="1527"/>
      <c r="U27" s="1524"/>
      <c r="V27" s="1525"/>
      <c r="W27" s="1526"/>
      <c r="X27" s="1527"/>
      <c r="Y27" s="1524"/>
      <c r="Z27" s="1525"/>
      <c r="AA27" s="1526"/>
      <c r="AB27" s="1527"/>
      <c r="AC27" s="1528">
        <f t="shared" si="5"/>
        <v>-17115.240000000002</v>
      </c>
      <c r="AD27" s="1529">
        <f t="shared" si="6"/>
        <v>-3594.21</v>
      </c>
      <c r="AE27" s="1530">
        <f t="shared" si="7"/>
        <v>0</v>
      </c>
      <c r="AF27" s="1531">
        <f t="shared" si="8"/>
        <v>0</v>
      </c>
    </row>
    <row r="28" spans="3:44" s="1368" customFormat="1" ht="21" customHeight="1" outlineLevel="1">
      <c r="C28" s="2455" t="s">
        <v>1014</v>
      </c>
      <c r="D28" s="1540">
        <v>5.0000000000000001E-3</v>
      </c>
      <c r="E28" s="1541"/>
      <c r="F28" s="1542"/>
      <c r="G28" s="1543"/>
      <c r="H28" s="1544"/>
      <c r="I28" s="1541"/>
      <c r="J28" s="1542"/>
      <c r="K28" s="1543"/>
      <c r="L28" s="1544"/>
      <c r="M28" s="1541"/>
      <c r="N28" s="1542"/>
      <c r="O28" s="1543"/>
      <c r="P28" s="1544"/>
      <c r="Q28" s="1541"/>
      <c r="R28" s="1542"/>
      <c r="S28" s="1543"/>
      <c r="T28" s="1544"/>
      <c r="U28" s="1541"/>
      <c r="V28" s="1542"/>
      <c r="W28" s="1543"/>
      <c r="X28" s="1544"/>
      <c r="Y28" s="1541"/>
      <c r="Z28" s="1542"/>
      <c r="AA28" s="1543"/>
      <c r="AB28" s="1544"/>
      <c r="AC28" s="1545">
        <f t="shared" si="5"/>
        <v>0</v>
      </c>
      <c r="AD28" s="1546">
        <f t="shared" si="6"/>
        <v>0</v>
      </c>
      <c r="AE28" s="1547">
        <f t="shared" si="7"/>
        <v>0</v>
      </c>
      <c r="AF28" s="1548">
        <f t="shared" si="8"/>
        <v>0</v>
      </c>
    </row>
    <row r="29" spans="3:44" s="1368" customFormat="1" ht="21" customHeight="1" outlineLevel="1">
      <c r="C29" s="2456"/>
      <c r="D29" s="1540">
        <v>1.4E-2</v>
      </c>
      <c r="E29" s="1549"/>
      <c r="F29" s="1550"/>
      <c r="G29" s="1551"/>
      <c r="H29" s="1552"/>
      <c r="I29" s="1549"/>
      <c r="J29" s="1550"/>
      <c r="K29" s="1551"/>
      <c r="L29" s="1552"/>
      <c r="M29" s="1549"/>
      <c r="N29" s="1550"/>
      <c r="O29" s="1551"/>
      <c r="P29" s="1552"/>
      <c r="Q29" s="1549"/>
      <c r="R29" s="1550"/>
      <c r="S29" s="1551"/>
      <c r="T29" s="1552"/>
      <c r="U29" s="1549"/>
      <c r="V29" s="1550"/>
      <c r="W29" s="1551"/>
      <c r="X29" s="1552"/>
      <c r="Y29" s="1549"/>
      <c r="Z29" s="1550"/>
      <c r="AA29" s="1551"/>
      <c r="AB29" s="1552"/>
      <c r="AC29" s="1553">
        <f t="shared" si="5"/>
        <v>0</v>
      </c>
      <c r="AD29" s="1554">
        <f t="shared" si="6"/>
        <v>0</v>
      </c>
      <c r="AE29" s="1555">
        <f t="shared" si="7"/>
        <v>0</v>
      </c>
      <c r="AF29" s="1556">
        <f t="shared" si="8"/>
        <v>0</v>
      </c>
    </row>
    <row r="30" spans="3:44" s="1368" customFormat="1" ht="21" customHeight="1" outlineLevel="1">
      <c r="C30" s="2456"/>
      <c r="D30" s="1540">
        <v>5.1999999999999998E-2</v>
      </c>
      <c r="E30" s="1549"/>
      <c r="F30" s="1550"/>
      <c r="G30" s="1551"/>
      <c r="H30" s="1552"/>
      <c r="I30" s="1549"/>
      <c r="J30" s="1550"/>
      <c r="K30" s="1551"/>
      <c r="L30" s="1552"/>
      <c r="M30" s="1549"/>
      <c r="N30" s="1550"/>
      <c r="O30" s="1551"/>
      <c r="P30" s="1552"/>
      <c r="Q30" s="1549"/>
      <c r="R30" s="1550"/>
      <c r="S30" s="1551"/>
      <c r="T30" s="1552"/>
      <c r="U30" s="1549"/>
      <c r="V30" s="1550"/>
      <c r="W30" s="1551"/>
      <c r="X30" s="1552"/>
      <c r="Y30" s="1549"/>
      <c r="Z30" s="1550"/>
      <c r="AA30" s="1551"/>
      <c r="AB30" s="1552"/>
      <c r="AC30" s="1553">
        <f t="shared" si="5"/>
        <v>0</v>
      </c>
      <c r="AD30" s="1554">
        <f t="shared" si="6"/>
        <v>0</v>
      </c>
      <c r="AE30" s="1555">
        <f t="shared" si="7"/>
        <v>0</v>
      </c>
      <c r="AF30" s="1556">
        <f t="shared" si="8"/>
        <v>0</v>
      </c>
    </row>
    <row r="31" spans="3:44" s="1368" customFormat="1" ht="21" customHeight="1" outlineLevel="1">
      <c r="C31" s="2457"/>
      <c r="D31" s="1557"/>
      <c r="E31" s="1516"/>
      <c r="F31" s="1517"/>
      <c r="G31" s="1518"/>
      <c r="H31" s="1519"/>
      <c r="I31" s="1516"/>
      <c r="J31" s="1517"/>
      <c r="K31" s="1518"/>
      <c r="L31" s="1519"/>
      <c r="M31" s="1516"/>
      <c r="N31" s="1517"/>
      <c r="O31" s="1518"/>
      <c r="P31" s="1519"/>
      <c r="Q31" s="1516"/>
      <c r="R31" s="1517"/>
      <c r="S31" s="1518"/>
      <c r="T31" s="1519"/>
      <c r="U31" s="1516"/>
      <c r="V31" s="1517"/>
      <c r="W31" s="1518"/>
      <c r="X31" s="1519"/>
      <c r="Y31" s="1516"/>
      <c r="Z31" s="1517"/>
      <c r="AA31" s="1518"/>
      <c r="AB31" s="1519"/>
      <c r="AC31" s="1520">
        <f t="shared" si="5"/>
        <v>0</v>
      </c>
      <c r="AD31" s="1521">
        <f t="shared" si="6"/>
        <v>0</v>
      </c>
      <c r="AE31" s="1522">
        <f t="shared" si="7"/>
        <v>0</v>
      </c>
      <c r="AF31" s="1523">
        <f t="shared" si="8"/>
        <v>0</v>
      </c>
    </row>
    <row r="32" spans="3:44" s="1368" customFormat="1" ht="21" customHeight="1" outlineLevel="1">
      <c r="C32" s="2447" t="s">
        <v>1650</v>
      </c>
      <c r="D32" s="2448"/>
      <c r="E32" s="1558"/>
      <c r="F32" s="1559"/>
      <c r="G32" s="1560"/>
      <c r="H32" s="1561"/>
      <c r="I32" s="1558"/>
      <c r="J32" s="1559"/>
      <c r="K32" s="1560"/>
      <c r="L32" s="1561"/>
      <c r="M32" s="1558"/>
      <c r="N32" s="1559"/>
      <c r="O32" s="1560"/>
      <c r="P32" s="1561"/>
      <c r="Q32" s="1558"/>
      <c r="R32" s="1559"/>
      <c r="S32" s="1560"/>
      <c r="T32" s="1561"/>
      <c r="U32" s="1558"/>
      <c r="V32" s="1559"/>
      <c r="W32" s="1560"/>
      <c r="X32" s="1561"/>
      <c r="Y32" s="1558"/>
      <c r="Z32" s="1559"/>
      <c r="AA32" s="1560"/>
      <c r="AB32" s="1561"/>
      <c r="AC32" s="1562">
        <f t="shared" si="5"/>
        <v>0</v>
      </c>
      <c r="AD32" s="1563">
        <f t="shared" si="6"/>
        <v>0</v>
      </c>
      <c r="AE32" s="1564">
        <f t="shared" si="7"/>
        <v>0</v>
      </c>
      <c r="AF32" s="1565">
        <f t="shared" si="8"/>
        <v>0</v>
      </c>
    </row>
    <row r="33" spans="3:32" s="1489" customFormat="1" ht="21" customHeight="1">
      <c r="C33" s="1391" t="s">
        <v>1015</v>
      </c>
      <c r="D33" s="1566"/>
      <c r="E33" s="1566"/>
      <c r="F33" s="1567">
        <f>SUM(F18:F32)</f>
        <v>1078817.22</v>
      </c>
      <c r="G33" s="1566"/>
      <c r="H33" s="1567">
        <f>SUM(H18:H32)</f>
        <v>1524364.06</v>
      </c>
      <c r="I33" s="1566"/>
      <c r="J33" s="1567">
        <f>SUM(J18:J32)</f>
        <v>1256568.6700000002</v>
      </c>
      <c r="K33" s="1566"/>
      <c r="L33" s="1567">
        <f>SUM(L18:L32)</f>
        <v>1486841.2899999998</v>
      </c>
      <c r="M33" s="1566"/>
      <c r="N33" s="1567">
        <f>SUM(N18:N32)</f>
        <v>1164759.8600000001</v>
      </c>
      <c r="O33" s="1566"/>
      <c r="P33" s="1567">
        <f>SUM(P18:P32)</f>
        <v>1349023.9100000001</v>
      </c>
      <c r="Q33" s="1566"/>
      <c r="R33" s="1567">
        <f>SUM(R18:R32)</f>
        <v>1493456.03</v>
      </c>
      <c r="S33" s="1566"/>
      <c r="T33" s="1567">
        <f>SUM(T18:T32)</f>
        <v>689078.66999999993</v>
      </c>
      <c r="U33" s="1566"/>
      <c r="V33" s="1567">
        <f>SUM(V18:V32)</f>
        <v>1068489.04</v>
      </c>
      <c r="W33" s="1566"/>
      <c r="X33" s="1567">
        <f>SUM(X18:X32)</f>
        <v>1025133.6500000001</v>
      </c>
      <c r="Y33" s="1566"/>
      <c r="Z33" s="1567">
        <f>SUM(Z18:Z32)</f>
        <v>1133210.49</v>
      </c>
      <c r="AA33" s="1566"/>
      <c r="AB33" s="1567">
        <f>SUM(AB18:AB32)</f>
        <v>859214.38</v>
      </c>
      <c r="AC33" s="1566"/>
      <c r="AD33" s="1568">
        <f>SUM(AD18:AD32)</f>
        <v>14128957.27</v>
      </c>
      <c r="AE33" s="1566"/>
      <c r="AF33" s="1568">
        <f>SUM(AF18:AF32)</f>
        <v>0</v>
      </c>
    </row>
    <row r="34" spans="3:32" s="1368" customFormat="1" ht="11.25" customHeight="1" collapsed="1">
      <c r="E34" s="1569"/>
      <c r="F34" s="1569"/>
      <c r="G34" s="1569"/>
      <c r="H34" s="1569"/>
      <c r="I34" s="1569"/>
      <c r="J34" s="1569"/>
      <c r="K34" s="1569"/>
      <c r="L34" s="1569"/>
      <c r="M34" s="1569"/>
      <c r="N34" s="1569"/>
      <c r="O34" s="1569"/>
      <c r="P34" s="1569"/>
      <c r="Q34" s="1569"/>
      <c r="R34" s="1569"/>
      <c r="S34" s="1569"/>
      <c r="T34" s="1569"/>
      <c r="U34" s="1569"/>
      <c r="V34" s="1569"/>
      <c r="W34" s="1569"/>
      <c r="X34" s="1569"/>
      <c r="Y34" s="1569"/>
      <c r="Z34" s="1569"/>
      <c r="AA34" s="1569"/>
      <c r="AB34" s="1569"/>
      <c r="AC34" s="1569"/>
      <c r="AD34" s="1569"/>
      <c r="AE34" s="1569"/>
      <c r="AF34" s="1569"/>
    </row>
    <row r="35" spans="3:32" s="1341" customFormat="1" ht="21" customHeight="1">
      <c r="C35" s="1345" t="s">
        <v>1016</v>
      </c>
      <c r="AE35" s="2461" t="str">
        <f>+AE16</f>
        <v>CAMPAÑA 1ª PARTE</v>
      </c>
      <c r="AF35" s="2462"/>
    </row>
    <row r="36" spans="3:32" s="1368" customFormat="1" ht="21" customHeight="1" outlineLevel="1">
      <c r="C36" s="2473" t="s">
        <v>1017</v>
      </c>
      <c r="D36" s="2473"/>
      <c r="E36" s="1541">
        <v>1078058.1200000001</v>
      </c>
      <c r="F36" s="1542">
        <v>225586.99</v>
      </c>
      <c r="G36" s="1543">
        <v>1678950.66</v>
      </c>
      <c r="H36" s="1544">
        <v>296815.73</v>
      </c>
      <c r="I36" s="1541">
        <v>969738.67</v>
      </c>
      <c r="J36" s="1542">
        <v>194315.86</v>
      </c>
      <c r="K36" s="1543">
        <v>1791893.47</v>
      </c>
      <c r="L36" s="1544">
        <v>287178.8</v>
      </c>
      <c r="M36" s="1541">
        <v>736388.53</v>
      </c>
      <c r="N36" s="1542">
        <v>152048.63</v>
      </c>
      <c r="O36" s="1543">
        <v>1616816.15</v>
      </c>
      <c r="P36" s="1544">
        <v>332756.7</v>
      </c>
      <c r="Q36" s="1541">
        <v>2064371.4</v>
      </c>
      <c r="R36" s="1542">
        <v>420764.69</v>
      </c>
      <c r="S36" s="1543">
        <v>658678.01</v>
      </c>
      <c r="T36" s="1544">
        <v>138316.01999999999</v>
      </c>
      <c r="U36" s="1541">
        <v>1396781.43</v>
      </c>
      <c r="V36" s="1542">
        <v>143859.84</v>
      </c>
      <c r="W36" s="1543">
        <v>1019609.37</v>
      </c>
      <c r="X36" s="1544">
        <v>213927.69</v>
      </c>
      <c r="Y36" s="1541">
        <v>898649.62</v>
      </c>
      <c r="Z36" s="1542">
        <v>188634.96</v>
      </c>
      <c r="AA36" s="1543">
        <v>795678.46</v>
      </c>
      <c r="AB36" s="1544">
        <v>167001.26</v>
      </c>
      <c r="AC36" s="1545">
        <f>+E36+G36+I36+K36+M36+O36+Q36+S36+U36+W36+Y36+AA36</f>
        <v>14705613.889999997</v>
      </c>
      <c r="AD36" s="1546">
        <f t="shared" ref="AD36:AD45" si="9">+F36+H36+J36+L36+N36+P36+R36+T36+V36+X36+Z36+AB36</f>
        <v>2761207.17</v>
      </c>
      <c r="AE36" s="1547">
        <f t="shared" ref="AE36:AF45" si="10">IF(MONTH($E$7)=1,G36+I36+K36+M36+O36+Q36+S36+U36+W36+Y36+AA36,IF(MONTH($E$7)=2,I36+K36+M36+O36+Q36+S36+U36+W36+Y36+AA36,IF(MONTH($E$7)=3,K36+M36+O36+Q36+S36+U36+W36+Y36+AA36,IF(MONTH($E$7)=4,M36+O36+Q36+S36+U36+W36+Y36+AA36,IF(MONTH($E$7)=5,O36+Q36+S36+U36+W36+Y36+AA36,IF(MONTH($E$7)=6,Q36+S36+U36+W36+Y36+AA36,IF(MONTH($E$7)=7,S36+U36+W36+Y36+AA36,IF(MONTH($E$7)=8,U36+W36+Y36+AA36,IF(MONTH($E$7)=9,W36+Y36+AA36,IF(MONTH($E$7)=10,Y36+AA36,IF(MONTH($E$7)=11,AA36,0)))))))))))</f>
        <v>0</v>
      </c>
      <c r="AF36" s="1548">
        <f t="shared" si="10"/>
        <v>0</v>
      </c>
    </row>
    <row r="37" spans="3:32" s="1368" customFormat="1" ht="34.5" customHeight="1" outlineLevel="1">
      <c r="C37" s="2473" t="s">
        <v>1018</v>
      </c>
      <c r="D37" s="2473"/>
      <c r="E37" s="1549">
        <v>70710.94</v>
      </c>
      <c r="F37" s="1550">
        <v>14849.3</v>
      </c>
      <c r="G37" s="1551">
        <v>260992.16</v>
      </c>
      <c r="H37" s="1552">
        <v>54808.36</v>
      </c>
      <c r="I37" s="1549">
        <v>40733.69</v>
      </c>
      <c r="J37" s="1550">
        <v>8554.08</v>
      </c>
      <c r="K37" s="1551">
        <v>431579.53</v>
      </c>
      <c r="L37" s="1552">
        <v>90631.71</v>
      </c>
      <c r="M37" s="1549">
        <v>3516.31</v>
      </c>
      <c r="N37" s="1550">
        <v>738.43</v>
      </c>
      <c r="O37" s="1551">
        <v>608676.67000000004</v>
      </c>
      <c r="P37" s="1552">
        <v>127882.1</v>
      </c>
      <c r="Q37" s="1549">
        <v>573547.11</v>
      </c>
      <c r="R37" s="1550">
        <v>120444.9</v>
      </c>
      <c r="S37" s="1551">
        <v>409069.17</v>
      </c>
      <c r="T37" s="1552">
        <v>85904.54</v>
      </c>
      <c r="U37" s="1549">
        <v>703734.98</v>
      </c>
      <c r="V37" s="1550">
        <v>147784.34</v>
      </c>
      <c r="W37" s="1551">
        <v>29181.06</v>
      </c>
      <c r="X37" s="1552">
        <v>6128.02</v>
      </c>
      <c r="Y37" s="1549">
        <v>250647.42</v>
      </c>
      <c r="Z37" s="1550">
        <v>52635.96</v>
      </c>
      <c r="AA37" s="1551">
        <v>45537.22</v>
      </c>
      <c r="AB37" s="1552">
        <v>9562.82</v>
      </c>
      <c r="AC37" s="1553">
        <f t="shared" ref="AC37:AC45" si="11">+E37+G37+I37+K37+M37+O37+Q37+S37+U37+W37+Y37+AA37</f>
        <v>3427926.2600000002</v>
      </c>
      <c r="AD37" s="1554">
        <f t="shared" si="9"/>
        <v>719924.55999999994</v>
      </c>
      <c r="AE37" s="1555">
        <f t="shared" si="10"/>
        <v>0</v>
      </c>
      <c r="AF37" s="1556">
        <f t="shared" si="10"/>
        <v>0</v>
      </c>
    </row>
    <row r="38" spans="3:32" s="1368" customFormat="1" ht="21" customHeight="1" outlineLevel="1">
      <c r="C38" s="2473" t="s">
        <v>1019</v>
      </c>
      <c r="D38" s="2473"/>
      <c r="E38" s="1549">
        <v>5218425.3</v>
      </c>
      <c r="F38" s="1550">
        <v>1095869.32</v>
      </c>
      <c r="G38" s="1551">
        <v>4566661.95</v>
      </c>
      <c r="H38" s="1552">
        <v>958999.01</v>
      </c>
      <c r="I38" s="1549">
        <v>240720.02</v>
      </c>
      <c r="J38" s="1550">
        <v>50551.199999999997</v>
      </c>
      <c r="K38" s="1551">
        <v>12180776.57</v>
      </c>
      <c r="L38" s="1552">
        <v>2557963.08</v>
      </c>
      <c r="M38" s="1549">
        <v>4444082.3099999996</v>
      </c>
      <c r="N38" s="1550">
        <v>933257.3</v>
      </c>
      <c r="O38" s="1551">
        <v>5645601.5300000003</v>
      </c>
      <c r="P38" s="1552">
        <v>1185576.31</v>
      </c>
      <c r="Q38" s="1549">
        <v>3826879.4</v>
      </c>
      <c r="R38" s="1550">
        <v>803644.67</v>
      </c>
      <c r="S38" s="1551">
        <v>584450.64</v>
      </c>
      <c r="T38" s="1552">
        <v>122734.62</v>
      </c>
      <c r="U38" s="1549">
        <v>4757310.34</v>
      </c>
      <c r="V38" s="1550">
        <v>999035.17</v>
      </c>
      <c r="W38" s="1551">
        <v>267459.48</v>
      </c>
      <c r="X38" s="1552">
        <v>56166.5</v>
      </c>
      <c r="Y38" s="1549">
        <v>5482285</v>
      </c>
      <c r="Z38" s="1550">
        <v>1151279.8500000001</v>
      </c>
      <c r="AA38" s="1551">
        <v>5337065.46</v>
      </c>
      <c r="AB38" s="1552">
        <v>1120783.75</v>
      </c>
      <c r="AC38" s="1553">
        <f t="shared" si="11"/>
        <v>52551718</v>
      </c>
      <c r="AD38" s="1554">
        <f t="shared" si="9"/>
        <v>11035860.780000001</v>
      </c>
      <c r="AE38" s="1555">
        <f t="shared" si="10"/>
        <v>0</v>
      </c>
      <c r="AF38" s="1556">
        <f t="shared" si="10"/>
        <v>0</v>
      </c>
    </row>
    <row r="39" spans="3:32" s="1368" customFormat="1" ht="21" customHeight="1" outlineLevel="1">
      <c r="C39" s="2473" t="s">
        <v>1020</v>
      </c>
      <c r="D39" s="2473"/>
      <c r="E39" s="1549"/>
      <c r="F39" s="1550"/>
      <c r="G39" s="1551"/>
      <c r="H39" s="1552"/>
      <c r="I39" s="1549"/>
      <c r="J39" s="1550"/>
      <c r="K39" s="1551"/>
      <c r="L39" s="1552"/>
      <c r="M39" s="1549"/>
      <c r="N39" s="1550"/>
      <c r="O39" s="1551"/>
      <c r="P39" s="1552"/>
      <c r="Q39" s="1549"/>
      <c r="R39" s="1550"/>
      <c r="S39" s="1551"/>
      <c r="T39" s="1552"/>
      <c r="U39" s="1549"/>
      <c r="V39" s="1550"/>
      <c r="W39" s="1551"/>
      <c r="X39" s="1552"/>
      <c r="Y39" s="1549"/>
      <c r="Z39" s="1550"/>
      <c r="AA39" s="1551"/>
      <c r="AB39" s="1552"/>
      <c r="AC39" s="1553">
        <f t="shared" si="11"/>
        <v>0</v>
      </c>
      <c r="AD39" s="1554">
        <f t="shared" si="9"/>
        <v>0</v>
      </c>
      <c r="AE39" s="1555">
        <f t="shared" si="10"/>
        <v>0</v>
      </c>
      <c r="AF39" s="1556">
        <f t="shared" si="10"/>
        <v>0</v>
      </c>
    </row>
    <row r="40" spans="3:32" s="1368" customFormat="1" ht="21" customHeight="1" outlineLevel="1">
      <c r="C40" s="2473" t="s">
        <v>1021</v>
      </c>
      <c r="D40" s="2473"/>
      <c r="E40" s="1549">
        <v>12374.6</v>
      </c>
      <c r="F40" s="1550">
        <v>2598.67</v>
      </c>
      <c r="G40" s="1551">
        <v>78641.66</v>
      </c>
      <c r="H40" s="1552">
        <v>16514.740000000002</v>
      </c>
      <c r="I40" s="1549">
        <v>20295.099999999999</v>
      </c>
      <c r="J40" s="1550">
        <v>2262.77</v>
      </c>
      <c r="K40" s="1551">
        <v>70510.490000000005</v>
      </c>
      <c r="L40" s="1552">
        <v>14807.21</v>
      </c>
      <c r="M40" s="1549">
        <v>27408.81</v>
      </c>
      <c r="N40" s="1550">
        <v>5755.85</v>
      </c>
      <c r="O40" s="1551">
        <v>4010</v>
      </c>
      <c r="P40" s="1552">
        <v>8402.1</v>
      </c>
      <c r="Q40" s="1549">
        <v>79473.98</v>
      </c>
      <c r="R40" s="1550">
        <v>16689.54</v>
      </c>
      <c r="S40" s="1551">
        <v>3300</v>
      </c>
      <c r="T40" s="1552">
        <v>693</v>
      </c>
      <c r="U40" s="1549">
        <v>91064.5</v>
      </c>
      <c r="V40" s="1550">
        <v>19123.55</v>
      </c>
      <c r="W40" s="1551">
        <v>91436.479999999996</v>
      </c>
      <c r="X40" s="1552">
        <v>19201.66</v>
      </c>
      <c r="Y40" s="1549">
        <v>92435.66</v>
      </c>
      <c r="Z40" s="1550">
        <v>19411.490000000002</v>
      </c>
      <c r="AA40" s="1551">
        <v>38589</v>
      </c>
      <c r="AB40" s="1552">
        <v>8103.69</v>
      </c>
      <c r="AC40" s="1553">
        <f t="shared" si="11"/>
        <v>609540.28</v>
      </c>
      <c r="AD40" s="1554">
        <f t="shared" si="9"/>
        <v>133564.27000000002</v>
      </c>
      <c r="AE40" s="1555">
        <f t="shared" si="10"/>
        <v>0</v>
      </c>
      <c r="AF40" s="1556">
        <f t="shared" si="10"/>
        <v>0</v>
      </c>
    </row>
    <row r="41" spans="3:32" s="1368" customFormat="1" ht="21" customHeight="1" outlineLevel="1">
      <c r="C41" s="2473" t="s">
        <v>1022</v>
      </c>
      <c r="D41" s="2473"/>
      <c r="E41" s="1549"/>
      <c r="F41" s="1550"/>
      <c r="G41" s="1551"/>
      <c r="H41" s="1552"/>
      <c r="I41" s="1549"/>
      <c r="J41" s="1550"/>
      <c r="K41" s="1551"/>
      <c r="L41" s="1552"/>
      <c r="M41" s="1549"/>
      <c r="N41" s="1550"/>
      <c r="O41" s="1551"/>
      <c r="P41" s="1552"/>
      <c r="Q41" s="1549"/>
      <c r="R41" s="1550"/>
      <c r="S41" s="1551"/>
      <c r="T41" s="1552"/>
      <c r="U41" s="1549"/>
      <c r="V41" s="1550"/>
      <c r="W41" s="1551"/>
      <c r="X41" s="1552"/>
      <c r="Y41" s="1549"/>
      <c r="Z41" s="1550"/>
      <c r="AA41" s="1551"/>
      <c r="AB41" s="1552"/>
      <c r="AC41" s="1553">
        <f t="shared" si="11"/>
        <v>0</v>
      </c>
      <c r="AD41" s="1554">
        <f t="shared" si="9"/>
        <v>0</v>
      </c>
      <c r="AE41" s="1555">
        <f t="shared" si="10"/>
        <v>0</v>
      </c>
      <c r="AF41" s="1556">
        <f t="shared" si="10"/>
        <v>0</v>
      </c>
    </row>
    <row r="42" spans="3:32" s="1368" customFormat="1" ht="21" customHeight="1" outlineLevel="1">
      <c r="C42" s="2473" t="s">
        <v>1652</v>
      </c>
      <c r="D42" s="2473"/>
      <c r="E42" s="1549"/>
      <c r="F42" s="1550"/>
      <c r="G42" s="1551"/>
      <c r="H42" s="1552"/>
      <c r="I42" s="1549"/>
      <c r="J42" s="1550"/>
      <c r="K42" s="1551"/>
      <c r="L42" s="1552"/>
      <c r="M42" s="1549"/>
      <c r="N42" s="1550"/>
      <c r="O42" s="1551"/>
      <c r="P42" s="1552"/>
      <c r="Q42" s="1549"/>
      <c r="R42" s="1550"/>
      <c r="S42" s="1551"/>
      <c r="T42" s="1552"/>
      <c r="U42" s="1549"/>
      <c r="V42" s="1550"/>
      <c r="W42" s="1551"/>
      <c r="X42" s="1552"/>
      <c r="Y42" s="1549"/>
      <c r="Z42" s="1550"/>
      <c r="AA42" s="1551"/>
      <c r="AB42" s="1552"/>
      <c r="AC42" s="1553">
        <f t="shared" si="11"/>
        <v>0</v>
      </c>
      <c r="AD42" s="1554">
        <f t="shared" si="9"/>
        <v>0</v>
      </c>
      <c r="AE42" s="1555">
        <f t="shared" si="10"/>
        <v>0</v>
      </c>
      <c r="AF42" s="1556">
        <f t="shared" si="10"/>
        <v>0</v>
      </c>
    </row>
    <row r="43" spans="3:32" s="1368" customFormat="1" ht="21" customHeight="1" outlineLevel="1">
      <c r="C43" s="2473" t="s">
        <v>1023</v>
      </c>
      <c r="D43" s="2473"/>
      <c r="E43" s="1549"/>
      <c r="F43" s="1550"/>
      <c r="G43" s="1551"/>
      <c r="H43" s="1552"/>
      <c r="I43" s="1549"/>
      <c r="J43" s="1550"/>
      <c r="K43" s="1551"/>
      <c r="L43" s="1552"/>
      <c r="M43" s="1549"/>
      <c r="N43" s="1550"/>
      <c r="O43" s="1551"/>
      <c r="P43" s="1552"/>
      <c r="Q43" s="1549"/>
      <c r="R43" s="1550"/>
      <c r="S43" s="1551"/>
      <c r="T43" s="1552"/>
      <c r="U43" s="1549"/>
      <c r="V43" s="1550"/>
      <c r="W43" s="1551"/>
      <c r="X43" s="1552"/>
      <c r="Y43" s="1549"/>
      <c r="Z43" s="1550"/>
      <c r="AA43" s="1551"/>
      <c r="AB43" s="1552"/>
      <c r="AC43" s="1553">
        <f t="shared" si="11"/>
        <v>0</v>
      </c>
      <c r="AD43" s="1554">
        <f t="shared" si="9"/>
        <v>0</v>
      </c>
      <c r="AE43" s="1555">
        <f t="shared" si="10"/>
        <v>0</v>
      </c>
      <c r="AF43" s="1556">
        <f t="shared" si="10"/>
        <v>0</v>
      </c>
    </row>
    <row r="44" spans="3:32" s="1368" customFormat="1" ht="21" customHeight="1" outlineLevel="1">
      <c r="C44" s="2473" t="s">
        <v>1653</v>
      </c>
      <c r="D44" s="2473"/>
      <c r="E44" s="1549"/>
      <c r="F44" s="1550"/>
      <c r="G44" s="1551"/>
      <c r="H44" s="1552"/>
      <c r="I44" s="1549"/>
      <c r="J44" s="1550"/>
      <c r="K44" s="1551"/>
      <c r="L44" s="1552"/>
      <c r="M44" s="1549"/>
      <c r="N44" s="1550"/>
      <c r="O44" s="1551"/>
      <c r="P44" s="1552"/>
      <c r="Q44" s="1549"/>
      <c r="R44" s="1550"/>
      <c r="S44" s="1551"/>
      <c r="T44" s="1552"/>
      <c r="U44" s="1549"/>
      <c r="V44" s="1550"/>
      <c r="W44" s="1551"/>
      <c r="X44" s="1552"/>
      <c r="Y44" s="1549"/>
      <c r="Z44" s="1550"/>
      <c r="AA44" s="1551"/>
      <c r="AB44" s="1552"/>
      <c r="AC44" s="1553">
        <f t="shared" si="11"/>
        <v>0</v>
      </c>
      <c r="AD44" s="1554">
        <f t="shared" si="9"/>
        <v>0</v>
      </c>
      <c r="AE44" s="1555">
        <f t="shared" si="10"/>
        <v>0</v>
      </c>
      <c r="AF44" s="1556">
        <f t="shared" si="10"/>
        <v>0</v>
      </c>
    </row>
    <row r="45" spans="3:32" s="1368" customFormat="1" ht="32.25" customHeight="1" outlineLevel="1">
      <c r="C45" s="2473" t="s">
        <v>1024</v>
      </c>
      <c r="D45" s="2473"/>
      <c r="E45" s="1570"/>
      <c r="F45" s="1571"/>
      <c r="G45" s="1572"/>
      <c r="H45" s="1573"/>
      <c r="I45" s="1570"/>
      <c r="J45" s="1571"/>
      <c r="K45" s="1572"/>
      <c r="L45" s="1573"/>
      <c r="M45" s="1570"/>
      <c r="N45" s="1571"/>
      <c r="O45" s="1572"/>
      <c r="P45" s="1573"/>
      <c r="Q45" s="1570"/>
      <c r="R45" s="1571"/>
      <c r="S45" s="1572"/>
      <c r="T45" s="1573"/>
      <c r="U45" s="1570"/>
      <c r="V45" s="1571"/>
      <c r="W45" s="1572"/>
      <c r="X45" s="1573"/>
      <c r="Y45" s="1570"/>
      <c r="Z45" s="1571"/>
      <c r="AA45" s="1572"/>
      <c r="AB45" s="1573"/>
      <c r="AC45" s="1574">
        <f t="shared" si="11"/>
        <v>0</v>
      </c>
      <c r="AD45" s="1575">
        <f t="shared" si="9"/>
        <v>0</v>
      </c>
      <c r="AE45" s="1576">
        <f t="shared" si="10"/>
        <v>0</v>
      </c>
      <c r="AF45" s="1577">
        <f t="shared" si="10"/>
        <v>0</v>
      </c>
    </row>
    <row r="46" spans="3:32" s="1489" customFormat="1" ht="21" customHeight="1">
      <c r="C46" s="1345" t="s">
        <v>1025</v>
      </c>
      <c r="D46" s="1341"/>
      <c r="E46" s="1566"/>
      <c r="F46" s="1567">
        <f>SUM(F36:F45)</f>
        <v>1338904.28</v>
      </c>
      <c r="G46" s="1566"/>
      <c r="H46" s="1567">
        <f>SUM(H36:H45)</f>
        <v>1327137.8400000001</v>
      </c>
      <c r="I46" s="1566"/>
      <c r="J46" s="1567">
        <f>SUM(J36:J45)</f>
        <v>255683.90999999995</v>
      </c>
      <c r="K46" s="1566"/>
      <c r="L46" s="1567">
        <f>SUM(L36:L45)</f>
        <v>2950580.8</v>
      </c>
      <c r="M46" s="1566"/>
      <c r="N46" s="1567">
        <f>SUM(N36:N45)</f>
        <v>1091800.2100000002</v>
      </c>
      <c r="O46" s="1566"/>
      <c r="P46" s="1567">
        <f>SUM(P36:P45)</f>
        <v>1654617.2100000002</v>
      </c>
      <c r="Q46" s="1566"/>
      <c r="R46" s="1567">
        <f>SUM(R36:R45)</f>
        <v>1361543.8</v>
      </c>
      <c r="S46" s="1566"/>
      <c r="T46" s="1567">
        <f>SUM(T36:T45)</f>
        <v>347648.18</v>
      </c>
      <c r="U46" s="1566"/>
      <c r="V46" s="1567">
        <f>SUM(V36:V45)</f>
        <v>1309802.9000000001</v>
      </c>
      <c r="W46" s="1566"/>
      <c r="X46" s="1567">
        <f>SUM(X36:X45)</f>
        <v>295423.86999999994</v>
      </c>
      <c r="Y46" s="1566"/>
      <c r="Z46" s="1567">
        <f>SUM(Z36:Z45)</f>
        <v>1411962.26</v>
      </c>
      <c r="AA46" s="1566"/>
      <c r="AB46" s="1567">
        <f>SUM(AB36:AB45)</f>
        <v>1305451.52</v>
      </c>
      <c r="AC46" s="1566"/>
      <c r="AD46" s="1568">
        <f>SUM(AD36:AD45)</f>
        <v>14650556.780000001</v>
      </c>
      <c r="AE46" s="1566"/>
      <c r="AF46" s="1568">
        <f>SUM(AF36:AF45)</f>
        <v>0</v>
      </c>
    </row>
    <row r="47" spans="3:32" s="1368" customFormat="1" ht="11.25" customHeight="1" collapsed="1">
      <c r="E47" s="1569"/>
      <c r="F47" s="1569"/>
      <c r="G47" s="1569"/>
      <c r="H47" s="1569"/>
      <c r="I47" s="1569"/>
      <c r="J47" s="1569"/>
      <c r="K47" s="1569"/>
      <c r="L47" s="1569"/>
      <c r="M47" s="1569"/>
      <c r="N47" s="1569"/>
      <c r="O47" s="1569"/>
      <c r="P47" s="1569"/>
      <c r="Q47" s="1569"/>
      <c r="R47" s="1569"/>
      <c r="S47" s="1569"/>
      <c r="T47" s="1569"/>
      <c r="U47" s="1569"/>
      <c r="V47" s="1569"/>
      <c r="W47" s="1569"/>
      <c r="X47" s="1569"/>
      <c r="Y47" s="1569"/>
      <c r="Z47" s="1569"/>
      <c r="AA47" s="1569"/>
      <c r="AB47" s="1569"/>
      <c r="AC47" s="1569"/>
      <c r="AD47" s="1569"/>
      <c r="AE47" s="1569"/>
      <c r="AF47" s="1569"/>
    </row>
    <row r="48" spans="3:32" s="1368" customFormat="1" ht="21" customHeight="1">
      <c r="C48" s="1345" t="s">
        <v>1654</v>
      </c>
      <c r="D48" s="1341"/>
      <c r="E48" s="1566"/>
      <c r="F48" s="1578">
        <f>+F33-F46</f>
        <v>-260087.06000000006</v>
      </c>
      <c r="G48" s="1566"/>
      <c r="H48" s="1578">
        <f>+H33-H46</f>
        <v>197226.21999999997</v>
      </c>
      <c r="I48" s="1566"/>
      <c r="J48" s="1578">
        <f>+J33-J46</f>
        <v>1000884.7600000002</v>
      </c>
      <c r="K48" s="1566"/>
      <c r="L48" s="1578">
        <f>+L33-L46</f>
        <v>-1463739.51</v>
      </c>
      <c r="M48" s="1566"/>
      <c r="N48" s="1578">
        <f>+N33-N46</f>
        <v>72959.649999999907</v>
      </c>
      <c r="O48" s="1566"/>
      <c r="P48" s="1578">
        <f>+P33-P46</f>
        <v>-305593.30000000005</v>
      </c>
      <c r="Q48" s="1566"/>
      <c r="R48" s="1578">
        <f>+R33-R46</f>
        <v>131912.22999999998</v>
      </c>
      <c r="S48" s="1566"/>
      <c r="T48" s="1578">
        <f>+T33-T46</f>
        <v>341430.48999999993</v>
      </c>
      <c r="U48" s="1566"/>
      <c r="V48" s="1578">
        <f>+V33-V46</f>
        <v>-241313.8600000001</v>
      </c>
      <c r="W48" s="1566"/>
      <c r="X48" s="1578">
        <f>+X33-X46</f>
        <v>729709.78000000026</v>
      </c>
      <c r="Y48" s="1566"/>
      <c r="Z48" s="1578">
        <f>+Z33-Z46</f>
        <v>-278751.77</v>
      </c>
      <c r="AA48" s="1566"/>
      <c r="AB48" s="1578">
        <f>+AB33-AB46</f>
        <v>-446237.14</v>
      </c>
      <c r="AC48" s="1579"/>
      <c r="AD48" s="1580">
        <f>+AD33-AD46</f>
        <v>-521599.51000000164</v>
      </c>
      <c r="AE48" s="1579"/>
      <c r="AF48" s="1580">
        <f>+AF33-AF46</f>
        <v>0</v>
      </c>
    </row>
    <row r="49" spans="3:32" s="1368" customFormat="1" ht="21" customHeight="1" outlineLevel="1">
      <c r="C49" s="2473" t="s">
        <v>1655</v>
      </c>
      <c r="D49" s="2473"/>
      <c r="E49" s="1566"/>
      <c r="F49" s="1581"/>
      <c r="G49" s="1566"/>
      <c r="H49" s="1582"/>
      <c r="I49" s="1566"/>
      <c r="J49" s="1581"/>
      <c r="K49" s="1566"/>
      <c r="L49" s="1582"/>
      <c r="M49" s="1566"/>
      <c r="N49" s="1581"/>
      <c r="O49" s="1566"/>
      <c r="P49" s="1582"/>
      <c r="Q49" s="1566"/>
      <c r="R49" s="1581"/>
      <c r="S49" s="1566"/>
      <c r="T49" s="1582"/>
      <c r="U49" s="1566"/>
      <c r="V49" s="1581"/>
      <c r="W49" s="1566"/>
      <c r="X49" s="1582"/>
      <c r="Y49" s="1566"/>
      <c r="Z49" s="1581"/>
      <c r="AA49" s="1566"/>
      <c r="AB49" s="1582"/>
      <c r="AC49" s="1579"/>
      <c r="AD49" s="1583">
        <f t="shared" ref="AD49" si="12">+F49+H49+J49+L49+N49+P49+R49+T49+V49+X49+Z49+AB49</f>
        <v>0</v>
      </c>
      <c r="AE49" s="1579"/>
      <c r="AF49" s="1584">
        <f t="shared" ref="AF49" si="13">IF(MONTH($E$7)=1,H49+J49+L49+N49+P49+R49+T49+V49+X49+Z49+AB49,IF(MONTH($E$7)=2,J49+L49+N49+P49+R49+T49+V49+X49+Z49+AB49,IF(MONTH($E$7)=3,L49+N49+P49+R49+T49+V49+X49+Z49+AB49,IF(MONTH($E$7)=4,N49+P49+R49+T49+V49+X49+Z49+AB49,IF(MONTH($E$7)=5,P49+R49+T49+V49+X49+Z49+AB49,IF(MONTH($E$7)=6,R49+T49+V49+X49+Z49+AB49,IF(MONTH($E$7)=7,T49+V49+X49+Z49+AB49,IF(MONTH($E$7)=8,V49+X49+Z49+AB49,IF(MONTH($E$7)=9,X49+Z49+AB49,IF(MONTH($E$7)=10,Z49+AB49,IF(MONTH($E$7)=11,AB49,0)))))))))))</f>
        <v>0</v>
      </c>
    </row>
    <row r="50" spans="3:32" s="1368" customFormat="1" ht="21" customHeight="1">
      <c r="C50" s="1344" t="s">
        <v>1656</v>
      </c>
      <c r="D50" s="1341"/>
      <c r="E50" s="1566"/>
      <c r="F50" s="1585">
        <f>+F48+F49</f>
        <v>-260087.06000000006</v>
      </c>
      <c r="G50" s="1566"/>
      <c r="H50" s="1585">
        <f t="shared" ref="H50" si="14">+H48+H49</f>
        <v>197226.21999999997</v>
      </c>
      <c r="I50" s="1566"/>
      <c r="J50" s="1585">
        <f t="shared" ref="J50" si="15">+J48+J49</f>
        <v>1000884.7600000002</v>
      </c>
      <c r="K50" s="1566"/>
      <c r="L50" s="1585">
        <f t="shared" ref="L50" si="16">+L48+L49</f>
        <v>-1463739.51</v>
      </c>
      <c r="M50" s="1566"/>
      <c r="N50" s="1585">
        <f t="shared" ref="N50" si="17">+N48+N49</f>
        <v>72959.649999999907</v>
      </c>
      <c r="O50" s="1566"/>
      <c r="P50" s="1585">
        <f t="shared" ref="P50" si="18">+P48+P49</f>
        <v>-305593.30000000005</v>
      </c>
      <c r="Q50" s="1566"/>
      <c r="R50" s="1585">
        <f t="shared" ref="R50" si="19">+R48+R49</f>
        <v>131912.22999999998</v>
      </c>
      <c r="S50" s="1566"/>
      <c r="T50" s="1585">
        <f t="shared" ref="T50" si="20">+T48+T49</f>
        <v>341430.48999999993</v>
      </c>
      <c r="U50" s="1566"/>
      <c r="V50" s="1585">
        <f t="shared" ref="V50" si="21">+V48+V49</f>
        <v>-241313.8600000001</v>
      </c>
      <c r="W50" s="1566"/>
      <c r="X50" s="1585">
        <f t="shared" ref="X50" si="22">+X48+X49</f>
        <v>729709.78000000026</v>
      </c>
      <c r="Y50" s="1566"/>
      <c r="Z50" s="1585">
        <f t="shared" ref="Z50" si="23">+Z48+Z49</f>
        <v>-278751.77</v>
      </c>
      <c r="AA50" s="1566"/>
      <c r="AB50" s="1585">
        <f t="shared" ref="AB50" si="24">+AB48+AB49</f>
        <v>-446237.14</v>
      </c>
      <c r="AC50" s="1579"/>
      <c r="AD50" s="1586">
        <f>+AD48+AD49</f>
        <v>-521599.51000000164</v>
      </c>
      <c r="AE50" s="1579"/>
      <c r="AF50" s="1586">
        <f>+AF48+AF49</f>
        <v>0</v>
      </c>
    </row>
    <row r="51" spans="3:32" s="1368" customFormat="1" ht="21" customHeight="1">
      <c r="C51" s="1587" t="s">
        <v>1657</v>
      </c>
      <c r="D51" s="1588">
        <v>1</v>
      </c>
      <c r="E51" s="1566"/>
      <c r="F51" s="1578">
        <f>+$D$51*F50</f>
        <v>-260087.06000000006</v>
      </c>
      <c r="G51" s="1566"/>
      <c r="H51" s="1578">
        <f>+$D$51*H50</f>
        <v>197226.21999999997</v>
      </c>
      <c r="I51" s="1566"/>
      <c r="J51" s="1578">
        <f>+$D$51*J50</f>
        <v>1000884.7600000002</v>
      </c>
      <c r="K51" s="1566"/>
      <c r="L51" s="1578">
        <f>+$D$51*L50</f>
        <v>-1463739.51</v>
      </c>
      <c r="M51" s="1566"/>
      <c r="N51" s="1578">
        <f>+$D$51*N50</f>
        <v>72959.649999999907</v>
      </c>
      <c r="O51" s="1566"/>
      <c r="P51" s="1578">
        <f>+$D$51*P50</f>
        <v>-305593.30000000005</v>
      </c>
      <c r="Q51" s="1566"/>
      <c r="R51" s="1578">
        <f>+$D$51*R50</f>
        <v>131912.22999999998</v>
      </c>
      <c r="S51" s="1566"/>
      <c r="T51" s="1578">
        <f>+$D$51*T50</f>
        <v>341430.48999999993</v>
      </c>
      <c r="U51" s="1566"/>
      <c r="V51" s="1578">
        <f>+$D$51*V50</f>
        <v>-241313.8600000001</v>
      </c>
      <c r="W51" s="1566"/>
      <c r="X51" s="1578">
        <f>+$D$51*X50</f>
        <v>729709.78000000026</v>
      </c>
      <c r="Y51" s="1566"/>
      <c r="Z51" s="1578">
        <f>+$D$51*Z50</f>
        <v>-278751.77</v>
      </c>
      <c r="AA51" s="1566"/>
      <c r="AB51" s="1578">
        <f>+$D$51*AB50</f>
        <v>-446237.14</v>
      </c>
      <c r="AC51" s="1579"/>
      <c r="AD51" s="1580">
        <f>+$D$51*AD50</f>
        <v>-521599.51000000164</v>
      </c>
      <c r="AE51" s="1579"/>
      <c r="AF51" s="1580">
        <f>+$D$51*AF50</f>
        <v>0</v>
      </c>
    </row>
    <row r="52" spans="3:32" s="1368" customFormat="1" ht="21" customHeight="1" outlineLevel="1">
      <c r="C52" s="2473" t="s">
        <v>1658</v>
      </c>
      <c r="D52" s="2473"/>
      <c r="E52" s="1566"/>
      <c r="F52" s="1589">
        <v>1095869.32</v>
      </c>
      <c r="G52" s="1566"/>
      <c r="H52" s="1590">
        <v>958999.01</v>
      </c>
      <c r="I52" s="1566"/>
      <c r="J52" s="1589">
        <v>50551.199999999997</v>
      </c>
      <c r="K52" s="1566"/>
      <c r="L52" s="1590">
        <v>2557963.08</v>
      </c>
      <c r="M52" s="1566"/>
      <c r="N52" s="1589">
        <v>933257.3</v>
      </c>
      <c r="O52" s="1566"/>
      <c r="P52" s="1590">
        <v>1185576.31</v>
      </c>
      <c r="Q52" s="1566"/>
      <c r="R52" s="1589">
        <v>803644.67</v>
      </c>
      <c r="S52" s="1566"/>
      <c r="T52" s="1590">
        <v>122734.62</v>
      </c>
      <c r="U52" s="1566"/>
      <c r="V52" s="1589">
        <v>999035.17</v>
      </c>
      <c r="W52" s="1566"/>
      <c r="X52" s="1590">
        <v>56166.5</v>
      </c>
      <c r="Y52" s="1566"/>
      <c r="Z52" s="1589">
        <v>1151279.8500000001</v>
      </c>
      <c r="AA52" s="1566"/>
      <c r="AB52" s="1590">
        <v>1120783.75</v>
      </c>
      <c r="AC52" s="1579"/>
      <c r="AD52" s="1591">
        <f t="shared" ref="AD52" si="25">+F52+H52+J52+L52+N52+P52+R52+T52+V52+X52+Z52+AB52</f>
        <v>11035860.780000001</v>
      </c>
      <c r="AE52" s="1579"/>
      <c r="AF52" s="1592">
        <f t="shared" ref="AF52:AF53" si="26">IF(MONTH($E$7)=1,H52+J52+L52+N52+P52+R52+T52+V52+X52+Z52+AB52,IF(MONTH($E$7)=2,J52+L52+N52+P52+R52+T52+V52+X52+Z52+AB52,IF(MONTH($E$7)=3,L52+N52+P52+R52+T52+V52+X52+Z52+AB52,IF(MONTH($E$7)=4,N52+P52+R52+T52+V52+X52+Z52+AB52,IF(MONTH($E$7)=5,P52+R52+T52+V52+X52+Z52+AB52,IF(MONTH($E$7)=6,R52+T52+V52+X52+Z52+AB52,IF(MONTH($E$7)=7,T52+V52+X52+Z52+AB52,IF(MONTH($E$7)=8,V52+X52+Z52+AB52,IF(MONTH($E$7)=9,X52+Z52+AB52,IF(MONTH($E$7)=10,Z52+AB52,IF(MONTH($E$7)=11,AB52,0)))))))))))</f>
        <v>0</v>
      </c>
    </row>
    <row r="53" spans="3:32" s="1368" customFormat="1" ht="21" customHeight="1" outlineLevel="1">
      <c r="C53" s="2473" t="s">
        <v>1026</v>
      </c>
      <c r="D53" s="2473"/>
      <c r="E53" s="1566"/>
      <c r="F53" s="1593"/>
      <c r="G53" s="1566"/>
      <c r="H53" s="1594"/>
      <c r="I53" s="1566"/>
      <c r="J53" s="1593"/>
      <c r="K53" s="1566"/>
      <c r="L53" s="1594"/>
      <c r="M53" s="1566"/>
      <c r="N53" s="1593"/>
      <c r="O53" s="1566"/>
      <c r="P53" s="1594"/>
      <c r="Q53" s="1566"/>
      <c r="R53" s="1593"/>
      <c r="S53" s="1566"/>
      <c r="T53" s="1594"/>
      <c r="U53" s="1566"/>
      <c r="V53" s="1593"/>
      <c r="W53" s="1566"/>
      <c r="X53" s="1594"/>
      <c r="Y53" s="1566"/>
      <c r="Z53" s="1593"/>
      <c r="AA53" s="1566"/>
      <c r="AB53" s="1594"/>
      <c r="AC53" s="1579"/>
      <c r="AD53" s="1595">
        <f>+F53</f>
        <v>0</v>
      </c>
      <c r="AE53" s="1579"/>
      <c r="AF53" s="1596">
        <f t="shared" si="26"/>
        <v>0</v>
      </c>
    </row>
    <row r="54" spans="3:32" s="1368" customFormat="1" ht="11.25" customHeight="1">
      <c r="E54" s="1569"/>
      <c r="F54" s="1569"/>
      <c r="G54" s="1566"/>
      <c r="H54" s="1569"/>
      <c r="I54" s="1566"/>
      <c r="J54" s="1569"/>
      <c r="K54" s="1566"/>
      <c r="L54" s="1569"/>
      <c r="M54" s="1566"/>
      <c r="N54" s="1569"/>
      <c r="O54" s="1566"/>
      <c r="P54" s="1569"/>
      <c r="Q54" s="1566"/>
      <c r="R54" s="1569"/>
      <c r="S54" s="1566"/>
      <c r="T54" s="1569"/>
      <c r="U54" s="1566"/>
      <c r="V54" s="1569"/>
      <c r="W54" s="1566"/>
      <c r="X54" s="1569"/>
      <c r="Y54" s="1566"/>
      <c r="Z54" s="1569"/>
      <c r="AA54" s="1566"/>
      <c r="AB54" s="1569"/>
      <c r="AC54" s="1579"/>
      <c r="AD54" s="1569"/>
      <c r="AE54" s="1579"/>
      <c r="AF54" s="1569"/>
    </row>
    <row r="55" spans="3:32" s="1368" customFormat="1" ht="21" customHeight="1">
      <c r="C55" s="1345" t="s">
        <v>1030</v>
      </c>
      <c r="D55" s="1569"/>
      <c r="E55" s="1566"/>
      <c r="F55" s="1578">
        <f>+F51-F53+F52</f>
        <v>835782.26</v>
      </c>
      <c r="G55" s="1566"/>
      <c r="H55" s="1567">
        <f>+H51-H53+H52</f>
        <v>1156225.23</v>
      </c>
      <c r="I55" s="1566"/>
      <c r="J55" s="1567">
        <f>+J51-J53+J52</f>
        <v>1051435.9600000002</v>
      </c>
      <c r="K55" s="1566"/>
      <c r="L55" s="1567">
        <f>+L51-L53+L52</f>
        <v>1094223.57</v>
      </c>
      <c r="M55" s="1566"/>
      <c r="N55" s="1567">
        <f>+N51-N53+N52</f>
        <v>1006216.95</v>
      </c>
      <c r="O55" s="1566"/>
      <c r="P55" s="1567">
        <f>+P51-P53+P52</f>
        <v>879983.01</v>
      </c>
      <c r="Q55" s="1566"/>
      <c r="R55" s="1567">
        <f>+R51-R53+R52</f>
        <v>935556.9</v>
      </c>
      <c r="S55" s="1566"/>
      <c r="T55" s="1567">
        <f>+T51-T53+T52</f>
        <v>464165.10999999993</v>
      </c>
      <c r="U55" s="1566"/>
      <c r="V55" s="1567">
        <f>+V51-V53+V52</f>
        <v>757721.30999999994</v>
      </c>
      <c r="W55" s="1566"/>
      <c r="X55" s="1567">
        <f>+X51-X53+X52</f>
        <v>785876.28000000026</v>
      </c>
      <c r="Y55" s="1566"/>
      <c r="Z55" s="1567">
        <f>+Z51-Z53+Z52</f>
        <v>872528.08000000007</v>
      </c>
      <c r="AA55" s="1566"/>
      <c r="AB55" s="1567">
        <f>+AB51-AB53+AB52</f>
        <v>674546.61</v>
      </c>
      <c r="AC55" s="1569"/>
      <c r="AD55" s="1568">
        <f>+AD51-AD53+AD52</f>
        <v>10514261.27</v>
      </c>
      <c r="AE55" s="1569"/>
      <c r="AF55" s="1568">
        <f>+AF51-AF53+AF52</f>
        <v>0</v>
      </c>
    </row>
    <row r="56" spans="3:32" s="1368" customFormat="1" ht="21" customHeight="1" outlineLevel="1">
      <c r="C56" s="2473" t="s">
        <v>1659</v>
      </c>
      <c r="D56" s="2442"/>
      <c r="E56" s="1597">
        <v>890206.3</v>
      </c>
      <c r="F56" s="1566"/>
      <c r="G56" s="1590">
        <v>807039.62</v>
      </c>
      <c r="H56" s="1566"/>
      <c r="I56" s="1597">
        <v>504204.2</v>
      </c>
      <c r="J56" s="1566"/>
      <c r="K56" s="1590">
        <v>667232.5</v>
      </c>
      <c r="L56" s="1566"/>
      <c r="M56" s="1597">
        <v>647514.94999999995</v>
      </c>
      <c r="N56" s="1566"/>
      <c r="O56" s="1590">
        <v>972825.08</v>
      </c>
      <c r="P56" s="1566"/>
      <c r="Q56" s="1597">
        <v>303471.34999999998</v>
      </c>
      <c r="R56" s="1566"/>
      <c r="S56" s="1590">
        <v>568099.30000000005</v>
      </c>
      <c r="T56" s="1566"/>
      <c r="U56" s="1597">
        <v>879801.8</v>
      </c>
      <c r="V56" s="1566"/>
      <c r="W56" s="1590">
        <v>749644.36</v>
      </c>
      <c r="X56" s="1566"/>
      <c r="Y56" s="1597">
        <v>818005</v>
      </c>
      <c r="Z56" s="1566"/>
      <c r="AA56" s="1590">
        <v>642098.06999999995</v>
      </c>
      <c r="AB56" s="1566"/>
      <c r="AC56" s="1591">
        <f t="shared" ref="AC56:AC58" si="27">+E56+G56+I56+K56+M56+O56+Q56+S56+U56+W56+Y56+AA56</f>
        <v>8450142.5299999993</v>
      </c>
      <c r="AD56" s="1579"/>
      <c r="AE56" s="1598">
        <f t="shared" ref="AE56:AE58" si="28">IF(MONTH($E$7)=1,G56+I56+K56+M56+O56+Q56+S56+U56+W56+Y56+AA56,IF(MONTH($E$7)=2,I56+K56+M56+O56+Q56+S56+U56+W56+Y56+AA56,IF(MONTH($E$7)=3,K56+M56+O56+Q56+S56+U56+W56+Y56+AA56,IF(MONTH($E$7)=4,M56+O56+Q56+S56+U56+W56+Y56+AA56,IF(MONTH($E$7)=5,O56+Q56+S56+U56+W56+Y56+AA56,IF(MONTH($E$7)=6,Q56+S56+U56+W56+Y56+AA56,IF(MONTH($E$7)=7,S56+U56+W56+Y56+AA56,IF(MONTH($E$7)=8,U56+W56+Y56+AA56,IF(MONTH($E$7)=9,W56+Y56+AA56,IF(MONTH($E$7)=10,Y56+AA56,IF(MONTH($E$7)=11,AA56,0)))))))))))</f>
        <v>0</v>
      </c>
      <c r="AF56" s="1579"/>
    </row>
    <row r="57" spans="3:32" s="1368" customFormat="1" ht="21" customHeight="1" outlineLevel="1">
      <c r="C57" s="2473" t="s">
        <v>1028</v>
      </c>
      <c r="D57" s="2442"/>
      <c r="E57" s="1599">
        <v>894522.98</v>
      </c>
      <c r="F57" s="1566"/>
      <c r="G57" s="1600">
        <v>694518.5</v>
      </c>
      <c r="H57" s="1566"/>
      <c r="I57" s="1599">
        <v>659512</v>
      </c>
      <c r="J57" s="1566"/>
      <c r="K57" s="1600">
        <v>838619.99</v>
      </c>
      <c r="L57" s="1566"/>
      <c r="M57" s="1599">
        <v>757316.15</v>
      </c>
      <c r="N57" s="1566"/>
      <c r="O57" s="1600">
        <v>795195.89</v>
      </c>
      <c r="P57" s="1566"/>
      <c r="Q57" s="1599">
        <v>1099067.9099999999</v>
      </c>
      <c r="R57" s="1566"/>
      <c r="S57" s="1600">
        <v>421006.6</v>
      </c>
      <c r="T57" s="1566"/>
      <c r="U57" s="1599">
        <v>550055</v>
      </c>
      <c r="V57" s="1566"/>
      <c r="W57" s="1600">
        <v>631306</v>
      </c>
      <c r="X57" s="1566"/>
      <c r="Y57" s="1599">
        <v>516737.05</v>
      </c>
      <c r="Z57" s="1566"/>
      <c r="AA57" s="1600">
        <v>407085</v>
      </c>
      <c r="AB57" s="1566"/>
      <c r="AC57" s="1601">
        <f t="shared" si="27"/>
        <v>8264943.0699999994</v>
      </c>
      <c r="AD57" s="1579"/>
      <c r="AE57" s="1602">
        <f t="shared" si="28"/>
        <v>0</v>
      </c>
      <c r="AF57" s="1579"/>
    </row>
    <row r="58" spans="3:32" s="1368" customFormat="1" ht="21" customHeight="1" outlineLevel="1">
      <c r="C58" s="2473" t="s">
        <v>1029</v>
      </c>
      <c r="D58" s="2442"/>
      <c r="E58" s="1603"/>
      <c r="F58" s="1604"/>
      <c r="G58" s="1605"/>
      <c r="H58" s="1566"/>
      <c r="I58" s="1603"/>
      <c r="J58" s="1604"/>
      <c r="K58" s="1605"/>
      <c r="L58" s="1566"/>
      <c r="M58" s="1603">
        <v>15219.14</v>
      </c>
      <c r="N58" s="1604"/>
      <c r="O58" s="1605"/>
      <c r="P58" s="1566"/>
      <c r="Q58" s="1603"/>
      <c r="R58" s="1604"/>
      <c r="S58" s="1605"/>
      <c r="T58" s="1566"/>
      <c r="U58" s="1603">
        <v>166.98</v>
      </c>
      <c r="V58" s="1604"/>
      <c r="W58" s="1605"/>
      <c r="X58" s="1566"/>
      <c r="Y58" s="1603"/>
      <c r="Z58" s="1604"/>
      <c r="AA58" s="1605">
        <v>14660.5</v>
      </c>
      <c r="AB58" s="1566"/>
      <c r="AC58" s="1606">
        <f t="shared" si="27"/>
        <v>30046.62</v>
      </c>
      <c r="AD58" s="1579"/>
      <c r="AE58" s="1607">
        <f t="shared" si="28"/>
        <v>0</v>
      </c>
      <c r="AF58" s="1579"/>
    </row>
    <row r="59" spans="3:32" s="1368" customFormat="1" ht="11.25" customHeight="1">
      <c r="E59" s="1569"/>
      <c r="F59" s="1569"/>
      <c r="G59" s="1569"/>
      <c r="H59" s="1569"/>
      <c r="I59" s="1569"/>
      <c r="J59" s="1569"/>
      <c r="K59" s="1569"/>
      <c r="L59" s="1569"/>
      <c r="M59" s="1569"/>
      <c r="N59" s="1569"/>
      <c r="O59" s="1569"/>
      <c r="P59" s="1569"/>
      <c r="Q59" s="1569"/>
      <c r="R59" s="1569"/>
      <c r="S59" s="1569"/>
      <c r="T59" s="1569"/>
      <c r="U59" s="1569"/>
      <c r="V59" s="1569"/>
      <c r="W59" s="1569"/>
      <c r="X59" s="1569"/>
      <c r="Y59" s="1569"/>
      <c r="Z59" s="1569"/>
      <c r="AA59" s="1569"/>
      <c r="AB59" s="1569"/>
      <c r="AC59" s="1569"/>
      <c r="AD59" s="1569"/>
      <c r="AE59" s="1569"/>
      <c r="AF59" s="1569"/>
    </row>
    <row r="60" spans="3:32" s="1368" customFormat="1" ht="21" customHeight="1">
      <c r="C60" s="1391" t="s">
        <v>1031</v>
      </c>
      <c r="D60" s="1341"/>
      <c r="E60" s="1567">
        <f>6500+5874.6</f>
        <v>12374.6</v>
      </c>
      <c r="F60" s="1604"/>
      <c r="G60" s="1567">
        <f>77591.66+1050</f>
        <v>78641.66</v>
      </c>
      <c r="H60" s="1604"/>
      <c r="I60" s="1567">
        <f>155.1+9520+1100</f>
        <v>10775.1</v>
      </c>
      <c r="J60" s="1604"/>
      <c r="K60" s="1567">
        <f>15600+3276+38927+1100+10099.6+1507.89</f>
        <v>70510.490000000005</v>
      </c>
      <c r="L60" s="1604"/>
      <c r="M60" s="1567">
        <f>15600+559.81+689+9460+1100</f>
        <v>27408.809999999998</v>
      </c>
      <c r="N60" s="1604"/>
      <c r="O60" s="1567">
        <f>30550+9460</f>
        <v>40010</v>
      </c>
      <c r="P60" s="1604"/>
      <c r="Q60" s="1567">
        <f>46150+5460+15029+2200+9159.5+1475.48</f>
        <v>79473.98</v>
      </c>
      <c r="R60" s="1604"/>
      <c r="S60" s="1567">
        <v>3300</v>
      </c>
      <c r="T60" s="1604"/>
      <c r="U60" s="1567">
        <f>34080+54784.5+2200</f>
        <v>91064.5</v>
      </c>
      <c r="V60" s="1604"/>
      <c r="W60" s="1567">
        <f>34080+74.28+2205+3276+37727+6600+7474.2</f>
        <v>91436.479999999996</v>
      </c>
      <c r="X60" s="1604"/>
      <c r="Y60" s="1567">
        <f>51120+29655.66+9460+2200</f>
        <v>92435.66</v>
      </c>
      <c r="Z60" s="1604"/>
      <c r="AA60" s="1567">
        <f>17040+17149+4400</f>
        <v>38589</v>
      </c>
      <c r="AB60" s="1604"/>
      <c r="AC60" s="1568">
        <f>+E60+G60+I60+K60+M60+O60+Q60+S60+U60+W60+Y60+AA60</f>
        <v>636020.28</v>
      </c>
      <c r="AD60" s="1569"/>
      <c r="AE60" s="1568">
        <f>+G60+I60+K60+M60+O60+Q60+S60+U60+W60+Y60+AA60+AC60</f>
        <v>1259665.96</v>
      </c>
      <c r="AF60" s="1569"/>
    </row>
    <row r="61" spans="3:32" s="1368" customFormat="1" ht="21" customHeight="1">
      <c r="C61" s="1608" t="s">
        <v>1032</v>
      </c>
      <c r="D61" s="1341"/>
      <c r="E61" s="1567">
        <f>+E25-E60</f>
        <v>0</v>
      </c>
      <c r="F61" s="1569"/>
      <c r="G61" s="1567">
        <f>+G25-G60</f>
        <v>0</v>
      </c>
      <c r="H61" s="1569"/>
      <c r="I61" s="1567">
        <f>+I25-I60</f>
        <v>0</v>
      </c>
      <c r="J61" s="1569"/>
      <c r="K61" s="1567">
        <f>+K25-K60</f>
        <v>0</v>
      </c>
      <c r="L61" s="1569"/>
      <c r="M61" s="1567">
        <f>+M25-M60</f>
        <v>0</v>
      </c>
      <c r="N61" s="1569"/>
      <c r="O61" s="1567">
        <f>+O25-O60</f>
        <v>0</v>
      </c>
      <c r="P61" s="1569"/>
      <c r="Q61" s="1567">
        <f>+Q25-Q60</f>
        <v>0</v>
      </c>
      <c r="R61" s="1569"/>
      <c r="S61" s="1567">
        <f>+S25-S60</f>
        <v>0</v>
      </c>
      <c r="T61" s="1569"/>
      <c r="U61" s="1567">
        <f>+U25-U60</f>
        <v>0</v>
      </c>
      <c r="V61" s="1569"/>
      <c r="W61" s="1567">
        <f>+W25-W60</f>
        <v>0</v>
      </c>
      <c r="X61" s="1569"/>
      <c r="Y61" s="1567">
        <f>+Y25-Y60</f>
        <v>0</v>
      </c>
      <c r="Z61" s="1569"/>
      <c r="AA61" s="1567">
        <f>+AA25-AA60</f>
        <v>0</v>
      </c>
      <c r="AB61" s="1569"/>
      <c r="AC61" s="1568">
        <f>+AC25-AC60</f>
        <v>0</v>
      </c>
      <c r="AD61" s="1569"/>
      <c r="AE61" s="1568">
        <f>+AE25-AE60</f>
        <v>-1259665.96</v>
      </c>
      <c r="AF61" s="1569"/>
    </row>
    <row r="62" spans="3:32" s="1368" customFormat="1" ht="11.25" customHeight="1">
      <c r="E62" s="1569"/>
      <c r="F62" s="1569"/>
      <c r="G62" s="1569"/>
      <c r="H62" s="1569"/>
      <c r="I62" s="1569"/>
      <c r="J62" s="1569"/>
      <c r="K62" s="1569"/>
      <c r="L62" s="1569"/>
      <c r="M62" s="1569"/>
      <c r="N62" s="1569"/>
      <c r="O62" s="1569"/>
      <c r="P62" s="1569"/>
      <c r="Q62" s="1569"/>
      <c r="R62" s="1569"/>
      <c r="S62" s="1569"/>
      <c r="T62" s="1569"/>
      <c r="U62" s="1569"/>
      <c r="V62" s="1569"/>
      <c r="W62" s="1569"/>
      <c r="X62" s="1569"/>
      <c r="Y62" s="1569"/>
      <c r="Z62" s="1569"/>
      <c r="AA62" s="1569"/>
      <c r="AB62" s="1569"/>
      <c r="AC62" s="1569"/>
      <c r="AD62" s="1569"/>
      <c r="AE62" s="1569"/>
      <c r="AF62" s="1569"/>
    </row>
    <row r="63" spans="3:32" s="1368" customFormat="1" ht="21" customHeight="1">
      <c r="C63" s="1391" t="s">
        <v>1033</v>
      </c>
      <c r="D63" s="1341"/>
      <c r="E63" s="1567">
        <f>902580.9-E60</f>
        <v>890206.3</v>
      </c>
      <c r="F63" s="1604"/>
      <c r="G63" s="1567">
        <f>885681.28-G60</f>
        <v>807039.62</v>
      </c>
      <c r="H63" s="1604"/>
      <c r="I63" s="1567">
        <f>514979.3-I60</f>
        <v>504204.2</v>
      </c>
      <c r="J63" s="1604"/>
      <c r="K63" s="1567">
        <f>737742.99-K60</f>
        <v>667232.5</v>
      </c>
      <c r="L63" s="1604"/>
      <c r="M63" s="1567">
        <f>674923.76-M60</f>
        <v>647514.94999999995</v>
      </c>
      <c r="N63" s="1604"/>
      <c r="O63" s="1567">
        <f>1012835.08-O60</f>
        <v>972825.08</v>
      </c>
      <c r="P63" s="1604"/>
      <c r="Q63" s="1567">
        <f>383027.58-Q60-(82.25)</f>
        <v>303471.35000000003</v>
      </c>
      <c r="R63" s="1604"/>
      <c r="S63" s="1567">
        <f>571399.3-S60</f>
        <v>568099.30000000005</v>
      </c>
      <c r="T63" s="1604"/>
      <c r="U63" s="1567">
        <f>970866.3-U60</f>
        <v>879801.8</v>
      </c>
      <c r="V63" s="1604"/>
      <c r="W63" s="1567">
        <f>841080.84-W60</f>
        <v>749644.36</v>
      </c>
      <c r="X63" s="1604"/>
      <c r="Y63" s="1567">
        <f>910440.66-Y60</f>
        <v>818005</v>
      </c>
      <c r="Z63" s="1604"/>
      <c r="AA63" s="1567">
        <f>681850.6-AA60-(12172-12054.62)-(51695-50648.85)</f>
        <v>642098.06999999995</v>
      </c>
      <c r="AB63" s="1569"/>
      <c r="AC63" s="1568">
        <f>+E63+G63+I63+K63+M63+O63+Q63+S63+U63+W63+Y63+AA63</f>
        <v>8450142.5299999993</v>
      </c>
      <c r="AD63" s="1569"/>
      <c r="AE63" s="1568">
        <f>+G63+I63+K63+M63+O63+Q63+S63+U63+W63+Y63+AA63+AC63</f>
        <v>16010078.76</v>
      </c>
      <c r="AF63" s="1569"/>
    </row>
    <row r="64" spans="3:32" s="1368" customFormat="1" ht="21" customHeight="1">
      <c r="C64" s="1608" t="s">
        <v>1034</v>
      </c>
      <c r="D64" s="1341"/>
      <c r="E64" s="1567">
        <f>+E56-E63</f>
        <v>0</v>
      </c>
      <c r="F64" s="1569"/>
      <c r="G64" s="1567">
        <f>+G56-G63</f>
        <v>0</v>
      </c>
      <c r="H64" s="1569"/>
      <c r="I64" s="1567">
        <f>+I56-I63</f>
        <v>0</v>
      </c>
      <c r="J64" s="1569"/>
      <c r="K64" s="1567">
        <f>+K56-K63</f>
        <v>0</v>
      </c>
      <c r="L64" s="1569"/>
      <c r="M64" s="1567">
        <f>+M56-M63</f>
        <v>0</v>
      </c>
      <c r="N64" s="1569"/>
      <c r="O64" s="1567">
        <f>+O56-O63</f>
        <v>0</v>
      </c>
      <c r="P64" s="1569"/>
      <c r="Q64" s="1567">
        <f>+Q56-Q63</f>
        <v>0</v>
      </c>
      <c r="R64" s="1569"/>
      <c r="S64" s="1567">
        <f>+S56-S63</f>
        <v>0</v>
      </c>
      <c r="T64" s="1569"/>
      <c r="U64" s="1567">
        <f>+U56-U63</f>
        <v>0</v>
      </c>
      <c r="V64" s="1569"/>
      <c r="W64" s="1567">
        <f>+W56-W63</f>
        <v>0</v>
      </c>
      <c r="X64" s="1569"/>
      <c r="Y64" s="1567">
        <f>+Y56-Y63</f>
        <v>0</v>
      </c>
      <c r="Z64" s="1569"/>
      <c r="AA64" s="1567">
        <f>+AA56-AA63</f>
        <v>0</v>
      </c>
      <c r="AB64" s="1569"/>
      <c r="AC64" s="1568">
        <f>+AC56-AC63</f>
        <v>0</v>
      </c>
      <c r="AD64" s="1569"/>
      <c r="AE64" s="1568">
        <f>+AE56-AE63</f>
        <v>-16010078.76</v>
      </c>
      <c r="AF64" s="1569"/>
    </row>
    <row r="65" spans="3:44" s="1368" customFormat="1" ht="21" customHeight="1"/>
    <row r="66" spans="3:44" s="1368" customFormat="1" ht="20.25" customHeight="1">
      <c r="C66" s="1391" t="s">
        <v>1537</v>
      </c>
      <c r="D66" s="1391" t="s">
        <v>1539</v>
      </c>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A66" s="1609"/>
      <c r="AB66" s="1609"/>
      <c r="AC66" s="1574">
        <f t="shared" ref="AC66:AD66" si="29">+E66+G66+I66+K66+M66+O66+Q66+S66+U66+W66+Y66+AA66</f>
        <v>0</v>
      </c>
      <c r="AD66" s="1610">
        <f t="shared" si="29"/>
        <v>0</v>
      </c>
      <c r="AE66" s="1576">
        <f t="shared" ref="AE66:AF66" si="30">IF(MONTH($E$7)=1,G66+I66+K66+M66+O66+Q66+S66+U66+W66+Y66+AA66,IF(MONTH($E$7)=2,I66+K66+M66+O66+Q66+S66+U66+W66+Y66+AA66,IF(MONTH($E$7)=3,K66+M66+O66+Q66+S66+U66+W66+Y66+AA66,IF(MONTH($E$7)=4,M66+O66+Q66+S66+U66+W66+Y66+AA66,IF(MONTH($E$7)=5,O66+Q66+S66+U66+W66+Y66+AA66,IF(MONTH($E$7)=6,Q66+S66+U66+W66+Y66+AA66,IF(MONTH($E$7)=7,S66+U66+W66+Y66+AA66,IF(MONTH($E$7)=8,U66+W66+Y66+AA66,IF(MONTH($E$7)=9,W66+Y66+AA66,IF(MONTH($E$7)=10,Y66+AA66,IF(MONTH($E$7)=11,AA66,0)))))))))))</f>
        <v>0</v>
      </c>
      <c r="AF66" s="1611">
        <f t="shared" si="30"/>
        <v>0</v>
      </c>
    </row>
    <row r="67" spans="3:44" s="1341" customFormat="1" ht="20.25" customHeight="1">
      <c r="E67" s="1417"/>
      <c r="F67" s="1417"/>
      <c r="G67" s="1417"/>
      <c r="H67" s="1417"/>
      <c r="I67" s="1417"/>
      <c r="J67" s="1417"/>
      <c r="K67" s="1417"/>
      <c r="L67" s="1417"/>
      <c r="M67" s="1417"/>
      <c r="N67" s="1417"/>
      <c r="O67" s="1417"/>
      <c r="P67" s="1417"/>
      <c r="Q67" s="1417"/>
      <c r="R67" s="1417"/>
      <c r="S67" s="1417"/>
      <c r="T67" s="1417"/>
      <c r="U67" s="1417"/>
      <c r="V67" s="1417"/>
      <c r="W67" s="1417"/>
      <c r="X67" s="1417"/>
      <c r="Y67" s="1417"/>
      <c r="Z67" s="1417"/>
      <c r="AA67" s="1417"/>
      <c r="AB67" s="1417"/>
      <c r="AF67" s="1612"/>
    </row>
    <row r="68" spans="3:44" s="1341" customFormat="1" ht="20.25" customHeight="1">
      <c r="C68" s="1391" t="s">
        <v>1537</v>
      </c>
      <c r="D68" s="1391" t="s">
        <v>1538</v>
      </c>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A68" s="1609"/>
      <c r="AB68" s="1609"/>
      <c r="AC68" s="1574">
        <f t="shared" ref="AC68:AD68" si="31">+E68+G68+I68+K68+M68+O68+Q68+S68+U68+W68+Y68+AA68</f>
        <v>0</v>
      </c>
      <c r="AD68" s="1610">
        <f t="shared" si="31"/>
        <v>0</v>
      </c>
      <c r="AE68" s="1576">
        <f t="shared" ref="AE68:AF68" si="32">IF(MONTH($E$7)=1,G68+I68+K68+M68+O68+Q68+S68+U68+W68+Y68+AA68,IF(MONTH($E$7)=2,I68+K68+M68+O68+Q68+S68+U68+W68+Y68+AA68,IF(MONTH($E$7)=3,K68+M68+O68+Q68+S68+U68+W68+Y68+AA68,IF(MONTH($E$7)=4,M68+O68+Q68+S68+U68+W68+Y68+AA68,IF(MONTH($E$7)=5,O68+Q68+S68+U68+W68+Y68+AA68,IF(MONTH($E$7)=6,Q68+S68+U68+W68+Y68+AA68,IF(MONTH($E$7)=7,S68+U68+W68+Y68+AA68,IF(MONTH($E$7)=8,U68+W68+Y68+AA68,IF(MONTH($E$7)=9,W68+Y68+AA68,IF(MONTH($E$7)=10,Y68+AA68,IF(MONTH($E$7)=11,AA68,0)))))))))))</f>
        <v>0</v>
      </c>
      <c r="AF68" s="1611">
        <f t="shared" si="32"/>
        <v>0</v>
      </c>
    </row>
    <row r="69" spans="3:44" s="1341" customFormat="1" ht="15" customHeight="1"/>
    <row r="70" spans="3:44" s="1341" customFormat="1" ht="15" customHeight="1" outlineLevel="1" thickBot="1">
      <c r="C70" s="1613"/>
      <c r="D70" s="1613"/>
      <c r="E70" s="1613"/>
      <c r="F70" s="1613"/>
      <c r="G70" s="1613"/>
      <c r="H70" s="1613"/>
      <c r="I70" s="1613"/>
      <c r="J70" s="1613"/>
      <c r="K70" s="1613"/>
      <c r="L70" s="1613"/>
      <c r="M70" s="1613"/>
      <c r="N70" s="1613"/>
      <c r="O70" s="1613"/>
      <c r="P70" s="1613"/>
      <c r="Q70" s="1613"/>
      <c r="R70" s="1613"/>
      <c r="S70" s="1613"/>
      <c r="T70" s="1613"/>
      <c r="U70" s="1613"/>
      <c r="V70" s="1613"/>
      <c r="W70" s="1613"/>
      <c r="X70" s="1613"/>
      <c r="Y70" s="1613"/>
      <c r="Z70" s="1613"/>
      <c r="AA70" s="1613"/>
      <c r="AB70" s="1613"/>
      <c r="AC70" s="1613"/>
      <c r="AD70" s="1613"/>
      <c r="AE70" s="1613"/>
      <c r="AF70" s="1613"/>
    </row>
    <row r="71" spans="3:44" s="1488" customFormat="1" ht="21" customHeight="1" outlineLevel="1" thickTop="1">
      <c r="E71" s="2463" t="s">
        <v>946</v>
      </c>
      <c r="F71" s="2463"/>
      <c r="G71" s="2463" t="s">
        <v>947</v>
      </c>
      <c r="H71" s="2463"/>
      <c r="I71" s="2463" t="s">
        <v>948</v>
      </c>
      <c r="J71" s="2463"/>
      <c r="K71" s="2463" t="s">
        <v>949</v>
      </c>
      <c r="L71" s="2463"/>
      <c r="M71" s="2463" t="s">
        <v>950</v>
      </c>
      <c r="N71" s="2463"/>
      <c r="O71" s="2463" t="s">
        <v>951</v>
      </c>
      <c r="P71" s="2463"/>
      <c r="Q71" s="2463" t="s">
        <v>952</v>
      </c>
      <c r="R71" s="2463"/>
      <c r="S71" s="2463" t="s">
        <v>953</v>
      </c>
      <c r="T71" s="2463"/>
      <c r="U71" s="2463" t="s">
        <v>954</v>
      </c>
      <c r="V71" s="2463"/>
      <c r="W71" s="2463" t="s">
        <v>955</v>
      </c>
      <c r="X71" s="2463"/>
      <c r="Y71" s="2463" t="s">
        <v>956</v>
      </c>
      <c r="Z71" s="2463"/>
      <c r="AA71" s="2463" t="s">
        <v>957</v>
      </c>
      <c r="AB71" s="2464"/>
      <c r="AC71" s="2465" t="s">
        <v>1035</v>
      </c>
      <c r="AD71" s="2466"/>
      <c r="AE71" s="2467" t="s">
        <v>1724</v>
      </c>
      <c r="AF71" s="2468"/>
      <c r="AG71" s="1489"/>
      <c r="AH71" s="1489"/>
      <c r="AI71" s="1489"/>
      <c r="AJ71" s="1489"/>
      <c r="AK71" s="1489"/>
      <c r="AL71" s="1489"/>
      <c r="AM71" s="1489"/>
      <c r="AN71" s="1489"/>
      <c r="AO71" s="1489"/>
      <c r="AP71" s="1489"/>
      <c r="AQ71" s="1489"/>
      <c r="AR71" s="1489"/>
    </row>
    <row r="72" spans="3:44" s="1488" customFormat="1" ht="21" customHeight="1" outlineLevel="1">
      <c r="C72" s="1490" t="s">
        <v>1038</v>
      </c>
      <c r="D72" s="1491" t="s">
        <v>180</v>
      </c>
      <c r="E72" s="1492" t="s">
        <v>1011</v>
      </c>
      <c r="F72" s="1492" t="s">
        <v>933</v>
      </c>
      <c r="G72" s="1492" t="s">
        <v>1011</v>
      </c>
      <c r="H72" s="1492" t="s">
        <v>933</v>
      </c>
      <c r="I72" s="1492" t="s">
        <v>1011</v>
      </c>
      <c r="J72" s="1492" t="s">
        <v>933</v>
      </c>
      <c r="K72" s="1492" t="s">
        <v>1011</v>
      </c>
      <c r="L72" s="1492" t="s">
        <v>933</v>
      </c>
      <c r="M72" s="1492" t="s">
        <v>1011</v>
      </c>
      <c r="N72" s="1492" t="s">
        <v>933</v>
      </c>
      <c r="O72" s="1492" t="s">
        <v>1011</v>
      </c>
      <c r="P72" s="1492" t="s">
        <v>933</v>
      </c>
      <c r="Q72" s="1492" t="s">
        <v>1011</v>
      </c>
      <c r="R72" s="1492" t="s">
        <v>933</v>
      </c>
      <c r="S72" s="1492" t="s">
        <v>1011</v>
      </c>
      <c r="T72" s="1492" t="s">
        <v>933</v>
      </c>
      <c r="U72" s="1492" t="s">
        <v>1011</v>
      </c>
      <c r="V72" s="1492" t="s">
        <v>933</v>
      </c>
      <c r="W72" s="1492" t="s">
        <v>1011</v>
      </c>
      <c r="X72" s="1492" t="s">
        <v>933</v>
      </c>
      <c r="Y72" s="1492" t="s">
        <v>1011</v>
      </c>
      <c r="Z72" s="1492" t="s">
        <v>933</v>
      </c>
      <c r="AA72" s="1492" t="s">
        <v>1011</v>
      </c>
      <c r="AB72" s="1493" t="s">
        <v>933</v>
      </c>
      <c r="AC72" s="1494" t="s">
        <v>1011</v>
      </c>
      <c r="AD72" s="1497" t="s">
        <v>933</v>
      </c>
      <c r="AE72" s="1494" t="s">
        <v>1011</v>
      </c>
      <c r="AF72" s="1497" t="s">
        <v>933</v>
      </c>
      <c r="AG72" s="1489"/>
      <c r="AH72" s="1489"/>
      <c r="AI72" s="1489"/>
      <c r="AJ72" s="1489"/>
      <c r="AK72" s="1489"/>
      <c r="AL72" s="1489"/>
      <c r="AM72" s="1489"/>
      <c r="AN72" s="1489"/>
      <c r="AO72" s="1489"/>
      <c r="AP72" s="1489"/>
      <c r="AQ72" s="1489"/>
      <c r="AR72" s="1489"/>
    </row>
    <row r="73" spans="3:44" s="1498" customFormat="1" ht="21" customHeight="1" outlineLevel="1">
      <c r="C73" s="2458" t="s">
        <v>1013</v>
      </c>
      <c r="D73" s="2187" t="s">
        <v>2016</v>
      </c>
      <c r="E73" s="1508"/>
      <c r="F73" s="2179"/>
      <c r="G73" s="2180"/>
      <c r="H73" s="2181"/>
      <c r="I73" s="2178"/>
      <c r="J73" s="2179"/>
      <c r="K73" s="2180"/>
      <c r="L73" s="2181"/>
      <c r="M73" s="2178"/>
      <c r="N73" s="2179"/>
      <c r="O73" s="2180"/>
      <c r="P73" s="2181"/>
      <c r="Q73" s="2178"/>
      <c r="R73" s="2179"/>
      <c r="S73" s="2180"/>
      <c r="T73" s="2181"/>
      <c r="U73" s="2178"/>
      <c r="V73" s="2179"/>
      <c r="W73" s="2180"/>
      <c r="X73" s="2181"/>
      <c r="Y73" s="2178"/>
      <c r="Z73" s="2179"/>
      <c r="AA73" s="2180"/>
      <c r="AB73" s="2181"/>
      <c r="AC73" s="1504">
        <f>+E73+G73+I73+K73+M73+O73+Q73+S73+U73+W73+Y73+AA73</f>
        <v>0</v>
      </c>
      <c r="AD73" s="1505">
        <f t="shared" ref="AD73" si="33">+F73+H73+J73+L73+N73+P73+R73+T73+V73+X73+Z73+AB73</f>
        <v>0</v>
      </c>
      <c r="AE73" s="1614">
        <f>AE18+G73+I73+K73+M73+O73+Q73+S73+U73+W73+Y73+AA73+E73</f>
        <v>0</v>
      </c>
      <c r="AF73" s="1615">
        <f>AF18+H73+J73+L73+N73+P73+R73+T73+V73+X73+Z73+AB73+F73</f>
        <v>0</v>
      </c>
      <c r="AG73" s="1368"/>
      <c r="AH73" s="1368"/>
      <c r="AI73" s="1368"/>
      <c r="AJ73" s="1368"/>
      <c r="AK73" s="1368"/>
      <c r="AL73" s="1368"/>
      <c r="AM73" s="1368"/>
      <c r="AN73" s="1368"/>
      <c r="AO73" s="1368"/>
      <c r="AP73" s="1368"/>
      <c r="AQ73" s="1368"/>
      <c r="AR73" s="1368"/>
    </row>
    <row r="74" spans="3:44" s="1498" customFormat="1" ht="21" customHeight="1" outlineLevel="1">
      <c r="C74" s="2459"/>
      <c r="D74" s="2190" t="s">
        <v>2025</v>
      </c>
      <c r="E74" s="1508"/>
      <c r="F74" s="1509"/>
      <c r="G74" s="1510"/>
      <c r="H74" s="1511"/>
      <c r="I74" s="1508"/>
      <c r="J74" s="1509"/>
      <c r="K74" s="1510"/>
      <c r="L74" s="1511"/>
      <c r="M74" s="1508"/>
      <c r="N74" s="1509"/>
      <c r="O74" s="1510"/>
      <c r="P74" s="1511"/>
      <c r="Q74" s="1508"/>
      <c r="R74" s="1509"/>
      <c r="S74" s="1510"/>
      <c r="T74" s="1511"/>
      <c r="U74" s="1508"/>
      <c r="V74" s="1509"/>
      <c r="W74" s="1510"/>
      <c r="X74" s="1511"/>
      <c r="Y74" s="1508"/>
      <c r="Z74" s="1509"/>
      <c r="AA74" s="1510"/>
      <c r="AB74" s="1511"/>
      <c r="AC74" s="1504">
        <f t="shared" ref="AC74:AC79" si="34">+E74+G74+I74+K74+M74+O74+Q74+S74+U74+W74+Y74+AA74</f>
        <v>0</v>
      </c>
      <c r="AD74" s="1505">
        <f t="shared" ref="AD74:AD79" si="35">+F74+H74+J74+L74+N74+P74+R74+T74+V74+X74+Z74+AB74</f>
        <v>0</v>
      </c>
      <c r="AE74" s="1614">
        <f t="shared" ref="AE74:AF74" si="36">AE19+G74+I74+K74+M74+O74+Q74+S74+U74+W74+Y74+AA74+E74</f>
        <v>0</v>
      </c>
      <c r="AF74" s="1615">
        <f t="shared" si="36"/>
        <v>0</v>
      </c>
      <c r="AG74" s="1368"/>
      <c r="AH74" s="1368"/>
      <c r="AI74" s="1368"/>
      <c r="AJ74" s="1368"/>
      <c r="AK74" s="1368"/>
      <c r="AL74" s="1368"/>
      <c r="AM74" s="1368"/>
      <c r="AN74" s="1368"/>
      <c r="AO74" s="1368"/>
      <c r="AP74" s="1368"/>
      <c r="AQ74" s="1368"/>
      <c r="AR74" s="1368"/>
    </row>
    <row r="75" spans="3:44" s="1498" customFormat="1" ht="21" customHeight="1" outlineLevel="1">
      <c r="C75" s="2459"/>
      <c r="D75" s="2177">
        <v>0.04</v>
      </c>
      <c r="E75" s="1508"/>
      <c r="F75" s="1509"/>
      <c r="G75" s="1510"/>
      <c r="H75" s="1511"/>
      <c r="I75" s="1508"/>
      <c r="J75" s="1509"/>
      <c r="K75" s="1510"/>
      <c r="L75" s="1511"/>
      <c r="M75" s="1508"/>
      <c r="N75" s="1509"/>
      <c r="O75" s="1510"/>
      <c r="P75" s="1511"/>
      <c r="Q75" s="1508"/>
      <c r="R75" s="1509"/>
      <c r="S75" s="1510"/>
      <c r="T75" s="1511"/>
      <c r="U75" s="1508"/>
      <c r="V75" s="1509"/>
      <c r="W75" s="1510"/>
      <c r="X75" s="1511"/>
      <c r="Y75" s="1508"/>
      <c r="Z75" s="1509"/>
      <c r="AA75" s="1510"/>
      <c r="AB75" s="1511"/>
      <c r="AC75" s="1504">
        <f t="shared" si="34"/>
        <v>0</v>
      </c>
      <c r="AD75" s="1505">
        <f t="shared" si="35"/>
        <v>0</v>
      </c>
      <c r="AE75" s="1614">
        <f t="shared" ref="AE75:AF75" si="37">AE20+G75+I75+K75+M75+O75+Q75+S75+U75+W75+Y75+AA75+E75</f>
        <v>0</v>
      </c>
      <c r="AF75" s="1615">
        <f t="shared" si="37"/>
        <v>0</v>
      </c>
      <c r="AG75" s="1368"/>
      <c r="AH75" s="1368"/>
      <c r="AI75" s="1368"/>
      <c r="AJ75" s="1368"/>
      <c r="AK75" s="1368"/>
      <c r="AL75" s="1368"/>
      <c r="AM75" s="1368"/>
      <c r="AN75" s="1368"/>
      <c r="AO75" s="1368"/>
      <c r="AP75" s="1368"/>
      <c r="AQ75" s="1368"/>
      <c r="AR75" s="1368"/>
    </row>
    <row r="76" spans="3:44" s="1498" customFormat="1" ht="21" customHeight="1" outlineLevel="1">
      <c r="C76" s="2459"/>
      <c r="D76" s="1499">
        <v>0.05</v>
      </c>
      <c r="E76" s="1508"/>
      <c r="F76" s="1509"/>
      <c r="G76" s="1510"/>
      <c r="H76" s="1511"/>
      <c r="I76" s="1508"/>
      <c r="J76" s="1509"/>
      <c r="K76" s="1510"/>
      <c r="L76" s="1511"/>
      <c r="M76" s="1508"/>
      <c r="N76" s="1509"/>
      <c r="O76" s="1510"/>
      <c r="P76" s="1511"/>
      <c r="Q76" s="1508"/>
      <c r="R76" s="1509"/>
      <c r="S76" s="1510"/>
      <c r="T76" s="1511"/>
      <c r="U76" s="1508"/>
      <c r="V76" s="1509"/>
      <c r="W76" s="1510"/>
      <c r="X76" s="1511"/>
      <c r="Y76" s="1508"/>
      <c r="Z76" s="1509"/>
      <c r="AA76" s="1510"/>
      <c r="AB76" s="1511"/>
      <c r="AC76" s="1512">
        <f t="shared" si="34"/>
        <v>0</v>
      </c>
      <c r="AD76" s="1513">
        <f t="shared" si="35"/>
        <v>0</v>
      </c>
      <c r="AE76" s="1514">
        <f t="shared" ref="AE76:AF76" si="38">AE21+G76+I76+K76+M76+O76+Q76+S76+U76+W76+Y76+AA76+E76</f>
        <v>0</v>
      </c>
      <c r="AF76" s="1507">
        <f t="shared" si="38"/>
        <v>0</v>
      </c>
      <c r="AG76" s="1368"/>
      <c r="AH76" s="1368"/>
      <c r="AI76" s="1368"/>
      <c r="AJ76" s="1368"/>
      <c r="AK76" s="1368"/>
      <c r="AL76" s="1368"/>
      <c r="AM76" s="1368"/>
      <c r="AN76" s="1368"/>
      <c r="AO76" s="1368"/>
      <c r="AP76" s="1368"/>
      <c r="AQ76" s="1368"/>
      <c r="AR76" s="1368"/>
    </row>
    <row r="77" spans="3:44" s="1498" customFormat="1" ht="21" customHeight="1" outlineLevel="1">
      <c r="C77" s="2459"/>
      <c r="D77" s="2189">
        <v>7.4999999999999997E-2</v>
      </c>
      <c r="E77" s="1508"/>
      <c r="F77" s="1509"/>
      <c r="G77" s="1510"/>
      <c r="H77" s="1511"/>
      <c r="I77" s="1508"/>
      <c r="J77" s="1509"/>
      <c r="K77" s="1510"/>
      <c r="L77" s="1511"/>
      <c r="M77" s="1508"/>
      <c r="N77" s="1509"/>
      <c r="O77" s="1510"/>
      <c r="P77" s="1511"/>
      <c r="Q77" s="1508"/>
      <c r="R77" s="1509"/>
      <c r="S77" s="1510"/>
      <c r="T77" s="1511"/>
      <c r="U77" s="1508"/>
      <c r="V77" s="1509"/>
      <c r="W77" s="1510"/>
      <c r="X77" s="1511"/>
      <c r="Y77" s="1508"/>
      <c r="Z77" s="1509"/>
      <c r="AA77" s="1510"/>
      <c r="AB77" s="1511"/>
      <c r="AC77" s="1512">
        <f t="shared" si="34"/>
        <v>0</v>
      </c>
      <c r="AD77" s="1513">
        <f t="shared" si="35"/>
        <v>0</v>
      </c>
      <c r="AE77" s="1514">
        <f t="shared" ref="AE77:AF77" si="39">AE22+G77+I77+K77+M77+O77+Q77+S77+U77+W77+Y77+AA77+E77</f>
        <v>0</v>
      </c>
      <c r="AF77" s="1507">
        <f t="shared" si="39"/>
        <v>0</v>
      </c>
      <c r="AG77" s="1368"/>
      <c r="AH77" s="1368"/>
      <c r="AI77" s="1368"/>
      <c r="AJ77" s="1368"/>
      <c r="AK77" s="1368"/>
      <c r="AL77" s="1368"/>
      <c r="AM77" s="1368"/>
      <c r="AN77" s="1368"/>
      <c r="AO77" s="1368"/>
      <c r="AP77" s="1368"/>
      <c r="AQ77" s="1368"/>
      <c r="AR77" s="1368"/>
    </row>
    <row r="78" spans="3:44" s="1498" customFormat="1" ht="21" customHeight="1" outlineLevel="1">
      <c r="C78" s="2459"/>
      <c r="D78" s="1499">
        <v>0.1</v>
      </c>
      <c r="E78" s="1508"/>
      <c r="F78" s="1509"/>
      <c r="G78" s="1510"/>
      <c r="H78" s="1511"/>
      <c r="I78" s="1508"/>
      <c r="J78" s="1509"/>
      <c r="K78" s="1510"/>
      <c r="L78" s="1511"/>
      <c r="M78" s="1508"/>
      <c r="N78" s="1509"/>
      <c r="O78" s="1510"/>
      <c r="P78" s="1511"/>
      <c r="Q78" s="1508"/>
      <c r="R78" s="1509"/>
      <c r="S78" s="1510"/>
      <c r="T78" s="1511"/>
      <c r="U78" s="1508"/>
      <c r="V78" s="1509"/>
      <c r="W78" s="1510"/>
      <c r="X78" s="1511"/>
      <c r="Y78" s="1508"/>
      <c r="Z78" s="1509"/>
      <c r="AA78" s="1510"/>
      <c r="AB78" s="1511"/>
      <c r="AC78" s="1512">
        <f t="shared" si="34"/>
        <v>0</v>
      </c>
      <c r="AD78" s="1513">
        <f t="shared" si="35"/>
        <v>0</v>
      </c>
      <c r="AE78" s="1514">
        <f t="shared" ref="AE78:AF78" si="40">AE23+G78+I78+K78+M78+O78+Q78+S78+U78+W78+Y78+AA78+E78</f>
        <v>0</v>
      </c>
      <c r="AF78" s="1507">
        <f t="shared" si="40"/>
        <v>0</v>
      </c>
      <c r="AG78" s="1368"/>
      <c r="AH78" s="1368"/>
      <c r="AI78" s="1368"/>
      <c r="AJ78" s="1368"/>
      <c r="AK78" s="1368"/>
      <c r="AL78" s="1368"/>
      <c r="AM78" s="1368"/>
      <c r="AN78" s="1368"/>
      <c r="AO78" s="1368"/>
      <c r="AP78" s="1368"/>
      <c r="AQ78" s="1368"/>
      <c r="AR78" s="1368"/>
    </row>
    <row r="79" spans="3:44" s="1368" customFormat="1" ht="21" customHeight="1" outlineLevel="1">
      <c r="C79" s="2460"/>
      <c r="D79" s="1515">
        <v>0.21</v>
      </c>
      <c r="E79" s="1516"/>
      <c r="F79" s="1517"/>
      <c r="G79" s="1518"/>
      <c r="H79" s="1519"/>
      <c r="I79" s="1516"/>
      <c r="J79" s="1517"/>
      <c r="K79" s="1518"/>
      <c r="L79" s="1519"/>
      <c r="M79" s="1516"/>
      <c r="N79" s="1517"/>
      <c r="O79" s="1518"/>
      <c r="P79" s="1519"/>
      <c r="Q79" s="1516"/>
      <c r="R79" s="1517"/>
      <c r="S79" s="1518"/>
      <c r="T79" s="1519"/>
      <c r="U79" s="1516"/>
      <c r="V79" s="1517"/>
      <c r="W79" s="1518"/>
      <c r="X79" s="1519"/>
      <c r="Y79" s="1516"/>
      <c r="Z79" s="1517"/>
      <c r="AA79" s="1518"/>
      <c r="AB79" s="1519"/>
      <c r="AC79" s="1520">
        <f t="shared" si="34"/>
        <v>0</v>
      </c>
      <c r="AD79" s="1521">
        <f t="shared" si="35"/>
        <v>0</v>
      </c>
      <c r="AE79" s="1522">
        <f t="shared" ref="AE79:AF79" si="41">AE24+G79+I79+K79+M79+O79+Q79+S79+U79+W79+Y79+AA79+E79</f>
        <v>0</v>
      </c>
      <c r="AF79" s="1523">
        <f t="shared" si="41"/>
        <v>0</v>
      </c>
    </row>
    <row r="80" spans="3:44" s="1368" customFormat="1" ht="21" customHeight="1" outlineLevel="1">
      <c r="C80" s="2449" t="s">
        <v>1660</v>
      </c>
      <c r="D80" s="2450"/>
      <c r="E80" s="1524"/>
      <c r="F80" s="1525"/>
      <c r="G80" s="1526"/>
      <c r="H80" s="1527"/>
      <c r="I80" s="1524"/>
      <c r="J80" s="1525"/>
      <c r="K80" s="1526"/>
      <c r="L80" s="1527"/>
      <c r="M80" s="1524"/>
      <c r="N80" s="1525"/>
      <c r="O80" s="1526"/>
      <c r="P80" s="1527"/>
      <c r="Q80" s="1524"/>
      <c r="R80" s="1525"/>
      <c r="S80" s="1526"/>
      <c r="T80" s="1527"/>
      <c r="U80" s="1524"/>
      <c r="V80" s="1525"/>
      <c r="W80" s="1526"/>
      <c r="X80" s="1527"/>
      <c r="Y80" s="1524"/>
      <c r="Z80" s="1525"/>
      <c r="AA80" s="1526"/>
      <c r="AB80" s="1527"/>
      <c r="AC80" s="1528">
        <f t="shared" ref="AC80:AC87" si="42">+E80+G80+I80+K80+M80+O80+Q80+S80+U80+W80+Y80+AA80</f>
        <v>0</v>
      </c>
      <c r="AD80" s="1529">
        <f t="shared" ref="AD80:AD87" si="43">+F80+H80+J80+L80+N80+P80+R80+T80+V80+X80+Z80+AB80</f>
        <v>0</v>
      </c>
      <c r="AE80" s="1530">
        <f t="shared" ref="AE80:AF87" si="44">AE25+G80+I80+K80+M80+O80+Q80+S80+U80+W80+Y80+AA80+E80</f>
        <v>0</v>
      </c>
      <c r="AF80" s="1531">
        <f t="shared" si="44"/>
        <v>0</v>
      </c>
    </row>
    <row r="81" spans="3:32" s="1368" customFormat="1" ht="26.25" customHeight="1" outlineLevel="1">
      <c r="C81" s="2451" t="s">
        <v>1649</v>
      </c>
      <c r="D81" s="2452"/>
      <c r="E81" s="1532"/>
      <c r="F81" s="1533"/>
      <c r="G81" s="1534"/>
      <c r="H81" s="1535"/>
      <c r="I81" s="1532"/>
      <c r="J81" s="1533"/>
      <c r="K81" s="1534"/>
      <c r="L81" s="1535"/>
      <c r="M81" s="1532"/>
      <c r="N81" s="1533"/>
      <c r="O81" s="1534"/>
      <c r="P81" s="1535"/>
      <c r="Q81" s="1532"/>
      <c r="R81" s="1533"/>
      <c r="S81" s="1534"/>
      <c r="T81" s="1535"/>
      <c r="U81" s="1532"/>
      <c r="V81" s="1533"/>
      <c r="W81" s="1534"/>
      <c r="X81" s="1535"/>
      <c r="Y81" s="1532"/>
      <c r="Z81" s="1533"/>
      <c r="AA81" s="1534"/>
      <c r="AB81" s="1535"/>
      <c r="AC81" s="1536">
        <f t="shared" si="42"/>
        <v>0</v>
      </c>
      <c r="AD81" s="1537">
        <f t="shared" si="43"/>
        <v>0</v>
      </c>
      <c r="AE81" s="1538">
        <f t="shared" si="44"/>
        <v>0</v>
      </c>
      <c r="AF81" s="1539">
        <f t="shared" si="44"/>
        <v>0</v>
      </c>
    </row>
    <row r="82" spans="3:32" s="1368" customFormat="1" ht="26.25" customHeight="1" outlineLevel="1">
      <c r="C82" s="2453" t="s">
        <v>1651</v>
      </c>
      <c r="D82" s="2454"/>
      <c r="E82" s="1524"/>
      <c r="F82" s="1525"/>
      <c r="G82" s="1526"/>
      <c r="H82" s="1527"/>
      <c r="I82" s="1524"/>
      <c r="J82" s="1525"/>
      <c r="K82" s="1526"/>
      <c r="L82" s="1527"/>
      <c r="M82" s="1524"/>
      <c r="N82" s="1525"/>
      <c r="O82" s="1526"/>
      <c r="P82" s="1527"/>
      <c r="Q82" s="1524"/>
      <c r="R82" s="1525"/>
      <c r="S82" s="1526"/>
      <c r="T82" s="1527"/>
      <c r="U82" s="1524"/>
      <c r="V82" s="1525"/>
      <c r="W82" s="1526"/>
      <c r="X82" s="1527"/>
      <c r="Y82" s="1524"/>
      <c r="Z82" s="1525"/>
      <c r="AA82" s="1526"/>
      <c r="AB82" s="1527"/>
      <c r="AC82" s="1528">
        <f t="shared" si="42"/>
        <v>0</v>
      </c>
      <c r="AD82" s="1529">
        <f t="shared" si="43"/>
        <v>0</v>
      </c>
      <c r="AE82" s="1530">
        <f t="shared" si="44"/>
        <v>0</v>
      </c>
      <c r="AF82" s="1531">
        <f t="shared" si="44"/>
        <v>0</v>
      </c>
    </row>
    <row r="83" spans="3:32" s="1368" customFormat="1" ht="21" customHeight="1" outlineLevel="1">
      <c r="C83" s="2455" t="s">
        <v>1014</v>
      </c>
      <c r="D83" s="1540">
        <v>5.0000000000000001E-3</v>
      </c>
      <c r="E83" s="1541"/>
      <c r="F83" s="1542"/>
      <c r="G83" s="1543"/>
      <c r="H83" s="1544"/>
      <c r="I83" s="1541"/>
      <c r="J83" s="1542"/>
      <c r="K83" s="1543"/>
      <c r="L83" s="1544"/>
      <c r="M83" s="1541"/>
      <c r="N83" s="1542"/>
      <c r="O83" s="1543"/>
      <c r="P83" s="1544"/>
      <c r="Q83" s="1541"/>
      <c r="R83" s="1542"/>
      <c r="S83" s="1543"/>
      <c r="T83" s="1544"/>
      <c r="U83" s="1541"/>
      <c r="V83" s="1542"/>
      <c r="W83" s="1543"/>
      <c r="X83" s="1544"/>
      <c r="Y83" s="1541"/>
      <c r="Z83" s="1542"/>
      <c r="AA83" s="1543"/>
      <c r="AB83" s="1544"/>
      <c r="AC83" s="1545">
        <f t="shared" si="42"/>
        <v>0</v>
      </c>
      <c r="AD83" s="1546">
        <f t="shared" si="43"/>
        <v>0</v>
      </c>
      <c r="AE83" s="1547">
        <f t="shared" si="44"/>
        <v>0</v>
      </c>
      <c r="AF83" s="1548">
        <f t="shared" si="44"/>
        <v>0</v>
      </c>
    </row>
    <row r="84" spans="3:32" s="1368" customFormat="1" ht="21" customHeight="1" outlineLevel="1">
      <c r="C84" s="2456"/>
      <c r="D84" s="1540">
        <v>1.4E-2</v>
      </c>
      <c r="E84" s="1549"/>
      <c r="F84" s="1550"/>
      <c r="G84" s="1551"/>
      <c r="H84" s="1552"/>
      <c r="I84" s="1549"/>
      <c r="J84" s="1550"/>
      <c r="K84" s="1551"/>
      <c r="L84" s="1552"/>
      <c r="M84" s="1549"/>
      <c r="N84" s="1550"/>
      <c r="O84" s="1551"/>
      <c r="P84" s="1552"/>
      <c r="Q84" s="1549"/>
      <c r="R84" s="1550"/>
      <c r="S84" s="1551"/>
      <c r="T84" s="1552"/>
      <c r="U84" s="1549"/>
      <c r="V84" s="1550"/>
      <c r="W84" s="1551"/>
      <c r="X84" s="1552"/>
      <c r="Y84" s="1549"/>
      <c r="Z84" s="1550"/>
      <c r="AA84" s="1551"/>
      <c r="AB84" s="1552"/>
      <c r="AC84" s="1553">
        <f t="shared" si="42"/>
        <v>0</v>
      </c>
      <c r="AD84" s="1554">
        <f t="shared" si="43"/>
        <v>0</v>
      </c>
      <c r="AE84" s="1555">
        <f t="shared" si="44"/>
        <v>0</v>
      </c>
      <c r="AF84" s="1556">
        <f t="shared" si="44"/>
        <v>0</v>
      </c>
    </row>
    <row r="85" spans="3:32" s="1368" customFormat="1" ht="21" customHeight="1" outlineLevel="1">
      <c r="C85" s="2456"/>
      <c r="D85" s="1540">
        <v>5.1999999999999998E-2</v>
      </c>
      <c r="E85" s="1549"/>
      <c r="F85" s="1550"/>
      <c r="G85" s="1551"/>
      <c r="H85" s="1552"/>
      <c r="I85" s="1549"/>
      <c r="J85" s="1550"/>
      <c r="K85" s="1551"/>
      <c r="L85" s="1552"/>
      <c r="M85" s="1549"/>
      <c r="N85" s="1550"/>
      <c r="O85" s="1551"/>
      <c r="P85" s="1552"/>
      <c r="Q85" s="1549"/>
      <c r="R85" s="1550"/>
      <c r="S85" s="1551"/>
      <c r="T85" s="1552"/>
      <c r="U85" s="1549"/>
      <c r="V85" s="1550"/>
      <c r="W85" s="1551"/>
      <c r="X85" s="1552"/>
      <c r="Y85" s="1549"/>
      <c r="Z85" s="1550"/>
      <c r="AA85" s="1551"/>
      <c r="AB85" s="1552"/>
      <c r="AC85" s="1553">
        <f t="shared" si="42"/>
        <v>0</v>
      </c>
      <c r="AD85" s="1554">
        <f t="shared" si="43"/>
        <v>0</v>
      </c>
      <c r="AE85" s="1555">
        <f t="shared" si="44"/>
        <v>0</v>
      </c>
      <c r="AF85" s="1556">
        <f t="shared" si="44"/>
        <v>0</v>
      </c>
    </row>
    <row r="86" spans="3:32" s="1368" customFormat="1" ht="21" customHeight="1" outlineLevel="1">
      <c r="C86" s="2457"/>
      <c r="D86" s="1557"/>
      <c r="E86" s="1516"/>
      <c r="F86" s="1517"/>
      <c r="G86" s="1518"/>
      <c r="H86" s="1519"/>
      <c r="I86" s="1516"/>
      <c r="J86" s="1517"/>
      <c r="K86" s="1518"/>
      <c r="L86" s="1519"/>
      <c r="M86" s="1516"/>
      <c r="N86" s="1517"/>
      <c r="O86" s="1518"/>
      <c r="P86" s="1519"/>
      <c r="Q86" s="1516"/>
      <c r="R86" s="1517"/>
      <c r="S86" s="1518"/>
      <c r="T86" s="1519"/>
      <c r="U86" s="1516"/>
      <c r="V86" s="1517"/>
      <c r="W86" s="1518"/>
      <c r="X86" s="1519"/>
      <c r="Y86" s="1516"/>
      <c r="Z86" s="1517"/>
      <c r="AA86" s="1518"/>
      <c r="AB86" s="1519"/>
      <c r="AC86" s="1520">
        <f t="shared" si="42"/>
        <v>0</v>
      </c>
      <c r="AD86" s="1521">
        <f t="shared" si="43"/>
        <v>0</v>
      </c>
      <c r="AE86" s="1522">
        <f t="shared" si="44"/>
        <v>0</v>
      </c>
      <c r="AF86" s="1523">
        <f t="shared" si="44"/>
        <v>0</v>
      </c>
    </row>
    <row r="87" spans="3:32" s="1368" customFormat="1" ht="21" customHeight="1" outlineLevel="1">
      <c r="C87" s="2447" t="s">
        <v>1650</v>
      </c>
      <c r="D87" s="2448"/>
      <c r="E87" s="1558"/>
      <c r="F87" s="1559"/>
      <c r="G87" s="1560"/>
      <c r="H87" s="1561"/>
      <c r="I87" s="1558"/>
      <c r="J87" s="1559"/>
      <c r="K87" s="1560"/>
      <c r="L87" s="1561"/>
      <c r="M87" s="1558"/>
      <c r="N87" s="1559"/>
      <c r="O87" s="1560"/>
      <c r="P87" s="1561"/>
      <c r="Q87" s="1558"/>
      <c r="R87" s="1559"/>
      <c r="S87" s="1560"/>
      <c r="T87" s="1561"/>
      <c r="U87" s="1558"/>
      <c r="V87" s="1559"/>
      <c r="W87" s="1560"/>
      <c r="X87" s="1561"/>
      <c r="Y87" s="1558"/>
      <c r="Z87" s="1559"/>
      <c r="AA87" s="1560"/>
      <c r="AB87" s="1561"/>
      <c r="AC87" s="1562">
        <f t="shared" si="42"/>
        <v>0</v>
      </c>
      <c r="AD87" s="1563">
        <f t="shared" si="43"/>
        <v>0</v>
      </c>
      <c r="AE87" s="1564">
        <f t="shared" si="44"/>
        <v>0</v>
      </c>
      <c r="AF87" s="1565">
        <f t="shared" si="44"/>
        <v>0</v>
      </c>
    </row>
    <row r="88" spans="3:32" s="1489" customFormat="1" ht="21" customHeight="1" outlineLevel="1">
      <c r="C88" s="1391" t="s">
        <v>1015</v>
      </c>
      <c r="D88" s="1566"/>
      <c r="E88" s="1566"/>
      <c r="F88" s="1567">
        <f>SUM(F73:F87)</f>
        <v>0</v>
      </c>
      <c r="G88" s="1566"/>
      <c r="H88" s="1567">
        <f>SUM(H73:H87)</f>
        <v>0</v>
      </c>
      <c r="I88" s="1566"/>
      <c r="J88" s="1567">
        <f>SUM(J73:J87)</f>
        <v>0</v>
      </c>
      <c r="K88" s="1566"/>
      <c r="L88" s="1567">
        <f>SUM(L73:L87)</f>
        <v>0</v>
      </c>
      <c r="M88" s="1566"/>
      <c r="N88" s="1567">
        <f>SUM(N73:N87)</f>
        <v>0</v>
      </c>
      <c r="O88" s="1566"/>
      <c r="P88" s="1567">
        <f>SUM(P73:P87)</f>
        <v>0</v>
      </c>
      <c r="Q88" s="1566"/>
      <c r="R88" s="1567">
        <f>SUM(R73:R87)</f>
        <v>0</v>
      </c>
      <c r="S88" s="1566"/>
      <c r="T88" s="1567">
        <f>SUM(T73:T87)</f>
        <v>0</v>
      </c>
      <c r="U88" s="1566"/>
      <c r="V88" s="1567">
        <f>SUM(V73:V87)</f>
        <v>0</v>
      </c>
      <c r="W88" s="1566"/>
      <c r="X88" s="1567">
        <f>SUM(X73:X87)</f>
        <v>0</v>
      </c>
      <c r="Y88" s="1566"/>
      <c r="Z88" s="1567">
        <f>SUM(Z73:Z87)</f>
        <v>0</v>
      </c>
      <c r="AA88" s="1566"/>
      <c r="AB88" s="1567">
        <f>SUM(AB73:AB87)</f>
        <v>0</v>
      </c>
      <c r="AC88" s="1566"/>
      <c r="AD88" s="1568">
        <f>SUM(AD73:AD87)</f>
        <v>0</v>
      </c>
      <c r="AE88" s="1566"/>
      <c r="AF88" s="1568">
        <f>SUM(AF73:AF87)</f>
        <v>0</v>
      </c>
    </row>
    <row r="89" spans="3:32" s="1368" customFormat="1" ht="11.25" customHeight="1" outlineLevel="1" collapsed="1">
      <c r="E89" s="1569"/>
      <c r="F89" s="1569"/>
      <c r="G89" s="1569"/>
      <c r="H89" s="1569"/>
      <c r="I89" s="1569"/>
      <c r="J89" s="1569"/>
      <c r="K89" s="1569"/>
      <c r="L89" s="1569"/>
      <c r="M89" s="1569"/>
      <c r="N89" s="1569"/>
      <c r="O89" s="1569"/>
      <c r="P89" s="1569"/>
      <c r="Q89" s="1569"/>
      <c r="R89" s="1569"/>
      <c r="S89" s="1569"/>
      <c r="T89" s="1569"/>
      <c r="U89" s="1569"/>
      <c r="V89" s="1569"/>
      <c r="W89" s="1569"/>
      <c r="X89" s="1569"/>
      <c r="Y89" s="1569"/>
      <c r="Z89" s="1569"/>
      <c r="AA89" s="1569"/>
      <c r="AB89" s="1569"/>
      <c r="AC89" s="1569"/>
      <c r="AD89" s="1569"/>
      <c r="AE89" s="1569"/>
      <c r="AF89" s="1569"/>
    </row>
    <row r="90" spans="3:32" s="1341" customFormat="1" ht="21" customHeight="1" outlineLevel="1">
      <c r="C90" s="1345" t="s">
        <v>1016</v>
      </c>
    </row>
    <row r="91" spans="3:32" s="1368" customFormat="1" ht="21" customHeight="1" outlineLevel="1">
      <c r="C91" s="2442" t="s">
        <v>1017</v>
      </c>
      <c r="D91" s="2444"/>
      <c r="E91" s="1541"/>
      <c r="F91" s="1542"/>
      <c r="G91" s="1543"/>
      <c r="H91" s="1544"/>
      <c r="I91" s="1541"/>
      <c r="J91" s="1542"/>
      <c r="K91" s="1543"/>
      <c r="L91" s="1544"/>
      <c r="M91" s="1541"/>
      <c r="N91" s="1542"/>
      <c r="O91" s="1543"/>
      <c r="P91" s="1544"/>
      <c r="Q91" s="1541"/>
      <c r="R91" s="1542"/>
      <c r="S91" s="1543"/>
      <c r="T91" s="1544"/>
      <c r="U91" s="1541"/>
      <c r="V91" s="1542"/>
      <c r="W91" s="1543"/>
      <c r="X91" s="1544"/>
      <c r="Y91" s="1541"/>
      <c r="Z91" s="1542"/>
      <c r="AA91" s="1543"/>
      <c r="AB91" s="1544"/>
      <c r="AC91" s="1545">
        <f>+E91+G91+I91+K91+M91+O91+Q91+S91+U91+W91+Y91+AA91</f>
        <v>0</v>
      </c>
      <c r="AD91" s="1546">
        <f t="shared" ref="AD91:AD100" si="45">+F91+H91+J91+L91+N91+P91+R91+T91+V91+X91+Z91+AB91</f>
        <v>0</v>
      </c>
      <c r="AE91" s="1548">
        <f t="shared" ref="AE91:AE100" si="46">+AE36+E91+G91+I91+K91+M91+O91+Q91+S91+U91+W91+Y91+AA91</f>
        <v>0</v>
      </c>
      <c r="AF91" s="1548">
        <f t="shared" ref="AF91:AF100" si="47">+AF36+F91+H91+J91+L91+N91+P91+R91+T91+V91+X91+Z91+AB91</f>
        <v>0</v>
      </c>
    </row>
    <row r="92" spans="3:32" s="1368" customFormat="1" ht="34.5" customHeight="1" outlineLevel="1">
      <c r="C92" s="2442" t="s">
        <v>1018</v>
      </c>
      <c r="D92" s="2444"/>
      <c r="E92" s="1549"/>
      <c r="F92" s="1550"/>
      <c r="G92" s="1551"/>
      <c r="H92" s="1552"/>
      <c r="I92" s="1549"/>
      <c r="J92" s="1550"/>
      <c r="K92" s="1551"/>
      <c r="L92" s="1552"/>
      <c r="M92" s="1549"/>
      <c r="N92" s="1550"/>
      <c r="O92" s="1551"/>
      <c r="P92" s="1552"/>
      <c r="Q92" s="1549"/>
      <c r="R92" s="1550"/>
      <c r="S92" s="1551"/>
      <c r="T92" s="1552"/>
      <c r="U92" s="1549"/>
      <c r="V92" s="1550"/>
      <c r="W92" s="1551"/>
      <c r="X92" s="1552"/>
      <c r="Y92" s="1549"/>
      <c r="Z92" s="1550"/>
      <c r="AA92" s="1551"/>
      <c r="AB92" s="1552"/>
      <c r="AC92" s="1553">
        <f t="shared" ref="AC92:AC100" si="48">+E92+G92+I92+K92+M92+O92+Q92+S92+U92+W92+Y92+AA92</f>
        <v>0</v>
      </c>
      <c r="AD92" s="1554">
        <f t="shared" si="45"/>
        <v>0</v>
      </c>
      <c r="AE92" s="1556">
        <f t="shared" si="46"/>
        <v>0</v>
      </c>
      <c r="AF92" s="1556">
        <f t="shared" si="47"/>
        <v>0</v>
      </c>
    </row>
    <row r="93" spans="3:32" s="1368" customFormat="1" ht="21" customHeight="1" outlineLevel="1">
      <c r="C93" s="2442" t="s">
        <v>1019</v>
      </c>
      <c r="D93" s="2444"/>
      <c r="E93" s="1549"/>
      <c r="F93" s="1550"/>
      <c r="G93" s="1551"/>
      <c r="H93" s="1552"/>
      <c r="I93" s="1549"/>
      <c r="J93" s="1550"/>
      <c r="K93" s="1551"/>
      <c r="L93" s="1552"/>
      <c r="M93" s="1549"/>
      <c r="N93" s="1550"/>
      <c r="O93" s="1551"/>
      <c r="P93" s="1552"/>
      <c r="Q93" s="1549"/>
      <c r="R93" s="1550"/>
      <c r="S93" s="1551"/>
      <c r="T93" s="1552"/>
      <c r="U93" s="1549"/>
      <c r="V93" s="1550"/>
      <c r="W93" s="1551"/>
      <c r="X93" s="1552"/>
      <c r="Y93" s="1549"/>
      <c r="Z93" s="1550"/>
      <c r="AA93" s="1551"/>
      <c r="AB93" s="1552"/>
      <c r="AC93" s="1553">
        <f t="shared" si="48"/>
        <v>0</v>
      </c>
      <c r="AD93" s="1554">
        <f t="shared" si="45"/>
        <v>0</v>
      </c>
      <c r="AE93" s="1556">
        <f t="shared" si="46"/>
        <v>0</v>
      </c>
      <c r="AF93" s="1556">
        <f t="shared" si="47"/>
        <v>0</v>
      </c>
    </row>
    <row r="94" spans="3:32" s="1368" customFormat="1" ht="21" customHeight="1" outlineLevel="1">
      <c r="C94" s="2442" t="s">
        <v>1020</v>
      </c>
      <c r="D94" s="2444"/>
      <c r="E94" s="1549"/>
      <c r="F94" s="1550"/>
      <c r="G94" s="1551"/>
      <c r="H94" s="1552"/>
      <c r="I94" s="1549"/>
      <c r="J94" s="1550"/>
      <c r="K94" s="1551"/>
      <c r="L94" s="1552"/>
      <c r="M94" s="1549"/>
      <c r="N94" s="1550"/>
      <c r="O94" s="1551"/>
      <c r="P94" s="1552"/>
      <c r="Q94" s="1549"/>
      <c r="R94" s="1550"/>
      <c r="S94" s="1551"/>
      <c r="T94" s="1552"/>
      <c r="U94" s="1549"/>
      <c r="V94" s="1550"/>
      <c r="W94" s="1551"/>
      <c r="X94" s="1552"/>
      <c r="Y94" s="1549"/>
      <c r="Z94" s="1550"/>
      <c r="AA94" s="1551"/>
      <c r="AB94" s="1552"/>
      <c r="AC94" s="1553">
        <f t="shared" si="48"/>
        <v>0</v>
      </c>
      <c r="AD94" s="1554">
        <f t="shared" si="45"/>
        <v>0</v>
      </c>
      <c r="AE94" s="1556">
        <f t="shared" si="46"/>
        <v>0</v>
      </c>
      <c r="AF94" s="1556">
        <f t="shared" si="47"/>
        <v>0</v>
      </c>
    </row>
    <row r="95" spans="3:32" s="1368" customFormat="1" ht="21" customHeight="1" outlineLevel="1">
      <c r="C95" s="2442" t="s">
        <v>1021</v>
      </c>
      <c r="D95" s="2444"/>
      <c r="E95" s="1549"/>
      <c r="F95" s="1550"/>
      <c r="G95" s="1551"/>
      <c r="H95" s="1552"/>
      <c r="I95" s="1549"/>
      <c r="J95" s="1550"/>
      <c r="K95" s="1551"/>
      <c r="L95" s="1552"/>
      <c r="M95" s="1549"/>
      <c r="N95" s="1550"/>
      <c r="O95" s="1551"/>
      <c r="P95" s="1552"/>
      <c r="Q95" s="1549"/>
      <c r="R95" s="1550"/>
      <c r="S95" s="1551"/>
      <c r="T95" s="1552"/>
      <c r="U95" s="1549"/>
      <c r="V95" s="1550"/>
      <c r="W95" s="1551"/>
      <c r="X95" s="1552"/>
      <c r="Y95" s="1549"/>
      <c r="Z95" s="1550"/>
      <c r="AA95" s="1551"/>
      <c r="AB95" s="1552"/>
      <c r="AC95" s="1553">
        <f t="shared" si="48"/>
        <v>0</v>
      </c>
      <c r="AD95" s="1554">
        <f t="shared" si="45"/>
        <v>0</v>
      </c>
      <c r="AE95" s="1556">
        <f t="shared" si="46"/>
        <v>0</v>
      </c>
      <c r="AF95" s="1556">
        <f t="shared" si="47"/>
        <v>0</v>
      </c>
    </row>
    <row r="96" spans="3:32" s="1368" customFormat="1" ht="21" customHeight="1" outlineLevel="1">
      <c r="C96" s="2442" t="s">
        <v>1022</v>
      </c>
      <c r="D96" s="2444"/>
      <c r="E96" s="1549"/>
      <c r="F96" s="1550"/>
      <c r="G96" s="1551"/>
      <c r="H96" s="1552"/>
      <c r="I96" s="1549"/>
      <c r="J96" s="1550"/>
      <c r="K96" s="1551"/>
      <c r="L96" s="1552"/>
      <c r="M96" s="1549"/>
      <c r="N96" s="1550"/>
      <c r="O96" s="1551"/>
      <c r="P96" s="1552"/>
      <c r="Q96" s="1549"/>
      <c r="R96" s="1550"/>
      <c r="S96" s="1551"/>
      <c r="T96" s="1552"/>
      <c r="U96" s="1549"/>
      <c r="V96" s="1550"/>
      <c r="W96" s="1551"/>
      <c r="X96" s="1552"/>
      <c r="Y96" s="1549"/>
      <c r="Z96" s="1550"/>
      <c r="AA96" s="1551"/>
      <c r="AB96" s="1552"/>
      <c r="AC96" s="1553">
        <f t="shared" si="48"/>
        <v>0</v>
      </c>
      <c r="AD96" s="1554">
        <f t="shared" si="45"/>
        <v>0</v>
      </c>
      <c r="AE96" s="1556">
        <f t="shared" si="46"/>
        <v>0</v>
      </c>
      <c r="AF96" s="1556">
        <f t="shared" si="47"/>
        <v>0</v>
      </c>
    </row>
    <row r="97" spans="3:32" s="1368" customFormat="1" ht="21" customHeight="1" outlineLevel="1">
      <c r="C97" s="2442" t="s">
        <v>1652</v>
      </c>
      <c r="D97" s="2444"/>
      <c r="E97" s="1549"/>
      <c r="F97" s="1550"/>
      <c r="G97" s="1551"/>
      <c r="H97" s="1552"/>
      <c r="I97" s="1549"/>
      <c r="J97" s="1550"/>
      <c r="K97" s="1551"/>
      <c r="L97" s="1552"/>
      <c r="M97" s="1549"/>
      <c r="N97" s="1550"/>
      <c r="O97" s="1551"/>
      <c r="P97" s="1552"/>
      <c r="Q97" s="1549"/>
      <c r="R97" s="1550"/>
      <c r="S97" s="1551"/>
      <c r="T97" s="1552"/>
      <c r="U97" s="1549"/>
      <c r="V97" s="1550"/>
      <c r="W97" s="1551"/>
      <c r="X97" s="1552"/>
      <c r="Y97" s="1549"/>
      <c r="Z97" s="1550"/>
      <c r="AA97" s="1551"/>
      <c r="AB97" s="1552"/>
      <c r="AC97" s="1553">
        <f t="shared" si="48"/>
        <v>0</v>
      </c>
      <c r="AD97" s="1554">
        <f t="shared" si="45"/>
        <v>0</v>
      </c>
      <c r="AE97" s="1556">
        <f t="shared" si="46"/>
        <v>0</v>
      </c>
      <c r="AF97" s="1556">
        <f t="shared" si="47"/>
        <v>0</v>
      </c>
    </row>
    <row r="98" spans="3:32" s="1368" customFormat="1" ht="21" customHeight="1" outlineLevel="1">
      <c r="C98" s="2442" t="s">
        <v>1023</v>
      </c>
      <c r="D98" s="2444"/>
      <c r="E98" s="1549"/>
      <c r="F98" s="1550"/>
      <c r="G98" s="1551"/>
      <c r="H98" s="1552"/>
      <c r="I98" s="1549"/>
      <c r="J98" s="1550"/>
      <c r="K98" s="1551"/>
      <c r="L98" s="1552"/>
      <c r="M98" s="1549"/>
      <c r="N98" s="1550"/>
      <c r="O98" s="1551"/>
      <c r="P98" s="1552"/>
      <c r="Q98" s="1549"/>
      <c r="R98" s="1550"/>
      <c r="S98" s="1551"/>
      <c r="T98" s="1552"/>
      <c r="U98" s="1549"/>
      <c r="V98" s="1550"/>
      <c r="W98" s="1551"/>
      <c r="X98" s="1552"/>
      <c r="Y98" s="1549"/>
      <c r="Z98" s="1550"/>
      <c r="AA98" s="1551"/>
      <c r="AB98" s="1552"/>
      <c r="AC98" s="1553">
        <f t="shared" si="48"/>
        <v>0</v>
      </c>
      <c r="AD98" s="1554">
        <f t="shared" si="45"/>
        <v>0</v>
      </c>
      <c r="AE98" s="1556">
        <f t="shared" si="46"/>
        <v>0</v>
      </c>
      <c r="AF98" s="1556">
        <f t="shared" si="47"/>
        <v>0</v>
      </c>
    </row>
    <row r="99" spans="3:32" s="1368" customFormat="1" ht="21" customHeight="1" outlineLevel="1">
      <c r="C99" s="2442" t="s">
        <v>1653</v>
      </c>
      <c r="D99" s="2444"/>
      <c r="E99" s="1549"/>
      <c r="F99" s="1550"/>
      <c r="G99" s="1551"/>
      <c r="H99" s="1552"/>
      <c r="I99" s="1549"/>
      <c r="J99" s="1550"/>
      <c r="K99" s="1551"/>
      <c r="L99" s="1552"/>
      <c r="M99" s="1549"/>
      <c r="N99" s="1550"/>
      <c r="O99" s="1551"/>
      <c r="P99" s="1552"/>
      <c r="Q99" s="1549"/>
      <c r="R99" s="1550"/>
      <c r="S99" s="1551"/>
      <c r="T99" s="1552"/>
      <c r="U99" s="1549"/>
      <c r="V99" s="1550"/>
      <c r="W99" s="1551"/>
      <c r="X99" s="1552"/>
      <c r="Y99" s="1549"/>
      <c r="Z99" s="1550"/>
      <c r="AA99" s="1551"/>
      <c r="AB99" s="1552"/>
      <c r="AC99" s="1553">
        <f t="shared" si="48"/>
        <v>0</v>
      </c>
      <c r="AD99" s="1554">
        <f t="shared" si="45"/>
        <v>0</v>
      </c>
      <c r="AE99" s="1556">
        <f t="shared" si="46"/>
        <v>0</v>
      </c>
      <c r="AF99" s="1556">
        <f t="shared" si="47"/>
        <v>0</v>
      </c>
    </row>
    <row r="100" spans="3:32" s="1368" customFormat="1" ht="32.25" customHeight="1" outlineLevel="1">
      <c r="C100" s="2442" t="s">
        <v>1024</v>
      </c>
      <c r="D100" s="2444"/>
      <c r="E100" s="1570"/>
      <c r="F100" s="1571"/>
      <c r="G100" s="1572"/>
      <c r="H100" s="1573"/>
      <c r="I100" s="1570"/>
      <c r="J100" s="1571"/>
      <c r="K100" s="1572"/>
      <c r="L100" s="1573"/>
      <c r="M100" s="1570"/>
      <c r="N100" s="1571"/>
      <c r="O100" s="1572"/>
      <c r="P100" s="1573"/>
      <c r="Q100" s="1570"/>
      <c r="R100" s="1571"/>
      <c r="S100" s="1572"/>
      <c r="T100" s="1573"/>
      <c r="U100" s="1570"/>
      <c r="V100" s="1571"/>
      <c r="W100" s="1572"/>
      <c r="X100" s="1573"/>
      <c r="Y100" s="1570"/>
      <c r="Z100" s="1571"/>
      <c r="AA100" s="1572"/>
      <c r="AB100" s="1573"/>
      <c r="AC100" s="1574">
        <f t="shared" si="48"/>
        <v>0</v>
      </c>
      <c r="AD100" s="1575">
        <f t="shared" si="45"/>
        <v>0</v>
      </c>
      <c r="AE100" s="1577">
        <f t="shared" si="46"/>
        <v>0</v>
      </c>
      <c r="AF100" s="1577">
        <f t="shared" si="47"/>
        <v>0</v>
      </c>
    </row>
    <row r="101" spans="3:32" s="1489" customFormat="1" ht="21" customHeight="1" outlineLevel="1">
      <c r="C101" s="1345" t="s">
        <v>1025</v>
      </c>
      <c r="D101" s="1341"/>
      <c r="E101" s="1566"/>
      <c r="F101" s="1567">
        <f>SUM(F91:F100)</f>
        <v>0</v>
      </c>
      <c r="G101" s="1566"/>
      <c r="H101" s="1567">
        <f>SUM(H91:H100)</f>
        <v>0</v>
      </c>
      <c r="I101" s="1566"/>
      <c r="J101" s="1567">
        <f>SUM(J91:J100)</f>
        <v>0</v>
      </c>
      <c r="K101" s="1566"/>
      <c r="L101" s="1567">
        <f>SUM(L91:L100)</f>
        <v>0</v>
      </c>
      <c r="M101" s="1566"/>
      <c r="N101" s="1567">
        <f>SUM(N91:N100)</f>
        <v>0</v>
      </c>
      <c r="O101" s="1566"/>
      <c r="P101" s="1567">
        <f>SUM(P91:P100)</f>
        <v>0</v>
      </c>
      <c r="Q101" s="1566"/>
      <c r="R101" s="1567">
        <f>SUM(R91:R100)</f>
        <v>0</v>
      </c>
      <c r="S101" s="1566"/>
      <c r="T101" s="1567">
        <f>SUM(T91:T100)</f>
        <v>0</v>
      </c>
      <c r="U101" s="1566"/>
      <c r="V101" s="1567">
        <f>SUM(V91:V100)</f>
        <v>0</v>
      </c>
      <c r="W101" s="1566"/>
      <c r="X101" s="1567">
        <f>SUM(X91:X100)</f>
        <v>0</v>
      </c>
      <c r="Y101" s="1566"/>
      <c r="Z101" s="1567">
        <f>SUM(Z91:Z100)</f>
        <v>0</v>
      </c>
      <c r="AA101" s="1566"/>
      <c r="AB101" s="1567">
        <f>SUM(AB91:AB100)</f>
        <v>0</v>
      </c>
      <c r="AC101" s="1566"/>
      <c r="AD101" s="1568">
        <f>SUM(AD91:AD100)</f>
        <v>0</v>
      </c>
      <c r="AE101" s="1566"/>
      <c r="AF101" s="1568">
        <f>SUM(AF91:AF100)</f>
        <v>0</v>
      </c>
    </row>
    <row r="102" spans="3:32" s="1368" customFormat="1" ht="11.25" customHeight="1" outlineLevel="1" collapsed="1">
      <c r="E102" s="1569"/>
      <c r="F102" s="1569"/>
      <c r="G102" s="1569"/>
      <c r="H102" s="1569"/>
      <c r="I102" s="1569"/>
      <c r="J102" s="1569"/>
      <c r="K102" s="1569"/>
      <c r="L102" s="1569"/>
      <c r="M102" s="1569"/>
      <c r="N102" s="1569"/>
      <c r="O102" s="1569"/>
      <c r="P102" s="1569"/>
      <c r="Q102" s="1569"/>
      <c r="R102" s="1569"/>
      <c r="S102" s="1569"/>
      <c r="T102" s="1569"/>
      <c r="U102" s="1569"/>
      <c r="V102" s="1569"/>
      <c r="W102" s="1569"/>
      <c r="X102" s="1569"/>
      <c r="Y102" s="1569"/>
      <c r="Z102" s="1569"/>
      <c r="AA102" s="1569"/>
      <c r="AB102" s="1569"/>
      <c r="AC102" s="1569"/>
      <c r="AD102" s="1569"/>
      <c r="AE102" s="1569"/>
      <c r="AF102" s="1569"/>
    </row>
    <row r="103" spans="3:32" s="1368" customFormat="1" ht="21" customHeight="1" outlineLevel="1">
      <c r="C103" s="1345" t="s">
        <v>1654</v>
      </c>
      <c r="D103" s="1341"/>
      <c r="E103" s="1566"/>
      <c r="F103" s="1578">
        <f>+F88-F101</f>
        <v>0</v>
      </c>
      <c r="G103" s="1566"/>
      <c r="H103" s="1578">
        <f>+H88-H101</f>
        <v>0</v>
      </c>
      <c r="I103" s="1566"/>
      <c r="J103" s="1578">
        <f>+J88-J101</f>
        <v>0</v>
      </c>
      <c r="K103" s="1566"/>
      <c r="L103" s="1578">
        <f>+L88-L101</f>
        <v>0</v>
      </c>
      <c r="M103" s="1566"/>
      <c r="N103" s="1578">
        <f>+N88-N101</f>
        <v>0</v>
      </c>
      <c r="O103" s="1566"/>
      <c r="P103" s="1578">
        <f>+P88-P101</f>
        <v>0</v>
      </c>
      <c r="Q103" s="1566"/>
      <c r="R103" s="1578">
        <f>+R88-R101</f>
        <v>0</v>
      </c>
      <c r="S103" s="1566"/>
      <c r="T103" s="1578">
        <f>+T88-T101</f>
        <v>0</v>
      </c>
      <c r="U103" s="1566"/>
      <c r="V103" s="1578">
        <f>+V88-V101</f>
        <v>0</v>
      </c>
      <c r="W103" s="1566"/>
      <c r="X103" s="1578">
        <f>+X88-X101</f>
        <v>0</v>
      </c>
      <c r="Y103" s="1566"/>
      <c r="Z103" s="1578">
        <f>+Z88-Z101</f>
        <v>0</v>
      </c>
      <c r="AA103" s="1566"/>
      <c r="AB103" s="1578">
        <f>+AB88-AB101</f>
        <v>0</v>
      </c>
      <c r="AC103" s="1579"/>
      <c r="AD103" s="1580">
        <f>+AD88-AD101</f>
        <v>0</v>
      </c>
      <c r="AE103" s="1579"/>
      <c r="AF103" s="1580">
        <f>+AF88-AF101</f>
        <v>0</v>
      </c>
    </row>
    <row r="104" spans="3:32" s="1368" customFormat="1" ht="21" customHeight="1" outlineLevel="1">
      <c r="C104" s="2442" t="s">
        <v>1655</v>
      </c>
      <c r="D104" s="2444"/>
      <c r="E104" s="1566"/>
      <c r="F104" s="1581"/>
      <c r="G104" s="1566"/>
      <c r="H104" s="1582"/>
      <c r="I104" s="1566"/>
      <c r="J104" s="1581"/>
      <c r="K104" s="1566"/>
      <c r="L104" s="1582"/>
      <c r="M104" s="1566"/>
      <c r="N104" s="1581"/>
      <c r="O104" s="1566"/>
      <c r="P104" s="1582"/>
      <c r="Q104" s="1566"/>
      <c r="R104" s="1581"/>
      <c r="S104" s="1566"/>
      <c r="T104" s="1582"/>
      <c r="U104" s="1566"/>
      <c r="V104" s="1581"/>
      <c r="W104" s="1566"/>
      <c r="X104" s="1582"/>
      <c r="Y104" s="1566"/>
      <c r="Z104" s="1581"/>
      <c r="AA104" s="1566"/>
      <c r="AB104" s="1582"/>
      <c r="AC104" s="1579"/>
      <c r="AD104" s="1583">
        <f t="shared" ref="AD104" si="49">+F104+H104+J104+L104+N104+P104+R104+T104+V104+X104+Z104+AB104</f>
        <v>0</v>
      </c>
      <c r="AE104" s="1579"/>
      <c r="AF104" s="1584">
        <f>AF49+H104+J104+L104+N104+P104+R104+T104+V104+X104+Z104+AB104+AD104</f>
        <v>0</v>
      </c>
    </row>
    <row r="105" spans="3:32" s="1368" customFormat="1" ht="21" customHeight="1" outlineLevel="1">
      <c r="C105" s="1344" t="s">
        <v>1656</v>
      </c>
      <c r="D105" s="1341"/>
      <c r="E105" s="1566"/>
      <c r="F105" s="1585">
        <f>+F103+F104</f>
        <v>0</v>
      </c>
      <c r="G105" s="1566"/>
      <c r="H105" s="1585">
        <f t="shared" ref="H105" si="50">+H103+H104</f>
        <v>0</v>
      </c>
      <c r="I105" s="1566"/>
      <c r="J105" s="1585">
        <f t="shared" ref="J105" si="51">+J103+J104</f>
        <v>0</v>
      </c>
      <c r="K105" s="1566"/>
      <c r="L105" s="1585">
        <f t="shared" ref="L105" si="52">+L103+L104</f>
        <v>0</v>
      </c>
      <c r="M105" s="1566"/>
      <c r="N105" s="1585">
        <f t="shared" ref="N105" si="53">+N103+N104</f>
        <v>0</v>
      </c>
      <c r="O105" s="1566"/>
      <c r="P105" s="1585">
        <f t="shared" ref="P105" si="54">+P103+P104</f>
        <v>0</v>
      </c>
      <c r="Q105" s="1566"/>
      <c r="R105" s="1585">
        <f t="shared" ref="R105" si="55">+R103+R104</f>
        <v>0</v>
      </c>
      <c r="S105" s="1566"/>
      <c r="T105" s="1585">
        <f t="shared" ref="T105" si="56">+T103+T104</f>
        <v>0</v>
      </c>
      <c r="U105" s="1566"/>
      <c r="V105" s="1585">
        <f t="shared" ref="V105" si="57">+V103+V104</f>
        <v>0</v>
      </c>
      <c r="W105" s="1566"/>
      <c r="X105" s="1585">
        <f t="shared" ref="X105" si="58">+X103+X104</f>
        <v>0</v>
      </c>
      <c r="Y105" s="1566"/>
      <c r="Z105" s="1585">
        <f t="shared" ref="Z105" si="59">+Z103+Z104</f>
        <v>0</v>
      </c>
      <c r="AA105" s="1566"/>
      <c r="AB105" s="1585">
        <f t="shared" ref="AB105" si="60">+AB103+AB104</f>
        <v>0</v>
      </c>
      <c r="AC105" s="1579"/>
      <c r="AD105" s="1586">
        <f>+AD103+AD104</f>
        <v>0</v>
      </c>
      <c r="AE105" s="1579"/>
      <c r="AF105" s="1586">
        <f>+AF103+AF104</f>
        <v>0</v>
      </c>
    </row>
    <row r="106" spans="3:32" s="1368" customFormat="1" ht="21" customHeight="1" outlineLevel="1">
      <c r="C106" s="1587" t="s">
        <v>1657</v>
      </c>
      <c r="D106" s="1588">
        <v>1</v>
      </c>
      <c r="E106" s="1566"/>
      <c r="F106" s="1578">
        <f>+$D$51*F105</f>
        <v>0</v>
      </c>
      <c r="G106" s="1566"/>
      <c r="H106" s="1578">
        <f>+$D$51*H105</f>
        <v>0</v>
      </c>
      <c r="I106" s="1566"/>
      <c r="J106" s="1578">
        <f>+$D$51*J105</f>
        <v>0</v>
      </c>
      <c r="K106" s="1566"/>
      <c r="L106" s="1578">
        <f>+$D$51*L105</f>
        <v>0</v>
      </c>
      <c r="M106" s="1566"/>
      <c r="N106" s="1578">
        <f>+$D$51*N105</f>
        <v>0</v>
      </c>
      <c r="O106" s="1566"/>
      <c r="P106" s="1578">
        <f>+$D$51*P105</f>
        <v>0</v>
      </c>
      <c r="Q106" s="1566"/>
      <c r="R106" s="1578">
        <f>+$D$51*R105</f>
        <v>0</v>
      </c>
      <c r="S106" s="1566"/>
      <c r="T106" s="1578">
        <f>+$D$51*T105</f>
        <v>0</v>
      </c>
      <c r="U106" s="1566"/>
      <c r="V106" s="1578">
        <f>+$D$51*V105</f>
        <v>0</v>
      </c>
      <c r="W106" s="1566"/>
      <c r="X106" s="1578">
        <f>+$D$51*X105</f>
        <v>0</v>
      </c>
      <c r="Y106" s="1566"/>
      <c r="Z106" s="1578">
        <f>+$D$51*Z105</f>
        <v>0</v>
      </c>
      <c r="AA106" s="1566"/>
      <c r="AB106" s="1578">
        <f>+$D$51*AB105</f>
        <v>0</v>
      </c>
      <c r="AC106" s="1579"/>
      <c r="AD106" s="1580">
        <f>+$D$51*AD105</f>
        <v>0</v>
      </c>
      <c r="AE106" s="1579"/>
      <c r="AF106" s="1580">
        <f>+$D$51*AF105</f>
        <v>0</v>
      </c>
    </row>
    <row r="107" spans="3:32" s="1368" customFormat="1" ht="21" customHeight="1" outlineLevel="1">
      <c r="C107" s="2445" t="s">
        <v>1658</v>
      </c>
      <c r="D107" s="2446"/>
      <c r="E107" s="1566"/>
      <c r="F107" s="1589"/>
      <c r="G107" s="1566"/>
      <c r="H107" s="1590"/>
      <c r="I107" s="1566"/>
      <c r="J107" s="1589"/>
      <c r="K107" s="1566"/>
      <c r="L107" s="1590"/>
      <c r="M107" s="1566"/>
      <c r="N107" s="1589"/>
      <c r="O107" s="1566"/>
      <c r="P107" s="1590"/>
      <c r="Q107" s="1566"/>
      <c r="R107" s="1589"/>
      <c r="S107" s="1566"/>
      <c r="T107" s="1590"/>
      <c r="U107" s="1566"/>
      <c r="V107" s="1589"/>
      <c r="W107" s="1566"/>
      <c r="X107" s="1590"/>
      <c r="Y107" s="1566"/>
      <c r="Z107" s="1589"/>
      <c r="AA107" s="1566"/>
      <c r="AB107" s="1590"/>
      <c r="AC107" s="1579"/>
      <c r="AD107" s="1591">
        <f t="shared" ref="AD107" si="61">+F107+H107+J107+L107+N107+P107+R107+T107+V107+X107+Z107+AB107</f>
        <v>0</v>
      </c>
      <c r="AE107" s="1579"/>
      <c r="AF107" s="1592">
        <f>AF52+H107+J107+L107+N107+P107+R107+T107+V107+X107+Z107+AB107+AD107</f>
        <v>0</v>
      </c>
    </row>
    <row r="108" spans="3:32" s="1368" customFormat="1" ht="21" customHeight="1" outlineLevel="1">
      <c r="C108" s="2442" t="s">
        <v>1026</v>
      </c>
      <c r="D108" s="2444"/>
      <c r="E108" s="1566"/>
      <c r="F108" s="1593"/>
      <c r="G108" s="1566"/>
      <c r="H108" s="1594"/>
      <c r="I108" s="1566"/>
      <c r="J108" s="1593"/>
      <c r="K108" s="1566"/>
      <c r="L108" s="1594"/>
      <c r="M108" s="1566"/>
      <c r="N108" s="1593"/>
      <c r="O108" s="1566"/>
      <c r="P108" s="1594"/>
      <c r="Q108" s="1566"/>
      <c r="R108" s="1593"/>
      <c r="S108" s="1566"/>
      <c r="T108" s="1594"/>
      <c r="U108" s="1566"/>
      <c r="V108" s="1593"/>
      <c r="W108" s="1566"/>
      <c r="X108" s="1594"/>
      <c r="Y108" s="1566"/>
      <c r="Z108" s="1593"/>
      <c r="AA108" s="1566"/>
      <c r="AB108" s="1594"/>
      <c r="AC108" s="1579"/>
      <c r="AD108" s="1595">
        <f>+F108</f>
        <v>0</v>
      </c>
      <c r="AE108" s="1579"/>
      <c r="AF108" s="1596">
        <f>AF53+H108+J108+L108+N108+P108+R108+T108+V108+X108+Z108+AB108+AD108</f>
        <v>0</v>
      </c>
    </row>
    <row r="109" spans="3:32" s="1368" customFormat="1" ht="11.25" customHeight="1" outlineLevel="1">
      <c r="E109" s="1569"/>
      <c r="F109" s="1569"/>
      <c r="G109" s="1566"/>
      <c r="H109" s="1569"/>
      <c r="I109" s="1566"/>
      <c r="J109" s="1569"/>
      <c r="K109" s="1566"/>
      <c r="L109" s="1569"/>
      <c r="M109" s="1566"/>
      <c r="N109" s="1569"/>
      <c r="O109" s="1566"/>
      <c r="P109" s="1569"/>
      <c r="Q109" s="1566"/>
      <c r="R109" s="1569"/>
      <c r="S109" s="1566"/>
      <c r="T109" s="1569"/>
      <c r="U109" s="1566"/>
      <c r="V109" s="1569"/>
      <c r="W109" s="1566"/>
      <c r="X109" s="1569"/>
      <c r="Y109" s="1566"/>
      <c r="Z109" s="1569"/>
      <c r="AA109" s="1566"/>
      <c r="AB109" s="1569"/>
      <c r="AC109" s="1579"/>
      <c r="AD109" s="1569"/>
      <c r="AE109" s="1579"/>
      <c r="AF109" s="1569"/>
    </row>
    <row r="110" spans="3:32" s="1368" customFormat="1" ht="21" customHeight="1" outlineLevel="1">
      <c r="C110" s="1345" t="s">
        <v>1030</v>
      </c>
      <c r="D110" s="1569"/>
      <c r="E110" s="1566"/>
      <c r="F110" s="1578">
        <f>+F106-F108+F107</f>
        <v>0</v>
      </c>
      <c r="G110" s="1566"/>
      <c r="H110" s="1567">
        <f>+H106-H108+H107</f>
        <v>0</v>
      </c>
      <c r="I110" s="1566"/>
      <c r="J110" s="1567">
        <f>+J106-J108+J107</f>
        <v>0</v>
      </c>
      <c r="K110" s="1566"/>
      <c r="L110" s="1567">
        <f>+L106-L108+L107</f>
        <v>0</v>
      </c>
      <c r="M110" s="1566"/>
      <c r="N110" s="1567">
        <f>+N106-N108+N107</f>
        <v>0</v>
      </c>
      <c r="O110" s="1566"/>
      <c r="P110" s="1567">
        <f>+P106-P108+P107</f>
        <v>0</v>
      </c>
      <c r="Q110" s="1566"/>
      <c r="R110" s="1567">
        <f>+R106-R108+R107</f>
        <v>0</v>
      </c>
      <c r="S110" s="1566"/>
      <c r="T110" s="1567">
        <f>+T106-T108+T107</f>
        <v>0</v>
      </c>
      <c r="U110" s="1566"/>
      <c r="V110" s="1567">
        <f>+V106-V108+V107</f>
        <v>0</v>
      </c>
      <c r="W110" s="1566"/>
      <c r="X110" s="1567">
        <f>+X106-X108+X107</f>
        <v>0</v>
      </c>
      <c r="Y110" s="1566"/>
      <c r="Z110" s="1567">
        <f>+Z106-Z108+Z107</f>
        <v>0</v>
      </c>
      <c r="AA110" s="1566"/>
      <c r="AB110" s="1567">
        <f>+AB106-AB108+AB107</f>
        <v>0</v>
      </c>
      <c r="AC110" s="1569"/>
      <c r="AD110" s="1568">
        <f>+AD106-AD108+AD107</f>
        <v>0</v>
      </c>
      <c r="AE110" s="1569"/>
      <c r="AF110" s="1568">
        <f>+AF106-AF108+AF107</f>
        <v>0</v>
      </c>
    </row>
    <row r="111" spans="3:32" s="1368" customFormat="1" ht="21" customHeight="1" outlineLevel="1">
      <c r="C111" s="2442" t="s">
        <v>1659</v>
      </c>
      <c r="D111" s="2443"/>
      <c r="E111" s="1597"/>
      <c r="F111" s="1566"/>
      <c r="G111" s="1590"/>
      <c r="H111" s="1566"/>
      <c r="I111" s="1597"/>
      <c r="J111" s="1566"/>
      <c r="K111" s="1590"/>
      <c r="L111" s="1566"/>
      <c r="M111" s="1597"/>
      <c r="N111" s="1566"/>
      <c r="O111" s="1590"/>
      <c r="P111" s="1566"/>
      <c r="Q111" s="1597"/>
      <c r="R111" s="1566"/>
      <c r="S111" s="1590"/>
      <c r="T111" s="1566"/>
      <c r="U111" s="1597"/>
      <c r="V111" s="1566"/>
      <c r="W111" s="1590"/>
      <c r="X111" s="1566"/>
      <c r="Y111" s="1597"/>
      <c r="Z111" s="1566"/>
      <c r="AA111" s="1590"/>
      <c r="AB111" s="1566"/>
      <c r="AC111" s="1591">
        <f t="shared" ref="AC111:AC113" si="62">+E111+G111+I111+K111+M111+O111+Q111+S111+U111+W111+Y111+AA111</f>
        <v>0</v>
      </c>
      <c r="AD111" s="1579"/>
      <c r="AE111" s="1598">
        <f>AE56+E111+G111+I111+K111+M111+O111+Q111+S111+U111+W111+Y111+AA111</f>
        <v>0</v>
      </c>
      <c r="AF111" s="1579"/>
    </row>
    <row r="112" spans="3:32" s="1368" customFormat="1" ht="21" customHeight="1" outlineLevel="1">
      <c r="C112" s="2442" t="s">
        <v>1028</v>
      </c>
      <c r="D112" s="2443"/>
      <c r="E112" s="1599"/>
      <c r="F112" s="1566"/>
      <c r="G112" s="1600"/>
      <c r="H112" s="1566"/>
      <c r="I112" s="1599"/>
      <c r="J112" s="1566"/>
      <c r="K112" s="1600"/>
      <c r="L112" s="1566"/>
      <c r="M112" s="1599"/>
      <c r="N112" s="1566"/>
      <c r="O112" s="1600"/>
      <c r="P112" s="1566"/>
      <c r="Q112" s="1599"/>
      <c r="R112" s="1566"/>
      <c r="S112" s="1600"/>
      <c r="T112" s="1566"/>
      <c r="U112" s="1599"/>
      <c r="V112" s="1566"/>
      <c r="W112" s="1600"/>
      <c r="X112" s="1566"/>
      <c r="Y112" s="1599"/>
      <c r="Z112" s="1566"/>
      <c r="AA112" s="1600"/>
      <c r="AB112" s="1566"/>
      <c r="AC112" s="1601">
        <f t="shared" si="62"/>
        <v>0</v>
      </c>
      <c r="AD112" s="1579"/>
      <c r="AE112" s="1602">
        <f>AE57+E112+G112+I112+K112+M112+O112+Q112+S112+U112+W112+Y112+AA112</f>
        <v>0</v>
      </c>
      <c r="AF112" s="1579"/>
    </row>
    <row r="113" spans="3:32" s="1368" customFormat="1" ht="21" customHeight="1" outlineLevel="1">
      <c r="C113" s="2442" t="s">
        <v>1029</v>
      </c>
      <c r="D113" s="2443"/>
      <c r="E113" s="1603"/>
      <c r="F113" s="1604"/>
      <c r="G113" s="1605"/>
      <c r="H113" s="1566"/>
      <c r="I113" s="1603"/>
      <c r="J113" s="1604"/>
      <c r="K113" s="1605"/>
      <c r="L113" s="1566"/>
      <c r="M113" s="1603"/>
      <c r="N113" s="1604"/>
      <c r="O113" s="1605"/>
      <c r="P113" s="1566"/>
      <c r="Q113" s="1603"/>
      <c r="R113" s="1604"/>
      <c r="S113" s="1605"/>
      <c r="T113" s="1566"/>
      <c r="U113" s="1603"/>
      <c r="V113" s="1604"/>
      <c r="W113" s="1605"/>
      <c r="X113" s="1566"/>
      <c r="Y113" s="1603"/>
      <c r="Z113" s="1604"/>
      <c r="AA113" s="1605"/>
      <c r="AB113" s="1566"/>
      <c r="AC113" s="1606">
        <f t="shared" si="62"/>
        <v>0</v>
      </c>
      <c r="AD113" s="1579"/>
      <c r="AE113" s="1607">
        <f>AE58+E113+G113+I113+K113+M113+O113+Q113+S113+U113+W113+Y113+AA113</f>
        <v>0</v>
      </c>
      <c r="AF113" s="1579"/>
    </row>
    <row r="114" spans="3:32" s="1368" customFormat="1" ht="11.25" customHeight="1" outlineLevel="1">
      <c r="E114" s="1569"/>
      <c r="F114" s="1569"/>
      <c r="G114" s="1569"/>
      <c r="H114" s="1569"/>
      <c r="I114" s="1569"/>
      <c r="J114" s="1569"/>
      <c r="K114" s="1569"/>
      <c r="L114" s="1569"/>
      <c r="M114" s="1569"/>
      <c r="N114" s="1569"/>
      <c r="O114" s="1569"/>
      <c r="P114" s="1569"/>
      <c r="Q114" s="1569"/>
      <c r="R114" s="1569"/>
      <c r="S114" s="1569"/>
      <c r="T114" s="1569"/>
      <c r="U114" s="1569"/>
      <c r="V114" s="1569"/>
      <c r="W114" s="1569"/>
      <c r="X114" s="1569"/>
      <c r="Y114" s="1569"/>
      <c r="Z114" s="1569"/>
      <c r="AA114" s="1569"/>
      <c r="AB114" s="1569"/>
      <c r="AC114" s="1569"/>
      <c r="AD114" s="1569"/>
      <c r="AE114" s="1569"/>
      <c r="AF114" s="1569"/>
    </row>
    <row r="115" spans="3:32" s="1368" customFormat="1" ht="21" customHeight="1" outlineLevel="1">
      <c r="C115" s="1391" t="s">
        <v>1031</v>
      </c>
      <c r="D115" s="1341"/>
      <c r="E115" s="1567"/>
      <c r="F115" s="1604"/>
      <c r="G115" s="1567"/>
      <c r="H115" s="1604"/>
      <c r="I115" s="1567"/>
      <c r="J115" s="1604"/>
      <c r="K115" s="1567"/>
      <c r="L115" s="1604"/>
      <c r="M115" s="1567"/>
      <c r="N115" s="1604"/>
      <c r="O115" s="1567"/>
      <c r="P115" s="1604"/>
      <c r="Q115" s="1567"/>
      <c r="R115" s="1604"/>
      <c r="S115" s="1567"/>
      <c r="T115" s="1604"/>
      <c r="U115" s="1567"/>
      <c r="V115" s="1604"/>
      <c r="W115" s="1567"/>
      <c r="X115" s="1604"/>
      <c r="Y115" s="1567"/>
      <c r="Z115" s="1604"/>
      <c r="AA115" s="1567"/>
      <c r="AB115" s="1604"/>
      <c r="AC115" s="1568">
        <f>+E115+G115+I115+K115+M115+O115+Q115+S115+U115+W115+Y115+AA115</f>
        <v>0</v>
      </c>
      <c r="AD115" s="1569"/>
      <c r="AE115" s="1568">
        <f>+G115+I115+K115+M115+O115+Q115+S115+U115+W115+Y115+AA115+AC115</f>
        <v>0</v>
      </c>
      <c r="AF115" s="1569"/>
    </row>
    <row r="116" spans="3:32" s="1368" customFormat="1" ht="21" customHeight="1" outlineLevel="1">
      <c r="C116" s="1608" t="s">
        <v>1032</v>
      </c>
      <c r="D116" s="1341"/>
      <c r="E116" s="1567">
        <f>+E80-E115</f>
        <v>0</v>
      </c>
      <c r="F116" s="1569"/>
      <c r="G116" s="1567">
        <f>+G80-G115</f>
        <v>0</v>
      </c>
      <c r="H116" s="1569"/>
      <c r="I116" s="1567">
        <f>+I80-I115</f>
        <v>0</v>
      </c>
      <c r="J116" s="1569"/>
      <c r="K116" s="1567">
        <f>+K80-K115</f>
        <v>0</v>
      </c>
      <c r="L116" s="1569"/>
      <c r="M116" s="1567">
        <f>+M80-M115</f>
        <v>0</v>
      </c>
      <c r="N116" s="1569"/>
      <c r="O116" s="1567">
        <f>+O80-O115</f>
        <v>0</v>
      </c>
      <c r="P116" s="1569"/>
      <c r="Q116" s="1567">
        <f>+Q80-Q115</f>
        <v>0</v>
      </c>
      <c r="R116" s="1569"/>
      <c r="S116" s="1567">
        <f>+S80-S115</f>
        <v>0</v>
      </c>
      <c r="T116" s="1569"/>
      <c r="U116" s="1567">
        <f>+U80-U115</f>
        <v>0</v>
      </c>
      <c r="V116" s="1569"/>
      <c r="W116" s="1567">
        <f>+W80-W115</f>
        <v>0</v>
      </c>
      <c r="X116" s="1569"/>
      <c r="Y116" s="1567">
        <f>+Y80-Y115</f>
        <v>0</v>
      </c>
      <c r="Z116" s="1569"/>
      <c r="AA116" s="1567">
        <f>+AA80-AA115</f>
        <v>0</v>
      </c>
      <c r="AB116" s="1569"/>
      <c r="AC116" s="1568">
        <f>+AC80-AC115</f>
        <v>0</v>
      </c>
      <c r="AD116" s="1569"/>
      <c r="AE116" s="1568">
        <f>+AE80-AE115</f>
        <v>0</v>
      </c>
      <c r="AF116" s="1569"/>
    </row>
    <row r="117" spans="3:32" s="1368" customFormat="1" ht="11.25" customHeight="1" outlineLevel="1">
      <c r="E117" s="1569"/>
      <c r="F117" s="1569"/>
      <c r="G117" s="1569"/>
      <c r="H117" s="1569"/>
      <c r="I117" s="1569"/>
      <c r="J117" s="1569"/>
      <c r="K117" s="1569"/>
      <c r="L117" s="1569"/>
      <c r="M117" s="1569"/>
      <c r="N117" s="1569"/>
      <c r="O117" s="1569"/>
      <c r="P117" s="1569"/>
      <c r="Q117" s="1569"/>
      <c r="R117" s="1569"/>
      <c r="S117" s="1569"/>
      <c r="T117" s="1569"/>
      <c r="U117" s="1569"/>
      <c r="V117" s="1569"/>
      <c r="W117" s="1569"/>
      <c r="X117" s="1569"/>
      <c r="Y117" s="1569"/>
      <c r="Z117" s="1569"/>
      <c r="AA117" s="1569"/>
      <c r="AB117" s="1569"/>
      <c r="AC117" s="1569"/>
      <c r="AD117" s="1569"/>
      <c r="AE117" s="1569"/>
      <c r="AF117" s="1569"/>
    </row>
    <row r="118" spans="3:32" s="1368" customFormat="1" ht="21" customHeight="1" outlineLevel="1">
      <c r="C118" s="1391" t="s">
        <v>1033</v>
      </c>
      <c r="D118" s="1341"/>
      <c r="E118" s="1567"/>
      <c r="F118" s="1604"/>
      <c r="G118" s="1567"/>
      <c r="H118" s="1604"/>
      <c r="I118" s="1567"/>
      <c r="J118" s="1604"/>
      <c r="K118" s="1567"/>
      <c r="L118" s="1604"/>
      <c r="M118" s="1567"/>
      <c r="N118" s="1604"/>
      <c r="O118" s="1567"/>
      <c r="P118" s="1604"/>
      <c r="Q118" s="1567"/>
      <c r="R118" s="1604"/>
      <c r="S118" s="1567"/>
      <c r="T118" s="1604"/>
      <c r="U118" s="1567"/>
      <c r="V118" s="1604"/>
      <c r="W118" s="1567"/>
      <c r="X118" s="1604"/>
      <c r="Y118" s="1567"/>
      <c r="Z118" s="1604"/>
      <c r="AA118" s="1567"/>
      <c r="AB118" s="1569"/>
      <c r="AC118" s="1568">
        <f>+E118+G118+I118+K118+M118+O118+Q118+S118+U118+W118+Y118+AA118</f>
        <v>0</v>
      </c>
      <c r="AD118" s="1569"/>
      <c r="AE118" s="1568">
        <f>+G118+I118+K118+M118+O118+Q118+S118+U118+W118+Y118+AA118+AC118</f>
        <v>0</v>
      </c>
      <c r="AF118" s="1569"/>
    </row>
    <row r="119" spans="3:32" s="1368" customFormat="1" ht="21" customHeight="1" outlineLevel="1">
      <c r="C119" s="1608" t="s">
        <v>1034</v>
      </c>
      <c r="D119" s="1341"/>
      <c r="E119" s="1567">
        <f>+E111-E118</f>
        <v>0</v>
      </c>
      <c r="F119" s="1569"/>
      <c r="G119" s="1567">
        <f>+G111-G118</f>
        <v>0</v>
      </c>
      <c r="H119" s="1569"/>
      <c r="I119" s="1567">
        <f>+I111-I118</f>
        <v>0</v>
      </c>
      <c r="J119" s="1569"/>
      <c r="K119" s="1567">
        <f>+K111-K118</f>
        <v>0</v>
      </c>
      <c r="L119" s="1569"/>
      <c r="M119" s="1567">
        <f>+M111-M118</f>
        <v>0</v>
      </c>
      <c r="N119" s="1569"/>
      <c r="O119" s="1567">
        <f>+O111-O118</f>
        <v>0</v>
      </c>
      <c r="P119" s="1569"/>
      <c r="Q119" s="1567">
        <f>+Q111-Q118</f>
        <v>0</v>
      </c>
      <c r="R119" s="1569"/>
      <c r="S119" s="1567">
        <f>+S111-S118</f>
        <v>0</v>
      </c>
      <c r="T119" s="1569"/>
      <c r="U119" s="1567">
        <f>+U111-U118</f>
        <v>0</v>
      </c>
      <c r="V119" s="1569"/>
      <c r="W119" s="1567">
        <f>+W111-W118</f>
        <v>0</v>
      </c>
      <c r="X119" s="1569"/>
      <c r="Y119" s="1567">
        <f>+Y111-Y118</f>
        <v>0</v>
      </c>
      <c r="Z119" s="1569"/>
      <c r="AA119" s="1567">
        <f>+AA111-AA118</f>
        <v>0</v>
      </c>
      <c r="AB119" s="1569"/>
      <c r="AC119" s="1568">
        <f>+AC111-AC118</f>
        <v>0</v>
      </c>
      <c r="AD119" s="1569"/>
      <c r="AE119" s="1568">
        <f>+AE111-AE118</f>
        <v>0</v>
      </c>
      <c r="AF119" s="1569"/>
    </row>
    <row r="120" spans="3:32" s="1368" customFormat="1" ht="21" customHeight="1" outlineLevel="1"/>
    <row r="121" spans="3:32" s="1368" customFormat="1" ht="20.25" customHeight="1" outlineLevel="1">
      <c r="C121" s="1391" t="s">
        <v>1537</v>
      </c>
      <c r="D121" s="1391" t="s">
        <v>1539</v>
      </c>
      <c r="E121" s="1609"/>
      <c r="F121" s="1609"/>
      <c r="G121" s="1609"/>
      <c r="H121" s="1609"/>
      <c r="I121" s="1609"/>
      <c r="J121" s="1609"/>
      <c r="K121" s="1609"/>
      <c r="L121" s="1609"/>
      <c r="M121" s="1609"/>
      <c r="N121" s="1609"/>
      <c r="O121" s="1609"/>
      <c r="P121" s="1609"/>
      <c r="Q121" s="1609"/>
      <c r="R121" s="1609"/>
      <c r="S121" s="1609"/>
      <c r="T121" s="1609"/>
      <c r="U121" s="1609"/>
      <c r="V121" s="1609"/>
      <c r="W121" s="1609"/>
      <c r="X121" s="1609"/>
      <c r="Y121" s="1609"/>
      <c r="Z121" s="1609"/>
      <c r="AA121" s="1609"/>
      <c r="AB121" s="1609"/>
      <c r="AC121" s="1574">
        <f t="shared" ref="AC121:AD121" si="63">+E121+G121+I121+K121+M121+O121+Q121+S121+U121+W121+Y121+AA121</f>
        <v>0</v>
      </c>
      <c r="AD121" s="1610">
        <f t="shared" si="63"/>
        <v>0</v>
      </c>
      <c r="AE121" s="1576">
        <f>AE66+G121+I121+K121+M121+O121+Q121+S121+U121+W121+Y121+AA121+AC121</f>
        <v>0</v>
      </c>
      <c r="AF121" s="1611">
        <f>AF66+H121+J121+L121+N121+P121+R121+T121+V121+X121+Z121+AB121+AD121</f>
        <v>0</v>
      </c>
    </row>
    <row r="122" spans="3:32" s="1341" customFormat="1" ht="20.25" customHeight="1" outlineLevel="1">
      <c r="E122" s="1417"/>
      <c r="F122" s="1417"/>
      <c r="G122" s="1417"/>
      <c r="H122" s="1417"/>
      <c r="I122" s="1417"/>
      <c r="J122" s="1417"/>
      <c r="K122" s="1417"/>
      <c r="L122" s="1417"/>
      <c r="M122" s="1417"/>
      <c r="N122" s="1417"/>
      <c r="O122" s="1417"/>
      <c r="P122" s="1417"/>
      <c r="Q122" s="1417"/>
      <c r="R122" s="1417"/>
      <c r="S122" s="1417"/>
      <c r="T122" s="1417"/>
      <c r="U122" s="1417"/>
      <c r="V122" s="1417"/>
      <c r="W122" s="1417"/>
      <c r="X122" s="1417"/>
      <c r="Y122" s="1417"/>
      <c r="Z122" s="1417"/>
      <c r="AA122" s="1417"/>
      <c r="AB122" s="1417"/>
    </row>
    <row r="123" spans="3:32" s="1341" customFormat="1" ht="20.25" customHeight="1" outlineLevel="1">
      <c r="C123" s="1391" t="s">
        <v>1537</v>
      </c>
      <c r="D123" s="1391" t="s">
        <v>1538</v>
      </c>
      <c r="E123" s="1609"/>
      <c r="F123" s="1609"/>
      <c r="G123" s="1609"/>
      <c r="H123" s="1609"/>
      <c r="I123" s="1609"/>
      <c r="J123" s="1609"/>
      <c r="K123" s="1609"/>
      <c r="L123" s="1609"/>
      <c r="M123" s="1609"/>
      <c r="N123" s="1609"/>
      <c r="O123" s="1609"/>
      <c r="P123" s="1609"/>
      <c r="Q123" s="1609"/>
      <c r="R123" s="1609"/>
      <c r="S123" s="1609"/>
      <c r="T123" s="1609"/>
      <c r="U123" s="1609"/>
      <c r="V123" s="1609"/>
      <c r="W123" s="1609"/>
      <c r="X123" s="1609"/>
      <c r="Y123" s="1609"/>
      <c r="Z123" s="1609"/>
      <c r="AA123" s="1609"/>
      <c r="AB123" s="1609"/>
      <c r="AC123" s="1574">
        <f t="shared" ref="AC123:AD123" si="64">+E123+G123+I123+K123+M123+O123+Q123+S123+U123+W123+Y123+AA123</f>
        <v>0</v>
      </c>
      <c r="AD123" s="1610">
        <f t="shared" si="64"/>
        <v>0</v>
      </c>
      <c r="AE123" s="1576">
        <f>AE68+G123+I123+K123+M123+O123+Q123+S123+U123+W123+Y123+AA123+AC123</f>
        <v>0</v>
      </c>
      <c r="AF123" s="1611">
        <f>AF68+H123+J123+L123+N123+P123+R123+T123+V123+X123+Z123+AB123+AD123</f>
        <v>0</v>
      </c>
    </row>
    <row r="124" spans="3:32" s="1341" customFormat="1" ht="15" customHeight="1" outlineLevel="1"/>
    <row r="125" spans="3:32" s="1341" customFormat="1" ht="15" customHeight="1" outlineLevel="1"/>
    <row r="126" spans="3:32" s="1341" customFormat="1" ht="15" customHeight="1"/>
    <row r="127" spans="3:32" s="1341" customFormat="1" ht="15" customHeight="1">
      <c r="C127" s="1616"/>
      <c r="D127" s="1617"/>
      <c r="E127" s="1617"/>
      <c r="F127" s="1618"/>
      <c r="G127" s="1618"/>
      <c r="H127" s="1617"/>
      <c r="I127" s="1619" t="s">
        <v>1725</v>
      </c>
      <c r="J127" s="1620"/>
    </row>
    <row r="128" spans="3:32" s="1341" customFormat="1" ht="15" customHeight="1">
      <c r="C128" s="1621" t="s">
        <v>1716</v>
      </c>
      <c r="D128" s="1622" t="s">
        <v>1726</v>
      </c>
      <c r="E128" s="1622" t="s">
        <v>1727</v>
      </c>
      <c r="F128" s="1623" t="s">
        <v>1728</v>
      </c>
      <c r="G128" s="1623"/>
      <c r="H128" s="1622" t="s">
        <v>1729</v>
      </c>
      <c r="I128" s="1624">
        <f>LOOKUP(MONTH(E7),D129:D140,F129:F140)</f>
        <v>12</v>
      </c>
      <c r="J128" s="1625"/>
    </row>
    <row r="129" spans="3:10" s="1341" customFormat="1" ht="15" customHeight="1">
      <c r="C129" s="1626" t="s">
        <v>946</v>
      </c>
      <c r="D129" s="1489">
        <v>1</v>
      </c>
      <c r="E129" s="1489"/>
      <c r="F129" s="1489">
        <v>0</v>
      </c>
      <c r="G129" s="1489"/>
      <c r="H129" s="1627">
        <f>+F110</f>
        <v>0</v>
      </c>
      <c r="I129" s="1489"/>
      <c r="J129" s="1628"/>
    </row>
    <row r="130" spans="3:10" s="1341" customFormat="1" ht="15" customHeight="1">
      <c r="C130" s="1626" t="s">
        <v>947</v>
      </c>
      <c r="D130" s="1489">
        <v>2</v>
      </c>
      <c r="E130" s="1489"/>
      <c r="F130" s="1489">
        <v>0</v>
      </c>
      <c r="G130" s="1489"/>
      <c r="H130" s="1627">
        <f>+H110</f>
        <v>0</v>
      </c>
      <c r="I130" s="1489"/>
      <c r="J130" s="1628"/>
    </row>
    <row r="131" spans="3:10" s="1341" customFormat="1" ht="15" customHeight="1">
      <c r="C131" s="1626" t="s">
        <v>948</v>
      </c>
      <c r="D131" s="1489">
        <v>3</v>
      </c>
      <c r="E131" s="1489" t="s">
        <v>1730</v>
      </c>
      <c r="F131" s="1489">
        <f>+D131</f>
        <v>3</v>
      </c>
      <c r="G131" s="1489"/>
      <c r="H131" s="1627">
        <f>+J110</f>
        <v>0</v>
      </c>
      <c r="I131" s="1489"/>
      <c r="J131" s="1628"/>
    </row>
    <row r="132" spans="3:10" s="1341" customFormat="1" ht="15" customHeight="1">
      <c r="C132" s="1626" t="s">
        <v>949</v>
      </c>
      <c r="D132" s="1489">
        <v>4</v>
      </c>
      <c r="E132" s="1489" t="s">
        <v>1730</v>
      </c>
      <c r="F132" s="1489">
        <f>+D131</f>
        <v>3</v>
      </c>
      <c r="G132" s="1489"/>
      <c r="H132" s="1627">
        <f>+L110</f>
        <v>0</v>
      </c>
      <c r="I132" s="1489"/>
      <c r="J132" s="1628"/>
    </row>
    <row r="133" spans="3:10" s="1341" customFormat="1" ht="15" customHeight="1">
      <c r="C133" s="1626" t="s">
        <v>950</v>
      </c>
      <c r="D133" s="1489">
        <v>5</v>
      </c>
      <c r="E133" s="1489" t="s">
        <v>1730</v>
      </c>
      <c r="F133" s="1489">
        <f>+D131</f>
        <v>3</v>
      </c>
      <c r="G133" s="1489"/>
      <c r="H133" s="1627">
        <f>+N110</f>
        <v>0</v>
      </c>
      <c r="I133" s="1489"/>
      <c r="J133" s="1628"/>
    </row>
    <row r="134" spans="3:10" s="1341" customFormat="1" ht="15" customHeight="1">
      <c r="C134" s="1626" t="s">
        <v>951</v>
      </c>
      <c r="D134" s="1489">
        <v>6</v>
      </c>
      <c r="E134" s="1489" t="s">
        <v>1731</v>
      </c>
      <c r="F134" s="1489">
        <f>+D134</f>
        <v>6</v>
      </c>
      <c r="G134" s="1489"/>
      <c r="H134" s="1627">
        <f>+P110</f>
        <v>0</v>
      </c>
      <c r="I134" s="1489"/>
      <c r="J134" s="1628"/>
    </row>
    <row r="135" spans="3:10" s="1341" customFormat="1" ht="15" customHeight="1">
      <c r="C135" s="1626" t="s">
        <v>952</v>
      </c>
      <c r="D135" s="1489">
        <v>7</v>
      </c>
      <c r="E135" s="1489" t="s">
        <v>1731</v>
      </c>
      <c r="F135" s="1489">
        <f>+F134</f>
        <v>6</v>
      </c>
      <c r="G135" s="1489"/>
      <c r="H135" s="1627">
        <f>+R110</f>
        <v>0</v>
      </c>
      <c r="I135" s="1489"/>
      <c r="J135" s="1628"/>
    </row>
    <row r="136" spans="3:10" s="1341" customFormat="1" ht="15" customHeight="1">
      <c r="C136" s="1626" t="s">
        <v>953</v>
      </c>
      <c r="D136" s="1489">
        <v>8</v>
      </c>
      <c r="E136" s="1489" t="s">
        <v>1731</v>
      </c>
      <c r="F136" s="1489">
        <f>+F135</f>
        <v>6</v>
      </c>
      <c r="G136" s="1489"/>
      <c r="H136" s="1627">
        <f>+T110</f>
        <v>0</v>
      </c>
      <c r="I136" s="1489"/>
      <c r="J136" s="1628"/>
    </row>
    <row r="137" spans="3:10" s="1341" customFormat="1" ht="15" customHeight="1">
      <c r="C137" s="1626" t="s">
        <v>954</v>
      </c>
      <c r="D137" s="1489">
        <v>9</v>
      </c>
      <c r="E137" s="1489" t="s">
        <v>1732</v>
      </c>
      <c r="F137" s="1489">
        <f>+D137</f>
        <v>9</v>
      </c>
      <c r="G137" s="1489"/>
      <c r="H137" s="1627">
        <f>+V110</f>
        <v>0</v>
      </c>
      <c r="I137" s="1489"/>
      <c r="J137" s="1628"/>
    </row>
    <row r="138" spans="3:10" s="1341" customFormat="1" ht="15" customHeight="1">
      <c r="C138" s="1626" t="s">
        <v>955</v>
      </c>
      <c r="D138" s="1489">
        <v>10</v>
      </c>
      <c r="E138" s="1489" t="s">
        <v>1732</v>
      </c>
      <c r="F138" s="1489">
        <f>+F137</f>
        <v>9</v>
      </c>
      <c r="G138" s="1489"/>
      <c r="H138" s="1627">
        <f>+X110</f>
        <v>0</v>
      </c>
      <c r="I138" s="1489"/>
      <c r="J138" s="1628"/>
    </row>
    <row r="139" spans="3:10" s="1341" customFormat="1" ht="15" customHeight="1">
      <c r="C139" s="1626" t="s">
        <v>956</v>
      </c>
      <c r="D139" s="1489">
        <v>11</v>
      </c>
      <c r="E139" s="1489" t="s">
        <v>1732</v>
      </c>
      <c r="F139" s="1489">
        <f>+F138</f>
        <v>9</v>
      </c>
      <c r="G139" s="1489"/>
      <c r="H139" s="1627">
        <f>+Z110</f>
        <v>0</v>
      </c>
      <c r="I139" s="1489"/>
      <c r="J139" s="1628"/>
    </row>
    <row r="140" spans="3:10" s="1341" customFormat="1" ht="15" customHeight="1">
      <c r="C140" s="1626" t="s">
        <v>957</v>
      </c>
      <c r="D140" s="1489">
        <v>12</v>
      </c>
      <c r="E140" s="1489" t="s">
        <v>1733</v>
      </c>
      <c r="F140" s="1489">
        <f>+D140</f>
        <v>12</v>
      </c>
      <c r="G140" s="1489"/>
      <c r="H140" s="1627">
        <f>+AB110</f>
        <v>0</v>
      </c>
      <c r="I140" s="1489"/>
      <c r="J140" s="1628"/>
    </row>
    <row r="141" spans="3:10" s="1341" customFormat="1" ht="15" customHeight="1">
      <c r="C141" s="1626"/>
      <c r="D141" s="1489"/>
      <c r="E141" s="1489"/>
      <c r="F141" s="1489"/>
      <c r="G141" s="1489"/>
      <c r="H141" s="1489"/>
      <c r="I141" s="1489"/>
      <c r="J141" s="1628"/>
    </row>
    <row r="142" spans="3:10" s="1341" customFormat="1" ht="15" customHeight="1">
      <c r="C142" s="1626"/>
      <c r="D142" s="1489"/>
      <c r="E142" s="1489"/>
      <c r="F142" s="1489"/>
      <c r="G142" s="1489"/>
      <c r="H142" s="1489"/>
      <c r="I142" s="1489"/>
      <c r="J142" s="1628"/>
    </row>
    <row r="143" spans="3:10" s="1341" customFormat="1" ht="15" customHeight="1">
      <c r="C143" s="1626"/>
      <c r="D143" s="1489"/>
      <c r="E143" s="1489"/>
      <c r="F143" s="1489"/>
      <c r="G143" s="1489"/>
      <c r="H143" s="1489"/>
      <c r="I143" s="1489"/>
      <c r="J143" s="1628"/>
    </row>
    <row r="144" spans="3:10" s="1341" customFormat="1" ht="15" customHeight="1">
      <c r="C144" s="1626"/>
      <c r="D144" s="1489"/>
      <c r="E144" s="1629" t="s">
        <v>1729</v>
      </c>
      <c r="F144" s="1630">
        <f>IF(MENU!$P$11="NO",0,IF(MENU!$Q$11="MENSUAL",LOOKUP(MONTH(MESIVA!$E$7),MESIVA!$D$129:$D$140,MESIVA!$H$129:$H$140),LOOKUP(MESIVA!$I$128,MESIVA!D129:D140,MESIVA!H129:H140)))</f>
        <v>0</v>
      </c>
      <c r="G144" s="1489"/>
      <c r="H144" s="1489"/>
      <c r="I144" s="1489"/>
      <c r="J144" s="1628"/>
    </row>
    <row r="145" spans="3:10" s="1341" customFormat="1" ht="15" customHeight="1">
      <c r="C145" s="1631"/>
      <c r="D145" s="1632"/>
      <c r="E145" s="1632"/>
      <c r="F145" s="1632"/>
      <c r="G145" s="1632"/>
      <c r="H145" s="1632"/>
      <c r="I145" s="1632"/>
      <c r="J145" s="1633"/>
    </row>
    <row r="146" spans="3:10" s="1341" customFormat="1" ht="15" customHeight="1"/>
    <row r="147" spans="3:10" s="1341" customFormat="1" ht="15" customHeight="1"/>
    <row r="148" spans="3:10" s="1341" customFormat="1" ht="15" customHeight="1"/>
    <row r="149" spans="3:10" s="1341" customFormat="1" ht="15" customHeight="1"/>
    <row r="150" spans="3:10" s="1341" customFormat="1" ht="15" customHeight="1"/>
    <row r="151" spans="3:10" s="1341" customFormat="1" ht="15" customHeight="1"/>
    <row r="152" spans="3:10" s="1341" customFormat="1" ht="15" customHeight="1"/>
    <row r="153" spans="3:10" s="1341" customFormat="1" ht="15" hidden="1" customHeight="1"/>
    <row r="154" spans="3:10" s="1341" customFormat="1" ht="15" hidden="1" customHeight="1"/>
    <row r="155" spans="3:10" s="1341" customFormat="1" ht="15" hidden="1" customHeight="1"/>
    <row r="156" spans="3:10" s="1341" customFormat="1" ht="15" hidden="1" customHeight="1"/>
    <row r="157" spans="3:10" s="1341" customFormat="1" ht="15" hidden="1" customHeight="1"/>
    <row r="158" spans="3:10" s="1341" customFormat="1" ht="15" hidden="1" customHeight="1"/>
  </sheetData>
  <mergeCells count="78">
    <mergeCell ref="AC16:AD16"/>
    <mergeCell ref="C13:D13"/>
    <mergeCell ref="C53:D53"/>
    <mergeCell ref="C56:D56"/>
    <mergeCell ref="C57:D57"/>
    <mergeCell ref="C25:D25"/>
    <mergeCell ref="C26:D26"/>
    <mergeCell ref="C27:D27"/>
    <mergeCell ref="C42:D42"/>
    <mergeCell ref="C49:D49"/>
    <mergeCell ref="C52:D52"/>
    <mergeCell ref="C32:D32"/>
    <mergeCell ref="C18:C24"/>
    <mergeCell ref="C58:D58"/>
    <mergeCell ref="E16:F16"/>
    <mergeCell ref="G16:H16"/>
    <mergeCell ref="I16:J16"/>
    <mergeCell ref="C28:C31"/>
    <mergeCell ref="C36:D36"/>
    <mergeCell ref="C37:D37"/>
    <mergeCell ref="C38:D38"/>
    <mergeCell ref="C39:D39"/>
    <mergeCell ref="C40:D40"/>
    <mergeCell ref="C41:D41"/>
    <mergeCell ref="C43:D43"/>
    <mergeCell ref="C44:D44"/>
    <mergeCell ref="C45:D45"/>
    <mergeCell ref="C5:D5"/>
    <mergeCell ref="C7:D7"/>
    <mergeCell ref="W16:X16"/>
    <mergeCell ref="Y16:Z16"/>
    <mergeCell ref="AA16:AB16"/>
    <mergeCell ref="K16:L16"/>
    <mergeCell ref="M16:N16"/>
    <mergeCell ref="O16:P16"/>
    <mergeCell ref="Q16:R16"/>
    <mergeCell ref="S16:T16"/>
    <mergeCell ref="U16:V16"/>
    <mergeCell ref="E5:G5"/>
    <mergeCell ref="E7:G7"/>
    <mergeCell ref="AE16:AF16"/>
    <mergeCell ref="AE35:AF35"/>
    <mergeCell ref="E71:F71"/>
    <mergeCell ref="G71:H71"/>
    <mergeCell ref="I71:J71"/>
    <mergeCell ref="K71:L71"/>
    <mergeCell ref="M71:N71"/>
    <mergeCell ref="O71:P71"/>
    <mergeCell ref="Q71:R71"/>
    <mergeCell ref="S71:T71"/>
    <mergeCell ref="U71:V71"/>
    <mergeCell ref="W71:X71"/>
    <mergeCell ref="Y71:Z71"/>
    <mergeCell ref="AA71:AB71"/>
    <mergeCell ref="AC71:AD71"/>
    <mergeCell ref="AE71:AF71"/>
    <mergeCell ref="C80:D80"/>
    <mergeCell ref="C81:D81"/>
    <mergeCell ref="C82:D82"/>
    <mergeCell ref="C83:C86"/>
    <mergeCell ref="C73:C79"/>
    <mergeCell ref="C87:D87"/>
    <mergeCell ref="C91:D91"/>
    <mergeCell ref="C92:D92"/>
    <mergeCell ref="C93:D93"/>
    <mergeCell ref="C94:D94"/>
    <mergeCell ref="C95:D95"/>
    <mergeCell ref="C96:D96"/>
    <mergeCell ref="C97:D97"/>
    <mergeCell ref="C98:D98"/>
    <mergeCell ref="C99:D99"/>
    <mergeCell ref="C112:D112"/>
    <mergeCell ref="C113:D113"/>
    <mergeCell ref="C100:D100"/>
    <mergeCell ref="C104:D104"/>
    <mergeCell ref="C107:D107"/>
    <mergeCell ref="C108:D108"/>
    <mergeCell ref="C111:D111"/>
  </mergeCells>
  <conditionalFormatting sqref="AC63:AC64">
    <cfRule type="expression" dxfId="465" priority="198">
      <formula>AC63&lt;0</formula>
    </cfRule>
  </conditionalFormatting>
  <conditionalFormatting sqref="AD33">
    <cfRule type="expression" dxfId="464" priority="194">
      <formula>AD33&lt;0</formula>
    </cfRule>
  </conditionalFormatting>
  <conditionalFormatting sqref="F33">
    <cfRule type="expression" dxfId="463" priority="259">
      <formula>F33&lt;0</formula>
    </cfRule>
  </conditionalFormatting>
  <conditionalFormatting sqref="V46">
    <cfRule type="expression" dxfId="462" priority="258">
      <formula>V46&lt;0</formula>
    </cfRule>
  </conditionalFormatting>
  <conditionalFormatting sqref="X46">
    <cfRule type="expression" dxfId="461" priority="257">
      <formula>X46&lt;0</formula>
    </cfRule>
  </conditionalFormatting>
  <conditionalFormatting sqref="Z46">
    <cfRule type="expression" dxfId="460" priority="256">
      <formula>Z46&lt;0</formula>
    </cfRule>
  </conditionalFormatting>
  <conditionalFormatting sqref="AB46">
    <cfRule type="expression" dxfId="459" priority="255">
      <formula>AB46&lt;0</formula>
    </cfRule>
  </conditionalFormatting>
  <conditionalFormatting sqref="T46">
    <cfRule type="expression" dxfId="458" priority="254">
      <formula>T46&lt;0</formula>
    </cfRule>
  </conditionalFormatting>
  <conditionalFormatting sqref="R46">
    <cfRule type="expression" dxfId="457" priority="253">
      <formula>R46&lt;0</formula>
    </cfRule>
  </conditionalFormatting>
  <conditionalFormatting sqref="P46">
    <cfRule type="expression" dxfId="456" priority="252">
      <formula>P46&lt;0</formula>
    </cfRule>
  </conditionalFormatting>
  <conditionalFormatting sqref="N46">
    <cfRule type="expression" dxfId="455" priority="251">
      <formula>N46&lt;0</formula>
    </cfRule>
  </conditionalFormatting>
  <conditionalFormatting sqref="L46">
    <cfRule type="expression" dxfId="454" priority="250">
      <formula>L46&lt;0</formula>
    </cfRule>
  </conditionalFormatting>
  <conditionalFormatting sqref="J46">
    <cfRule type="expression" dxfId="453" priority="249">
      <formula>J46&lt;0</formula>
    </cfRule>
  </conditionalFormatting>
  <conditionalFormatting sqref="H46">
    <cfRule type="expression" dxfId="452" priority="248">
      <formula>H46&lt;0</formula>
    </cfRule>
  </conditionalFormatting>
  <conditionalFormatting sqref="F46">
    <cfRule type="expression" dxfId="451" priority="247">
      <formula>F46&lt;0</formula>
    </cfRule>
  </conditionalFormatting>
  <conditionalFormatting sqref="V48">
    <cfRule type="expression" dxfId="450" priority="246">
      <formula>V48&lt;0</formula>
    </cfRule>
  </conditionalFormatting>
  <conditionalFormatting sqref="X48">
    <cfRule type="expression" dxfId="449" priority="245">
      <formula>X48&lt;0</formula>
    </cfRule>
  </conditionalFormatting>
  <conditionalFormatting sqref="Z48">
    <cfRule type="expression" dxfId="448" priority="244">
      <formula>Z48&lt;0</formula>
    </cfRule>
  </conditionalFormatting>
  <conditionalFormatting sqref="AB48">
    <cfRule type="expression" dxfId="447" priority="243">
      <formula>AB48&lt;0</formula>
    </cfRule>
  </conditionalFormatting>
  <conditionalFormatting sqref="T48">
    <cfRule type="expression" dxfId="446" priority="242">
      <formula>T48&lt;0</formula>
    </cfRule>
  </conditionalFormatting>
  <conditionalFormatting sqref="R48">
    <cfRule type="expression" dxfId="445" priority="241">
      <formula>R48&lt;0</formula>
    </cfRule>
  </conditionalFormatting>
  <conditionalFormatting sqref="P48">
    <cfRule type="expression" dxfId="444" priority="240">
      <formula>P48&lt;0</formula>
    </cfRule>
  </conditionalFormatting>
  <conditionalFormatting sqref="N48">
    <cfRule type="expression" dxfId="443" priority="239">
      <formula>N48&lt;0</formula>
    </cfRule>
  </conditionalFormatting>
  <conditionalFormatting sqref="L48">
    <cfRule type="expression" dxfId="442" priority="238">
      <formula>L48&lt;0</formula>
    </cfRule>
  </conditionalFormatting>
  <conditionalFormatting sqref="J48">
    <cfRule type="expression" dxfId="441" priority="237">
      <formula>J48&lt;0</formula>
    </cfRule>
  </conditionalFormatting>
  <conditionalFormatting sqref="H48">
    <cfRule type="expression" dxfId="440" priority="236">
      <formula>H48&lt;0</formula>
    </cfRule>
  </conditionalFormatting>
  <conditionalFormatting sqref="F48">
    <cfRule type="expression" dxfId="439" priority="235">
      <formula>F48&lt;0</formula>
    </cfRule>
  </conditionalFormatting>
  <conditionalFormatting sqref="V55">
    <cfRule type="expression" dxfId="438" priority="234">
      <formula>V55&lt;0</formula>
    </cfRule>
  </conditionalFormatting>
  <conditionalFormatting sqref="X55">
    <cfRule type="expression" dxfId="437" priority="233">
      <formula>X55&lt;0</formula>
    </cfRule>
  </conditionalFormatting>
  <conditionalFormatting sqref="Z55">
    <cfRule type="expression" dxfId="436" priority="232">
      <formula>Z55&lt;0</formula>
    </cfRule>
  </conditionalFormatting>
  <conditionalFormatting sqref="AB55">
    <cfRule type="expression" dxfId="435" priority="231">
      <formula>AB55&lt;0</formula>
    </cfRule>
  </conditionalFormatting>
  <conditionalFormatting sqref="T55">
    <cfRule type="expression" dxfId="434" priority="230">
      <formula>T55&lt;0</formula>
    </cfRule>
  </conditionalFormatting>
  <conditionalFormatting sqref="R55">
    <cfRule type="expression" dxfId="433" priority="229">
      <formula>R55&lt;0</formula>
    </cfRule>
  </conditionalFormatting>
  <conditionalFormatting sqref="P55">
    <cfRule type="expression" dxfId="432" priority="228">
      <formula>P55&lt;0</formula>
    </cfRule>
  </conditionalFormatting>
  <conditionalFormatting sqref="N55">
    <cfRule type="expression" dxfId="431" priority="227">
      <formula>N55&lt;0</formula>
    </cfRule>
  </conditionalFormatting>
  <conditionalFormatting sqref="L55">
    <cfRule type="expression" dxfId="430" priority="226">
      <formula>L55&lt;0</formula>
    </cfRule>
  </conditionalFormatting>
  <conditionalFormatting sqref="J55">
    <cfRule type="expression" dxfId="429" priority="225">
      <formula>J55&lt;0</formula>
    </cfRule>
  </conditionalFormatting>
  <conditionalFormatting sqref="H55">
    <cfRule type="expression" dxfId="428" priority="224">
      <formula>H55&lt;0</formula>
    </cfRule>
  </conditionalFormatting>
  <conditionalFormatting sqref="E60:E61">
    <cfRule type="expression" dxfId="427" priority="223">
      <formula>E60&lt;0</formula>
    </cfRule>
  </conditionalFormatting>
  <conditionalFormatting sqref="E63:E64">
    <cfRule type="expression" dxfId="426" priority="222">
      <formula>E63&lt;0</formula>
    </cfRule>
  </conditionalFormatting>
  <conditionalFormatting sqref="G60">
    <cfRule type="expression" dxfId="425" priority="221">
      <formula>G60&lt;0</formula>
    </cfRule>
  </conditionalFormatting>
  <conditionalFormatting sqref="G63:G64">
    <cfRule type="expression" dxfId="424" priority="220">
      <formula>G63&lt;0</formula>
    </cfRule>
  </conditionalFormatting>
  <conditionalFormatting sqref="I60">
    <cfRule type="expression" dxfId="423" priority="219">
      <formula>I60&lt;0</formula>
    </cfRule>
  </conditionalFormatting>
  <conditionalFormatting sqref="I63:I64">
    <cfRule type="expression" dxfId="422" priority="218">
      <formula>I63&lt;0</formula>
    </cfRule>
  </conditionalFormatting>
  <conditionalFormatting sqref="K60">
    <cfRule type="expression" dxfId="421" priority="217">
      <formula>K60&lt;0</formula>
    </cfRule>
  </conditionalFormatting>
  <conditionalFormatting sqref="K63:K64">
    <cfRule type="expression" dxfId="420" priority="216">
      <formula>K63&lt;0</formula>
    </cfRule>
  </conditionalFormatting>
  <conditionalFormatting sqref="M60">
    <cfRule type="expression" dxfId="419" priority="215">
      <formula>M60&lt;0</formula>
    </cfRule>
  </conditionalFormatting>
  <conditionalFormatting sqref="M63:M64">
    <cfRule type="expression" dxfId="418" priority="214">
      <formula>M63&lt;0</formula>
    </cfRule>
  </conditionalFormatting>
  <conditionalFormatting sqref="O60">
    <cfRule type="expression" dxfId="417" priority="213">
      <formula>O60&lt;0</formula>
    </cfRule>
  </conditionalFormatting>
  <conditionalFormatting sqref="O63:O64">
    <cfRule type="expression" dxfId="416" priority="212">
      <formula>O63&lt;0</formula>
    </cfRule>
  </conditionalFormatting>
  <conditionalFormatting sqref="Q60">
    <cfRule type="expression" dxfId="415" priority="211">
      <formula>Q60&lt;0</formula>
    </cfRule>
  </conditionalFormatting>
  <conditionalFormatting sqref="Q63:Q64">
    <cfRule type="expression" dxfId="414" priority="210">
      <formula>Q63&lt;0</formula>
    </cfRule>
  </conditionalFormatting>
  <conditionalFormatting sqref="S60">
    <cfRule type="expression" dxfId="413" priority="209">
      <formula>S60&lt;0</formula>
    </cfRule>
  </conditionalFormatting>
  <conditionalFormatting sqref="S63:S64">
    <cfRule type="expression" dxfId="412" priority="208">
      <formula>S63&lt;0</formula>
    </cfRule>
  </conditionalFormatting>
  <conditionalFormatting sqref="U60">
    <cfRule type="expression" dxfId="411" priority="207">
      <formula>U60&lt;0</formula>
    </cfRule>
  </conditionalFormatting>
  <conditionalFormatting sqref="U63:U64">
    <cfRule type="expression" dxfId="410" priority="206">
      <formula>U63&lt;0</formula>
    </cfRule>
  </conditionalFormatting>
  <conditionalFormatting sqref="W60">
    <cfRule type="expression" dxfId="409" priority="205">
      <formula>W60&lt;0</formula>
    </cfRule>
  </conditionalFormatting>
  <conditionalFormatting sqref="W63:W64">
    <cfRule type="expression" dxfId="408" priority="204">
      <formula>W63&lt;0</formula>
    </cfRule>
  </conditionalFormatting>
  <conditionalFormatting sqref="Y60">
    <cfRule type="expression" dxfId="407" priority="203">
      <formula>Y60&lt;0</formula>
    </cfRule>
  </conditionalFormatting>
  <conditionalFormatting sqref="Y63:Y64">
    <cfRule type="expression" dxfId="406" priority="202">
      <formula>Y63&lt;0</formula>
    </cfRule>
  </conditionalFormatting>
  <conditionalFormatting sqref="AA60">
    <cfRule type="expression" dxfId="405" priority="201">
      <formula>AA60&lt;0</formula>
    </cfRule>
  </conditionalFormatting>
  <conditionalFormatting sqref="AA63:AA64">
    <cfRule type="expression" dxfId="404" priority="200">
      <formula>AA63&lt;0</formula>
    </cfRule>
  </conditionalFormatting>
  <conditionalFormatting sqref="AC60:AC61">
    <cfRule type="expression" dxfId="403" priority="199">
      <formula>AC60&lt;0</formula>
    </cfRule>
  </conditionalFormatting>
  <conditionalFormatting sqref="AD55">
    <cfRule type="expression" dxfId="402" priority="197">
      <formula>AD55&lt;0</formula>
    </cfRule>
  </conditionalFormatting>
  <conditionalFormatting sqref="AD48">
    <cfRule type="expression" dxfId="401" priority="196">
      <formula>AD48&lt;0</formula>
    </cfRule>
  </conditionalFormatting>
  <conditionalFormatting sqref="AD46">
    <cfRule type="expression" dxfId="400" priority="195">
      <formula>AD46&lt;0</formula>
    </cfRule>
  </conditionalFormatting>
  <conditionalFormatting sqref="V50">
    <cfRule type="expression" dxfId="399" priority="193">
      <formula>V50&lt;0</formula>
    </cfRule>
  </conditionalFormatting>
  <conditionalFormatting sqref="X50">
    <cfRule type="expression" dxfId="398" priority="192">
      <formula>X50&lt;0</formula>
    </cfRule>
  </conditionalFormatting>
  <conditionalFormatting sqref="Z50">
    <cfRule type="expression" dxfId="397" priority="191">
      <formula>Z50&lt;0</formula>
    </cfRule>
  </conditionalFormatting>
  <conditionalFormatting sqref="AB50">
    <cfRule type="expression" dxfId="396" priority="190">
      <formula>AB50&lt;0</formula>
    </cfRule>
  </conditionalFormatting>
  <conditionalFormatting sqref="T50">
    <cfRule type="expression" dxfId="395" priority="189">
      <formula>T50&lt;0</formula>
    </cfRule>
  </conditionalFormatting>
  <conditionalFormatting sqref="R50">
    <cfRule type="expression" dxfId="394" priority="188">
      <formula>R50&lt;0</formula>
    </cfRule>
  </conditionalFormatting>
  <conditionalFormatting sqref="P50">
    <cfRule type="expression" dxfId="393" priority="187">
      <formula>P50&lt;0</formula>
    </cfRule>
  </conditionalFormatting>
  <conditionalFormatting sqref="N50">
    <cfRule type="expression" dxfId="392" priority="186">
      <formula>N50&lt;0</formula>
    </cfRule>
  </conditionalFormatting>
  <conditionalFormatting sqref="L50">
    <cfRule type="expression" dxfId="391" priority="185">
      <formula>L50&lt;0</formula>
    </cfRule>
  </conditionalFormatting>
  <conditionalFormatting sqref="J50">
    <cfRule type="expression" dxfId="390" priority="184">
      <formula>J50&lt;0</formula>
    </cfRule>
  </conditionalFormatting>
  <conditionalFormatting sqref="H50">
    <cfRule type="expression" dxfId="389" priority="183">
      <formula>H50&lt;0</formula>
    </cfRule>
  </conditionalFormatting>
  <conditionalFormatting sqref="F50">
    <cfRule type="expression" dxfId="388" priority="182">
      <formula>F50&lt;0</formula>
    </cfRule>
  </conditionalFormatting>
  <conditionalFormatting sqref="AD50">
    <cfRule type="expression" dxfId="387" priority="181">
      <formula>AD50&lt;0</formula>
    </cfRule>
  </conditionalFormatting>
  <conditionalFormatting sqref="F51">
    <cfRule type="expression" dxfId="386" priority="180">
      <formula>F51&lt;0</formula>
    </cfRule>
  </conditionalFormatting>
  <conditionalFormatting sqref="H51">
    <cfRule type="expression" dxfId="385" priority="178">
      <formula>H51&lt;0</formula>
    </cfRule>
  </conditionalFormatting>
  <conditionalFormatting sqref="N51">
    <cfRule type="expression" dxfId="384" priority="175">
      <formula>N51&lt;0</formula>
    </cfRule>
  </conditionalFormatting>
  <conditionalFormatting sqref="V51">
    <cfRule type="expression" dxfId="383" priority="171">
      <formula>V51&lt;0</formula>
    </cfRule>
  </conditionalFormatting>
  <conditionalFormatting sqref="Z51">
    <cfRule type="expression" dxfId="382" priority="169">
      <formula>Z51&lt;0</formula>
    </cfRule>
  </conditionalFormatting>
  <conditionalFormatting sqref="AD51">
    <cfRule type="expression" dxfId="381" priority="179">
      <formula>AD51&lt;0</formula>
    </cfRule>
  </conditionalFormatting>
  <conditionalFormatting sqref="J51">
    <cfRule type="expression" dxfId="380" priority="177">
      <formula>J51&lt;0</formula>
    </cfRule>
  </conditionalFormatting>
  <conditionalFormatting sqref="F55 F58">
    <cfRule type="expression" dxfId="379" priority="167">
      <formula>F55&lt;0</formula>
    </cfRule>
  </conditionalFormatting>
  <conditionalFormatting sqref="L51">
    <cfRule type="expression" dxfId="378" priority="176">
      <formula>L51&lt;0</formula>
    </cfRule>
  </conditionalFormatting>
  <conditionalFormatting sqref="P51">
    <cfRule type="expression" dxfId="377" priority="174">
      <formula>P51&lt;0</formula>
    </cfRule>
  </conditionalFormatting>
  <conditionalFormatting sqref="R51">
    <cfRule type="expression" dxfId="376" priority="173">
      <formula>R51&lt;0</formula>
    </cfRule>
  </conditionalFormatting>
  <conditionalFormatting sqref="T51">
    <cfRule type="expression" dxfId="375" priority="172">
      <formula>T51&lt;0</formula>
    </cfRule>
  </conditionalFormatting>
  <conditionalFormatting sqref="X51">
    <cfRule type="expression" dxfId="374" priority="170">
      <formula>X51&lt;0</formula>
    </cfRule>
  </conditionalFormatting>
  <conditionalFormatting sqref="AB51">
    <cfRule type="expression" dxfId="373" priority="168">
      <formula>AB51&lt;0</formula>
    </cfRule>
  </conditionalFormatting>
  <conditionalFormatting sqref="J58 N58 R58 V58 Z58">
    <cfRule type="expression" dxfId="372" priority="166">
      <formula>J58&lt;0</formula>
    </cfRule>
  </conditionalFormatting>
  <conditionalFormatting sqref="G61">
    <cfRule type="expression" dxfId="371" priority="165">
      <formula>G61&lt;0</formula>
    </cfRule>
  </conditionalFormatting>
  <conditionalFormatting sqref="I61">
    <cfRule type="expression" dxfId="370" priority="164">
      <formula>I61&lt;0</formula>
    </cfRule>
  </conditionalFormatting>
  <conditionalFormatting sqref="K61">
    <cfRule type="expression" dxfId="369" priority="163">
      <formula>K61&lt;0</formula>
    </cfRule>
  </conditionalFormatting>
  <conditionalFormatting sqref="M61">
    <cfRule type="expression" dxfId="368" priority="162">
      <formula>M61&lt;0</formula>
    </cfRule>
  </conditionalFormatting>
  <conditionalFormatting sqref="O61">
    <cfRule type="expression" dxfId="367" priority="161">
      <formula>O61&lt;0</formula>
    </cfRule>
  </conditionalFormatting>
  <conditionalFormatting sqref="Q61">
    <cfRule type="expression" dxfId="366" priority="160">
      <formula>Q61&lt;0</formula>
    </cfRule>
  </conditionalFormatting>
  <conditionalFormatting sqref="S61">
    <cfRule type="expression" dxfId="365" priority="159">
      <formula>S61&lt;0</formula>
    </cfRule>
  </conditionalFormatting>
  <conditionalFormatting sqref="U61">
    <cfRule type="expression" dxfId="364" priority="158">
      <formula>U61&lt;0</formula>
    </cfRule>
  </conditionalFormatting>
  <conditionalFormatting sqref="W61">
    <cfRule type="expression" dxfId="363" priority="157">
      <formula>W61&lt;0</formula>
    </cfRule>
  </conditionalFormatting>
  <conditionalFormatting sqref="Y61">
    <cfRule type="expression" dxfId="362" priority="156">
      <formula>Y61&lt;0</formula>
    </cfRule>
  </conditionalFormatting>
  <conditionalFormatting sqref="AA61">
    <cfRule type="expression" dxfId="361" priority="155">
      <formula>AA61&lt;0</formula>
    </cfRule>
  </conditionalFormatting>
  <conditionalFormatting sqref="AC118:AC119">
    <cfRule type="expression" dxfId="360" priority="82">
      <formula>AC118&lt;0</formula>
    </cfRule>
  </conditionalFormatting>
  <conditionalFormatting sqref="AD88">
    <cfRule type="expression" dxfId="359" priority="78">
      <formula>AD88&lt;0</formula>
    </cfRule>
  </conditionalFormatting>
  <conditionalFormatting sqref="F88">
    <cfRule type="expression" dxfId="358" priority="143">
      <formula>F88&lt;0</formula>
    </cfRule>
  </conditionalFormatting>
  <conditionalFormatting sqref="V101">
    <cfRule type="expression" dxfId="357" priority="142">
      <formula>V101&lt;0</formula>
    </cfRule>
  </conditionalFormatting>
  <conditionalFormatting sqref="X101">
    <cfRule type="expression" dxfId="356" priority="141">
      <formula>X101&lt;0</formula>
    </cfRule>
  </conditionalFormatting>
  <conditionalFormatting sqref="Z101">
    <cfRule type="expression" dxfId="355" priority="140">
      <formula>Z101&lt;0</formula>
    </cfRule>
  </conditionalFormatting>
  <conditionalFormatting sqref="AB101">
    <cfRule type="expression" dxfId="354" priority="139">
      <formula>AB101&lt;0</formula>
    </cfRule>
  </conditionalFormatting>
  <conditionalFormatting sqref="T101">
    <cfRule type="expression" dxfId="353" priority="138">
      <formula>T101&lt;0</formula>
    </cfRule>
  </conditionalFormatting>
  <conditionalFormatting sqref="R101">
    <cfRule type="expression" dxfId="352" priority="137">
      <formula>R101&lt;0</formula>
    </cfRule>
  </conditionalFormatting>
  <conditionalFormatting sqref="P101">
    <cfRule type="expression" dxfId="351" priority="136">
      <formula>P101&lt;0</formula>
    </cfRule>
  </conditionalFormatting>
  <conditionalFormatting sqref="N101">
    <cfRule type="expression" dxfId="350" priority="135">
      <formula>N101&lt;0</formula>
    </cfRule>
  </conditionalFormatting>
  <conditionalFormatting sqref="L101">
    <cfRule type="expression" dxfId="349" priority="134">
      <formula>L101&lt;0</formula>
    </cfRule>
  </conditionalFormatting>
  <conditionalFormatting sqref="J101">
    <cfRule type="expression" dxfId="348" priority="133">
      <formula>J101&lt;0</formula>
    </cfRule>
  </conditionalFormatting>
  <conditionalFormatting sqref="H101">
    <cfRule type="expression" dxfId="347" priority="132">
      <formula>H101&lt;0</formula>
    </cfRule>
  </conditionalFormatting>
  <conditionalFormatting sqref="F101">
    <cfRule type="expression" dxfId="346" priority="131">
      <formula>F101&lt;0</formula>
    </cfRule>
  </conditionalFormatting>
  <conditionalFormatting sqref="V103">
    <cfRule type="expression" dxfId="345" priority="130">
      <formula>V103&lt;0</formula>
    </cfRule>
  </conditionalFormatting>
  <conditionalFormatting sqref="X103">
    <cfRule type="expression" dxfId="344" priority="129">
      <formula>X103&lt;0</formula>
    </cfRule>
  </conditionalFormatting>
  <conditionalFormatting sqref="Z103">
    <cfRule type="expression" dxfId="343" priority="128">
      <formula>Z103&lt;0</formula>
    </cfRule>
  </conditionalFormatting>
  <conditionalFormatting sqref="AB103">
    <cfRule type="expression" dxfId="342" priority="127">
      <formula>AB103&lt;0</formula>
    </cfRule>
  </conditionalFormatting>
  <conditionalFormatting sqref="T103">
    <cfRule type="expression" dxfId="341" priority="126">
      <formula>T103&lt;0</formula>
    </cfRule>
  </conditionalFormatting>
  <conditionalFormatting sqref="R103">
    <cfRule type="expression" dxfId="340" priority="125">
      <formula>R103&lt;0</formula>
    </cfRule>
  </conditionalFormatting>
  <conditionalFormatting sqref="P103">
    <cfRule type="expression" dxfId="339" priority="124">
      <formula>P103&lt;0</formula>
    </cfRule>
  </conditionalFormatting>
  <conditionalFormatting sqref="N103">
    <cfRule type="expression" dxfId="338" priority="123">
      <formula>N103&lt;0</formula>
    </cfRule>
  </conditionalFormatting>
  <conditionalFormatting sqref="L103">
    <cfRule type="expression" dxfId="337" priority="122">
      <formula>L103&lt;0</formula>
    </cfRule>
  </conditionalFormatting>
  <conditionalFormatting sqref="J103">
    <cfRule type="expression" dxfId="336" priority="121">
      <formula>J103&lt;0</formula>
    </cfRule>
  </conditionalFormatting>
  <conditionalFormatting sqref="H103">
    <cfRule type="expression" dxfId="335" priority="120">
      <formula>H103&lt;0</formula>
    </cfRule>
  </conditionalFormatting>
  <conditionalFormatting sqref="F103">
    <cfRule type="expression" dxfId="334" priority="119">
      <formula>F103&lt;0</formula>
    </cfRule>
  </conditionalFormatting>
  <conditionalFormatting sqref="V110">
    <cfRule type="expression" dxfId="333" priority="118">
      <formula>V110&lt;0</formula>
    </cfRule>
  </conditionalFormatting>
  <conditionalFormatting sqref="X110">
    <cfRule type="expression" dxfId="332" priority="117">
      <formula>X110&lt;0</formula>
    </cfRule>
  </conditionalFormatting>
  <conditionalFormatting sqref="Z110">
    <cfRule type="expression" dxfId="331" priority="116">
      <formula>Z110&lt;0</formula>
    </cfRule>
  </conditionalFormatting>
  <conditionalFormatting sqref="AB110">
    <cfRule type="expression" dxfId="330" priority="115">
      <formula>AB110&lt;0</formula>
    </cfRule>
  </conditionalFormatting>
  <conditionalFormatting sqref="T110">
    <cfRule type="expression" dxfId="329" priority="114">
      <formula>T110&lt;0</formula>
    </cfRule>
  </conditionalFormatting>
  <conditionalFormatting sqref="R110">
    <cfRule type="expression" dxfId="328" priority="113">
      <formula>R110&lt;0</formula>
    </cfRule>
  </conditionalFormatting>
  <conditionalFormatting sqref="P110">
    <cfRule type="expression" dxfId="327" priority="112">
      <formula>P110&lt;0</formula>
    </cfRule>
  </conditionalFormatting>
  <conditionalFormatting sqref="N110">
    <cfRule type="expression" dxfId="326" priority="111">
      <formula>N110&lt;0</formula>
    </cfRule>
  </conditionalFormatting>
  <conditionalFormatting sqref="L110">
    <cfRule type="expression" dxfId="325" priority="110">
      <formula>L110&lt;0</formula>
    </cfRule>
  </conditionalFormatting>
  <conditionalFormatting sqref="J110">
    <cfRule type="expression" dxfId="324" priority="109">
      <formula>J110&lt;0</formula>
    </cfRule>
  </conditionalFormatting>
  <conditionalFormatting sqref="H110">
    <cfRule type="expression" dxfId="323" priority="108">
      <formula>H110&lt;0</formula>
    </cfRule>
  </conditionalFormatting>
  <conditionalFormatting sqref="E115:E116">
    <cfRule type="expression" dxfId="322" priority="107">
      <formula>E115&lt;0</formula>
    </cfRule>
  </conditionalFormatting>
  <conditionalFormatting sqref="E118:E119">
    <cfRule type="expression" dxfId="321" priority="106">
      <formula>E118&lt;0</formula>
    </cfRule>
  </conditionalFormatting>
  <conditionalFormatting sqref="G115">
    <cfRule type="expression" dxfId="320" priority="105">
      <formula>G115&lt;0</formula>
    </cfRule>
  </conditionalFormatting>
  <conditionalFormatting sqref="G118:G119">
    <cfRule type="expression" dxfId="319" priority="104">
      <formula>G118&lt;0</formula>
    </cfRule>
  </conditionalFormatting>
  <conditionalFormatting sqref="I115">
    <cfRule type="expression" dxfId="318" priority="103">
      <formula>I115&lt;0</formula>
    </cfRule>
  </conditionalFormatting>
  <conditionalFormatting sqref="I118:I119">
    <cfRule type="expression" dxfId="317" priority="102">
      <formula>I118&lt;0</formula>
    </cfRule>
  </conditionalFormatting>
  <conditionalFormatting sqref="K115">
    <cfRule type="expression" dxfId="316" priority="101">
      <formula>K115&lt;0</formula>
    </cfRule>
  </conditionalFormatting>
  <conditionalFormatting sqref="K118:K119">
    <cfRule type="expression" dxfId="315" priority="100">
      <formula>K118&lt;0</formula>
    </cfRule>
  </conditionalFormatting>
  <conditionalFormatting sqref="M115">
    <cfRule type="expression" dxfId="314" priority="99">
      <formula>M115&lt;0</formula>
    </cfRule>
  </conditionalFormatting>
  <conditionalFormatting sqref="M118:M119">
    <cfRule type="expression" dxfId="313" priority="98">
      <formula>M118&lt;0</formula>
    </cfRule>
  </conditionalFormatting>
  <conditionalFormatting sqref="O115">
    <cfRule type="expression" dxfId="312" priority="97">
      <formula>O115&lt;0</formula>
    </cfRule>
  </conditionalFormatting>
  <conditionalFormatting sqref="O118:O119">
    <cfRule type="expression" dxfId="311" priority="96">
      <formula>O118&lt;0</formula>
    </cfRule>
  </conditionalFormatting>
  <conditionalFormatting sqref="Q115">
    <cfRule type="expression" dxfId="310" priority="95">
      <formula>Q115&lt;0</formula>
    </cfRule>
  </conditionalFormatting>
  <conditionalFormatting sqref="Q118:Q119">
    <cfRule type="expression" dxfId="309" priority="94">
      <formula>Q118&lt;0</formula>
    </cfRule>
  </conditionalFormatting>
  <conditionalFormatting sqref="S115">
    <cfRule type="expression" dxfId="308" priority="93">
      <formula>S115&lt;0</formula>
    </cfRule>
  </conditionalFormatting>
  <conditionalFormatting sqref="S118:S119">
    <cfRule type="expression" dxfId="307" priority="92">
      <formula>S118&lt;0</formula>
    </cfRule>
  </conditionalFormatting>
  <conditionalFormatting sqref="U115">
    <cfRule type="expression" dxfId="306" priority="91">
      <formula>U115&lt;0</formula>
    </cfRule>
  </conditionalFormatting>
  <conditionalFormatting sqref="U118:U119">
    <cfRule type="expression" dxfId="305" priority="90">
      <formula>U118&lt;0</formula>
    </cfRule>
  </conditionalFormatting>
  <conditionalFormatting sqref="W115">
    <cfRule type="expression" dxfId="304" priority="89">
      <formula>W115&lt;0</formula>
    </cfRule>
  </conditionalFormatting>
  <conditionalFormatting sqref="W118:W119">
    <cfRule type="expression" dxfId="303" priority="88">
      <formula>W118&lt;0</formula>
    </cfRule>
  </conditionalFormatting>
  <conditionalFormatting sqref="Y115">
    <cfRule type="expression" dxfId="302" priority="87">
      <formula>Y115&lt;0</formula>
    </cfRule>
  </conditionalFormatting>
  <conditionalFormatting sqref="Y118:Y119">
    <cfRule type="expression" dxfId="301" priority="86">
      <formula>Y118&lt;0</formula>
    </cfRule>
  </conditionalFormatting>
  <conditionalFormatting sqref="AA115">
    <cfRule type="expression" dxfId="300" priority="85">
      <formula>AA115&lt;0</formula>
    </cfRule>
  </conditionalFormatting>
  <conditionalFormatting sqref="AA118:AA119">
    <cfRule type="expression" dxfId="299" priority="84">
      <formula>AA118&lt;0</formula>
    </cfRule>
  </conditionalFormatting>
  <conditionalFormatting sqref="AC115:AC116">
    <cfRule type="expression" dxfId="298" priority="83">
      <formula>AC115&lt;0</formula>
    </cfRule>
  </conditionalFormatting>
  <conditionalFormatting sqref="AD110">
    <cfRule type="expression" dxfId="297" priority="81">
      <formula>AD110&lt;0</formula>
    </cfRule>
  </conditionalFormatting>
  <conditionalFormatting sqref="AD103">
    <cfRule type="expression" dxfId="296" priority="80">
      <formula>AD103&lt;0</formula>
    </cfRule>
  </conditionalFormatting>
  <conditionalFormatting sqref="AD101">
    <cfRule type="expression" dxfId="295" priority="79">
      <formula>AD101&lt;0</formula>
    </cfRule>
  </conditionalFormatting>
  <conditionalFormatting sqref="V105">
    <cfRule type="expression" dxfId="294" priority="77">
      <formula>V105&lt;0</formula>
    </cfRule>
  </conditionalFormatting>
  <conditionalFormatting sqref="X105">
    <cfRule type="expression" dxfId="293" priority="76">
      <formula>X105&lt;0</formula>
    </cfRule>
  </conditionalFormatting>
  <conditionalFormatting sqref="Z105">
    <cfRule type="expression" dxfId="292" priority="75">
      <formula>Z105&lt;0</formula>
    </cfRule>
  </conditionalFormatting>
  <conditionalFormatting sqref="AB105">
    <cfRule type="expression" dxfId="291" priority="74">
      <formula>AB105&lt;0</formula>
    </cfRule>
  </conditionalFormatting>
  <conditionalFormatting sqref="T105">
    <cfRule type="expression" dxfId="290" priority="73">
      <formula>T105&lt;0</formula>
    </cfRule>
  </conditionalFormatting>
  <conditionalFormatting sqref="R105">
    <cfRule type="expression" dxfId="289" priority="72">
      <formula>R105&lt;0</formula>
    </cfRule>
  </conditionalFormatting>
  <conditionalFormatting sqref="P105">
    <cfRule type="expression" dxfId="288" priority="71">
      <formula>P105&lt;0</formula>
    </cfRule>
  </conditionalFormatting>
  <conditionalFormatting sqref="N105">
    <cfRule type="expression" dxfId="287" priority="70">
      <formula>N105&lt;0</formula>
    </cfRule>
  </conditionalFormatting>
  <conditionalFormatting sqref="L105">
    <cfRule type="expression" dxfId="286" priority="69">
      <formula>L105&lt;0</formula>
    </cfRule>
  </conditionalFormatting>
  <conditionalFormatting sqref="J105">
    <cfRule type="expression" dxfId="285" priority="68">
      <formula>J105&lt;0</formula>
    </cfRule>
  </conditionalFormatting>
  <conditionalFormatting sqref="H105">
    <cfRule type="expression" dxfId="284" priority="67">
      <formula>H105&lt;0</formula>
    </cfRule>
  </conditionalFormatting>
  <conditionalFormatting sqref="F105">
    <cfRule type="expression" dxfId="283" priority="66">
      <formula>F105&lt;0</formula>
    </cfRule>
  </conditionalFormatting>
  <conditionalFormatting sqref="AD105">
    <cfRule type="expression" dxfId="282" priority="65">
      <formula>AD105&lt;0</formula>
    </cfRule>
  </conditionalFormatting>
  <conditionalFormatting sqref="F106">
    <cfRule type="expression" dxfId="281" priority="64">
      <formula>F106&lt;0</formula>
    </cfRule>
  </conditionalFormatting>
  <conditionalFormatting sqref="H106">
    <cfRule type="expression" dxfId="280" priority="62">
      <formula>H106&lt;0</formula>
    </cfRule>
  </conditionalFormatting>
  <conditionalFormatting sqref="N106">
    <cfRule type="expression" dxfId="279" priority="59">
      <formula>N106&lt;0</formula>
    </cfRule>
  </conditionalFormatting>
  <conditionalFormatting sqref="V106">
    <cfRule type="expression" dxfId="278" priority="55">
      <formula>V106&lt;0</formula>
    </cfRule>
  </conditionalFormatting>
  <conditionalFormatting sqref="Z106">
    <cfRule type="expression" dxfId="277" priority="53">
      <formula>Z106&lt;0</formula>
    </cfRule>
  </conditionalFormatting>
  <conditionalFormatting sqref="AD106">
    <cfRule type="expression" dxfId="276" priority="63">
      <formula>AD106&lt;0</formula>
    </cfRule>
  </conditionalFormatting>
  <conditionalFormatting sqref="J106">
    <cfRule type="expression" dxfId="275" priority="61">
      <formula>J106&lt;0</formula>
    </cfRule>
  </conditionalFormatting>
  <conditionalFormatting sqref="F110 F113">
    <cfRule type="expression" dxfId="274" priority="51">
      <formula>F110&lt;0</formula>
    </cfRule>
  </conditionalFormatting>
  <conditionalFormatting sqref="L106">
    <cfRule type="expression" dxfId="273" priority="60">
      <formula>L106&lt;0</formula>
    </cfRule>
  </conditionalFormatting>
  <conditionalFormatting sqref="P106">
    <cfRule type="expression" dxfId="272" priority="58">
      <formula>P106&lt;0</formula>
    </cfRule>
  </conditionalFormatting>
  <conditionalFormatting sqref="R106">
    <cfRule type="expression" dxfId="271" priority="57">
      <formula>R106&lt;0</formula>
    </cfRule>
  </conditionalFormatting>
  <conditionalFormatting sqref="T106">
    <cfRule type="expression" dxfId="270" priority="56">
      <formula>T106&lt;0</formula>
    </cfRule>
  </conditionalFormatting>
  <conditionalFormatting sqref="X106">
    <cfRule type="expression" dxfId="269" priority="54">
      <formula>X106&lt;0</formula>
    </cfRule>
  </conditionalFormatting>
  <conditionalFormatting sqref="AB106">
    <cfRule type="expression" dxfId="268" priority="52">
      <formula>AB106&lt;0</formula>
    </cfRule>
  </conditionalFormatting>
  <conditionalFormatting sqref="J113 N113 R113 V113 Z113">
    <cfRule type="expression" dxfId="267" priority="50">
      <formula>J113&lt;0</formula>
    </cfRule>
  </conditionalFormatting>
  <conditionalFormatting sqref="G116">
    <cfRule type="expression" dxfId="266" priority="49">
      <formula>G116&lt;0</formula>
    </cfRule>
  </conditionalFormatting>
  <conditionalFormatting sqref="I116">
    <cfRule type="expression" dxfId="265" priority="48">
      <formula>I116&lt;0</formula>
    </cfRule>
  </conditionalFormatting>
  <conditionalFormatting sqref="K116">
    <cfRule type="expression" dxfId="264" priority="47">
      <formula>K116&lt;0</formula>
    </cfRule>
  </conditionalFormatting>
  <conditionalFormatting sqref="M116">
    <cfRule type="expression" dxfId="263" priority="46">
      <formula>M116&lt;0</formula>
    </cfRule>
  </conditionalFormatting>
  <conditionalFormatting sqref="O116">
    <cfRule type="expression" dxfId="262" priority="45">
      <formula>O116&lt;0</formula>
    </cfRule>
  </conditionalFormatting>
  <conditionalFormatting sqref="Q116">
    <cfRule type="expression" dxfId="261" priority="44">
      <formula>Q116&lt;0</formula>
    </cfRule>
  </conditionalFormatting>
  <conditionalFormatting sqref="S116">
    <cfRule type="expression" dxfId="260" priority="43">
      <formula>S116&lt;0</formula>
    </cfRule>
  </conditionalFormatting>
  <conditionalFormatting sqref="U116">
    <cfRule type="expression" dxfId="259" priority="42">
      <formula>U116&lt;0</formula>
    </cfRule>
  </conditionalFormatting>
  <conditionalFormatting sqref="W116">
    <cfRule type="expression" dxfId="258" priority="41">
      <formula>W116&lt;0</formula>
    </cfRule>
  </conditionalFormatting>
  <conditionalFormatting sqref="Y116">
    <cfRule type="expression" dxfId="257" priority="40">
      <formula>Y116&lt;0</formula>
    </cfRule>
  </conditionalFormatting>
  <conditionalFormatting sqref="AA116">
    <cfRule type="expression" dxfId="256" priority="39">
      <formula>AA116&lt;0</formula>
    </cfRule>
  </conditionalFormatting>
  <conditionalFormatting sqref="AE118:AE119">
    <cfRule type="expression" dxfId="255" priority="37">
      <formula>AE118&lt;0</formula>
    </cfRule>
  </conditionalFormatting>
  <conditionalFormatting sqref="AF88">
    <cfRule type="expression" dxfId="254" priority="33">
      <formula>AF88&lt;0</formula>
    </cfRule>
  </conditionalFormatting>
  <conditionalFormatting sqref="AE115:AE116">
    <cfRule type="expression" dxfId="253" priority="38">
      <formula>AE115&lt;0</formula>
    </cfRule>
  </conditionalFormatting>
  <conditionalFormatting sqref="AF110">
    <cfRule type="expression" dxfId="252" priority="36">
      <formula>AF110&lt;0</formula>
    </cfRule>
  </conditionalFormatting>
  <conditionalFormatting sqref="AF103">
    <cfRule type="expression" dxfId="251" priority="35">
      <formula>AF103&lt;0</formula>
    </cfRule>
  </conditionalFormatting>
  <conditionalFormatting sqref="AF101">
    <cfRule type="expression" dxfId="250" priority="34">
      <formula>AF101&lt;0</formula>
    </cfRule>
  </conditionalFormatting>
  <conditionalFormatting sqref="AF105">
    <cfRule type="expression" dxfId="249" priority="32">
      <formula>AF105&lt;0</formula>
    </cfRule>
  </conditionalFormatting>
  <conditionalFormatting sqref="AF106">
    <cfRule type="expression" dxfId="248" priority="31">
      <formula>AF106&lt;0</formula>
    </cfRule>
  </conditionalFormatting>
  <conditionalFormatting sqref="AE63:AE64">
    <cfRule type="expression" dxfId="247" priority="29">
      <formula>AE63&lt;0</formula>
    </cfRule>
  </conditionalFormatting>
  <conditionalFormatting sqref="AF33">
    <cfRule type="expression" dxfId="246" priority="25">
      <formula>AF33&lt;0</formula>
    </cfRule>
  </conditionalFormatting>
  <conditionalFormatting sqref="AE60:AE61">
    <cfRule type="expression" dxfId="245" priority="30">
      <formula>AE60&lt;0</formula>
    </cfRule>
  </conditionalFormatting>
  <conditionalFormatting sqref="AF55">
    <cfRule type="expression" dxfId="244" priority="28">
      <formula>AF55&lt;0</formula>
    </cfRule>
  </conditionalFormatting>
  <conditionalFormatting sqref="AF48">
    <cfRule type="expression" dxfId="243" priority="27">
      <formula>AF48&lt;0</formula>
    </cfRule>
  </conditionalFormatting>
  <conditionalFormatting sqref="AF46">
    <cfRule type="expression" dxfId="242" priority="26">
      <formula>AF46&lt;0</formula>
    </cfRule>
  </conditionalFormatting>
  <conditionalFormatting sqref="AF50">
    <cfRule type="expression" dxfId="241" priority="24">
      <formula>AF50&lt;0</formula>
    </cfRule>
  </conditionalFormatting>
  <conditionalFormatting sqref="AF51">
    <cfRule type="expression" dxfId="240" priority="23">
      <formula>AF51&lt;0</formula>
    </cfRule>
  </conditionalFormatting>
  <conditionalFormatting sqref="H33">
    <cfRule type="expression" dxfId="239" priority="22">
      <formula>H33&lt;0</formula>
    </cfRule>
  </conditionalFormatting>
  <conditionalFormatting sqref="J33">
    <cfRule type="expression" dxfId="238" priority="21">
      <formula>J33&lt;0</formula>
    </cfRule>
  </conditionalFormatting>
  <conditionalFormatting sqref="L33">
    <cfRule type="expression" dxfId="237" priority="20">
      <formula>L33&lt;0</formula>
    </cfRule>
  </conditionalFormatting>
  <conditionalFormatting sqref="N33">
    <cfRule type="expression" dxfId="236" priority="19">
      <formula>N33&lt;0</formula>
    </cfRule>
  </conditionalFormatting>
  <conditionalFormatting sqref="P33">
    <cfRule type="expression" dxfId="235" priority="18">
      <formula>P33&lt;0</formula>
    </cfRule>
  </conditionalFormatting>
  <conditionalFormatting sqref="R33">
    <cfRule type="expression" dxfId="234" priority="17">
      <formula>R33&lt;0</formula>
    </cfRule>
  </conditionalFormatting>
  <conditionalFormatting sqref="T33">
    <cfRule type="expression" dxfId="233" priority="16">
      <formula>T33&lt;0</formula>
    </cfRule>
  </conditionalFormatting>
  <conditionalFormatting sqref="V33">
    <cfRule type="expression" dxfId="232" priority="15">
      <formula>V33&lt;0</formula>
    </cfRule>
  </conditionalFormatting>
  <conditionalFormatting sqref="X33">
    <cfRule type="expression" dxfId="231" priority="14">
      <formula>X33&lt;0</formula>
    </cfRule>
  </conditionalFormatting>
  <conditionalFormatting sqref="Z33">
    <cfRule type="expression" dxfId="230" priority="13">
      <formula>Z33&lt;0</formula>
    </cfRule>
  </conditionalFormatting>
  <conditionalFormatting sqref="AB33">
    <cfRule type="expression" dxfId="229" priority="12">
      <formula>AB33&lt;0</formula>
    </cfRule>
  </conditionalFormatting>
  <conditionalFormatting sqref="H88">
    <cfRule type="expression" dxfId="228" priority="11">
      <formula>H88&lt;0</formula>
    </cfRule>
  </conditionalFormatting>
  <conditionalFormatting sqref="J88">
    <cfRule type="expression" dxfId="227" priority="10">
      <formula>J88&lt;0</formula>
    </cfRule>
  </conditionalFormatting>
  <conditionalFormatting sqref="L88">
    <cfRule type="expression" dxfId="226" priority="9">
      <formula>L88&lt;0</formula>
    </cfRule>
  </conditionalFormatting>
  <conditionalFormatting sqref="N88">
    <cfRule type="expression" dxfId="225" priority="8">
      <formula>N88&lt;0</formula>
    </cfRule>
  </conditionalFormatting>
  <conditionalFormatting sqref="P88">
    <cfRule type="expression" dxfId="224" priority="7">
      <formula>P88&lt;0</formula>
    </cfRule>
  </conditionalFormatting>
  <conditionalFormatting sqref="R88">
    <cfRule type="expression" dxfId="223" priority="6">
      <formula>R88&lt;0</formula>
    </cfRule>
  </conditionalFormatting>
  <conditionalFormatting sqref="T88">
    <cfRule type="expression" dxfId="222" priority="5">
      <formula>T88&lt;0</formula>
    </cfRule>
  </conditionalFormatting>
  <conditionalFormatting sqref="V88">
    <cfRule type="expression" dxfId="221" priority="4">
      <formula>V88&lt;0</formula>
    </cfRule>
  </conditionalFormatting>
  <conditionalFormatting sqref="X88">
    <cfRule type="expression" dxfId="220" priority="3">
      <formula>X88&lt;0</formula>
    </cfRule>
  </conditionalFormatting>
  <conditionalFormatting sqref="Z88">
    <cfRule type="expression" dxfId="219" priority="2">
      <formula>Z88&lt;0</formula>
    </cfRule>
  </conditionalFormatting>
  <conditionalFormatting sqref="AB88">
    <cfRule type="expression" dxfId="218" priority="1">
      <formula>AB88&lt;0</formula>
    </cfRule>
  </conditionalFormatting>
  <dataValidations disablePrompts="1" count="2">
    <dataValidation allowBlank="1" showInputMessage="1" showErrorMessage="1" promptTitle="B.I." prompt="Base Imponible" sqref="G17 I17 K17 M17 O17 Q17 S17 U17 W17 Y17 AA17 AC17 AE17 G72 I72 K72 M72 O72 Q72 S72 U72 W72 Y72 AA72 AC72 AE72 E17 E72" xr:uid="{3BCAFC34-57C3-4FAE-92CF-0694157AAD54}"/>
    <dataValidation allowBlank="1" showInputMessage="1" showErrorMessage="1" prompt="Operaciones no sujetas o con inversión del sujeto pasivo que originan el derecho a deducción" sqref="C58 C113" xr:uid="{9ED320FE-B83F-4B88-9AAE-D71D3E040C4D}"/>
  </dataValidations>
  <pageMargins left="0.23622047244094491" right="0.23622047244094491" top="0.74803149606299213" bottom="0.74803149606299213" header="0.31496062992125984" footer="0.31496062992125984"/>
  <pageSetup paperSize="9" scale="24" orientation="landscape" r:id="rId1"/>
  <colBreaks count="1" manualBreakCount="1">
    <brk id="16" min="4" max="110" man="1"/>
  </colBreaks>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6">
    <pageSetUpPr autoPageBreaks="0" fitToPage="1"/>
  </sheetPr>
  <dimension ref="A1:AR81"/>
  <sheetViews>
    <sheetView showGridLines="0" showRowColHeaders="0" showZeros="0" zoomScale="85" zoomScaleNormal="85" zoomScaleSheetLayoutView="40" zoomScalePageLayoutView="55" workbookViewId="0">
      <pane xSplit="4" ySplit="17" topLeftCell="E18" activePane="bottomRight" state="frozen"/>
      <selection activeCell="C4" sqref="C4:H6"/>
      <selection pane="topRight" activeCell="C4" sqref="C4:H6"/>
      <selection pane="bottomLeft" activeCell="C4" sqref="C4:H6"/>
      <selection pane="bottomRight" activeCell="M24" sqref="M24"/>
    </sheetView>
  </sheetViews>
  <sheetFormatPr baseColWidth="10" defaultColWidth="0" defaultRowHeight="15" customHeight="1" zeroHeight="1" outlineLevelRow="1" outlineLevelCol="1"/>
  <cols>
    <col min="1" max="2" width="2" customWidth="1"/>
    <col min="3" max="3" width="70" customWidth="1"/>
    <col min="4" max="4" width="19" customWidth="1"/>
    <col min="5" max="12" width="16" customWidth="1"/>
    <col min="13" max="14" width="16" customWidth="1" outlineLevel="1"/>
    <col min="15" max="15" width="4" customWidth="1"/>
    <col min="16" max="28" width="0" hidden="1" customWidth="1"/>
    <col min="29" max="30" width="16" hidden="1" customWidth="1"/>
    <col min="31" max="44" width="0" hidden="1" customWidth="1"/>
    <col min="45" max="16384" width="13" hidden="1"/>
  </cols>
  <sheetData>
    <row r="1" spans="3:28" ht="15" customHeight="1"/>
    <row r="2" spans="3:28" ht="9" customHeight="1"/>
    <row r="3" spans="3:28" ht="5.25" customHeight="1">
      <c r="C3" s="1"/>
      <c r="D3" s="1"/>
    </row>
    <row r="4" spans="3:28" ht="5.25" customHeight="1"/>
    <row r="5" spans="3:28" ht="21">
      <c r="C5" s="2469" t="str">
        <f>+MENU!C5</f>
        <v>Sociedad:</v>
      </c>
      <c r="D5" s="2470"/>
      <c r="E5" s="2254" t="str">
        <f>+MENU!E5</f>
        <v>MARIO PILATO BLAT, S.A.</v>
      </c>
      <c r="F5" s="2255"/>
      <c r="G5" s="2255"/>
      <c r="K5" s="40"/>
    </row>
    <row r="6" spans="3:28" ht="12.75" customHeight="1"/>
    <row r="7" spans="3:28" ht="18">
      <c r="C7" s="2469" t="str">
        <f>+instrucciones!$C$7</f>
        <v>Fecha de cierre</v>
      </c>
      <c r="D7" s="2470"/>
      <c r="E7" s="2261">
        <f>+MENU!D7</f>
        <v>45657</v>
      </c>
      <c r="F7" s="2261"/>
      <c r="G7" s="2261"/>
      <c r="J7" s="34"/>
    </row>
    <row r="8" spans="3:28" ht="15" customHeight="1">
      <c r="C8" s="2"/>
      <c r="D8" s="2"/>
      <c r="F8" s="3"/>
      <c r="G8" s="3"/>
      <c r="H8" s="3"/>
      <c r="I8" s="3"/>
      <c r="J8" s="3"/>
      <c r="K8" s="3"/>
    </row>
    <row r="9" spans="3:28" ht="15" customHeight="1"/>
    <row r="10" spans="3:28" ht="5.25" customHeight="1"/>
    <row r="11" spans="3:28" ht="5.25" customHeight="1"/>
    <row r="12" spans="3:28" ht="6" customHeight="1"/>
    <row r="13" spans="3:28" ht="22.5" customHeight="1">
      <c r="C13" s="2480" t="s">
        <v>998</v>
      </c>
      <c r="D13" s="2481"/>
    </row>
    <row r="14" spans="3:28" ht="6" customHeight="1"/>
    <row r="15" spans="3:28" ht="7.5" customHeight="1">
      <c r="C15" s="185"/>
      <c r="D15" s="185"/>
    </row>
    <row r="16" spans="3:28" s="209" customFormat="1" ht="21" customHeight="1">
      <c r="E16" s="2485" t="s">
        <v>1073</v>
      </c>
      <c r="F16" s="2485"/>
      <c r="G16" s="2485" t="s">
        <v>1074</v>
      </c>
      <c r="H16" s="2485"/>
      <c r="I16" s="2485" t="s">
        <v>1075</v>
      </c>
      <c r="J16" s="2485"/>
      <c r="K16" s="2485" t="s">
        <v>1076</v>
      </c>
      <c r="L16" s="2485"/>
      <c r="M16" s="2483" t="s">
        <v>1035</v>
      </c>
      <c r="N16" s="2484"/>
      <c r="O16" s="33"/>
      <c r="P16" s="33"/>
      <c r="Q16" s="33"/>
      <c r="R16" s="33"/>
      <c r="S16" s="33"/>
      <c r="T16" s="33"/>
      <c r="U16" s="33"/>
      <c r="V16" s="33"/>
      <c r="W16" s="33"/>
      <c r="X16" s="33"/>
      <c r="Y16" s="33"/>
      <c r="Z16" s="33"/>
      <c r="AA16" s="33"/>
      <c r="AB16" s="33"/>
    </row>
    <row r="17" spans="3:28" s="209" customFormat="1" ht="21" customHeight="1">
      <c r="C17" s="364" t="s">
        <v>1038</v>
      </c>
      <c r="D17" s="365" t="s">
        <v>180</v>
      </c>
      <c r="E17" s="366" t="s">
        <v>1011</v>
      </c>
      <c r="F17" s="366" t="s">
        <v>933</v>
      </c>
      <c r="G17" s="366" t="s">
        <v>1011</v>
      </c>
      <c r="H17" s="366" t="s">
        <v>933</v>
      </c>
      <c r="I17" s="366" t="s">
        <v>1011</v>
      </c>
      <c r="J17" s="366" t="s">
        <v>933</v>
      </c>
      <c r="K17" s="366" t="s">
        <v>1011</v>
      </c>
      <c r="L17" s="366" t="s">
        <v>933</v>
      </c>
      <c r="M17" s="367" t="s">
        <v>1011</v>
      </c>
      <c r="N17" s="368" t="s">
        <v>933</v>
      </c>
      <c r="O17" s="33"/>
      <c r="P17" s="33"/>
      <c r="Q17" s="33"/>
      <c r="R17" s="33"/>
      <c r="S17" s="33"/>
      <c r="T17" s="33"/>
      <c r="U17" s="33"/>
      <c r="V17" s="33"/>
      <c r="W17" s="33"/>
      <c r="X17" s="33"/>
      <c r="Y17" s="33"/>
      <c r="Z17" s="33"/>
      <c r="AA17" s="33"/>
      <c r="AB17" s="33"/>
    </row>
    <row r="18" spans="3:28" s="371" customFormat="1" ht="21" customHeight="1" outlineLevel="1">
      <c r="C18" s="2494" t="s">
        <v>1013</v>
      </c>
      <c r="D18" s="2183" t="s">
        <v>2016</v>
      </c>
      <c r="E18" s="342"/>
      <c r="F18" s="343"/>
      <c r="G18" s="344"/>
      <c r="H18" s="345"/>
      <c r="I18" s="342"/>
      <c r="J18" s="343"/>
      <c r="K18" s="344"/>
      <c r="L18" s="345"/>
      <c r="M18" s="369">
        <f>+E18+G18+I18+K18</f>
        <v>0</v>
      </c>
      <c r="N18" s="370">
        <f t="shared" ref="N18" si="0">+F18+H18+J18+L18</f>
        <v>0</v>
      </c>
      <c r="O18"/>
      <c r="P18"/>
      <c r="Q18"/>
      <c r="R18"/>
      <c r="S18"/>
      <c r="T18"/>
      <c r="U18"/>
      <c r="V18"/>
      <c r="W18"/>
      <c r="X18"/>
      <c r="Y18"/>
      <c r="Z18"/>
      <c r="AA18"/>
      <c r="AB18"/>
    </row>
    <row r="19" spans="3:28" s="371" customFormat="1" ht="21" customHeight="1" outlineLevel="1">
      <c r="C19" s="2495"/>
      <c r="D19" s="2183" t="s">
        <v>2025</v>
      </c>
      <c r="E19" s="342"/>
      <c r="F19" s="343"/>
      <c r="G19" s="344"/>
      <c r="H19" s="345"/>
      <c r="I19" s="342"/>
      <c r="J19" s="343"/>
      <c r="K19" s="344"/>
      <c r="L19" s="345"/>
      <c r="M19" s="369">
        <f t="shared" ref="M19:M24" si="1">+E19+G19+I19+K19</f>
        <v>0</v>
      </c>
      <c r="N19" s="370">
        <f t="shared" ref="N19:N24" si="2">+F19+H19+J19+L19</f>
        <v>0</v>
      </c>
      <c r="O19"/>
      <c r="P19"/>
      <c r="Q19"/>
      <c r="R19"/>
      <c r="S19"/>
      <c r="T19"/>
      <c r="U19"/>
      <c r="V19"/>
      <c r="W19"/>
      <c r="X19"/>
      <c r="Y19"/>
      <c r="Z19"/>
      <c r="AA19"/>
      <c r="AB19"/>
    </row>
    <row r="20" spans="3:28" s="371" customFormat="1" ht="21" customHeight="1" outlineLevel="1">
      <c r="C20" s="2495"/>
      <c r="D20" s="341">
        <v>0.04</v>
      </c>
      <c r="E20" s="342"/>
      <c r="F20" s="343"/>
      <c r="G20" s="344"/>
      <c r="H20" s="345"/>
      <c r="I20" s="342"/>
      <c r="J20" s="343"/>
      <c r="K20" s="344"/>
      <c r="L20" s="345"/>
      <c r="M20" s="369">
        <f t="shared" si="1"/>
        <v>0</v>
      </c>
      <c r="N20" s="370">
        <f t="shared" si="2"/>
        <v>0</v>
      </c>
      <c r="O20"/>
      <c r="P20"/>
      <c r="Q20"/>
      <c r="R20"/>
      <c r="S20"/>
      <c r="T20"/>
      <c r="U20"/>
      <c r="V20"/>
      <c r="W20"/>
      <c r="X20"/>
      <c r="Y20"/>
      <c r="Z20"/>
      <c r="AA20"/>
      <c r="AB20"/>
    </row>
    <row r="21" spans="3:28" s="371" customFormat="1" ht="21" customHeight="1" outlineLevel="1">
      <c r="C21" s="2495"/>
      <c r="D21" s="341">
        <v>0.05</v>
      </c>
      <c r="E21" s="342"/>
      <c r="F21" s="343"/>
      <c r="G21" s="344"/>
      <c r="H21" s="345"/>
      <c r="I21" s="342"/>
      <c r="J21" s="343"/>
      <c r="K21" s="344"/>
      <c r="L21" s="345"/>
      <c r="M21" s="372">
        <f t="shared" si="1"/>
        <v>0</v>
      </c>
      <c r="N21" s="373">
        <f t="shared" si="2"/>
        <v>0</v>
      </c>
      <c r="O21"/>
      <c r="P21"/>
      <c r="Q21"/>
      <c r="R21"/>
      <c r="S21"/>
      <c r="T21"/>
      <c r="U21"/>
      <c r="V21"/>
      <c r="W21"/>
      <c r="X21"/>
      <c r="Y21"/>
      <c r="Z21"/>
      <c r="AA21"/>
      <c r="AB21"/>
    </row>
    <row r="22" spans="3:28" s="371" customFormat="1" ht="21" customHeight="1" outlineLevel="1">
      <c r="C22" s="2495"/>
      <c r="D22" s="2188">
        <v>7.4999999999999997E-2</v>
      </c>
      <c r="E22" s="342"/>
      <c r="F22" s="343"/>
      <c r="G22" s="344"/>
      <c r="H22" s="345"/>
      <c r="I22" s="342"/>
      <c r="J22" s="343"/>
      <c r="K22" s="344"/>
      <c r="L22" s="345"/>
      <c r="M22" s="372">
        <f t="shared" si="1"/>
        <v>0</v>
      </c>
      <c r="N22" s="373">
        <f t="shared" si="2"/>
        <v>0</v>
      </c>
      <c r="O22"/>
      <c r="P22"/>
      <c r="Q22"/>
      <c r="R22"/>
      <c r="S22"/>
      <c r="T22"/>
      <c r="U22"/>
      <c r="V22"/>
      <c r="W22"/>
      <c r="X22"/>
      <c r="Y22"/>
      <c r="Z22"/>
      <c r="AA22"/>
      <c r="AB22"/>
    </row>
    <row r="23" spans="3:28" s="371" customFormat="1" ht="21" customHeight="1" outlineLevel="1">
      <c r="C23" s="2495"/>
      <c r="D23" s="341">
        <v>0.1</v>
      </c>
      <c r="E23" s="342"/>
      <c r="F23" s="343"/>
      <c r="G23" s="344"/>
      <c r="H23" s="345"/>
      <c r="I23" s="342"/>
      <c r="J23" s="343"/>
      <c r="K23" s="344"/>
      <c r="L23" s="345"/>
      <c r="M23" s="372">
        <f t="shared" si="1"/>
        <v>0</v>
      </c>
      <c r="N23" s="373">
        <f t="shared" si="2"/>
        <v>0</v>
      </c>
      <c r="O23"/>
      <c r="P23"/>
      <c r="Q23"/>
      <c r="R23"/>
      <c r="S23"/>
      <c r="T23"/>
      <c r="U23"/>
      <c r="V23"/>
      <c r="W23"/>
      <c r="X23"/>
      <c r="Y23"/>
      <c r="Z23"/>
      <c r="AA23"/>
      <c r="AB23"/>
    </row>
    <row r="24" spans="3:28" ht="21" customHeight="1" outlineLevel="1">
      <c r="C24" s="2496"/>
      <c r="D24" s="1236">
        <v>0.21</v>
      </c>
      <c r="E24" s="356"/>
      <c r="F24" s="357"/>
      <c r="G24" s="358"/>
      <c r="H24" s="359"/>
      <c r="I24" s="356"/>
      <c r="J24" s="357"/>
      <c r="K24" s="358"/>
      <c r="L24" s="359"/>
      <c r="M24" s="378">
        <f t="shared" si="1"/>
        <v>0</v>
      </c>
      <c r="N24" s="379">
        <f t="shared" si="2"/>
        <v>0</v>
      </c>
    </row>
    <row r="25" spans="3:28" ht="21" customHeight="1" outlineLevel="1">
      <c r="C25" s="2490" t="s">
        <v>1660</v>
      </c>
      <c r="D25" s="2491"/>
      <c r="E25" s="1255"/>
      <c r="F25" s="1256"/>
      <c r="G25" s="1257"/>
      <c r="H25" s="1258"/>
      <c r="I25" s="1255"/>
      <c r="J25" s="1256"/>
      <c r="K25" s="1257"/>
      <c r="L25" s="1258"/>
      <c r="M25" s="1259">
        <f t="shared" ref="M25:M32" si="3">+E25+G25+I25+K25</f>
        <v>0</v>
      </c>
      <c r="N25" s="1261">
        <f t="shared" ref="N25:N32" si="4">+F25+H25+J25+L25</f>
        <v>0</v>
      </c>
    </row>
    <row r="26" spans="3:28" ht="21" customHeight="1" outlineLevel="1">
      <c r="C26" s="2490" t="s">
        <v>1649</v>
      </c>
      <c r="D26" s="2491"/>
      <c r="E26" s="1255"/>
      <c r="F26" s="1256"/>
      <c r="G26" s="1257"/>
      <c r="H26" s="1258"/>
      <c r="I26" s="1255"/>
      <c r="J26" s="1256"/>
      <c r="K26" s="1257"/>
      <c r="L26" s="1258"/>
      <c r="M26" s="1259">
        <f t="shared" ref="M26" si="5">+E26+G26+I26+K26</f>
        <v>0</v>
      </c>
      <c r="N26" s="1261">
        <f t="shared" ref="N26" si="6">+F26+H26+J26+L26</f>
        <v>0</v>
      </c>
    </row>
    <row r="27" spans="3:28" ht="21" customHeight="1" outlineLevel="1">
      <c r="C27" s="2492" t="s">
        <v>1651</v>
      </c>
      <c r="D27" s="2493"/>
      <c r="E27" s="1262"/>
      <c r="F27" s="1263"/>
      <c r="G27" s="1264"/>
      <c r="H27" s="1265"/>
      <c r="I27" s="1262"/>
      <c r="J27" s="1263"/>
      <c r="K27" s="1264"/>
      <c r="L27" s="1265"/>
      <c r="M27" s="1259">
        <f t="shared" ref="M27" si="7">+E27+G27+I27+K27</f>
        <v>0</v>
      </c>
      <c r="N27" s="1261">
        <f t="shared" ref="N27" si="8">+F27+H27+J27+L27</f>
        <v>0</v>
      </c>
    </row>
    <row r="28" spans="3:28" ht="21" customHeight="1" outlineLevel="1">
      <c r="C28" s="2486" t="s">
        <v>1014</v>
      </c>
      <c r="D28" s="1260">
        <v>5.0000000000000001E-3</v>
      </c>
      <c r="E28" s="1248"/>
      <c r="F28" s="1249"/>
      <c r="G28" s="1250"/>
      <c r="H28" s="1251"/>
      <c r="I28" s="1248"/>
      <c r="J28" s="1249"/>
      <c r="K28" s="1250"/>
      <c r="L28" s="1251"/>
      <c r="M28" s="1252">
        <f t="shared" si="3"/>
        <v>0</v>
      </c>
      <c r="N28" s="1253">
        <f t="shared" si="4"/>
        <v>0</v>
      </c>
    </row>
    <row r="29" spans="3:28" ht="21" customHeight="1" outlineLevel="1">
      <c r="C29" s="2486"/>
      <c r="D29" s="350">
        <v>1.4E-2</v>
      </c>
      <c r="E29" s="346"/>
      <c r="F29" s="347"/>
      <c r="G29" s="348"/>
      <c r="H29" s="349"/>
      <c r="I29" s="346"/>
      <c r="J29" s="347"/>
      <c r="K29" s="348"/>
      <c r="L29" s="349"/>
      <c r="M29" s="374">
        <f t="shared" si="3"/>
        <v>0</v>
      </c>
      <c r="N29" s="375">
        <f t="shared" si="4"/>
        <v>0</v>
      </c>
    </row>
    <row r="30" spans="3:28" ht="21" customHeight="1" outlineLevel="1">
      <c r="C30" s="2486"/>
      <c r="D30" s="350">
        <v>5.1999999999999998E-2</v>
      </c>
      <c r="E30" s="346"/>
      <c r="F30" s="347"/>
      <c r="G30" s="348"/>
      <c r="H30" s="349"/>
      <c r="I30" s="346"/>
      <c r="J30" s="347"/>
      <c r="K30" s="348"/>
      <c r="L30" s="349"/>
      <c r="M30" s="374">
        <f t="shared" si="3"/>
        <v>0</v>
      </c>
      <c r="N30" s="375">
        <f t="shared" si="4"/>
        <v>0</v>
      </c>
    </row>
    <row r="31" spans="3:28" ht="21" customHeight="1" outlineLevel="1">
      <c r="C31" s="2487"/>
      <c r="D31" s="355"/>
      <c r="E31" s="356"/>
      <c r="F31" s="357"/>
      <c r="G31" s="358"/>
      <c r="H31" s="359"/>
      <c r="I31" s="356"/>
      <c r="J31" s="357"/>
      <c r="K31" s="358"/>
      <c r="L31" s="359"/>
      <c r="M31" s="378">
        <f t="shared" si="3"/>
        <v>0</v>
      </c>
      <c r="N31" s="379">
        <f t="shared" si="4"/>
        <v>0</v>
      </c>
    </row>
    <row r="32" spans="3:28" ht="21" customHeight="1" outlineLevel="1">
      <c r="C32" s="2488" t="s">
        <v>1650</v>
      </c>
      <c r="D32" s="2489"/>
      <c r="E32" s="360"/>
      <c r="F32" s="361"/>
      <c r="G32" s="362"/>
      <c r="H32" s="363"/>
      <c r="I32" s="360"/>
      <c r="J32" s="361"/>
      <c r="K32" s="362"/>
      <c r="L32" s="363"/>
      <c r="M32" s="380">
        <f t="shared" si="3"/>
        <v>0</v>
      </c>
      <c r="N32" s="381">
        <f t="shared" si="4"/>
        <v>0</v>
      </c>
    </row>
    <row r="33" spans="3:14" s="33" customFormat="1" ht="21" customHeight="1">
      <c r="C33" s="192" t="s">
        <v>1015</v>
      </c>
      <c r="D33" s="216"/>
      <c r="E33" s="216"/>
      <c r="F33" s="213">
        <f>SUM(F18:F32)</f>
        <v>0</v>
      </c>
      <c r="G33" s="216"/>
      <c r="H33" s="213">
        <f>SUM(H18:H32)</f>
        <v>0</v>
      </c>
      <c r="I33" s="216"/>
      <c r="J33" s="213">
        <f>SUM(J18:J32)</f>
        <v>0</v>
      </c>
      <c r="K33" s="216"/>
      <c r="L33" s="213">
        <f>SUM(L18:L32)</f>
        <v>0</v>
      </c>
      <c r="M33" s="216"/>
      <c r="N33" s="383">
        <f>SUM(N18:N32)</f>
        <v>0</v>
      </c>
    </row>
    <row r="34" spans="3:14" ht="12" customHeight="1"/>
    <row r="35" spans="3:14" ht="21" customHeight="1">
      <c r="C35" s="194" t="s">
        <v>1016</v>
      </c>
    </row>
    <row r="36" spans="3:14" ht="21" customHeight="1" outlineLevel="1">
      <c r="C36" s="2482" t="s">
        <v>1017</v>
      </c>
      <c r="D36" s="2482"/>
      <c r="E36" s="351"/>
      <c r="F36" s="352"/>
      <c r="G36" s="353"/>
      <c r="H36" s="354"/>
      <c r="I36" s="351"/>
      <c r="J36" s="352"/>
      <c r="K36" s="353"/>
      <c r="L36" s="354"/>
      <c r="M36" s="376">
        <f t="shared" ref="M36:M44" si="9">+E36+G36+I36+K36</f>
        <v>0</v>
      </c>
      <c r="N36" s="377">
        <f t="shared" ref="N36:N45" si="10">+F36+H36+J36+L36</f>
        <v>0</v>
      </c>
    </row>
    <row r="37" spans="3:14" ht="21" customHeight="1" outlineLevel="1">
      <c r="C37" s="2482" t="s">
        <v>1018</v>
      </c>
      <c r="D37" s="2482"/>
      <c r="E37" s="346"/>
      <c r="F37" s="347"/>
      <c r="G37" s="348"/>
      <c r="H37" s="349"/>
      <c r="I37" s="346"/>
      <c r="J37" s="347"/>
      <c r="K37" s="348"/>
      <c r="L37" s="349"/>
      <c r="M37" s="374">
        <f t="shared" si="9"/>
        <v>0</v>
      </c>
      <c r="N37" s="375">
        <f t="shared" si="10"/>
        <v>0</v>
      </c>
    </row>
    <row r="38" spans="3:14" ht="21" customHeight="1" outlineLevel="1">
      <c r="C38" s="2482" t="s">
        <v>1019</v>
      </c>
      <c r="D38" s="2482"/>
      <c r="E38" s="346"/>
      <c r="F38" s="347"/>
      <c r="G38" s="348"/>
      <c r="H38" s="349"/>
      <c r="I38" s="346"/>
      <c r="J38" s="347"/>
      <c r="K38" s="348"/>
      <c r="L38" s="349"/>
      <c r="M38" s="374">
        <f t="shared" si="9"/>
        <v>0</v>
      </c>
      <c r="N38" s="375">
        <f t="shared" si="10"/>
        <v>0</v>
      </c>
    </row>
    <row r="39" spans="3:14" ht="21" customHeight="1" outlineLevel="1">
      <c r="C39" s="2482" t="s">
        <v>1020</v>
      </c>
      <c r="D39" s="2482"/>
      <c r="E39" s="346"/>
      <c r="F39" s="347"/>
      <c r="G39" s="348"/>
      <c r="H39" s="349"/>
      <c r="I39" s="346"/>
      <c r="J39" s="347"/>
      <c r="K39" s="348"/>
      <c r="L39" s="349"/>
      <c r="M39" s="374">
        <f t="shared" si="9"/>
        <v>0</v>
      </c>
      <c r="N39" s="375">
        <f t="shared" si="10"/>
        <v>0</v>
      </c>
    </row>
    <row r="40" spans="3:14" ht="21" customHeight="1" outlineLevel="1">
      <c r="C40" s="2482" t="s">
        <v>1021</v>
      </c>
      <c r="D40" s="2482"/>
      <c r="E40" s="346"/>
      <c r="F40" s="347"/>
      <c r="G40" s="348"/>
      <c r="H40" s="349"/>
      <c r="I40" s="346"/>
      <c r="J40" s="347"/>
      <c r="K40" s="348"/>
      <c r="L40" s="349"/>
      <c r="M40" s="374">
        <f t="shared" si="9"/>
        <v>0</v>
      </c>
      <c r="N40" s="375">
        <f t="shared" si="10"/>
        <v>0</v>
      </c>
    </row>
    <row r="41" spans="3:14" ht="21" customHeight="1" outlineLevel="1">
      <c r="C41" s="2482" t="s">
        <v>1022</v>
      </c>
      <c r="D41" s="2482"/>
      <c r="E41" s="346"/>
      <c r="F41" s="347"/>
      <c r="G41" s="348"/>
      <c r="H41" s="349"/>
      <c r="I41" s="346"/>
      <c r="J41" s="347"/>
      <c r="K41" s="348"/>
      <c r="L41" s="349"/>
      <c r="M41" s="374">
        <f t="shared" si="9"/>
        <v>0</v>
      </c>
      <c r="N41" s="375">
        <f t="shared" si="10"/>
        <v>0</v>
      </c>
    </row>
    <row r="42" spans="3:14" ht="21" customHeight="1" outlineLevel="1">
      <c r="C42" s="2497" t="s">
        <v>1652</v>
      </c>
      <c r="D42" s="2498"/>
      <c r="E42" s="346"/>
      <c r="F42" s="347"/>
      <c r="G42" s="348"/>
      <c r="H42" s="349"/>
      <c r="I42" s="346"/>
      <c r="J42" s="347"/>
      <c r="K42" s="348"/>
      <c r="L42" s="349"/>
      <c r="M42" s="374">
        <f t="shared" si="9"/>
        <v>0</v>
      </c>
      <c r="N42" s="375">
        <f t="shared" si="10"/>
        <v>0</v>
      </c>
    </row>
    <row r="43" spans="3:14" ht="21" customHeight="1" outlineLevel="1">
      <c r="C43" s="2497" t="s">
        <v>1023</v>
      </c>
      <c r="D43" s="2498"/>
      <c r="E43" s="346"/>
      <c r="F43" s="347"/>
      <c r="G43" s="348"/>
      <c r="H43" s="349"/>
      <c r="I43" s="346"/>
      <c r="J43" s="347"/>
      <c r="K43" s="348"/>
      <c r="L43" s="349"/>
      <c r="M43" s="374">
        <f t="shared" si="9"/>
        <v>0</v>
      </c>
      <c r="N43" s="375">
        <f t="shared" si="10"/>
        <v>0</v>
      </c>
    </row>
    <row r="44" spans="3:14" ht="21" customHeight="1" outlineLevel="1">
      <c r="C44" s="2497" t="s">
        <v>1653</v>
      </c>
      <c r="D44" s="2498"/>
      <c r="E44" s="346"/>
      <c r="F44" s="347"/>
      <c r="G44" s="348"/>
      <c r="H44" s="349"/>
      <c r="I44" s="346"/>
      <c r="J44" s="347"/>
      <c r="K44" s="348"/>
      <c r="L44" s="349"/>
      <c r="M44" s="374">
        <f t="shared" si="9"/>
        <v>0</v>
      </c>
      <c r="N44" s="375">
        <f t="shared" si="10"/>
        <v>0</v>
      </c>
    </row>
    <row r="45" spans="3:14" ht="21" customHeight="1" outlineLevel="1">
      <c r="C45" s="2497" t="s">
        <v>1024</v>
      </c>
      <c r="D45" s="2498"/>
      <c r="E45" s="346"/>
      <c r="F45" s="347"/>
      <c r="G45" s="348"/>
      <c r="H45" s="349"/>
      <c r="I45" s="346"/>
      <c r="J45" s="347"/>
      <c r="K45" s="348"/>
      <c r="L45" s="349"/>
      <c r="M45" s="1254"/>
      <c r="N45" s="375">
        <f t="shared" si="10"/>
        <v>0</v>
      </c>
    </row>
    <row r="46" spans="3:14" s="33" customFormat="1" ht="21" customHeight="1">
      <c r="C46" s="194" t="s">
        <v>1025</v>
      </c>
      <c r="D46"/>
      <c r="E46" s="216"/>
      <c r="F46" s="213">
        <f>SUM(F36:F45)</f>
        <v>0</v>
      </c>
      <c r="G46" s="216"/>
      <c r="H46" s="213">
        <f>SUM(H36:H45)</f>
        <v>0</v>
      </c>
      <c r="I46" s="216"/>
      <c r="J46" s="213">
        <f>SUM(J36:J45)</f>
        <v>0</v>
      </c>
      <c r="K46" s="216"/>
      <c r="L46" s="213">
        <f>SUM(L36:L45)</f>
        <v>0</v>
      </c>
      <c r="M46" s="216"/>
      <c r="N46" s="383">
        <f>SUM(N36:N45)</f>
        <v>0</v>
      </c>
    </row>
    <row r="47" spans="3:14" ht="12" customHeight="1">
      <c r="C47" s="382"/>
      <c r="E47" s="214"/>
      <c r="F47" s="214"/>
      <c r="G47" s="214"/>
      <c r="H47" s="214"/>
      <c r="I47" s="214"/>
      <c r="J47" s="214"/>
      <c r="K47" s="214"/>
      <c r="L47" s="214"/>
      <c r="M47" s="214"/>
      <c r="N47" s="214"/>
    </row>
    <row r="48" spans="3:14" ht="21" customHeight="1">
      <c r="C48" s="194" t="s">
        <v>1654</v>
      </c>
      <c r="E48" s="214"/>
      <c r="F48" s="213">
        <f>+F33-F46</f>
        <v>0</v>
      </c>
      <c r="G48" s="216"/>
      <c r="H48" s="213">
        <f>+H33-H46</f>
        <v>0</v>
      </c>
      <c r="I48" s="216"/>
      <c r="J48" s="213">
        <f>+J33-J46</f>
        <v>0</v>
      </c>
      <c r="K48" s="216"/>
      <c r="L48" s="213">
        <f>+L33-L46</f>
        <v>0</v>
      </c>
      <c r="M48" s="214"/>
      <c r="N48" s="383">
        <f t="shared" ref="N48:N50" si="11">+F48+H48+J48+L48</f>
        <v>0</v>
      </c>
    </row>
    <row r="49" spans="3:14" ht="21" customHeight="1">
      <c r="C49" s="2482" t="s">
        <v>1655</v>
      </c>
      <c r="D49" s="2482"/>
      <c r="E49" s="214"/>
      <c r="F49" s="352"/>
      <c r="G49" s="216"/>
      <c r="H49" s="354"/>
      <c r="I49" s="214"/>
      <c r="J49" s="352"/>
      <c r="K49" s="216"/>
      <c r="L49" s="354"/>
      <c r="M49" s="214"/>
      <c r="N49" s="375">
        <f t="shared" si="11"/>
        <v>0</v>
      </c>
    </row>
    <row r="50" spans="3:14" ht="21" customHeight="1">
      <c r="C50" s="1239" t="s">
        <v>1656</v>
      </c>
      <c r="E50" s="216"/>
      <c r="F50" s="213">
        <f>+F48+F49</f>
        <v>0</v>
      </c>
      <c r="G50" s="216"/>
      <c r="H50" s="213">
        <f t="shared" ref="H50" si="12">+H48+H49</f>
        <v>0</v>
      </c>
      <c r="I50" s="216"/>
      <c r="J50" s="213">
        <f t="shared" ref="J50" si="13">+J48+J49</f>
        <v>0</v>
      </c>
      <c r="K50" s="216"/>
      <c r="L50" s="213">
        <f t="shared" ref="L50" si="14">+L48+L49</f>
        <v>0</v>
      </c>
      <c r="M50" s="214"/>
      <c r="N50" s="1237">
        <f t="shared" si="11"/>
        <v>0</v>
      </c>
    </row>
    <row r="51" spans="3:14" ht="21" customHeight="1">
      <c r="C51" s="1235" t="s">
        <v>1657</v>
      </c>
      <c r="D51" s="1238">
        <v>1</v>
      </c>
      <c r="E51" s="216"/>
      <c r="F51" s="213">
        <f>+$D$51*F50</f>
        <v>0</v>
      </c>
      <c r="G51" s="216"/>
      <c r="H51" s="213">
        <f>+$D$51*H50</f>
        <v>0</v>
      </c>
      <c r="I51" s="216"/>
      <c r="J51" s="213">
        <f>+$D$51*J50</f>
        <v>0</v>
      </c>
      <c r="K51" s="216"/>
      <c r="L51" s="213">
        <f>+$D$51*L50</f>
        <v>0</v>
      </c>
      <c r="M51" s="214"/>
      <c r="N51" s="1237">
        <f>+F51+H51+J51+L51</f>
        <v>0</v>
      </c>
    </row>
    <row r="52" spans="3:14" ht="21" customHeight="1">
      <c r="C52" s="2482" t="s">
        <v>1658</v>
      </c>
      <c r="D52" s="2482"/>
      <c r="E52" s="216"/>
      <c r="F52" s="347"/>
      <c r="G52" s="216"/>
      <c r="H52" s="349"/>
      <c r="I52" s="216"/>
      <c r="J52" s="347"/>
      <c r="K52" s="216"/>
      <c r="L52" s="349"/>
      <c r="M52" s="214"/>
      <c r="N52" s="375">
        <f t="shared" ref="N52" si="15">+F52+H52+J52+L52</f>
        <v>0</v>
      </c>
    </row>
    <row r="53" spans="3:14" ht="21" customHeight="1">
      <c r="C53" s="2482" t="s">
        <v>1026</v>
      </c>
      <c r="D53" s="2482"/>
      <c r="E53" s="216"/>
      <c r="F53" s="352"/>
      <c r="G53" s="216"/>
      <c r="H53" s="354"/>
      <c r="I53" s="216"/>
      <c r="J53" s="352"/>
      <c r="K53" s="216"/>
      <c r="L53" s="354"/>
      <c r="M53" s="214"/>
      <c r="N53" s="375">
        <f>+F53</f>
        <v>0</v>
      </c>
    </row>
    <row r="54" spans="3:14" ht="12" customHeight="1">
      <c r="E54" s="214"/>
      <c r="F54" s="214"/>
      <c r="G54" s="214"/>
      <c r="H54" s="214"/>
      <c r="I54" s="214"/>
      <c r="J54" s="214"/>
      <c r="K54" s="214"/>
      <c r="L54" s="214"/>
      <c r="M54" s="214"/>
      <c r="N54" s="214"/>
    </row>
    <row r="55" spans="3:14" ht="21" customHeight="1">
      <c r="C55" s="194" t="s">
        <v>1030</v>
      </c>
      <c r="D55" s="214"/>
      <c r="E55" s="216"/>
      <c r="F55" s="1240">
        <f>+F51-F53+F52</f>
        <v>0</v>
      </c>
      <c r="G55" s="216"/>
      <c r="H55" s="213">
        <f>+H51-H53+H52</f>
        <v>0</v>
      </c>
      <c r="I55" s="216"/>
      <c r="J55" s="213">
        <f>+J51-J53+J52</f>
        <v>0</v>
      </c>
      <c r="K55" s="216"/>
      <c r="L55" s="213">
        <f>+L51-L53+L52</f>
        <v>0</v>
      </c>
      <c r="M55" s="214"/>
      <c r="N55" s="383">
        <f>+N51-N53+N52</f>
        <v>0</v>
      </c>
    </row>
    <row r="56" spans="3:14" ht="21" customHeight="1" outlineLevel="1">
      <c r="C56" s="2482" t="s">
        <v>1027</v>
      </c>
      <c r="D56" s="2482"/>
      <c r="E56" s="1242"/>
      <c r="F56" s="216"/>
      <c r="G56" s="1245"/>
      <c r="H56" s="216"/>
      <c r="I56" s="1242"/>
      <c r="J56" s="216"/>
      <c r="K56" s="1245"/>
      <c r="L56" s="214"/>
      <c r="M56" s="374">
        <f t="shared" ref="M56:M58" si="16">+E56+G56+I56+K56</f>
        <v>0</v>
      </c>
      <c r="N56" s="214"/>
    </row>
    <row r="57" spans="3:14" ht="21" customHeight="1" outlineLevel="1">
      <c r="C57" s="2482" t="s">
        <v>1028</v>
      </c>
      <c r="D57" s="2482"/>
      <c r="E57" s="1243"/>
      <c r="F57" s="216"/>
      <c r="G57" s="1246"/>
      <c r="H57" s="216"/>
      <c r="I57" s="1243"/>
      <c r="J57" s="216"/>
      <c r="K57" s="1246"/>
      <c r="L57" s="214"/>
      <c r="M57" s="374">
        <f t="shared" si="16"/>
        <v>0</v>
      </c>
      <c r="N57" s="214"/>
    </row>
    <row r="58" spans="3:14" ht="21" customHeight="1" outlineLevel="1">
      <c r="C58" s="2482" t="s">
        <v>1029</v>
      </c>
      <c r="D58" s="2482"/>
      <c r="E58" s="1244"/>
      <c r="F58" s="1241"/>
      <c r="G58" s="1247"/>
      <c r="H58" s="216"/>
      <c r="I58" s="1244"/>
      <c r="J58" s="1241"/>
      <c r="K58" s="1247"/>
      <c r="L58" s="214"/>
      <c r="M58" s="217">
        <f t="shared" si="16"/>
        <v>0</v>
      </c>
      <c r="N58" s="214"/>
    </row>
    <row r="59" spans="3:14" ht="12" customHeight="1">
      <c r="E59" s="214"/>
      <c r="F59" s="214"/>
      <c r="G59" s="214"/>
      <c r="H59" s="214"/>
      <c r="I59" s="214"/>
      <c r="J59" s="214"/>
      <c r="K59" s="214"/>
      <c r="L59" s="214"/>
      <c r="M59" s="214"/>
      <c r="N59" s="214"/>
    </row>
    <row r="60" spans="3:14" ht="21" customHeight="1">
      <c r="C60" s="192" t="s">
        <v>1031</v>
      </c>
      <c r="E60" s="213"/>
      <c r="F60" s="214"/>
      <c r="G60" s="213"/>
      <c r="H60" s="214"/>
      <c r="I60" s="213"/>
      <c r="J60" s="214"/>
      <c r="K60" s="213"/>
      <c r="L60" s="214"/>
      <c r="M60" s="383">
        <f>+E60+G60+I60+K60</f>
        <v>0</v>
      </c>
      <c r="N60" s="214"/>
    </row>
    <row r="61" spans="3:14" ht="21" customHeight="1">
      <c r="C61" s="384" t="s">
        <v>1032</v>
      </c>
      <c r="E61" s="213">
        <f>+E25-E60</f>
        <v>0</v>
      </c>
      <c r="F61" s="214"/>
      <c r="G61" s="213">
        <f>+G25-G60</f>
        <v>0</v>
      </c>
      <c r="H61" s="214"/>
      <c r="I61" s="213">
        <f>+I25-I60</f>
        <v>0</v>
      </c>
      <c r="J61" s="214"/>
      <c r="K61" s="213">
        <f>+K25-K60</f>
        <v>0</v>
      </c>
      <c r="L61" s="214"/>
      <c r="M61" s="383">
        <f>+M25-M60</f>
        <v>0</v>
      </c>
      <c r="N61" s="214"/>
    </row>
    <row r="62" spans="3:14" ht="12" customHeight="1">
      <c r="E62" s="214"/>
      <c r="F62" s="214"/>
      <c r="G62" s="214"/>
      <c r="H62" s="214"/>
      <c r="I62" s="214"/>
      <c r="J62" s="214"/>
      <c r="K62" s="214"/>
      <c r="L62" s="214"/>
      <c r="M62" s="214"/>
      <c r="N62" s="214"/>
    </row>
    <row r="63" spans="3:14" ht="21" customHeight="1">
      <c r="C63" s="192" t="s">
        <v>1033</v>
      </c>
      <c r="E63" s="213"/>
      <c r="F63" s="214"/>
      <c r="G63" s="213"/>
      <c r="H63" s="214"/>
      <c r="I63" s="213"/>
      <c r="J63" s="214"/>
      <c r="K63" s="213"/>
      <c r="L63" s="214"/>
      <c r="M63" s="383">
        <f>+E63+G63+I63+K63</f>
        <v>0</v>
      </c>
      <c r="N63" s="214"/>
    </row>
    <row r="64" spans="3:14" ht="21" customHeight="1">
      <c r="C64" s="384" t="s">
        <v>1034</v>
      </c>
      <c r="E64" s="213">
        <f>+E56-E63</f>
        <v>0</v>
      </c>
      <c r="F64" s="214"/>
      <c r="G64" s="213">
        <f>+G56-G63</f>
        <v>0</v>
      </c>
      <c r="H64" s="214"/>
      <c r="I64" s="213">
        <f>+I56-I63</f>
        <v>0</v>
      </c>
      <c r="J64" s="214"/>
      <c r="K64" s="213">
        <f>+K56-K63</f>
        <v>0</v>
      </c>
      <c r="L64" s="214"/>
      <c r="M64" s="383">
        <f>+M56-M63</f>
        <v>0</v>
      </c>
      <c r="N64" s="214"/>
    </row>
    <row r="65" spans="3:14" ht="21" customHeight="1"/>
    <row r="66" spans="3:14" ht="20.25" customHeight="1">
      <c r="C66" s="192" t="s">
        <v>1537</v>
      </c>
      <c r="D66" s="192" t="s">
        <v>1539</v>
      </c>
      <c r="E66" s="551"/>
      <c r="F66" s="551"/>
      <c r="G66" s="551"/>
      <c r="H66" s="551"/>
      <c r="I66" s="551"/>
      <c r="J66" s="551"/>
      <c r="K66" s="551"/>
      <c r="L66" s="551"/>
      <c r="M66" s="217">
        <f>+E66+G66+I66+K66</f>
        <v>0</v>
      </c>
      <c r="N66" s="217">
        <f>+F66+H66+J66+L66</f>
        <v>0</v>
      </c>
    </row>
    <row r="67" spans="3:14" ht="20.25" customHeight="1">
      <c r="E67" s="71"/>
      <c r="F67" s="71"/>
      <c r="G67" s="71"/>
      <c r="H67" s="71"/>
      <c r="I67" s="71"/>
      <c r="J67" s="71"/>
      <c r="K67" s="71"/>
      <c r="L67" s="71"/>
    </row>
    <row r="68" spans="3:14" ht="20.25" customHeight="1">
      <c r="C68" s="192" t="s">
        <v>1537</v>
      </c>
      <c r="D68" s="192" t="s">
        <v>1538</v>
      </c>
      <c r="E68" s="551"/>
      <c r="F68" s="551"/>
      <c r="G68" s="551"/>
      <c r="H68" s="551"/>
      <c r="I68" s="551"/>
      <c r="J68" s="551"/>
      <c r="K68" s="551"/>
      <c r="L68" s="551"/>
      <c r="M68" s="217">
        <f>+E68+G68+I68+K68</f>
        <v>0</v>
      </c>
      <c r="N68" s="217">
        <f>+F68+H68+J68+L68</f>
        <v>0</v>
      </c>
    </row>
    <row r="69" spans="3:14" ht="15" customHeight="1"/>
    <row r="70" spans="3:14" ht="15" customHeight="1"/>
    <row r="71" spans="3:14" ht="15" customHeight="1"/>
    <row r="72" spans="3:14" ht="15" customHeight="1"/>
    <row r="73" spans="3:14" ht="15" customHeight="1"/>
    <row r="74" spans="3:14" ht="15" customHeight="1"/>
    <row r="75" spans="3:14" ht="15" customHeight="1"/>
    <row r="76" spans="3:14" ht="15" customHeight="1"/>
    <row r="77" spans="3:14" ht="15" customHeight="1"/>
    <row r="78" spans="3:14" ht="15" customHeight="1"/>
    <row r="79" spans="3:14" ht="15" customHeight="1"/>
    <row r="80" spans="3:14" ht="15" customHeight="1"/>
    <row r="81" ht="15" customHeight="1"/>
  </sheetData>
  <mergeCells count="32">
    <mergeCell ref="C56:D56"/>
    <mergeCell ref="C57:D57"/>
    <mergeCell ref="C58:D58"/>
    <mergeCell ref="C40:D40"/>
    <mergeCell ref="C41:D41"/>
    <mergeCell ref="C42:D42"/>
    <mergeCell ref="C43:D43"/>
    <mergeCell ref="C44:D44"/>
    <mergeCell ref="C45:D45"/>
    <mergeCell ref="C49:D49"/>
    <mergeCell ref="C52:D52"/>
    <mergeCell ref="C53:D53"/>
    <mergeCell ref="C39:D39"/>
    <mergeCell ref="M16:N16"/>
    <mergeCell ref="I16:J16"/>
    <mergeCell ref="K16:L16"/>
    <mergeCell ref="E16:F16"/>
    <mergeCell ref="G16:H16"/>
    <mergeCell ref="C28:C31"/>
    <mergeCell ref="C32:D32"/>
    <mergeCell ref="C36:D36"/>
    <mergeCell ref="C37:D37"/>
    <mergeCell ref="C38:D38"/>
    <mergeCell ref="C25:D25"/>
    <mergeCell ref="C26:D26"/>
    <mergeCell ref="C27:D27"/>
    <mergeCell ref="C18:C24"/>
    <mergeCell ref="C5:D5"/>
    <mergeCell ref="E5:G5"/>
    <mergeCell ref="C7:D7"/>
    <mergeCell ref="E7:G7"/>
    <mergeCell ref="C13:D13"/>
  </mergeCells>
  <conditionalFormatting sqref="F33 F46 F48 H48 J48 L48 N55 N48 N46 N33 M60:M61 M63:M64 K63:K64 I63:I64 G63:G64 E60:E61 E63:E64 H46 J46 L46 N50:N51 G60:G61 I60:I61 K60:K61 H33 J33 L33">
    <cfRule type="expression" dxfId="217" priority="46">
      <formula>E33&lt;0</formula>
    </cfRule>
  </conditionalFormatting>
  <conditionalFormatting sqref="L50">
    <cfRule type="expression" dxfId="216" priority="14">
      <formula>L50&lt;0</formula>
    </cfRule>
  </conditionalFormatting>
  <conditionalFormatting sqref="J50">
    <cfRule type="expression" dxfId="215" priority="13">
      <formula>J50&lt;0</formula>
    </cfRule>
  </conditionalFormatting>
  <conditionalFormatting sqref="H50">
    <cfRule type="expression" dxfId="214" priority="12">
      <formula>H50&lt;0</formula>
    </cfRule>
  </conditionalFormatting>
  <conditionalFormatting sqref="F50">
    <cfRule type="expression" dxfId="213" priority="11">
      <formula>F50&lt;0</formula>
    </cfRule>
  </conditionalFormatting>
  <conditionalFormatting sqref="F51">
    <cfRule type="expression" dxfId="212" priority="10">
      <formula>F51&lt;0</formula>
    </cfRule>
  </conditionalFormatting>
  <conditionalFormatting sqref="H51">
    <cfRule type="expression" dxfId="211" priority="9">
      <formula>H51&lt;0</formula>
    </cfRule>
  </conditionalFormatting>
  <conditionalFormatting sqref="J51">
    <cfRule type="expression" dxfId="210" priority="8">
      <formula>J51&lt;0</formula>
    </cfRule>
  </conditionalFormatting>
  <conditionalFormatting sqref="L51">
    <cfRule type="expression" dxfId="209" priority="7">
      <formula>L51&lt;0</formula>
    </cfRule>
  </conditionalFormatting>
  <conditionalFormatting sqref="L55">
    <cfRule type="expression" dxfId="208" priority="6">
      <formula>L55&lt;0</formula>
    </cfRule>
  </conditionalFormatting>
  <conditionalFormatting sqref="J55">
    <cfRule type="expression" dxfId="207" priority="5">
      <formula>J55&lt;0</formula>
    </cfRule>
  </conditionalFormatting>
  <conditionalFormatting sqref="H55">
    <cfRule type="expression" dxfId="206" priority="4">
      <formula>H55&lt;0</formula>
    </cfRule>
  </conditionalFormatting>
  <conditionalFormatting sqref="F55">
    <cfRule type="expression" dxfId="205" priority="3">
      <formula>F55&lt;0</formula>
    </cfRule>
  </conditionalFormatting>
  <conditionalFormatting sqref="F58">
    <cfRule type="expression" dxfId="204" priority="2">
      <formula>F58&lt;0</formula>
    </cfRule>
  </conditionalFormatting>
  <conditionalFormatting sqref="J58">
    <cfRule type="expression" dxfId="203" priority="1">
      <formula>J58&lt;0</formula>
    </cfRule>
  </conditionalFormatting>
  <dataValidations count="2">
    <dataValidation allowBlank="1" showInputMessage="1" showErrorMessage="1" prompt="Operaciones no sujetas o con inversión del sujeto pasivo que originan el derecho a deducción" sqref="C58" xr:uid="{00000000-0002-0000-1900-000000000000}"/>
    <dataValidation allowBlank="1" showInputMessage="1" showErrorMessage="1" promptTitle="B.I." prompt="Base Imponible" sqref="G17 I17 K17 M17 E17" xr:uid="{00000000-0002-0000-1900-000001000000}"/>
  </dataValidations>
  <pageMargins left="0.23622047244094491" right="0.23622047244094491" top="0.74803149606299213" bottom="0.74803149606299213" header="0.31496062992125984" footer="0.31496062992125984"/>
  <pageSetup paperSize="9" scale="4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locked="0" defaultSize="0" print="0" autoFill="0" autoPict="0" macro="[0]!borrarivatrimestral">
                <anchor moveWithCells="1" sizeWithCells="1">
                  <from>
                    <xdr:col>5</xdr:col>
                    <xdr:colOff>990600</xdr:colOff>
                    <xdr:row>8</xdr:row>
                    <xdr:rowOff>7620</xdr:rowOff>
                  </from>
                  <to>
                    <xdr:col>7</xdr:col>
                    <xdr:colOff>312420</xdr:colOff>
                    <xdr:row>10</xdr:row>
                    <xdr:rowOff>45720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2">
    <pageSetUpPr autoPageBreaks="0"/>
  </sheetPr>
  <dimension ref="A1:AD89"/>
  <sheetViews>
    <sheetView showGridLines="0" showRowColHeaders="0" showZeros="0" zoomScale="75" zoomScaleNormal="75" zoomScaleSheetLayoutView="40" zoomScalePageLayoutView="55" workbookViewId="0">
      <pane xSplit="3" ySplit="17" topLeftCell="D67" activePane="bottomRight" state="frozen"/>
      <selection activeCell="G9" sqref="G9"/>
      <selection pane="topRight" activeCell="G9" sqref="G9"/>
      <selection pane="bottomLeft" activeCell="G9" sqref="G9"/>
      <selection pane="bottomRight" activeCell="H34" sqref="H34"/>
    </sheetView>
  </sheetViews>
  <sheetFormatPr baseColWidth="10" defaultColWidth="0" defaultRowHeight="15" customHeight="1" zeroHeight="1" outlineLevelRow="1"/>
  <cols>
    <col min="1" max="2" width="2" customWidth="1"/>
    <col min="3" max="3" width="70" customWidth="1"/>
    <col min="4" max="4" width="19" customWidth="1"/>
    <col min="5" max="10" width="16" customWidth="1"/>
    <col min="11" max="11" width="18.5546875" customWidth="1"/>
    <col min="12" max="12" width="16" customWidth="1"/>
    <col min="13" max="30" width="16" hidden="1" customWidth="1"/>
    <col min="31" max="16384" width="13" hidden="1"/>
  </cols>
  <sheetData>
    <row r="1" spans="3:11" ht="15" customHeight="1"/>
    <row r="2" spans="3:11" ht="9" customHeight="1"/>
    <row r="3" spans="3:11" ht="5.25" customHeight="1">
      <c r="C3" s="1"/>
      <c r="D3" s="1"/>
    </row>
    <row r="4" spans="3:11" ht="5.25" customHeight="1"/>
    <row r="5" spans="3:11" ht="21">
      <c r="C5" s="2252" t="str">
        <f>+MENU!C5</f>
        <v>Sociedad:</v>
      </c>
      <c r="D5" s="2253"/>
      <c r="E5" s="2254" t="str">
        <f>+MENU!E5</f>
        <v>MARIO PILATO BLAT, S.A.</v>
      </c>
      <c r="F5" s="2255"/>
      <c r="G5" s="2255"/>
      <c r="K5" s="40"/>
    </row>
    <row r="6" spans="3:11" ht="12.75" customHeight="1">
      <c r="C6" s="218"/>
      <c r="D6" s="218"/>
      <c r="E6" s="218"/>
      <c r="F6" s="218"/>
      <c r="G6" s="218"/>
    </row>
    <row r="7" spans="3:11" ht="21">
      <c r="C7" s="2252" t="str">
        <f>+instrucciones!$C$7</f>
        <v>Fecha de cierre</v>
      </c>
      <c r="D7" s="2253"/>
      <c r="E7" s="2256">
        <f>+MENU!D7</f>
        <v>45657</v>
      </c>
      <c r="F7" s="2256"/>
      <c r="G7" s="2256"/>
      <c r="J7" s="34"/>
    </row>
    <row r="8" spans="3:11" ht="15" customHeight="1">
      <c r="C8" s="2"/>
      <c r="D8" s="2"/>
      <c r="F8" s="3"/>
      <c r="G8" s="3"/>
      <c r="H8" s="3"/>
      <c r="I8" s="3"/>
      <c r="J8" s="3"/>
      <c r="K8" s="3"/>
    </row>
    <row r="9" spans="3:11" ht="15" customHeight="1"/>
    <row r="10" spans="3:11" ht="5.25" customHeight="1">
      <c r="F10" s="219"/>
    </row>
    <row r="11" spans="3:11" ht="5.25" customHeight="1"/>
    <row r="12" spans="3:11" ht="11.25" customHeight="1"/>
    <row r="13" spans="3:11" s="1341" customFormat="1" ht="22.5" customHeight="1">
      <c r="C13" s="2476" t="s">
        <v>1039</v>
      </c>
      <c r="D13" s="2477"/>
    </row>
    <row r="14" spans="3:11" s="1341" customFormat="1" ht="6" customHeight="1"/>
    <row r="15" spans="3:11" s="1341" customFormat="1" ht="7.5" customHeight="1">
      <c r="C15" s="1342"/>
      <c r="D15" s="1342"/>
    </row>
    <row r="16" spans="3:11" s="1368" customFormat="1" ht="27" customHeight="1">
      <c r="C16" s="1634"/>
      <c r="D16" s="1634"/>
      <c r="E16" s="2513" t="s">
        <v>1035</v>
      </c>
      <c r="F16" s="2513"/>
      <c r="G16" s="2513">
        <v>390</v>
      </c>
      <c r="H16" s="2513"/>
      <c r="I16" s="2514" t="s">
        <v>935</v>
      </c>
      <c r="J16" s="2515"/>
      <c r="K16" s="2511" t="s">
        <v>1487</v>
      </c>
    </row>
    <row r="17" spans="3:11" s="1368" customFormat="1" ht="27" customHeight="1">
      <c r="C17" s="1635" t="s">
        <v>1012</v>
      </c>
      <c r="D17" s="1635" t="s">
        <v>180</v>
      </c>
      <c r="E17" s="1635" t="s">
        <v>1011</v>
      </c>
      <c r="F17" s="1635" t="s">
        <v>933</v>
      </c>
      <c r="G17" s="1635" t="s">
        <v>1011</v>
      </c>
      <c r="H17" s="1635" t="s">
        <v>933</v>
      </c>
      <c r="I17" s="1635" t="s">
        <v>1011</v>
      </c>
      <c r="J17" s="1635" t="s">
        <v>933</v>
      </c>
      <c r="K17" s="2512"/>
    </row>
    <row r="18" spans="3:11" s="1489" customFormat="1" ht="24" customHeight="1" outlineLevel="1">
      <c r="C18" s="2505" t="s">
        <v>1665</v>
      </c>
      <c r="D18" s="2182" t="s">
        <v>2016</v>
      </c>
      <c r="E18" s="1637">
        <f>+MESIVA!AC18</f>
        <v>13125.93</v>
      </c>
      <c r="F18" s="1638">
        <f>+MESIVA!AD18</f>
        <v>0</v>
      </c>
      <c r="G18" s="1639"/>
      <c r="H18" s="1640"/>
      <c r="I18" s="1641">
        <f>+E18-G18</f>
        <v>13125.93</v>
      </c>
      <c r="J18" s="1642">
        <f t="shared" ref="J18" si="0">+F18-H18</f>
        <v>0</v>
      </c>
      <c r="K18" s="1643">
        <f>+G18*0-H18</f>
        <v>0</v>
      </c>
    </row>
    <row r="19" spans="3:11" s="1489" customFormat="1" ht="24" customHeight="1" outlineLevel="1">
      <c r="C19" s="2506"/>
      <c r="D19" s="2192">
        <v>0.02</v>
      </c>
      <c r="E19" s="1637">
        <f>+MESIVA!AC19</f>
        <v>0</v>
      </c>
      <c r="F19" s="1638">
        <f>+MESIVA!AD19</f>
        <v>0</v>
      </c>
      <c r="G19" s="1639"/>
      <c r="H19" s="1640"/>
      <c r="I19" s="1641">
        <f t="shared" ref="I19:I24" si="1">+E19-G19</f>
        <v>0</v>
      </c>
      <c r="J19" s="1642">
        <f t="shared" ref="J19:J24" si="2">+F19-H19</f>
        <v>0</v>
      </c>
      <c r="K19" s="1643">
        <f>+G19*D19-H19</f>
        <v>0</v>
      </c>
    </row>
    <row r="20" spans="3:11" s="1489" customFormat="1" ht="24" customHeight="1" outlineLevel="1">
      <c r="C20" s="2506"/>
      <c r="D20" s="1636">
        <v>0.04</v>
      </c>
      <c r="E20" s="1637">
        <f>+MESIVA!AC20</f>
        <v>0</v>
      </c>
      <c r="F20" s="1638">
        <f>+MESIVA!AD20</f>
        <v>0</v>
      </c>
      <c r="G20" s="1639"/>
      <c r="H20" s="1640"/>
      <c r="I20" s="1641">
        <f t="shared" si="1"/>
        <v>0</v>
      </c>
      <c r="J20" s="1642">
        <f t="shared" si="2"/>
        <v>0</v>
      </c>
      <c r="K20" s="1643">
        <f>+G20*D20-H20</f>
        <v>0</v>
      </c>
    </row>
    <row r="21" spans="3:11" s="1489" customFormat="1" ht="24" customHeight="1" outlineLevel="1">
      <c r="C21" s="2506"/>
      <c r="D21" s="1644">
        <v>0.05</v>
      </c>
      <c r="E21" s="1645">
        <f>+MESIVA!AC21</f>
        <v>0</v>
      </c>
      <c r="F21" s="1646">
        <f>+MESIVA!AD21</f>
        <v>0</v>
      </c>
      <c r="G21" s="1647"/>
      <c r="H21" s="1648"/>
      <c r="I21" s="1649">
        <f t="shared" si="1"/>
        <v>0</v>
      </c>
      <c r="J21" s="1650">
        <f t="shared" si="2"/>
        <v>0</v>
      </c>
      <c r="K21" s="1651">
        <f>+G21*D21-H21</f>
        <v>0</v>
      </c>
    </row>
    <row r="22" spans="3:11" s="1489" customFormat="1" ht="24" customHeight="1" outlineLevel="1">
      <c r="C22" s="2506"/>
      <c r="D22" s="2191">
        <v>7.4999999999999997E-2</v>
      </c>
      <c r="E22" s="1645">
        <f>+MESIVA!AC22</f>
        <v>0</v>
      </c>
      <c r="F22" s="1646">
        <f>+MESIVA!AD22</f>
        <v>0</v>
      </c>
      <c r="G22" s="1647"/>
      <c r="H22" s="1648"/>
      <c r="I22" s="1649">
        <f t="shared" si="1"/>
        <v>0</v>
      </c>
      <c r="J22" s="1650">
        <f t="shared" si="2"/>
        <v>0</v>
      </c>
      <c r="K22" s="1651">
        <f>+G22*D22-H22</f>
        <v>0</v>
      </c>
    </row>
    <row r="23" spans="3:11" s="1489" customFormat="1" ht="24" customHeight="1" outlineLevel="1">
      <c r="C23" s="2506"/>
      <c r="D23" s="1644">
        <v>0.1</v>
      </c>
      <c r="E23" s="1645">
        <f>+MESIVA!AC23</f>
        <v>0</v>
      </c>
      <c r="F23" s="1646">
        <f>+MESIVA!AD23</f>
        <v>0</v>
      </c>
      <c r="G23" s="1647"/>
      <c r="H23" s="1648"/>
      <c r="I23" s="1649">
        <f t="shared" si="1"/>
        <v>0</v>
      </c>
      <c r="J23" s="1650">
        <f t="shared" si="2"/>
        <v>0</v>
      </c>
      <c r="K23" s="1651">
        <f t="shared" ref="K23:K38" si="3">+G23*D23-H23</f>
        <v>0</v>
      </c>
    </row>
    <row r="24" spans="3:11" s="1489" customFormat="1" ht="24" customHeight="1" outlineLevel="1">
      <c r="C24" s="2507"/>
      <c r="D24" s="2186">
        <v>0.21</v>
      </c>
      <c r="E24" s="1653">
        <f>+MESIVA!AC24</f>
        <v>56328967.960000001</v>
      </c>
      <c r="F24" s="1654">
        <f>+MESIVA!AD24</f>
        <v>11829083.83</v>
      </c>
      <c r="G24" s="1655">
        <v>56328967.960000001</v>
      </c>
      <c r="H24" s="1656">
        <v>11829083.83</v>
      </c>
      <c r="I24" s="1657">
        <f t="shared" si="1"/>
        <v>0</v>
      </c>
      <c r="J24" s="1658">
        <f t="shared" si="2"/>
        <v>0</v>
      </c>
      <c r="K24" s="1659">
        <f t="shared" si="3"/>
        <v>-0.55839999951422215</v>
      </c>
    </row>
    <row r="25" spans="3:11" s="1489" customFormat="1" ht="24" customHeight="1" outlineLevel="1">
      <c r="C25" s="2508" t="s">
        <v>1036</v>
      </c>
      <c r="D25" s="2182" t="s">
        <v>2016</v>
      </c>
      <c r="E25" s="1660"/>
      <c r="F25" s="1661"/>
      <c r="G25" s="1662"/>
      <c r="H25" s="1663"/>
      <c r="I25" s="1664">
        <f t="shared" ref="I25" si="4">+E25-G25</f>
        <v>0</v>
      </c>
      <c r="J25" s="1665">
        <f>+F25-H25</f>
        <v>0</v>
      </c>
      <c r="K25" s="1666">
        <f>+G25*0-H25</f>
        <v>0</v>
      </c>
    </row>
    <row r="26" spans="3:11" s="1489" customFormat="1" ht="24" customHeight="1" outlineLevel="1">
      <c r="C26" s="2509"/>
      <c r="D26" s="2192">
        <v>0.02</v>
      </c>
      <c r="E26" s="1756"/>
      <c r="F26" s="1757"/>
      <c r="G26" s="1639"/>
      <c r="H26" s="1640"/>
      <c r="I26" s="1641">
        <f t="shared" ref="I26:I31" si="5">+E26-G26</f>
        <v>0</v>
      </c>
      <c r="J26" s="1642">
        <f t="shared" ref="J26:J31" si="6">+F26-H26</f>
        <v>0</v>
      </c>
      <c r="K26" s="2185">
        <f t="shared" si="3"/>
        <v>0</v>
      </c>
    </row>
    <row r="27" spans="3:11" s="1489" customFormat="1" ht="24" customHeight="1" outlineLevel="1">
      <c r="C27" s="2509"/>
      <c r="D27" s="1636">
        <v>0.04</v>
      </c>
      <c r="E27" s="1756"/>
      <c r="F27" s="1757"/>
      <c r="G27" s="1639"/>
      <c r="H27" s="1640"/>
      <c r="I27" s="1641">
        <f t="shared" si="5"/>
        <v>0</v>
      </c>
      <c r="J27" s="1642">
        <f t="shared" si="6"/>
        <v>0</v>
      </c>
      <c r="K27" s="2185">
        <f t="shared" si="3"/>
        <v>0</v>
      </c>
    </row>
    <row r="28" spans="3:11" s="1489" customFormat="1" ht="24" customHeight="1" outlineLevel="1">
      <c r="C28" s="2509"/>
      <c r="D28" s="1644">
        <v>0.05</v>
      </c>
      <c r="E28" s="1667"/>
      <c r="F28" s="1668"/>
      <c r="G28" s="1647"/>
      <c r="H28" s="1648"/>
      <c r="I28" s="1649">
        <f t="shared" si="5"/>
        <v>0</v>
      </c>
      <c r="J28" s="1650">
        <f t="shared" si="6"/>
        <v>0</v>
      </c>
      <c r="K28" s="1669">
        <f t="shared" si="3"/>
        <v>0</v>
      </c>
    </row>
    <row r="29" spans="3:11" s="1489" customFormat="1" ht="24" customHeight="1" outlineLevel="1">
      <c r="C29" s="2509"/>
      <c r="D29" s="2191">
        <v>7.4999999999999997E-2</v>
      </c>
      <c r="E29" s="1667"/>
      <c r="F29" s="1668"/>
      <c r="G29" s="1647"/>
      <c r="H29" s="1648"/>
      <c r="I29" s="1649">
        <f t="shared" si="5"/>
        <v>0</v>
      </c>
      <c r="J29" s="1650">
        <f t="shared" si="6"/>
        <v>0</v>
      </c>
      <c r="K29" s="1669">
        <f t="shared" si="3"/>
        <v>0</v>
      </c>
    </row>
    <row r="30" spans="3:11" s="1489" customFormat="1" ht="24" customHeight="1" outlineLevel="1">
      <c r="C30" s="2509"/>
      <c r="D30" s="1644">
        <v>0.1</v>
      </c>
      <c r="E30" s="1667"/>
      <c r="F30" s="1668"/>
      <c r="G30" s="1647"/>
      <c r="H30" s="1648"/>
      <c r="I30" s="1649">
        <f t="shared" si="5"/>
        <v>0</v>
      </c>
      <c r="J30" s="1650">
        <f t="shared" si="6"/>
        <v>0</v>
      </c>
      <c r="K30" s="1669">
        <f t="shared" si="3"/>
        <v>0</v>
      </c>
    </row>
    <row r="31" spans="3:11" s="1489" customFormat="1" ht="24" customHeight="1" outlineLevel="1">
      <c r="C31" s="2510"/>
      <c r="D31" s="2186">
        <v>0.21</v>
      </c>
      <c r="E31" s="1670"/>
      <c r="F31" s="1671"/>
      <c r="G31" s="1672"/>
      <c r="H31" s="1673"/>
      <c r="I31" s="1674">
        <f t="shared" si="5"/>
        <v>0</v>
      </c>
      <c r="J31" s="1675">
        <f t="shared" si="6"/>
        <v>0</v>
      </c>
      <c r="K31" s="1676">
        <f t="shared" si="3"/>
        <v>0</v>
      </c>
    </row>
    <row r="32" spans="3:11" s="1489" customFormat="1" ht="24" customHeight="1" outlineLevel="1">
      <c r="C32" s="2508" t="s">
        <v>1666</v>
      </c>
      <c r="D32" s="2182" t="s">
        <v>2016</v>
      </c>
      <c r="E32" s="1660"/>
      <c r="F32" s="1661"/>
      <c r="G32" s="1662"/>
      <c r="H32" s="1663"/>
      <c r="I32" s="1664">
        <f t="shared" ref="I32" si="7">+E32-G32</f>
        <v>0</v>
      </c>
      <c r="J32" s="1665">
        <f t="shared" ref="J32" si="8">+F32-H32</f>
        <v>0</v>
      </c>
      <c r="K32" s="1666">
        <f>+G32*0-H32</f>
        <v>0</v>
      </c>
    </row>
    <row r="33" spans="3:11" s="1489" customFormat="1" ht="24" customHeight="1" outlineLevel="1">
      <c r="C33" s="2509"/>
      <c r="D33" s="2192">
        <v>0.02</v>
      </c>
      <c r="E33" s="1756"/>
      <c r="F33" s="1757"/>
      <c r="G33" s="1639"/>
      <c r="H33" s="1640"/>
      <c r="I33" s="1641">
        <f t="shared" ref="I33:I38" si="9">+E33-G33</f>
        <v>0</v>
      </c>
      <c r="J33" s="1642">
        <f t="shared" ref="J33:J38" si="10">+F33-H33</f>
        <v>0</v>
      </c>
      <c r="K33" s="2185">
        <f t="shared" si="3"/>
        <v>0</v>
      </c>
    </row>
    <row r="34" spans="3:11" s="1489" customFormat="1" ht="24" customHeight="1" outlineLevel="1">
      <c r="C34" s="2509"/>
      <c r="D34" s="1636">
        <v>0.04</v>
      </c>
      <c r="E34" s="1756"/>
      <c r="F34" s="1757"/>
      <c r="G34" s="1639"/>
      <c r="H34" s="1640"/>
      <c r="I34" s="1641">
        <f t="shared" si="9"/>
        <v>0</v>
      </c>
      <c r="J34" s="1642">
        <f t="shared" si="10"/>
        <v>0</v>
      </c>
      <c r="K34" s="2185">
        <f t="shared" si="3"/>
        <v>0</v>
      </c>
    </row>
    <row r="35" spans="3:11" s="1489" customFormat="1" ht="24" customHeight="1" outlineLevel="1">
      <c r="C35" s="2509"/>
      <c r="D35" s="1644">
        <v>0.05</v>
      </c>
      <c r="E35" s="1667"/>
      <c r="F35" s="1668"/>
      <c r="G35" s="1647"/>
      <c r="H35" s="1648"/>
      <c r="I35" s="1649">
        <f t="shared" si="9"/>
        <v>0</v>
      </c>
      <c r="J35" s="1650">
        <f t="shared" si="10"/>
        <v>0</v>
      </c>
      <c r="K35" s="1669">
        <f t="shared" si="3"/>
        <v>0</v>
      </c>
    </row>
    <row r="36" spans="3:11" s="1489" customFormat="1" ht="24" customHeight="1" outlineLevel="1">
      <c r="C36" s="2509"/>
      <c r="D36" s="2191">
        <v>7.4999999999999997E-2</v>
      </c>
      <c r="E36" s="1667"/>
      <c r="F36" s="1668"/>
      <c r="G36" s="1647"/>
      <c r="H36" s="1648"/>
      <c r="I36" s="1649">
        <f t="shared" si="9"/>
        <v>0</v>
      </c>
      <c r="J36" s="1650">
        <f t="shared" si="10"/>
        <v>0</v>
      </c>
      <c r="K36" s="1669">
        <f t="shared" si="3"/>
        <v>0</v>
      </c>
    </row>
    <row r="37" spans="3:11" s="1489" customFormat="1" ht="24" customHeight="1" outlineLevel="1">
      <c r="C37" s="2509"/>
      <c r="D37" s="1644">
        <v>0.1</v>
      </c>
      <c r="E37" s="1667"/>
      <c r="F37" s="1668"/>
      <c r="G37" s="1647"/>
      <c r="H37" s="1648"/>
      <c r="I37" s="1649">
        <f t="shared" si="9"/>
        <v>0</v>
      </c>
      <c r="J37" s="1650">
        <f t="shared" si="10"/>
        <v>0</v>
      </c>
      <c r="K37" s="1669">
        <f t="shared" si="3"/>
        <v>0</v>
      </c>
    </row>
    <row r="38" spans="3:11" s="1489" customFormat="1" ht="24" customHeight="1" outlineLevel="1">
      <c r="C38" s="2510"/>
      <c r="D38" s="1652">
        <v>0.21</v>
      </c>
      <c r="E38" s="1670"/>
      <c r="F38" s="1671"/>
      <c r="G38" s="1672"/>
      <c r="H38" s="1673"/>
      <c r="I38" s="1674">
        <f t="shared" si="9"/>
        <v>0</v>
      </c>
      <c r="J38" s="1675">
        <f t="shared" si="10"/>
        <v>0</v>
      </c>
      <c r="K38" s="1676">
        <f t="shared" si="3"/>
        <v>0</v>
      </c>
    </row>
    <row r="39" spans="3:11" s="1489" customFormat="1" ht="24" customHeight="1" outlineLevel="1">
      <c r="C39" s="2521" t="s">
        <v>1662</v>
      </c>
      <c r="D39" s="2522"/>
      <c r="E39" s="1677">
        <f>+MESIVA!AC25</f>
        <v>636020.28</v>
      </c>
      <c r="F39" s="1678">
        <f>+MESIVA!AD25</f>
        <v>133564.27000000002</v>
      </c>
      <c r="G39" s="1679">
        <v>636020.28</v>
      </c>
      <c r="H39" s="1680">
        <v>133564.27000000002</v>
      </c>
      <c r="I39" s="2503">
        <f>+E39-G39+E40-G40</f>
        <v>0</v>
      </c>
      <c r="J39" s="2499">
        <f>+F39-H39+F40-H40</f>
        <v>0</v>
      </c>
      <c r="K39" s="2501"/>
    </row>
    <row r="40" spans="3:11" s="1489" customFormat="1" ht="24" customHeight="1" outlineLevel="1">
      <c r="C40" s="2521" t="s">
        <v>1661</v>
      </c>
      <c r="D40" s="2522"/>
      <c r="E40" s="1677"/>
      <c r="F40" s="1678"/>
      <c r="G40" s="1679"/>
      <c r="H40" s="1680"/>
      <c r="I40" s="2504"/>
      <c r="J40" s="2500"/>
      <c r="K40" s="2502"/>
    </row>
    <row r="41" spans="3:11" s="1489" customFormat="1" ht="24" customHeight="1" outlineLevel="1">
      <c r="C41" s="2523" t="s">
        <v>1649</v>
      </c>
      <c r="D41" s="2524"/>
      <c r="E41" s="1677">
        <f>+MESIVA!AC26</f>
        <v>10332873.189999999</v>
      </c>
      <c r="F41" s="1678">
        <f>+MESIVA!AD26</f>
        <v>2169903.38</v>
      </c>
      <c r="G41" s="1679">
        <v>10332873.189999999</v>
      </c>
      <c r="H41" s="1680">
        <v>2169903.38</v>
      </c>
      <c r="I41" s="1681">
        <f t="shared" ref="I41:I47" si="11">+E41-G41</f>
        <v>0</v>
      </c>
      <c r="J41" s="1682">
        <f t="shared" ref="J41:J47" si="12">+F41-H41</f>
        <v>0</v>
      </c>
      <c r="K41" s="1683"/>
    </row>
    <row r="42" spans="3:11" s="1489" customFormat="1" ht="24" customHeight="1" outlineLevel="1">
      <c r="C42" s="2525" t="s">
        <v>1651</v>
      </c>
      <c r="D42" s="2524"/>
      <c r="E42" s="1684">
        <f>+MESIVA!AC27</f>
        <v>-17115.240000000002</v>
      </c>
      <c r="F42" s="1685">
        <f>+MESIVA!AD27</f>
        <v>-3594.21</v>
      </c>
      <c r="G42" s="1686">
        <v>-17115.240000000002</v>
      </c>
      <c r="H42" s="1687">
        <v>-3594.21</v>
      </c>
      <c r="I42" s="1688">
        <f t="shared" si="11"/>
        <v>0</v>
      </c>
      <c r="J42" s="1689">
        <f t="shared" si="12"/>
        <v>0</v>
      </c>
      <c r="K42" s="1690"/>
    </row>
    <row r="43" spans="3:11" s="1489" customFormat="1" ht="24" customHeight="1" outlineLevel="1">
      <c r="C43" s="2517" t="s">
        <v>1014</v>
      </c>
      <c r="D43" s="1691">
        <v>5.0000000000000001E-3</v>
      </c>
      <c r="E43" s="1692">
        <f>+MESIVA!AC28</f>
        <v>0</v>
      </c>
      <c r="F43" s="1693">
        <f>+MESIVA!AD28</f>
        <v>0</v>
      </c>
      <c r="G43" s="1694"/>
      <c r="H43" s="1695"/>
      <c r="I43" s="1696">
        <f t="shared" si="11"/>
        <v>0</v>
      </c>
      <c r="J43" s="1697">
        <f t="shared" si="12"/>
        <v>0</v>
      </c>
      <c r="K43" s="1698">
        <f t="shared" ref="K43:K46" si="13">+G43*D43-H43</f>
        <v>0</v>
      </c>
    </row>
    <row r="44" spans="3:11" s="1489" customFormat="1" ht="24" customHeight="1" outlineLevel="1">
      <c r="C44" s="2517"/>
      <c r="D44" s="1540">
        <v>1.4E-2</v>
      </c>
      <c r="E44" s="1699">
        <f>+MESIVA!AC29</f>
        <v>0</v>
      </c>
      <c r="F44" s="1700">
        <f>+MESIVA!AD29</f>
        <v>0</v>
      </c>
      <c r="G44" s="1701"/>
      <c r="H44" s="1702"/>
      <c r="I44" s="1703">
        <f t="shared" si="11"/>
        <v>0</v>
      </c>
      <c r="J44" s="1704">
        <f t="shared" si="12"/>
        <v>0</v>
      </c>
      <c r="K44" s="1705">
        <f t="shared" si="13"/>
        <v>0</v>
      </c>
    </row>
    <row r="45" spans="3:11" s="1489" customFormat="1" ht="24" customHeight="1" outlineLevel="1">
      <c r="C45" s="2517"/>
      <c r="D45" s="1540">
        <v>5.1999999999999998E-2</v>
      </c>
      <c r="E45" s="1699">
        <f>+MESIVA!AC30</f>
        <v>0</v>
      </c>
      <c r="F45" s="1700">
        <f>+MESIVA!AD30</f>
        <v>0</v>
      </c>
      <c r="G45" s="1701"/>
      <c r="H45" s="1702"/>
      <c r="I45" s="1703">
        <f t="shared" si="11"/>
        <v>0</v>
      </c>
      <c r="J45" s="1704">
        <f t="shared" si="12"/>
        <v>0</v>
      </c>
      <c r="K45" s="1705">
        <f t="shared" si="13"/>
        <v>0</v>
      </c>
    </row>
    <row r="46" spans="3:11" s="1489" customFormat="1" ht="24" customHeight="1" outlineLevel="1">
      <c r="C46" s="2518"/>
      <c r="D46" s="1706"/>
      <c r="E46" s="1707">
        <f>+MESIVA!AC31</f>
        <v>0</v>
      </c>
      <c r="F46" s="1708">
        <f>+MESIVA!AD31</f>
        <v>0</v>
      </c>
      <c r="G46" s="1672"/>
      <c r="H46" s="1673"/>
      <c r="I46" s="1674">
        <f t="shared" si="11"/>
        <v>0</v>
      </c>
      <c r="J46" s="1675">
        <f t="shared" si="12"/>
        <v>0</v>
      </c>
      <c r="K46" s="1709">
        <f t="shared" si="13"/>
        <v>0</v>
      </c>
    </row>
    <row r="47" spans="3:11" s="1489" customFormat="1" ht="24" customHeight="1" outlineLevel="1">
      <c r="C47" s="2519" t="s">
        <v>1650</v>
      </c>
      <c r="D47" s="2520"/>
      <c r="E47" s="1710">
        <f>+MESIVA!AC32</f>
        <v>0</v>
      </c>
      <c r="F47" s="1711">
        <f>+MESIVA!AD32</f>
        <v>0</v>
      </c>
      <c r="G47" s="1712"/>
      <c r="H47" s="1713"/>
      <c r="I47" s="1714">
        <f t="shared" si="11"/>
        <v>0</v>
      </c>
      <c r="J47" s="1715">
        <f t="shared" si="12"/>
        <v>0</v>
      </c>
      <c r="K47" s="1341"/>
    </row>
    <row r="48" spans="3:11" s="1489" customFormat="1" ht="24" customHeight="1">
      <c r="C48" s="1369" t="s">
        <v>1015</v>
      </c>
      <c r="E48" s="1566"/>
      <c r="F48" s="1716">
        <f>SUM(F18:F47)</f>
        <v>14128957.27</v>
      </c>
      <c r="G48" s="1566"/>
      <c r="H48" s="1716">
        <f>SUM(H18:H47)</f>
        <v>14128957.27</v>
      </c>
      <c r="I48" s="1566"/>
      <c r="J48" s="1716">
        <f>SUM(J18:J47)</f>
        <v>0</v>
      </c>
      <c r="K48" s="1341"/>
    </row>
    <row r="49" spans="3:10" s="1489" customFormat="1" ht="12" customHeight="1">
      <c r="C49" s="1717"/>
      <c r="D49" s="1717"/>
      <c r="E49" s="1717"/>
      <c r="F49" s="1717"/>
      <c r="G49" s="1717"/>
      <c r="H49" s="1717"/>
      <c r="I49" s="1717"/>
      <c r="J49" s="1717"/>
    </row>
    <row r="50" spans="3:10" s="1489" customFormat="1" ht="24" customHeight="1">
      <c r="C50" s="1635" t="s">
        <v>1016</v>
      </c>
      <c r="D50" s="1717"/>
      <c r="E50" s="1717"/>
      <c r="F50" s="1717"/>
      <c r="G50" s="1717"/>
      <c r="H50" s="1717"/>
      <c r="I50" s="1717"/>
      <c r="J50" s="1717"/>
    </row>
    <row r="51" spans="3:10" s="1489" customFormat="1" ht="24" customHeight="1" outlineLevel="1">
      <c r="C51" s="2516" t="s">
        <v>1017</v>
      </c>
      <c r="D51" s="2516"/>
      <c r="E51" s="1718">
        <f>+MESIVA!AC36</f>
        <v>14705613.889999997</v>
      </c>
      <c r="F51" s="1719">
        <f>+MESIVA!AD36</f>
        <v>2761207.17</v>
      </c>
      <c r="G51" s="1694">
        <v>14705613.889999997</v>
      </c>
      <c r="H51" s="1720">
        <v>2761207.17</v>
      </c>
      <c r="I51" s="1721">
        <f t="shared" ref="I51:J63" si="14">+E51-G51</f>
        <v>0</v>
      </c>
      <c r="J51" s="1722">
        <f t="shared" si="14"/>
        <v>0</v>
      </c>
    </row>
    <row r="52" spans="3:10" s="1489" customFormat="1" ht="24" customHeight="1" outlineLevel="1">
      <c r="C52" s="2516" t="s">
        <v>1018</v>
      </c>
      <c r="D52" s="2516"/>
      <c r="E52" s="1699">
        <f>+MESIVA!AC37</f>
        <v>3427926.2600000002</v>
      </c>
      <c r="F52" s="1700">
        <f>+MESIVA!AD37</f>
        <v>719924.55999999994</v>
      </c>
      <c r="G52" s="1701">
        <v>3427926.2600000002</v>
      </c>
      <c r="H52" s="1702">
        <v>719924.55999999994</v>
      </c>
      <c r="I52" s="1703">
        <f t="shared" si="14"/>
        <v>0</v>
      </c>
      <c r="J52" s="1704">
        <f t="shared" si="14"/>
        <v>0</v>
      </c>
    </row>
    <row r="53" spans="3:10" s="1489" customFormat="1" ht="24" customHeight="1" outlineLevel="1">
      <c r="C53" s="2516" t="s">
        <v>1734</v>
      </c>
      <c r="D53" s="2516"/>
      <c r="E53" s="1723"/>
      <c r="F53" s="1724"/>
      <c r="G53" s="1701"/>
      <c r="H53" s="1702"/>
      <c r="I53" s="1703">
        <f t="shared" si="14"/>
        <v>0</v>
      </c>
      <c r="J53" s="1704">
        <f t="shared" si="14"/>
        <v>0</v>
      </c>
    </row>
    <row r="54" spans="3:10" s="1489" customFormat="1" ht="24" customHeight="1" outlineLevel="1">
      <c r="C54" s="2516" t="s">
        <v>1037</v>
      </c>
      <c r="D54" s="2516"/>
      <c r="E54" s="1723"/>
      <c r="F54" s="1724"/>
      <c r="G54" s="1701"/>
      <c r="H54" s="1702"/>
      <c r="I54" s="1703">
        <f t="shared" si="14"/>
        <v>0</v>
      </c>
      <c r="J54" s="1704">
        <f t="shared" si="14"/>
        <v>0</v>
      </c>
    </row>
    <row r="55" spans="3:10" s="1489" customFormat="1" ht="24" customHeight="1" outlineLevel="1">
      <c r="C55" s="2516" t="s">
        <v>1019</v>
      </c>
      <c r="D55" s="2516"/>
      <c r="E55" s="1699">
        <f>+MESIVA!AC38</f>
        <v>52551718</v>
      </c>
      <c r="F55" s="1700">
        <f>+MESIVA!AD38</f>
        <v>11035860.780000001</v>
      </c>
      <c r="G55" s="1701">
        <v>52551718</v>
      </c>
      <c r="H55" s="1702">
        <v>11035860.780000001</v>
      </c>
      <c r="I55" s="1703">
        <f t="shared" si="14"/>
        <v>0</v>
      </c>
      <c r="J55" s="1704">
        <f t="shared" si="14"/>
        <v>0</v>
      </c>
    </row>
    <row r="56" spans="3:10" s="1489" customFormat="1" ht="24" customHeight="1" outlineLevel="1">
      <c r="C56" s="2516" t="s">
        <v>1020</v>
      </c>
      <c r="D56" s="2516"/>
      <c r="E56" s="1699">
        <f>+MESIVA!AC39</f>
        <v>0</v>
      </c>
      <c r="F56" s="1700">
        <f>+MESIVA!AD39</f>
        <v>0</v>
      </c>
      <c r="G56" s="1701">
        <v>0</v>
      </c>
      <c r="H56" s="1702">
        <v>0</v>
      </c>
      <c r="I56" s="1703">
        <f t="shared" si="14"/>
        <v>0</v>
      </c>
      <c r="J56" s="1704">
        <f t="shared" si="14"/>
        <v>0</v>
      </c>
    </row>
    <row r="57" spans="3:10" s="1489" customFormat="1" ht="24" customHeight="1" outlineLevel="1">
      <c r="C57" s="2516" t="s">
        <v>1663</v>
      </c>
      <c r="D57" s="2516"/>
      <c r="E57" s="1699">
        <f>+MESIVA!AC40</f>
        <v>609540.28</v>
      </c>
      <c r="F57" s="1700">
        <f>+MESIVA!AD40</f>
        <v>133564.27000000002</v>
      </c>
      <c r="G57" s="1701">
        <v>609540.28</v>
      </c>
      <c r="H57" s="1702">
        <v>133564.27000000002</v>
      </c>
      <c r="I57" s="1703">
        <f t="shared" si="14"/>
        <v>0</v>
      </c>
      <c r="J57" s="1704">
        <f t="shared" si="14"/>
        <v>0</v>
      </c>
    </row>
    <row r="58" spans="3:10" s="1489" customFormat="1" ht="24" customHeight="1" outlineLevel="1">
      <c r="C58" s="2516" t="s">
        <v>1664</v>
      </c>
      <c r="D58" s="2516"/>
      <c r="E58" s="1725"/>
      <c r="F58" s="1700"/>
      <c r="G58" s="1701"/>
      <c r="H58" s="1702"/>
      <c r="I58" s="1703">
        <f t="shared" si="14"/>
        <v>0</v>
      </c>
      <c r="J58" s="1704">
        <f t="shared" si="14"/>
        <v>0</v>
      </c>
    </row>
    <row r="59" spans="3:10" s="1489" customFormat="1" ht="24" customHeight="1" outlineLevel="1">
      <c r="C59" s="2516" t="s">
        <v>1022</v>
      </c>
      <c r="D59" s="2516"/>
      <c r="E59" s="1699">
        <f>+MESIVA!AC41</f>
        <v>0</v>
      </c>
      <c r="F59" s="1700">
        <f>+MESIVA!AD41</f>
        <v>0</v>
      </c>
      <c r="G59" s="1701"/>
      <c r="H59" s="1702"/>
      <c r="I59" s="1703"/>
      <c r="J59" s="1704"/>
    </row>
    <row r="60" spans="3:10" s="1489" customFormat="1" ht="24" customHeight="1" outlineLevel="1">
      <c r="C60" s="2516" t="s">
        <v>1652</v>
      </c>
      <c r="D60" s="2516"/>
      <c r="E60" s="1699">
        <f>+MESIVA!AC42</f>
        <v>0</v>
      </c>
      <c r="F60" s="1700">
        <f>+MESIVA!AD42</f>
        <v>0</v>
      </c>
      <c r="G60" s="1701"/>
      <c r="H60" s="1702"/>
      <c r="I60" s="1703"/>
      <c r="J60" s="1704"/>
    </row>
    <row r="61" spans="3:10" s="1489" customFormat="1" ht="24" customHeight="1" outlineLevel="1">
      <c r="C61" s="2516" t="s">
        <v>1023</v>
      </c>
      <c r="D61" s="2516"/>
      <c r="E61" s="1699">
        <f>+MESIVA!AC43</f>
        <v>0</v>
      </c>
      <c r="F61" s="1700">
        <f>+MESIVA!AD43</f>
        <v>0</v>
      </c>
      <c r="G61" s="1701"/>
      <c r="H61" s="1702"/>
      <c r="I61" s="1703">
        <f t="shared" si="14"/>
        <v>0</v>
      </c>
      <c r="J61" s="1704">
        <f t="shared" si="14"/>
        <v>0</v>
      </c>
    </row>
    <row r="62" spans="3:10" s="1489" customFormat="1" ht="24" customHeight="1" outlineLevel="1">
      <c r="C62" s="2516" t="s">
        <v>1653</v>
      </c>
      <c r="D62" s="2516"/>
      <c r="E62" s="1699">
        <f>+MESIVA!AC44</f>
        <v>0</v>
      </c>
      <c r="F62" s="1700">
        <f>+MESIVA!AD44</f>
        <v>0</v>
      </c>
      <c r="G62" s="1701"/>
      <c r="H62" s="1702"/>
      <c r="I62" s="1703">
        <f t="shared" si="14"/>
        <v>0</v>
      </c>
      <c r="J62" s="1704">
        <f t="shared" si="14"/>
        <v>0</v>
      </c>
    </row>
    <row r="63" spans="3:10" s="1489" customFormat="1" ht="24" customHeight="1" outlineLevel="1">
      <c r="C63" s="2516" t="s">
        <v>1024</v>
      </c>
      <c r="D63" s="2516"/>
      <c r="E63" s="1726">
        <f>+MESIVA!AC45</f>
        <v>0</v>
      </c>
      <c r="F63" s="1727">
        <f>+MESIVA!AD45</f>
        <v>0</v>
      </c>
      <c r="G63" s="1728"/>
      <c r="H63" s="1729"/>
      <c r="I63" s="1730">
        <f t="shared" si="14"/>
        <v>0</v>
      </c>
      <c r="J63" s="1731">
        <f t="shared" si="14"/>
        <v>0</v>
      </c>
    </row>
    <row r="64" spans="3:10" s="1489" customFormat="1" ht="24" customHeight="1">
      <c r="C64" s="1369" t="s">
        <v>1025</v>
      </c>
      <c r="E64" s="1566"/>
      <c r="F64" s="1716">
        <f>SUM(F51:F63)</f>
        <v>14650556.780000001</v>
      </c>
      <c r="G64" s="1566"/>
      <c r="H64" s="1716">
        <f>SUM(H51:H63)</f>
        <v>14650556.780000001</v>
      </c>
      <c r="I64" s="1566"/>
      <c r="J64" s="1716">
        <f>SUM(J51:J63)</f>
        <v>0</v>
      </c>
    </row>
    <row r="65" spans="3:10" s="1489" customFormat="1" ht="12" customHeight="1">
      <c r="C65" s="1732"/>
      <c r="D65" s="1717"/>
      <c r="E65" s="1566"/>
      <c r="F65" s="1733"/>
      <c r="G65" s="1733"/>
      <c r="H65" s="1733"/>
      <c r="I65" s="1733"/>
      <c r="J65" s="1733"/>
    </row>
    <row r="66" spans="3:10" s="1489" customFormat="1" ht="24" customHeight="1">
      <c r="C66" s="1369" t="s">
        <v>1654</v>
      </c>
      <c r="D66" s="1717"/>
      <c r="E66" s="1566"/>
      <c r="F66" s="1734">
        <f>+F48-F64</f>
        <v>-521599.51000000164</v>
      </c>
      <c r="G66" s="1566"/>
      <c r="H66" s="1734">
        <f>+H48-H64</f>
        <v>-521599.51000000164</v>
      </c>
      <c r="I66" s="1566"/>
      <c r="J66" s="1734">
        <f>+J48-J64</f>
        <v>0</v>
      </c>
    </row>
    <row r="67" spans="3:10" s="1489" customFormat="1" ht="24" customHeight="1" outlineLevel="1">
      <c r="C67" s="1735" t="s">
        <v>1655</v>
      </c>
      <c r="D67" s="1717"/>
      <c r="E67" s="1341"/>
      <c r="F67" s="1736">
        <f>+MESIVA!AD49</f>
        <v>0</v>
      </c>
      <c r="G67" s="1341"/>
      <c r="H67" s="1737"/>
      <c r="I67" s="1341"/>
      <c r="J67" s="1738">
        <f t="shared" ref="J67" si="15">+F67-H67</f>
        <v>0</v>
      </c>
    </row>
    <row r="68" spans="3:10" s="1489" customFormat="1" ht="24" customHeight="1">
      <c r="C68" s="1369" t="s">
        <v>1656</v>
      </c>
      <c r="D68" s="1341"/>
      <c r="E68" s="1341"/>
      <c r="F68" s="1739">
        <f t="shared" ref="F68" si="16">+F66+F67</f>
        <v>-521599.51000000164</v>
      </c>
      <c r="G68" s="1341"/>
      <c r="H68" s="1739">
        <f t="shared" ref="H68" si="17">+H66+H67</f>
        <v>-521599.51000000164</v>
      </c>
      <c r="I68" s="1341"/>
      <c r="J68" s="1739">
        <f t="shared" ref="J68" si="18">+J66+J67</f>
        <v>0</v>
      </c>
    </row>
    <row r="69" spans="3:10" s="1489" customFormat="1" ht="24" customHeight="1">
      <c r="C69" s="1369" t="s">
        <v>1657</v>
      </c>
      <c r="D69" s="1588">
        <v>1</v>
      </c>
      <c r="E69" s="1341"/>
      <c r="F69" s="1734">
        <f>+$D$69*F68</f>
        <v>-521599.51000000164</v>
      </c>
      <c r="G69" s="1341"/>
      <c r="H69" s="1734">
        <f>+$D$69*H68</f>
        <v>-521599.51000000164</v>
      </c>
      <c r="I69" s="1341"/>
      <c r="J69" s="1734">
        <f>+$D$69*J68</f>
        <v>0</v>
      </c>
    </row>
    <row r="70" spans="3:10" s="1489" customFormat="1" ht="24" customHeight="1">
      <c r="C70" s="1735" t="s">
        <v>1658</v>
      </c>
      <c r="D70" s="1717"/>
      <c r="E70" s="1341"/>
      <c r="F70" s="1740">
        <f>+MESIVA!AD52</f>
        <v>11035860.780000001</v>
      </c>
      <c r="G70" s="1341"/>
      <c r="H70" s="1741">
        <v>11035860.779999999</v>
      </c>
      <c r="I70" s="1341"/>
      <c r="J70" s="1742">
        <f t="shared" ref="J70:J71" si="19">+F70-H70</f>
        <v>0</v>
      </c>
    </row>
    <row r="71" spans="3:10" s="1489" customFormat="1" ht="24" customHeight="1">
      <c r="C71" s="1735" t="s">
        <v>1026</v>
      </c>
      <c r="D71" s="1717"/>
      <c r="E71" s="1341"/>
      <c r="F71" s="1743">
        <f>+MESIVA!AD53</f>
        <v>0</v>
      </c>
      <c r="G71" s="1341"/>
      <c r="H71" s="1744"/>
      <c r="I71" s="1341"/>
      <c r="J71" s="1745">
        <f t="shared" si="19"/>
        <v>0</v>
      </c>
    </row>
    <row r="72" spans="3:10" s="1489" customFormat="1" ht="12" customHeight="1">
      <c r="E72" s="1566"/>
      <c r="F72" s="1566"/>
      <c r="G72" s="1566"/>
      <c r="H72" s="1566"/>
      <c r="I72" s="1566"/>
      <c r="J72" s="1566"/>
    </row>
    <row r="73" spans="3:10" s="1489" customFormat="1" ht="24" customHeight="1">
      <c r="C73" s="1369" t="s">
        <v>1030</v>
      </c>
      <c r="E73" s="1566"/>
      <c r="F73" s="1716">
        <f>+F69-F71+F70</f>
        <v>10514261.27</v>
      </c>
      <c r="G73" s="1566"/>
      <c r="H73" s="1716">
        <f>+H69-H71+H70</f>
        <v>10514261.269999998</v>
      </c>
      <c r="I73" s="1566"/>
      <c r="J73" s="1716">
        <f>+J69-J71+J70</f>
        <v>0</v>
      </c>
    </row>
    <row r="74" spans="3:10" s="1489" customFormat="1" ht="24" customHeight="1" outlineLevel="1">
      <c r="C74" s="1735" t="s">
        <v>1027</v>
      </c>
      <c r="E74" s="1740">
        <f>+MESIVA!AC56</f>
        <v>8450142.5299999993</v>
      </c>
      <c r="F74" s="1341"/>
      <c r="G74" s="1741">
        <v>8450142.5299999993</v>
      </c>
      <c r="H74" s="1341"/>
      <c r="I74" s="1742">
        <f t="shared" ref="I74:I76" si="20">+E74-G74</f>
        <v>0</v>
      </c>
      <c r="J74" s="1341"/>
    </row>
    <row r="75" spans="3:10" s="1489" customFormat="1" ht="24" customHeight="1" outlineLevel="1">
      <c r="C75" s="1735" t="s">
        <v>1028</v>
      </c>
      <c r="E75" s="1746">
        <f>+MESIVA!AC57</f>
        <v>8264943.0699999994</v>
      </c>
      <c r="F75" s="1341"/>
      <c r="G75" s="1747">
        <v>8264943.0700000003</v>
      </c>
      <c r="H75" s="1341"/>
      <c r="I75" s="1748">
        <f t="shared" si="20"/>
        <v>0</v>
      </c>
      <c r="J75" s="1341"/>
    </row>
    <row r="76" spans="3:10" s="1489" customFormat="1" ht="24" customHeight="1" outlineLevel="1">
      <c r="C76" s="1735" t="s">
        <v>1029</v>
      </c>
      <c r="E76" s="1743">
        <f>+MESIVA!AC58</f>
        <v>30046.62</v>
      </c>
      <c r="F76" s="1341"/>
      <c r="G76" s="1744">
        <v>43172.55</v>
      </c>
      <c r="H76" s="1341"/>
      <c r="I76" s="1745">
        <f t="shared" si="20"/>
        <v>-13125.930000000004</v>
      </c>
      <c r="J76" s="1341"/>
    </row>
    <row r="77" spans="3:10" s="1489" customFormat="1" ht="12" customHeight="1">
      <c r="C77" s="1717"/>
      <c r="D77" s="1717"/>
      <c r="E77" s="1733"/>
      <c r="F77" s="1733"/>
      <c r="G77" s="1733"/>
      <c r="H77" s="1733"/>
      <c r="I77" s="1733"/>
      <c r="J77" s="1733"/>
    </row>
    <row r="78" spans="3:10" s="1489" customFormat="1" ht="24" customHeight="1">
      <c r="C78" s="1369" t="s">
        <v>1031</v>
      </c>
      <c r="E78" s="1716">
        <f>+MESIVA!AC60</f>
        <v>636020.28</v>
      </c>
      <c r="F78" s="1566"/>
      <c r="G78" s="1716">
        <f>+G39+G40</f>
        <v>636020.28</v>
      </c>
      <c r="H78" s="1566"/>
      <c r="I78" s="1716">
        <f>+E78-G78</f>
        <v>0</v>
      </c>
      <c r="J78" s="1733"/>
    </row>
    <row r="79" spans="3:10" s="1489" customFormat="1" ht="24" customHeight="1">
      <c r="C79" s="1749" t="s">
        <v>1032</v>
      </c>
      <c r="E79" s="1750">
        <f>+MESIVA!AC61</f>
        <v>0</v>
      </c>
      <c r="F79" s="1566"/>
      <c r="G79" s="1341"/>
      <c r="H79" s="1566"/>
      <c r="I79" s="1341"/>
      <c r="J79" s="1733"/>
    </row>
    <row r="80" spans="3:10" s="1489" customFormat="1" ht="12" customHeight="1">
      <c r="E80" s="1566"/>
      <c r="F80" s="1566"/>
      <c r="G80" s="1566"/>
      <c r="H80" s="1566"/>
      <c r="I80" s="1566"/>
      <c r="J80" s="1733"/>
    </row>
    <row r="81" spans="3:10" s="1489" customFormat="1" ht="24" customHeight="1">
      <c r="C81" s="1369" t="s">
        <v>1033</v>
      </c>
      <c r="E81" s="1716">
        <f>+MESIVA!AC63</f>
        <v>8450142.5299999993</v>
      </c>
      <c r="F81" s="1566"/>
      <c r="G81" s="1716">
        <f>+G74</f>
        <v>8450142.5299999993</v>
      </c>
      <c r="H81" s="1566"/>
      <c r="I81" s="1716">
        <f>+E81-G81</f>
        <v>0</v>
      </c>
      <c r="J81" s="1733"/>
    </row>
    <row r="82" spans="3:10" s="1489" customFormat="1" ht="24" customHeight="1">
      <c r="C82" s="1749" t="s">
        <v>1034</v>
      </c>
      <c r="E82" s="1750">
        <f>+MESIVA!AC64</f>
        <v>0</v>
      </c>
      <c r="F82" s="1566"/>
      <c r="G82" s="1341"/>
      <c r="H82" s="1566"/>
      <c r="I82" s="1341"/>
      <c r="J82" s="1733"/>
    </row>
    <row r="83" spans="3:10" s="1368" customFormat="1" ht="15" customHeight="1"/>
    <row r="84" spans="3:10" s="1368" customFormat="1" ht="26.25" customHeight="1">
      <c r="C84" s="1369" t="s">
        <v>1537</v>
      </c>
      <c r="D84" s="1369" t="s">
        <v>1539</v>
      </c>
      <c r="E84" s="1750">
        <f>+MESIVA!AC66</f>
        <v>0</v>
      </c>
      <c r="F84" s="1750">
        <f>+MESIVA!AD66</f>
        <v>0</v>
      </c>
      <c r="G84" s="1750"/>
      <c r="H84" s="1750"/>
      <c r="I84" s="1716">
        <f>+E84-G84</f>
        <v>0</v>
      </c>
      <c r="J84" s="1716">
        <f>+F84-H84</f>
        <v>0</v>
      </c>
    </row>
    <row r="85" spans="3:10" s="1341" customFormat="1" ht="15" customHeight="1"/>
    <row r="86" spans="3:10" s="1341" customFormat="1" ht="26.25" customHeight="1">
      <c r="C86" s="1369" t="s">
        <v>1537</v>
      </c>
      <c r="D86" s="1369" t="s">
        <v>1538</v>
      </c>
      <c r="E86" s="1750">
        <f>+MESIVA!AC68</f>
        <v>0</v>
      </c>
      <c r="F86" s="1750">
        <f>+MESIVA!AD68</f>
        <v>0</v>
      </c>
      <c r="G86" s="1750"/>
      <c r="H86" s="1750"/>
      <c r="I86" s="1716">
        <f>+E86-G86</f>
        <v>0</v>
      </c>
      <c r="J86" s="1716">
        <f>+F86-H86</f>
        <v>0</v>
      </c>
    </row>
    <row r="87" spans="3:10" s="1341" customFormat="1" ht="15" customHeight="1"/>
    <row r="88" spans="3:10" s="1341" customFormat="1" ht="15" customHeight="1"/>
    <row r="89" spans="3:10" s="1341" customFormat="1" ht="15" customHeight="1"/>
  </sheetData>
  <mergeCells count="34">
    <mergeCell ref="C43:C46"/>
    <mergeCell ref="C47:D47"/>
    <mergeCell ref="C51:D51"/>
    <mergeCell ref="C39:D39"/>
    <mergeCell ref="C41:D41"/>
    <mergeCell ref="C42:D42"/>
    <mergeCell ref="C40:D40"/>
    <mergeCell ref="C52:D52"/>
    <mergeCell ref="C53:D53"/>
    <mergeCell ref="C60:D60"/>
    <mergeCell ref="C54:D54"/>
    <mergeCell ref="C55:D55"/>
    <mergeCell ref="C56:D56"/>
    <mergeCell ref="C57:D57"/>
    <mergeCell ref="C61:D61"/>
    <mergeCell ref="C62:D62"/>
    <mergeCell ref="C63:D63"/>
    <mergeCell ref="C58:D58"/>
    <mergeCell ref="C59:D59"/>
    <mergeCell ref="J39:J40"/>
    <mergeCell ref="K39:K40"/>
    <mergeCell ref="I39:I40"/>
    <mergeCell ref="C5:D5"/>
    <mergeCell ref="E5:G5"/>
    <mergeCell ref="C7:D7"/>
    <mergeCell ref="E7:G7"/>
    <mergeCell ref="C13:D13"/>
    <mergeCell ref="C18:C24"/>
    <mergeCell ref="C32:C38"/>
    <mergeCell ref="C25:C31"/>
    <mergeCell ref="K16:K17"/>
    <mergeCell ref="E16:F16"/>
    <mergeCell ref="G16:H16"/>
    <mergeCell ref="I16:J16"/>
  </mergeCells>
  <conditionalFormatting sqref="J48">
    <cfRule type="expression" dxfId="202" priority="6">
      <formula>J48&lt;&gt;0</formula>
    </cfRule>
  </conditionalFormatting>
  <conditionalFormatting sqref="J64">
    <cfRule type="expression" dxfId="201" priority="5">
      <formula>J64&lt;&gt;0</formula>
    </cfRule>
  </conditionalFormatting>
  <conditionalFormatting sqref="I81">
    <cfRule type="expression" dxfId="200" priority="3">
      <formula>I81&lt;&gt;0</formula>
    </cfRule>
  </conditionalFormatting>
  <conditionalFormatting sqref="I78">
    <cfRule type="expression" dxfId="199" priority="4">
      <formula>I78&lt;&gt;0</formula>
    </cfRule>
  </conditionalFormatting>
  <conditionalFormatting sqref="I84:J84">
    <cfRule type="expression" dxfId="198" priority="2">
      <formula>I84&lt;&gt;0</formula>
    </cfRule>
  </conditionalFormatting>
  <conditionalFormatting sqref="I86:J86">
    <cfRule type="expression" dxfId="197" priority="1">
      <formula>I86&lt;&gt;0</formula>
    </cfRule>
  </conditionalFormatting>
  <dataValidations disablePrompts="1" count="2">
    <dataValidation allowBlank="1" showInputMessage="1" showErrorMessage="1" prompt="Operaciones no sujetas o con inversión del sujeto pasivo que originan el derecho a deducción" sqref="C76" xr:uid="{34756127-D77D-4ED9-94BB-ACFB5C5F7919}"/>
    <dataValidation allowBlank="1" showInputMessage="1" showErrorMessage="1" promptTitle="B.I." prompt="Base Imponible" sqref="G17 I17 E17" xr:uid="{9B0DA1F2-4EFF-4D9E-98EB-0E560A0C03A9}"/>
  </dataValidations>
  <pageMargins left="0.23622047244094491" right="0.23622047244094491" top="0.74803149606299213" bottom="0.74803149606299213" header="0.31496062992125984" footer="0.31496062992125984"/>
  <pageSetup paperSize="9" scale="37" fitToWidth="2" fitToHeight="2" orientation="landscape" r:id="rId1"/>
  <colBreaks count="1" manualBreakCount="1">
    <brk id="11" min="4" max="66" man="1"/>
  </colBreaks>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locked="0" defaultSize="0" print="0" autoFill="0" autoPict="0" macro="[0]!borrarmesivacheck">
                <anchor moveWithCells="1" sizeWithCells="1">
                  <from>
                    <xdr:col>5</xdr:col>
                    <xdr:colOff>228600</xdr:colOff>
                    <xdr:row>8</xdr:row>
                    <xdr:rowOff>190500</xdr:rowOff>
                  </from>
                  <to>
                    <xdr:col>6</xdr:col>
                    <xdr:colOff>609600</xdr:colOff>
                    <xdr:row>12</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7">
    <pageSetUpPr autoPageBreaks="0" fitToPage="1"/>
  </sheetPr>
  <dimension ref="A1:AD100"/>
  <sheetViews>
    <sheetView showGridLines="0" showRowColHeaders="0" showZeros="0" zoomScale="85" zoomScaleNormal="85" zoomScaleSheetLayoutView="40" zoomScalePageLayoutView="55" workbookViewId="0">
      <pane xSplit="3" ySplit="17" topLeftCell="D18" activePane="bottomRight" state="frozen"/>
      <selection activeCell="G9" sqref="G9"/>
      <selection pane="topRight" activeCell="G9" sqref="G9"/>
      <selection pane="bottomLeft" activeCell="G9" sqref="G9"/>
      <selection pane="bottomRight" activeCell="J28" sqref="J28"/>
    </sheetView>
  </sheetViews>
  <sheetFormatPr baseColWidth="10" defaultColWidth="0" defaultRowHeight="15" customHeight="1" zeroHeight="1" outlineLevelRow="1"/>
  <cols>
    <col min="1" max="2" width="2" customWidth="1"/>
    <col min="3" max="3" width="70" customWidth="1"/>
    <col min="4" max="4" width="19" customWidth="1"/>
    <col min="5" max="8" width="16" customWidth="1"/>
    <col min="9" max="9" width="16.44140625" bestFit="1" customWidth="1"/>
    <col min="10" max="11" width="16" customWidth="1"/>
    <col min="12" max="12" width="3" customWidth="1"/>
    <col min="13" max="30" width="16" hidden="1" customWidth="1"/>
    <col min="31" max="16384" width="13" hidden="1"/>
  </cols>
  <sheetData>
    <row r="1" spans="3:11" ht="15" customHeight="1"/>
    <row r="2" spans="3:11" ht="9" customHeight="1"/>
    <row r="3" spans="3:11" ht="5.25" customHeight="1">
      <c r="C3" s="1"/>
      <c r="D3" s="1"/>
    </row>
    <row r="4" spans="3:11" ht="5.25" customHeight="1"/>
    <row r="5" spans="3:11" ht="21">
      <c r="C5" s="2252" t="str">
        <f>+MENU!C5</f>
        <v>Sociedad:</v>
      </c>
      <c r="D5" s="2253"/>
      <c r="E5" s="2254" t="str">
        <f>+MENU!E5</f>
        <v>MARIO PILATO BLAT, S.A.</v>
      </c>
      <c r="F5" s="2255"/>
      <c r="G5" s="2255"/>
      <c r="K5" s="40"/>
    </row>
    <row r="6" spans="3:11" ht="12.75" customHeight="1">
      <c r="C6" s="218"/>
      <c r="D6" s="218"/>
      <c r="E6" s="218"/>
      <c r="F6" s="218"/>
      <c r="G6" s="218"/>
    </row>
    <row r="7" spans="3:11" ht="21">
      <c r="C7" s="2252" t="str">
        <f>+instrucciones!$C$7</f>
        <v>Fecha de cierre</v>
      </c>
      <c r="D7" s="2253"/>
      <c r="E7" s="2256">
        <f>+MENU!D7</f>
        <v>45657</v>
      </c>
      <c r="F7" s="2256"/>
      <c r="G7" s="2256"/>
      <c r="J7" s="34"/>
    </row>
    <row r="8" spans="3:11" ht="15" customHeight="1">
      <c r="C8" s="2"/>
      <c r="D8" s="2"/>
      <c r="F8" s="3"/>
      <c r="G8" s="3"/>
      <c r="H8" s="3"/>
      <c r="I8" s="3"/>
      <c r="J8" s="3"/>
      <c r="K8" s="3"/>
    </row>
    <row r="9" spans="3:11" ht="15" customHeight="1"/>
    <row r="10" spans="3:11" ht="5.25" customHeight="1">
      <c r="F10" s="219"/>
    </row>
    <row r="11" spans="3:11" ht="5.25" customHeight="1"/>
    <row r="12" spans="3:11" ht="6" customHeight="1"/>
    <row r="13" spans="3:11" s="1341" customFormat="1" ht="22.5" customHeight="1">
      <c r="C13" s="2476" t="s">
        <v>1077</v>
      </c>
      <c r="D13" s="2477"/>
    </row>
    <row r="14" spans="3:11" s="1341" customFormat="1" ht="6" customHeight="1"/>
    <row r="15" spans="3:11" s="1341" customFormat="1" ht="7.5" customHeight="1">
      <c r="C15" s="1342"/>
      <c r="D15" s="1342"/>
    </row>
    <row r="16" spans="3:11" s="1368" customFormat="1" ht="27" customHeight="1">
      <c r="C16" s="1634"/>
      <c r="D16" s="1634"/>
      <c r="E16" s="2513" t="s">
        <v>1035</v>
      </c>
      <c r="F16" s="2513"/>
      <c r="G16" s="2513">
        <v>390</v>
      </c>
      <c r="H16" s="2513"/>
      <c r="I16" s="2514" t="s">
        <v>935</v>
      </c>
      <c r="J16" s="2515"/>
      <c r="K16" s="2511" t="s">
        <v>1487</v>
      </c>
    </row>
    <row r="17" spans="3:11" s="1368" customFormat="1" ht="27" customHeight="1">
      <c r="C17" s="1635" t="s">
        <v>1012</v>
      </c>
      <c r="D17" s="1635" t="s">
        <v>180</v>
      </c>
      <c r="E17" s="1635" t="s">
        <v>1011</v>
      </c>
      <c r="F17" s="1635" t="s">
        <v>933</v>
      </c>
      <c r="G17" s="1635" t="s">
        <v>1011</v>
      </c>
      <c r="H17" s="1635" t="s">
        <v>933</v>
      </c>
      <c r="I17" s="1635" t="s">
        <v>1011</v>
      </c>
      <c r="J17" s="1635" t="s">
        <v>933</v>
      </c>
      <c r="K17" s="2512"/>
    </row>
    <row r="18" spans="3:11" s="1489" customFormat="1" ht="24" customHeight="1" outlineLevel="1">
      <c r="C18" s="2505" t="s">
        <v>1665</v>
      </c>
      <c r="D18" s="2184" t="s">
        <v>2016</v>
      </c>
      <c r="E18" s="1637">
        <f>+'IVA (TRIM)'!M18</f>
        <v>0</v>
      </c>
      <c r="F18" s="1638">
        <f>+'IVA (TRIM)'!N18</f>
        <v>0</v>
      </c>
      <c r="G18" s="1639"/>
      <c r="H18" s="1640"/>
      <c r="I18" s="1641">
        <f>+E18-G18</f>
        <v>0</v>
      </c>
      <c r="J18" s="1642">
        <f>+F18-H18</f>
        <v>0</v>
      </c>
      <c r="K18" s="1752">
        <f>+G18*0-H18</f>
        <v>0</v>
      </c>
    </row>
    <row r="19" spans="3:11" s="1489" customFormat="1" ht="24" customHeight="1" outlineLevel="1">
      <c r="C19" s="2506"/>
      <c r="D19" s="2194">
        <v>0.02</v>
      </c>
      <c r="E19" s="1637">
        <f>+'IVA (TRIM)'!M19</f>
        <v>0</v>
      </c>
      <c r="F19" s="1638">
        <f>+'IVA (TRIM)'!N19</f>
        <v>0</v>
      </c>
      <c r="G19" s="1639"/>
      <c r="H19" s="1640"/>
      <c r="I19" s="1641">
        <f t="shared" ref="I19:I24" si="0">+E19-G19</f>
        <v>0</v>
      </c>
      <c r="J19" s="1642">
        <f t="shared" ref="J19:J24" si="1">+F19-H19</f>
        <v>0</v>
      </c>
      <c r="K19" s="1758">
        <f>+G19*D19-H19</f>
        <v>0</v>
      </c>
    </row>
    <row r="20" spans="3:11" s="1489" customFormat="1" ht="24" customHeight="1" outlineLevel="1">
      <c r="C20" s="2506"/>
      <c r="D20" s="1751">
        <v>0.04</v>
      </c>
      <c r="E20" s="1637">
        <f>+'IVA (TRIM)'!M20</f>
        <v>0</v>
      </c>
      <c r="F20" s="1638">
        <f>+'IVA (TRIM)'!N20</f>
        <v>0</v>
      </c>
      <c r="G20" s="1639"/>
      <c r="H20" s="1640"/>
      <c r="I20" s="1641">
        <f t="shared" si="0"/>
        <v>0</v>
      </c>
      <c r="J20" s="1642">
        <f t="shared" si="1"/>
        <v>0</v>
      </c>
      <c r="K20" s="1758">
        <f>+G20*D20-H20</f>
        <v>0</v>
      </c>
    </row>
    <row r="21" spans="3:11" s="1489" customFormat="1" ht="24" customHeight="1" outlineLevel="1">
      <c r="C21" s="2506"/>
      <c r="D21" s="1753">
        <v>0.05</v>
      </c>
      <c r="E21" s="1645">
        <f>+'IVA (TRIM)'!M21</f>
        <v>0</v>
      </c>
      <c r="F21" s="1646">
        <f>+'IVA (TRIM)'!N21</f>
        <v>0</v>
      </c>
      <c r="G21" s="1647"/>
      <c r="H21" s="1648"/>
      <c r="I21" s="1649">
        <f t="shared" si="0"/>
        <v>0</v>
      </c>
      <c r="J21" s="1650">
        <f t="shared" si="1"/>
        <v>0</v>
      </c>
      <c r="K21" s="1754">
        <f t="shared" ref="K21" si="2">+G21*D21-H21</f>
        <v>0</v>
      </c>
    </row>
    <row r="22" spans="3:11" s="1489" customFormat="1" ht="24" customHeight="1" outlineLevel="1">
      <c r="C22" s="2506"/>
      <c r="D22" s="2193">
        <v>7.4999999999999997E-2</v>
      </c>
      <c r="E22" s="1645">
        <f>+'IVA (TRIM)'!M22</f>
        <v>0</v>
      </c>
      <c r="F22" s="1646">
        <f>+'IVA (TRIM)'!N22</f>
        <v>0</v>
      </c>
      <c r="G22" s="1647"/>
      <c r="H22" s="1648"/>
      <c r="I22" s="1649">
        <f t="shared" si="0"/>
        <v>0</v>
      </c>
      <c r="J22" s="1650">
        <f t="shared" si="1"/>
        <v>0</v>
      </c>
      <c r="K22" s="1758">
        <f>+G22*D22-H22</f>
        <v>0</v>
      </c>
    </row>
    <row r="23" spans="3:11" s="1489" customFormat="1" ht="24" customHeight="1" outlineLevel="1">
      <c r="C23" s="2506"/>
      <c r="D23" s="1753">
        <v>0.1</v>
      </c>
      <c r="E23" s="1645">
        <f>+'IVA (TRIM)'!M23</f>
        <v>0</v>
      </c>
      <c r="F23" s="1646">
        <f>+'IVA (TRIM)'!N23</f>
        <v>0</v>
      </c>
      <c r="G23" s="1647"/>
      <c r="H23" s="1648"/>
      <c r="I23" s="1649">
        <f t="shared" si="0"/>
        <v>0</v>
      </c>
      <c r="J23" s="1650">
        <f t="shared" si="1"/>
        <v>0</v>
      </c>
      <c r="K23" s="1754">
        <f>+G23*D23-H23</f>
        <v>0</v>
      </c>
    </row>
    <row r="24" spans="3:11" s="1489" customFormat="1" ht="24" customHeight="1" outlineLevel="1">
      <c r="C24" s="2526"/>
      <c r="D24" s="1753">
        <v>0.21</v>
      </c>
      <c r="E24" s="1707">
        <f>+'IVA (TRIM)'!M24</f>
        <v>0</v>
      </c>
      <c r="F24" s="1708">
        <f>+'IVA (TRIM)'!N24</f>
        <v>0</v>
      </c>
      <c r="G24" s="1672"/>
      <c r="H24" s="1673"/>
      <c r="I24" s="1674">
        <f t="shared" si="0"/>
        <v>0</v>
      </c>
      <c r="J24" s="1675">
        <f t="shared" si="1"/>
        <v>0</v>
      </c>
      <c r="K24" s="1771">
        <f t="shared" ref="K24:K45" si="3">+G24*D24-H24</f>
        <v>0</v>
      </c>
    </row>
    <row r="25" spans="3:11" s="1489" customFormat="1" ht="24" customHeight="1" outlineLevel="1">
      <c r="C25" s="2505" t="s">
        <v>1036</v>
      </c>
      <c r="D25" s="2184" t="s">
        <v>2016</v>
      </c>
      <c r="E25" s="1756"/>
      <c r="F25" s="1757"/>
      <c r="G25" s="1639"/>
      <c r="H25" s="1640"/>
      <c r="I25" s="1641">
        <f>+E25-G25</f>
        <v>0</v>
      </c>
      <c r="J25" s="1642">
        <f t="shared" ref="J25" si="4">+F25-H25</f>
        <v>0</v>
      </c>
      <c r="K25" s="1758">
        <f>+G25*0-H25</f>
        <v>0</v>
      </c>
    </row>
    <row r="26" spans="3:11" s="1489" customFormat="1" ht="24" customHeight="1" outlineLevel="1">
      <c r="C26" s="2506"/>
      <c r="D26" s="2194">
        <v>0.02</v>
      </c>
      <c r="E26" s="1756"/>
      <c r="F26" s="1757"/>
      <c r="G26" s="1639"/>
      <c r="H26" s="1640"/>
      <c r="I26" s="1641">
        <f t="shared" ref="I26:I31" si="5">+E26-G26</f>
        <v>0</v>
      </c>
      <c r="J26" s="1642">
        <f t="shared" ref="J26:J31" si="6">+F26-H26</f>
        <v>0</v>
      </c>
      <c r="K26" s="1758">
        <f t="shared" ref="K26:K31" si="7">+G26*D26-H26</f>
        <v>0</v>
      </c>
    </row>
    <row r="27" spans="3:11" s="1489" customFormat="1" ht="24" customHeight="1" outlineLevel="1">
      <c r="C27" s="2506"/>
      <c r="D27" s="1751">
        <v>0.04</v>
      </c>
      <c r="E27" s="1756"/>
      <c r="F27" s="1757"/>
      <c r="G27" s="1639"/>
      <c r="H27" s="1640"/>
      <c r="I27" s="1641">
        <f t="shared" si="5"/>
        <v>0</v>
      </c>
      <c r="J27" s="1642">
        <f t="shared" si="6"/>
        <v>0</v>
      </c>
      <c r="K27" s="1758">
        <f t="shared" si="7"/>
        <v>0</v>
      </c>
    </row>
    <row r="28" spans="3:11" s="1489" customFormat="1" ht="24" customHeight="1" outlineLevel="1">
      <c r="C28" s="2506"/>
      <c r="D28" s="1753">
        <v>0.05</v>
      </c>
      <c r="E28" s="1667"/>
      <c r="F28" s="1668"/>
      <c r="G28" s="1647"/>
      <c r="H28" s="1648"/>
      <c r="I28" s="1649">
        <f t="shared" si="5"/>
        <v>0</v>
      </c>
      <c r="J28" s="1650">
        <f t="shared" si="6"/>
        <v>0</v>
      </c>
      <c r="K28" s="1754">
        <f t="shared" si="7"/>
        <v>0</v>
      </c>
    </row>
    <row r="29" spans="3:11" s="1489" customFormat="1" ht="24" customHeight="1" outlineLevel="1">
      <c r="C29" s="2506"/>
      <c r="D29" s="2193">
        <v>7.4999999999999997E-2</v>
      </c>
      <c r="E29" s="1667"/>
      <c r="F29" s="1668"/>
      <c r="G29" s="1647"/>
      <c r="H29" s="1648"/>
      <c r="I29" s="1649">
        <f t="shared" si="5"/>
        <v>0</v>
      </c>
      <c r="J29" s="1650">
        <f t="shared" si="6"/>
        <v>0</v>
      </c>
      <c r="K29" s="1754">
        <f t="shared" si="7"/>
        <v>0</v>
      </c>
    </row>
    <row r="30" spans="3:11" s="1489" customFormat="1" ht="24" customHeight="1" outlineLevel="1">
      <c r="C30" s="2506"/>
      <c r="D30" s="1753">
        <v>0.1</v>
      </c>
      <c r="E30" s="1667"/>
      <c r="F30" s="1668"/>
      <c r="G30" s="1647"/>
      <c r="H30" s="1648"/>
      <c r="I30" s="1649">
        <f t="shared" si="5"/>
        <v>0</v>
      </c>
      <c r="J30" s="1650">
        <f t="shared" si="6"/>
        <v>0</v>
      </c>
      <c r="K30" s="1754">
        <f t="shared" si="7"/>
        <v>0</v>
      </c>
    </row>
    <row r="31" spans="3:11" s="1489" customFormat="1" ht="24" customHeight="1" outlineLevel="1">
      <c r="C31" s="2526"/>
      <c r="D31" s="1753">
        <v>0.21</v>
      </c>
      <c r="E31" s="1670"/>
      <c r="F31" s="1671"/>
      <c r="G31" s="1672"/>
      <c r="H31" s="1673"/>
      <c r="I31" s="1674">
        <f t="shared" si="5"/>
        <v>0</v>
      </c>
      <c r="J31" s="1675">
        <f t="shared" si="6"/>
        <v>0</v>
      </c>
      <c r="K31" s="1771">
        <f t="shared" si="7"/>
        <v>0</v>
      </c>
    </row>
    <row r="32" spans="3:11" s="1489" customFormat="1" ht="24" customHeight="1" outlineLevel="1">
      <c r="C32" s="2527" t="s">
        <v>1666</v>
      </c>
      <c r="D32" s="2184" t="s">
        <v>2016</v>
      </c>
      <c r="E32" s="1756"/>
      <c r="F32" s="1757"/>
      <c r="G32" s="1639"/>
      <c r="H32" s="1640"/>
      <c r="I32" s="1641">
        <f t="shared" ref="I32" si="8">+E32-G32</f>
        <v>0</v>
      </c>
      <c r="J32" s="1642">
        <f t="shared" ref="J32" si="9">+F32-H32</f>
        <v>0</v>
      </c>
      <c r="K32" s="1758">
        <f>+G32*0-H32</f>
        <v>0</v>
      </c>
    </row>
    <row r="33" spans="3:11" s="1489" customFormat="1" ht="24" customHeight="1" outlineLevel="1">
      <c r="C33" s="2509"/>
      <c r="D33" s="2194">
        <v>0.02</v>
      </c>
      <c r="E33" s="1756"/>
      <c r="F33" s="1757"/>
      <c r="G33" s="1639"/>
      <c r="H33" s="1640"/>
      <c r="I33" s="1641">
        <f t="shared" ref="I33:I38" si="10">+E33-G33</f>
        <v>0</v>
      </c>
      <c r="J33" s="1642">
        <f t="shared" ref="J33:J38" si="11">+F33-H33</f>
        <v>0</v>
      </c>
      <c r="K33" s="1758">
        <f t="shared" ref="K33:K38" si="12">+G33*D33-H33</f>
        <v>0</v>
      </c>
    </row>
    <row r="34" spans="3:11" s="1489" customFormat="1" ht="24" customHeight="1" outlineLevel="1">
      <c r="C34" s="2509"/>
      <c r="D34" s="1751">
        <v>0.04</v>
      </c>
      <c r="E34" s="1756"/>
      <c r="F34" s="1757"/>
      <c r="G34" s="1639"/>
      <c r="H34" s="1640"/>
      <c r="I34" s="1641">
        <f t="shared" si="10"/>
        <v>0</v>
      </c>
      <c r="J34" s="1642">
        <f t="shared" si="11"/>
        <v>0</v>
      </c>
      <c r="K34" s="1758">
        <f t="shared" si="12"/>
        <v>0</v>
      </c>
    </row>
    <row r="35" spans="3:11" s="1489" customFormat="1" ht="24" customHeight="1" outlineLevel="1">
      <c r="C35" s="2509"/>
      <c r="D35" s="1753">
        <v>0.05</v>
      </c>
      <c r="E35" s="1667"/>
      <c r="F35" s="1668"/>
      <c r="G35" s="1647"/>
      <c r="H35" s="1648"/>
      <c r="I35" s="1649">
        <f t="shared" si="10"/>
        <v>0</v>
      </c>
      <c r="J35" s="1650">
        <f t="shared" si="11"/>
        <v>0</v>
      </c>
      <c r="K35" s="1754">
        <f t="shared" si="12"/>
        <v>0</v>
      </c>
    </row>
    <row r="36" spans="3:11" s="1489" customFormat="1" ht="24" customHeight="1" outlineLevel="1">
      <c r="C36" s="2509"/>
      <c r="D36" s="2193">
        <v>7.4999999999999997E-2</v>
      </c>
      <c r="E36" s="1667"/>
      <c r="F36" s="1668"/>
      <c r="G36" s="1647"/>
      <c r="H36" s="1648"/>
      <c r="I36" s="1649">
        <f t="shared" si="10"/>
        <v>0</v>
      </c>
      <c r="J36" s="1650">
        <f t="shared" si="11"/>
        <v>0</v>
      </c>
      <c r="K36" s="1754">
        <f t="shared" si="12"/>
        <v>0</v>
      </c>
    </row>
    <row r="37" spans="3:11" s="1489" customFormat="1" ht="24" customHeight="1" outlineLevel="1">
      <c r="C37" s="2509"/>
      <c r="D37" s="1753">
        <v>0.1</v>
      </c>
      <c r="E37" s="1667"/>
      <c r="F37" s="1668"/>
      <c r="G37" s="1647"/>
      <c r="H37" s="1648"/>
      <c r="I37" s="1649">
        <f t="shared" si="10"/>
        <v>0</v>
      </c>
      <c r="J37" s="1650">
        <f t="shared" si="11"/>
        <v>0</v>
      </c>
      <c r="K37" s="1754">
        <f t="shared" si="12"/>
        <v>0</v>
      </c>
    </row>
    <row r="38" spans="3:11" s="1489" customFormat="1" ht="24" customHeight="1" outlineLevel="1">
      <c r="C38" s="2510"/>
      <c r="D38" s="1753">
        <v>0.21</v>
      </c>
      <c r="E38" s="1759"/>
      <c r="F38" s="1760"/>
      <c r="G38" s="1701"/>
      <c r="H38" s="1702"/>
      <c r="I38" s="1703">
        <f t="shared" si="10"/>
        <v>0</v>
      </c>
      <c r="J38" s="1704">
        <f t="shared" si="11"/>
        <v>0</v>
      </c>
      <c r="K38" s="1755">
        <f t="shared" si="12"/>
        <v>0</v>
      </c>
    </row>
    <row r="39" spans="3:11" s="1489" customFormat="1" ht="24" customHeight="1" outlineLevel="1">
      <c r="C39" s="2521" t="s">
        <v>1662</v>
      </c>
      <c r="D39" s="2530"/>
      <c r="E39" s="1761">
        <f>+'IVA (TRIM)'!M25</f>
        <v>0</v>
      </c>
      <c r="F39" s="1762">
        <f>+'IVA (TRIM)'!N25</f>
        <v>0</v>
      </c>
      <c r="G39" s="1763"/>
      <c r="H39" s="1680"/>
      <c r="I39" s="2503">
        <f>+E39-G39+E40-G40</f>
        <v>0</v>
      </c>
      <c r="J39" s="2499">
        <f>+F39-H39+F40-H40</f>
        <v>0</v>
      </c>
      <c r="K39" s="2501"/>
    </row>
    <row r="40" spans="3:11" s="1489" customFormat="1" ht="24" customHeight="1" outlineLevel="1">
      <c r="C40" s="2521" t="s">
        <v>1661</v>
      </c>
      <c r="D40" s="2522"/>
      <c r="E40" s="1764"/>
      <c r="F40" s="1765"/>
      <c r="G40" s="1763"/>
      <c r="H40" s="1680"/>
      <c r="I40" s="2504"/>
      <c r="J40" s="2500"/>
      <c r="K40" s="2502"/>
    </row>
    <row r="41" spans="3:11" s="1489" customFormat="1" ht="24" customHeight="1" outlineLevel="1">
      <c r="C41" s="2523" t="s">
        <v>1649</v>
      </c>
      <c r="D41" s="2524"/>
      <c r="E41" s="1766">
        <f>+'IVA (TRIM)'!M26</f>
        <v>0</v>
      </c>
      <c r="F41" s="1765">
        <f>+'IVA (TRIM)'!N26</f>
        <v>0</v>
      </c>
      <c r="G41" s="1679"/>
      <c r="H41" s="1680"/>
      <c r="I41" s="1681">
        <f t="shared" ref="I41:J42" si="13">+E41-G41</f>
        <v>0</v>
      </c>
      <c r="J41" s="1682">
        <f t="shared" si="13"/>
        <v>0</v>
      </c>
      <c r="K41" s="1683"/>
    </row>
    <row r="42" spans="3:11" s="1489" customFormat="1" ht="24" customHeight="1" outlineLevel="1">
      <c r="C42" s="2531" t="s">
        <v>1651</v>
      </c>
      <c r="D42" s="2532"/>
      <c r="E42" s="1684">
        <f>+'IVA (TRIM)'!M27</f>
        <v>0</v>
      </c>
      <c r="F42" s="1685">
        <f>+'IVA (TRIM)'!N27</f>
        <v>0</v>
      </c>
      <c r="G42" s="1686"/>
      <c r="H42" s="1687"/>
      <c r="I42" s="1688">
        <f t="shared" si="13"/>
        <v>0</v>
      </c>
      <c r="J42" s="1689">
        <f t="shared" si="13"/>
        <v>0</v>
      </c>
      <c r="K42" s="1690"/>
    </row>
    <row r="43" spans="3:11" s="1489" customFormat="1" ht="24" customHeight="1" outlineLevel="1">
      <c r="C43" s="2528" t="s">
        <v>1014</v>
      </c>
      <c r="D43" s="1767">
        <v>5.0000000000000001E-3</v>
      </c>
      <c r="E43" s="1768">
        <f>+'IVA (TRIM)'!M28</f>
        <v>0</v>
      </c>
      <c r="F43" s="1719">
        <f>+'IVA (TRIM)'!N28</f>
        <v>0</v>
      </c>
      <c r="G43" s="1769"/>
      <c r="H43" s="1720"/>
      <c r="I43" s="1721">
        <f t="shared" ref="I43:I46" si="14">+E43-G43</f>
        <v>0</v>
      </c>
      <c r="J43" s="1722">
        <f t="shared" ref="J43:J46" si="15">+F43-H43</f>
        <v>0</v>
      </c>
      <c r="K43" s="1770">
        <f t="shared" si="3"/>
        <v>0</v>
      </c>
    </row>
    <row r="44" spans="3:11" s="1489" customFormat="1" ht="24" customHeight="1" outlineLevel="1">
      <c r="C44" s="2456"/>
      <c r="D44" s="1691">
        <v>1.4E-2</v>
      </c>
      <c r="E44" s="1699">
        <f>+'IVA (TRIM)'!M29</f>
        <v>0</v>
      </c>
      <c r="F44" s="1700">
        <f>+'IVA (TRIM)'!N29</f>
        <v>0</v>
      </c>
      <c r="G44" s="1701"/>
      <c r="H44" s="1702"/>
      <c r="I44" s="1703">
        <f t="shared" si="14"/>
        <v>0</v>
      </c>
      <c r="J44" s="1704">
        <f t="shared" si="15"/>
        <v>0</v>
      </c>
      <c r="K44" s="1755">
        <f t="shared" si="3"/>
        <v>0</v>
      </c>
    </row>
    <row r="45" spans="3:11" s="1489" customFormat="1" ht="24" customHeight="1" outlineLevel="1">
      <c r="C45" s="2529"/>
      <c r="D45" s="1540">
        <v>5.1999999999999998E-2</v>
      </c>
      <c r="E45" s="1699">
        <f>+'IVA (TRIM)'!M30</f>
        <v>0</v>
      </c>
      <c r="F45" s="1700">
        <f>+'IVA (TRIM)'!N30</f>
        <v>0</v>
      </c>
      <c r="G45" s="1701"/>
      <c r="H45" s="1702"/>
      <c r="I45" s="1703">
        <f t="shared" si="14"/>
        <v>0</v>
      </c>
      <c r="J45" s="1704">
        <f t="shared" si="15"/>
        <v>0</v>
      </c>
      <c r="K45" s="1771">
        <f t="shared" si="3"/>
        <v>0</v>
      </c>
    </row>
    <row r="46" spans="3:11" s="1489" customFormat="1" ht="24" customHeight="1" outlineLevel="1">
      <c r="C46" s="2519" t="s">
        <v>1650</v>
      </c>
      <c r="D46" s="2520"/>
      <c r="E46" s="1766">
        <f>+'IVA (TRIM)'!M32</f>
        <v>0</v>
      </c>
      <c r="F46" s="1765">
        <f>+'IVA (TRIM)'!N32</f>
        <v>0</v>
      </c>
      <c r="G46" s="1772"/>
      <c r="H46" s="1773"/>
      <c r="I46" s="1774">
        <f t="shared" si="14"/>
        <v>0</v>
      </c>
      <c r="J46" s="1775">
        <f t="shared" si="15"/>
        <v>0</v>
      </c>
      <c r="K46" s="1341"/>
    </row>
    <row r="47" spans="3:11" s="1489" customFormat="1" ht="24" customHeight="1">
      <c r="C47" s="1369" t="s">
        <v>1015</v>
      </c>
      <c r="E47" s="1566"/>
      <c r="F47" s="1716">
        <f>SUM(F18:F46)</f>
        <v>0</v>
      </c>
      <c r="G47" s="1566"/>
      <c r="H47" s="1716">
        <f>SUM(H18:H46)</f>
        <v>0</v>
      </c>
      <c r="I47" s="1566"/>
      <c r="J47" s="1716">
        <f>SUM(J18:J46)</f>
        <v>0</v>
      </c>
    </row>
    <row r="48" spans="3:11" s="1489" customFormat="1" ht="12" customHeight="1">
      <c r="C48" s="1717"/>
      <c r="D48" s="1717"/>
      <c r="E48" s="1717"/>
      <c r="F48" s="1717"/>
      <c r="G48" s="1717"/>
      <c r="H48" s="1717"/>
      <c r="I48" s="1717"/>
      <c r="J48" s="1717"/>
    </row>
    <row r="49" spans="3:10" s="1489" customFormat="1" ht="24" customHeight="1">
      <c r="C49" s="1635" t="s">
        <v>1016</v>
      </c>
      <c r="D49" s="1717"/>
      <c r="E49" s="1717"/>
      <c r="F49" s="1717"/>
      <c r="G49" s="1717"/>
      <c r="H49" s="1717"/>
      <c r="I49" s="1717"/>
      <c r="J49" s="1717"/>
    </row>
    <row r="50" spans="3:10" s="1489" customFormat="1" ht="24" customHeight="1" outlineLevel="1">
      <c r="C50" s="2516" t="s">
        <v>1017</v>
      </c>
      <c r="D50" s="2516"/>
      <c r="E50" s="1718">
        <f>+'IVA (TRIM)'!M36</f>
        <v>0</v>
      </c>
      <c r="F50" s="1719">
        <f>+'IVA (TRIM)'!N36</f>
        <v>0</v>
      </c>
      <c r="G50" s="1701"/>
      <c r="H50" s="1720"/>
      <c r="I50" s="1721">
        <f t="shared" ref="I50:J62" si="16">+E50-G50</f>
        <v>0</v>
      </c>
      <c r="J50" s="1722">
        <f t="shared" si="16"/>
        <v>0</v>
      </c>
    </row>
    <row r="51" spans="3:10" s="1489" customFormat="1" ht="24" customHeight="1" outlineLevel="1">
      <c r="C51" s="2516" t="s">
        <v>1018</v>
      </c>
      <c r="D51" s="2516"/>
      <c r="E51" s="1699">
        <f>+'IVA (TRIM)'!M37</f>
        <v>0</v>
      </c>
      <c r="F51" s="1700">
        <f>+'IVA (TRIM)'!N37</f>
        <v>0</v>
      </c>
      <c r="G51" s="1701"/>
      <c r="H51" s="1702"/>
      <c r="I51" s="1703">
        <f t="shared" si="16"/>
        <v>0</v>
      </c>
      <c r="J51" s="1704">
        <f t="shared" si="16"/>
        <v>0</v>
      </c>
    </row>
    <row r="52" spans="3:10" s="1489" customFormat="1" ht="24" customHeight="1" outlineLevel="1">
      <c r="C52" s="2516" t="s">
        <v>1734</v>
      </c>
      <c r="D52" s="2516"/>
      <c r="E52" s="1723"/>
      <c r="F52" s="1724"/>
      <c r="G52" s="1701"/>
      <c r="H52" s="1702"/>
      <c r="I52" s="1703">
        <f t="shared" si="16"/>
        <v>0</v>
      </c>
      <c r="J52" s="1704">
        <f t="shared" si="16"/>
        <v>0</v>
      </c>
    </row>
    <row r="53" spans="3:10" s="1489" customFormat="1" ht="24" customHeight="1" outlineLevel="1">
      <c r="C53" s="2516" t="s">
        <v>1037</v>
      </c>
      <c r="D53" s="2516"/>
      <c r="E53" s="1723"/>
      <c r="F53" s="1724"/>
      <c r="G53" s="1701"/>
      <c r="H53" s="1702"/>
      <c r="I53" s="1703">
        <f t="shared" si="16"/>
        <v>0</v>
      </c>
      <c r="J53" s="1704">
        <f t="shared" si="16"/>
        <v>0</v>
      </c>
    </row>
    <row r="54" spans="3:10" s="1489" customFormat="1" ht="24" customHeight="1" outlineLevel="1">
      <c r="C54" s="2516" t="s">
        <v>1019</v>
      </c>
      <c r="D54" s="2516"/>
      <c r="E54" s="1699">
        <f>+'IVA (TRIM)'!M38</f>
        <v>0</v>
      </c>
      <c r="F54" s="1700">
        <f>+'IVA (TRIM)'!N38</f>
        <v>0</v>
      </c>
      <c r="G54" s="1701"/>
      <c r="H54" s="1702"/>
      <c r="I54" s="1703">
        <f t="shared" si="16"/>
        <v>0</v>
      </c>
      <c r="J54" s="1704">
        <f t="shared" si="16"/>
        <v>0</v>
      </c>
    </row>
    <row r="55" spans="3:10" s="1489" customFormat="1" ht="24" customHeight="1" outlineLevel="1">
      <c r="C55" s="2516" t="s">
        <v>1020</v>
      </c>
      <c r="D55" s="2516"/>
      <c r="E55" s="1699">
        <f>+'IVA (TRIM)'!M39</f>
        <v>0</v>
      </c>
      <c r="F55" s="1700">
        <f>+'IVA (TRIM)'!N39</f>
        <v>0</v>
      </c>
      <c r="G55" s="1701"/>
      <c r="H55" s="1702"/>
      <c r="I55" s="1703">
        <f t="shared" si="16"/>
        <v>0</v>
      </c>
      <c r="J55" s="1704">
        <f t="shared" si="16"/>
        <v>0</v>
      </c>
    </row>
    <row r="56" spans="3:10" s="1489" customFormat="1" ht="24" customHeight="1" outlineLevel="1">
      <c r="C56" s="2516" t="s">
        <v>1663</v>
      </c>
      <c r="D56" s="2516"/>
      <c r="E56" s="1699">
        <f>+'IVA (TRIM)'!M40</f>
        <v>0</v>
      </c>
      <c r="F56" s="1700">
        <f>+'IVA (TRIM)'!N40</f>
        <v>0</v>
      </c>
      <c r="G56" s="1701"/>
      <c r="H56" s="1702"/>
      <c r="I56" s="1703">
        <f t="shared" si="16"/>
        <v>0</v>
      </c>
      <c r="J56" s="1704">
        <f t="shared" si="16"/>
        <v>0</v>
      </c>
    </row>
    <row r="57" spans="3:10" s="1489" customFormat="1" ht="24" customHeight="1" outlineLevel="1">
      <c r="C57" s="2516" t="s">
        <v>1664</v>
      </c>
      <c r="D57" s="2516"/>
      <c r="E57" s="1725"/>
      <c r="F57" s="1776"/>
      <c r="G57" s="1701"/>
      <c r="H57" s="1702"/>
      <c r="I57" s="1703">
        <f t="shared" si="16"/>
        <v>0</v>
      </c>
      <c r="J57" s="1704">
        <f t="shared" si="16"/>
        <v>0</v>
      </c>
    </row>
    <row r="58" spans="3:10" s="1489" customFormat="1" ht="24" customHeight="1" outlineLevel="1">
      <c r="C58" s="2516" t="s">
        <v>1022</v>
      </c>
      <c r="D58" s="2516"/>
      <c r="E58" s="1699">
        <f>+'IVA (TRIM)'!M41</f>
        <v>0</v>
      </c>
      <c r="F58" s="1700">
        <f>+'IVA (TRIM)'!N41</f>
        <v>0</v>
      </c>
      <c r="G58" s="1701"/>
      <c r="H58" s="1702"/>
      <c r="I58" s="1703">
        <f t="shared" si="16"/>
        <v>0</v>
      </c>
      <c r="J58" s="1704">
        <f t="shared" si="16"/>
        <v>0</v>
      </c>
    </row>
    <row r="59" spans="3:10" s="1489" customFormat="1" ht="24" customHeight="1" outlineLevel="1">
      <c r="C59" s="2516" t="s">
        <v>1652</v>
      </c>
      <c r="D59" s="2516"/>
      <c r="E59" s="1699">
        <f>+'IVA (TRIM)'!M42</f>
        <v>0</v>
      </c>
      <c r="F59" s="1700">
        <f>+'IVA (TRIM)'!N42</f>
        <v>0</v>
      </c>
      <c r="G59" s="1701"/>
      <c r="H59" s="1702"/>
      <c r="I59" s="1703">
        <f t="shared" si="16"/>
        <v>0</v>
      </c>
      <c r="J59" s="1704">
        <f t="shared" si="16"/>
        <v>0</v>
      </c>
    </row>
    <row r="60" spans="3:10" s="1489" customFormat="1" ht="24" customHeight="1" outlineLevel="1">
      <c r="C60" s="2516" t="s">
        <v>1023</v>
      </c>
      <c r="D60" s="2516"/>
      <c r="E60" s="1699">
        <f>+'IVA (TRIM)'!M43</f>
        <v>0</v>
      </c>
      <c r="F60" s="1700">
        <f>+'IVA (TRIM)'!N43</f>
        <v>0</v>
      </c>
      <c r="G60" s="1701"/>
      <c r="H60" s="1702"/>
      <c r="I60" s="1703">
        <f t="shared" si="16"/>
        <v>0</v>
      </c>
      <c r="J60" s="1704">
        <f t="shared" si="16"/>
        <v>0</v>
      </c>
    </row>
    <row r="61" spans="3:10" s="1489" customFormat="1" ht="24" customHeight="1" outlineLevel="1">
      <c r="C61" s="2516" t="s">
        <v>1653</v>
      </c>
      <c r="D61" s="2516"/>
      <c r="E61" s="1699">
        <f>+'IVA (TRIM)'!M44</f>
        <v>0</v>
      </c>
      <c r="F61" s="1700">
        <f>+'IVA (TRIM)'!N44</f>
        <v>0</v>
      </c>
      <c r="G61" s="1701"/>
      <c r="H61" s="1702"/>
      <c r="I61" s="1703">
        <f t="shared" si="16"/>
        <v>0</v>
      </c>
      <c r="J61" s="1704">
        <f t="shared" si="16"/>
        <v>0</v>
      </c>
    </row>
    <row r="62" spans="3:10" s="1489" customFormat="1" ht="24" customHeight="1" outlineLevel="1">
      <c r="C62" s="2516" t="s">
        <v>1024</v>
      </c>
      <c r="D62" s="2516"/>
      <c r="E62" s="1726">
        <f>+'IVA (TRIM)'!M45</f>
        <v>0</v>
      </c>
      <c r="F62" s="1727">
        <f>+'IVA (TRIM)'!N45</f>
        <v>0</v>
      </c>
      <c r="G62" s="1728"/>
      <c r="H62" s="1729"/>
      <c r="I62" s="1730">
        <f t="shared" si="16"/>
        <v>0</v>
      </c>
      <c r="J62" s="1731">
        <f t="shared" si="16"/>
        <v>0</v>
      </c>
    </row>
    <row r="63" spans="3:10" s="1489" customFormat="1" ht="24" customHeight="1">
      <c r="C63" s="1369" t="s">
        <v>1025</v>
      </c>
      <c r="E63" s="1566"/>
      <c r="F63" s="1716">
        <f>SUM(F50:F62)</f>
        <v>0</v>
      </c>
      <c r="G63" s="1566"/>
      <c r="H63" s="1716">
        <f>SUM(H50:H62)</f>
        <v>0</v>
      </c>
      <c r="I63" s="1566"/>
      <c r="J63" s="1716">
        <f>SUM(J50:J62)</f>
        <v>0</v>
      </c>
    </row>
    <row r="64" spans="3:10" s="1489" customFormat="1" ht="12" customHeight="1">
      <c r="C64" s="1732"/>
      <c r="D64" s="1717"/>
      <c r="E64" s="1733"/>
      <c r="F64" s="1733"/>
      <c r="G64" s="1733"/>
      <c r="H64" s="1733"/>
      <c r="I64" s="1733"/>
      <c r="J64" s="1733"/>
    </row>
    <row r="65" spans="3:10" s="1489" customFormat="1" ht="24" customHeight="1">
      <c r="C65" s="1369" t="s">
        <v>1654</v>
      </c>
      <c r="E65" s="1341"/>
      <c r="F65" s="1716">
        <f>+F47-F63</f>
        <v>0</v>
      </c>
      <c r="G65" s="1341"/>
      <c r="H65" s="1716">
        <f>+H47-H63</f>
        <v>0</v>
      </c>
      <c r="I65" s="1341"/>
      <c r="J65" s="1716">
        <f>+J47-J63</f>
        <v>0</v>
      </c>
    </row>
    <row r="66" spans="3:10" s="1489" customFormat="1" ht="24" customHeight="1">
      <c r="C66" s="1735" t="s">
        <v>1655</v>
      </c>
      <c r="D66" s="1717"/>
      <c r="E66" s="1341"/>
      <c r="F66" s="1736">
        <f>+'IVA (TRIM)'!N49</f>
        <v>0</v>
      </c>
      <c r="G66" s="1341"/>
      <c r="H66" s="1737"/>
      <c r="I66" s="1341"/>
      <c r="J66" s="1738">
        <f t="shared" ref="J66" si="17">+F66-H66</f>
        <v>0</v>
      </c>
    </row>
    <row r="67" spans="3:10" s="1489" customFormat="1" ht="24" customHeight="1">
      <c r="C67" s="1369" t="s">
        <v>1656</v>
      </c>
      <c r="D67" s="1341"/>
      <c r="E67" s="1341"/>
      <c r="F67" s="1739">
        <f t="shared" ref="F67" si="18">+F65+F66</f>
        <v>0</v>
      </c>
      <c r="G67" s="1341"/>
      <c r="H67" s="1739">
        <f t="shared" ref="H67" si="19">+H65+H66</f>
        <v>0</v>
      </c>
      <c r="I67" s="1341"/>
      <c r="J67" s="1739">
        <f t="shared" ref="J67" si="20">+J65+J66</f>
        <v>0</v>
      </c>
    </row>
    <row r="68" spans="3:10" s="1489" customFormat="1" ht="24" customHeight="1">
      <c r="C68" s="1369" t="s">
        <v>1657</v>
      </c>
      <c r="D68" s="1588">
        <v>1</v>
      </c>
      <c r="E68" s="1341"/>
      <c r="F68" s="1734">
        <f>+$D$68*F67</f>
        <v>0</v>
      </c>
      <c r="G68" s="1341"/>
      <c r="H68" s="1734">
        <f>+$D$68*H67</f>
        <v>0</v>
      </c>
      <c r="I68" s="1341"/>
      <c r="J68" s="1734">
        <f>+$D$68*J67</f>
        <v>0</v>
      </c>
    </row>
    <row r="69" spans="3:10" s="1489" customFormat="1" ht="24" customHeight="1">
      <c r="C69" s="1735" t="s">
        <v>1658</v>
      </c>
      <c r="D69" s="1717"/>
      <c r="E69" s="1341"/>
      <c r="F69" s="1740">
        <f>+'IVA (TRIM)'!N52</f>
        <v>0</v>
      </c>
      <c r="G69" s="1341"/>
      <c r="H69" s="1741"/>
      <c r="I69" s="1341"/>
      <c r="J69" s="1742">
        <f t="shared" ref="J69:J70" si="21">+F69-H69</f>
        <v>0</v>
      </c>
    </row>
    <row r="70" spans="3:10" s="1489" customFormat="1" ht="24" customHeight="1">
      <c r="C70" s="1735" t="s">
        <v>1026</v>
      </c>
      <c r="D70" s="1717"/>
      <c r="E70" s="1341"/>
      <c r="F70" s="1736">
        <f>+'IVA (TRIM)'!N53</f>
        <v>0</v>
      </c>
      <c r="G70" s="1341"/>
      <c r="H70" s="1744"/>
      <c r="I70" s="1341"/>
      <c r="J70" s="1745">
        <f t="shared" si="21"/>
        <v>0</v>
      </c>
    </row>
    <row r="71" spans="3:10" s="1489" customFormat="1" ht="12" customHeight="1">
      <c r="E71" s="1566"/>
      <c r="F71" s="1566"/>
      <c r="G71" s="1566"/>
      <c r="H71" s="1566"/>
      <c r="I71" s="1566"/>
      <c r="J71" s="1566"/>
    </row>
    <row r="72" spans="3:10" s="1489" customFormat="1" ht="24" customHeight="1">
      <c r="C72" s="1369" t="s">
        <v>1030</v>
      </c>
      <c r="E72" s="1566"/>
      <c r="F72" s="1716">
        <f>+F68-F70+F69</f>
        <v>0</v>
      </c>
      <c r="G72" s="1566"/>
      <c r="H72" s="1716">
        <f>+H68-H70+H69</f>
        <v>0</v>
      </c>
      <c r="I72" s="1566"/>
      <c r="J72" s="1716">
        <f>+J68-J70+J69</f>
        <v>0</v>
      </c>
    </row>
    <row r="73" spans="3:10" s="1489" customFormat="1" ht="24" customHeight="1" outlineLevel="1">
      <c r="C73" s="1735" t="s">
        <v>1027</v>
      </c>
      <c r="E73" s="1740">
        <f>+'IVA (TRIM)'!M56</f>
        <v>0</v>
      </c>
      <c r="F73" s="1341">
        <f>+'IVA (TRIM)'!N56</f>
        <v>0</v>
      </c>
      <c r="G73" s="1741"/>
      <c r="H73" s="1341"/>
      <c r="I73" s="1742">
        <f t="shared" ref="I73:I75" si="22">+E73-G73</f>
        <v>0</v>
      </c>
      <c r="J73" s="1341"/>
    </row>
    <row r="74" spans="3:10" s="1489" customFormat="1" ht="24" customHeight="1" outlineLevel="1">
      <c r="C74" s="1735" t="s">
        <v>1028</v>
      </c>
      <c r="E74" s="1746">
        <f>+'IVA (TRIM)'!M57</f>
        <v>0</v>
      </c>
      <c r="F74" s="1341">
        <f>+'IVA (TRIM)'!N57</f>
        <v>0</v>
      </c>
      <c r="G74" s="1747"/>
      <c r="H74" s="1341"/>
      <c r="I74" s="1748">
        <f t="shared" si="22"/>
        <v>0</v>
      </c>
      <c r="J74" s="1341"/>
    </row>
    <row r="75" spans="3:10" s="1489" customFormat="1" ht="24" customHeight="1" outlineLevel="1">
      <c r="C75" s="1735" t="s">
        <v>1029</v>
      </c>
      <c r="E75" s="1743">
        <f>+'IVA (TRIM)'!M58</f>
        <v>0</v>
      </c>
      <c r="F75" s="1341">
        <f>+'IVA (TRIM)'!N58</f>
        <v>0</v>
      </c>
      <c r="G75" s="1744"/>
      <c r="H75" s="1341"/>
      <c r="I75" s="1745">
        <f t="shared" si="22"/>
        <v>0</v>
      </c>
      <c r="J75" s="1341"/>
    </row>
    <row r="76" spans="3:10" s="1489" customFormat="1" ht="12" customHeight="1">
      <c r="C76" s="1717"/>
      <c r="D76" s="1717"/>
      <c r="E76" s="1733"/>
      <c r="F76" s="1733"/>
      <c r="G76" s="1733"/>
      <c r="H76" s="1733"/>
      <c r="I76" s="1733"/>
      <c r="J76" s="1733"/>
    </row>
    <row r="77" spans="3:10" s="1489" customFormat="1" ht="24" customHeight="1">
      <c r="C77" s="1369" t="s">
        <v>1031</v>
      </c>
      <c r="E77" s="1716">
        <f>+'IVA (TRIM)'!M60</f>
        <v>0</v>
      </c>
      <c r="F77" s="1566"/>
      <c r="G77" s="1716">
        <f>+G39+G40</f>
        <v>0</v>
      </c>
      <c r="H77" s="1566"/>
      <c r="I77" s="1716">
        <f>+E77-G77</f>
        <v>0</v>
      </c>
      <c r="J77" s="1733"/>
    </row>
    <row r="78" spans="3:10" s="1489" customFormat="1" ht="24" customHeight="1">
      <c r="C78" s="1749" t="s">
        <v>1032</v>
      </c>
      <c r="E78" s="1750">
        <f>+'IVA (TRIM)'!M61</f>
        <v>0</v>
      </c>
      <c r="F78" s="1566"/>
      <c r="G78" s="1341"/>
      <c r="H78" s="1566"/>
      <c r="I78" s="1341"/>
      <c r="J78" s="1733"/>
    </row>
    <row r="79" spans="3:10" s="1489" customFormat="1" ht="12" customHeight="1">
      <c r="E79" s="1566"/>
      <c r="F79" s="1566"/>
      <c r="G79" s="1566"/>
      <c r="H79" s="1566"/>
      <c r="I79" s="1566"/>
      <c r="J79" s="1733"/>
    </row>
    <row r="80" spans="3:10" s="1489" customFormat="1" ht="24" customHeight="1">
      <c r="C80" s="1369" t="s">
        <v>1033</v>
      </c>
      <c r="E80" s="1716">
        <f>+'IVA (TRIM)'!M63</f>
        <v>0</v>
      </c>
      <c r="F80" s="1566"/>
      <c r="G80" s="1716">
        <f>+G73</f>
        <v>0</v>
      </c>
      <c r="H80" s="1566"/>
      <c r="I80" s="1716">
        <f>+E80-G80</f>
        <v>0</v>
      </c>
      <c r="J80" s="1733"/>
    </row>
    <row r="81" spans="3:10" s="1489" customFormat="1" ht="24" customHeight="1">
      <c r="C81" s="1749" t="s">
        <v>1034</v>
      </c>
      <c r="E81" s="1750">
        <f>+'IVA (TRIM)'!M64</f>
        <v>0</v>
      </c>
      <c r="F81" s="1566"/>
      <c r="G81" s="1341"/>
      <c r="H81" s="1566"/>
      <c r="I81" s="1341"/>
      <c r="J81" s="1733"/>
    </row>
    <row r="82" spans="3:10" s="1368" customFormat="1" ht="15" customHeight="1"/>
    <row r="83" spans="3:10" s="1368" customFormat="1" ht="15" hidden="1" customHeight="1"/>
    <row r="84" spans="3:10" s="1341" customFormat="1" ht="25.5" customHeight="1">
      <c r="C84" s="1369" t="s">
        <v>1537</v>
      </c>
      <c r="D84" s="1369" t="s">
        <v>1539</v>
      </c>
      <c r="E84" s="1750">
        <f>+'IVA (TRIM)'!M66</f>
        <v>0</v>
      </c>
      <c r="F84" s="1750">
        <f>+'IVA (TRIM)'!N66</f>
        <v>0</v>
      </c>
      <c r="G84" s="1750"/>
      <c r="H84" s="1750"/>
      <c r="I84" s="1716">
        <f>+E84-G84</f>
        <v>0</v>
      </c>
      <c r="J84" s="1716">
        <f>+F84-H84</f>
        <v>0</v>
      </c>
    </row>
    <row r="85" spans="3:10" s="1341" customFormat="1" ht="25.5" customHeight="1"/>
    <row r="86" spans="3:10" s="1341" customFormat="1" ht="25.5" customHeight="1">
      <c r="C86" s="1369" t="s">
        <v>1537</v>
      </c>
      <c r="D86" s="1369" t="s">
        <v>1538</v>
      </c>
      <c r="E86" s="1750">
        <f>+'IVA (TRIM)'!M68</f>
        <v>0</v>
      </c>
      <c r="F86" s="1750">
        <f>+'IVA (TRIM)'!N68</f>
        <v>0</v>
      </c>
      <c r="G86" s="1750"/>
      <c r="H86" s="1750"/>
      <c r="I86" s="1716">
        <f>+E86-G86</f>
        <v>0</v>
      </c>
      <c r="J86" s="1716">
        <f>+F86-H86</f>
        <v>0</v>
      </c>
    </row>
    <row r="87" spans="3:10" s="1341" customFormat="1" ht="15" customHeight="1"/>
    <row r="88" spans="3:10" s="1341" customFormat="1" ht="15" customHeight="1"/>
    <row r="89" spans="3:10" s="1341" customFormat="1" ht="15" customHeight="1"/>
    <row r="90" spans="3:10" s="1341" customFormat="1" ht="15" customHeight="1"/>
    <row r="91" spans="3:10" s="1341" customFormat="1" ht="15" customHeight="1"/>
    <row r="92" spans="3:10" s="1341" customFormat="1" ht="15" customHeight="1"/>
    <row r="93" spans="3:10" ht="15" customHeight="1"/>
    <row r="94" spans="3:10" ht="15" customHeight="1"/>
    <row r="95" spans="3:10" ht="15" customHeight="1"/>
    <row r="96" spans="3:10" ht="15" customHeight="1"/>
    <row r="97" ht="15" customHeight="1"/>
    <row r="98" ht="15" customHeight="1"/>
    <row r="99" ht="15" customHeight="1"/>
    <row r="100" ht="15" customHeight="1"/>
  </sheetData>
  <mergeCells count="34">
    <mergeCell ref="C41:D41"/>
    <mergeCell ref="C59:D59"/>
    <mergeCell ref="C60:D60"/>
    <mergeCell ref="C42:D42"/>
    <mergeCell ref="C56:D56"/>
    <mergeCell ref="C57:D57"/>
    <mergeCell ref="C61:D61"/>
    <mergeCell ref="C62:D62"/>
    <mergeCell ref="C58:D58"/>
    <mergeCell ref="I16:J16"/>
    <mergeCell ref="C43:C45"/>
    <mergeCell ref="C46:D46"/>
    <mergeCell ref="C50:D50"/>
    <mergeCell ref="E16:F16"/>
    <mergeCell ref="G16:H16"/>
    <mergeCell ref="C51:D51"/>
    <mergeCell ref="C52:D52"/>
    <mergeCell ref="C53:D53"/>
    <mergeCell ref="C54:D54"/>
    <mergeCell ref="C55:D55"/>
    <mergeCell ref="C39:D39"/>
    <mergeCell ref="C25:C31"/>
    <mergeCell ref="K16:K17"/>
    <mergeCell ref="C5:D5"/>
    <mergeCell ref="E5:G5"/>
    <mergeCell ref="C7:D7"/>
    <mergeCell ref="E7:G7"/>
    <mergeCell ref="C13:D13"/>
    <mergeCell ref="C18:C24"/>
    <mergeCell ref="K39:K40"/>
    <mergeCell ref="C40:D40"/>
    <mergeCell ref="I39:I40"/>
    <mergeCell ref="J39:J40"/>
    <mergeCell ref="C32:C38"/>
  </mergeCells>
  <conditionalFormatting sqref="J47">
    <cfRule type="expression" dxfId="196" priority="6">
      <formula>J47&lt;&gt;0</formula>
    </cfRule>
  </conditionalFormatting>
  <conditionalFormatting sqref="J63">
    <cfRule type="expression" dxfId="195" priority="5">
      <formula>J63&lt;&gt;0</formula>
    </cfRule>
  </conditionalFormatting>
  <conditionalFormatting sqref="I77">
    <cfRule type="expression" dxfId="194" priority="4">
      <formula>I77&lt;&gt;0</formula>
    </cfRule>
  </conditionalFormatting>
  <conditionalFormatting sqref="I80">
    <cfRule type="expression" dxfId="193" priority="3">
      <formula>I80&lt;&gt;0</formula>
    </cfRule>
  </conditionalFormatting>
  <conditionalFormatting sqref="I84:J84">
    <cfRule type="expression" dxfId="192" priority="2">
      <formula>I84&lt;&gt;0</formula>
    </cfRule>
  </conditionalFormatting>
  <conditionalFormatting sqref="I86:J86">
    <cfRule type="expression" dxfId="191" priority="1">
      <formula>I86&lt;&gt;0</formula>
    </cfRule>
  </conditionalFormatting>
  <dataValidations count="2">
    <dataValidation allowBlank="1" showInputMessage="1" showErrorMessage="1" promptTitle="B.I." prompt="Base Imponible" sqref="G17 I17 E17" xr:uid="{4BD462BE-B77E-4402-963E-DDEF7D6815EA}"/>
    <dataValidation allowBlank="1" showInputMessage="1" showErrorMessage="1" prompt="Operaciones no sujetas o con inversión del sujeto pasivo que originan el derecho a deducción" sqref="C75" xr:uid="{4A028759-B191-446D-B28C-96C98CA14B5C}"/>
  </dataValidations>
  <pageMargins left="0.23622047244094491" right="0.23622047244094491" top="0.74803149606299213" bottom="0.74803149606299213" header="0.31496062992125984" footer="0.31496062992125984"/>
  <pageSetup paperSize="9" scale="38" orientation="landscape" r:id="rId1"/>
  <colBreaks count="1" manualBreakCount="1">
    <brk id="16" min="4" max="110" man="1"/>
  </colBreaks>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locked="0" defaultSize="0" print="0" autoFill="0" autoPict="0" macro="[0]!borrarivachecktrimestral">
                <anchor moveWithCells="1" sizeWithCells="1">
                  <from>
                    <xdr:col>5</xdr:col>
                    <xdr:colOff>426720</xdr:colOff>
                    <xdr:row>8</xdr:row>
                    <xdr:rowOff>190500</xdr:rowOff>
                  </from>
                  <to>
                    <xdr:col>6</xdr:col>
                    <xdr:colOff>838200</xdr:colOff>
                    <xdr:row>12</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3">
    <pageSetUpPr autoPageBreaks="0"/>
  </sheetPr>
  <dimension ref="A1:AF200"/>
  <sheetViews>
    <sheetView showGridLines="0" showRowColHeaders="0" showZeros="0" zoomScale="70" zoomScaleNormal="70" zoomScaleSheetLayoutView="55" zoomScalePageLayoutView="55" workbookViewId="0">
      <pane xSplit="3" ySplit="17" topLeftCell="D182" activePane="bottomRight" state="frozen"/>
      <selection activeCell="G9" sqref="G9"/>
      <selection pane="topRight" activeCell="G9" sqref="G9"/>
      <selection pane="bottomLeft" activeCell="G9" sqref="G9"/>
      <selection pane="bottomRight" activeCell="M188" sqref="M188:N188"/>
    </sheetView>
  </sheetViews>
  <sheetFormatPr baseColWidth="10" defaultColWidth="0" defaultRowHeight="15" customHeight="1" zeroHeight="1" outlineLevelRow="2"/>
  <cols>
    <col min="1" max="2" width="2" customWidth="1"/>
    <col min="3" max="3" width="21.44140625" customWidth="1"/>
    <col min="4" max="4" width="50.5546875" customWidth="1"/>
    <col min="5" max="10" width="20.5546875" customWidth="1"/>
    <col min="11" max="11" width="2" customWidth="1"/>
    <col min="12" max="12" width="59" customWidth="1"/>
    <col min="13" max="18" width="23" customWidth="1"/>
    <col min="19" max="19" width="5" customWidth="1"/>
    <col min="20" max="32" width="16" hidden="1" customWidth="1"/>
    <col min="33" max="16384" width="13" hidden="1"/>
  </cols>
  <sheetData>
    <row r="1" spans="3:18" ht="15" customHeight="1"/>
    <row r="2" spans="3:18" ht="9" customHeight="1"/>
    <row r="3" spans="3:18" ht="5.25" customHeight="1">
      <c r="C3" s="1"/>
      <c r="D3" s="1"/>
    </row>
    <row r="4" spans="3:18" ht="5.25" customHeight="1"/>
    <row r="5" spans="3:18" ht="21">
      <c r="C5" s="2252" t="str">
        <f>+MENU!C5</f>
        <v>Sociedad:</v>
      </c>
      <c r="D5" s="2253"/>
      <c r="E5" s="2254" t="str">
        <f>+MENU!E5</f>
        <v>MARIO PILATO BLAT, S.A.</v>
      </c>
      <c r="F5" s="2255"/>
      <c r="G5" s="2255"/>
      <c r="K5" s="40"/>
      <c r="L5" s="40"/>
    </row>
    <row r="6" spans="3:18" ht="12.75" customHeight="1">
      <c r="C6" s="218"/>
      <c r="D6" s="218"/>
      <c r="E6" s="218"/>
      <c r="F6" s="218"/>
      <c r="G6" s="218"/>
    </row>
    <row r="7" spans="3:18" ht="21">
      <c r="C7" s="220" t="str">
        <f>+instrucciones!$C$7</f>
        <v>Fecha de cierre</v>
      </c>
      <c r="D7" s="220"/>
      <c r="E7" s="2256">
        <f>+MENU!D7</f>
        <v>45657</v>
      </c>
      <c r="F7" s="2256"/>
      <c r="G7" s="2256"/>
      <c r="J7" s="34"/>
    </row>
    <row r="8" spans="3:18" ht="15" customHeight="1">
      <c r="C8" s="2"/>
      <c r="D8" s="2"/>
      <c r="F8" s="3"/>
      <c r="G8" s="3"/>
      <c r="H8" s="3"/>
      <c r="I8" s="3"/>
      <c r="J8" s="3"/>
      <c r="K8" s="3"/>
      <c r="L8" s="3"/>
    </row>
    <row r="9" spans="3:18" ht="15" customHeight="1"/>
    <row r="10" spans="3:18" ht="5.25" customHeight="1">
      <c r="F10" s="219"/>
    </row>
    <row r="11" spans="3:18" ht="5.25" customHeight="1"/>
    <row r="12" spans="3:18" ht="6" customHeight="1"/>
    <row r="13" spans="3:18" s="1341" customFormat="1" ht="22.5" customHeight="1">
      <c r="C13" s="1777" t="s">
        <v>1043</v>
      </c>
      <c r="D13" s="1778"/>
    </row>
    <row r="14" spans="3:18" s="1341" customFormat="1" ht="6" customHeight="1"/>
    <row r="15" spans="3:18" s="1489" customFormat="1" ht="21" customHeight="1">
      <c r="C15" s="1779"/>
      <c r="D15" s="1779"/>
      <c r="E15" s="2546" t="s">
        <v>1040</v>
      </c>
      <c r="F15" s="2546"/>
      <c r="G15" s="2546"/>
      <c r="H15" s="2546"/>
      <c r="I15" s="2546"/>
      <c r="J15" s="2546"/>
      <c r="L15" s="1780"/>
      <c r="M15" s="2546" t="s">
        <v>1045</v>
      </c>
      <c r="N15" s="2546"/>
      <c r="O15" s="2546"/>
      <c r="P15" s="2546"/>
      <c r="Q15" s="2546"/>
      <c r="R15" s="2546"/>
    </row>
    <row r="16" spans="3:18" s="1489" customFormat="1" ht="21" customHeight="1">
      <c r="C16" s="1488"/>
      <c r="D16" s="1488"/>
      <c r="E16" s="2546" t="s">
        <v>1041</v>
      </c>
      <c r="F16" s="2546"/>
      <c r="G16" s="2546" t="s">
        <v>1042</v>
      </c>
      <c r="H16" s="2546"/>
      <c r="I16" s="2546" t="s">
        <v>935</v>
      </c>
      <c r="J16" s="2546"/>
      <c r="L16" s="1780"/>
      <c r="M16" s="2546" t="s">
        <v>1041</v>
      </c>
      <c r="N16" s="2546"/>
      <c r="O16" s="2546" t="s">
        <v>1042</v>
      </c>
      <c r="P16" s="2546"/>
      <c r="Q16" s="2546" t="s">
        <v>935</v>
      </c>
      <c r="R16" s="2546"/>
    </row>
    <row r="17" spans="3:18" s="1489" customFormat="1" ht="21" customHeight="1">
      <c r="C17" s="1385" t="s">
        <v>1044</v>
      </c>
      <c r="D17" s="1385" t="s">
        <v>985</v>
      </c>
      <c r="E17" s="1385" t="s">
        <v>1011</v>
      </c>
      <c r="F17" s="1385" t="s">
        <v>933</v>
      </c>
      <c r="G17" s="1385" t="s">
        <v>1011</v>
      </c>
      <c r="H17" s="1385" t="s">
        <v>933</v>
      </c>
      <c r="I17" s="1385" t="s">
        <v>1011</v>
      </c>
      <c r="J17" s="1385" t="s">
        <v>933</v>
      </c>
      <c r="L17" s="1385" t="s">
        <v>985</v>
      </c>
      <c r="M17" s="1385" t="s">
        <v>1011</v>
      </c>
      <c r="N17" s="1385" t="s">
        <v>933</v>
      </c>
      <c r="O17" s="1385" t="s">
        <v>1011</v>
      </c>
      <c r="P17" s="1385" t="s">
        <v>933</v>
      </c>
      <c r="Q17" s="1385" t="s">
        <v>1011</v>
      </c>
      <c r="R17" s="1385" t="s">
        <v>933</v>
      </c>
    </row>
    <row r="18" spans="3:18" s="1368" customFormat="1" ht="15" hidden="1" customHeight="1"/>
    <row r="19" spans="3:18" s="1341" customFormat="1" ht="15" customHeight="1"/>
    <row r="20" spans="3:18" s="1341" customFormat="1" ht="27" customHeight="1" outlineLevel="1">
      <c r="C20" s="2542" t="s">
        <v>999</v>
      </c>
      <c r="D20" s="1781" t="s">
        <v>1046</v>
      </c>
      <c r="E20" s="1782"/>
      <c r="F20" s="1783"/>
      <c r="G20" s="1784">
        <f>+MESIVA!E$36</f>
        <v>1078058.1200000001</v>
      </c>
      <c r="H20" s="1785">
        <f>+MESIVA!F$36</f>
        <v>225586.99</v>
      </c>
      <c r="I20" s="1786">
        <f>+E20-G20</f>
        <v>-1078058.1200000001</v>
      </c>
      <c r="J20" s="1787">
        <f t="shared" ref="J20:J83" si="0">+F20-H20</f>
        <v>-225586.99</v>
      </c>
      <c r="K20" s="1363"/>
      <c r="L20" s="1788" t="s">
        <v>1013</v>
      </c>
      <c r="M20" s="1782"/>
      <c r="N20" s="1783"/>
      <c r="O20" s="1784">
        <f>+SUM(MESIVA!E$18:E$24)</f>
        <v>4594777.84</v>
      </c>
      <c r="P20" s="1785">
        <f>+SUM(MESIVA!F$18:F$24)</f>
        <v>964903.4</v>
      </c>
      <c r="Q20" s="1786">
        <f>+M20-O20</f>
        <v>-4594777.84</v>
      </c>
      <c r="R20" s="1787">
        <f>+N20-P20</f>
        <v>-964903.4</v>
      </c>
    </row>
    <row r="21" spans="3:18" s="1341" customFormat="1" ht="27" customHeight="1" outlineLevel="1">
      <c r="C21" s="2537"/>
      <c r="D21" s="1789" t="s">
        <v>1048</v>
      </c>
      <c r="E21" s="1790"/>
      <c r="F21" s="1791"/>
      <c r="G21" s="1792">
        <f>+MESIVA!E$38</f>
        <v>5218425.3</v>
      </c>
      <c r="H21" s="1793">
        <f>+MESIVA!F$38</f>
        <v>1095869.32</v>
      </c>
      <c r="I21" s="1794">
        <f t="shared" ref="I21:J84" si="1">+E21-G21</f>
        <v>-5218425.3</v>
      </c>
      <c r="J21" s="1795">
        <f t="shared" si="0"/>
        <v>-1095869.32</v>
      </c>
      <c r="K21" s="1363"/>
      <c r="L21" s="1796" t="s">
        <v>1051</v>
      </c>
      <c r="M21" s="1790">
        <f>+E22</f>
        <v>0</v>
      </c>
      <c r="N21" s="1791">
        <f>+F22</f>
        <v>0</v>
      </c>
      <c r="O21" s="1792">
        <f>+MESIVA!E$25</f>
        <v>12374.6</v>
      </c>
      <c r="P21" s="1793">
        <f>+MESIVA!F$25</f>
        <v>2598.67</v>
      </c>
      <c r="Q21" s="1794">
        <f t="shared" ref="Q21:R84" si="2">+M21-O21</f>
        <v>-12374.6</v>
      </c>
      <c r="R21" s="1795">
        <f t="shared" si="2"/>
        <v>-2598.67</v>
      </c>
    </row>
    <row r="22" spans="3:18" s="1341" customFormat="1" ht="27" customHeight="1" outlineLevel="1">
      <c r="C22" s="2537"/>
      <c r="D22" s="1789" t="s">
        <v>1049</v>
      </c>
      <c r="E22" s="1790"/>
      <c r="F22" s="1791"/>
      <c r="G22" s="1792">
        <f>+MESIVA!E$40</f>
        <v>12374.6</v>
      </c>
      <c r="H22" s="1793">
        <f>+MESIVA!F$40</f>
        <v>2598.67</v>
      </c>
      <c r="I22" s="1794">
        <f t="shared" si="1"/>
        <v>-12374.6</v>
      </c>
      <c r="J22" s="1795">
        <f t="shared" si="0"/>
        <v>-2598.67</v>
      </c>
      <c r="K22" s="1363"/>
      <c r="L22" s="1796" t="s">
        <v>1649</v>
      </c>
      <c r="M22" s="1790"/>
      <c r="N22" s="1791"/>
      <c r="O22" s="1792">
        <f>+MESIVA!$E$26</f>
        <v>530072.13</v>
      </c>
      <c r="P22" s="1792">
        <f>+MESIVA!$F$26</f>
        <v>111315.15</v>
      </c>
      <c r="Q22" s="1794">
        <f t="shared" si="2"/>
        <v>-530072.13</v>
      </c>
      <c r="R22" s="1795">
        <f t="shared" si="2"/>
        <v>-111315.15</v>
      </c>
    </row>
    <row r="23" spans="3:18" s="1341" customFormat="1" ht="27" customHeight="1" outlineLevel="1">
      <c r="C23" s="2537"/>
      <c r="D23" s="1789" t="s">
        <v>1023</v>
      </c>
      <c r="E23" s="1790"/>
      <c r="F23" s="1791"/>
      <c r="G23" s="1792">
        <f>+MESIVA!E$43</f>
        <v>0</v>
      </c>
      <c r="H23" s="1793">
        <f>+MESIVA!F$43</f>
        <v>0</v>
      </c>
      <c r="I23" s="1794">
        <f t="shared" si="1"/>
        <v>0</v>
      </c>
      <c r="J23" s="1795">
        <f t="shared" si="0"/>
        <v>0</v>
      </c>
      <c r="K23" s="1363"/>
      <c r="L23" s="1796" t="s">
        <v>1651</v>
      </c>
      <c r="M23" s="1790"/>
      <c r="N23" s="1791"/>
      <c r="O23" s="1792">
        <f>+MESIVA!$E$27</f>
        <v>0</v>
      </c>
      <c r="P23" s="1792">
        <f>+MESIVA!$F$27</f>
        <v>0</v>
      </c>
      <c r="Q23" s="1794">
        <f t="shared" si="2"/>
        <v>0</v>
      </c>
      <c r="R23" s="1795">
        <f t="shared" si="2"/>
        <v>0</v>
      </c>
    </row>
    <row r="24" spans="3:18" s="1341" customFormat="1" ht="27" customHeight="1" outlineLevel="1">
      <c r="C24" s="2537"/>
      <c r="D24" s="1789" t="s">
        <v>1047</v>
      </c>
      <c r="E24" s="1790"/>
      <c r="F24" s="1791"/>
      <c r="G24" s="1792">
        <f>+MESIVA!E$37+MESIVA!E$39+MESIVA!E$41</f>
        <v>70710.94</v>
      </c>
      <c r="H24" s="1793">
        <f>+MESIVA!F$37+MESIVA!F$39+MESIVA!F$41</f>
        <v>14849.3</v>
      </c>
      <c r="I24" s="1794">
        <f t="shared" si="1"/>
        <v>-70710.94</v>
      </c>
      <c r="J24" s="1795">
        <f t="shared" si="0"/>
        <v>-14849.3</v>
      </c>
      <c r="K24" s="1363"/>
      <c r="L24" s="1796" t="s">
        <v>1050</v>
      </c>
      <c r="M24" s="1790"/>
      <c r="N24" s="1791"/>
      <c r="O24" s="1792">
        <f>+SUM(MESIVA!E$28:E$31)</f>
        <v>0</v>
      </c>
      <c r="P24" s="1793">
        <f>+SUM(MESIVA!F$28:F$31)</f>
        <v>0</v>
      </c>
      <c r="Q24" s="1794">
        <f t="shared" si="2"/>
        <v>0</v>
      </c>
      <c r="R24" s="1795">
        <f t="shared" si="2"/>
        <v>0</v>
      </c>
    </row>
    <row r="25" spans="3:18" s="1341" customFormat="1" ht="27" customHeight="1" outlineLevel="1">
      <c r="C25" s="2543"/>
      <c r="D25" s="1632" t="s">
        <v>1652</v>
      </c>
      <c r="E25" s="1797"/>
      <c r="F25" s="1798"/>
      <c r="G25" s="1799">
        <f>+MESIVA!$E$42</f>
        <v>0</v>
      </c>
      <c r="H25" s="1799">
        <f>+MESIVA!$F$42</f>
        <v>0</v>
      </c>
      <c r="I25" s="1800">
        <f t="shared" si="1"/>
        <v>0</v>
      </c>
      <c r="J25" s="1801">
        <f t="shared" si="0"/>
        <v>0</v>
      </c>
      <c r="K25" s="1363"/>
      <c r="L25" s="1802" t="s">
        <v>1650</v>
      </c>
      <c r="M25" s="1797"/>
      <c r="N25" s="1798"/>
      <c r="O25" s="1799">
        <f>+MESIVA!$E$32</f>
        <v>0</v>
      </c>
      <c r="P25" s="1799">
        <f>+MESIVA!$F$32</f>
        <v>0</v>
      </c>
      <c r="Q25" s="1800">
        <f t="shared" si="2"/>
        <v>0</v>
      </c>
      <c r="R25" s="1801">
        <f t="shared" si="2"/>
        <v>0</v>
      </c>
    </row>
    <row r="26" spans="3:18" s="1803" customFormat="1" ht="27" customHeight="1">
      <c r="C26" s="2544" t="s">
        <v>1052</v>
      </c>
      <c r="D26" s="2545"/>
      <c r="E26" s="1804">
        <f>SUM(E20:E25)</f>
        <v>0</v>
      </c>
      <c r="F26" s="1805">
        <f t="shared" ref="F26:H26" si="3">SUM(F20:F25)</f>
        <v>0</v>
      </c>
      <c r="G26" s="1804">
        <f>SUM(G20:G25)</f>
        <v>6379568.96</v>
      </c>
      <c r="H26" s="1805">
        <f t="shared" si="3"/>
        <v>1338904.28</v>
      </c>
      <c r="I26" s="1804">
        <f t="shared" si="1"/>
        <v>-6379568.96</v>
      </c>
      <c r="J26" s="1806">
        <f t="shared" si="0"/>
        <v>-1338904.28</v>
      </c>
      <c r="K26" s="1807"/>
      <c r="L26" s="1808" t="str">
        <f>+C26</f>
        <v>Total periodo Enero</v>
      </c>
      <c r="M26" s="1804">
        <f>SUM(M20:M25)</f>
        <v>0</v>
      </c>
      <c r="N26" s="1805">
        <f t="shared" ref="N26:P26" si="4">SUM(N20:N25)</f>
        <v>0</v>
      </c>
      <c r="O26" s="1804">
        <f t="shared" si="4"/>
        <v>5137224.5699999994</v>
      </c>
      <c r="P26" s="1805">
        <f t="shared" si="4"/>
        <v>1078817.22</v>
      </c>
      <c r="Q26" s="1804">
        <f t="shared" si="2"/>
        <v>-5137224.5699999994</v>
      </c>
      <c r="R26" s="1806">
        <f t="shared" si="2"/>
        <v>-1078817.22</v>
      </c>
    </row>
    <row r="27" spans="3:18" s="1341" customFormat="1" ht="27" customHeight="1" outlineLevel="1">
      <c r="C27" s="2536" t="s">
        <v>1000</v>
      </c>
      <c r="D27" s="1809" t="s">
        <v>1046</v>
      </c>
      <c r="E27" s="1810"/>
      <c r="F27" s="1811"/>
      <c r="G27" s="1812">
        <f>+MESIVA!G$36</f>
        <v>1678950.66</v>
      </c>
      <c r="H27" s="1813">
        <f>+MESIVA!H$36</f>
        <v>296815.73</v>
      </c>
      <c r="I27" s="1814">
        <f t="shared" si="1"/>
        <v>-1678950.66</v>
      </c>
      <c r="J27" s="1815">
        <f t="shared" si="0"/>
        <v>-296815.73</v>
      </c>
      <c r="K27" s="1363"/>
      <c r="L27" s="1788" t="s">
        <v>1013</v>
      </c>
      <c r="M27" s="1782"/>
      <c r="N27" s="1783"/>
      <c r="O27" s="1784">
        <f>+SUM(MESIVA!G$18:G$24)</f>
        <v>6088939</v>
      </c>
      <c r="P27" s="1785">
        <f>+SUM(MESIVA!H$18:H$24)</f>
        <v>1278677.25</v>
      </c>
      <c r="Q27" s="1786">
        <f t="shared" si="2"/>
        <v>-6088939</v>
      </c>
      <c r="R27" s="1787">
        <f t="shared" si="2"/>
        <v>-1278677.25</v>
      </c>
    </row>
    <row r="28" spans="3:18" s="1341" customFormat="1" ht="27" customHeight="1" outlineLevel="1">
      <c r="C28" s="2537"/>
      <c r="D28" s="1789" t="s">
        <v>1048</v>
      </c>
      <c r="E28" s="1790"/>
      <c r="F28" s="1791"/>
      <c r="G28" s="1792">
        <f>+MESIVA!G$38</f>
        <v>4566661.95</v>
      </c>
      <c r="H28" s="1793">
        <f>+MESIVA!H$38</f>
        <v>958999.01</v>
      </c>
      <c r="I28" s="1794">
        <f t="shared" si="1"/>
        <v>-4566661.95</v>
      </c>
      <c r="J28" s="1795">
        <f t="shared" si="0"/>
        <v>-958999.01</v>
      </c>
      <c r="K28" s="1363"/>
      <c r="L28" s="1796" t="s">
        <v>1051</v>
      </c>
      <c r="M28" s="1790">
        <f>+E29</f>
        <v>0</v>
      </c>
      <c r="N28" s="1791">
        <f>+F29</f>
        <v>0</v>
      </c>
      <c r="O28" s="1792">
        <f>+MESIVA!G$25</f>
        <v>78641.66</v>
      </c>
      <c r="P28" s="1793">
        <f>+MESIVA!H$25</f>
        <v>16514.740000000002</v>
      </c>
      <c r="Q28" s="1794">
        <f t="shared" si="2"/>
        <v>-78641.66</v>
      </c>
      <c r="R28" s="1795">
        <f t="shared" si="2"/>
        <v>-16514.740000000002</v>
      </c>
    </row>
    <row r="29" spans="3:18" s="1341" customFormat="1" ht="27" customHeight="1" outlineLevel="1">
      <c r="C29" s="2537"/>
      <c r="D29" s="1789" t="s">
        <v>1049</v>
      </c>
      <c r="E29" s="1790"/>
      <c r="F29" s="1791"/>
      <c r="G29" s="1792">
        <f>+MESIVA!G$40</f>
        <v>78641.66</v>
      </c>
      <c r="H29" s="1793">
        <f>+MESIVA!H$40</f>
        <v>16514.740000000002</v>
      </c>
      <c r="I29" s="1794">
        <f t="shared" si="1"/>
        <v>-78641.66</v>
      </c>
      <c r="J29" s="1795">
        <f t="shared" si="0"/>
        <v>-16514.740000000002</v>
      </c>
      <c r="K29" s="1363"/>
      <c r="L29" s="1796" t="s">
        <v>1649</v>
      </c>
      <c r="M29" s="1790"/>
      <c r="N29" s="1791"/>
      <c r="O29" s="1792">
        <f>+MESIVA!$G$26</f>
        <v>1091295.6100000001</v>
      </c>
      <c r="P29" s="1792">
        <f>+MESIVA!$H$26</f>
        <v>229172.07</v>
      </c>
      <c r="Q29" s="1794">
        <f t="shared" si="2"/>
        <v>-1091295.6100000001</v>
      </c>
      <c r="R29" s="1795">
        <f t="shared" si="2"/>
        <v>-229172.07</v>
      </c>
    </row>
    <row r="30" spans="3:18" s="1341" customFormat="1" ht="27" customHeight="1" outlineLevel="1">
      <c r="C30" s="2537"/>
      <c r="D30" s="1789" t="s">
        <v>1023</v>
      </c>
      <c r="E30" s="1790"/>
      <c r="F30" s="1791"/>
      <c r="G30" s="1792">
        <f>+MESIVA!G$43</f>
        <v>0</v>
      </c>
      <c r="H30" s="1793">
        <f>+MESIVA!H$43</f>
        <v>0</v>
      </c>
      <c r="I30" s="1794">
        <f t="shared" si="1"/>
        <v>0</v>
      </c>
      <c r="J30" s="1795">
        <f t="shared" si="0"/>
        <v>0</v>
      </c>
      <c r="K30" s="1363"/>
      <c r="L30" s="1796" t="s">
        <v>1651</v>
      </c>
      <c r="M30" s="1790"/>
      <c r="N30" s="1791"/>
      <c r="O30" s="1792">
        <f>+MESIVA!$G$27</f>
        <v>0</v>
      </c>
      <c r="P30" s="1792">
        <f>+MESIVA!$H$27</f>
        <v>0</v>
      </c>
      <c r="Q30" s="1794">
        <f t="shared" si="2"/>
        <v>0</v>
      </c>
      <c r="R30" s="1795">
        <f t="shared" si="2"/>
        <v>0</v>
      </c>
    </row>
    <row r="31" spans="3:18" s="1341" customFormat="1" ht="27" customHeight="1" outlineLevel="1">
      <c r="C31" s="2537"/>
      <c r="D31" s="1789" t="s">
        <v>1047</v>
      </c>
      <c r="E31" s="1790"/>
      <c r="F31" s="1791"/>
      <c r="G31" s="1792">
        <f>+MESIVA!G$37+MESIVA!G$39+MESIVA!G$41</f>
        <v>260992.16</v>
      </c>
      <c r="H31" s="1793">
        <f>+MESIVA!H$37+MESIVA!H$39+MESIVA!H$41</f>
        <v>54808.36</v>
      </c>
      <c r="I31" s="1794">
        <f t="shared" si="1"/>
        <v>-260992.16</v>
      </c>
      <c r="J31" s="1795">
        <f t="shared" si="0"/>
        <v>-54808.36</v>
      </c>
      <c r="K31" s="1363"/>
      <c r="L31" s="1796" t="s">
        <v>1050</v>
      </c>
      <c r="M31" s="1790"/>
      <c r="N31" s="1791"/>
      <c r="O31" s="1792">
        <f>+SUM(MESIVA!G$28:G$31)</f>
        <v>0</v>
      </c>
      <c r="P31" s="1793">
        <f>+SUM(MESIVA!H$28:H$31)</f>
        <v>0</v>
      </c>
      <c r="Q31" s="1794">
        <f t="shared" si="2"/>
        <v>0</v>
      </c>
      <c r="R31" s="1795">
        <f t="shared" si="2"/>
        <v>0</v>
      </c>
    </row>
    <row r="32" spans="3:18" s="1341" customFormat="1" ht="27" customHeight="1" outlineLevel="1">
      <c r="C32" s="2538"/>
      <c r="D32" s="1816" t="s">
        <v>1652</v>
      </c>
      <c r="E32" s="1817"/>
      <c r="F32" s="1818"/>
      <c r="G32" s="1799">
        <f>+MESIVA!$G$42</f>
        <v>0</v>
      </c>
      <c r="H32" s="1799">
        <f>+MESIVA!$H$42</f>
        <v>0</v>
      </c>
      <c r="I32" s="1819">
        <f t="shared" si="1"/>
        <v>0</v>
      </c>
      <c r="J32" s="1820">
        <f t="shared" si="0"/>
        <v>0</v>
      </c>
      <c r="K32" s="1363"/>
      <c r="L32" s="1802" t="s">
        <v>1650</v>
      </c>
      <c r="M32" s="1797"/>
      <c r="N32" s="1798"/>
      <c r="O32" s="1799">
        <f>+MESIVA!$G$32</f>
        <v>0</v>
      </c>
      <c r="P32" s="1799">
        <f>+MESIVA!$H$32</f>
        <v>0</v>
      </c>
      <c r="Q32" s="1800">
        <f t="shared" si="2"/>
        <v>0</v>
      </c>
      <c r="R32" s="1801">
        <f t="shared" si="2"/>
        <v>0</v>
      </c>
    </row>
    <row r="33" spans="3:18" s="1803" customFormat="1" ht="27" customHeight="1">
      <c r="C33" s="2534" t="s">
        <v>1053</v>
      </c>
      <c r="D33" s="2535"/>
      <c r="E33" s="1804">
        <f>SUM(E27:E32)</f>
        <v>0</v>
      </c>
      <c r="F33" s="1805">
        <f t="shared" ref="F33:H33" si="5">SUM(F27:F32)</f>
        <v>0</v>
      </c>
      <c r="G33" s="1804">
        <f t="shared" si="5"/>
        <v>6585246.4300000006</v>
      </c>
      <c r="H33" s="1805">
        <f t="shared" si="5"/>
        <v>1327137.8400000001</v>
      </c>
      <c r="I33" s="1804">
        <f t="shared" si="1"/>
        <v>-6585246.4300000006</v>
      </c>
      <c r="J33" s="1806">
        <f t="shared" si="0"/>
        <v>-1327137.8400000001</v>
      </c>
      <c r="K33" s="1807"/>
      <c r="L33" s="1821" t="str">
        <f>+C33</f>
        <v>Total periodo Febrero</v>
      </c>
      <c r="M33" s="1804">
        <f>SUM(M27:M32)</f>
        <v>0</v>
      </c>
      <c r="N33" s="1805">
        <f t="shared" ref="N33:P33" si="6">SUM(N27:N32)</f>
        <v>0</v>
      </c>
      <c r="O33" s="1804">
        <f t="shared" si="6"/>
        <v>7258876.2700000005</v>
      </c>
      <c r="P33" s="1805">
        <f t="shared" si="6"/>
        <v>1524364.06</v>
      </c>
      <c r="Q33" s="1804">
        <f t="shared" si="2"/>
        <v>-7258876.2700000005</v>
      </c>
      <c r="R33" s="1806">
        <f t="shared" si="2"/>
        <v>-1524364.06</v>
      </c>
    </row>
    <row r="34" spans="3:18" s="1341" customFormat="1" ht="27" customHeight="1" outlineLevel="1">
      <c r="C34" s="2536" t="s">
        <v>1001</v>
      </c>
      <c r="D34" s="1809" t="s">
        <v>1046</v>
      </c>
      <c r="E34" s="1810"/>
      <c r="F34" s="1811"/>
      <c r="G34" s="1812">
        <f>+MESIVA!I$36</f>
        <v>969738.67</v>
      </c>
      <c r="H34" s="1813">
        <f>+MESIVA!J$36</f>
        <v>194315.86</v>
      </c>
      <c r="I34" s="1814">
        <f t="shared" si="1"/>
        <v>-969738.67</v>
      </c>
      <c r="J34" s="1815">
        <f t="shared" si="0"/>
        <v>-194315.86</v>
      </c>
      <c r="K34" s="1363"/>
      <c r="L34" s="1788" t="s">
        <v>1013</v>
      </c>
      <c r="M34" s="1782"/>
      <c r="N34" s="1783"/>
      <c r="O34" s="1784">
        <f>+SUM(MESIVA!I$18:I$24)</f>
        <v>5459281.0099999998</v>
      </c>
      <c r="P34" s="1785">
        <f>+SUM(MESIVA!J$18:J$24)</f>
        <v>1146449.07</v>
      </c>
      <c r="Q34" s="1786">
        <f t="shared" si="2"/>
        <v>-5459281.0099999998</v>
      </c>
      <c r="R34" s="1787">
        <f t="shared" si="2"/>
        <v>-1146449.07</v>
      </c>
    </row>
    <row r="35" spans="3:18" s="1341" customFormat="1" ht="27" customHeight="1" outlineLevel="1">
      <c r="C35" s="2537"/>
      <c r="D35" s="1789" t="s">
        <v>1048</v>
      </c>
      <c r="E35" s="1790"/>
      <c r="F35" s="1791"/>
      <c r="G35" s="1792">
        <f>+MESIVA!I$38</f>
        <v>240720.02</v>
      </c>
      <c r="H35" s="1793">
        <f>+MESIVA!J$38</f>
        <v>50551.199999999997</v>
      </c>
      <c r="I35" s="1794">
        <f t="shared" si="1"/>
        <v>-240720.02</v>
      </c>
      <c r="J35" s="1795">
        <f t="shared" si="0"/>
        <v>-50551.199999999997</v>
      </c>
      <c r="K35" s="1363"/>
      <c r="L35" s="1796" t="s">
        <v>1051</v>
      </c>
      <c r="M35" s="1790">
        <f>+E36</f>
        <v>0</v>
      </c>
      <c r="N35" s="1791">
        <f>+F36</f>
        <v>0</v>
      </c>
      <c r="O35" s="1792">
        <f>+MESIVA!I$25</f>
        <v>10775.1</v>
      </c>
      <c r="P35" s="1793">
        <f>+MESIVA!J$25</f>
        <v>2262.77</v>
      </c>
      <c r="Q35" s="1794">
        <f t="shared" si="2"/>
        <v>-10775.1</v>
      </c>
      <c r="R35" s="1795">
        <f t="shared" si="2"/>
        <v>-2262.77</v>
      </c>
    </row>
    <row r="36" spans="3:18" s="1341" customFormat="1" ht="27" customHeight="1" outlineLevel="1">
      <c r="C36" s="2537"/>
      <c r="D36" s="1789" t="s">
        <v>1049</v>
      </c>
      <c r="E36" s="1790"/>
      <c r="F36" s="1791"/>
      <c r="G36" s="1792">
        <f>+MESIVA!I$40</f>
        <v>20295.099999999999</v>
      </c>
      <c r="H36" s="1793">
        <f>+MESIVA!J$40</f>
        <v>2262.77</v>
      </c>
      <c r="I36" s="1794">
        <f t="shared" si="1"/>
        <v>-20295.099999999999</v>
      </c>
      <c r="J36" s="1795">
        <f t="shared" si="0"/>
        <v>-2262.77</v>
      </c>
      <c r="K36" s="1363"/>
      <c r="L36" s="1796" t="s">
        <v>1649</v>
      </c>
      <c r="M36" s="1790"/>
      <c r="N36" s="1791"/>
      <c r="O36" s="1792">
        <f>+MESIVA!$I$26</f>
        <v>513603.99</v>
      </c>
      <c r="P36" s="1792">
        <f>+MESIVA!$J$26</f>
        <v>107856.83</v>
      </c>
      <c r="Q36" s="1794">
        <f t="shared" si="2"/>
        <v>-513603.99</v>
      </c>
      <c r="R36" s="1795">
        <f t="shared" si="2"/>
        <v>-107856.83</v>
      </c>
    </row>
    <row r="37" spans="3:18" s="1341" customFormat="1" ht="27" customHeight="1" outlineLevel="1">
      <c r="C37" s="2537"/>
      <c r="D37" s="1789" t="s">
        <v>1023</v>
      </c>
      <c r="E37" s="1790"/>
      <c r="F37" s="1791"/>
      <c r="G37" s="1792">
        <f>+MESIVA!I$43</f>
        <v>0</v>
      </c>
      <c r="H37" s="1793">
        <f>+MESIVA!J$43</f>
        <v>0</v>
      </c>
      <c r="I37" s="1794">
        <f t="shared" si="1"/>
        <v>0</v>
      </c>
      <c r="J37" s="1795">
        <f t="shared" si="0"/>
        <v>0</v>
      </c>
      <c r="K37" s="1363"/>
      <c r="L37" s="1796" t="s">
        <v>1651</v>
      </c>
      <c r="M37" s="1790"/>
      <c r="N37" s="1791"/>
      <c r="O37" s="1792">
        <f>+MESIVA!$I$27</f>
        <v>0</v>
      </c>
      <c r="P37" s="1792">
        <f>+MESIVA!$J$27</f>
        <v>0</v>
      </c>
      <c r="Q37" s="1794">
        <f t="shared" si="2"/>
        <v>0</v>
      </c>
      <c r="R37" s="1795">
        <f t="shared" si="2"/>
        <v>0</v>
      </c>
    </row>
    <row r="38" spans="3:18" s="1341" customFormat="1" ht="27" customHeight="1" outlineLevel="1">
      <c r="C38" s="2537"/>
      <c r="D38" s="1789" t="s">
        <v>1047</v>
      </c>
      <c r="E38" s="1790"/>
      <c r="F38" s="1791"/>
      <c r="G38" s="1792">
        <f>+MESIVA!I$37+MESIVA!I$39+MESIVA!I$41</f>
        <v>40733.69</v>
      </c>
      <c r="H38" s="1793">
        <f>+MESIVA!J$37+MESIVA!J$39+MESIVA!J$41</f>
        <v>8554.08</v>
      </c>
      <c r="I38" s="1794">
        <f t="shared" si="1"/>
        <v>-40733.69</v>
      </c>
      <c r="J38" s="1795">
        <f t="shared" si="0"/>
        <v>-8554.08</v>
      </c>
      <c r="K38" s="1363"/>
      <c r="L38" s="1796" t="s">
        <v>1050</v>
      </c>
      <c r="M38" s="1790"/>
      <c r="N38" s="1791"/>
      <c r="O38" s="1792">
        <f>+SUM(MESIVA!I$28:I$31)</f>
        <v>0</v>
      </c>
      <c r="P38" s="1793">
        <f>+SUM(MESIVA!J$28:J$31)</f>
        <v>0</v>
      </c>
      <c r="Q38" s="1794">
        <f t="shared" si="2"/>
        <v>0</v>
      </c>
      <c r="R38" s="1795">
        <f t="shared" si="2"/>
        <v>0</v>
      </c>
    </row>
    <row r="39" spans="3:18" s="1341" customFormat="1" ht="27" customHeight="1" outlineLevel="1">
      <c r="C39" s="2538"/>
      <c r="D39" s="1816" t="s">
        <v>1652</v>
      </c>
      <c r="E39" s="1817"/>
      <c r="F39" s="1818"/>
      <c r="G39" s="1799">
        <f>+MESIVA!$I$42</f>
        <v>0</v>
      </c>
      <c r="H39" s="1799">
        <f>+MESIVA!$J$42</f>
        <v>0</v>
      </c>
      <c r="I39" s="1819">
        <f t="shared" si="1"/>
        <v>0</v>
      </c>
      <c r="J39" s="1820">
        <f t="shared" si="0"/>
        <v>0</v>
      </c>
      <c r="K39" s="1363"/>
      <c r="L39" s="1802" t="s">
        <v>1650</v>
      </c>
      <c r="M39" s="1797"/>
      <c r="N39" s="1798"/>
      <c r="O39" s="1799">
        <f>+MESIVA!$I$32</f>
        <v>0</v>
      </c>
      <c r="P39" s="1799">
        <f>+MESIVA!$J$32</f>
        <v>0</v>
      </c>
      <c r="Q39" s="1800">
        <f t="shared" si="2"/>
        <v>0</v>
      </c>
      <c r="R39" s="1801">
        <f t="shared" si="2"/>
        <v>0</v>
      </c>
    </row>
    <row r="40" spans="3:18" s="1803" customFormat="1" ht="27" customHeight="1">
      <c r="C40" s="2534" t="s">
        <v>1054</v>
      </c>
      <c r="D40" s="2535"/>
      <c r="E40" s="1804">
        <f>SUM(E34:E39)</f>
        <v>0</v>
      </c>
      <c r="F40" s="1805">
        <f t="shared" ref="F40:H40" si="7">SUM(F34:F39)</f>
        <v>0</v>
      </c>
      <c r="G40" s="1804">
        <f t="shared" si="7"/>
        <v>1271487.48</v>
      </c>
      <c r="H40" s="1805">
        <f t="shared" si="7"/>
        <v>255683.90999999997</v>
      </c>
      <c r="I40" s="1804">
        <f t="shared" si="1"/>
        <v>-1271487.48</v>
      </c>
      <c r="J40" s="1806">
        <f t="shared" si="0"/>
        <v>-255683.90999999997</v>
      </c>
      <c r="K40" s="1807"/>
      <c r="L40" s="1821" t="str">
        <f>+C40</f>
        <v>Total periodo Marzo</v>
      </c>
      <c r="M40" s="1804">
        <f>SUM(M34:M39)</f>
        <v>0</v>
      </c>
      <c r="N40" s="1805">
        <f t="shared" ref="N40:P40" si="8">SUM(N34:N39)</f>
        <v>0</v>
      </c>
      <c r="O40" s="1804">
        <f t="shared" si="8"/>
        <v>5983660.0999999996</v>
      </c>
      <c r="P40" s="1805">
        <f t="shared" si="8"/>
        <v>1256568.6700000002</v>
      </c>
      <c r="Q40" s="1804">
        <f t="shared" si="2"/>
        <v>-5983660.0999999996</v>
      </c>
      <c r="R40" s="1806">
        <f t="shared" si="2"/>
        <v>-1256568.6700000002</v>
      </c>
    </row>
    <row r="41" spans="3:18" s="1341" customFormat="1" ht="27" customHeight="1" outlineLevel="1">
      <c r="C41" s="2536" t="s">
        <v>1002</v>
      </c>
      <c r="D41" s="1809" t="s">
        <v>1046</v>
      </c>
      <c r="E41" s="1810"/>
      <c r="F41" s="1811"/>
      <c r="G41" s="1812">
        <f>+MESIVA!K$36</f>
        <v>1791893.47</v>
      </c>
      <c r="H41" s="1813">
        <f>+MESIVA!L$36</f>
        <v>287178.8</v>
      </c>
      <c r="I41" s="1814">
        <f t="shared" si="1"/>
        <v>-1791893.47</v>
      </c>
      <c r="J41" s="1815">
        <f t="shared" si="0"/>
        <v>-287178.8</v>
      </c>
      <c r="K41" s="1363"/>
      <c r="L41" s="1788" t="s">
        <v>1013</v>
      </c>
      <c r="M41" s="1782"/>
      <c r="N41" s="1783"/>
      <c r="O41" s="1784">
        <f>+SUM(MESIVA!K$18:K$24)</f>
        <v>5832928.0300000003</v>
      </c>
      <c r="P41" s="1785">
        <f>+SUM(MESIVA!L$18:L$24)</f>
        <v>1224914.8999999999</v>
      </c>
      <c r="Q41" s="1786">
        <f t="shared" si="2"/>
        <v>-5832928.0300000003</v>
      </c>
      <c r="R41" s="1787">
        <f t="shared" si="2"/>
        <v>-1224914.8999999999</v>
      </c>
    </row>
    <row r="42" spans="3:18" s="1341" customFormat="1" ht="27" customHeight="1" outlineLevel="1">
      <c r="C42" s="2537"/>
      <c r="D42" s="1789" t="s">
        <v>1048</v>
      </c>
      <c r="E42" s="1790"/>
      <c r="F42" s="1791"/>
      <c r="G42" s="1792">
        <f>+MESIVA!K$38</f>
        <v>12180776.57</v>
      </c>
      <c r="H42" s="1793">
        <f>+MESIVA!L$38</f>
        <v>2557963.08</v>
      </c>
      <c r="I42" s="1794">
        <f t="shared" si="1"/>
        <v>-12180776.57</v>
      </c>
      <c r="J42" s="1795">
        <f t="shared" si="0"/>
        <v>-2557963.08</v>
      </c>
      <c r="K42" s="1363"/>
      <c r="L42" s="1796" t="s">
        <v>1051</v>
      </c>
      <c r="M42" s="1790">
        <f>+E43</f>
        <v>0</v>
      </c>
      <c r="N42" s="1791">
        <f>+F43</f>
        <v>0</v>
      </c>
      <c r="O42" s="1792">
        <f>+MESIVA!K$25</f>
        <v>70510.490000000005</v>
      </c>
      <c r="P42" s="1793">
        <f>+MESIVA!L$25</f>
        <v>14807.21</v>
      </c>
      <c r="Q42" s="1794">
        <f t="shared" si="2"/>
        <v>-70510.490000000005</v>
      </c>
      <c r="R42" s="1795">
        <f t="shared" si="2"/>
        <v>-14807.21</v>
      </c>
    </row>
    <row r="43" spans="3:18" s="1341" customFormat="1" ht="27" customHeight="1" outlineLevel="1">
      <c r="C43" s="2537"/>
      <c r="D43" s="1789" t="s">
        <v>1049</v>
      </c>
      <c r="E43" s="1790"/>
      <c r="F43" s="1791"/>
      <c r="G43" s="1792">
        <f>+MESIVA!K$40</f>
        <v>70510.490000000005</v>
      </c>
      <c r="H43" s="1793">
        <f>+MESIVA!L$40</f>
        <v>14807.21</v>
      </c>
      <c r="I43" s="1794">
        <f t="shared" si="1"/>
        <v>-70510.490000000005</v>
      </c>
      <c r="J43" s="1795">
        <f t="shared" si="0"/>
        <v>-14807.21</v>
      </c>
      <c r="K43" s="1363"/>
      <c r="L43" s="1796" t="s">
        <v>1649</v>
      </c>
      <c r="M43" s="1790"/>
      <c r="N43" s="1791"/>
      <c r="O43" s="1792">
        <f>+MESIVA!$K$26</f>
        <v>1176757.99</v>
      </c>
      <c r="P43" s="1792">
        <f>+MESIVA!$L$26</f>
        <v>247119.18</v>
      </c>
      <c r="Q43" s="1794">
        <f t="shared" si="2"/>
        <v>-1176757.99</v>
      </c>
      <c r="R43" s="1795">
        <f t="shared" si="2"/>
        <v>-247119.18</v>
      </c>
    </row>
    <row r="44" spans="3:18" s="1341" customFormat="1" ht="27" customHeight="1" outlineLevel="1">
      <c r="C44" s="2537"/>
      <c r="D44" s="1789" t="s">
        <v>1023</v>
      </c>
      <c r="E44" s="1790"/>
      <c r="F44" s="1791"/>
      <c r="G44" s="1792">
        <f>+MESIVA!K$43</f>
        <v>0</v>
      </c>
      <c r="H44" s="1793">
        <f>+MESIVA!L$43</f>
        <v>0</v>
      </c>
      <c r="I44" s="1794">
        <f t="shared" si="1"/>
        <v>0</v>
      </c>
      <c r="J44" s="1795">
        <f t="shared" si="0"/>
        <v>0</v>
      </c>
      <c r="K44" s="1363"/>
      <c r="L44" s="1796" t="s">
        <v>1651</v>
      </c>
      <c r="M44" s="1790"/>
      <c r="N44" s="1791"/>
      <c r="O44" s="1792">
        <f>+MESIVA!$K$27</f>
        <v>0</v>
      </c>
      <c r="P44" s="1792">
        <f>+MESIVA!$L$27</f>
        <v>0</v>
      </c>
      <c r="Q44" s="1794">
        <f t="shared" si="2"/>
        <v>0</v>
      </c>
      <c r="R44" s="1795">
        <f t="shared" si="2"/>
        <v>0</v>
      </c>
    </row>
    <row r="45" spans="3:18" s="1341" customFormat="1" ht="27" customHeight="1" outlineLevel="1">
      <c r="C45" s="2537"/>
      <c r="D45" s="1789" t="s">
        <v>1047</v>
      </c>
      <c r="E45" s="1790"/>
      <c r="F45" s="1791"/>
      <c r="G45" s="1792">
        <f>+MESIVA!K$37+MESIVA!K$39+MESIVA!K$41</f>
        <v>431579.53</v>
      </c>
      <c r="H45" s="1793">
        <f>+MESIVA!L$37+MESIVA!L$39+MESIVA!L$41</f>
        <v>90631.71</v>
      </c>
      <c r="I45" s="1794">
        <f t="shared" si="1"/>
        <v>-431579.53</v>
      </c>
      <c r="J45" s="1795">
        <f t="shared" si="0"/>
        <v>-90631.71</v>
      </c>
      <c r="K45" s="1363"/>
      <c r="L45" s="1796" t="s">
        <v>1050</v>
      </c>
      <c r="M45" s="1790"/>
      <c r="N45" s="1791"/>
      <c r="O45" s="1792">
        <f>+SUM(MESIVA!K$28:K$31)</f>
        <v>0</v>
      </c>
      <c r="P45" s="1793">
        <f>+SUM(MESIVA!L$28:L$31)</f>
        <v>0</v>
      </c>
      <c r="Q45" s="1794">
        <f t="shared" si="2"/>
        <v>0</v>
      </c>
      <c r="R45" s="1795">
        <f t="shared" si="2"/>
        <v>0</v>
      </c>
    </row>
    <row r="46" spans="3:18" s="1341" customFormat="1" ht="27" customHeight="1" outlineLevel="1">
      <c r="C46" s="2538"/>
      <c r="D46" s="1816" t="s">
        <v>1652</v>
      </c>
      <c r="E46" s="1817"/>
      <c r="F46" s="1818"/>
      <c r="G46" s="1799">
        <f>+MESIVA!$K$42</f>
        <v>0</v>
      </c>
      <c r="H46" s="1799">
        <f>+MESIVA!$L$42</f>
        <v>0</v>
      </c>
      <c r="I46" s="1819">
        <f t="shared" si="1"/>
        <v>0</v>
      </c>
      <c r="J46" s="1820">
        <f t="shared" si="0"/>
        <v>0</v>
      </c>
      <c r="K46" s="1363"/>
      <c r="L46" s="1802" t="s">
        <v>1650</v>
      </c>
      <c r="M46" s="1797"/>
      <c r="N46" s="1798"/>
      <c r="O46" s="1799">
        <f>+MESIVA!$K$32</f>
        <v>0</v>
      </c>
      <c r="P46" s="1799">
        <f>+MESIVA!$L$32</f>
        <v>0</v>
      </c>
      <c r="Q46" s="1800">
        <f t="shared" si="2"/>
        <v>0</v>
      </c>
      <c r="R46" s="1801">
        <f t="shared" si="2"/>
        <v>0</v>
      </c>
    </row>
    <row r="47" spans="3:18" s="1803" customFormat="1" ht="27" customHeight="1">
      <c r="C47" s="2534" t="s">
        <v>1055</v>
      </c>
      <c r="D47" s="2535"/>
      <c r="E47" s="1804">
        <f>SUM(E41:E46)</f>
        <v>0</v>
      </c>
      <c r="F47" s="1805">
        <f t="shared" ref="F47:H47" si="9">SUM(F41:F46)</f>
        <v>0</v>
      </c>
      <c r="G47" s="1804">
        <f t="shared" si="9"/>
        <v>14474760.060000001</v>
      </c>
      <c r="H47" s="1805">
        <f t="shared" si="9"/>
        <v>2950580.8</v>
      </c>
      <c r="I47" s="1804">
        <f t="shared" si="1"/>
        <v>-14474760.060000001</v>
      </c>
      <c r="J47" s="1806">
        <f t="shared" si="0"/>
        <v>-2950580.8</v>
      </c>
      <c r="K47" s="1807"/>
      <c r="L47" s="1821" t="str">
        <f>+C47</f>
        <v>Total periodo Abril</v>
      </c>
      <c r="M47" s="1804">
        <f>SUM(M41:M46)</f>
        <v>0</v>
      </c>
      <c r="N47" s="1805">
        <f t="shared" ref="N47:P47" si="10">SUM(N41:N46)</f>
        <v>0</v>
      </c>
      <c r="O47" s="1804">
        <f t="shared" si="10"/>
        <v>7080196.5100000007</v>
      </c>
      <c r="P47" s="1805">
        <f t="shared" si="10"/>
        <v>1486841.2899999998</v>
      </c>
      <c r="Q47" s="1804">
        <f t="shared" si="2"/>
        <v>-7080196.5100000007</v>
      </c>
      <c r="R47" s="1806">
        <f t="shared" si="2"/>
        <v>-1486841.2899999998</v>
      </c>
    </row>
    <row r="48" spans="3:18" s="1341" customFormat="1" ht="27" customHeight="1" outlineLevel="1">
      <c r="C48" s="2536" t="s">
        <v>1003</v>
      </c>
      <c r="D48" s="1809" t="s">
        <v>1046</v>
      </c>
      <c r="E48" s="1810"/>
      <c r="F48" s="1811"/>
      <c r="G48" s="1812">
        <f>+MESIVA!M$36</f>
        <v>736388.53</v>
      </c>
      <c r="H48" s="1813">
        <f>+MESIVA!N$36</f>
        <v>152048.63</v>
      </c>
      <c r="I48" s="1814">
        <f t="shared" si="1"/>
        <v>-736388.53</v>
      </c>
      <c r="J48" s="1815">
        <f t="shared" si="0"/>
        <v>-152048.63</v>
      </c>
      <c r="K48" s="1363"/>
      <c r="L48" s="1788" t="s">
        <v>1013</v>
      </c>
      <c r="M48" s="1782"/>
      <c r="N48" s="1783"/>
      <c r="O48" s="1784">
        <f>+SUM(MESIVA!M$18:M$24)</f>
        <v>5279576.32</v>
      </c>
      <c r="P48" s="1785">
        <f>+SUM(MESIVA!N$18:N$24)</f>
        <v>1108711.08</v>
      </c>
      <c r="Q48" s="1786">
        <f t="shared" si="2"/>
        <v>-5279576.32</v>
      </c>
      <c r="R48" s="1787">
        <f t="shared" si="2"/>
        <v>-1108711.08</v>
      </c>
    </row>
    <row r="49" spans="3:18" s="1341" customFormat="1" ht="27" customHeight="1" outlineLevel="1">
      <c r="C49" s="2537"/>
      <c r="D49" s="1789" t="s">
        <v>1048</v>
      </c>
      <c r="E49" s="1790"/>
      <c r="F49" s="1791"/>
      <c r="G49" s="1792">
        <f>+MESIVA!M$38</f>
        <v>4444082.3099999996</v>
      </c>
      <c r="H49" s="1793">
        <f>+MESIVA!N$38</f>
        <v>933257.3</v>
      </c>
      <c r="I49" s="1794">
        <f t="shared" si="1"/>
        <v>-4444082.3099999996</v>
      </c>
      <c r="J49" s="1795">
        <f t="shared" si="0"/>
        <v>-933257.3</v>
      </c>
      <c r="K49" s="1363"/>
      <c r="L49" s="1796" t="s">
        <v>1051</v>
      </c>
      <c r="M49" s="1790">
        <f>+E50</f>
        <v>0</v>
      </c>
      <c r="N49" s="1791">
        <f>+F50</f>
        <v>0</v>
      </c>
      <c r="O49" s="1792">
        <f>+MESIVA!M$25</f>
        <v>27408.81</v>
      </c>
      <c r="P49" s="1793">
        <f>+MESIVA!N$25</f>
        <v>5755.85</v>
      </c>
      <c r="Q49" s="1794">
        <f t="shared" si="2"/>
        <v>-27408.81</v>
      </c>
      <c r="R49" s="1795">
        <f t="shared" si="2"/>
        <v>-5755.85</v>
      </c>
    </row>
    <row r="50" spans="3:18" s="1341" customFormat="1" ht="27" customHeight="1" outlineLevel="1">
      <c r="C50" s="2537"/>
      <c r="D50" s="1789" t="s">
        <v>1049</v>
      </c>
      <c r="E50" s="1790"/>
      <c r="F50" s="1791"/>
      <c r="G50" s="1792">
        <f>+MESIVA!M$40</f>
        <v>27408.81</v>
      </c>
      <c r="H50" s="1793">
        <f>+MESIVA!N$40</f>
        <v>5755.85</v>
      </c>
      <c r="I50" s="1794">
        <f t="shared" si="1"/>
        <v>-27408.81</v>
      </c>
      <c r="J50" s="1795">
        <f t="shared" si="0"/>
        <v>-5755.85</v>
      </c>
      <c r="K50" s="1363"/>
      <c r="L50" s="1796" t="s">
        <v>1649</v>
      </c>
      <c r="M50" s="1790"/>
      <c r="N50" s="1791"/>
      <c r="O50" s="1792">
        <f>+MESIVA!$M$26</f>
        <v>239490.13</v>
      </c>
      <c r="P50" s="1792">
        <f>+MESIVA!$N$26</f>
        <v>50292.93</v>
      </c>
      <c r="Q50" s="1794">
        <f t="shared" si="2"/>
        <v>-239490.13</v>
      </c>
      <c r="R50" s="1795">
        <f t="shared" si="2"/>
        <v>-50292.93</v>
      </c>
    </row>
    <row r="51" spans="3:18" s="1341" customFormat="1" ht="27" customHeight="1" outlineLevel="1">
      <c r="C51" s="2537"/>
      <c r="D51" s="1789" t="s">
        <v>1023</v>
      </c>
      <c r="E51" s="1790"/>
      <c r="F51" s="1791"/>
      <c r="G51" s="1792">
        <f>+MESIVA!M$43</f>
        <v>0</v>
      </c>
      <c r="H51" s="1793">
        <f>+MESIVA!N$43</f>
        <v>0</v>
      </c>
      <c r="I51" s="1794">
        <f t="shared" si="1"/>
        <v>0</v>
      </c>
      <c r="J51" s="1795">
        <f t="shared" si="0"/>
        <v>0</v>
      </c>
      <c r="K51" s="1363"/>
      <c r="L51" s="1796" t="s">
        <v>1651</v>
      </c>
      <c r="M51" s="1790"/>
      <c r="N51" s="1791"/>
      <c r="O51" s="1792">
        <f>+MESIVA!$M$27</f>
        <v>0</v>
      </c>
      <c r="P51" s="1792">
        <f>+MESIVA!$N$27</f>
        <v>0</v>
      </c>
      <c r="Q51" s="1794">
        <f t="shared" si="2"/>
        <v>0</v>
      </c>
      <c r="R51" s="1795">
        <f t="shared" si="2"/>
        <v>0</v>
      </c>
    </row>
    <row r="52" spans="3:18" s="1341" customFormat="1" ht="27" customHeight="1" outlineLevel="1">
      <c r="C52" s="2537"/>
      <c r="D52" s="1789" t="s">
        <v>1047</v>
      </c>
      <c r="E52" s="1790"/>
      <c r="F52" s="1791"/>
      <c r="G52" s="1792">
        <f>+MESIVA!M$37+MESIVA!M$39+MESIVA!M$41</f>
        <v>3516.31</v>
      </c>
      <c r="H52" s="1793">
        <f>+MESIVA!N$37+MESIVA!N$39+MESIVA!N$41</f>
        <v>738.43</v>
      </c>
      <c r="I52" s="1794">
        <f t="shared" si="1"/>
        <v>-3516.31</v>
      </c>
      <c r="J52" s="1795">
        <f t="shared" si="0"/>
        <v>-738.43</v>
      </c>
      <c r="K52" s="1363"/>
      <c r="L52" s="1796" t="s">
        <v>1050</v>
      </c>
      <c r="M52" s="1790"/>
      <c r="N52" s="1791"/>
      <c r="O52" s="1792">
        <f>+SUM(MESIVA!M$28:M$31)</f>
        <v>0</v>
      </c>
      <c r="P52" s="1793">
        <f>+SUM(MESIVA!N$28:N$31)</f>
        <v>0</v>
      </c>
      <c r="Q52" s="1794">
        <f t="shared" si="2"/>
        <v>0</v>
      </c>
      <c r="R52" s="1795">
        <f t="shared" si="2"/>
        <v>0</v>
      </c>
    </row>
    <row r="53" spans="3:18" s="1341" customFormat="1" ht="27" customHeight="1" outlineLevel="1">
      <c r="C53" s="2538"/>
      <c r="D53" s="1816" t="s">
        <v>1652</v>
      </c>
      <c r="E53" s="1817"/>
      <c r="F53" s="1818"/>
      <c r="G53" s="1799">
        <f>+MESIVA!$M$42</f>
        <v>0</v>
      </c>
      <c r="H53" s="1799">
        <f>+MESIVA!$N$42</f>
        <v>0</v>
      </c>
      <c r="I53" s="1819">
        <f t="shared" si="1"/>
        <v>0</v>
      </c>
      <c r="J53" s="1820">
        <f t="shared" si="0"/>
        <v>0</v>
      </c>
      <c r="K53" s="1363"/>
      <c r="L53" s="1802" t="s">
        <v>1650</v>
      </c>
      <c r="M53" s="1797"/>
      <c r="N53" s="1798"/>
      <c r="O53" s="1799">
        <f>+MESIVA!$M$32</f>
        <v>0</v>
      </c>
      <c r="P53" s="1799">
        <f>+MESIVA!$N$32</f>
        <v>0</v>
      </c>
      <c r="Q53" s="1800">
        <f t="shared" si="2"/>
        <v>0</v>
      </c>
      <c r="R53" s="1801">
        <f t="shared" si="2"/>
        <v>0</v>
      </c>
    </row>
    <row r="54" spans="3:18" s="1803" customFormat="1" ht="27" customHeight="1">
      <c r="C54" s="2534" t="s">
        <v>1056</v>
      </c>
      <c r="D54" s="2535"/>
      <c r="E54" s="1804">
        <f>SUM(E48:E53)</f>
        <v>0</v>
      </c>
      <c r="F54" s="1805">
        <f t="shared" ref="F54:H54" si="11">SUM(F48:F53)</f>
        <v>0</v>
      </c>
      <c r="G54" s="1804">
        <f t="shared" si="11"/>
        <v>5211395.959999999</v>
      </c>
      <c r="H54" s="1805">
        <f t="shared" si="11"/>
        <v>1091800.2100000002</v>
      </c>
      <c r="I54" s="1804">
        <f t="shared" si="1"/>
        <v>-5211395.959999999</v>
      </c>
      <c r="J54" s="1806">
        <f t="shared" si="0"/>
        <v>-1091800.2100000002</v>
      </c>
      <c r="K54" s="1807"/>
      <c r="L54" s="1821" t="str">
        <f>+C54</f>
        <v>Total periodo Mayo</v>
      </c>
      <c r="M54" s="1804">
        <f>SUM(M48:M53)</f>
        <v>0</v>
      </c>
      <c r="N54" s="1805">
        <f t="shared" ref="N54:P54" si="12">SUM(N48:N53)</f>
        <v>0</v>
      </c>
      <c r="O54" s="1804">
        <f t="shared" si="12"/>
        <v>5546475.2599999998</v>
      </c>
      <c r="P54" s="1805">
        <f t="shared" si="12"/>
        <v>1164759.8600000001</v>
      </c>
      <c r="Q54" s="1804">
        <f t="shared" si="2"/>
        <v>-5546475.2599999998</v>
      </c>
      <c r="R54" s="1806">
        <f t="shared" si="2"/>
        <v>-1164759.8600000001</v>
      </c>
    </row>
    <row r="55" spans="3:18" s="1341" customFormat="1" ht="27" customHeight="1" outlineLevel="1">
      <c r="C55" s="2536" t="s">
        <v>1004</v>
      </c>
      <c r="D55" s="1809" t="s">
        <v>1046</v>
      </c>
      <c r="E55" s="1810"/>
      <c r="F55" s="1811"/>
      <c r="G55" s="1812">
        <f>+MESIVA!O$36</f>
        <v>1616816.15</v>
      </c>
      <c r="H55" s="1813">
        <f>+MESIVA!P$36</f>
        <v>332756.7</v>
      </c>
      <c r="I55" s="1814">
        <f t="shared" si="1"/>
        <v>-1616816.15</v>
      </c>
      <c r="J55" s="1815">
        <f t="shared" si="0"/>
        <v>-332756.7</v>
      </c>
      <c r="K55" s="1363"/>
      <c r="L55" s="1788" t="s">
        <v>1013</v>
      </c>
      <c r="M55" s="1782"/>
      <c r="N55" s="1783"/>
      <c r="O55" s="1784">
        <f>+SUM(MESIVA!O$18:O$24)</f>
        <v>4735408.32</v>
      </c>
      <c r="P55" s="1785">
        <f>+SUM(MESIVA!P$18:P$24)</f>
        <v>994435.79</v>
      </c>
      <c r="Q55" s="1786">
        <f t="shared" si="2"/>
        <v>-4735408.32</v>
      </c>
      <c r="R55" s="1787">
        <f t="shared" si="2"/>
        <v>-994435.79</v>
      </c>
    </row>
    <row r="56" spans="3:18" s="1341" customFormat="1" ht="27" customHeight="1" outlineLevel="1">
      <c r="C56" s="2537"/>
      <c r="D56" s="1789" t="s">
        <v>1048</v>
      </c>
      <c r="E56" s="1790"/>
      <c r="F56" s="1791"/>
      <c r="G56" s="1792">
        <f>+MESIVA!O$38</f>
        <v>5645601.5300000003</v>
      </c>
      <c r="H56" s="1793">
        <f>+MESIVA!P$38</f>
        <v>1185576.31</v>
      </c>
      <c r="I56" s="1794">
        <f t="shared" si="1"/>
        <v>-5645601.5300000003</v>
      </c>
      <c r="J56" s="1795">
        <f t="shared" si="0"/>
        <v>-1185576.31</v>
      </c>
      <c r="K56" s="1363"/>
      <c r="L56" s="1796" t="s">
        <v>1051</v>
      </c>
      <c r="M56" s="1790">
        <f>+E57</f>
        <v>0</v>
      </c>
      <c r="N56" s="1791">
        <f>+F57</f>
        <v>0</v>
      </c>
      <c r="O56" s="1792">
        <f>+MESIVA!O$25</f>
        <v>40010</v>
      </c>
      <c r="P56" s="1793">
        <f>+MESIVA!P$25</f>
        <v>8402.1</v>
      </c>
      <c r="Q56" s="1794">
        <f t="shared" si="2"/>
        <v>-40010</v>
      </c>
      <c r="R56" s="1795">
        <f t="shared" si="2"/>
        <v>-8402.1</v>
      </c>
    </row>
    <row r="57" spans="3:18" s="1341" customFormat="1" ht="27" customHeight="1" outlineLevel="1">
      <c r="C57" s="2537"/>
      <c r="D57" s="1789" t="s">
        <v>1049</v>
      </c>
      <c r="E57" s="1790"/>
      <c r="F57" s="1791"/>
      <c r="G57" s="1792">
        <f>+MESIVA!O$40</f>
        <v>4010</v>
      </c>
      <c r="H57" s="1793">
        <f>+MESIVA!P$40</f>
        <v>8402.1</v>
      </c>
      <c r="I57" s="1794">
        <f t="shared" si="1"/>
        <v>-4010</v>
      </c>
      <c r="J57" s="1795">
        <f t="shared" si="0"/>
        <v>-8402.1</v>
      </c>
      <c r="K57" s="1363"/>
      <c r="L57" s="1796" t="s">
        <v>1649</v>
      </c>
      <c r="M57" s="1790"/>
      <c r="N57" s="1791"/>
      <c r="O57" s="1792">
        <f>+MESIVA!$O$26</f>
        <v>1665620.15</v>
      </c>
      <c r="P57" s="1792">
        <f>+MESIVA!$P$26</f>
        <v>349780.23</v>
      </c>
      <c r="Q57" s="1794">
        <f t="shared" si="2"/>
        <v>-1665620.15</v>
      </c>
      <c r="R57" s="1795">
        <f t="shared" si="2"/>
        <v>-349780.23</v>
      </c>
    </row>
    <row r="58" spans="3:18" s="1341" customFormat="1" ht="27" customHeight="1" outlineLevel="1">
      <c r="C58" s="2537"/>
      <c r="D58" s="1789" t="s">
        <v>1023</v>
      </c>
      <c r="E58" s="1790"/>
      <c r="F58" s="1791"/>
      <c r="G58" s="1792">
        <f>+MESIVA!O$43</f>
        <v>0</v>
      </c>
      <c r="H58" s="1793">
        <f>+MESIVA!P$43</f>
        <v>0</v>
      </c>
      <c r="I58" s="1794">
        <f t="shared" si="1"/>
        <v>0</v>
      </c>
      <c r="J58" s="1795">
        <f t="shared" si="0"/>
        <v>0</v>
      </c>
      <c r="K58" s="1363"/>
      <c r="L58" s="1796" t="s">
        <v>1651</v>
      </c>
      <c r="M58" s="1790"/>
      <c r="N58" s="1791"/>
      <c r="O58" s="1792">
        <f>+MESIVA!$O$27</f>
        <v>-17115.240000000002</v>
      </c>
      <c r="P58" s="1792">
        <f>+MESIVA!$P$27</f>
        <v>-3594.21</v>
      </c>
      <c r="Q58" s="1794">
        <f t="shared" si="2"/>
        <v>17115.240000000002</v>
      </c>
      <c r="R58" s="1795">
        <f t="shared" si="2"/>
        <v>3594.21</v>
      </c>
    </row>
    <row r="59" spans="3:18" s="1341" customFormat="1" ht="27" customHeight="1" outlineLevel="1">
      <c r="C59" s="2537"/>
      <c r="D59" s="1789" t="s">
        <v>1047</v>
      </c>
      <c r="E59" s="1790"/>
      <c r="F59" s="1791"/>
      <c r="G59" s="1792">
        <f>+MESIVA!O$37+MESIVA!O$39+MESIVA!O$41</f>
        <v>608676.67000000004</v>
      </c>
      <c r="H59" s="1793">
        <f>+MESIVA!P$37+MESIVA!P$39+MESIVA!P$41</f>
        <v>127882.1</v>
      </c>
      <c r="I59" s="1794">
        <f t="shared" si="1"/>
        <v>-608676.67000000004</v>
      </c>
      <c r="J59" s="1795">
        <f t="shared" si="0"/>
        <v>-127882.1</v>
      </c>
      <c r="K59" s="1363"/>
      <c r="L59" s="1796" t="s">
        <v>1050</v>
      </c>
      <c r="M59" s="1790"/>
      <c r="N59" s="1791"/>
      <c r="O59" s="1792">
        <f>+SUM(MESIVA!O$28:O$31)</f>
        <v>0</v>
      </c>
      <c r="P59" s="1793">
        <f>+SUM(MESIVA!P$28:P$31)</f>
        <v>0</v>
      </c>
      <c r="Q59" s="1794">
        <f t="shared" si="2"/>
        <v>0</v>
      </c>
      <c r="R59" s="1795">
        <f t="shared" si="2"/>
        <v>0</v>
      </c>
    </row>
    <row r="60" spans="3:18" s="1341" customFormat="1" ht="27" customHeight="1" outlineLevel="1">
      <c r="C60" s="2538"/>
      <c r="D60" s="1816" t="s">
        <v>1652</v>
      </c>
      <c r="E60" s="1817"/>
      <c r="F60" s="1818"/>
      <c r="G60" s="1799">
        <f>+MESIVA!$O$42</f>
        <v>0</v>
      </c>
      <c r="H60" s="1799">
        <f>+MESIVA!$P$42</f>
        <v>0</v>
      </c>
      <c r="I60" s="1819">
        <f t="shared" si="1"/>
        <v>0</v>
      </c>
      <c r="J60" s="1820">
        <f t="shared" si="0"/>
        <v>0</v>
      </c>
      <c r="K60" s="1363"/>
      <c r="L60" s="1802" t="s">
        <v>1650</v>
      </c>
      <c r="M60" s="1797"/>
      <c r="N60" s="1798"/>
      <c r="O60" s="1799">
        <f>+MESIVA!$O$32</f>
        <v>0</v>
      </c>
      <c r="P60" s="1799">
        <f>+MESIVA!$P$32</f>
        <v>0</v>
      </c>
      <c r="Q60" s="1800">
        <f t="shared" si="2"/>
        <v>0</v>
      </c>
      <c r="R60" s="1801">
        <f t="shared" si="2"/>
        <v>0</v>
      </c>
    </row>
    <row r="61" spans="3:18" s="1803" customFormat="1" ht="27" customHeight="1">
      <c r="C61" s="2534" t="s">
        <v>1057</v>
      </c>
      <c r="D61" s="2535"/>
      <c r="E61" s="1804">
        <f>SUM(E55:E60)</f>
        <v>0</v>
      </c>
      <c r="F61" s="1805">
        <f t="shared" ref="F61:H61" si="13">SUM(F55:F60)</f>
        <v>0</v>
      </c>
      <c r="G61" s="1804">
        <f t="shared" si="13"/>
        <v>7875104.3499999996</v>
      </c>
      <c r="H61" s="1805">
        <f t="shared" si="13"/>
        <v>1654617.2100000002</v>
      </c>
      <c r="I61" s="1804">
        <f t="shared" si="1"/>
        <v>-7875104.3499999996</v>
      </c>
      <c r="J61" s="1806">
        <f t="shared" si="0"/>
        <v>-1654617.2100000002</v>
      </c>
      <c r="K61" s="1807"/>
      <c r="L61" s="1821" t="str">
        <f>+C61</f>
        <v>Total periodo Junio</v>
      </c>
      <c r="M61" s="1804">
        <f>SUM(M55:M60)</f>
        <v>0</v>
      </c>
      <c r="N61" s="1805">
        <f t="shared" ref="N61:P61" si="14">SUM(N55:N60)</f>
        <v>0</v>
      </c>
      <c r="O61" s="1804">
        <f t="shared" si="14"/>
        <v>6423923.2300000004</v>
      </c>
      <c r="P61" s="1805">
        <f t="shared" si="14"/>
        <v>1349023.9100000001</v>
      </c>
      <c r="Q61" s="1804">
        <f t="shared" si="2"/>
        <v>-6423923.2300000004</v>
      </c>
      <c r="R61" s="1806">
        <f t="shared" si="2"/>
        <v>-1349023.9100000001</v>
      </c>
    </row>
    <row r="62" spans="3:18" s="1341" customFormat="1" ht="27" customHeight="1" outlineLevel="1">
      <c r="C62" s="2536" t="s">
        <v>1005</v>
      </c>
      <c r="D62" s="1809" t="s">
        <v>1046</v>
      </c>
      <c r="E62" s="1810"/>
      <c r="F62" s="1811"/>
      <c r="G62" s="1812">
        <f>+MESIVA!Q$36</f>
        <v>2064371.4</v>
      </c>
      <c r="H62" s="1813">
        <f>+MESIVA!R$36</f>
        <v>420764.69</v>
      </c>
      <c r="I62" s="1814">
        <f t="shared" si="1"/>
        <v>-2064371.4</v>
      </c>
      <c r="J62" s="1815">
        <f t="shared" si="0"/>
        <v>-420764.69</v>
      </c>
      <c r="K62" s="1363"/>
      <c r="L62" s="1788" t="s">
        <v>1013</v>
      </c>
      <c r="M62" s="1782"/>
      <c r="N62" s="1783"/>
      <c r="O62" s="1784">
        <f>+SUM(MESIVA!Q$18:Q$24)</f>
        <v>5071747.38</v>
      </c>
      <c r="P62" s="1785">
        <f>+SUM(MESIVA!R$18:R$24)</f>
        <v>1065067.01</v>
      </c>
      <c r="Q62" s="1786">
        <f t="shared" si="2"/>
        <v>-5071747.38</v>
      </c>
      <c r="R62" s="1787">
        <f t="shared" si="2"/>
        <v>-1065067.01</v>
      </c>
    </row>
    <row r="63" spans="3:18" s="1341" customFormat="1" ht="27" customHeight="1" outlineLevel="1">
      <c r="C63" s="2537"/>
      <c r="D63" s="1789" t="s">
        <v>1048</v>
      </c>
      <c r="E63" s="1790"/>
      <c r="F63" s="1791"/>
      <c r="G63" s="1792">
        <f>+MESIVA!Q$38</f>
        <v>3826879.4</v>
      </c>
      <c r="H63" s="1793">
        <f>+MESIVA!R$38</f>
        <v>803644.67</v>
      </c>
      <c r="I63" s="1794">
        <f t="shared" si="1"/>
        <v>-3826879.4</v>
      </c>
      <c r="J63" s="1795">
        <f t="shared" si="0"/>
        <v>-803644.67</v>
      </c>
      <c r="K63" s="1363"/>
      <c r="L63" s="1796" t="s">
        <v>1051</v>
      </c>
      <c r="M63" s="1790">
        <f>+E64</f>
        <v>0</v>
      </c>
      <c r="N63" s="1791">
        <f>+F64</f>
        <v>0</v>
      </c>
      <c r="O63" s="1792">
        <f>+MESIVA!Q$25</f>
        <v>79473.98</v>
      </c>
      <c r="P63" s="1793">
        <f>+MESIVA!R$25</f>
        <v>16689.54</v>
      </c>
      <c r="Q63" s="1794">
        <f t="shared" si="2"/>
        <v>-79473.98</v>
      </c>
      <c r="R63" s="1795">
        <f t="shared" si="2"/>
        <v>-16689.54</v>
      </c>
    </row>
    <row r="64" spans="3:18" s="1341" customFormat="1" ht="27" customHeight="1" outlineLevel="1">
      <c r="C64" s="2537"/>
      <c r="D64" s="1789" t="s">
        <v>1049</v>
      </c>
      <c r="E64" s="1790"/>
      <c r="F64" s="1791"/>
      <c r="G64" s="1792">
        <f>+MESIVA!Q$40</f>
        <v>79473.98</v>
      </c>
      <c r="H64" s="1793">
        <f>+MESIVA!R$40</f>
        <v>16689.54</v>
      </c>
      <c r="I64" s="1794">
        <f t="shared" si="1"/>
        <v>-79473.98</v>
      </c>
      <c r="J64" s="1795">
        <f t="shared" si="0"/>
        <v>-16689.54</v>
      </c>
      <c r="K64" s="1363"/>
      <c r="L64" s="1796" t="s">
        <v>1649</v>
      </c>
      <c r="M64" s="1790"/>
      <c r="N64" s="1791"/>
      <c r="O64" s="1792">
        <f>+MESIVA!$Q$26</f>
        <v>1960473.66</v>
      </c>
      <c r="P64" s="1792">
        <f>+MESIVA!$R$26</f>
        <v>411699.48</v>
      </c>
      <c r="Q64" s="1794">
        <f t="shared" si="2"/>
        <v>-1960473.66</v>
      </c>
      <c r="R64" s="1795">
        <f t="shared" si="2"/>
        <v>-411699.48</v>
      </c>
    </row>
    <row r="65" spans="3:18" s="1341" customFormat="1" ht="27" customHeight="1" outlineLevel="1">
      <c r="C65" s="2537"/>
      <c r="D65" s="1789" t="s">
        <v>1023</v>
      </c>
      <c r="E65" s="1790"/>
      <c r="F65" s="1791"/>
      <c r="G65" s="1792">
        <f>+MESIVA!Q$43</f>
        <v>0</v>
      </c>
      <c r="H65" s="1793">
        <f>+MESIVA!R$43</f>
        <v>0</v>
      </c>
      <c r="I65" s="1794">
        <f t="shared" si="1"/>
        <v>0</v>
      </c>
      <c r="J65" s="1795">
        <f t="shared" si="0"/>
        <v>0</v>
      </c>
      <c r="K65" s="1363"/>
      <c r="L65" s="1796" t="s">
        <v>1651</v>
      </c>
      <c r="M65" s="1790"/>
      <c r="N65" s="1791"/>
      <c r="O65" s="1792">
        <f>+MESIVA!$Q$27</f>
        <v>0</v>
      </c>
      <c r="P65" s="1792">
        <f>+MESIVA!$R$27</f>
        <v>0</v>
      </c>
      <c r="Q65" s="1794">
        <f t="shared" si="2"/>
        <v>0</v>
      </c>
      <c r="R65" s="1795">
        <f t="shared" si="2"/>
        <v>0</v>
      </c>
    </row>
    <row r="66" spans="3:18" s="1341" customFormat="1" ht="27" customHeight="1" outlineLevel="1">
      <c r="C66" s="2537"/>
      <c r="D66" s="1789" t="s">
        <v>1047</v>
      </c>
      <c r="E66" s="1790"/>
      <c r="F66" s="1791"/>
      <c r="G66" s="1792">
        <f>+MESIVA!Q$37+MESIVA!Q$39+MESIVA!Q$41</f>
        <v>573547.11</v>
      </c>
      <c r="H66" s="1793">
        <f>+MESIVA!R$37+MESIVA!R$39+MESIVA!R$41</f>
        <v>120444.9</v>
      </c>
      <c r="I66" s="1794">
        <f t="shared" si="1"/>
        <v>-573547.11</v>
      </c>
      <c r="J66" s="1795">
        <f t="shared" si="0"/>
        <v>-120444.9</v>
      </c>
      <c r="K66" s="1363"/>
      <c r="L66" s="1796" t="s">
        <v>1050</v>
      </c>
      <c r="M66" s="1790"/>
      <c r="N66" s="1791"/>
      <c r="O66" s="1792">
        <f>+SUM(MESIVA!Q$28:Q$31)</f>
        <v>0</v>
      </c>
      <c r="P66" s="1793">
        <f>+SUM(MESIVA!R$28:R$31)</f>
        <v>0</v>
      </c>
      <c r="Q66" s="1794">
        <f t="shared" si="2"/>
        <v>0</v>
      </c>
      <c r="R66" s="1795">
        <f t="shared" si="2"/>
        <v>0</v>
      </c>
    </row>
    <row r="67" spans="3:18" s="1341" customFormat="1" ht="27" customHeight="1" outlineLevel="1">
      <c r="C67" s="2538"/>
      <c r="D67" s="1816" t="s">
        <v>1652</v>
      </c>
      <c r="E67" s="1817"/>
      <c r="F67" s="1818"/>
      <c r="G67" s="1799">
        <f>+MESIVA!$Q$42</f>
        <v>0</v>
      </c>
      <c r="H67" s="1799">
        <f>+MESIVA!$R$42</f>
        <v>0</v>
      </c>
      <c r="I67" s="1819">
        <f t="shared" si="1"/>
        <v>0</v>
      </c>
      <c r="J67" s="1820">
        <f t="shared" si="0"/>
        <v>0</v>
      </c>
      <c r="K67" s="1363"/>
      <c r="L67" s="1802" t="s">
        <v>1650</v>
      </c>
      <c r="M67" s="1797"/>
      <c r="N67" s="1798"/>
      <c r="O67" s="1799">
        <f>+MESIVA!$Q$32</f>
        <v>0</v>
      </c>
      <c r="P67" s="1799">
        <f>+MESIVA!$R$32</f>
        <v>0</v>
      </c>
      <c r="Q67" s="1800">
        <f t="shared" si="2"/>
        <v>0</v>
      </c>
      <c r="R67" s="1801">
        <f t="shared" si="2"/>
        <v>0</v>
      </c>
    </row>
    <row r="68" spans="3:18" s="1803" customFormat="1" ht="27" customHeight="1">
      <c r="C68" s="2534" t="s">
        <v>1058</v>
      </c>
      <c r="D68" s="2535"/>
      <c r="E68" s="1804">
        <f>SUM(E62:E67)</f>
        <v>0</v>
      </c>
      <c r="F68" s="1805">
        <f t="shared" ref="F68:H68" si="15">SUM(F62:F67)</f>
        <v>0</v>
      </c>
      <c r="G68" s="1804">
        <f t="shared" si="15"/>
        <v>6544271.8900000006</v>
      </c>
      <c r="H68" s="1805">
        <f t="shared" si="15"/>
        <v>1361543.8</v>
      </c>
      <c r="I68" s="1804">
        <f t="shared" si="1"/>
        <v>-6544271.8900000006</v>
      </c>
      <c r="J68" s="1806">
        <f t="shared" si="0"/>
        <v>-1361543.8</v>
      </c>
      <c r="K68" s="1807"/>
      <c r="L68" s="1821" t="str">
        <f>+C68</f>
        <v>Total periodo Julio</v>
      </c>
      <c r="M68" s="1804">
        <f>SUM(M62:M67)</f>
        <v>0</v>
      </c>
      <c r="N68" s="1805">
        <f t="shared" ref="N68:P68" si="16">SUM(N62:N67)</f>
        <v>0</v>
      </c>
      <c r="O68" s="1804">
        <f t="shared" si="16"/>
        <v>7111695.0200000005</v>
      </c>
      <c r="P68" s="1805">
        <f t="shared" si="16"/>
        <v>1493456.03</v>
      </c>
      <c r="Q68" s="1804">
        <f t="shared" si="2"/>
        <v>-7111695.0200000005</v>
      </c>
      <c r="R68" s="1806">
        <f t="shared" si="2"/>
        <v>-1493456.03</v>
      </c>
    </row>
    <row r="69" spans="3:18" s="1341" customFormat="1" ht="27" customHeight="1" outlineLevel="1">
      <c r="C69" s="2536" t="s">
        <v>1006</v>
      </c>
      <c r="D69" s="1809" t="s">
        <v>1046</v>
      </c>
      <c r="E69" s="1810"/>
      <c r="F69" s="1811"/>
      <c r="G69" s="1812">
        <f>+MESIVA!S$36</f>
        <v>658678.01</v>
      </c>
      <c r="H69" s="1813">
        <f>+MESIVA!T$36</f>
        <v>138316.01999999999</v>
      </c>
      <c r="I69" s="1814">
        <f t="shared" si="1"/>
        <v>-658678.01</v>
      </c>
      <c r="J69" s="1815">
        <f t="shared" si="0"/>
        <v>-138316.01999999999</v>
      </c>
      <c r="K69" s="1363"/>
      <c r="L69" s="1788" t="s">
        <v>1013</v>
      </c>
      <c r="M69" s="1782"/>
      <c r="N69" s="1783"/>
      <c r="O69" s="1784">
        <f>+SUM(MESIVA!S$18:S$24)</f>
        <v>2488472.73</v>
      </c>
      <c r="P69" s="1785">
        <f>+SUM(MESIVA!T$18:T$24)</f>
        <v>519822.87</v>
      </c>
      <c r="Q69" s="1786">
        <f t="shared" si="2"/>
        <v>-2488472.73</v>
      </c>
      <c r="R69" s="1787">
        <f t="shared" si="2"/>
        <v>-519822.87</v>
      </c>
    </row>
    <row r="70" spans="3:18" s="1341" customFormat="1" ht="27" customHeight="1" outlineLevel="1">
      <c r="C70" s="2537"/>
      <c r="D70" s="1789" t="s">
        <v>1048</v>
      </c>
      <c r="E70" s="1790"/>
      <c r="F70" s="1791"/>
      <c r="G70" s="1792">
        <f>+MESIVA!S$38</f>
        <v>584450.64</v>
      </c>
      <c r="H70" s="1793">
        <f>+MESIVA!T$38</f>
        <v>122734.62</v>
      </c>
      <c r="I70" s="1794">
        <f t="shared" si="1"/>
        <v>-584450.64</v>
      </c>
      <c r="J70" s="1795">
        <f t="shared" si="0"/>
        <v>-122734.62</v>
      </c>
      <c r="K70" s="1363"/>
      <c r="L70" s="1796" t="s">
        <v>1051</v>
      </c>
      <c r="M70" s="1790">
        <f>+E71</f>
        <v>0</v>
      </c>
      <c r="N70" s="1791">
        <f>+F71</f>
        <v>0</v>
      </c>
      <c r="O70" s="1792">
        <f>+MESIVA!S$25</f>
        <v>3300</v>
      </c>
      <c r="P70" s="1793">
        <f>+MESIVA!T$25</f>
        <v>693</v>
      </c>
      <c r="Q70" s="1794">
        <f t="shared" si="2"/>
        <v>-3300</v>
      </c>
      <c r="R70" s="1795">
        <f t="shared" si="2"/>
        <v>-693</v>
      </c>
    </row>
    <row r="71" spans="3:18" s="1341" customFormat="1" ht="27" customHeight="1" outlineLevel="1">
      <c r="C71" s="2537"/>
      <c r="D71" s="1789" t="s">
        <v>1049</v>
      </c>
      <c r="E71" s="1790"/>
      <c r="F71" s="1791"/>
      <c r="G71" s="1792">
        <f>+MESIVA!S$40</f>
        <v>3300</v>
      </c>
      <c r="H71" s="1793">
        <f>+MESIVA!T$40</f>
        <v>693</v>
      </c>
      <c r="I71" s="1794">
        <f t="shared" si="1"/>
        <v>-3300</v>
      </c>
      <c r="J71" s="1795">
        <f t="shared" si="0"/>
        <v>-693</v>
      </c>
      <c r="K71" s="1363"/>
      <c r="L71" s="1796" t="s">
        <v>1649</v>
      </c>
      <c r="M71" s="1790"/>
      <c r="N71" s="1791"/>
      <c r="O71" s="1792">
        <f>+MESIVA!$S$26</f>
        <v>802680.03</v>
      </c>
      <c r="P71" s="1792">
        <f>+MESIVA!$T$26</f>
        <v>168562.8</v>
      </c>
      <c r="Q71" s="1794">
        <f t="shared" si="2"/>
        <v>-802680.03</v>
      </c>
      <c r="R71" s="1795">
        <f t="shared" si="2"/>
        <v>-168562.8</v>
      </c>
    </row>
    <row r="72" spans="3:18" s="1341" customFormat="1" ht="27" customHeight="1" outlineLevel="1">
      <c r="C72" s="2537"/>
      <c r="D72" s="1789" t="s">
        <v>1023</v>
      </c>
      <c r="E72" s="1790"/>
      <c r="F72" s="1791"/>
      <c r="G72" s="1792">
        <f>+MESIVA!S$43</f>
        <v>0</v>
      </c>
      <c r="H72" s="1793">
        <f>+MESIVA!T$43</f>
        <v>0</v>
      </c>
      <c r="I72" s="1794">
        <f t="shared" si="1"/>
        <v>0</v>
      </c>
      <c r="J72" s="1795">
        <f t="shared" si="0"/>
        <v>0</v>
      </c>
      <c r="K72" s="1363"/>
      <c r="L72" s="1796" t="s">
        <v>1651</v>
      </c>
      <c r="M72" s="1790"/>
      <c r="N72" s="1791"/>
      <c r="O72" s="1792">
        <f>+MESIVA!$S$27</f>
        <v>0</v>
      </c>
      <c r="P72" s="1792">
        <f>+MESIVA!$T$27</f>
        <v>0</v>
      </c>
      <c r="Q72" s="1794">
        <f t="shared" si="2"/>
        <v>0</v>
      </c>
      <c r="R72" s="1795">
        <f t="shared" si="2"/>
        <v>0</v>
      </c>
    </row>
    <row r="73" spans="3:18" s="1341" customFormat="1" ht="27" customHeight="1" outlineLevel="1">
      <c r="C73" s="2537"/>
      <c r="D73" s="1789" t="s">
        <v>1047</v>
      </c>
      <c r="E73" s="1790"/>
      <c r="F73" s="1791"/>
      <c r="G73" s="1792">
        <f>+MESIVA!S$37+MESIVA!S$39+MESIVA!S$41</f>
        <v>409069.17</v>
      </c>
      <c r="H73" s="1793">
        <f>+MESIVA!T$37+MESIVA!T$39+MESIVA!T$41</f>
        <v>85904.54</v>
      </c>
      <c r="I73" s="1794">
        <f t="shared" si="1"/>
        <v>-409069.17</v>
      </c>
      <c r="J73" s="1795">
        <f t="shared" si="0"/>
        <v>-85904.54</v>
      </c>
      <c r="K73" s="1363"/>
      <c r="L73" s="1796" t="s">
        <v>1050</v>
      </c>
      <c r="M73" s="1790"/>
      <c r="N73" s="1791"/>
      <c r="O73" s="1792">
        <f>+SUM(MESIVA!S$28:S$31)</f>
        <v>0</v>
      </c>
      <c r="P73" s="1793">
        <f>+SUM(MESIVA!T$28:T$31)</f>
        <v>0</v>
      </c>
      <c r="Q73" s="1794">
        <f t="shared" si="2"/>
        <v>0</v>
      </c>
      <c r="R73" s="1795">
        <f t="shared" si="2"/>
        <v>0</v>
      </c>
    </row>
    <row r="74" spans="3:18" s="1341" customFormat="1" ht="27" customHeight="1" outlineLevel="1">
      <c r="C74" s="2538"/>
      <c r="D74" s="1816" t="s">
        <v>1652</v>
      </c>
      <c r="E74" s="1817"/>
      <c r="F74" s="1818"/>
      <c r="G74" s="1799">
        <f>+MESIVA!$S$42</f>
        <v>0</v>
      </c>
      <c r="H74" s="1799">
        <f>+MESIVA!$T$42</f>
        <v>0</v>
      </c>
      <c r="I74" s="1819">
        <f t="shared" si="1"/>
        <v>0</v>
      </c>
      <c r="J74" s="1820">
        <f t="shared" si="0"/>
        <v>0</v>
      </c>
      <c r="K74" s="1363"/>
      <c r="L74" s="1802" t="s">
        <v>1650</v>
      </c>
      <c r="M74" s="1797"/>
      <c r="N74" s="1798"/>
      <c r="O74" s="1799">
        <f>+MESIVA!$S$32</f>
        <v>0</v>
      </c>
      <c r="P74" s="1799">
        <f>+MESIVA!$T$32</f>
        <v>0</v>
      </c>
      <c r="Q74" s="1800">
        <f t="shared" si="2"/>
        <v>0</v>
      </c>
      <c r="R74" s="1801">
        <f t="shared" si="2"/>
        <v>0</v>
      </c>
    </row>
    <row r="75" spans="3:18" s="1803" customFormat="1" ht="27" customHeight="1">
      <c r="C75" s="2534" t="s">
        <v>1059</v>
      </c>
      <c r="D75" s="2535"/>
      <c r="E75" s="1804">
        <f>SUM(E69:E74)</f>
        <v>0</v>
      </c>
      <c r="F75" s="1805">
        <f t="shared" ref="F75:G75" si="17">SUM(F69:F74)</f>
        <v>0</v>
      </c>
      <c r="G75" s="1804">
        <f t="shared" si="17"/>
        <v>1655497.8199999998</v>
      </c>
      <c r="H75" s="1805">
        <f>SUM(H69:H74)</f>
        <v>347648.18</v>
      </c>
      <c r="I75" s="1804">
        <f t="shared" si="1"/>
        <v>-1655497.8199999998</v>
      </c>
      <c r="J75" s="1806">
        <f t="shared" si="0"/>
        <v>-347648.18</v>
      </c>
      <c r="K75" s="1807"/>
      <c r="L75" s="1821" t="str">
        <f>+C75</f>
        <v>Total periodo Agosto</v>
      </c>
      <c r="M75" s="1804">
        <f>SUM(M69:M74)</f>
        <v>0</v>
      </c>
      <c r="N75" s="1805">
        <f t="shared" ref="N75:P75" si="18">SUM(N69:N74)</f>
        <v>0</v>
      </c>
      <c r="O75" s="1804">
        <f t="shared" si="18"/>
        <v>3294452.76</v>
      </c>
      <c r="P75" s="1805">
        <f t="shared" si="18"/>
        <v>689078.66999999993</v>
      </c>
      <c r="Q75" s="1804">
        <f t="shared" si="2"/>
        <v>-3294452.76</v>
      </c>
      <c r="R75" s="1806">
        <f t="shared" si="2"/>
        <v>-689078.66999999993</v>
      </c>
    </row>
    <row r="76" spans="3:18" s="1341" customFormat="1" ht="27" customHeight="1" outlineLevel="1">
      <c r="C76" s="2536" t="s">
        <v>1007</v>
      </c>
      <c r="D76" s="1809" t="s">
        <v>1046</v>
      </c>
      <c r="E76" s="1810"/>
      <c r="F76" s="1811"/>
      <c r="G76" s="1812">
        <f>+MESIVA!U$36</f>
        <v>1396781.43</v>
      </c>
      <c r="H76" s="1813">
        <f>+MESIVA!V$36</f>
        <v>143859.84</v>
      </c>
      <c r="I76" s="1814">
        <f t="shared" si="1"/>
        <v>-1396781.43</v>
      </c>
      <c r="J76" s="1815">
        <f t="shared" si="0"/>
        <v>-143859.84</v>
      </c>
      <c r="K76" s="1363"/>
      <c r="L76" s="1788" t="s">
        <v>1013</v>
      </c>
      <c r="M76" s="1782"/>
      <c r="N76" s="1783"/>
      <c r="O76" s="1784">
        <f>+SUM(MESIVA!U$18:U$24)</f>
        <v>4058001.49</v>
      </c>
      <c r="P76" s="1785">
        <f>+SUM(MESIVA!V$18:V$24)</f>
        <v>852180.34</v>
      </c>
      <c r="Q76" s="1786">
        <f t="shared" si="2"/>
        <v>-4058001.49</v>
      </c>
      <c r="R76" s="1787">
        <f t="shared" si="2"/>
        <v>-852180.34</v>
      </c>
    </row>
    <row r="77" spans="3:18" s="1341" customFormat="1" ht="27" customHeight="1" outlineLevel="1">
      <c r="C77" s="2537"/>
      <c r="D77" s="1789" t="s">
        <v>1048</v>
      </c>
      <c r="E77" s="1790"/>
      <c r="F77" s="1791"/>
      <c r="G77" s="1792">
        <f>+MESIVA!U$38</f>
        <v>4757310.34</v>
      </c>
      <c r="H77" s="1793">
        <f>+MESIVA!V$38</f>
        <v>999035.17</v>
      </c>
      <c r="I77" s="1794">
        <f t="shared" si="1"/>
        <v>-4757310.34</v>
      </c>
      <c r="J77" s="1795">
        <f t="shared" si="0"/>
        <v>-999035.17</v>
      </c>
      <c r="K77" s="1363"/>
      <c r="L77" s="1796" t="s">
        <v>1051</v>
      </c>
      <c r="M77" s="1790">
        <f>+E78</f>
        <v>0</v>
      </c>
      <c r="N77" s="1791">
        <f>+F78</f>
        <v>0</v>
      </c>
      <c r="O77" s="1792">
        <f>+MESIVA!U$25</f>
        <v>91064.5</v>
      </c>
      <c r="P77" s="1793">
        <f>+MESIVA!V$25</f>
        <v>19123.55</v>
      </c>
      <c r="Q77" s="1794">
        <f t="shared" si="2"/>
        <v>-91064.5</v>
      </c>
      <c r="R77" s="1795">
        <f t="shared" si="2"/>
        <v>-19123.55</v>
      </c>
    </row>
    <row r="78" spans="3:18" s="1341" customFormat="1" ht="27" customHeight="1" outlineLevel="1">
      <c r="C78" s="2537"/>
      <c r="D78" s="1789" t="s">
        <v>1049</v>
      </c>
      <c r="E78" s="1790"/>
      <c r="F78" s="1791"/>
      <c r="G78" s="1792">
        <f>+MESIVA!U$40</f>
        <v>91064.5</v>
      </c>
      <c r="H78" s="1793">
        <f>+MESIVA!V$40</f>
        <v>19123.55</v>
      </c>
      <c r="I78" s="1794">
        <f t="shared" si="1"/>
        <v>-91064.5</v>
      </c>
      <c r="J78" s="1795">
        <f t="shared" si="0"/>
        <v>-19123.55</v>
      </c>
      <c r="K78" s="1363"/>
      <c r="L78" s="1796" t="s">
        <v>1649</v>
      </c>
      <c r="M78" s="1790"/>
      <c r="N78" s="1791"/>
      <c r="O78" s="1792">
        <f>+MESIVA!$U$26</f>
        <v>938976.91</v>
      </c>
      <c r="P78" s="1792">
        <f>+MESIVA!$V$26</f>
        <v>197185.15</v>
      </c>
      <c r="Q78" s="1794">
        <f t="shared" si="2"/>
        <v>-938976.91</v>
      </c>
      <c r="R78" s="1795">
        <f t="shared" si="2"/>
        <v>-197185.15</v>
      </c>
    </row>
    <row r="79" spans="3:18" s="1341" customFormat="1" ht="27" customHeight="1" outlineLevel="1">
      <c r="C79" s="2537"/>
      <c r="D79" s="1789" t="s">
        <v>1023</v>
      </c>
      <c r="E79" s="1790"/>
      <c r="F79" s="1791"/>
      <c r="G79" s="1792">
        <f>+MESIVA!U$43</f>
        <v>0</v>
      </c>
      <c r="H79" s="1793">
        <f>+MESIVA!V$43</f>
        <v>0</v>
      </c>
      <c r="I79" s="1794">
        <f t="shared" si="1"/>
        <v>0</v>
      </c>
      <c r="J79" s="1795">
        <f t="shared" si="0"/>
        <v>0</v>
      </c>
      <c r="K79" s="1363"/>
      <c r="L79" s="1796" t="s">
        <v>1651</v>
      </c>
      <c r="M79" s="1790"/>
      <c r="N79" s="1791"/>
      <c r="O79" s="1792">
        <f>+MESIVA!$U$27</f>
        <v>0</v>
      </c>
      <c r="P79" s="1792">
        <f>+MESIVA!$V$27</f>
        <v>0</v>
      </c>
      <c r="Q79" s="1794">
        <f t="shared" si="2"/>
        <v>0</v>
      </c>
      <c r="R79" s="1795">
        <f t="shared" si="2"/>
        <v>0</v>
      </c>
    </row>
    <row r="80" spans="3:18" s="1341" customFormat="1" ht="27" customHeight="1" outlineLevel="1">
      <c r="C80" s="2537"/>
      <c r="D80" s="1789" t="s">
        <v>1047</v>
      </c>
      <c r="E80" s="1790"/>
      <c r="F80" s="1791"/>
      <c r="G80" s="1792">
        <f>+MESIVA!U$37+MESIVA!U$39+MESIVA!U$41</f>
        <v>703734.98</v>
      </c>
      <c r="H80" s="1793">
        <f>+MESIVA!V$37+MESIVA!V$39+MESIVA!V$41</f>
        <v>147784.34</v>
      </c>
      <c r="I80" s="1794">
        <f t="shared" si="1"/>
        <v>-703734.98</v>
      </c>
      <c r="J80" s="1795">
        <f t="shared" si="0"/>
        <v>-147784.34</v>
      </c>
      <c r="K80" s="1363"/>
      <c r="L80" s="1796" t="s">
        <v>1050</v>
      </c>
      <c r="M80" s="1790"/>
      <c r="N80" s="1791"/>
      <c r="O80" s="1792">
        <f>+SUM(MESIVA!U$28:U$31)</f>
        <v>0</v>
      </c>
      <c r="P80" s="1793">
        <f>+SUM(MESIVA!V$28:V$31)</f>
        <v>0</v>
      </c>
      <c r="Q80" s="1794">
        <f t="shared" si="2"/>
        <v>0</v>
      </c>
      <c r="R80" s="1795">
        <f t="shared" si="2"/>
        <v>0</v>
      </c>
    </row>
    <row r="81" spans="3:18" s="1341" customFormat="1" ht="27" customHeight="1" outlineLevel="1">
      <c r="C81" s="2538"/>
      <c r="D81" s="1816" t="s">
        <v>1652</v>
      </c>
      <c r="E81" s="1817"/>
      <c r="F81" s="1818"/>
      <c r="G81" s="1799">
        <f>+MESIVA!$U$42</f>
        <v>0</v>
      </c>
      <c r="H81" s="1799">
        <f>+MESIVA!$V$42</f>
        <v>0</v>
      </c>
      <c r="I81" s="1819">
        <f t="shared" si="1"/>
        <v>0</v>
      </c>
      <c r="J81" s="1820">
        <f t="shared" si="0"/>
        <v>0</v>
      </c>
      <c r="K81" s="1363"/>
      <c r="L81" s="1802" t="s">
        <v>1650</v>
      </c>
      <c r="M81" s="1797"/>
      <c r="N81" s="1798"/>
      <c r="O81" s="1799">
        <f>+MESIVA!$U$32</f>
        <v>0</v>
      </c>
      <c r="P81" s="1799">
        <f>+MESIVA!$V$32</f>
        <v>0</v>
      </c>
      <c r="Q81" s="1800">
        <f t="shared" si="2"/>
        <v>0</v>
      </c>
      <c r="R81" s="1801">
        <f t="shared" si="2"/>
        <v>0</v>
      </c>
    </row>
    <row r="82" spans="3:18" s="1803" customFormat="1" ht="27" customHeight="1">
      <c r="C82" s="2534" t="s">
        <v>1060</v>
      </c>
      <c r="D82" s="2535"/>
      <c r="E82" s="1804">
        <f>SUM(E76:E81)</f>
        <v>0</v>
      </c>
      <c r="F82" s="1805">
        <f t="shared" ref="F82:H82" si="19">SUM(F76:F81)</f>
        <v>0</v>
      </c>
      <c r="G82" s="1804">
        <f t="shared" si="19"/>
        <v>6948891.25</v>
      </c>
      <c r="H82" s="1805">
        <f t="shared" si="19"/>
        <v>1309802.9000000001</v>
      </c>
      <c r="I82" s="1804">
        <f t="shared" si="1"/>
        <v>-6948891.25</v>
      </c>
      <c r="J82" s="1806">
        <f t="shared" si="0"/>
        <v>-1309802.9000000001</v>
      </c>
      <c r="K82" s="1807"/>
      <c r="L82" s="1821" t="str">
        <f>+C82</f>
        <v>Total periodo Septiembre</v>
      </c>
      <c r="M82" s="1804">
        <f>SUM(M76:M81)</f>
        <v>0</v>
      </c>
      <c r="N82" s="1805">
        <f t="shared" ref="N82:P82" si="20">SUM(N76:N81)</f>
        <v>0</v>
      </c>
      <c r="O82" s="1804">
        <f t="shared" si="20"/>
        <v>5088042.9000000004</v>
      </c>
      <c r="P82" s="1805">
        <f t="shared" si="20"/>
        <v>1068489.04</v>
      </c>
      <c r="Q82" s="1804">
        <f t="shared" si="2"/>
        <v>-5088042.9000000004</v>
      </c>
      <c r="R82" s="1806">
        <f t="shared" si="2"/>
        <v>-1068489.04</v>
      </c>
    </row>
    <row r="83" spans="3:18" s="1341" customFormat="1" ht="27" customHeight="1" outlineLevel="1">
      <c r="C83" s="2536" t="s">
        <v>1008</v>
      </c>
      <c r="D83" s="1809" t="s">
        <v>1046</v>
      </c>
      <c r="E83" s="1810"/>
      <c r="F83" s="1811"/>
      <c r="G83" s="1812">
        <f>+MESIVA!W$36</f>
        <v>1019609.37</v>
      </c>
      <c r="H83" s="1813">
        <f>+MESIVA!X$36</f>
        <v>213927.69</v>
      </c>
      <c r="I83" s="1814">
        <f t="shared" si="1"/>
        <v>-1019609.37</v>
      </c>
      <c r="J83" s="1815">
        <f t="shared" si="0"/>
        <v>-213927.69</v>
      </c>
      <c r="K83" s="1363"/>
      <c r="L83" s="1788" t="s">
        <v>1013</v>
      </c>
      <c r="M83" s="1782"/>
      <c r="N83" s="1783"/>
      <c r="O83" s="1784">
        <f>+SUM(MESIVA!W$18:W$24)</f>
        <v>4321968.5</v>
      </c>
      <c r="P83" s="1785">
        <f>+SUM(MESIVA!X$18:X$24)</f>
        <v>907613.42</v>
      </c>
      <c r="Q83" s="1786">
        <f t="shared" si="2"/>
        <v>-4321968.5</v>
      </c>
      <c r="R83" s="1787">
        <f t="shared" si="2"/>
        <v>-907613.42</v>
      </c>
    </row>
    <row r="84" spans="3:18" s="1341" customFormat="1" ht="27" customHeight="1" outlineLevel="1">
      <c r="C84" s="2537"/>
      <c r="D84" s="1789" t="s">
        <v>1048</v>
      </c>
      <c r="E84" s="1790"/>
      <c r="F84" s="1791"/>
      <c r="G84" s="1792">
        <f>+MESIVA!W$38</f>
        <v>267459.48</v>
      </c>
      <c r="H84" s="1793">
        <f>+MESIVA!X$38</f>
        <v>56166.5</v>
      </c>
      <c r="I84" s="1794">
        <f t="shared" si="1"/>
        <v>-267459.48</v>
      </c>
      <c r="J84" s="1795">
        <f t="shared" si="1"/>
        <v>-56166.5</v>
      </c>
      <c r="K84" s="1363"/>
      <c r="L84" s="1796" t="s">
        <v>1051</v>
      </c>
      <c r="M84" s="1790">
        <f>+E85</f>
        <v>0</v>
      </c>
      <c r="N84" s="1791">
        <f>+F85</f>
        <v>0</v>
      </c>
      <c r="O84" s="1792">
        <f>+MESIVA!W$25</f>
        <v>91436.479999999996</v>
      </c>
      <c r="P84" s="1793">
        <f>+MESIVA!X$25</f>
        <v>19201.66</v>
      </c>
      <c r="Q84" s="1794">
        <f t="shared" si="2"/>
        <v>-91436.479999999996</v>
      </c>
      <c r="R84" s="1795">
        <f t="shared" si="2"/>
        <v>-19201.66</v>
      </c>
    </row>
    <row r="85" spans="3:18" s="1341" customFormat="1" ht="27" customHeight="1" outlineLevel="1">
      <c r="C85" s="2537"/>
      <c r="D85" s="1789" t="s">
        <v>1049</v>
      </c>
      <c r="E85" s="1790"/>
      <c r="F85" s="1791"/>
      <c r="G85" s="1792">
        <f>+MESIVA!W$40</f>
        <v>91436.479999999996</v>
      </c>
      <c r="H85" s="1793">
        <f>+MESIVA!X$40</f>
        <v>19201.66</v>
      </c>
      <c r="I85" s="1794">
        <f t="shared" ref="I85:J103" si="21">+E85-G85</f>
        <v>-91436.479999999996</v>
      </c>
      <c r="J85" s="1795">
        <f t="shared" si="21"/>
        <v>-19201.66</v>
      </c>
      <c r="K85" s="1363"/>
      <c r="L85" s="1796" t="s">
        <v>1649</v>
      </c>
      <c r="M85" s="1790"/>
      <c r="N85" s="1791"/>
      <c r="O85" s="1792">
        <f>+MESIVA!$W$26</f>
        <v>468183.67</v>
      </c>
      <c r="P85" s="1792">
        <f>+MESIVA!$X$26</f>
        <v>98318.57</v>
      </c>
      <c r="Q85" s="1794">
        <f t="shared" ref="Q85:R103" si="22">+M85-O85</f>
        <v>-468183.67</v>
      </c>
      <c r="R85" s="1795">
        <f t="shared" si="22"/>
        <v>-98318.57</v>
      </c>
    </row>
    <row r="86" spans="3:18" s="1341" customFormat="1" ht="27" customHeight="1" outlineLevel="1">
      <c r="C86" s="2537"/>
      <c r="D86" s="1789" t="s">
        <v>1023</v>
      </c>
      <c r="E86" s="1790"/>
      <c r="F86" s="1791"/>
      <c r="G86" s="1792">
        <f>+MESIVA!W$43</f>
        <v>0</v>
      </c>
      <c r="H86" s="1793">
        <f>+MESIVA!X$43</f>
        <v>0</v>
      </c>
      <c r="I86" s="1794">
        <f t="shared" si="21"/>
        <v>0</v>
      </c>
      <c r="J86" s="1795">
        <f t="shared" si="21"/>
        <v>0</v>
      </c>
      <c r="K86" s="1363"/>
      <c r="L86" s="1796" t="s">
        <v>1651</v>
      </c>
      <c r="M86" s="1790"/>
      <c r="N86" s="1791"/>
      <c r="O86" s="1792">
        <f>+MESIVA!$W$27</f>
        <v>0</v>
      </c>
      <c r="P86" s="1792">
        <f>+MESIVA!$X$27</f>
        <v>0</v>
      </c>
      <c r="Q86" s="1794">
        <f t="shared" si="22"/>
        <v>0</v>
      </c>
      <c r="R86" s="1795">
        <f t="shared" si="22"/>
        <v>0</v>
      </c>
    </row>
    <row r="87" spans="3:18" s="1341" customFormat="1" ht="27" customHeight="1" outlineLevel="1">
      <c r="C87" s="2537"/>
      <c r="D87" s="1789" t="s">
        <v>1047</v>
      </c>
      <c r="E87" s="1790"/>
      <c r="F87" s="1791"/>
      <c r="G87" s="1792">
        <f>+MESIVA!W$37+MESIVA!W$39+MESIVA!W$41</f>
        <v>29181.06</v>
      </c>
      <c r="H87" s="1793">
        <f>+MESIVA!X$37+MESIVA!X$39+MESIVA!X$41</f>
        <v>6128.02</v>
      </c>
      <c r="I87" s="1794">
        <f t="shared" si="21"/>
        <v>-29181.06</v>
      </c>
      <c r="J87" s="1795">
        <f t="shared" si="21"/>
        <v>-6128.02</v>
      </c>
      <c r="K87" s="1363"/>
      <c r="L87" s="1796" t="s">
        <v>1050</v>
      </c>
      <c r="M87" s="1790"/>
      <c r="N87" s="1791"/>
      <c r="O87" s="1792">
        <f>+SUM(MESIVA!W$28:W$31)</f>
        <v>0</v>
      </c>
      <c r="P87" s="1793">
        <f>+SUM(MESIVA!X$28:X$31)</f>
        <v>0</v>
      </c>
      <c r="Q87" s="1794">
        <f t="shared" si="22"/>
        <v>0</v>
      </c>
      <c r="R87" s="1795">
        <f t="shared" si="22"/>
        <v>0</v>
      </c>
    </row>
    <row r="88" spans="3:18" s="1341" customFormat="1" ht="27" customHeight="1" outlineLevel="1">
      <c r="C88" s="2538"/>
      <c r="D88" s="1816" t="s">
        <v>1652</v>
      </c>
      <c r="E88" s="1817"/>
      <c r="F88" s="1818"/>
      <c r="G88" s="1799">
        <f>+MESIVA!$W$42</f>
        <v>0</v>
      </c>
      <c r="H88" s="1799">
        <f>+MESIVA!$X$42</f>
        <v>0</v>
      </c>
      <c r="I88" s="1819">
        <f t="shared" si="21"/>
        <v>0</v>
      </c>
      <c r="J88" s="1820">
        <f t="shared" si="21"/>
        <v>0</v>
      </c>
      <c r="K88" s="1363"/>
      <c r="L88" s="1802" t="s">
        <v>1650</v>
      </c>
      <c r="M88" s="1797"/>
      <c r="N88" s="1798"/>
      <c r="O88" s="1799">
        <f>+MESIVA!$W$32</f>
        <v>0</v>
      </c>
      <c r="P88" s="1799">
        <f>+MESIVA!$X$32</f>
        <v>0</v>
      </c>
      <c r="Q88" s="1800">
        <f t="shared" si="22"/>
        <v>0</v>
      </c>
      <c r="R88" s="1801">
        <f t="shared" si="22"/>
        <v>0</v>
      </c>
    </row>
    <row r="89" spans="3:18" s="1803" customFormat="1" ht="27" customHeight="1">
      <c r="C89" s="2534" t="s">
        <v>1061</v>
      </c>
      <c r="D89" s="2535"/>
      <c r="E89" s="1822">
        <f>SUM(E83:E88)</f>
        <v>0</v>
      </c>
      <c r="F89" s="1823">
        <f>SUM(F83:F88)</f>
        <v>0</v>
      </c>
      <c r="G89" s="1822">
        <f>SUM(G83:G88)</f>
        <v>1407686.3900000001</v>
      </c>
      <c r="H89" s="1823">
        <f>SUM(H83:H88)</f>
        <v>295423.87</v>
      </c>
      <c r="I89" s="1822">
        <f t="shared" si="21"/>
        <v>-1407686.3900000001</v>
      </c>
      <c r="J89" s="1824">
        <f t="shared" si="21"/>
        <v>-295423.87</v>
      </c>
      <c r="K89" s="1807"/>
      <c r="L89" s="1821" t="str">
        <f>+C89</f>
        <v>Total periodo Octubre</v>
      </c>
      <c r="M89" s="1804">
        <f>SUM(M83:M88)</f>
        <v>0</v>
      </c>
      <c r="N89" s="1805">
        <f t="shared" ref="N89:P89" si="23">SUM(N83:N88)</f>
        <v>0</v>
      </c>
      <c r="O89" s="1804">
        <f t="shared" si="23"/>
        <v>4881588.6500000004</v>
      </c>
      <c r="P89" s="1805">
        <f t="shared" si="23"/>
        <v>1025133.6500000001</v>
      </c>
      <c r="Q89" s="1804">
        <f t="shared" si="22"/>
        <v>-4881588.6500000004</v>
      </c>
      <c r="R89" s="1806">
        <f t="shared" si="22"/>
        <v>-1025133.6500000001</v>
      </c>
    </row>
    <row r="90" spans="3:18" s="1341" customFormat="1" ht="27" customHeight="1" outlineLevel="1">
      <c r="C90" s="2536" t="s">
        <v>1009</v>
      </c>
      <c r="D90" s="1809" t="s">
        <v>1046</v>
      </c>
      <c r="E90" s="1810"/>
      <c r="F90" s="1811"/>
      <c r="G90" s="1812">
        <f>+MESIVA!Y$36</f>
        <v>898649.62</v>
      </c>
      <c r="H90" s="1813">
        <f>+MESIVA!Z$36</f>
        <v>188634.96</v>
      </c>
      <c r="I90" s="1814">
        <f t="shared" si="21"/>
        <v>-898649.62</v>
      </c>
      <c r="J90" s="1815">
        <f t="shared" si="21"/>
        <v>-188634.96</v>
      </c>
      <c r="K90" s="1363"/>
      <c r="L90" s="1788" t="s">
        <v>1013</v>
      </c>
      <c r="M90" s="1782"/>
      <c r="N90" s="1783"/>
      <c r="O90" s="1784">
        <f>+SUM(MESIVA!Y$18:Y$24)</f>
        <v>4784145.13</v>
      </c>
      <c r="P90" s="1785">
        <f>+SUM(MESIVA!Z$18:Z$24)</f>
        <v>1004670.55</v>
      </c>
      <c r="Q90" s="1786">
        <f t="shared" si="22"/>
        <v>-4784145.13</v>
      </c>
      <c r="R90" s="1787">
        <f t="shared" si="22"/>
        <v>-1004670.55</v>
      </c>
    </row>
    <row r="91" spans="3:18" s="1341" customFormat="1" ht="27" customHeight="1" outlineLevel="1">
      <c r="C91" s="2537"/>
      <c r="D91" s="1789" t="s">
        <v>1048</v>
      </c>
      <c r="E91" s="1790"/>
      <c r="F91" s="1791"/>
      <c r="G91" s="1792">
        <f>+MESIVA!Y$38</f>
        <v>5482285</v>
      </c>
      <c r="H91" s="1793">
        <f>+MESIVA!Z$38</f>
        <v>1151279.8500000001</v>
      </c>
      <c r="I91" s="1794">
        <f t="shared" si="21"/>
        <v>-5482285</v>
      </c>
      <c r="J91" s="1795">
        <f t="shared" si="21"/>
        <v>-1151279.8500000001</v>
      </c>
      <c r="K91" s="1363"/>
      <c r="L91" s="1796" t="s">
        <v>1051</v>
      </c>
      <c r="M91" s="1790">
        <f>+E92</f>
        <v>0</v>
      </c>
      <c r="N91" s="1791">
        <f>+F92</f>
        <v>0</v>
      </c>
      <c r="O91" s="1792">
        <f>+MESIVA!Y$25</f>
        <v>92435.66</v>
      </c>
      <c r="P91" s="1793">
        <f>+MESIVA!Z$25</f>
        <v>19411.490000000002</v>
      </c>
      <c r="Q91" s="1794">
        <f t="shared" si="22"/>
        <v>-92435.66</v>
      </c>
      <c r="R91" s="1795">
        <f t="shared" si="22"/>
        <v>-19411.490000000002</v>
      </c>
    </row>
    <row r="92" spans="3:18" s="1341" customFormat="1" ht="27" customHeight="1" outlineLevel="1">
      <c r="C92" s="2537"/>
      <c r="D92" s="1789" t="s">
        <v>1049</v>
      </c>
      <c r="E92" s="1790"/>
      <c r="F92" s="1791"/>
      <c r="G92" s="1792">
        <f>+MESIVA!Y$40</f>
        <v>92435.66</v>
      </c>
      <c r="H92" s="1793">
        <f>+MESIVA!Z$40</f>
        <v>19411.490000000002</v>
      </c>
      <c r="I92" s="1794">
        <f t="shared" si="21"/>
        <v>-92435.66</v>
      </c>
      <c r="J92" s="1795">
        <f t="shared" si="21"/>
        <v>-19411.490000000002</v>
      </c>
      <c r="K92" s="1363"/>
      <c r="L92" s="1796" t="s">
        <v>1649</v>
      </c>
      <c r="M92" s="1790"/>
      <c r="N92" s="1791"/>
      <c r="O92" s="1792">
        <f>+MESIVA!$Y$26</f>
        <v>519659.3</v>
      </c>
      <c r="P92" s="1792">
        <f>+MESIVA!$Z$26</f>
        <v>109128.45</v>
      </c>
      <c r="Q92" s="1794">
        <f t="shared" si="22"/>
        <v>-519659.3</v>
      </c>
      <c r="R92" s="1795">
        <f t="shared" si="22"/>
        <v>-109128.45</v>
      </c>
    </row>
    <row r="93" spans="3:18" s="1341" customFormat="1" ht="27" customHeight="1" outlineLevel="1">
      <c r="C93" s="2537"/>
      <c r="D93" s="1789" t="s">
        <v>1023</v>
      </c>
      <c r="E93" s="1790"/>
      <c r="F93" s="1791"/>
      <c r="G93" s="1792">
        <f>+MESIVA!Y$43</f>
        <v>0</v>
      </c>
      <c r="H93" s="1793">
        <f>+MESIVA!Z$43</f>
        <v>0</v>
      </c>
      <c r="I93" s="1794">
        <f t="shared" si="21"/>
        <v>0</v>
      </c>
      <c r="J93" s="1795">
        <f t="shared" si="21"/>
        <v>0</v>
      </c>
      <c r="K93" s="1363"/>
      <c r="L93" s="1796" t="s">
        <v>1651</v>
      </c>
      <c r="M93" s="1790"/>
      <c r="N93" s="1791"/>
      <c r="O93" s="1792">
        <f>+MESIVA!$Y$27</f>
        <v>0</v>
      </c>
      <c r="P93" s="1792">
        <f>+MESIVA!$Z$27</f>
        <v>0</v>
      </c>
      <c r="Q93" s="1794">
        <f t="shared" si="22"/>
        <v>0</v>
      </c>
      <c r="R93" s="1795">
        <f t="shared" si="22"/>
        <v>0</v>
      </c>
    </row>
    <row r="94" spans="3:18" s="1341" customFormat="1" ht="27" customHeight="1" outlineLevel="1">
      <c r="C94" s="2537"/>
      <c r="D94" s="1789" t="s">
        <v>1047</v>
      </c>
      <c r="E94" s="1790"/>
      <c r="F94" s="1791"/>
      <c r="G94" s="1792">
        <f>+MESIVA!Y$37+MESIVA!Y$39+MESIVA!Y$41</f>
        <v>250647.42</v>
      </c>
      <c r="H94" s="1793">
        <f>+MESIVA!Z$37+MESIVA!Z$39+MESIVA!Z$41</f>
        <v>52635.96</v>
      </c>
      <c r="I94" s="1794">
        <f t="shared" si="21"/>
        <v>-250647.42</v>
      </c>
      <c r="J94" s="1795">
        <f t="shared" si="21"/>
        <v>-52635.96</v>
      </c>
      <c r="K94" s="1363"/>
      <c r="L94" s="1796" t="s">
        <v>1050</v>
      </c>
      <c r="M94" s="1790"/>
      <c r="N94" s="1791"/>
      <c r="O94" s="1792">
        <f>+SUM(MESIVA!Y$28:Y$31)</f>
        <v>0</v>
      </c>
      <c r="P94" s="1793">
        <f>+SUM(MESIVA!Z$28:Z$31)</f>
        <v>0</v>
      </c>
      <c r="Q94" s="1794">
        <f t="shared" si="22"/>
        <v>0</v>
      </c>
      <c r="R94" s="1795">
        <f t="shared" si="22"/>
        <v>0</v>
      </c>
    </row>
    <row r="95" spans="3:18" s="1341" customFormat="1" ht="27" customHeight="1" outlineLevel="1">
      <c r="C95" s="2538"/>
      <c r="D95" s="1816" t="s">
        <v>1652</v>
      </c>
      <c r="E95" s="1817"/>
      <c r="F95" s="1818"/>
      <c r="G95" s="1799">
        <f>+MESIVA!$Y$42</f>
        <v>0</v>
      </c>
      <c r="H95" s="1799">
        <f>+MESIVA!$Z$42</f>
        <v>0</v>
      </c>
      <c r="I95" s="1819">
        <f t="shared" si="21"/>
        <v>0</v>
      </c>
      <c r="J95" s="1820">
        <f t="shared" si="21"/>
        <v>0</v>
      </c>
      <c r="K95" s="1363"/>
      <c r="L95" s="1802" t="s">
        <v>1650</v>
      </c>
      <c r="M95" s="1797"/>
      <c r="N95" s="1798"/>
      <c r="O95" s="1799">
        <f>+MESIVA!$Y$32</f>
        <v>0</v>
      </c>
      <c r="P95" s="1799">
        <f>+MESIVA!$Z$32</f>
        <v>0</v>
      </c>
      <c r="Q95" s="1800">
        <f t="shared" si="22"/>
        <v>0</v>
      </c>
      <c r="R95" s="1801">
        <f t="shared" si="22"/>
        <v>0</v>
      </c>
    </row>
    <row r="96" spans="3:18" s="1803" customFormat="1" ht="27" customHeight="1">
      <c r="C96" s="2534" t="s">
        <v>1062</v>
      </c>
      <c r="D96" s="2535"/>
      <c r="E96" s="1804">
        <f>SUM(E90:E95)</f>
        <v>0</v>
      </c>
      <c r="F96" s="1805">
        <f t="shared" ref="F96:H96" si="24">SUM(F90:F95)</f>
        <v>0</v>
      </c>
      <c r="G96" s="1804">
        <f t="shared" si="24"/>
        <v>6724017.7000000002</v>
      </c>
      <c r="H96" s="1805">
        <f t="shared" si="24"/>
        <v>1411962.26</v>
      </c>
      <c r="I96" s="1804">
        <f t="shared" si="21"/>
        <v>-6724017.7000000002</v>
      </c>
      <c r="J96" s="1806">
        <f t="shared" si="21"/>
        <v>-1411962.26</v>
      </c>
      <c r="K96" s="1807"/>
      <c r="L96" s="1821" t="str">
        <f>+C96</f>
        <v>Total periodo Noviembre</v>
      </c>
      <c r="M96" s="1804">
        <f>SUM(M90:M95)</f>
        <v>0</v>
      </c>
      <c r="N96" s="1805">
        <f t="shared" ref="N96:P96" si="25">SUM(N90:N95)</f>
        <v>0</v>
      </c>
      <c r="O96" s="1804">
        <f t="shared" si="25"/>
        <v>5396240.0899999999</v>
      </c>
      <c r="P96" s="1805">
        <f t="shared" si="25"/>
        <v>1133210.49</v>
      </c>
      <c r="Q96" s="1804">
        <f t="shared" si="22"/>
        <v>-5396240.0899999999</v>
      </c>
      <c r="R96" s="1806">
        <f t="shared" si="22"/>
        <v>-1133210.49</v>
      </c>
    </row>
    <row r="97" spans="3:18" s="1341" customFormat="1" ht="27" customHeight="1" outlineLevel="1">
      <c r="C97" s="2536" t="s">
        <v>1010</v>
      </c>
      <c r="D97" s="1809" t="s">
        <v>1046</v>
      </c>
      <c r="E97" s="1810"/>
      <c r="F97" s="1811"/>
      <c r="G97" s="1812">
        <f>+MESIVA!AA$36</f>
        <v>795678.46</v>
      </c>
      <c r="H97" s="1813">
        <f>+MESIVA!AB$36</f>
        <v>167001.26</v>
      </c>
      <c r="I97" s="1814">
        <f t="shared" si="21"/>
        <v>-795678.46</v>
      </c>
      <c r="J97" s="1815">
        <f t="shared" si="21"/>
        <v>-167001.26</v>
      </c>
      <c r="K97" s="1363"/>
      <c r="L97" s="1788" t="s">
        <v>1013</v>
      </c>
      <c r="M97" s="1782"/>
      <c r="N97" s="1783"/>
      <c r="O97" s="1784">
        <f>+SUM(MESIVA!AA$18:AA$24)</f>
        <v>3626848.14</v>
      </c>
      <c r="P97" s="1785">
        <f>+SUM(MESIVA!AB$18:AB$24)</f>
        <v>761638.15</v>
      </c>
      <c r="Q97" s="1786">
        <f t="shared" si="22"/>
        <v>-3626848.14</v>
      </c>
      <c r="R97" s="1787">
        <f t="shared" si="22"/>
        <v>-761638.15</v>
      </c>
    </row>
    <row r="98" spans="3:18" s="1341" customFormat="1" ht="27" customHeight="1" outlineLevel="1">
      <c r="C98" s="2537"/>
      <c r="D98" s="1789" t="s">
        <v>1048</v>
      </c>
      <c r="E98" s="1790"/>
      <c r="F98" s="1791"/>
      <c r="G98" s="1792">
        <f>+MESIVA!AA$38</f>
        <v>5337065.46</v>
      </c>
      <c r="H98" s="1793">
        <f>+MESIVA!AB$38</f>
        <v>1120783.75</v>
      </c>
      <c r="I98" s="1794">
        <f t="shared" si="21"/>
        <v>-5337065.46</v>
      </c>
      <c r="J98" s="1795">
        <f t="shared" si="21"/>
        <v>-1120783.75</v>
      </c>
      <c r="K98" s="1363"/>
      <c r="L98" s="1796" t="s">
        <v>1051</v>
      </c>
      <c r="M98" s="1790">
        <f>+E99</f>
        <v>0</v>
      </c>
      <c r="N98" s="1791">
        <f>+F99</f>
        <v>0</v>
      </c>
      <c r="O98" s="1792">
        <f>+MESIVA!AA$25</f>
        <v>38589</v>
      </c>
      <c r="P98" s="1793">
        <f>+MESIVA!AB$25</f>
        <v>8103.69</v>
      </c>
      <c r="Q98" s="1794">
        <f t="shared" si="22"/>
        <v>-38589</v>
      </c>
      <c r="R98" s="1795">
        <f t="shared" si="22"/>
        <v>-8103.69</v>
      </c>
    </row>
    <row r="99" spans="3:18" s="1341" customFormat="1" ht="27" customHeight="1" outlineLevel="1">
      <c r="C99" s="2537"/>
      <c r="D99" s="1789" t="s">
        <v>1049</v>
      </c>
      <c r="E99" s="1790"/>
      <c r="F99" s="1791"/>
      <c r="G99" s="1792">
        <f>+MESIVA!AA$40</f>
        <v>38589</v>
      </c>
      <c r="H99" s="1793">
        <f>+MESIVA!AB$40</f>
        <v>8103.69</v>
      </c>
      <c r="I99" s="1794">
        <f t="shared" si="21"/>
        <v>-38589</v>
      </c>
      <c r="J99" s="1795">
        <f t="shared" si="21"/>
        <v>-8103.69</v>
      </c>
      <c r="K99" s="1363"/>
      <c r="L99" s="1796" t="s">
        <v>1649</v>
      </c>
      <c r="M99" s="1790"/>
      <c r="N99" s="1791"/>
      <c r="O99" s="1792">
        <f>+MESIVA!$AA$26</f>
        <v>426059.62</v>
      </c>
      <c r="P99" s="1792">
        <f>+MESIVA!$AB$26</f>
        <v>89472.54</v>
      </c>
      <c r="Q99" s="1794">
        <f t="shared" si="22"/>
        <v>-426059.62</v>
      </c>
      <c r="R99" s="1795">
        <f t="shared" si="22"/>
        <v>-89472.54</v>
      </c>
    </row>
    <row r="100" spans="3:18" s="1341" customFormat="1" ht="27" customHeight="1" outlineLevel="1">
      <c r="C100" s="2537"/>
      <c r="D100" s="1789" t="s">
        <v>1023</v>
      </c>
      <c r="E100" s="1790"/>
      <c r="F100" s="1791"/>
      <c r="G100" s="1792">
        <f>+MESIVA!AA$43</f>
        <v>0</v>
      </c>
      <c r="H100" s="1793">
        <f>+MESIVA!AB$43</f>
        <v>0</v>
      </c>
      <c r="I100" s="1794">
        <f t="shared" si="21"/>
        <v>0</v>
      </c>
      <c r="J100" s="1795">
        <f t="shared" si="21"/>
        <v>0</v>
      </c>
      <c r="K100" s="1363"/>
      <c r="L100" s="1796" t="s">
        <v>1651</v>
      </c>
      <c r="M100" s="1790"/>
      <c r="N100" s="1791"/>
      <c r="O100" s="1792">
        <f>+MESIVA!$AA$27</f>
        <v>0</v>
      </c>
      <c r="P100" s="1792">
        <f>+MESIVA!$AB$27</f>
        <v>0</v>
      </c>
      <c r="Q100" s="1794">
        <f t="shared" si="22"/>
        <v>0</v>
      </c>
      <c r="R100" s="1795">
        <f t="shared" si="22"/>
        <v>0</v>
      </c>
    </row>
    <row r="101" spans="3:18" s="1341" customFormat="1" ht="27" customHeight="1" outlineLevel="1">
      <c r="C101" s="2537"/>
      <c r="D101" s="1789" t="s">
        <v>1047</v>
      </c>
      <c r="E101" s="1790"/>
      <c r="F101" s="1791"/>
      <c r="G101" s="1792">
        <f>+MESIVA!AA$37+MESIVA!AA$39+MESIVA!AA$41</f>
        <v>45537.22</v>
      </c>
      <c r="H101" s="1793">
        <f>+MESIVA!AB$37+MESIVA!AB$39+MESIVA!AB$41</f>
        <v>9562.82</v>
      </c>
      <c r="I101" s="1794">
        <f t="shared" si="21"/>
        <v>-45537.22</v>
      </c>
      <c r="J101" s="1795">
        <f t="shared" si="21"/>
        <v>-9562.82</v>
      </c>
      <c r="K101" s="1363"/>
      <c r="L101" s="1796" t="s">
        <v>1050</v>
      </c>
      <c r="M101" s="1790"/>
      <c r="N101" s="1791"/>
      <c r="O101" s="1792">
        <f>+SUM(MESIVA!AA$28:AA$31)</f>
        <v>0</v>
      </c>
      <c r="P101" s="1793">
        <f>+SUM(MESIVA!AB$28:AB$31)</f>
        <v>0</v>
      </c>
      <c r="Q101" s="1794">
        <f t="shared" si="22"/>
        <v>0</v>
      </c>
      <c r="R101" s="1795">
        <f t="shared" si="22"/>
        <v>0</v>
      </c>
    </row>
    <row r="102" spans="3:18" s="1341" customFormat="1" ht="27" customHeight="1" outlineLevel="1">
      <c r="C102" s="2538"/>
      <c r="D102" s="1816" t="s">
        <v>1652</v>
      </c>
      <c r="E102" s="1817"/>
      <c r="F102" s="1818"/>
      <c r="G102" s="1799">
        <f>+MESIVA!$AA$42</f>
        <v>0</v>
      </c>
      <c r="H102" s="1799">
        <f>+MESIVA!$AB$42</f>
        <v>0</v>
      </c>
      <c r="I102" s="1819">
        <f t="shared" si="21"/>
        <v>0</v>
      </c>
      <c r="J102" s="1820">
        <f t="shared" si="21"/>
        <v>0</v>
      </c>
      <c r="K102" s="1363"/>
      <c r="L102" s="1802" t="s">
        <v>1650</v>
      </c>
      <c r="M102" s="1797"/>
      <c r="N102" s="1798"/>
      <c r="O102" s="1799">
        <f>+MESIVA!$AA$32</f>
        <v>0</v>
      </c>
      <c r="P102" s="1799">
        <f>+MESIVA!$AB$32</f>
        <v>0</v>
      </c>
      <c r="Q102" s="1800">
        <f t="shared" si="22"/>
        <v>0</v>
      </c>
      <c r="R102" s="1801">
        <f t="shared" si="22"/>
        <v>0</v>
      </c>
    </row>
    <row r="103" spans="3:18" s="1803" customFormat="1" ht="27" customHeight="1">
      <c r="C103" s="2539" t="s">
        <v>1063</v>
      </c>
      <c r="D103" s="2540"/>
      <c r="E103" s="1825">
        <f>SUM(E97:E102)</f>
        <v>0</v>
      </c>
      <c r="F103" s="1826">
        <f t="shared" ref="F103:H103" si="26">SUM(F97:F102)</f>
        <v>0</v>
      </c>
      <c r="G103" s="1825">
        <f t="shared" si="26"/>
        <v>6216870.1399999997</v>
      </c>
      <c r="H103" s="1826">
        <f t="shared" si="26"/>
        <v>1305451.52</v>
      </c>
      <c r="I103" s="1825">
        <f t="shared" si="21"/>
        <v>-6216870.1399999997</v>
      </c>
      <c r="J103" s="1827">
        <f t="shared" si="21"/>
        <v>-1305451.52</v>
      </c>
      <c r="K103" s="1807"/>
      <c r="L103" s="1828" t="str">
        <f>+C103</f>
        <v>Total periodo Diciembre</v>
      </c>
      <c r="M103" s="1825">
        <f>SUM(M97:M102)</f>
        <v>0</v>
      </c>
      <c r="N103" s="1826">
        <f t="shared" ref="N103:P103" si="27">SUM(N97:N102)</f>
        <v>0</v>
      </c>
      <c r="O103" s="1825">
        <f t="shared" si="27"/>
        <v>4091496.7600000002</v>
      </c>
      <c r="P103" s="1826">
        <f t="shared" si="27"/>
        <v>859214.38</v>
      </c>
      <c r="Q103" s="1825">
        <f t="shared" si="22"/>
        <v>-4091496.7600000002</v>
      </c>
      <c r="R103" s="1827">
        <f t="shared" si="22"/>
        <v>-859214.38</v>
      </c>
    </row>
    <row r="104" spans="3:18" s="1341" customFormat="1" ht="15" customHeight="1"/>
    <row r="105" spans="3:18" s="1341" customFormat="1" ht="27" customHeight="1">
      <c r="C105" s="2533" t="s">
        <v>1064</v>
      </c>
      <c r="D105" s="2533"/>
      <c r="E105" s="1823">
        <f t="shared" ref="E105:J105" si="28">SUM(E103,E96,E89,E82,E75,E68,E61,E54,E47,E40,E33,E26)</f>
        <v>0</v>
      </c>
      <c r="F105" s="1823">
        <f t="shared" si="28"/>
        <v>0</v>
      </c>
      <c r="G105" s="1823">
        <f t="shared" si="28"/>
        <v>71294798.429999992</v>
      </c>
      <c r="H105" s="1823">
        <f t="shared" si="28"/>
        <v>14650556.779999999</v>
      </c>
      <c r="I105" s="1822">
        <f t="shared" si="28"/>
        <v>-71294798.429999992</v>
      </c>
      <c r="J105" s="1822">
        <f t="shared" si="28"/>
        <v>-14650556.779999999</v>
      </c>
      <c r="K105" s="1363"/>
      <c r="L105" s="1823" t="str">
        <f>+C105</f>
        <v>Total  Ejercicio</v>
      </c>
      <c r="M105" s="1829">
        <f t="shared" ref="M105:R105" si="29">SUM(M103,M96,M89,M82,M75,M68,M61,M54,M47,M40,M33,M26)</f>
        <v>0</v>
      </c>
      <c r="N105" s="1829">
        <f t="shared" si="29"/>
        <v>0</v>
      </c>
      <c r="O105" s="1829">
        <f t="shared" si="29"/>
        <v>67293872.11999999</v>
      </c>
      <c r="P105" s="1829">
        <f t="shared" si="29"/>
        <v>14128957.270000001</v>
      </c>
      <c r="Q105" s="1822">
        <f t="shared" si="29"/>
        <v>-67293872.11999999</v>
      </c>
      <c r="R105" s="1822">
        <f t="shared" si="29"/>
        <v>-14128957.270000001</v>
      </c>
    </row>
    <row r="106" spans="3:18" s="1341" customFormat="1" ht="15" customHeight="1"/>
    <row r="107" spans="3:18" s="1341" customFormat="1" ht="15" customHeight="1" thickBot="1"/>
    <row r="108" spans="3:18" s="1341" customFormat="1" ht="30" customHeight="1" outlineLevel="1" thickTop="1">
      <c r="C108" s="2541" t="s">
        <v>1735</v>
      </c>
      <c r="D108" s="2541"/>
      <c r="E108" s="1379"/>
      <c r="F108" s="1379"/>
      <c r="G108" s="1379"/>
      <c r="H108" s="1379"/>
      <c r="I108" s="1379"/>
      <c r="J108" s="1379"/>
      <c r="K108" s="1379"/>
      <c r="L108" s="1379"/>
      <c r="M108" s="1379"/>
      <c r="N108" s="1379"/>
      <c r="O108" s="1379"/>
      <c r="P108" s="1379"/>
      <c r="Q108" s="1379"/>
      <c r="R108" s="1379"/>
    </row>
    <row r="109" spans="3:18" s="1341" customFormat="1" ht="15" customHeight="1" outlineLevel="1"/>
    <row r="110" spans="3:18" s="1341" customFormat="1" ht="27" customHeight="1" outlineLevel="2">
      <c r="C110" s="2542" t="s">
        <v>999</v>
      </c>
      <c r="D110" s="1781" t="s">
        <v>1046</v>
      </c>
      <c r="E110" s="1782"/>
      <c r="F110" s="1783"/>
      <c r="G110" s="1784">
        <f>+MESIVA!E$91</f>
        <v>0</v>
      </c>
      <c r="H110" s="1785">
        <f>+MESIVA!F$91</f>
        <v>0</v>
      </c>
      <c r="I110" s="1786">
        <f>+E110-G110</f>
        <v>0</v>
      </c>
      <c r="J110" s="1787">
        <f t="shared" ref="J110:J173" si="30">+F110-H110</f>
        <v>0</v>
      </c>
      <c r="K110" s="1363"/>
      <c r="L110" s="1788" t="s">
        <v>1013</v>
      </c>
      <c r="M110" s="1782"/>
      <c r="N110" s="1783"/>
      <c r="O110" s="1784">
        <f>+SUM(MESIVA!E$73:E$79)</f>
        <v>0</v>
      </c>
      <c r="P110" s="1784">
        <f>+SUM(MESIVA!F$73:F$79)</f>
        <v>0</v>
      </c>
      <c r="Q110" s="1786">
        <f>+M110-O110</f>
        <v>0</v>
      </c>
      <c r="R110" s="1787">
        <f>+N110-P110</f>
        <v>0</v>
      </c>
    </row>
    <row r="111" spans="3:18" s="1341" customFormat="1" ht="27" customHeight="1" outlineLevel="2">
      <c r="C111" s="2537"/>
      <c r="D111" s="1789" t="s">
        <v>1048</v>
      </c>
      <c r="E111" s="1790"/>
      <c r="F111" s="1791"/>
      <c r="G111" s="1792">
        <f>+MESIVA!E$93</f>
        <v>0</v>
      </c>
      <c r="H111" s="1793">
        <f>+MESIVA!F$93</f>
        <v>0</v>
      </c>
      <c r="I111" s="1794">
        <f t="shared" ref="I111:J174" si="31">+E111-G111</f>
        <v>0</v>
      </c>
      <c r="J111" s="1795">
        <f t="shared" si="30"/>
        <v>0</v>
      </c>
      <c r="K111" s="1363"/>
      <c r="L111" s="1796" t="s">
        <v>1051</v>
      </c>
      <c r="M111" s="1790">
        <f>+E112</f>
        <v>0</v>
      </c>
      <c r="N111" s="1791">
        <f>+F112</f>
        <v>0</v>
      </c>
      <c r="O111" s="1792">
        <f>+MESIVA!E$80</f>
        <v>0</v>
      </c>
      <c r="P111" s="1792">
        <f>+MESIVA!F$80</f>
        <v>0</v>
      </c>
      <c r="Q111" s="1794">
        <f t="shared" ref="Q111:R174" si="32">+M111-O111</f>
        <v>0</v>
      </c>
      <c r="R111" s="1795">
        <f t="shared" si="32"/>
        <v>0</v>
      </c>
    </row>
    <row r="112" spans="3:18" s="1341" customFormat="1" ht="27" customHeight="1" outlineLevel="2">
      <c r="C112" s="2537"/>
      <c r="D112" s="1789" t="s">
        <v>1049</v>
      </c>
      <c r="E112" s="1790"/>
      <c r="F112" s="1791"/>
      <c r="G112" s="1792">
        <f>+MESIVA!E$95</f>
        <v>0</v>
      </c>
      <c r="H112" s="1793">
        <f>+MESIVA!F$95</f>
        <v>0</v>
      </c>
      <c r="I112" s="1794">
        <f t="shared" si="31"/>
        <v>0</v>
      </c>
      <c r="J112" s="1795">
        <f t="shared" si="30"/>
        <v>0</v>
      </c>
      <c r="K112" s="1363"/>
      <c r="L112" s="1796" t="s">
        <v>1649</v>
      </c>
      <c r="M112" s="1790"/>
      <c r="N112" s="1791"/>
      <c r="O112" s="1792">
        <f>+MESIVA!E$81</f>
        <v>0</v>
      </c>
      <c r="P112" s="1792">
        <f>+MESIVA!F$81</f>
        <v>0</v>
      </c>
      <c r="Q112" s="1794">
        <f t="shared" si="32"/>
        <v>0</v>
      </c>
      <c r="R112" s="1795">
        <f t="shared" si="32"/>
        <v>0</v>
      </c>
    </row>
    <row r="113" spans="3:18" s="1341" customFormat="1" ht="27" customHeight="1" outlineLevel="2">
      <c r="C113" s="2537"/>
      <c r="D113" s="1789" t="s">
        <v>1023</v>
      </c>
      <c r="E113" s="1790"/>
      <c r="F113" s="1791"/>
      <c r="G113" s="1792">
        <f>+MESIVA!E$98</f>
        <v>0</v>
      </c>
      <c r="H113" s="1793">
        <f>+MESIVA!F$98</f>
        <v>0</v>
      </c>
      <c r="I113" s="1794">
        <f t="shared" si="31"/>
        <v>0</v>
      </c>
      <c r="J113" s="1795">
        <f t="shared" si="30"/>
        <v>0</v>
      </c>
      <c r="K113" s="1363"/>
      <c r="L113" s="1796" t="s">
        <v>1651</v>
      </c>
      <c r="M113" s="1790"/>
      <c r="N113" s="1791"/>
      <c r="O113" s="1792">
        <f>+MESIVA!E$82</f>
        <v>0</v>
      </c>
      <c r="P113" s="1792">
        <f>+MESIVA!F$82</f>
        <v>0</v>
      </c>
      <c r="Q113" s="1794">
        <f t="shared" si="32"/>
        <v>0</v>
      </c>
      <c r="R113" s="1795">
        <f t="shared" si="32"/>
        <v>0</v>
      </c>
    </row>
    <row r="114" spans="3:18" s="1341" customFormat="1" ht="27" customHeight="1" outlineLevel="2">
      <c r="C114" s="2537"/>
      <c r="D114" s="1789" t="s">
        <v>1047</v>
      </c>
      <c r="E114" s="1790"/>
      <c r="F114" s="1791"/>
      <c r="G114" s="1792">
        <f>+MESIVA!E$92+MESIVA!E$94+MESIVA!E$96</f>
        <v>0</v>
      </c>
      <c r="H114" s="1793">
        <f>+MESIVA!F$92+MESIVA!F$94+MESIVA!F$96</f>
        <v>0</v>
      </c>
      <c r="I114" s="1794">
        <f t="shared" si="31"/>
        <v>0</v>
      </c>
      <c r="J114" s="1795">
        <f t="shared" si="30"/>
        <v>0</v>
      </c>
      <c r="K114" s="1363"/>
      <c r="L114" s="1796" t="s">
        <v>1050</v>
      </c>
      <c r="M114" s="1790"/>
      <c r="N114" s="1791"/>
      <c r="O114" s="1792">
        <f>+SUM(MESIVA!E$83:E$86)</f>
        <v>0</v>
      </c>
      <c r="P114" s="1792">
        <f>+SUM(MESIVA!F$83:F$86)</f>
        <v>0</v>
      </c>
      <c r="Q114" s="1794">
        <f t="shared" si="32"/>
        <v>0</v>
      </c>
      <c r="R114" s="1795">
        <f t="shared" si="32"/>
        <v>0</v>
      </c>
    </row>
    <row r="115" spans="3:18" s="1341" customFormat="1" ht="27" customHeight="1" outlineLevel="2">
      <c r="C115" s="2543"/>
      <c r="D115" s="1632" t="s">
        <v>1652</v>
      </c>
      <c r="E115" s="1797"/>
      <c r="F115" s="1798"/>
      <c r="G115" s="1799">
        <f>+MESIVA!E$97</f>
        <v>0</v>
      </c>
      <c r="H115" s="1799">
        <f>+MESIVA!F$97</f>
        <v>0</v>
      </c>
      <c r="I115" s="1800">
        <f t="shared" si="31"/>
        <v>0</v>
      </c>
      <c r="J115" s="1801">
        <f t="shared" si="30"/>
        <v>0</v>
      </c>
      <c r="K115" s="1363"/>
      <c r="L115" s="1802" t="s">
        <v>1650</v>
      </c>
      <c r="M115" s="1797"/>
      <c r="N115" s="1798"/>
      <c r="O115" s="1799">
        <f>+MESIVA!E$87</f>
        <v>0</v>
      </c>
      <c r="P115" s="1799">
        <f>+MESIVA!F$87</f>
        <v>0</v>
      </c>
      <c r="Q115" s="1800">
        <f t="shared" si="32"/>
        <v>0</v>
      </c>
      <c r="R115" s="1801">
        <f t="shared" si="32"/>
        <v>0</v>
      </c>
    </row>
    <row r="116" spans="3:18" s="1803" customFormat="1" ht="27" customHeight="1" outlineLevel="1">
      <c r="C116" s="2544" t="s">
        <v>1052</v>
      </c>
      <c r="D116" s="2545"/>
      <c r="E116" s="1804">
        <f>SUM(E110:E115)</f>
        <v>0</v>
      </c>
      <c r="F116" s="1805">
        <f t="shared" ref="F116:H116" si="33">SUM(F110:F115)</f>
        <v>0</v>
      </c>
      <c r="G116" s="1804">
        <f t="shared" si="33"/>
        <v>0</v>
      </c>
      <c r="H116" s="1805">
        <f t="shared" si="33"/>
        <v>0</v>
      </c>
      <c r="I116" s="1804">
        <f t="shared" si="31"/>
        <v>0</v>
      </c>
      <c r="J116" s="1806">
        <f t="shared" si="30"/>
        <v>0</v>
      </c>
      <c r="K116" s="1807"/>
      <c r="L116" s="1808" t="str">
        <f>+C116</f>
        <v>Total periodo Enero</v>
      </c>
      <c r="M116" s="1804">
        <f>SUM(M110:M115)</f>
        <v>0</v>
      </c>
      <c r="N116" s="1805">
        <f t="shared" ref="N116:P116" si="34">SUM(N110:N115)</f>
        <v>0</v>
      </c>
      <c r="O116" s="1804">
        <f t="shared" si="34"/>
        <v>0</v>
      </c>
      <c r="P116" s="1805">
        <f t="shared" si="34"/>
        <v>0</v>
      </c>
      <c r="Q116" s="1804">
        <f t="shared" si="32"/>
        <v>0</v>
      </c>
      <c r="R116" s="1806">
        <f t="shared" si="32"/>
        <v>0</v>
      </c>
    </row>
    <row r="117" spans="3:18" s="1341" customFormat="1" ht="27" customHeight="1" outlineLevel="2">
      <c r="C117" s="2536" t="s">
        <v>1000</v>
      </c>
      <c r="D117" s="1809" t="s">
        <v>1046</v>
      </c>
      <c r="E117" s="1810"/>
      <c r="F117" s="1811"/>
      <c r="G117" s="1812">
        <f>+MESIVA!G$91</f>
        <v>0</v>
      </c>
      <c r="H117" s="1813">
        <f>+MESIVA!H$91</f>
        <v>0</v>
      </c>
      <c r="I117" s="1814">
        <f t="shared" si="31"/>
        <v>0</v>
      </c>
      <c r="J117" s="1815">
        <f t="shared" si="30"/>
        <v>0</v>
      </c>
      <c r="K117" s="1363"/>
      <c r="L117" s="1788" t="s">
        <v>1013</v>
      </c>
      <c r="M117" s="1782"/>
      <c r="N117" s="1783"/>
      <c r="O117" s="1784">
        <f>+SUM(MESIVA!G$73:G$79)</f>
        <v>0</v>
      </c>
      <c r="P117" s="1785">
        <f>+SUM(MESIVA!H$73:H$79)</f>
        <v>0</v>
      </c>
      <c r="Q117" s="1786">
        <f t="shared" si="32"/>
        <v>0</v>
      </c>
      <c r="R117" s="1787">
        <f t="shared" si="32"/>
        <v>0</v>
      </c>
    </row>
    <row r="118" spans="3:18" s="1341" customFormat="1" ht="27" customHeight="1" outlineLevel="2">
      <c r="C118" s="2537"/>
      <c r="D118" s="1789" t="s">
        <v>1048</v>
      </c>
      <c r="E118" s="1790"/>
      <c r="F118" s="1791"/>
      <c r="G118" s="1792">
        <f>+MESIVA!G$93</f>
        <v>0</v>
      </c>
      <c r="H118" s="1793">
        <f>+MESIVA!H$93</f>
        <v>0</v>
      </c>
      <c r="I118" s="1794">
        <f t="shared" si="31"/>
        <v>0</v>
      </c>
      <c r="J118" s="1795">
        <f t="shared" si="30"/>
        <v>0</v>
      </c>
      <c r="K118" s="1363"/>
      <c r="L118" s="1796" t="s">
        <v>1051</v>
      </c>
      <c r="M118" s="1790">
        <f>+E119</f>
        <v>0</v>
      </c>
      <c r="N118" s="1791">
        <f>+F119</f>
        <v>0</v>
      </c>
      <c r="O118" s="1792">
        <f>+MESIVA!G$80</f>
        <v>0</v>
      </c>
      <c r="P118" s="1793">
        <f>+MESIVA!H$80</f>
        <v>0</v>
      </c>
      <c r="Q118" s="1794">
        <f t="shared" si="32"/>
        <v>0</v>
      </c>
      <c r="R118" s="1795">
        <f t="shared" si="32"/>
        <v>0</v>
      </c>
    </row>
    <row r="119" spans="3:18" s="1341" customFormat="1" ht="27" customHeight="1" outlineLevel="2">
      <c r="C119" s="2537"/>
      <c r="D119" s="1789" t="s">
        <v>1049</v>
      </c>
      <c r="E119" s="1790"/>
      <c r="F119" s="1791"/>
      <c r="G119" s="1792">
        <f>+MESIVA!G$95</f>
        <v>0</v>
      </c>
      <c r="H119" s="1793">
        <f>+MESIVA!H$95</f>
        <v>0</v>
      </c>
      <c r="I119" s="1794">
        <f t="shared" si="31"/>
        <v>0</v>
      </c>
      <c r="J119" s="1795">
        <f t="shared" si="30"/>
        <v>0</v>
      </c>
      <c r="K119" s="1363"/>
      <c r="L119" s="1796" t="s">
        <v>1649</v>
      </c>
      <c r="M119" s="1790"/>
      <c r="N119" s="1791"/>
      <c r="O119" s="1792">
        <f>+MESIVA!G$81</f>
        <v>0</v>
      </c>
      <c r="P119" s="1792">
        <f>+MESIVA!H$81</f>
        <v>0</v>
      </c>
      <c r="Q119" s="1794">
        <f t="shared" si="32"/>
        <v>0</v>
      </c>
      <c r="R119" s="1795">
        <f t="shared" si="32"/>
        <v>0</v>
      </c>
    </row>
    <row r="120" spans="3:18" s="1341" customFormat="1" ht="27" customHeight="1" outlineLevel="2">
      <c r="C120" s="2537"/>
      <c r="D120" s="1789" t="s">
        <v>1023</v>
      </c>
      <c r="E120" s="1790"/>
      <c r="F120" s="1791"/>
      <c r="G120" s="1792">
        <f>+MESIVA!G$98</f>
        <v>0</v>
      </c>
      <c r="H120" s="1793">
        <f>+MESIVA!H$98</f>
        <v>0</v>
      </c>
      <c r="I120" s="1794">
        <f t="shared" si="31"/>
        <v>0</v>
      </c>
      <c r="J120" s="1795">
        <f t="shared" si="30"/>
        <v>0</v>
      </c>
      <c r="K120" s="1363"/>
      <c r="L120" s="1796" t="s">
        <v>1651</v>
      </c>
      <c r="M120" s="1790"/>
      <c r="N120" s="1791"/>
      <c r="O120" s="1792">
        <f>+MESIVA!G$82</f>
        <v>0</v>
      </c>
      <c r="P120" s="1792">
        <f>+MESIVA!H$82</f>
        <v>0</v>
      </c>
      <c r="Q120" s="1794">
        <f t="shared" si="32"/>
        <v>0</v>
      </c>
      <c r="R120" s="1795">
        <f t="shared" si="32"/>
        <v>0</v>
      </c>
    </row>
    <row r="121" spans="3:18" s="1341" customFormat="1" ht="27" customHeight="1" outlineLevel="2">
      <c r="C121" s="2537"/>
      <c r="D121" s="1789" t="s">
        <v>1047</v>
      </c>
      <c r="E121" s="1790"/>
      <c r="F121" s="1791"/>
      <c r="G121" s="1792">
        <f>+MESIVA!G$92+MESIVA!G$94+MESIVA!G$96</f>
        <v>0</v>
      </c>
      <c r="H121" s="1793">
        <f>+MESIVA!H$92+MESIVA!H$94+MESIVA!H$96</f>
        <v>0</v>
      </c>
      <c r="I121" s="1794">
        <f t="shared" si="31"/>
        <v>0</v>
      </c>
      <c r="J121" s="1795">
        <f t="shared" si="30"/>
        <v>0</v>
      </c>
      <c r="K121" s="1363"/>
      <c r="L121" s="1796" t="s">
        <v>1050</v>
      </c>
      <c r="M121" s="1790"/>
      <c r="N121" s="1791"/>
      <c r="O121" s="1792">
        <f>+SUM(MESIVA!G$83:G$86)</f>
        <v>0</v>
      </c>
      <c r="P121" s="1793">
        <f>+SUM(MESIVA!H$83:H$86)</f>
        <v>0</v>
      </c>
      <c r="Q121" s="1794">
        <f t="shared" si="32"/>
        <v>0</v>
      </c>
      <c r="R121" s="1795">
        <f t="shared" si="32"/>
        <v>0</v>
      </c>
    </row>
    <row r="122" spans="3:18" s="1341" customFormat="1" ht="27" customHeight="1" outlineLevel="2">
      <c r="C122" s="2538"/>
      <c r="D122" s="1816" t="s">
        <v>1652</v>
      </c>
      <c r="E122" s="1817"/>
      <c r="F122" s="1818"/>
      <c r="G122" s="1799">
        <f>+MESIVA!G$97</f>
        <v>0</v>
      </c>
      <c r="H122" s="1799">
        <f>+MESIVA!H$97</f>
        <v>0</v>
      </c>
      <c r="I122" s="1819">
        <f t="shared" si="31"/>
        <v>0</v>
      </c>
      <c r="J122" s="1820">
        <f t="shared" si="30"/>
        <v>0</v>
      </c>
      <c r="K122" s="1363"/>
      <c r="L122" s="1802" t="s">
        <v>1650</v>
      </c>
      <c r="M122" s="1797"/>
      <c r="N122" s="1798"/>
      <c r="O122" s="1799">
        <f>+MESIVA!G$87</f>
        <v>0</v>
      </c>
      <c r="P122" s="1799">
        <f>+MESIVA!H$87</f>
        <v>0</v>
      </c>
      <c r="Q122" s="1800">
        <f t="shared" si="32"/>
        <v>0</v>
      </c>
      <c r="R122" s="1801">
        <f t="shared" si="32"/>
        <v>0</v>
      </c>
    </row>
    <row r="123" spans="3:18" s="1803" customFormat="1" ht="27" customHeight="1" outlineLevel="1">
      <c r="C123" s="2534" t="s">
        <v>1053</v>
      </c>
      <c r="D123" s="2535"/>
      <c r="E123" s="1804">
        <f>SUM(E117:E122)</f>
        <v>0</v>
      </c>
      <c r="F123" s="1805">
        <f t="shared" ref="F123:H123" si="35">SUM(F117:F122)</f>
        <v>0</v>
      </c>
      <c r="G123" s="1804">
        <f t="shared" si="35"/>
        <v>0</v>
      </c>
      <c r="H123" s="1805">
        <f t="shared" si="35"/>
        <v>0</v>
      </c>
      <c r="I123" s="1804">
        <f t="shared" si="31"/>
        <v>0</v>
      </c>
      <c r="J123" s="1806">
        <f t="shared" si="30"/>
        <v>0</v>
      </c>
      <c r="K123" s="1807"/>
      <c r="L123" s="1821" t="str">
        <f>+C123</f>
        <v>Total periodo Febrero</v>
      </c>
      <c r="M123" s="1804">
        <f>SUM(M117:M122)</f>
        <v>0</v>
      </c>
      <c r="N123" s="1805">
        <f t="shared" ref="N123:P123" si="36">SUM(N117:N122)</f>
        <v>0</v>
      </c>
      <c r="O123" s="1804">
        <f t="shared" si="36"/>
        <v>0</v>
      </c>
      <c r="P123" s="1805">
        <f t="shared" si="36"/>
        <v>0</v>
      </c>
      <c r="Q123" s="1804">
        <f t="shared" si="32"/>
        <v>0</v>
      </c>
      <c r="R123" s="1806">
        <f t="shared" si="32"/>
        <v>0</v>
      </c>
    </row>
    <row r="124" spans="3:18" s="1341" customFormat="1" ht="27" customHeight="1" outlineLevel="2">
      <c r="C124" s="2536" t="s">
        <v>1001</v>
      </c>
      <c r="D124" s="1809" t="s">
        <v>1046</v>
      </c>
      <c r="E124" s="1810"/>
      <c r="F124" s="1811"/>
      <c r="G124" s="1784">
        <f>+MESIVA!I$91</f>
        <v>0</v>
      </c>
      <c r="H124" s="1813">
        <f>+MESIVA!J$91</f>
        <v>0</v>
      </c>
      <c r="I124" s="1814">
        <f t="shared" si="31"/>
        <v>0</v>
      </c>
      <c r="J124" s="1815">
        <f t="shared" si="30"/>
        <v>0</v>
      </c>
      <c r="K124" s="1363"/>
      <c r="L124" s="1788" t="s">
        <v>1013</v>
      </c>
      <c r="M124" s="1782"/>
      <c r="N124" s="1783"/>
      <c r="O124" s="1784">
        <f>+SUM(MESIVA!I$73:I$79)</f>
        <v>0</v>
      </c>
      <c r="P124" s="1785">
        <f>+SUM(MESIVA!J$73:J$79)</f>
        <v>0</v>
      </c>
      <c r="Q124" s="1786">
        <f t="shared" si="32"/>
        <v>0</v>
      </c>
      <c r="R124" s="1787">
        <f t="shared" si="32"/>
        <v>0</v>
      </c>
    </row>
    <row r="125" spans="3:18" s="1341" customFormat="1" ht="27" customHeight="1" outlineLevel="2">
      <c r="C125" s="2537"/>
      <c r="D125" s="1789" t="s">
        <v>1048</v>
      </c>
      <c r="E125" s="1790"/>
      <c r="F125" s="1791"/>
      <c r="G125" s="1792">
        <f>+MESIVA!I$93</f>
        <v>0</v>
      </c>
      <c r="H125" s="1793">
        <f>+MESIVA!J$93</f>
        <v>0</v>
      </c>
      <c r="I125" s="1794">
        <f t="shared" si="31"/>
        <v>0</v>
      </c>
      <c r="J125" s="1795">
        <f t="shared" si="30"/>
        <v>0</v>
      </c>
      <c r="K125" s="1363"/>
      <c r="L125" s="1796" t="s">
        <v>1051</v>
      </c>
      <c r="M125" s="1790">
        <f>+E126</f>
        <v>0</v>
      </c>
      <c r="N125" s="1791">
        <f>+F126</f>
        <v>0</v>
      </c>
      <c r="O125" s="1792">
        <f>+MESIVA!I$80</f>
        <v>0</v>
      </c>
      <c r="P125" s="1793">
        <f>+MESIVA!J$80</f>
        <v>0</v>
      </c>
      <c r="Q125" s="1794">
        <f t="shared" si="32"/>
        <v>0</v>
      </c>
      <c r="R125" s="1795">
        <f t="shared" si="32"/>
        <v>0</v>
      </c>
    </row>
    <row r="126" spans="3:18" s="1341" customFormat="1" ht="27" customHeight="1" outlineLevel="2">
      <c r="C126" s="2537"/>
      <c r="D126" s="1789" t="s">
        <v>1049</v>
      </c>
      <c r="E126" s="1790"/>
      <c r="F126" s="1791"/>
      <c r="G126" s="1792">
        <f>+MESIVA!I$95</f>
        <v>0</v>
      </c>
      <c r="H126" s="1793">
        <f>+MESIVA!J$95</f>
        <v>0</v>
      </c>
      <c r="I126" s="1794">
        <f t="shared" si="31"/>
        <v>0</v>
      </c>
      <c r="J126" s="1795">
        <f t="shared" si="30"/>
        <v>0</v>
      </c>
      <c r="K126" s="1363"/>
      <c r="L126" s="1796" t="s">
        <v>1649</v>
      </c>
      <c r="M126" s="1790"/>
      <c r="N126" s="1791"/>
      <c r="O126" s="1792">
        <f>+MESIVA!I$81</f>
        <v>0</v>
      </c>
      <c r="P126" s="1792">
        <f>+MESIVA!J$81</f>
        <v>0</v>
      </c>
      <c r="Q126" s="1794">
        <f t="shared" si="32"/>
        <v>0</v>
      </c>
      <c r="R126" s="1795">
        <f t="shared" si="32"/>
        <v>0</v>
      </c>
    </row>
    <row r="127" spans="3:18" s="1341" customFormat="1" ht="27" customHeight="1" outlineLevel="2">
      <c r="C127" s="2537"/>
      <c r="D127" s="1789" t="s">
        <v>1023</v>
      </c>
      <c r="E127" s="1790"/>
      <c r="F127" s="1791"/>
      <c r="G127" s="1792">
        <f>+MESIVA!I$98</f>
        <v>0</v>
      </c>
      <c r="H127" s="1793">
        <f>+MESIVA!J$98</f>
        <v>0</v>
      </c>
      <c r="I127" s="1794">
        <f t="shared" si="31"/>
        <v>0</v>
      </c>
      <c r="J127" s="1795">
        <f t="shared" si="30"/>
        <v>0</v>
      </c>
      <c r="K127" s="1363"/>
      <c r="L127" s="1796" t="s">
        <v>1651</v>
      </c>
      <c r="M127" s="1790"/>
      <c r="N127" s="1791"/>
      <c r="O127" s="1792">
        <f>+MESIVA!I$82</f>
        <v>0</v>
      </c>
      <c r="P127" s="1792">
        <f>+MESIVA!J$82</f>
        <v>0</v>
      </c>
      <c r="Q127" s="1794">
        <f t="shared" si="32"/>
        <v>0</v>
      </c>
      <c r="R127" s="1795">
        <f t="shared" si="32"/>
        <v>0</v>
      </c>
    </row>
    <row r="128" spans="3:18" s="1341" customFormat="1" ht="27" customHeight="1" outlineLevel="2">
      <c r="C128" s="2537"/>
      <c r="D128" s="1789" t="s">
        <v>1047</v>
      </c>
      <c r="E128" s="1790"/>
      <c r="F128" s="1791"/>
      <c r="G128" s="1792">
        <f>+MESIVA!I$92+MESIVA!I$94+MESIVA!I$96</f>
        <v>0</v>
      </c>
      <c r="H128" s="1793">
        <f>+MESIVA!J$92+MESIVA!J$94+MESIVA!J$96</f>
        <v>0</v>
      </c>
      <c r="I128" s="1794">
        <f t="shared" si="31"/>
        <v>0</v>
      </c>
      <c r="J128" s="1795">
        <f t="shared" si="30"/>
        <v>0</v>
      </c>
      <c r="K128" s="1363"/>
      <c r="L128" s="1796" t="s">
        <v>1050</v>
      </c>
      <c r="M128" s="1790"/>
      <c r="N128" s="1791"/>
      <c r="O128" s="1792">
        <f>+SUM(MESIVA!I$83:I$86)</f>
        <v>0</v>
      </c>
      <c r="P128" s="1793">
        <f>+SUM(MESIVA!J$83:J$86)</f>
        <v>0</v>
      </c>
      <c r="Q128" s="1794">
        <f t="shared" si="32"/>
        <v>0</v>
      </c>
      <c r="R128" s="1795">
        <f t="shared" si="32"/>
        <v>0</v>
      </c>
    </row>
    <row r="129" spans="3:18" s="1341" customFormat="1" ht="27" customHeight="1" outlineLevel="2">
      <c r="C129" s="2538"/>
      <c r="D129" s="1816" t="s">
        <v>1652</v>
      </c>
      <c r="E129" s="1817"/>
      <c r="F129" s="1818"/>
      <c r="G129" s="1799">
        <f>+MESIVA!I$97</f>
        <v>0</v>
      </c>
      <c r="H129" s="1799">
        <f>+MESIVA!J$97</f>
        <v>0</v>
      </c>
      <c r="I129" s="1819">
        <f t="shared" si="31"/>
        <v>0</v>
      </c>
      <c r="J129" s="1820">
        <f t="shared" si="30"/>
        <v>0</v>
      </c>
      <c r="K129" s="1363"/>
      <c r="L129" s="1802" t="s">
        <v>1650</v>
      </c>
      <c r="M129" s="1797"/>
      <c r="N129" s="1798"/>
      <c r="O129" s="1799">
        <f>+MESIVA!I$87</f>
        <v>0</v>
      </c>
      <c r="P129" s="1799">
        <f>+MESIVA!J$87</f>
        <v>0</v>
      </c>
      <c r="Q129" s="1800">
        <f t="shared" si="32"/>
        <v>0</v>
      </c>
      <c r="R129" s="1801">
        <f t="shared" si="32"/>
        <v>0</v>
      </c>
    </row>
    <row r="130" spans="3:18" s="1803" customFormat="1" ht="27" customHeight="1" outlineLevel="1">
      <c r="C130" s="2534" t="s">
        <v>1054</v>
      </c>
      <c r="D130" s="2535"/>
      <c r="E130" s="1804">
        <f>SUM(E124:E129)</f>
        <v>0</v>
      </c>
      <c r="F130" s="1805">
        <f t="shared" ref="F130:H130" si="37">SUM(F124:F129)</f>
        <v>0</v>
      </c>
      <c r="G130" s="1804">
        <f t="shared" si="37"/>
        <v>0</v>
      </c>
      <c r="H130" s="1805">
        <f t="shared" si="37"/>
        <v>0</v>
      </c>
      <c r="I130" s="1804">
        <f t="shared" si="31"/>
        <v>0</v>
      </c>
      <c r="J130" s="1806">
        <f t="shared" si="30"/>
        <v>0</v>
      </c>
      <c r="K130" s="1807"/>
      <c r="L130" s="1821" t="str">
        <f>+C130</f>
        <v>Total periodo Marzo</v>
      </c>
      <c r="M130" s="1804">
        <f>SUM(M124:M129)</f>
        <v>0</v>
      </c>
      <c r="N130" s="1805">
        <f t="shared" ref="N130:P130" si="38">SUM(N124:N129)</f>
        <v>0</v>
      </c>
      <c r="O130" s="1804">
        <f t="shared" si="38"/>
        <v>0</v>
      </c>
      <c r="P130" s="1805">
        <f t="shared" si="38"/>
        <v>0</v>
      </c>
      <c r="Q130" s="1804">
        <f t="shared" si="32"/>
        <v>0</v>
      </c>
      <c r="R130" s="1806">
        <f t="shared" si="32"/>
        <v>0</v>
      </c>
    </row>
    <row r="131" spans="3:18" s="1341" customFormat="1" ht="27" customHeight="1" outlineLevel="2">
      <c r="C131" s="2536" t="s">
        <v>1002</v>
      </c>
      <c r="D131" s="1809" t="s">
        <v>1046</v>
      </c>
      <c r="E131" s="1810"/>
      <c r="F131" s="1811"/>
      <c r="G131" s="1784">
        <f>+MESIVA!K$91</f>
        <v>0</v>
      </c>
      <c r="H131" s="1813">
        <f>+MESIVA!L$91</f>
        <v>0</v>
      </c>
      <c r="I131" s="1814">
        <f t="shared" si="31"/>
        <v>0</v>
      </c>
      <c r="J131" s="1815">
        <f t="shared" si="30"/>
        <v>0</v>
      </c>
      <c r="K131" s="1363"/>
      <c r="L131" s="1788" t="s">
        <v>1013</v>
      </c>
      <c r="M131" s="1782"/>
      <c r="N131" s="1783"/>
      <c r="O131" s="1784">
        <f>+SUM(MESIVA!K$73:K$79)</f>
        <v>0</v>
      </c>
      <c r="P131" s="1785">
        <f>+SUM(MESIVA!L$73:L$79)</f>
        <v>0</v>
      </c>
      <c r="Q131" s="1786">
        <f t="shared" si="32"/>
        <v>0</v>
      </c>
      <c r="R131" s="1787">
        <f t="shared" si="32"/>
        <v>0</v>
      </c>
    </row>
    <row r="132" spans="3:18" s="1341" customFormat="1" ht="27" customHeight="1" outlineLevel="2">
      <c r="C132" s="2537"/>
      <c r="D132" s="1789" t="s">
        <v>1048</v>
      </c>
      <c r="E132" s="1790"/>
      <c r="F132" s="1791"/>
      <c r="G132" s="1792">
        <f>+MESIVA!K$93</f>
        <v>0</v>
      </c>
      <c r="H132" s="1793">
        <f>+MESIVA!L$93</f>
        <v>0</v>
      </c>
      <c r="I132" s="1794">
        <f t="shared" si="31"/>
        <v>0</v>
      </c>
      <c r="J132" s="1795">
        <f t="shared" si="30"/>
        <v>0</v>
      </c>
      <c r="K132" s="1363"/>
      <c r="L132" s="1796" t="s">
        <v>1051</v>
      </c>
      <c r="M132" s="1790">
        <f>+E133</f>
        <v>0</v>
      </c>
      <c r="N132" s="1791">
        <f>+F133</f>
        <v>0</v>
      </c>
      <c r="O132" s="1792">
        <f>+MESIVA!K$80</f>
        <v>0</v>
      </c>
      <c r="P132" s="1793">
        <f>+MESIVA!L$80</f>
        <v>0</v>
      </c>
      <c r="Q132" s="1794">
        <f t="shared" si="32"/>
        <v>0</v>
      </c>
      <c r="R132" s="1795">
        <f t="shared" si="32"/>
        <v>0</v>
      </c>
    </row>
    <row r="133" spans="3:18" s="1341" customFormat="1" ht="27" customHeight="1" outlineLevel="2">
      <c r="C133" s="2537"/>
      <c r="D133" s="1789" t="s">
        <v>1049</v>
      </c>
      <c r="E133" s="1790"/>
      <c r="F133" s="1791"/>
      <c r="G133" s="1792">
        <f>+MESIVA!K$95</f>
        <v>0</v>
      </c>
      <c r="H133" s="1793">
        <f>+MESIVA!L$95</f>
        <v>0</v>
      </c>
      <c r="I133" s="1794">
        <f t="shared" si="31"/>
        <v>0</v>
      </c>
      <c r="J133" s="1795">
        <f t="shared" si="30"/>
        <v>0</v>
      </c>
      <c r="K133" s="1363"/>
      <c r="L133" s="1796" t="s">
        <v>1649</v>
      </c>
      <c r="M133" s="1790"/>
      <c r="N133" s="1791"/>
      <c r="O133" s="1792">
        <f>+MESIVA!K$81</f>
        <v>0</v>
      </c>
      <c r="P133" s="1792">
        <f>+MESIVA!L$81</f>
        <v>0</v>
      </c>
      <c r="Q133" s="1794">
        <f t="shared" si="32"/>
        <v>0</v>
      </c>
      <c r="R133" s="1795">
        <f t="shared" si="32"/>
        <v>0</v>
      </c>
    </row>
    <row r="134" spans="3:18" s="1341" customFormat="1" ht="27" customHeight="1" outlineLevel="2">
      <c r="C134" s="2537"/>
      <c r="D134" s="1789" t="s">
        <v>1023</v>
      </c>
      <c r="E134" s="1790"/>
      <c r="F134" s="1791"/>
      <c r="G134" s="1792">
        <f>+MESIVA!K$98</f>
        <v>0</v>
      </c>
      <c r="H134" s="1793">
        <f>+MESIVA!L$98</f>
        <v>0</v>
      </c>
      <c r="I134" s="1794">
        <f t="shared" si="31"/>
        <v>0</v>
      </c>
      <c r="J134" s="1795">
        <f t="shared" si="30"/>
        <v>0</v>
      </c>
      <c r="K134" s="1363"/>
      <c r="L134" s="1796" t="s">
        <v>1651</v>
      </c>
      <c r="M134" s="1790"/>
      <c r="N134" s="1791"/>
      <c r="O134" s="1792">
        <f>+MESIVA!K$82</f>
        <v>0</v>
      </c>
      <c r="P134" s="1792">
        <f>+MESIVA!L$82</f>
        <v>0</v>
      </c>
      <c r="Q134" s="1794">
        <f t="shared" si="32"/>
        <v>0</v>
      </c>
      <c r="R134" s="1795">
        <f t="shared" si="32"/>
        <v>0</v>
      </c>
    </row>
    <row r="135" spans="3:18" s="1341" customFormat="1" ht="27" customHeight="1" outlineLevel="2">
      <c r="C135" s="2537"/>
      <c r="D135" s="1789" t="s">
        <v>1047</v>
      </c>
      <c r="E135" s="1790"/>
      <c r="F135" s="1791"/>
      <c r="G135" s="1792">
        <f>+MESIVA!K$92+MESIVA!K$94+MESIVA!K$96</f>
        <v>0</v>
      </c>
      <c r="H135" s="1793">
        <f>+MESIVA!L$92+MESIVA!L$94+MESIVA!L$96</f>
        <v>0</v>
      </c>
      <c r="I135" s="1794">
        <f t="shared" si="31"/>
        <v>0</v>
      </c>
      <c r="J135" s="1795">
        <f t="shared" si="30"/>
        <v>0</v>
      </c>
      <c r="K135" s="1363"/>
      <c r="L135" s="1796" t="s">
        <v>1050</v>
      </c>
      <c r="M135" s="1790"/>
      <c r="N135" s="1791"/>
      <c r="O135" s="1792">
        <f>+SUM(MESIVA!K$83:K$86)</f>
        <v>0</v>
      </c>
      <c r="P135" s="1793">
        <f>+SUM(MESIVA!L$83:L$86)</f>
        <v>0</v>
      </c>
      <c r="Q135" s="1794">
        <f t="shared" si="32"/>
        <v>0</v>
      </c>
      <c r="R135" s="1795">
        <f t="shared" si="32"/>
        <v>0</v>
      </c>
    </row>
    <row r="136" spans="3:18" s="1341" customFormat="1" ht="27" customHeight="1" outlineLevel="2">
      <c r="C136" s="2538"/>
      <c r="D136" s="1816" t="s">
        <v>1652</v>
      </c>
      <c r="E136" s="1817"/>
      <c r="F136" s="1818"/>
      <c r="G136" s="1799">
        <f>+MESIVA!K$97</f>
        <v>0</v>
      </c>
      <c r="H136" s="1799">
        <f>+MESIVA!L$97</f>
        <v>0</v>
      </c>
      <c r="I136" s="1819">
        <f t="shared" si="31"/>
        <v>0</v>
      </c>
      <c r="J136" s="1820">
        <f t="shared" si="30"/>
        <v>0</v>
      </c>
      <c r="K136" s="1363"/>
      <c r="L136" s="1802" t="s">
        <v>1650</v>
      </c>
      <c r="M136" s="1797"/>
      <c r="N136" s="1798"/>
      <c r="O136" s="1799">
        <f>+MESIVA!K$87</f>
        <v>0</v>
      </c>
      <c r="P136" s="1799">
        <f>+MESIVA!L$87</f>
        <v>0</v>
      </c>
      <c r="Q136" s="1800">
        <f t="shared" si="32"/>
        <v>0</v>
      </c>
      <c r="R136" s="1801">
        <f t="shared" si="32"/>
        <v>0</v>
      </c>
    </row>
    <row r="137" spans="3:18" s="1803" customFormat="1" ht="27" customHeight="1" outlineLevel="1">
      <c r="C137" s="2534" t="s">
        <v>1055</v>
      </c>
      <c r="D137" s="2535"/>
      <c r="E137" s="1804">
        <f>SUM(E131:E136)</f>
        <v>0</v>
      </c>
      <c r="F137" s="1805">
        <f t="shared" ref="F137:H137" si="39">SUM(F131:F136)</f>
        <v>0</v>
      </c>
      <c r="G137" s="1804">
        <f t="shared" si="39"/>
        <v>0</v>
      </c>
      <c r="H137" s="1805">
        <f t="shared" si="39"/>
        <v>0</v>
      </c>
      <c r="I137" s="1804">
        <f t="shared" si="31"/>
        <v>0</v>
      </c>
      <c r="J137" s="1806">
        <f t="shared" si="30"/>
        <v>0</v>
      </c>
      <c r="K137" s="1807"/>
      <c r="L137" s="1821" t="str">
        <f>+C137</f>
        <v>Total periodo Abril</v>
      </c>
      <c r="M137" s="1804">
        <f>SUM(M131:M136)</f>
        <v>0</v>
      </c>
      <c r="N137" s="1805">
        <f t="shared" ref="N137:P137" si="40">SUM(N131:N136)</f>
        <v>0</v>
      </c>
      <c r="O137" s="1804">
        <f t="shared" si="40"/>
        <v>0</v>
      </c>
      <c r="P137" s="1805">
        <f t="shared" si="40"/>
        <v>0</v>
      </c>
      <c r="Q137" s="1804">
        <f t="shared" si="32"/>
        <v>0</v>
      </c>
      <c r="R137" s="1806">
        <f t="shared" si="32"/>
        <v>0</v>
      </c>
    </row>
    <row r="138" spans="3:18" s="1341" customFormat="1" ht="27" customHeight="1" outlineLevel="2">
      <c r="C138" s="2536" t="s">
        <v>1003</v>
      </c>
      <c r="D138" s="1809" t="s">
        <v>1046</v>
      </c>
      <c r="E138" s="1810"/>
      <c r="F138" s="1811"/>
      <c r="G138" s="1784">
        <f>+MESIVA!M$91</f>
        <v>0</v>
      </c>
      <c r="H138" s="1813">
        <f>+MESIVA!N$91</f>
        <v>0</v>
      </c>
      <c r="I138" s="1814">
        <f t="shared" si="31"/>
        <v>0</v>
      </c>
      <c r="J138" s="1815">
        <f t="shared" si="30"/>
        <v>0</v>
      </c>
      <c r="K138" s="1363"/>
      <c r="L138" s="1788" t="s">
        <v>1013</v>
      </c>
      <c r="M138" s="1782"/>
      <c r="N138" s="1783"/>
      <c r="O138" s="1784">
        <f>+SUM(MESIVA!M$73:M$79)</f>
        <v>0</v>
      </c>
      <c r="P138" s="1785">
        <f>+SUM(MESIVA!N$73:N$79)</f>
        <v>0</v>
      </c>
      <c r="Q138" s="1786">
        <f t="shared" si="32"/>
        <v>0</v>
      </c>
      <c r="R138" s="1787">
        <f t="shared" si="32"/>
        <v>0</v>
      </c>
    </row>
    <row r="139" spans="3:18" s="1341" customFormat="1" ht="27" customHeight="1" outlineLevel="2">
      <c r="C139" s="2537"/>
      <c r="D139" s="1789" t="s">
        <v>1048</v>
      </c>
      <c r="E139" s="1790"/>
      <c r="F139" s="1791"/>
      <c r="G139" s="1792">
        <f>+MESIVA!M$93</f>
        <v>0</v>
      </c>
      <c r="H139" s="1793">
        <f>+MESIVA!N$93</f>
        <v>0</v>
      </c>
      <c r="I139" s="1794">
        <f t="shared" si="31"/>
        <v>0</v>
      </c>
      <c r="J139" s="1795">
        <f t="shared" si="30"/>
        <v>0</v>
      </c>
      <c r="K139" s="1363"/>
      <c r="L139" s="1796" t="s">
        <v>1051</v>
      </c>
      <c r="M139" s="1790">
        <f>+E140</f>
        <v>0</v>
      </c>
      <c r="N139" s="1791">
        <f>+F140</f>
        <v>0</v>
      </c>
      <c r="O139" s="1792">
        <f>+MESIVA!M$80</f>
        <v>0</v>
      </c>
      <c r="P139" s="1793">
        <f>+MESIVA!N$80</f>
        <v>0</v>
      </c>
      <c r="Q139" s="1794">
        <f t="shared" si="32"/>
        <v>0</v>
      </c>
      <c r="R139" s="1795">
        <f t="shared" si="32"/>
        <v>0</v>
      </c>
    </row>
    <row r="140" spans="3:18" s="1341" customFormat="1" ht="27" customHeight="1" outlineLevel="2">
      <c r="C140" s="2537"/>
      <c r="D140" s="1789" t="s">
        <v>1049</v>
      </c>
      <c r="E140" s="1790"/>
      <c r="F140" s="1791"/>
      <c r="G140" s="1792">
        <f>+MESIVA!M$95</f>
        <v>0</v>
      </c>
      <c r="H140" s="1793">
        <f>+MESIVA!N$95</f>
        <v>0</v>
      </c>
      <c r="I140" s="1794">
        <f t="shared" si="31"/>
        <v>0</v>
      </c>
      <c r="J140" s="1795">
        <f t="shared" si="30"/>
        <v>0</v>
      </c>
      <c r="K140" s="1363"/>
      <c r="L140" s="1796" t="s">
        <v>1649</v>
      </c>
      <c r="M140" s="1790"/>
      <c r="N140" s="1791"/>
      <c r="O140" s="1792">
        <f>+MESIVA!M$81</f>
        <v>0</v>
      </c>
      <c r="P140" s="1792">
        <f>+MESIVA!N$81</f>
        <v>0</v>
      </c>
      <c r="Q140" s="1794">
        <f t="shared" si="32"/>
        <v>0</v>
      </c>
      <c r="R140" s="1795">
        <f t="shared" si="32"/>
        <v>0</v>
      </c>
    </row>
    <row r="141" spans="3:18" s="1341" customFormat="1" ht="27" customHeight="1" outlineLevel="2">
      <c r="C141" s="2537"/>
      <c r="D141" s="1789" t="s">
        <v>1023</v>
      </c>
      <c r="E141" s="1790"/>
      <c r="F141" s="1791"/>
      <c r="G141" s="1792">
        <f>+MESIVA!M$98</f>
        <v>0</v>
      </c>
      <c r="H141" s="1793">
        <f>+MESIVA!N$98</f>
        <v>0</v>
      </c>
      <c r="I141" s="1794">
        <f t="shared" si="31"/>
        <v>0</v>
      </c>
      <c r="J141" s="1795">
        <f t="shared" si="30"/>
        <v>0</v>
      </c>
      <c r="K141" s="1363"/>
      <c r="L141" s="1796" t="s">
        <v>1651</v>
      </c>
      <c r="M141" s="1790"/>
      <c r="N141" s="1791"/>
      <c r="O141" s="1792">
        <f>+MESIVA!M$82</f>
        <v>0</v>
      </c>
      <c r="P141" s="1792">
        <f>+MESIVA!N$82</f>
        <v>0</v>
      </c>
      <c r="Q141" s="1794">
        <f t="shared" si="32"/>
        <v>0</v>
      </c>
      <c r="R141" s="1795">
        <f t="shared" si="32"/>
        <v>0</v>
      </c>
    </row>
    <row r="142" spans="3:18" s="1341" customFormat="1" ht="27" customHeight="1" outlineLevel="2">
      <c r="C142" s="2537"/>
      <c r="D142" s="1789" t="s">
        <v>1047</v>
      </c>
      <c r="E142" s="1790"/>
      <c r="F142" s="1791"/>
      <c r="G142" s="1792">
        <f>+MESIVA!M$92+MESIVA!M$94+MESIVA!M$96</f>
        <v>0</v>
      </c>
      <c r="H142" s="1793">
        <f>+MESIVA!N$92+MESIVA!N$94+MESIVA!N$96</f>
        <v>0</v>
      </c>
      <c r="I142" s="1794">
        <f t="shared" si="31"/>
        <v>0</v>
      </c>
      <c r="J142" s="1795">
        <f t="shared" si="30"/>
        <v>0</v>
      </c>
      <c r="K142" s="1363"/>
      <c r="L142" s="1796" t="s">
        <v>1050</v>
      </c>
      <c r="M142" s="1790"/>
      <c r="N142" s="1791"/>
      <c r="O142" s="1792">
        <f>+SUM(MESIVA!M$83:M$86)</f>
        <v>0</v>
      </c>
      <c r="P142" s="1793">
        <f>+SUM(MESIVA!N$83:N$86)</f>
        <v>0</v>
      </c>
      <c r="Q142" s="1794">
        <f t="shared" si="32"/>
        <v>0</v>
      </c>
      <c r="R142" s="1795">
        <f t="shared" si="32"/>
        <v>0</v>
      </c>
    </row>
    <row r="143" spans="3:18" s="1341" customFormat="1" ht="27" customHeight="1" outlineLevel="2">
      <c r="C143" s="2538"/>
      <c r="D143" s="1816" t="s">
        <v>1652</v>
      </c>
      <c r="E143" s="1817"/>
      <c r="F143" s="1818"/>
      <c r="G143" s="1799">
        <f>+MESIVA!M$97</f>
        <v>0</v>
      </c>
      <c r="H143" s="1799">
        <f>+MESIVA!N$97</f>
        <v>0</v>
      </c>
      <c r="I143" s="1819">
        <f t="shared" si="31"/>
        <v>0</v>
      </c>
      <c r="J143" s="1820">
        <f t="shared" si="30"/>
        <v>0</v>
      </c>
      <c r="K143" s="1363"/>
      <c r="L143" s="1802" t="s">
        <v>1650</v>
      </c>
      <c r="M143" s="1797"/>
      <c r="N143" s="1798"/>
      <c r="O143" s="1799">
        <f>+MESIVA!M$87</f>
        <v>0</v>
      </c>
      <c r="P143" s="1799">
        <f>+MESIVA!N$87</f>
        <v>0</v>
      </c>
      <c r="Q143" s="1800">
        <f t="shared" si="32"/>
        <v>0</v>
      </c>
      <c r="R143" s="1801">
        <f t="shared" si="32"/>
        <v>0</v>
      </c>
    </row>
    <row r="144" spans="3:18" s="1803" customFormat="1" ht="27" customHeight="1" outlineLevel="1">
      <c r="C144" s="2534" t="s">
        <v>1056</v>
      </c>
      <c r="D144" s="2535"/>
      <c r="E144" s="1804">
        <f>SUM(E138:E143)</f>
        <v>0</v>
      </c>
      <c r="F144" s="1805">
        <f t="shared" ref="F144:H144" si="41">SUM(F138:F143)</f>
        <v>0</v>
      </c>
      <c r="G144" s="1804">
        <f t="shared" si="41"/>
        <v>0</v>
      </c>
      <c r="H144" s="1805">
        <f t="shared" si="41"/>
        <v>0</v>
      </c>
      <c r="I144" s="1804">
        <f t="shared" si="31"/>
        <v>0</v>
      </c>
      <c r="J144" s="1806">
        <f t="shared" si="30"/>
        <v>0</v>
      </c>
      <c r="K144" s="1807"/>
      <c r="L144" s="1821" t="str">
        <f>+C144</f>
        <v>Total periodo Mayo</v>
      </c>
      <c r="M144" s="1804">
        <f>SUM(M138:M143)</f>
        <v>0</v>
      </c>
      <c r="N144" s="1805">
        <f t="shared" ref="N144:P144" si="42">SUM(N138:N143)</f>
        <v>0</v>
      </c>
      <c r="O144" s="1804">
        <f t="shared" si="42"/>
        <v>0</v>
      </c>
      <c r="P144" s="1805">
        <f t="shared" si="42"/>
        <v>0</v>
      </c>
      <c r="Q144" s="1804">
        <f t="shared" si="32"/>
        <v>0</v>
      </c>
      <c r="R144" s="1806">
        <f t="shared" si="32"/>
        <v>0</v>
      </c>
    </row>
    <row r="145" spans="3:18" s="1341" customFormat="1" ht="27" customHeight="1" outlineLevel="2">
      <c r="C145" s="2536" t="s">
        <v>1004</v>
      </c>
      <c r="D145" s="1809" t="s">
        <v>1046</v>
      </c>
      <c r="E145" s="1810"/>
      <c r="F145" s="1811"/>
      <c r="G145" s="1784">
        <f>+MESIVA!O$91</f>
        <v>0</v>
      </c>
      <c r="H145" s="1813">
        <f>+MESIVA!P$91</f>
        <v>0</v>
      </c>
      <c r="I145" s="1814">
        <f t="shared" si="31"/>
        <v>0</v>
      </c>
      <c r="J145" s="1815">
        <f t="shared" si="30"/>
        <v>0</v>
      </c>
      <c r="K145" s="1363"/>
      <c r="L145" s="1788" t="s">
        <v>1013</v>
      </c>
      <c r="M145" s="1782"/>
      <c r="N145" s="1783"/>
      <c r="O145" s="1784">
        <f>+SUM(MESIVA!O$73:O$79)</f>
        <v>0</v>
      </c>
      <c r="P145" s="1785">
        <f>+SUM(MESIVA!P$73:P$79)</f>
        <v>0</v>
      </c>
      <c r="Q145" s="1786">
        <f t="shared" si="32"/>
        <v>0</v>
      </c>
      <c r="R145" s="1787">
        <f t="shared" si="32"/>
        <v>0</v>
      </c>
    </row>
    <row r="146" spans="3:18" s="1341" customFormat="1" ht="27" customHeight="1" outlineLevel="2">
      <c r="C146" s="2537"/>
      <c r="D146" s="1789" t="s">
        <v>1048</v>
      </c>
      <c r="E146" s="1790"/>
      <c r="F146" s="1791"/>
      <c r="G146" s="1792">
        <f>+MESIVA!O$93</f>
        <v>0</v>
      </c>
      <c r="H146" s="1793">
        <f>+MESIVA!P$93</f>
        <v>0</v>
      </c>
      <c r="I146" s="1794">
        <f t="shared" si="31"/>
        <v>0</v>
      </c>
      <c r="J146" s="1795">
        <f t="shared" si="30"/>
        <v>0</v>
      </c>
      <c r="K146" s="1363"/>
      <c r="L146" s="1796" t="s">
        <v>1051</v>
      </c>
      <c r="M146" s="1790">
        <f>+E147</f>
        <v>0</v>
      </c>
      <c r="N146" s="1791">
        <f>+F147</f>
        <v>0</v>
      </c>
      <c r="O146" s="1792">
        <f>+MESIVA!O$80</f>
        <v>0</v>
      </c>
      <c r="P146" s="1793">
        <f>+MESIVA!P$80</f>
        <v>0</v>
      </c>
      <c r="Q146" s="1794">
        <f t="shared" si="32"/>
        <v>0</v>
      </c>
      <c r="R146" s="1795">
        <f t="shared" si="32"/>
        <v>0</v>
      </c>
    </row>
    <row r="147" spans="3:18" s="1341" customFormat="1" ht="27" customHeight="1" outlineLevel="2">
      <c r="C147" s="2537"/>
      <c r="D147" s="1789" t="s">
        <v>1049</v>
      </c>
      <c r="E147" s="1790"/>
      <c r="F147" s="1791"/>
      <c r="G147" s="1792">
        <f>+MESIVA!O$95</f>
        <v>0</v>
      </c>
      <c r="H147" s="1793">
        <f>+MESIVA!P$95</f>
        <v>0</v>
      </c>
      <c r="I147" s="1794">
        <f t="shared" si="31"/>
        <v>0</v>
      </c>
      <c r="J147" s="1795">
        <f t="shared" si="30"/>
        <v>0</v>
      </c>
      <c r="K147" s="1363"/>
      <c r="L147" s="1796" t="s">
        <v>1649</v>
      </c>
      <c r="M147" s="1790"/>
      <c r="N147" s="1791"/>
      <c r="O147" s="1792">
        <f>+MESIVA!O$81</f>
        <v>0</v>
      </c>
      <c r="P147" s="1792">
        <f>+MESIVA!P$81</f>
        <v>0</v>
      </c>
      <c r="Q147" s="1794">
        <f t="shared" si="32"/>
        <v>0</v>
      </c>
      <c r="R147" s="1795">
        <f t="shared" si="32"/>
        <v>0</v>
      </c>
    </row>
    <row r="148" spans="3:18" s="1341" customFormat="1" ht="27" customHeight="1" outlineLevel="2">
      <c r="C148" s="2537"/>
      <c r="D148" s="1789" t="s">
        <v>1023</v>
      </c>
      <c r="E148" s="1790"/>
      <c r="F148" s="1791"/>
      <c r="G148" s="1792">
        <f>+MESIVA!O$98</f>
        <v>0</v>
      </c>
      <c r="H148" s="1793">
        <f>+MESIVA!P$98</f>
        <v>0</v>
      </c>
      <c r="I148" s="1794">
        <f t="shared" si="31"/>
        <v>0</v>
      </c>
      <c r="J148" s="1795">
        <f t="shared" si="30"/>
        <v>0</v>
      </c>
      <c r="K148" s="1363"/>
      <c r="L148" s="1796" t="s">
        <v>1651</v>
      </c>
      <c r="M148" s="1790"/>
      <c r="N148" s="1791"/>
      <c r="O148" s="1792">
        <f>+MESIVA!O$82</f>
        <v>0</v>
      </c>
      <c r="P148" s="1792">
        <f>+MESIVA!P$82</f>
        <v>0</v>
      </c>
      <c r="Q148" s="1794">
        <f t="shared" si="32"/>
        <v>0</v>
      </c>
      <c r="R148" s="1795">
        <f t="shared" si="32"/>
        <v>0</v>
      </c>
    </row>
    <row r="149" spans="3:18" s="1341" customFormat="1" ht="27" customHeight="1" outlineLevel="2">
      <c r="C149" s="2537"/>
      <c r="D149" s="1789" t="s">
        <v>1047</v>
      </c>
      <c r="E149" s="1790"/>
      <c r="F149" s="1791"/>
      <c r="G149" s="1792">
        <f>+MESIVA!O$92+MESIVA!O$94+MESIVA!O$96</f>
        <v>0</v>
      </c>
      <c r="H149" s="1793">
        <f>+MESIVA!P$92+MESIVA!P$94+MESIVA!P$96</f>
        <v>0</v>
      </c>
      <c r="I149" s="1794">
        <f t="shared" si="31"/>
        <v>0</v>
      </c>
      <c r="J149" s="1795">
        <f t="shared" si="30"/>
        <v>0</v>
      </c>
      <c r="K149" s="1363"/>
      <c r="L149" s="1796" t="s">
        <v>1050</v>
      </c>
      <c r="M149" s="1790"/>
      <c r="N149" s="1791"/>
      <c r="O149" s="1792">
        <f>+SUM(MESIVA!O$83:O$86)</f>
        <v>0</v>
      </c>
      <c r="P149" s="1793">
        <f>+SUM(MESIVA!P$83:P$86)</f>
        <v>0</v>
      </c>
      <c r="Q149" s="1794">
        <f t="shared" si="32"/>
        <v>0</v>
      </c>
      <c r="R149" s="1795">
        <f t="shared" si="32"/>
        <v>0</v>
      </c>
    </row>
    <row r="150" spans="3:18" s="1341" customFormat="1" ht="27" customHeight="1" outlineLevel="2">
      <c r="C150" s="2538"/>
      <c r="D150" s="1816" t="s">
        <v>1652</v>
      </c>
      <c r="E150" s="1817"/>
      <c r="F150" s="1818"/>
      <c r="G150" s="1799">
        <f>+MESIVA!O$97</f>
        <v>0</v>
      </c>
      <c r="H150" s="1799">
        <f>+MESIVA!P$97</f>
        <v>0</v>
      </c>
      <c r="I150" s="1819">
        <f t="shared" si="31"/>
        <v>0</v>
      </c>
      <c r="J150" s="1820">
        <f t="shared" si="30"/>
        <v>0</v>
      </c>
      <c r="K150" s="1363"/>
      <c r="L150" s="1802" t="s">
        <v>1650</v>
      </c>
      <c r="M150" s="1797"/>
      <c r="N150" s="1798"/>
      <c r="O150" s="1799">
        <f>+MESIVA!O$87</f>
        <v>0</v>
      </c>
      <c r="P150" s="1799">
        <f>+MESIVA!P$87</f>
        <v>0</v>
      </c>
      <c r="Q150" s="1800">
        <f t="shared" si="32"/>
        <v>0</v>
      </c>
      <c r="R150" s="1801">
        <f t="shared" si="32"/>
        <v>0</v>
      </c>
    </row>
    <row r="151" spans="3:18" s="1803" customFormat="1" ht="27" customHeight="1" outlineLevel="1">
      <c r="C151" s="2534" t="s">
        <v>1057</v>
      </c>
      <c r="D151" s="2535"/>
      <c r="E151" s="1804">
        <f>SUM(E145:E150)</f>
        <v>0</v>
      </c>
      <c r="F151" s="1805">
        <f t="shared" ref="F151:H151" si="43">SUM(F145:F150)</f>
        <v>0</v>
      </c>
      <c r="G151" s="1804">
        <f t="shared" si="43"/>
        <v>0</v>
      </c>
      <c r="H151" s="1805">
        <f t="shared" si="43"/>
        <v>0</v>
      </c>
      <c r="I151" s="1804">
        <f t="shared" si="31"/>
        <v>0</v>
      </c>
      <c r="J151" s="1806">
        <f t="shared" si="30"/>
        <v>0</v>
      </c>
      <c r="K151" s="1807"/>
      <c r="L151" s="1821" t="str">
        <f>+C151</f>
        <v>Total periodo Junio</v>
      </c>
      <c r="M151" s="1804">
        <f>SUM(M145:M150)</f>
        <v>0</v>
      </c>
      <c r="N151" s="1805">
        <f t="shared" ref="N151:P151" si="44">SUM(N145:N150)</f>
        <v>0</v>
      </c>
      <c r="O151" s="1804">
        <f t="shared" si="44"/>
        <v>0</v>
      </c>
      <c r="P151" s="1805">
        <f t="shared" si="44"/>
        <v>0</v>
      </c>
      <c r="Q151" s="1804">
        <f t="shared" si="32"/>
        <v>0</v>
      </c>
      <c r="R151" s="1806">
        <f t="shared" si="32"/>
        <v>0</v>
      </c>
    </row>
    <row r="152" spans="3:18" s="1341" customFormat="1" ht="27" customHeight="1" outlineLevel="2">
      <c r="C152" s="2536" t="s">
        <v>1005</v>
      </c>
      <c r="D152" s="1809" t="s">
        <v>1046</v>
      </c>
      <c r="E152" s="1810"/>
      <c r="F152" s="1811"/>
      <c r="G152" s="1784">
        <f>+MESIVA!Q$91</f>
        <v>0</v>
      </c>
      <c r="H152" s="1813">
        <f>+MESIVA!R$91</f>
        <v>0</v>
      </c>
      <c r="I152" s="1814">
        <f t="shared" si="31"/>
        <v>0</v>
      </c>
      <c r="J152" s="1815">
        <f t="shared" si="30"/>
        <v>0</v>
      </c>
      <c r="K152" s="1363"/>
      <c r="L152" s="1788" t="s">
        <v>1013</v>
      </c>
      <c r="M152" s="1782"/>
      <c r="N152" s="1783"/>
      <c r="O152" s="1784">
        <f>+SUM(MESIVA!Q$73:Q$79)</f>
        <v>0</v>
      </c>
      <c r="P152" s="1785">
        <f>+SUM(MESIVA!R$73:R$79)</f>
        <v>0</v>
      </c>
      <c r="Q152" s="1786">
        <f t="shared" si="32"/>
        <v>0</v>
      </c>
      <c r="R152" s="1787">
        <f t="shared" si="32"/>
        <v>0</v>
      </c>
    </row>
    <row r="153" spans="3:18" s="1341" customFormat="1" ht="27" customHeight="1" outlineLevel="2">
      <c r="C153" s="2537"/>
      <c r="D153" s="1789" t="s">
        <v>1048</v>
      </c>
      <c r="E153" s="1790"/>
      <c r="F153" s="1791"/>
      <c r="G153" s="1792">
        <f>+MESIVA!Q$93</f>
        <v>0</v>
      </c>
      <c r="H153" s="1793">
        <f>+MESIVA!R$93</f>
        <v>0</v>
      </c>
      <c r="I153" s="1794">
        <f t="shared" si="31"/>
        <v>0</v>
      </c>
      <c r="J153" s="1795">
        <f t="shared" si="30"/>
        <v>0</v>
      </c>
      <c r="K153" s="1363"/>
      <c r="L153" s="1796" t="s">
        <v>1051</v>
      </c>
      <c r="M153" s="1790">
        <f>+E154</f>
        <v>0</v>
      </c>
      <c r="N153" s="1791">
        <f>+F154</f>
        <v>0</v>
      </c>
      <c r="O153" s="1792">
        <f>+MESIVA!Q$80</f>
        <v>0</v>
      </c>
      <c r="P153" s="1793">
        <f>+MESIVA!R$80</f>
        <v>0</v>
      </c>
      <c r="Q153" s="1794">
        <f t="shared" si="32"/>
        <v>0</v>
      </c>
      <c r="R153" s="1795">
        <f t="shared" si="32"/>
        <v>0</v>
      </c>
    </row>
    <row r="154" spans="3:18" s="1341" customFormat="1" ht="27" customHeight="1" outlineLevel="2">
      <c r="C154" s="2537"/>
      <c r="D154" s="1789" t="s">
        <v>1049</v>
      </c>
      <c r="E154" s="1790"/>
      <c r="F154" s="1791"/>
      <c r="G154" s="1792">
        <f>+MESIVA!Q$95</f>
        <v>0</v>
      </c>
      <c r="H154" s="1793">
        <f>+MESIVA!R$95</f>
        <v>0</v>
      </c>
      <c r="I154" s="1794">
        <f t="shared" si="31"/>
        <v>0</v>
      </c>
      <c r="J154" s="1795">
        <f t="shared" si="30"/>
        <v>0</v>
      </c>
      <c r="K154" s="1363"/>
      <c r="L154" s="1796" t="s">
        <v>1649</v>
      </c>
      <c r="M154" s="1790"/>
      <c r="N154" s="1791"/>
      <c r="O154" s="1792">
        <f>+MESIVA!Q$81</f>
        <v>0</v>
      </c>
      <c r="P154" s="1792">
        <f>+MESIVA!R$81</f>
        <v>0</v>
      </c>
      <c r="Q154" s="1794">
        <f t="shared" si="32"/>
        <v>0</v>
      </c>
      <c r="R154" s="1795">
        <f t="shared" si="32"/>
        <v>0</v>
      </c>
    </row>
    <row r="155" spans="3:18" s="1341" customFormat="1" ht="27" customHeight="1" outlineLevel="2">
      <c r="C155" s="2537"/>
      <c r="D155" s="1789" t="s">
        <v>1023</v>
      </c>
      <c r="E155" s="1790"/>
      <c r="F155" s="1791"/>
      <c r="G155" s="1792">
        <f>+MESIVA!Q$98</f>
        <v>0</v>
      </c>
      <c r="H155" s="1793">
        <f>+MESIVA!R$98</f>
        <v>0</v>
      </c>
      <c r="I155" s="1794">
        <f t="shared" si="31"/>
        <v>0</v>
      </c>
      <c r="J155" s="1795">
        <f t="shared" si="30"/>
        <v>0</v>
      </c>
      <c r="K155" s="1363"/>
      <c r="L155" s="1796" t="s">
        <v>1651</v>
      </c>
      <c r="M155" s="1790"/>
      <c r="N155" s="1791"/>
      <c r="O155" s="1792">
        <f>+MESIVA!Q$82</f>
        <v>0</v>
      </c>
      <c r="P155" s="1792">
        <f>+MESIVA!R$82</f>
        <v>0</v>
      </c>
      <c r="Q155" s="1794">
        <f t="shared" si="32"/>
        <v>0</v>
      </c>
      <c r="R155" s="1795">
        <f t="shared" si="32"/>
        <v>0</v>
      </c>
    </row>
    <row r="156" spans="3:18" s="1341" customFormat="1" ht="27" customHeight="1" outlineLevel="2">
      <c r="C156" s="2537"/>
      <c r="D156" s="1789" t="s">
        <v>1047</v>
      </c>
      <c r="E156" s="1790"/>
      <c r="F156" s="1791"/>
      <c r="G156" s="1792">
        <f>+MESIVA!Q$92+MESIVA!Q$94+MESIVA!Q$96</f>
        <v>0</v>
      </c>
      <c r="H156" s="1793">
        <f>+MESIVA!R$92+MESIVA!R$94+MESIVA!R$96</f>
        <v>0</v>
      </c>
      <c r="I156" s="1794">
        <f t="shared" si="31"/>
        <v>0</v>
      </c>
      <c r="J156" s="1795">
        <f t="shared" si="30"/>
        <v>0</v>
      </c>
      <c r="K156" s="1363"/>
      <c r="L156" s="1796" t="s">
        <v>1050</v>
      </c>
      <c r="M156" s="1790"/>
      <c r="N156" s="1791"/>
      <c r="O156" s="1792">
        <f>+SUM(MESIVA!Q$83:Q$86)</f>
        <v>0</v>
      </c>
      <c r="P156" s="1793">
        <f>+SUM(MESIVA!R$83:R$86)</f>
        <v>0</v>
      </c>
      <c r="Q156" s="1794">
        <f t="shared" si="32"/>
        <v>0</v>
      </c>
      <c r="R156" s="1795">
        <f t="shared" si="32"/>
        <v>0</v>
      </c>
    </row>
    <row r="157" spans="3:18" s="1341" customFormat="1" ht="27" customHeight="1" outlineLevel="2">
      <c r="C157" s="2538"/>
      <c r="D157" s="1816" t="s">
        <v>1652</v>
      </c>
      <c r="E157" s="1817"/>
      <c r="F157" s="1818"/>
      <c r="G157" s="1799">
        <f>+MESIVA!Q$97</f>
        <v>0</v>
      </c>
      <c r="H157" s="1799">
        <f>+MESIVA!R$97</f>
        <v>0</v>
      </c>
      <c r="I157" s="1819">
        <f t="shared" si="31"/>
        <v>0</v>
      </c>
      <c r="J157" s="1820">
        <f t="shared" si="30"/>
        <v>0</v>
      </c>
      <c r="K157" s="1363"/>
      <c r="L157" s="1802" t="s">
        <v>1650</v>
      </c>
      <c r="M157" s="1797"/>
      <c r="N157" s="1798"/>
      <c r="O157" s="1799">
        <f>+MESIVA!Q$87</f>
        <v>0</v>
      </c>
      <c r="P157" s="1799">
        <f>+MESIVA!R$87</f>
        <v>0</v>
      </c>
      <c r="Q157" s="1800">
        <f t="shared" si="32"/>
        <v>0</v>
      </c>
      <c r="R157" s="1801">
        <f t="shared" si="32"/>
        <v>0</v>
      </c>
    </row>
    <row r="158" spans="3:18" s="1803" customFormat="1" ht="27" customHeight="1" outlineLevel="1">
      <c r="C158" s="2534" t="s">
        <v>1058</v>
      </c>
      <c r="D158" s="2535"/>
      <c r="E158" s="1804">
        <f>SUM(E152:E157)</f>
        <v>0</v>
      </c>
      <c r="F158" s="1805">
        <f t="shared" ref="F158:H158" si="45">SUM(F152:F157)</f>
        <v>0</v>
      </c>
      <c r="G158" s="1804">
        <f t="shared" si="45"/>
        <v>0</v>
      </c>
      <c r="H158" s="1805">
        <f t="shared" si="45"/>
        <v>0</v>
      </c>
      <c r="I158" s="1804">
        <f t="shared" si="31"/>
        <v>0</v>
      </c>
      <c r="J158" s="1806">
        <f t="shared" si="30"/>
        <v>0</v>
      </c>
      <c r="K158" s="1807"/>
      <c r="L158" s="1821" t="str">
        <f>+C158</f>
        <v>Total periodo Julio</v>
      </c>
      <c r="M158" s="1804">
        <f>SUM(M152:M157)</f>
        <v>0</v>
      </c>
      <c r="N158" s="1805">
        <f t="shared" ref="N158:P158" si="46">SUM(N152:N157)</f>
        <v>0</v>
      </c>
      <c r="O158" s="1804">
        <f t="shared" si="46"/>
        <v>0</v>
      </c>
      <c r="P158" s="1805">
        <f t="shared" si="46"/>
        <v>0</v>
      </c>
      <c r="Q158" s="1804">
        <f t="shared" si="32"/>
        <v>0</v>
      </c>
      <c r="R158" s="1806">
        <f t="shared" si="32"/>
        <v>0</v>
      </c>
    </row>
    <row r="159" spans="3:18" s="1341" customFormat="1" ht="27" customHeight="1" outlineLevel="2">
      <c r="C159" s="2536" t="s">
        <v>1006</v>
      </c>
      <c r="D159" s="1809" t="s">
        <v>1046</v>
      </c>
      <c r="E159" s="1810"/>
      <c r="F159" s="1811"/>
      <c r="G159" s="1784">
        <f>+MESIVA!S$91</f>
        <v>0</v>
      </c>
      <c r="H159" s="1813">
        <f>+MESIVA!T$91</f>
        <v>0</v>
      </c>
      <c r="I159" s="1814">
        <f t="shared" si="31"/>
        <v>0</v>
      </c>
      <c r="J159" s="1815">
        <f t="shared" si="30"/>
        <v>0</v>
      </c>
      <c r="K159" s="1363"/>
      <c r="L159" s="1788" t="s">
        <v>1013</v>
      </c>
      <c r="M159" s="1782"/>
      <c r="N159" s="1783"/>
      <c r="O159" s="1784">
        <f>+SUM(MESIVA!S$73:S$79)</f>
        <v>0</v>
      </c>
      <c r="P159" s="1785">
        <f>+SUM(MESIVA!T$73:T$79)</f>
        <v>0</v>
      </c>
      <c r="Q159" s="1786">
        <f t="shared" si="32"/>
        <v>0</v>
      </c>
      <c r="R159" s="1787">
        <f t="shared" si="32"/>
        <v>0</v>
      </c>
    </row>
    <row r="160" spans="3:18" s="1341" customFormat="1" ht="27" customHeight="1" outlineLevel="2">
      <c r="C160" s="2537"/>
      <c r="D160" s="1789" t="s">
        <v>1048</v>
      </c>
      <c r="E160" s="1790"/>
      <c r="F160" s="1791"/>
      <c r="G160" s="1792">
        <f>+MESIVA!S$93</f>
        <v>0</v>
      </c>
      <c r="H160" s="1793">
        <f>+MESIVA!T$93</f>
        <v>0</v>
      </c>
      <c r="I160" s="1794">
        <f t="shared" si="31"/>
        <v>0</v>
      </c>
      <c r="J160" s="1795">
        <f t="shared" si="30"/>
        <v>0</v>
      </c>
      <c r="K160" s="1363"/>
      <c r="L160" s="1796" t="s">
        <v>1051</v>
      </c>
      <c r="M160" s="1790">
        <f>+E161</f>
        <v>0</v>
      </c>
      <c r="N160" s="1791">
        <f>+F161</f>
        <v>0</v>
      </c>
      <c r="O160" s="1792">
        <f>+MESIVA!S$80</f>
        <v>0</v>
      </c>
      <c r="P160" s="1793">
        <f>+MESIVA!T$80</f>
        <v>0</v>
      </c>
      <c r="Q160" s="1794">
        <f t="shared" si="32"/>
        <v>0</v>
      </c>
      <c r="R160" s="1795">
        <f t="shared" si="32"/>
        <v>0</v>
      </c>
    </row>
    <row r="161" spans="3:18" s="1341" customFormat="1" ht="27" customHeight="1" outlineLevel="2">
      <c r="C161" s="2537"/>
      <c r="D161" s="1789" t="s">
        <v>1049</v>
      </c>
      <c r="E161" s="1790"/>
      <c r="F161" s="1791"/>
      <c r="G161" s="1792">
        <f>+MESIVA!S$95</f>
        <v>0</v>
      </c>
      <c r="H161" s="1793">
        <f>+MESIVA!T$95</f>
        <v>0</v>
      </c>
      <c r="I161" s="1794">
        <f t="shared" si="31"/>
        <v>0</v>
      </c>
      <c r="J161" s="1795">
        <f t="shared" si="30"/>
        <v>0</v>
      </c>
      <c r="K161" s="1363"/>
      <c r="L161" s="1796" t="s">
        <v>1649</v>
      </c>
      <c r="M161" s="1790"/>
      <c r="N161" s="1791"/>
      <c r="O161" s="1792">
        <f>+MESIVA!S$81</f>
        <v>0</v>
      </c>
      <c r="P161" s="1792">
        <f>+MESIVA!T$81</f>
        <v>0</v>
      </c>
      <c r="Q161" s="1794">
        <f t="shared" si="32"/>
        <v>0</v>
      </c>
      <c r="R161" s="1795">
        <f t="shared" si="32"/>
        <v>0</v>
      </c>
    </row>
    <row r="162" spans="3:18" s="1341" customFormat="1" ht="27" customHeight="1" outlineLevel="2">
      <c r="C162" s="2537"/>
      <c r="D162" s="1789" t="s">
        <v>1023</v>
      </c>
      <c r="E162" s="1790"/>
      <c r="F162" s="1791"/>
      <c r="G162" s="1792">
        <f>+MESIVA!S$98</f>
        <v>0</v>
      </c>
      <c r="H162" s="1793">
        <f>+MESIVA!T$98</f>
        <v>0</v>
      </c>
      <c r="I162" s="1794">
        <f t="shared" si="31"/>
        <v>0</v>
      </c>
      <c r="J162" s="1795">
        <f t="shared" si="30"/>
        <v>0</v>
      </c>
      <c r="K162" s="1363"/>
      <c r="L162" s="1796" t="s">
        <v>1651</v>
      </c>
      <c r="M162" s="1790"/>
      <c r="N162" s="1791"/>
      <c r="O162" s="1792">
        <f>+MESIVA!S$82</f>
        <v>0</v>
      </c>
      <c r="P162" s="1792">
        <f>+MESIVA!T$82</f>
        <v>0</v>
      </c>
      <c r="Q162" s="1794">
        <f t="shared" si="32"/>
        <v>0</v>
      </c>
      <c r="R162" s="1795">
        <f t="shared" si="32"/>
        <v>0</v>
      </c>
    </row>
    <row r="163" spans="3:18" s="1341" customFormat="1" ht="27" customHeight="1" outlineLevel="2">
      <c r="C163" s="2537"/>
      <c r="D163" s="1789" t="s">
        <v>1047</v>
      </c>
      <c r="E163" s="1790"/>
      <c r="F163" s="1791"/>
      <c r="G163" s="1792">
        <f>+MESIVA!S$92+MESIVA!S$94+MESIVA!S$96</f>
        <v>0</v>
      </c>
      <c r="H163" s="1793">
        <f>+MESIVA!T$92+MESIVA!T$94+MESIVA!T$96</f>
        <v>0</v>
      </c>
      <c r="I163" s="1794">
        <f t="shared" si="31"/>
        <v>0</v>
      </c>
      <c r="J163" s="1795">
        <f t="shared" si="30"/>
        <v>0</v>
      </c>
      <c r="K163" s="1363"/>
      <c r="L163" s="1796" t="s">
        <v>1050</v>
      </c>
      <c r="M163" s="1790"/>
      <c r="N163" s="1791"/>
      <c r="O163" s="1792">
        <f>+SUM(MESIVA!S$83:S$86)</f>
        <v>0</v>
      </c>
      <c r="P163" s="1793">
        <f>+SUM(MESIVA!T$83:T$86)</f>
        <v>0</v>
      </c>
      <c r="Q163" s="1794">
        <f t="shared" si="32"/>
        <v>0</v>
      </c>
      <c r="R163" s="1795">
        <f t="shared" si="32"/>
        <v>0</v>
      </c>
    </row>
    <row r="164" spans="3:18" s="1341" customFormat="1" ht="27" customHeight="1" outlineLevel="2">
      <c r="C164" s="2538"/>
      <c r="D164" s="1816" t="s">
        <v>1652</v>
      </c>
      <c r="E164" s="1817"/>
      <c r="F164" s="1818"/>
      <c r="G164" s="1799">
        <f>+MESIVA!S$97</f>
        <v>0</v>
      </c>
      <c r="H164" s="1799">
        <f>+MESIVA!T$97</f>
        <v>0</v>
      </c>
      <c r="I164" s="1819">
        <f t="shared" si="31"/>
        <v>0</v>
      </c>
      <c r="J164" s="1820">
        <f t="shared" si="30"/>
        <v>0</v>
      </c>
      <c r="K164" s="1363"/>
      <c r="L164" s="1802" t="s">
        <v>1650</v>
      </c>
      <c r="M164" s="1797"/>
      <c r="N164" s="1798"/>
      <c r="O164" s="1799">
        <f>+MESIVA!S$87</f>
        <v>0</v>
      </c>
      <c r="P164" s="1799">
        <f>+MESIVA!T$87</f>
        <v>0</v>
      </c>
      <c r="Q164" s="1800">
        <f t="shared" si="32"/>
        <v>0</v>
      </c>
      <c r="R164" s="1801">
        <f t="shared" si="32"/>
        <v>0</v>
      </c>
    </row>
    <row r="165" spans="3:18" s="1803" customFormat="1" ht="27" customHeight="1" outlineLevel="1">
      <c r="C165" s="2534" t="s">
        <v>1059</v>
      </c>
      <c r="D165" s="2535"/>
      <c r="E165" s="1804">
        <f>SUM(E159:E164)</f>
        <v>0</v>
      </c>
      <c r="F165" s="1805">
        <f t="shared" ref="F165:H165" si="47">SUM(F159:F164)</f>
        <v>0</v>
      </c>
      <c r="G165" s="1804">
        <f t="shared" si="47"/>
        <v>0</v>
      </c>
      <c r="H165" s="1805">
        <f t="shared" si="47"/>
        <v>0</v>
      </c>
      <c r="I165" s="1804">
        <f t="shared" si="31"/>
        <v>0</v>
      </c>
      <c r="J165" s="1806">
        <f t="shared" si="30"/>
        <v>0</v>
      </c>
      <c r="K165" s="1807"/>
      <c r="L165" s="1821" t="str">
        <f>+C165</f>
        <v>Total periodo Agosto</v>
      </c>
      <c r="M165" s="1804">
        <f>SUM(M159:M164)</f>
        <v>0</v>
      </c>
      <c r="N165" s="1805">
        <f t="shared" ref="N165:P165" si="48">SUM(N159:N164)</f>
        <v>0</v>
      </c>
      <c r="O165" s="1804">
        <f t="shared" si="48"/>
        <v>0</v>
      </c>
      <c r="P165" s="1805">
        <f t="shared" si="48"/>
        <v>0</v>
      </c>
      <c r="Q165" s="1804">
        <f t="shared" si="32"/>
        <v>0</v>
      </c>
      <c r="R165" s="1806">
        <f t="shared" si="32"/>
        <v>0</v>
      </c>
    </row>
    <row r="166" spans="3:18" s="1341" customFormat="1" ht="27" customHeight="1" outlineLevel="2">
      <c r="C166" s="2536" t="s">
        <v>1007</v>
      </c>
      <c r="D166" s="1809" t="s">
        <v>1046</v>
      </c>
      <c r="E166" s="1810"/>
      <c r="F166" s="1811"/>
      <c r="G166" s="1784">
        <f>+MESIVA!U$91</f>
        <v>0</v>
      </c>
      <c r="H166" s="1813">
        <f>+MESIVA!V$91</f>
        <v>0</v>
      </c>
      <c r="I166" s="1814">
        <f t="shared" si="31"/>
        <v>0</v>
      </c>
      <c r="J166" s="1815">
        <f t="shared" si="30"/>
        <v>0</v>
      </c>
      <c r="K166" s="1363"/>
      <c r="L166" s="1788" t="s">
        <v>1013</v>
      </c>
      <c r="M166" s="1782"/>
      <c r="N166" s="1783"/>
      <c r="O166" s="1784">
        <f>+SUM(MESIVA!U$73:U$79)</f>
        <v>0</v>
      </c>
      <c r="P166" s="1785">
        <f>+SUM(MESIVA!V$73:V$79)</f>
        <v>0</v>
      </c>
      <c r="Q166" s="1786">
        <f t="shared" si="32"/>
        <v>0</v>
      </c>
      <c r="R166" s="1787">
        <f t="shared" si="32"/>
        <v>0</v>
      </c>
    </row>
    <row r="167" spans="3:18" s="1341" customFormat="1" ht="27" customHeight="1" outlineLevel="2">
      <c r="C167" s="2537"/>
      <c r="D167" s="1789" t="s">
        <v>1048</v>
      </c>
      <c r="E167" s="1790"/>
      <c r="F167" s="1791"/>
      <c r="G167" s="1792">
        <f>+MESIVA!U$93</f>
        <v>0</v>
      </c>
      <c r="H167" s="1793">
        <f>+MESIVA!V$93</f>
        <v>0</v>
      </c>
      <c r="I167" s="1794">
        <f t="shared" si="31"/>
        <v>0</v>
      </c>
      <c r="J167" s="1795">
        <f t="shared" si="30"/>
        <v>0</v>
      </c>
      <c r="K167" s="1363"/>
      <c r="L167" s="1796" t="s">
        <v>1051</v>
      </c>
      <c r="M167" s="1790">
        <f>+E168</f>
        <v>0</v>
      </c>
      <c r="N167" s="1791">
        <f>+F168</f>
        <v>0</v>
      </c>
      <c r="O167" s="1792">
        <f>+MESIVA!U$80</f>
        <v>0</v>
      </c>
      <c r="P167" s="1793">
        <f>+MESIVA!V$80</f>
        <v>0</v>
      </c>
      <c r="Q167" s="1794">
        <f t="shared" si="32"/>
        <v>0</v>
      </c>
      <c r="R167" s="1795">
        <f t="shared" si="32"/>
        <v>0</v>
      </c>
    </row>
    <row r="168" spans="3:18" s="1341" customFormat="1" ht="27" customHeight="1" outlineLevel="2">
      <c r="C168" s="2537"/>
      <c r="D168" s="1789" t="s">
        <v>1049</v>
      </c>
      <c r="E168" s="1790"/>
      <c r="F168" s="1791"/>
      <c r="G168" s="1792">
        <f>+MESIVA!U$95</f>
        <v>0</v>
      </c>
      <c r="H168" s="1793">
        <f>+MESIVA!V$95</f>
        <v>0</v>
      </c>
      <c r="I168" s="1794">
        <f t="shared" si="31"/>
        <v>0</v>
      </c>
      <c r="J168" s="1795">
        <f t="shared" si="30"/>
        <v>0</v>
      </c>
      <c r="K168" s="1363"/>
      <c r="L168" s="1796" t="s">
        <v>1649</v>
      </c>
      <c r="M168" s="1790"/>
      <c r="N168" s="1791"/>
      <c r="O168" s="1792">
        <f>+MESIVA!U$81</f>
        <v>0</v>
      </c>
      <c r="P168" s="1792">
        <f>+MESIVA!V$81</f>
        <v>0</v>
      </c>
      <c r="Q168" s="1794">
        <f t="shared" si="32"/>
        <v>0</v>
      </c>
      <c r="R168" s="1795">
        <f t="shared" si="32"/>
        <v>0</v>
      </c>
    </row>
    <row r="169" spans="3:18" s="1341" customFormat="1" ht="27" customHeight="1" outlineLevel="2">
      <c r="C169" s="2537"/>
      <c r="D169" s="1789" t="s">
        <v>1023</v>
      </c>
      <c r="E169" s="1790"/>
      <c r="F169" s="1791"/>
      <c r="G169" s="1792">
        <f>+MESIVA!U$98</f>
        <v>0</v>
      </c>
      <c r="H169" s="1793">
        <f>+MESIVA!V$98</f>
        <v>0</v>
      </c>
      <c r="I169" s="1794">
        <f t="shared" si="31"/>
        <v>0</v>
      </c>
      <c r="J169" s="1795">
        <f t="shared" si="30"/>
        <v>0</v>
      </c>
      <c r="K169" s="1363"/>
      <c r="L169" s="1796" t="s">
        <v>1651</v>
      </c>
      <c r="M169" s="1790"/>
      <c r="N169" s="1791"/>
      <c r="O169" s="1792">
        <f>+MESIVA!U$82</f>
        <v>0</v>
      </c>
      <c r="P169" s="1792">
        <f>+MESIVA!V$82</f>
        <v>0</v>
      </c>
      <c r="Q169" s="1794">
        <f t="shared" si="32"/>
        <v>0</v>
      </c>
      <c r="R169" s="1795">
        <f t="shared" si="32"/>
        <v>0</v>
      </c>
    </row>
    <row r="170" spans="3:18" s="1341" customFormat="1" ht="27" customHeight="1" outlineLevel="2">
      <c r="C170" s="2537"/>
      <c r="D170" s="1789" t="s">
        <v>1047</v>
      </c>
      <c r="E170" s="1790"/>
      <c r="F170" s="1791"/>
      <c r="G170" s="1792">
        <f>+MESIVA!U$92+MESIVA!U$94+MESIVA!U$96</f>
        <v>0</v>
      </c>
      <c r="H170" s="1793">
        <f>+MESIVA!V$92+MESIVA!V$94+MESIVA!V$96</f>
        <v>0</v>
      </c>
      <c r="I170" s="1794">
        <f t="shared" si="31"/>
        <v>0</v>
      </c>
      <c r="J170" s="1795">
        <f t="shared" si="30"/>
        <v>0</v>
      </c>
      <c r="K170" s="1363"/>
      <c r="L170" s="1796" t="s">
        <v>1050</v>
      </c>
      <c r="M170" s="1790"/>
      <c r="N170" s="1791"/>
      <c r="O170" s="1792">
        <f>+SUM(MESIVA!U$83:U$86)</f>
        <v>0</v>
      </c>
      <c r="P170" s="1793">
        <f>+SUM(MESIVA!V$83:V$86)</f>
        <v>0</v>
      </c>
      <c r="Q170" s="1794">
        <f t="shared" si="32"/>
        <v>0</v>
      </c>
      <c r="R170" s="1795">
        <f t="shared" si="32"/>
        <v>0</v>
      </c>
    </row>
    <row r="171" spans="3:18" s="1341" customFormat="1" ht="27" customHeight="1" outlineLevel="2">
      <c r="C171" s="2538"/>
      <c r="D171" s="1816" t="s">
        <v>1652</v>
      </c>
      <c r="E171" s="1817"/>
      <c r="F171" s="1818"/>
      <c r="G171" s="1799">
        <f>+MESIVA!U$97</f>
        <v>0</v>
      </c>
      <c r="H171" s="1799">
        <f>+MESIVA!V$97</f>
        <v>0</v>
      </c>
      <c r="I171" s="1819">
        <f t="shared" si="31"/>
        <v>0</v>
      </c>
      <c r="J171" s="1820">
        <f t="shared" si="30"/>
        <v>0</v>
      </c>
      <c r="K171" s="1363"/>
      <c r="L171" s="1802" t="s">
        <v>1650</v>
      </c>
      <c r="M171" s="1797"/>
      <c r="N171" s="1798"/>
      <c r="O171" s="1799">
        <f>+MESIVA!U$87</f>
        <v>0</v>
      </c>
      <c r="P171" s="1799">
        <f>+MESIVA!V$87</f>
        <v>0</v>
      </c>
      <c r="Q171" s="1800">
        <f t="shared" si="32"/>
        <v>0</v>
      </c>
      <c r="R171" s="1801">
        <f t="shared" si="32"/>
        <v>0</v>
      </c>
    </row>
    <row r="172" spans="3:18" s="1803" customFormat="1" ht="27" customHeight="1" outlineLevel="1">
      <c r="C172" s="2534" t="s">
        <v>1060</v>
      </c>
      <c r="D172" s="2535"/>
      <c r="E172" s="1804">
        <f>SUM(E166:E171)</f>
        <v>0</v>
      </c>
      <c r="F172" s="1805">
        <f t="shared" ref="F172:H172" si="49">SUM(F166:F171)</f>
        <v>0</v>
      </c>
      <c r="G172" s="1804">
        <f t="shared" si="49"/>
        <v>0</v>
      </c>
      <c r="H172" s="1805">
        <f t="shared" si="49"/>
        <v>0</v>
      </c>
      <c r="I172" s="1804">
        <f t="shared" si="31"/>
        <v>0</v>
      </c>
      <c r="J172" s="1806">
        <f t="shared" si="30"/>
        <v>0</v>
      </c>
      <c r="K172" s="1807"/>
      <c r="L172" s="1821" t="str">
        <f>+C172</f>
        <v>Total periodo Septiembre</v>
      </c>
      <c r="M172" s="1804">
        <f>SUM(M166:M171)</f>
        <v>0</v>
      </c>
      <c r="N172" s="1805">
        <f t="shared" ref="N172:P172" si="50">SUM(N166:N171)</f>
        <v>0</v>
      </c>
      <c r="O172" s="1804">
        <f t="shared" si="50"/>
        <v>0</v>
      </c>
      <c r="P172" s="1805">
        <f t="shared" si="50"/>
        <v>0</v>
      </c>
      <c r="Q172" s="1804">
        <f t="shared" si="32"/>
        <v>0</v>
      </c>
      <c r="R172" s="1806">
        <f t="shared" si="32"/>
        <v>0</v>
      </c>
    </row>
    <row r="173" spans="3:18" s="1341" customFormat="1" ht="27" customHeight="1" outlineLevel="2">
      <c r="C173" s="2536" t="s">
        <v>1008</v>
      </c>
      <c r="D173" s="1809" t="s">
        <v>1046</v>
      </c>
      <c r="E173" s="1810"/>
      <c r="F173" s="1811"/>
      <c r="G173" s="1784">
        <f>+MESIVA!W$91</f>
        <v>0</v>
      </c>
      <c r="H173" s="1813">
        <f>+MESIVA!X$91</f>
        <v>0</v>
      </c>
      <c r="I173" s="1814">
        <f t="shared" si="31"/>
        <v>0</v>
      </c>
      <c r="J173" s="1815">
        <f t="shared" si="30"/>
        <v>0</v>
      </c>
      <c r="K173" s="1363"/>
      <c r="L173" s="1788" t="s">
        <v>1013</v>
      </c>
      <c r="M173" s="1782"/>
      <c r="N173" s="1783"/>
      <c r="O173" s="1784">
        <f>+SUM(MESIVA!W$73:W$79)</f>
        <v>0</v>
      </c>
      <c r="P173" s="1785">
        <f>+SUM(MESIVA!X$73:X$79)</f>
        <v>0</v>
      </c>
      <c r="Q173" s="1786">
        <f t="shared" si="32"/>
        <v>0</v>
      </c>
      <c r="R173" s="1787">
        <f t="shared" si="32"/>
        <v>0</v>
      </c>
    </row>
    <row r="174" spans="3:18" s="1341" customFormat="1" ht="27" customHeight="1" outlineLevel="2">
      <c r="C174" s="2537"/>
      <c r="D174" s="1789" t="s">
        <v>1048</v>
      </c>
      <c r="E174" s="1790"/>
      <c r="F174" s="1791"/>
      <c r="G174" s="1792">
        <f>+MESIVA!W$93</f>
        <v>0</v>
      </c>
      <c r="H174" s="1793">
        <f>+MESIVA!X$93</f>
        <v>0</v>
      </c>
      <c r="I174" s="1794">
        <f t="shared" si="31"/>
        <v>0</v>
      </c>
      <c r="J174" s="1795">
        <f t="shared" si="31"/>
        <v>0</v>
      </c>
      <c r="K174" s="1363"/>
      <c r="L174" s="1796" t="s">
        <v>1051</v>
      </c>
      <c r="M174" s="1790">
        <f>+E175</f>
        <v>0</v>
      </c>
      <c r="N174" s="1791">
        <f>+F175</f>
        <v>0</v>
      </c>
      <c r="O174" s="1792">
        <f>+MESIVA!W$80</f>
        <v>0</v>
      </c>
      <c r="P174" s="1793">
        <f>+MESIVA!X$80</f>
        <v>0</v>
      </c>
      <c r="Q174" s="1794">
        <f t="shared" si="32"/>
        <v>0</v>
      </c>
      <c r="R174" s="1795">
        <f t="shared" si="32"/>
        <v>0</v>
      </c>
    </row>
    <row r="175" spans="3:18" s="1341" customFormat="1" ht="27" customHeight="1" outlineLevel="2">
      <c r="C175" s="2537"/>
      <c r="D175" s="1789" t="s">
        <v>1049</v>
      </c>
      <c r="E175" s="1790"/>
      <c r="F175" s="1791"/>
      <c r="G175" s="1792">
        <f>+MESIVA!W$95</f>
        <v>0</v>
      </c>
      <c r="H175" s="1793">
        <f>+MESIVA!X$95</f>
        <v>0</v>
      </c>
      <c r="I175" s="1794">
        <f t="shared" ref="I175:J193" si="51">+E175-G175</f>
        <v>0</v>
      </c>
      <c r="J175" s="1795">
        <f t="shared" si="51"/>
        <v>0</v>
      </c>
      <c r="K175" s="1363"/>
      <c r="L175" s="1796" t="s">
        <v>1649</v>
      </c>
      <c r="M175" s="1790"/>
      <c r="N175" s="1791"/>
      <c r="O175" s="1792">
        <f>+MESIVA!W$81</f>
        <v>0</v>
      </c>
      <c r="P175" s="1792">
        <f>+MESIVA!X$81</f>
        <v>0</v>
      </c>
      <c r="Q175" s="1794">
        <f t="shared" ref="Q175:R193" si="52">+M175-O175</f>
        <v>0</v>
      </c>
      <c r="R175" s="1795">
        <f t="shared" si="52"/>
        <v>0</v>
      </c>
    </row>
    <row r="176" spans="3:18" s="1341" customFormat="1" ht="27" customHeight="1" outlineLevel="2">
      <c r="C176" s="2537"/>
      <c r="D176" s="1789" t="s">
        <v>1023</v>
      </c>
      <c r="E176" s="1790"/>
      <c r="F176" s="1791"/>
      <c r="G176" s="1792">
        <f>+MESIVA!W$98</f>
        <v>0</v>
      </c>
      <c r="H176" s="1793">
        <f>+MESIVA!X$98</f>
        <v>0</v>
      </c>
      <c r="I176" s="1794">
        <f t="shared" si="51"/>
        <v>0</v>
      </c>
      <c r="J176" s="1795">
        <f t="shared" si="51"/>
        <v>0</v>
      </c>
      <c r="K176" s="1363"/>
      <c r="L176" s="1796" t="s">
        <v>1651</v>
      </c>
      <c r="M176" s="1790"/>
      <c r="N176" s="1791"/>
      <c r="O176" s="1792">
        <f>+MESIVA!W$82</f>
        <v>0</v>
      </c>
      <c r="P176" s="1792">
        <f>+MESIVA!X$82</f>
        <v>0</v>
      </c>
      <c r="Q176" s="1794">
        <f t="shared" si="52"/>
        <v>0</v>
      </c>
      <c r="R176" s="1795">
        <f t="shared" si="52"/>
        <v>0</v>
      </c>
    </row>
    <row r="177" spans="3:18" s="1341" customFormat="1" ht="27" customHeight="1" outlineLevel="2">
      <c r="C177" s="2537"/>
      <c r="D177" s="1789" t="s">
        <v>1047</v>
      </c>
      <c r="E177" s="1790"/>
      <c r="F177" s="1791"/>
      <c r="G177" s="1792">
        <f>+MESIVA!W$92+MESIVA!W$94+MESIVA!W$96</f>
        <v>0</v>
      </c>
      <c r="H177" s="1793">
        <f>+MESIVA!X$92+MESIVA!X$94+MESIVA!X$96</f>
        <v>0</v>
      </c>
      <c r="I177" s="1794">
        <f t="shared" si="51"/>
        <v>0</v>
      </c>
      <c r="J177" s="1795">
        <f t="shared" si="51"/>
        <v>0</v>
      </c>
      <c r="K177" s="1363"/>
      <c r="L177" s="1796" t="s">
        <v>1050</v>
      </c>
      <c r="M177" s="1790"/>
      <c r="N177" s="1791"/>
      <c r="O177" s="1792">
        <f>+SUM(MESIVA!W$83:W$86)</f>
        <v>0</v>
      </c>
      <c r="P177" s="1793">
        <f>+SUM(MESIVA!X$83:X$86)</f>
        <v>0</v>
      </c>
      <c r="Q177" s="1794">
        <f t="shared" si="52"/>
        <v>0</v>
      </c>
      <c r="R177" s="1795">
        <f t="shared" si="52"/>
        <v>0</v>
      </c>
    </row>
    <row r="178" spans="3:18" s="1341" customFormat="1" ht="27" customHeight="1" outlineLevel="2">
      <c r="C178" s="2538"/>
      <c r="D178" s="1816"/>
      <c r="E178" s="1817"/>
      <c r="F178" s="1818"/>
      <c r="G178" s="1799">
        <f>+MESIVA!W$97</f>
        <v>0</v>
      </c>
      <c r="H178" s="1799">
        <f>+MESIVA!X$97</f>
        <v>0</v>
      </c>
      <c r="I178" s="1819">
        <f t="shared" si="51"/>
        <v>0</v>
      </c>
      <c r="J178" s="1820">
        <f t="shared" si="51"/>
        <v>0</v>
      </c>
      <c r="K178" s="1363"/>
      <c r="L178" s="1802" t="s">
        <v>1650</v>
      </c>
      <c r="M178" s="1797"/>
      <c r="N178" s="1798"/>
      <c r="O178" s="1799">
        <f>+MESIVA!W$87</f>
        <v>0</v>
      </c>
      <c r="P178" s="1799">
        <f>+MESIVA!X$87</f>
        <v>0</v>
      </c>
      <c r="Q178" s="1800">
        <f t="shared" si="52"/>
        <v>0</v>
      </c>
      <c r="R178" s="1801">
        <f t="shared" si="52"/>
        <v>0</v>
      </c>
    </row>
    <row r="179" spans="3:18" s="1803" customFormat="1" ht="27" customHeight="1" outlineLevel="1">
      <c r="C179" s="2534" t="s">
        <v>1061</v>
      </c>
      <c r="D179" s="2535"/>
      <c r="E179" s="1822">
        <f>SUM(E173:E178)</f>
        <v>0</v>
      </c>
      <c r="F179" s="1823">
        <f>SUM(F173:F178)</f>
        <v>0</v>
      </c>
      <c r="G179" s="1822">
        <f>SUM(G173:G178)</f>
        <v>0</v>
      </c>
      <c r="H179" s="1823">
        <f>SUM(H173:H178)</f>
        <v>0</v>
      </c>
      <c r="I179" s="1822">
        <f t="shared" si="51"/>
        <v>0</v>
      </c>
      <c r="J179" s="1824">
        <f t="shared" si="51"/>
        <v>0</v>
      </c>
      <c r="K179" s="1807"/>
      <c r="L179" s="1821" t="str">
        <f>+C179</f>
        <v>Total periodo Octubre</v>
      </c>
      <c r="M179" s="1804">
        <f>SUM(M173:M178)</f>
        <v>0</v>
      </c>
      <c r="N179" s="1805">
        <f t="shared" ref="N179:P179" si="53">SUM(N173:N178)</f>
        <v>0</v>
      </c>
      <c r="O179" s="1804">
        <f t="shared" si="53"/>
        <v>0</v>
      </c>
      <c r="P179" s="1805">
        <f t="shared" si="53"/>
        <v>0</v>
      </c>
      <c r="Q179" s="1804">
        <f t="shared" si="52"/>
        <v>0</v>
      </c>
      <c r="R179" s="1806">
        <f t="shared" si="52"/>
        <v>0</v>
      </c>
    </row>
    <row r="180" spans="3:18" s="1341" customFormat="1" ht="27" customHeight="1" outlineLevel="2">
      <c r="C180" s="2536" t="s">
        <v>1009</v>
      </c>
      <c r="D180" s="1809" t="s">
        <v>1046</v>
      </c>
      <c r="E180" s="1810"/>
      <c r="F180" s="1811"/>
      <c r="G180" s="1784">
        <f>+MESIVA!Y$91</f>
        <v>0</v>
      </c>
      <c r="H180" s="1813">
        <f>+MESIVA!Z$91</f>
        <v>0</v>
      </c>
      <c r="I180" s="1814">
        <f t="shared" si="51"/>
        <v>0</v>
      </c>
      <c r="J180" s="1815">
        <f t="shared" si="51"/>
        <v>0</v>
      </c>
      <c r="K180" s="1363"/>
      <c r="L180" s="1788" t="s">
        <v>1013</v>
      </c>
      <c r="M180" s="1782"/>
      <c r="N180" s="1783"/>
      <c r="O180" s="1784">
        <f>+SUM(MESIVA!Y$73:Y$79)</f>
        <v>0</v>
      </c>
      <c r="P180" s="1785">
        <f>+SUM(MESIVA!Z$73:Z$79)</f>
        <v>0</v>
      </c>
      <c r="Q180" s="1786">
        <f t="shared" si="52"/>
        <v>0</v>
      </c>
      <c r="R180" s="1787">
        <f t="shared" si="52"/>
        <v>0</v>
      </c>
    </row>
    <row r="181" spans="3:18" s="1341" customFormat="1" ht="27" customHeight="1" outlineLevel="2">
      <c r="C181" s="2537"/>
      <c r="D181" s="1789" t="s">
        <v>1048</v>
      </c>
      <c r="E181" s="1790"/>
      <c r="F181" s="1791"/>
      <c r="G181" s="1792">
        <f>+MESIVA!Y$93</f>
        <v>0</v>
      </c>
      <c r="H181" s="1793">
        <f>+MESIVA!Z$93</f>
        <v>0</v>
      </c>
      <c r="I181" s="1794">
        <f t="shared" si="51"/>
        <v>0</v>
      </c>
      <c r="J181" s="1795">
        <f t="shared" si="51"/>
        <v>0</v>
      </c>
      <c r="K181" s="1363"/>
      <c r="L181" s="1796" t="s">
        <v>1051</v>
      </c>
      <c r="M181" s="1790">
        <f>+E182</f>
        <v>0</v>
      </c>
      <c r="N181" s="1791">
        <f>+F182</f>
        <v>0</v>
      </c>
      <c r="O181" s="1792">
        <f>+MESIVA!Y$80</f>
        <v>0</v>
      </c>
      <c r="P181" s="1793">
        <f>+MESIVA!Z$80</f>
        <v>0</v>
      </c>
      <c r="Q181" s="1794">
        <f t="shared" si="52"/>
        <v>0</v>
      </c>
      <c r="R181" s="1795">
        <f t="shared" si="52"/>
        <v>0</v>
      </c>
    </row>
    <row r="182" spans="3:18" s="1341" customFormat="1" ht="27" customHeight="1" outlineLevel="2">
      <c r="C182" s="2537"/>
      <c r="D182" s="1789" t="s">
        <v>1049</v>
      </c>
      <c r="E182" s="1790"/>
      <c r="F182" s="1791"/>
      <c r="G182" s="1792">
        <f>+MESIVA!Y$95</f>
        <v>0</v>
      </c>
      <c r="H182" s="1793">
        <f>+MESIVA!Z$95</f>
        <v>0</v>
      </c>
      <c r="I182" s="1794">
        <f t="shared" si="51"/>
        <v>0</v>
      </c>
      <c r="J182" s="1795">
        <f t="shared" si="51"/>
        <v>0</v>
      </c>
      <c r="K182" s="1363"/>
      <c r="L182" s="1796" t="s">
        <v>1649</v>
      </c>
      <c r="M182" s="1790"/>
      <c r="N182" s="1791"/>
      <c r="O182" s="1792">
        <f>+MESIVA!Y$81</f>
        <v>0</v>
      </c>
      <c r="P182" s="1792">
        <f>+MESIVA!Z$81</f>
        <v>0</v>
      </c>
      <c r="Q182" s="1794">
        <f t="shared" si="52"/>
        <v>0</v>
      </c>
      <c r="R182" s="1795">
        <f t="shared" si="52"/>
        <v>0</v>
      </c>
    </row>
    <row r="183" spans="3:18" s="1341" customFormat="1" ht="27" customHeight="1" outlineLevel="2">
      <c r="C183" s="2537"/>
      <c r="D183" s="1789" t="s">
        <v>1023</v>
      </c>
      <c r="E183" s="1790"/>
      <c r="F183" s="1791"/>
      <c r="G183" s="1792">
        <f>+MESIVA!Y$98</f>
        <v>0</v>
      </c>
      <c r="H183" s="1793">
        <f>+MESIVA!Z$98</f>
        <v>0</v>
      </c>
      <c r="I183" s="1794">
        <f t="shared" si="51"/>
        <v>0</v>
      </c>
      <c r="J183" s="1795">
        <f t="shared" si="51"/>
        <v>0</v>
      </c>
      <c r="K183" s="1363"/>
      <c r="L183" s="1796" t="s">
        <v>1651</v>
      </c>
      <c r="M183" s="1790"/>
      <c r="N183" s="1791"/>
      <c r="O183" s="1792">
        <f>+MESIVA!Y$82</f>
        <v>0</v>
      </c>
      <c r="P183" s="1792">
        <f>+MESIVA!Z$82</f>
        <v>0</v>
      </c>
      <c r="Q183" s="1794">
        <f t="shared" si="52"/>
        <v>0</v>
      </c>
      <c r="R183" s="1795">
        <f t="shared" si="52"/>
        <v>0</v>
      </c>
    </row>
    <row r="184" spans="3:18" s="1341" customFormat="1" ht="27" customHeight="1" outlineLevel="2">
      <c r="C184" s="2537"/>
      <c r="D184" s="1789" t="s">
        <v>1047</v>
      </c>
      <c r="E184" s="1790"/>
      <c r="F184" s="1791"/>
      <c r="G184" s="1792">
        <f>+MESIVA!Y$92+MESIVA!Y$94+MESIVA!Y$96</f>
        <v>0</v>
      </c>
      <c r="H184" s="1793">
        <f>+MESIVA!Z$92+MESIVA!Z$94+MESIVA!Z$96</f>
        <v>0</v>
      </c>
      <c r="I184" s="1794">
        <f t="shared" si="51"/>
        <v>0</v>
      </c>
      <c r="J184" s="1795">
        <f t="shared" si="51"/>
        <v>0</v>
      </c>
      <c r="K184" s="1363"/>
      <c r="L184" s="1796" t="s">
        <v>1050</v>
      </c>
      <c r="M184" s="1790"/>
      <c r="N184" s="1791"/>
      <c r="O184" s="1792">
        <f>+SUM(MESIVA!Y$83:Y$86)</f>
        <v>0</v>
      </c>
      <c r="P184" s="1793">
        <f>+SUM(MESIVA!Z$83:Z$86)</f>
        <v>0</v>
      </c>
      <c r="Q184" s="1794">
        <f t="shared" si="52"/>
        <v>0</v>
      </c>
      <c r="R184" s="1795">
        <f t="shared" si="52"/>
        <v>0</v>
      </c>
    </row>
    <row r="185" spans="3:18" s="1341" customFormat="1" ht="27" customHeight="1" outlineLevel="2">
      <c r="C185" s="2538"/>
      <c r="D185" s="1816" t="s">
        <v>1652</v>
      </c>
      <c r="E185" s="1817"/>
      <c r="F185" s="1818"/>
      <c r="G185" s="1799">
        <f>+MESIVA!Y$97</f>
        <v>0</v>
      </c>
      <c r="H185" s="1799">
        <f>+MESIVA!Z$97</f>
        <v>0</v>
      </c>
      <c r="I185" s="1819">
        <f t="shared" si="51"/>
        <v>0</v>
      </c>
      <c r="J185" s="1820">
        <f t="shared" si="51"/>
        <v>0</v>
      </c>
      <c r="K185" s="1363"/>
      <c r="L185" s="1802" t="s">
        <v>1650</v>
      </c>
      <c r="M185" s="1797"/>
      <c r="N185" s="1798"/>
      <c r="O185" s="1799">
        <f>+MESIVA!Y$87</f>
        <v>0</v>
      </c>
      <c r="P185" s="1799">
        <f>+MESIVA!Z$87</f>
        <v>0</v>
      </c>
      <c r="Q185" s="1800">
        <f t="shared" si="52"/>
        <v>0</v>
      </c>
      <c r="R185" s="1801">
        <f t="shared" si="52"/>
        <v>0</v>
      </c>
    </row>
    <row r="186" spans="3:18" s="1803" customFormat="1" ht="27" customHeight="1" outlineLevel="1">
      <c r="C186" s="2534" t="s">
        <v>1062</v>
      </c>
      <c r="D186" s="2535"/>
      <c r="E186" s="1804">
        <f>SUM(E180:E185)</f>
        <v>0</v>
      </c>
      <c r="F186" s="1805">
        <f t="shared" ref="F186:H186" si="54">SUM(F180:F185)</f>
        <v>0</v>
      </c>
      <c r="G186" s="1804">
        <f t="shared" si="54"/>
        <v>0</v>
      </c>
      <c r="H186" s="1805">
        <f t="shared" si="54"/>
        <v>0</v>
      </c>
      <c r="I186" s="1804">
        <f t="shared" si="51"/>
        <v>0</v>
      </c>
      <c r="J186" s="1806">
        <f t="shared" si="51"/>
        <v>0</v>
      </c>
      <c r="K186" s="1807"/>
      <c r="L186" s="1821" t="str">
        <f>+C186</f>
        <v>Total periodo Noviembre</v>
      </c>
      <c r="M186" s="1804">
        <f>SUM(M180:M185)</f>
        <v>0</v>
      </c>
      <c r="N186" s="1805">
        <f t="shared" ref="N186:P186" si="55">SUM(N180:N185)</f>
        <v>0</v>
      </c>
      <c r="O186" s="1804">
        <f t="shared" si="55"/>
        <v>0</v>
      </c>
      <c r="P186" s="1805">
        <f t="shared" si="55"/>
        <v>0</v>
      </c>
      <c r="Q186" s="1804">
        <f t="shared" si="52"/>
        <v>0</v>
      </c>
      <c r="R186" s="1806">
        <f t="shared" si="52"/>
        <v>0</v>
      </c>
    </row>
    <row r="187" spans="3:18" s="1341" customFormat="1" ht="27" customHeight="1" outlineLevel="2">
      <c r="C187" s="2536" t="s">
        <v>1010</v>
      </c>
      <c r="D187" s="1809" t="s">
        <v>1046</v>
      </c>
      <c r="E187" s="1810"/>
      <c r="F187" s="1811"/>
      <c r="G187" s="1784">
        <f>+MESIVA!AA$91</f>
        <v>0</v>
      </c>
      <c r="H187" s="1813">
        <f>+MESIVA!AB$91</f>
        <v>0</v>
      </c>
      <c r="I187" s="1814">
        <f t="shared" si="51"/>
        <v>0</v>
      </c>
      <c r="J187" s="1815">
        <f t="shared" si="51"/>
        <v>0</v>
      </c>
      <c r="K187" s="1363"/>
      <c r="L187" s="1788" t="s">
        <v>1013</v>
      </c>
      <c r="M187" s="1782"/>
      <c r="N187" s="1783"/>
      <c r="O187" s="1784">
        <f>+SUM(MESIVA!AA$73:AA$79)</f>
        <v>0</v>
      </c>
      <c r="P187" s="1785">
        <f>+SUM(MESIVA!AB$73:AB$79)</f>
        <v>0</v>
      </c>
      <c r="Q187" s="1786">
        <f t="shared" si="52"/>
        <v>0</v>
      </c>
      <c r="R187" s="1787">
        <f t="shared" si="52"/>
        <v>0</v>
      </c>
    </row>
    <row r="188" spans="3:18" s="1341" customFormat="1" ht="27" customHeight="1" outlineLevel="2">
      <c r="C188" s="2537"/>
      <c r="D188" s="1789" t="s">
        <v>1048</v>
      </c>
      <c r="E188" s="1790"/>
      <c r="F188" s="1791"/>
      <c r="G188" s="1792">
        <f>+MESIVA!AA$93</f>
        <v>0</v>
      </c>
      <c r="H188" s="1793">
        <f>+MESIVA!AB$93</f>
        <v>0</v>
      </c>
      <c r="I188" s="1794">
        <f t="shared" si="51"/>
        <v>0</v>
      </c>
      <c r="J188" s="1795">
        <f t="shared" si="51"/>
        <v>0</v>
      </c>
      <c r="K188" s="1363"/>
      <c r="L188" s="1796" t="s">
        <v>1051</v>
      </c>
      <c r="M188" s="1790">
        <f>+E189</f>
        <v>0</v>
      </c>
      <c r="N188" s="1791">
        <f>+F189</f>
        <v>0</v>
      </c>
      <c r="O188" s="1792">
        <f>+MESIVA!AA$80</f>
        <v>0</v>
      </c>
      <c r="P188" s="1793">
        <f>+MESIVA!AB$80</f>
        <v>0</v>
      </c>
      <c r="Q188" s="1794">
        <f t="shared" si="52"/>
        <v>0</v>
      </c>
      <c r="R188" s="1795">
        <f t="shared" si="52"/>
        <v>0</v>
      </c>
    </row>
    <row r="189" spans="3:18" s="1341" customFormat="1" ht="27" customHeight="1" outlineLevel="2">
      <c r="C189" s="2537"/>
      <c r="D189" s="1789" t="s">
        <v>1049</v>
      </c>
      <c r="E189" s="1790"/>
      <c r="F189" s="1791"/>
      <c r="G189" s="1792">
        <f>+MESIVA!AA$95</f>
        <v>0</v>
      </c>
      <c r="H189" s="1793">
        <f>+MESIVA!AB$95</f>
        <v>0</v>
      </c>
      <c r="I189" s="1794">
        <f t="shared" si="51"/>
        <v>0</v>
      </c>
      <c r="J189" s="1795">
        <f t="shared" si="51"/>
        <v>0</v>
      </c>
      <c r="K189" s="1363"/>
      <c r="L189" s="1796" t="s">
        <v>1649</v>
      </c>
      <c r="M189" s="1790"/>
      <c r="N189" s="1791"/>
      <c r="O189" s="1792">
        <f>+MESIVA!AA$81</f>
        <v>0</v>
      </c>
      <c r="P189" s="1792">
        <f>+MESIVA!AB$81</f>
        <v>0</v>
      </c>
      <c r="Q189" s="1794">
        <f t="shared" si="52"/>
        <v>0</v>
      </c>
      <c r="R189" s="1795">
        <f t="shared" si="52"/>
        <v>0</v>
      </c>
    </row>
    <row r="190" spans="3:18" s="1341" customFormat="1" ht="27" customHeight="1" outlineLevel="2">
      <c r="C190" s="2537"/>
      <c r="D190" s="1789" t="s">
        <v>1023</v>
      </c>
      <c r="E190" s="1790"/>
      <c r="F190" s="1791"/>
      <c r="G190" s="1792">
        <f>+MESIVA!AA$98</f>
        <v>0</v>
      </c>
      <c r="H190" s="1793">
        <f>+MESIVA!AB$98</f>
        <v>0</v>
      </c>
      <c r="I190" s="1794">
        <f t="shared" si="51"/>
        <v>0</v>
      </c>
      <c r="J190" s="1795">
        <f t="shared" si="51"/>
        <v>0</v>
      </c>
      <c r="K190" s="1363"/>
      <c r="L190" s="1796" t="s">
        <v>1651</v>
      </c>
      <c r="M190" s="1790"/>
      <c r="N190" s="1791"/>
      <c r="O190" s="1792">
        <f>+MESIVA!AA$82</f>
        <v>0</v>
      </c>
      <c r="P190" s="1792">
        <f>+MESIVA!AB$82</f>
        <v>0</v>
      </c>
      <c r="Q190" s="1794">
        <f t="shared" si="52"/>
        <v>0</v>
      </c>
      <c r="R190" s="1795">
        <f t="shared" si="52"/>
        <v>0</v>
      </c>
    </row>
    <row r="191" spans="3:18" s="1341" customFormat="1" ht="27" customHeight="1" outlineLevel="2">
      <c r="C191" s="2537"/>
      <c r="D191" s="1789" t="s">
        <v>1047</v>
      </c>
      <c r="E191" s="1790"/>
      <c r="F191" s="1791"/>
      <c r="G191" s="1792">
        <f>+MESIVA!AA$92+MESIVA!AA$94+MESIVA!AA$96</f>
        <v>0</v>
      </c>
      <c r="H191" s="1793">
        <f>+MESIVA!AB$92+MESIVA!AB$94+MESIVA!AB$96</f>
        <v>0</v>
      </c>
      <c r="I191" s="1794">
        <f t="shared" si="51"/>
        <v>0</v>
      </c>
      <c r="J191" s="1795">
        <f t="shared" si="51"/>
        <v>0</v>
      </c>
      <c r="K191" s="1363"/>
      <c r="L191" s="1796" t="s">
        <v>1050</v>
      </c>
      <c r="M191" s="1790"/>
      <c r="N191" s="1791"/>
      <c r="O191" s="1792">
        <f>+SUM(MESIVA!AA$83:AA$86)</f>
        <v>0</v>
      </c>
      <c r="P191" s="1793">
        <f>+SUM(MESIVA!AB$83:AB$86)</f>
        <v>0</v>
      </c>
      <c r="Q191" s="1794">
        <f t="shared" si="52"/>
        <v>0</v>
      </c>
      <c r="R191" s="1795">
        <f t="shared" si="52"/>
        <v>0</v>
      </c>
    </row>
    <row r="192" spans="3:18" s="1341" customFormat="1" ht="27" customHeight="1" outlineLevel="2">
      <c r="C192" s="2538"/>
      <c r="D192" s="1816" t="s">
        <v>1652</v>
      </c>
      <c r="E192" s="1817"/>
      <c r="F192" s="1818"/>
      <c r="G192" s="1799">
        <f>+MESIVA!AA$97</f>
        <v>0</v>
      </c>
      <c r="H192" s="1799">
        <f>+MESIVA!AB$97</f>
        <v>0</v>
      </c>
      <c r="I192" s="1819">
        <f t="shared" si="51"/>
        <v>0</v>
      </c>
      <c r="J192" s="1820">
        <f t="shared" si="51"/>
        <v>0</v>
      </c>
      <c r="K192" s="1363"/>
      <c r="L192" s="1802" t="s">
        <v>1650</v>
      </c>
      <c r="M192" s="1797"/>
      <c r="N192" s="1798"/>
      <c r="O192" s="1799">
        <f>+MESIVA!AA$87</f>
        <v>0</v>
      </c>
      <c r="P192" s="1799">
        <f>+MESIVA!AB$87</f>
        <v>0</v>
      </c>
      <c r="Q192" s="1800">
        <f t="shared" si="52"/>
        <v>0</v>
      </c>
      <c r="R192" s="1801">
        <f t="shared" si="52"/>
        <v>0</v>
      </c>
    </row>
    <row r="193" spans="3:18" s="1803" customFormat="1" ht="27" customHeight="1" outlineLevel="1">
      <c r="C193" s="2539" t="s">
        <v>1063</v>
      </c>
      <c r="D193" s="2540"/>
      <c r="E193" s="1825">
        <f>SUM(E187:E192)</f>
        <v>0</v>
      </c>
      <c r="F193" s="1826">
        <f t="shared" ref="F193:H193" si="56">SUM(F187:F192)</f>
        <v>0</v>
      </c>
      <c r="G193" s="1825">
        <f t="shared" si="56"/>
        <v>0</v>
      </c>
      <c r="H193" s="1826">
        <f t="shared" si="56"/>
        <v>0</v>
      </c>
      <c r="I193" s="1825">
        <f t="shared" si="51"/>
        <v>0</v>
      </c>
      <c r="J193" s="1827">
        <f t="shared" si="51"/>
        <v>0</v>
      </c>
      <c r="K193" s="1807"/>
      <c r="L193" s="1828" t="str">
        <f>+C193</f>
        <v>Total periodo Diciembre</v>
      </c>
      <c r="M193" s="1825">
        <f>SUM(M187:M192)</f>
        <v>0</v>
      </c>
      <c r="N193" s="1826">
        <f t="shared" ref="N193:P193" si="57">SUM(N187:N192)</f>
        <v>0</v>
      </c>
      <c r="O193" s="1825">
        <f>SUM(O187:O192)</f>
        <v>0</v>
      </c>
      <c r="P193" s="1826">
        <f t="shared" si="57"/>
        <v>0</v>
      </c>
      <c r="Q193" s="1825">
        <f t="shared" si="52"/>
        <v>0</v>
      </c>
      <c r="R193" s="1827">
        <f t="shared" si="52"/>
        <v>0</v>
      </c>
    </row>
    <row r="194" spans="3:18" s="1341" customFormat="1" ht="15" customHeight="1" outlineLevel="1"/>
    <row r="195" spans="3:18" s="1341" customFormat="1" ht="27" customHeight="1" outlineLevel="1">
      <c r="C195" s="2533" t="s">
        <v>1064</v>
      </c>
      <c r="D195" s="2533"/>
      <c r="E195" s="1823">
        <f>SUM(E193,E186,E179,E172,E165,E158,E151,E144,E137,E130,E123,E116)</f>
        <v>0</v>
      </c>
      <c r="F195" s="1823">
        <f t="shared" ref="F195:J195" si="58">SUM(F193,F186,F179,F172,F165,F158,F151,F144,F137,F130,F123,F116)</f>
        <v>0</v>
      </c>
      <c r="G195" s="1823">
        <f t="shared" si="58"/>
        <v>0</v>
      </c>
      <c r="H195" s="1823">
        <f t="shared" si="58"/>
        <v>0</v>
      </c>
      <c r="I195" s="1822">
        <f t="shared" si="58"/>
        <v>0</v>
      </c>
      <c r="J195" s="1822">
        <f t="shared" si="58"/>
        <v>0</v>
      </c>
      <c r="K195" s="1363"/>
      <c r="L195" s="1823" t="str">
        <f>+C195</f>
        <v>Total  Ejercicio</v>
      </c>
      <c r="M195" s="1829">
        <f t="shared" ref="M195:R195" si="59">SUM(M193,M186,M179,M172,M165,M158,M151,M144,M137,M130,M123,M116)</f>
        <v>0</v>
      </c>
      <c r="N195" s="1829">
        <f t="shared" si="59"/>
        <v>0</v>
      </c>
      <c r="O195" s="1829">
        <f t="shared" si="59"/>
        <v>0</v>
      </c>
      <c r="P195" s="1829">
        <f t="shared" si="59"/>
        <v>0</v>
      </c>
      <c r="Q195" s="1822">
        <f t="shared" si="59"/>
        <v>0</v>
      </c>
      <c r="R195" s="1822">
        <f t="shared" si="59"/>
        <v>0</v>
      </c>
    </row>
    <row r="196" spans="3:18" s="1341" customFormat="1" ht="15" customHeight="1" outlineLevel="1"/>
    <row r="197" spans="3:18" s="1341" customFormat="1" ht="15" customHeight="1"/>
    <row r="198" spans="3:18" s="1341" customFormat="1" ht="15" customHeight="1"/>
    <row r="199" spans="3:18" s="1341" customFormat="1" ht="15" customHeight="1"/>
    <row r="200" spans="3:18" s="1341" customFormat="1" ht="15" customHeight="1"/>
  </sheetData>
  <mergeCells count="62">
    <mergeCell ref="C48:C53"/>
    <mergeCell ref="C55:C60"/>
    <mergeCell ref="C62:C67"/>
    <mergeCell ref="C69:C74"/>
    <mergeCell ref="C76:C81"/>
    <mergeCell ref="C75:D75"/>
    <mergeCell ref="C103:D103"/>
    <mergeCell ref="C105:D105"/>
    <mergeCell ref="C83:C88"/>
    <mergeCell ref="C90:C95"/>
    <mergeCell ref="C97:C102"/>
    <mergeCell ref="C82:D82"/>
    <mergeCell ref="C89:D89"/>
    <mergeCell ref="C96:D96"/>
    <mergeCell ref="C54:D54"/>
    <mergeCell ref="C61:D61"/>
    <mergeCell ref="C68:D68"/>
    <mergeCell ref="M15:R15"/>
    <mergeCell ref="M16:N16"/>
    <mergeCell ref="O16:P16"/>
    <mergeCell ref="Q16:R16"/>
    <mergeCell ref="I16:J16"/>
    <mergeCell ref="E15:J15"/>
    <mergeCell ref="C20:C25"/>
    <mergeCell ref="C40:D40"/>
    <mergeCell ref="C5:D5"/>
    <mergeCell ref="E5:G5"/>
    <mergeCell ref="E7:G7"/>
    <mergeCell ref="E16:F16"/>
    <mergeCell ref="G16:H16"/>
    <mergeCell ref="C47:D47"/>
    <mergeCell ref="C26:D26"/>
    <mergeCell ref="C33:D33"/>
    <mergeCell ref="C27:C32"/>
    <mergeCell ref="C34:C39"/>
    <mergeCell ref="C41:C46"/>
    <mergeCell ref="C108:D108"/>
    <mergeCell ref="C110:C115"/>
    <mergeCell ref="C116:D116"/>
    <mergeCell ref="C117:C122"/>
    <mergeCell ref="C123:D123"/>
    <mergeCell ref="C124:C129"/>
    <mergeCell ref="C130:D130"/>
    <mergeCell ref="C131:C136"/>
    <mergeCell ref="C137:D137"/>
    <mergeCell ref="C138:C143"/>
    <mergeCell ref="C144:D144"/>
    <mergeCell ref="C145:C150"/>
    <mergeCell ref="C151:D151"/>
    <mergeCell ref="C152:C157"/>
    <mergeCell ref="C158:D158"/>
    <mergeCell ref="C159:C164"/>
    <mergeCell ref="C165:D165"/>
    <mergeCell ref="C166:C171"/>
    <mergeCell ref="C172:D172"/>
    <mergeCell ref="C173:C178"/>
    <mergeCell ref="C195:D195"/>
    <mergeCell ref="C179:D179"/>
    <mergeCell ref="C180:C185"/>
    <mergeCell ref="C186:D186"/>
    <mergeCell ref="C187:C192"/>
    <mergeCell ref="C193:D193"/>
  </mergeCells>
  <conditionalFormatting sqref="I26">
    <cfRule type="expression" dxfId="190" priority="104">
      <formula>I26&lt;&gt;0</formula>
    </cfRule>
  </conditionalFormatting>
  <conditionalFormatting sqref="J26">
    <cfRule type="expression" dxfId="189" priority="103">
      <formula>J26&lt;&gt;0</formula>
    </cfRule>
  </conditionalFormatting>
  <conditionalFormatting sqref="I105">
    <cfRule type="expression" dxfId="188" priority="102">
      <formula>I105&lt;&gt;0</formula>
    </cfRule>
  </conditionalFormatting>
  <conditionalFormatting sqref="J105">
    <cfRule type="expression" dxfId="187" priority="101">
      <formula>J105&lt;&gt;0</formula>
    </cfRule>
  </conditionalFormatting>
  <conditionalFormatting sqref="Q105">
    <cfRule type="expression" dxfId="186" priority="100">
      <formula>Q105&lt;&gt;0</formula>
    </cfRule>
  </conditionalFormatting>
  <conditionalFormatting sqref="R105">
    <cfRule type="expression" dxfId="185" priority="99">
      <formula>R105&lt;&gt;0</formula>
    </cfRule>
  </conditionalFormatting>
  <conditionalFormatting sqref="Q33">
    <cfRule type="expression" dxfId="184" priority="96">
      <formula>Q33&lt;&gt;0</formula>
    </cfRule>
  </conditionalFormatting>
  <conditionalFormatting sqref="R33">
    <cfRule type="expression" dxfId="183" priority="95">
      <formula>R33&lt;&gt;0</formula>
    </cfRule>
  </conditionalFormatting>
  <conditionalFormatting sqref="Q47">
    <cfRule type="expression" dxfId="182" priority="92">
      <formula>Q47&lt;&gt;0</formula>
    </cfRule>
  </conditionalFormatting>
  <conditionalFormatting sqref="R47">
    <cfRule type="expression" dxfId="181" priority="91">
      <formula>R47&lt;&gt;0</formula>
    </cfRule>
  </conditionalFormatting>
  <conditionalFormatting sqref="Q61">
    <cfRule type="expression" dxfId="180" priority="88">
      <formula>Q61&lt;&gt;0</formula>
    </cfRule>
  </conditionalFormatting>
  <conditionalFormatting sqref="R61">
    <cfRule type="expression" dxfId="179" priority="87">
      <formula>R61&lt;&gt;0</formula>
    </cfRule>
  </conditionalFormatting>
  <conditionalFormatting sqref="Q75">
    <cfRule type="expression" dxfId="178" priority="84">
      <formula>Q75&lt;&gt;0</formula>
    </cfRule>
  </conditionalFormatting>
  <conditionalFormatting sqref="R75">
    <cfRule type="expression" dxfId="177" priority="83">
      <formula>R75&lt;&gt;0</formula>
    </cfRule>
  </conditionalFormatting>
  <conditionalFormatting sqref="Q89">
    <cfRule type="expression" dxfId="176" priority="80">
      <formula>Q89&lt;&gt;0</formula>
    </cfRule>
  </conditionalFormatting>
  <conditionalFormatting sqref="R89">
    <cfRule type="expression" dxfId="175" priority="79">
      <formula>R89&lt;&gt;0</formula>
    </cfRule>
  </conditionalFormatting>
  <conditionalFormatting sqref="Q103">
    <cfRule type="expression" dxfId="174" priority="76">
      <formula>Q103&lt;&gt;0</formula>
    </cfRule>
  </conditionalFormatting>
  <conditionalFormatting sqref="R103">
    <cfRule type="expression" dxfId="173" priority="75">
      <formula>R103&lt;&gt;0</formula>
    </cfRule>
  </conditionalFormatting>
  <conditionalFormatting sqref="I33">
    <cfRule type="expression" dxfId="172" priority="72">
      <formula>I33&lt;&gt;0</formula>
    </cfRule>
  </conditionalFormatting>
  <conditionalFormatting sqref="J33">
    <cfRule type="expression" dxfId="171" priority="71">
      <formula>J33&lt;&gt;0</formula>
    </cfRule>
  </conditionalFormatting>
  <conditionalFormatting sqref="I47">
    <cfRule type="expression" dxfId="170" priority="68">
      <formula>I47&lt;&gt;0</formula>
    </cfRule>
  </conditionalFormatting>
  <conditionalFormatting sqref="J47">
    <cfRule type="expression" dxfId="169" priority="67">
      <formula>J47&lt;&gt;0</formula>
    </cfRule>
  </conditionalFormatting>
  <conditionalFormatting sqref="I61">
    <cfRule type="expression" dxfId="168" priority="64">
      <formula>I61&lt;&gt;0</formula>
    </cfRule>
  </conditionalFormatting>
  <conditionalFormatting sqref="J61">
    <cfRule type="expression" dxfId="167" priority="63">
      <formula>J61&lt;&gt;0</formula>
    </cfRule>
  </conditionalFormatting>
  <conditionalFormatting sqref="I75">
    <cfRule type="expression" dxfId="166" priority="60">
      <formula>I75&lt;&gt;0</formula>
    </cfRule>
  </conditionalFormatting>
  <conditionalFormatting sqref="J75">
    <cfRule type="expression" dxfId="165" priority="59">
      <formula>J75&lt;&gt;0</formula>
    </cfRule>
  </conditionalFormatting>
  <conditionalFormatting sqref="I96">
    <cfRule type="expression" dxfId="164" priority="56">
      <formula>I96&lt;&gt;0</formula>
    </cfRule>
  </conditionalFormatting>
  <conditionalFormatting sqref="J96">
    <cfRule type="expression" dxfId="163" priority="55">
      <formula>J96&lt;&gt;0</formula>
    </cfRule>
  </conditionalFormatting>
  <conditionalFormatting sqref="Q26">
    <cfRule type="expression" dxfId="162" priority="98">
      <formula>Q26&lt;&gt;0</formula>
    </cfRule>
  </conditionalFormatting>
  <conditionalFormatting sqref="R26">
    <cfRule type="expression" dxfId="161" priority="97">
      <formula>R26&lt;&gt;0</formula>
    </cfRule>
  </conditionalFormatting>
  <conditionalFormatting sqref="Q40">
    <cfRule type="expression" dxfId="160" priority="94">
      <formula>Q40&lt;&gt;0</formula>
    </cfRule>
  </conditionalFormatting>
  <conditionalFormatting sqref="R40">
    <cfRule type="expression" dxfId="159" priority="93">
      <formula>R40&lt;&gt;0</formula>
    </cfRule>
  </conditionalFormatting>
  <conditionalFormatting sqref="Q54">
    <cfRule type="expression" dxfId="158" priority="90">
      <formula>Q54&lt;&gt;0</formula>
    </cfRule>
  </conditionalFormatting>
  <conditionalFormatting sqref="R54">
    <cfRule type="expression" dxfId="157" priority="89">
      <formula>R54&lt;&gt;0</formula>
    </cfRule>
  </conditionalFormatting>
  <conditionalFormatting sqref="Q68">
    <cfRule type="expression" dxfId="156" priority="86">
      <formula>Q68&lt;&gt;0</formula>
    </cfRule>
  </conditionalFormatting>
  <conditionalFormatting sqref="R68">
    <cfRule type="expression" dxfId="155" priority="85">
      <formula>R68&lt;&gt;0</formula>
    </cfRule>
  </conditionalFormatting>
  <conditionalFormatting sqref="Q82">
    <cfRule type="expression" dxfId="154" priority="82">
      <formula>Q82&lt;&gt;0</formula>
    </cfRule>
  </conditionalFormatting>
  <conditionalFormatting sqref="R82">
    <cfRule type="expression" dxfId="153" priority="81">
      <formula>R82&lt;&gt;0</formula>
    </cfRule>
  </conditionalFormatting>
  <conditionalFormatting sqref="Q96">
    <cfRule type="expression" dxfId="152" priority="78">
      <formula>Q96&lt;&gt;0</formula>
    </cfRule>
  </conditionalFormatting>
  <conditionalFormatting sqref="R96">
    <cfRule type="expression" dxfId="151" priority="77">
      <formula>R96&lt;&gt;0</formula>
    </cfRule>
  </conditionalFormatting>
  <conditionalFormatting sqref="I89">
    <cfRule type="expression" dxfId="150" priority="74">
      <formula>I89&lt;&gt;0</formula>
    </cfRule>
  </conditionalFormatting>
  <conditionalFormatting sqref="J89">
    <cfRule type="expression" dxfId="149" priority="73">
      <formula>J89&lt;&gt;0</formula>
    </cfRule>
  </conditionalFormatting>
  <conditionalFormatting sqref="I40">
    <cfRule type="expression" dxfId="148" priority="70">
      <formula>I40&lt;&gt;0</formula>
    </cfRule>
  </conditionalFormatting>
  <conditionalFormatting sqref="J40">
    <cfRule type="expression" dxfId="147" priority="69">
      <formula>J40&lt;&gt;0</formula>
    </cfRule>
  </conditionalFormatting>
  <conditionalFormatting sqref="I54">
    <cfRule type="expression" dxfId="146" priority="66">
      <formula>I54&lt;&gt;0</formula>
    </cfRule>
  </conditionalFormatting>
  <conditionalFormatting sqref="J54">
    <cfRule type="expression" dxfId="145" priority="65">
      <formula>J54&lt;&gt;0</formula>
    </cfRule>
  </conditionalFormatting>
  <conditionalFormatting sqref="I68">
    <cfRule type="expression" dxfId="144" priority="62">
      <formula>I68&lt;&gt;0</formula>
    </cfRule>
  </conditionalFormatting>
  <conditionalFormatting sqref="J68">
    <cfRule type="expression" dxfId="143" priority="61">
      <formula>J68&lt;&gt;0</formula>
    </cfRule>
  </conditionalFormatting>
  <conditionalFormatting sqref="I82">
    <cfRule type="expression" dxfId="142" priority="58">
      <formula>I82&lt;&gt;0</formula>
    </cfRule>
  </conditionalFormatting>
  <conditionalFormatting sqref="J82">
    <cfRule type="expression" dxfId="141" priority="57">
      <formula>J82&lt;&gt;0</formula>
    </cfRule>
  </conditionalFormatting>
  <conditionalFormatting sqref="I103">
    <cfRule type="expression" dxfId="140" priority="54">
      <formula>I103&lt;&gt;0</formula>
    </cfRule>
  </conditionalFormatting>
  <conditionalFormatting sqref="J103">
    <cfRule type="expression" dxfId="139" priority="53">
      <formula>J103&lt;&gt;0</formula>
    </cfRule>
  </conditionalFormatting>
  <conditionalFormatting sqref="I116">
    <cfRule type="expression" dxfId="138" priority="52">
      <formula>I116&lt;&gt;0</formula>
    </cfRule>
  </conditionalFormatting>
  <conditionalFormatting sqref="J116">
    <cfRule type="expression" dxfId="137" priority="51">
      <formula>J116&lt;&gt;0</formula>
    </cfRule>
  </conditionalFormatting>
  <conditionalFormatting sqref="I195">
    <cfRule type="expression" dxfId="136" priority="50">
      <formula>I195&lt;&gt;0</formula>
    </cfRule>
  </conditionalFormatting>
  <conditionalFormatting sqref="J195">
    <cfRule type="expression" dxfId="135" priority="49">
      <formula>J195&lt;&gt;0</formula>
    </cfRule>
  </conditionalFormatting>
  <conditionalFormatting sqref="Q195">
    <cfRule type="expression" dxfId="134" priority="48">
      <formula>Q195&lt;&gt;0</formula>
    </cfRule>
  </conditionalFormatting>
  <conditionalFormatting sqref="R195">
    <cfRule type="expression" dxfId="133" priority="47">
      <formula>R195&lt;&gt;0</formula>
    </cfRule>
  </conditionalFormatting>
  <conditionalFormatting sqref="Q123">
    <cfRule type="expression" dxfId="132" priority="44">
      <formula>Q123&lt;&gt;0</formula>
    </cfRule>
  </conditionalFormatting>
  <conditionalFormatting sqref="R123">
    <cfRule type="expression" dxfId="131" priority="43">
      <formula>R123&lt;&gt;0</formula>
    </cfRule>
  </conditionalFormatting>
  <conditionalFormatting sqref="Q137">
    <cfRule type="expression" dxfId="130" priority="40">
      <formula>Q137&lt;&gt;0</formula>
    </cfRule>
  </conditionalFormatting>
  <conditionalFormatting sqref="R137">
    <cfRule type="expression" dxfId="129" priority="39">
      <formula>R137&lt;&gt;0</formula>
    </cfRule>
  </conditionalFormatting>
  <conditionalFormatting sqref="Q151">
    <cfRule type="expression" dxfId="128" priority="36">
      <formula>Q151&lt;&gt;0</formula>
    </cfRule>
  </conditionalFormatting>
  <conditionalFormatting sqref="R151">
    <cfRule type="expression" dxfId="127" priority="35">
      <formula>R151&lt;&gt;0</formula>
    </cfRule>
  </conditionalFormatting>
  <conditionalFormatting sqref="Q165">
    <cfRule type="expression" dxfId="126" priority="32">
      <formula>Q165&lt;&gt;0</formula>
    </cfRule>
  </conditionalFormatting>
  <conditionalFormatting sqref="R165">
    <cfRule type="expression" dxfId="125" priority="31">
      <formula>R165&lt;&gt;0</formula>
    </cfRule>
  </conditionalFormatting>
  <conditionalFormatting sqref="Q179">
    <cfRule type="expression" dxfId="124" priority="28">
      <formula>Q179&lt;&gt;0</formula>
    </cfRule>
  </conditionalFormatting>
  <conditionalFormatting sqref="R179">
    <cfRule type="expression" dxfId="123" priority="27">
      <formula>R179&lt;&gt;0</formula>
    </cfRule>
  </conditionalFormatting>
  <conditionalFormatting sqref="Q193">
    <cfRule type="expression" dxfId="122" priority="24">
      <formula>Q193&lt;&gt;0</formula>
    </cfRule>
  </conditionalFormatting>
  <conditionalFormatting sqref="R193">
    <cfRule type="expression" dxfId="121" priority="23">
      <formula>R193&lt;&gt;0</formula>
    </cfRule>
  </conditionalFormatting>
  <conditionalFormatting sqref="I123">
    <cfRule type="expression" dxfId="120" priority="20">
      <formula>I123&lt;&gt;0</formula>
    </cfRule>
  </conditionalFormatting>
  <conditionalFormatting sqref="J123">
    <cfRule type="expression" dxfId="119" priority="19">
      <formula>J123&lt;&gt;0</formula>
    </cfRule>
  </conditionalFormatting>
  <conditionalFormatting sqref="I137">
    <cfRule type="expression" dxfId="118" priority="16">
      <formula>I137&lt;&gt;0</formula>
    </cfRule>
  </conditionalFormatting>
  <conditionalFormatting sqref="J137">
    <cfRule type="expression" dxfId="117" priority="15">
      <formula>J137&lt;&gt;0</formula>
    </cfRule>
  </conditionalFormatting>
  <conditionalFormatting sqref="I151">
    <cfRule type="expression" dxfId="116" priority="12">
      <formula>I151&lt;&gt;0</formula>
    </cfRule>
  </conditionalFormatting>
  <conditionalFormatting sqref="J151">
    <cfRule type="expression" dxfId="115" priority="11">
      <formula>J151&lt;&gt;0</formula>
    </cfRule>
  </conditionalFormatting>
  <conditionalFormatting sqref="I165">
    <cfRule type="expression" dxfId="114" priority="8">
      <formula>I165&lt;&gt;0</formula>
    </cfRule>
  </conditionalFormatting>
  <conditionalFormatting sqref="J165">
    <cfRule type="expression" dxfId="113" priority="7">
      <formula>J165&lt;&gt;0</formula>
    </cfRule>
  </conditionalFormatting>
  <conditionalFormatting sqref="I186">
    <cfRule type="expression" dxfId="112" priority="4">
      <formula>I186&lt;&gt;0</formula>
    </cfRule>
  </conditionalFormatting>
  <conditionalFormatting sqref="J186">
    <cfRule type="expression" dxfId="111" priority="3">
      <formula>J186&lt;&gt;0</formula>
    </cfRule>
  </conditionalFormatting>
  <conditionalFormatting sqref="Q116">
    <cfRule type="expression" dxfId="110" priority="46">
      <formula>Q116&lt;&gt;0</formula>
    </cfRule>
  </conditionalFormatting>
  <conditionalFormatting sqref="R116">
    <cfRule type="expression" dxfId="109" priority="45">
      <formula>R116&lt;&gt;0</formula>
    </cfRule>
  </conditionalFormatting>
  <conditionalFormatting sqref="Q130">
    <cfRule type="expression" dxfId="108" priority="42">
      <formula>Q130&lt;&gt;0</formula>
    </cfRule>
  </conditionalFormatting>
  <conditionalFormatting sqref="R130">
    <cfRule type="expression" dxfId="107" priority="41">
      <formula>R130&lt;&gt;0</formula>
    </cfRule>
  </conditionalFormatting>
  <conditionalFormatting sqref="Q144">
    <cfRule type="expression" dxfId="106" priority="38">
      <formula>Q144&lt;&gt;0</formula>
    </cfRule>
  </conditionalFormatting>
  <conditionalFormatting sqref="R144">
    <cfRule type="expression" dxfId="105" priority="37">
      <formula>R144&lt;&gt;0</formula>
    </cfRule>
  </conditionalFormatting>
  <conditionalFormatting sqref="Q158">
    <cfRule type="expression" dxfId="104" priority="34">
      <formula>Q158&lt;&gt;0</formula>
    </cfRule>
  </conditionalFormatting>
  <conditionalFormatting sqref="R158">
    <cfRule type="expression" dxfId="103" priority="33">
      <formula>R158&lt;&gt;0</formula>
    </cfRule>
  </conditionalFormatting>
  <conditionalFormatting sqref="Q172">
    <cfRule type="expression" dxfId="102" priority="30">
      <formula>Q172&lt;&gt;0</formula>
    </cfRule>
  </conditionalFormatting>
  <conditionalFormatting sqref="R172">
    <cfRule type="expression" dxfId="101" priority="29">
      <formula>R172&lt;&gt;0</formula>
    </cfRule>
  </conditionalFormatting>
  <conditionalFormatting sqref="Q186">
    <cfRule type="expression" dxfId="100" priority="26">
      <formula>Q186&lt;&gt;0</formula>
    </cfRule>
  </conditionalFormatting>
  <conditionalFormatting sqref="R186">
    <cfRule type="expression" dxfId="99" priority="25">
      <formula>R186&lt;&gt;0</formula>
    </cfRule>
  </conditionalFormatting>
  <conditionalFormatting sqref="I179">
    <cfRule type="expression" dxfId="98" priority="22">
      <formula>I179&lt;&gt;0</formula>
    </cfRule>
  </conditionalFormatting>
  <conditionalFormatting sqref="J179">
    <cfRule type="expression" dxfId="97" priority="21">
      <formula>J179&lt;&gt;0</formula>
    </cfRule>
  </conditionalFormatting>
  <conditionalFormatting sqref="I130">
    <cfRule type="expression" dxfId="96" priority="18">
      <formula>I130&lt;&gt;0</formula>
    </cfRule>
  </conditionalFormatting>
  <conditionalFormatting sqref="J130">
    <cfRule type="expression" dxfId="95" priority="17">
      <formula>J130&lt;&gt;0</formula>
    </cfRule>
  </conditionalFormatting>
  <conditionalFormatting sqref="I144">
    <cfRule type="expression" dxfId="94" priority="14">
      <formula>I144&lt;&gt;0</formula>
    </cfRule>
  </conditionalFormatting>
  <conditionalFormatting sqref="J144">
    <cfRule type="expression" dxfId="93" priority="13">
      <formula>J144&lt;&gt;0</formula>
    </cfRule>
  </conditionalFormatting>
  <conditionalFormatting sqref="I158">
    <cfRule type="expression" dxfId="92" priority="10">
      <formula>I158&lt;&gt;0</formula>
    </cfRule>
  </conditionalFormatting>
  <conditionalFormatting sqref="J158">
    <cfRule type="expression" dxfId="91" priority="9">
      <formula>J158&lt;&gt;0</formula>
    </cfRule>
  </conditionalFormatting>
  <conditionalFormatting sqref="I172">
    <cfRule type="expression" dxfId="90" priority="6">
      <formula>I172&lt;&gt;0</formula>
    </cfRule>
  </conditionalFormatting>
  <conditionalFormatting sqref="J172">
    <cfRule type="expression" dxfId="89" priority="5">
      <formula>J172&lt;&gt;0</formula>
    </cfRule>
  </conditionalFormatting>
  <conditionalFormatting sqref="I193">
    <cfRule type="expression" dxfId="88" priority="2">
      <formula>I193&lt;&gt;0</formula>
    </cfRule>
  </conditionalFormatting>
  <conditionalFormatting sqref="J193">
    <cfRule type="expression" dxfId="87" priority="1">
      <formula>J193&lt;&gt;0</formula>
    </cfRule>
  </conditionalFormatting>
  <dataValidations count="1">
    <dataValidation allowBlank="1" showInputMessage="1" showErrorMessage="1" promptTitle="B.I." prompt="Base Imponible" sqref="E17 G17 I17 M17 O17 Q17" xr:uid="{BB75E32B-C143-4C9A-8A05-5C8E4357B84E}"/>
  </dataValidations>
  <pageMargins left="0.43307086614173229" right="0.23622047244094491" top="0.74803149606299213" bottom="0.74803149606299213" header="0.31496062992125984" footer="0.31496062992125984"/>
  <pageSetup paperSize="9" scale="35" fitToWidth="2" fitToHeight="2" orientation="landscape" r:id="rId1"/>
  <rowBreaks count="1" manualBreakCount="1">
    <brk id="61"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locked="0" defaultSize="0" print="0" autoFill="0" autoPict="0" macro="[0]!borrarmesregistroiva">
                <anchor moveWithCells="1" sizeWithCells="1">
                  <from>
                    <xdr:col>7</xdr:col>
                    <xdr:colOff>1257300</xdr:colOff>
                    <xdr:row>10</xdr:row>
                    <xdr:rowOff>0</xdr:rowOff>
                  </from>
                  <to>
                    <xdr:col>8</xdr:col>
                    <xdr:colOff>1333500</xdr:colOff>
                    <xdr:row>12</xdr:row>
                    <xdr:rowOff>152400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8">
    <pageSetUpPr autoPageBreaks="0"/>
  </sheetPr>
  <dimension ref="A1:AF50"/>
  <sheetViews>
    <sheetView showGridLines="0" showRowColHeaders="0" showZeros="0" zoomScale="55" zoomScaleNormal="55" zoomScaleSheetLayoutView="70" zoomScalePageLayoutView="55" workbookViewId="0">
      <pane xSplit="3" ySplit="17" topLeftCell="D22" activePane="bottomRight" state="frozen"/>
      <selection activeCell="G9" sqref="G9"/>
      <selection pane="topRight" activeCell="G9" sqref="G9"/>
      <selection pane="bottomLeft" activeCell="G9" sqref="G9"/>
      <selection pane="bottomRight" activeCell="J44" sqref="J44"/>
    </sheetView>
  </sheetViews>
  <sheetFormatPr baseColWidth="10" defaultColWidth="0" defaultRowHeight="15" customHeight="1" zeroHeight="1" outlineLevelRow="1"/>
  <cols>
    <col min="1" max="2" width="2" customWidth="1"/>
    <col min="3" max="3" width="21.44140625" customWidth="1"/>
    <col min="4" max="4" width="50.5546875" customWidth="1"/>
    <col min="5" max="10" width="20.5546875" customWidth="1"/>
    <col min="11" max="11" width="2" customWidth="1"/>
    <col min="12" max="12" width="51" bestFit="1" customWidth="1"/>
    <col min="13" max="18" width="23" customWidth="1"/>
    <col min="19" max="19" width="5" customWidth="1"/>
    <col min="20" max="32" width="16" hidden="1" customWidth="1"/>
    <col min="33" max="16384" width="13" hidden="1"/>
  </cols>
  <sheetData>
    <row r="1" spans="3:18" ht="15" customHeight="1"/>
    <row r="2" spans="3:18" ht="9" customHeight="1"/>
    <row r="3" spans="3:18" ht="5.25" customHeight="1">
      <c r="C3" s="1"/>
      <c r="D3" s="1"/>
    </row>
    <row r="4" spans="3:18" ht="5.25" customHeight="1"/>
    <row r="5" spans="3:18" ht="21">
      <c r="C5" s="2252" t="str">
        <f>+MENU!C5</f>
        <v>Sociedad:</v>
      </c>
      <c r="D5" s="2253"/>
      <c r="E5" s="2254" t="str">
        <f>+MENU!E5</f>
        <v>MARIO PILATO BLAT, S.A.</v>
      </c>
      <c r="F5" s="2255"/>
      <c r="G5" s="2255"/>
      <c r="K5" s="40"/>
      <c r="L5" s="40"/>
    </row>
    <row r="6" spans="3:18" ht="12.75" customHeight="1">
      <c r="C6" s="218"/>
      <c r="D6" s="218"/>
      <c r="E6" s="218"/>
      <c r="F6" s="218"/>
      <c r="G6" s="218"/>
    </row>
    <row r="7" spans="3:18" ht="21">
      <c r="C7" s="220" t="str">
        <f>+instrucciones!$C$7</f>
        <v>Fecha de cierre</v>
      </c>
      <c r="D7" s="220"/>
      <c r="E7" s="2256">
        <f>+MENU!D7</f>
        <v>45657</v>
      </c>
      <c r="F7" s="2256"/>
      <c r="G7" s="2256"/>
      <c r="J7" s="34"/>
    </row>
    <row r="8" spans="3:18" ht="15" customHeight="1">
      <c r="C8" s="2"/>
      <c r="D8" s="2"/>
      <c r="F8" s="3"/>
      <c r="G8" s="3"/>
      <c r="H8" s="3"/>
      <c r="I8" s="3"/>
      <c r="J8" s="3"/>
      <c r="K8" s="3"/>
      <c r="L8" s="3"/>
    </row>
    <row r="9" spans="3:18" ht="15" customHeight="1"/>
    <row r="10" spans="3:18" ht="5.25" customHeight="1">
      <c r="F10" s="219"/>
    </row>
    <row r="11" spans="3:18" ht="5.25" customHeight="1"/>
    <row r="12" spans="3:18" ht="6" customHeight="1"/>
    <row r="13" spans="3:18" ht="22.5" customHeight="1">
      <c r="C13" s="221" t="s">
        <v>1043</v>
      </c>
      <c r="D13" s="222"/>
    </row>
    <row r="14" spans="3:18" ht="6" customHeight="1"/>
    <row r="15" spans="3:18" s="33" customFormat="1" ht="21" customHeight="1">
      <c r="C15" s="224"/>
      <c r="D15" s="224"/>
      <c r="E15" s="2547" t="s">
        <v>1040</v>
      </c>
      <c r="F15" s="2547"/>
      <c r="G15" s="2547"/>
      <c r="H15" s="2547"/>
      <c r="I15" s="2547"/>
      <c r="J15" s="2547"/>
      <c r="L15" s="229"/>
      <c r="M15" s="2547" t="s">
        <v>1045</v>
      </c>
      <c r="N15" s="2547"/>
      <c r="O15" s="2547"/>
      <c r="P15" s="2547"/>
      <c r="Q15" s="2547"/>
      <c r="R15" s="2547"/>
    </row>
    <row r="16" spans="3:18" s="33" customFormat="1" ht="21" customHeight="1">
      <c r="C16" s="209"/>
      <c r="D16" s="209"/>
      <c r="E16" s="2547" t="s">
        <v>1041</v>
      </c>
      <c r="F16" s="2547"/>
      <c r="G16" s="2547" t="s">
        <v>1042</v>
      </c>
      <c r="H16" s="2547"/>
      <c r="I16" s="2547" t="s">
        <v>935</v>
      </c>
      <c r="J16" s="2547"/>
      <c r="L16" s="229"/>
      <c r="M16" s="2547" t="s">
        <v>1041</v>
      </c>
      <c r="N16" s="2547"/>
      <c r="O16" s="2547" t="s">
        <v>1042</v>
      </c>
      <c r="P16" s="2547"/>
      <c r="Q16" s="2547" t="s">
        <v>935</v>
      </c>
      <c r="R16" s="2547"/>
    </row>
    <row r="17" spans="3:18" s="33" customFormat="1" ht="21" customHeight="1">
      <c r="C17" s="193" t="s">
        <v>1044</v>
      </c>
      <c r="D17" s="193" t="s">
        <v>985</v>
      </c>
      <c r="E17" s="193" t="s">
        <v>1011</v>
      </c>
      <c r="F17" s="193" t="s">
        <v>933</v>
      </c>
      <c r="G17" s="193" t="s">
        <v>1011</v>
      </c>
      <c r="H17" s="193" t="s">
        <v>933</v>
      </c>
      <c r="I17" s="193" t="s">
        <v>1011</v>
      </c>
      <c r="J17" s="193" t="s">
        <v>933</v>
      </c>
      <c r="L17" s="193" t="s">
        <v>985</v>
      </c>
      <c r="M17" s="193" t="s">
        <v>1011</v>
      </c>
      <c r="N17" s="193" t="s">
        <v>933</v>
      </c>
      <c r="O17" s="193" t="s">
        <v>1011</v>
      </c>
      <c r="P17" s="193" t="s">
        <v>933</v>
      </c>
      <c r="Q17" s="193" t="s">
        <v>1011</v>
      </c>
      <c r="R17" s="193" t="s">
        <v>933</v>
      </c>
    </row>
    <row r="19" spans="3:18" ht="15" customHeight="1"/>
    <row r="20" spans="3:18" ht="27" customHeight="1" outlineLevel="1">
      <c r="C20" s="2550" t="s">
        <v>1073</v>
      </c>
      <c r="D20" s="1280" t="s">
        <v>1046</v>
      </c>
      <c r="E20" s="1267"/>
      <c r="F20" s="1268"/>
      <c r="G20" s="1269">
        <f>+'IVA (TRIM)'!E$36</f>
        <v>0</v>
      </c>
      <c r="H20" s="1269">
        <f>+'IVA (TRIM)'!F$36</f>
        <v>0</v>
      </c>
      <c r="I20" s="1270">
        <f>+E20-G20</f>
        <v>0</v>
      </c>
      <c r="J20" s="1271">
        <f t="shared" ref="J20" si="0">+F20-H20</f>
        <v>0</v>
      </c>
      <c r="K20" s="136"/>
      <c r="L20" s="1266" t="s">
        <v>1013</v>
      </c>
      <c r="M20" s="1267"/>
      <c r="N20" s="1268"/>
      <c r="O20" s="1269">
        <f>+SUM('IVA (TRIM)'!E$18:E$24)</f>
        <v>0</v>
      </c>
      <c r="P20" s="1269">
        <f>+SUM('IVA (TRIM)'!F$18:F$24)</f>
        <v>0</v>
      </c>
      <c r="Q20" s="1270">
        <f>+M20-O20</f>
        <v>0</v>
      </c>
      <c r="R20" s="1271">
        <f>+N20-P20</f>
        <v>0</v>
      </c>
    </row>
    <row r="21" spans="3:18" ht="27" customHeight="1" outlineLevel="1">
      <c r="C21" s="2551"/>
      <c r="D21" s="223" t="s">
        <v>1048</v>
      </c>
      <c r="E21" s="385"/>
      <c r="F21" s="386"/>
      <c r="G21" s="225">
        <f>+'IVA (TRIM)'!E$38</f>
        <v>0</v>
      </c>
      <c r="H21" s="225">
        <f>+'IVA (TRIM)'!F$38</f>
        <v>0</v>
      </c>
      <c r="I21" s="226">
        <f t="shared" ref="I21:I47" si="1">+E21-G21</f>
        <v>0</v>
      </c>
      <c r="J21" s="1273">
        <f t="shared" ref="J21:J47" si="2">+F21-H21</f>
        <v>0</v>
      </c>
      <c r="K21" s="136"/>
      <c r="L21" s="1272" t="s">
        <v>1051</v>
      </c>
      <c r="M21" s="385">
        <f>+E22</f>
        <v>0</v>
      </c>
      <c r="N21" s="386">
        <f>+F22</f>
        <v>0</v>
      </c>
      <c r="O21" s="225">
        <f>+'IVA (TRIM)'!$E$25</f>
        <v>0</v>
      </c>
      <c r="P21" s="225">
        <f>+'IVA (TRIM)'!F25</f>
        <v>0</v>
      </c>
      <c r="Q21" s="226">
        <f t="shared" ref="Q21:Q47" si="3">+M21-O21</f>
        <v>0</v>
      </c>
      <c r="R21" s="1273">
        <f t="shared" ref="R21:R47" si="4">+N21-P21</f>
        <v>0</v>
      </c>
    </row>
    <row r="22" spans="3:18" ht="27" customHeight="1" outlineLevel="1">
      <c r="C22" s="2551"/>
      <c r="D22" s="223" t="s">
        <v>1049</v>
      </c>
      <c r="E22" s="385"/>
      <c r="F22" s="386"/>
      <c r="G22" s="225">
        <f>+'IVA (TRIM)'!E$40</f>
        <v>0</v>
      </c>
      <c r="H22" s="225">
        <f>+'IVA (TRIM)'!F$40</f>
        <v>0</v>
      </c>
      <c r="I22" s="226">
        <f t="shared" si="1"/>
        <v>0</v>
      </c>
      <c r="J22" s="1273">
        <f t="shared" si="2"/>
        <v>0</v>
      </c>
      <c r="K22" s="136"/>
      <c r="L22" s="1272" t="s">
        <v>1649</v>
      </c>
      <c r="M22" s="385"/>
      <c r="N22" s="386"/>
      <c r="O22" s="225">
        <f>+'IVA (TRIM)'!$E$26</f>
        <v>0</v>
      </c>
      <c r="P22" s="225">
        <f>+'IVA (TRIM)'!F26</f>
        <v>0</v>
      </c>
      <c r="Q22" s="226">
        <f t="shared" si="3"/>
        <v>0</v>
      </c>
      <c r="R22" s="1273">
        <f t="shared" si="4"/>
        <v>0</v>
      </c>
    </row>
    <row r="23" spans="3:18" ht="27" customHeight="1" outlineLevel="1">
      <c r="C23" s="2551"/>
      <c r="D23" s="223" t="s">
        <v>1023</v>
      </c>
      <c r="E23" s="385"/>
      <c r="F23" s="386"/>
      <c r="G23" s="225">
        <f>+'IVA (TRIM)'!E$43</f>
        <v>0</v>
      </c>
      <c r="H23" s="225">
        <f>+'IVA (TRIM)'!F$43</f>
        <v>0</v>
      </c>
      <c r="I23" s="226">
        <f t="shared" si="1"/>
        <v>0</v>
      </c>
      <c r="J23" s="1273">
        <f t="shared" si="2"/>
        <v>0</v>
      </c>
      <c r="K23" s="136"/>
      <c r="L23" s="1272" t="s">
        <v>1651</v>
      </c>
      <c r="M23" s="385"/>
      <c r="N23" s="386"/>
      <c r="O23" s="225">
        <f>+'IVA (TRIM)'!$E$27</f>
        <v>0</v>
      </c>
      <c r="P23" s="225">
        <f>+'IVA (TRIM)'!F27</f>
        <v>0</v>
      </c>
      <c r="Q23" s="226">
        <f t="shared" si="3"/>
        <v>0</v>
      </c>
      <c r="R23" s="1273">
        <f t="shared" si="4"/>
        <v>0</v>
      </c>
    </row>
    <row r="24" spans="3:18" ht="27" customHeight="1" outlineLevel="1">
      <c r="C24" s="2551"/>
      <c r="D24" s="223" t="s">
        <v>1047</v>
      </c>
      <c r="E24" s="385"/>
      <c r="F24" s="386"/>
      <c r="G24" s="225">
        <f>+'IVA (TRIM)'!E$37+'IVA (TRIM)'!E$39+'IVA (TRIM)'!E$41</f>
        <v>0</v>
      </c>
      <c r="H24" s="225">
        <f>+'IVA (TRIM)'!F$37+'IVA (TRIM)'!F$39+'IVA (TRIM)'!F$41</f>
        <v>0</v>
      </c>
      <c r="I24" s="226">
        <f t="shared" si="1"/>
        <v>0</v>
      </c>
      <c r="J24" s="1273">
        <f t="shared" si="2"/>
        <v>0</v>
      </c>
      <c r="K24" s="136"/>
      <c r="L24" s="1272" t="s">
        <v>1050</v>
      </c>
      <c r="M24" s="385"/>
      <c r="N24" s="386"/>
      <c r="O24" s="225">
        <f>SUM('IVA (TRIM)'!$E$28:$E$31)</f>
        <v>0</v>
      </c>
      <c r="P24" s="225">
        <f>SUM('IVA (TRIM)'!F28:F31)</f>
        <v>0</v>
      </c>
      <c r="Q24" s="226">
        <f t="shared" si="3"/>
        <v>0</v>
      </c>
      <c r="R24" s="1273">
        <f t="shared" si="4"/>
        <v>0</v>
      </c>
    </row>
    <row r="25" spans="3:18" ht="27" customHeight="1" outlineLevel="1">
      <c r="C25" s="2552"/>
      <c r="D25" s="1281" t="s">
        <v>1652</v>
      </c>
      <c r="E25" s="1275"/>
      <c r="F25" s="1276"/>
      <c r="G25" s="1277">
        <f>+'IVA (TRIM)'!E$42</f>
        <v>0</v>
      </c>
      <c r="H25" s="1277">
        <f>+'IVA (TRIM)'!F$42</f>
        <v>0</v>
      </c>
      <c r="I25" s="1278">
        <f t="shared" si="1"/>
        <v>0</v>
      </c>
      <c r="J25" s="1279">
        <f t="shared" si="2"/>
        <v>0</v>
      </c>
      <c r="K25" s="136"/>
      <c r="L25" s="1274" t="s">
        <v>1650</v>
      </c>
      <c r="M25" s="1275"/>
      <c r="N25" s="1276"/>
      <c r="O25" s="1277">
        <f>+'IVA (TRIM)'!$E$32</f>
        <v>0</v>
      </c>
      <c r="P25" s="1277">
        <f>+'IVA (TRIM)'!F32</f>
        <v>0</v>
      </c>
      <c r="Q25" s="1278">
        <f t="shared" si="3"/>
        <v>0</v>
      </c>
      <c r="R25" s="1279">
        <f t="shared" si="4"/>
        <v>0</v>
      </c>
    </row>
    <row r="26" spans="3:18" s="231" customFormat="1" ht="27" customHeight="1">
      <c r="C26" s="2548" t="s">
        <v>1078</v>
      </c>
      <c r="D26" s="2549"/>
      <c r="E26" s="1282">
        <f>SUM(E20:E25)</f>
        <v>0</v>
      </c>
      <c r="F26" s="1283">
        <f t="shared" ref="F26:H26" si="5">SUM(F20:F25)</f>
        <v>0</v>
      </c>
      <c r="G26" s="1282">
        <f t="shared" si="5"/>
        <v>0</v>
      </c>
      <c r="H26" s="1283">
        <f t="shared" si="5"/>
        <v>0</v>
      </c>
      <c r="I26" s="1282">
        <f t="shared" si="1"/>
        <v>0</v>
      </c>
      <c r="J26" s="1284">
        <f t="shared" si="2"/>
        <v>0</v>
      </c>
      <c r="K26" s="230"/>
      <c r="L26" s="227" t="str">
        <f>+C26</f>
        <v>Total periodo 1º TRIMESTRE</v>
      </c>
      <c r="M26" s="227">
        <f>SUM(M20:M25)</f>
        <v>0</v>
      </c>
      <c r="N26" s="227">
        <f t="shared" ref="N26:O26" si="6">SUM(N20:N25)</f>
        <v>0</v>
      </c>
      <c r="O26" s="227">
        <f t="shared" si="6"/>
        <v>0</v>
      </c>
      <c r="P26" s="227">
        <f>SUM(P20:P25)</f>
        <v>0</v>
      </c>
      <c r="Q26" s="227">
        <f t="shared" si="3"/>
        <v>0</v>
      </c>
      <c r="R26" s="227">
        <f t="shared" si="4"/>
        <v>0</v>
      </c>
    </row>
    <row r="27" spans="3:18" ht="27" customHeight="1" outlineLevel="1">
      <c r="C27" s="2550" t="s">
        <v>1074</v>
      </c>
      <c r="D27" s="1280" t="s">
        <v>1046</v>
      </c>
      <c r="E27" s="1267"/>
      <c r="F27" s="1268"/>
      <c r="G27" s="1269">
        <f>+'IVA (TRIM)'!G$36</f>
        <v>0</v>
      </c>
      <c r="H27" s="1269">
        <f>+'IVA (TRIM)'!H$36</f>
        <v>0</v>
      </c>
      <c r="I27" s="1270">
        <f t="shared" si="1"/>
        <v>0</v>
      </c>
      <c r="J27" s="1271">
        <f t="shared" si="2"/>
        <v>0</v>
      </c>
      <c r="K27" s="136"/>
      <c r="L27" s="1266" t="s">
        <v>1013</v>
      </c>
      <c r="M27" s="1267"/>
      <c r="N27" s="1268"/>
      <c r="O27" s="1269">
        <f>+SUM('IVA (TRIM)'!G18:G24)</f>
        <v>0</v>
      </c>
      <c r="P27" s="1269">
        <f>+SUM('IVA (TRIM)'!H18:H24)</f>
        <v>0</v>
      </c>
      <c r="Q27" s="1270">
        <f t="shared" si="3"/>
        <v>0</v>
      </c>
      <c r="R27" s="1271">
        <f t="shared" si="4"/>
        <v>0</v>
      </c>
    </row>
    <row r="28" spans="3:18" ht="27" customHeight="1" outlineLevel="1">
      <c r="C28" s="2551"/>
      <c r="D28" s="223" t="s">
        <v>1048</v>
      </c>
      <c r="E28" s="385"/>
      <c r="F28" s="386"/>
      <c r="G28" s="225">
        <f>+'IVA (TRIM)'!G$38</f>
        <v>0</v>
      </c>
      <c r="H28" s="225">
        <f>+'IVA (TRIM)'!H$38</f>
        <v>0</v>
      </c>
      <c r="I28" s="226">
        <f t="shared" si="1"/>
        <v>0</v>
      </c>
      <c r="J28" s="1273">
        <f t="shared" si="2"/>
        <v>0</v>
      </c>
      <c r="K28" s="136"/>
      <c r="L28" s="1272" t="s">
        <v>1051</v>
      </c>
      <c r="M28" s="385">
        <f>+E29</f>
        <v>0</v>
      </c>
      <c r="N28" s="386">
        <f>+F29</f>
        <v>0</v>
      </c>
      <c r="O28" s="225">
        <f>+'IVA (TRIM)'!G25</f>
        <v>0</v>
      </c>
      <c r="P28" s="225">
        <f>+'IVA (TRIM)'!H25</f>
        <v>0</v>
      </c>
      <c r="Q28" s="226">
        <f t="shared" si="3"/>
        <v>0</v>
      </c>
      <c r="R28" s="1273">
        <f t="shared" si="4"/>
        <v>0</v>
      </c>
    </row>
    <row r="29" spans="3:18" ht="27" customHeight="1" outlineLevel="1">
      <c r="C29" s="2551"/>
      <c r="D29" s="223" t="s">
        <v>1049</v>
      </c>
      <c r="E29" s="385"/>
      <c r="F29" s="386"/>
      <c r="G29" s="225">
        <f>+'IVA (TRIM)'!G$40</f>
        <v>0</v>
      </c>
      <c r="H29" s="225">
        <f>+'IVA (TRIM)'!H$40</f>
        <v>0</v>
      </c>
      <c r="I29" s="226">
        <f t="shared" si="1"/>
        <v>0</v>
      </c>
      <c r="J29" s="1273">
        <f t="shared" si="2"/>
        <v>0</v>
      </c>
      <c r="K29" s="136"/>
      <c r="L29" s="1272" t="s">
        <v>1649</v>
      </c>
      <c r="M29" s="385"/>
      <c r="N29" s="386"/>
      <c r="O29" s="225">
        <f>+'IVA (TRIM)'!G26</f>
        <v>0</v>
      </c>
      <c r="P29" s="225">
        <f>+'IVA (TRIM)'!H26</f>
        <v>0</v>
      </c>
      <c r="Q29" s="226">
        <f t="shared" si="3"/>
        <v>0</v>
      </c>
      <c r="R29" s="1273">
        <f t="shared" si="4"/>
        <v>0</v>
      </c>
    </row>
    <row r="30" spans="3:18" ht="27" customHeight="1" outlineLevel="1">
      <c r="C30" s="2551"/>
      <c r="D30" s="223" t="s">
        <v>1023</v>
      </c>
      <c r="E30" s="385"/>
      <c r="F30" s="386"/>
      <c r="G30" s="225">
        <f>+'IVA (TRIM)'!G$43</f>
        <v>0</v>
      </c>
      <c r="H30" s="225">
        <f>+'IVA (TRIM)'!H$43</f>
        <v>0</v>
      </c>
      <c r="I30" s="226">
        <f t="shared" si="1"/>
        <v>0</v>
      </c>
      <c r="J30" s="1273">
        <f t="shared" si="2"/>
        <v>0</v>
      </c>
      <c r="K30" s="136"/>
      <c r="L30" s="1272" t="s">
        <v>1651</v>
      </c>
      <c r="M30" s="385"/>
      <c r="N30" s="386"/>
      <c r="O30" s="225">
        <f>+'IVA (TRIM)'!G27</f>
        <v>0</v>
      </c>
      <c r="P30" s="225">
        <f>+'IVA (TRIM)'!H27</f>
        <v>0</v>
      </c>
      <c r="Q30" s="226">
        <f t="shared" si="3"/>
        <v>0</v>
      </c>
      <c r="R30" s="1273">
        <f t="shared" si="4"/>
        <v>0</v>
      </c>
    </row>
    <row r="31" spans="3:18" ht="27" customHeight="1" outlineLevel="1">
      <c r="C31" s="2551"/>
      <c r="D31" s="223" t="s">
        <v>1047</v>
      </c>
      <c r="E31" s="385"/>
      <c r="F31" s="386"/>
      <c r="G31" s="225">
        <f>+'IVA (TRIM)'!G$37+'IVA (TRIM)'!G$39+'IVA (TRIM)'!G$41</f>
        <v>0</v>
      </c>
      <c r="H31" s="225">
        <f>+'IVA (TRIM)'!H$37+'IVA (TRIM)'!H$39+'IVA (TRIM)'!H$41</f>
        <v>0</v>
      </c>
      <c r="I31" s="226">
        <f t="shared" si="1"/>
        <v>0</v>
      </c>
      <c r="J31" s="1273">
        <f t="shared" si="2"/>
        <v>0</v>
      </c>
      <c r="K31" s="136"/>
      <c r="L31" s="1272" t="s">
        <v>1050</v>
      </c>
      <c r="M31" s="385"/>
      <c r="N31" s="386"/>
      <c r="O31" s="225">
        <f>SUM('IVA (TRIM)'!G28:G31)</f>
        <v>0</v>
      </c>
      <c r="P31" s="225">
        <f>SUM('IVA (TRIM)'!H28:H31)</f>
        <v>0</v>
      </c>
      <c r="Q31" s="226">
        <f t="shared" si="3"/>
        <v>0</v>
      </c>
      <c r="R31" s="1273">
        <f t="shared" si="4"/>
        <v>0</v>
      </c>
    </row>
    <row r="32" spans="3:18" ht="27" customHeight="1" outlineLevel="1">
      <c r="C32" s="2552"/>
      <c r="D32" s="1281" t="s">
        <v>1652</v>
      </c>
      <c r="E32" s="1275"/>
      <c r="F32" s="1276"/>
      <c r="G32" s="1277">
        <f>+'IVA (TRIM)'!G$42</f>
        <v>0</v>
      </c>
      <c r="H32" s="1277">
        <f>+'IVA (TRIM)'!H$42</f>
        <v>0</v>
      </c>
      <c r="I32" s="1278">
        <f t="shared" si="1"/>
        <v>0</v>
      </c>
      <c r="J32" s="1279">
        <f t="shared" si="2"/>
        <v>0</v>
      </c>
      <c r="K32" s="136"/>
      <c r="L32" s="1274" t="s">
        <v>1650</v>
      </c>
      <c r="M32" s="1275"/>
      <c r="N32" s="1276"/>
      <c r="O32" s="1277">
        <f>+'IVA (TRIM)'!G32</f>
        <v>0</v>
      </c>
      <c r="P32" s="1277">
        <f>+'IVA (TRIM)'!H32</f>
        <v>0</v>
      </c>
      <c r="Q32" s="1278">
        <f t="shared" si="3"/>
        <v>0</v>
      </c>
      <c r="R32" s="1279">
        <f t="shared" si="4"/>
        <v>0</v>
      </c>
    </row>
    <row r="33" spans="3:18" s="231" customFormat="1" ht="27" customHeight="1">
      <c r="C33" s="2548" t="s">
        <v>1079</v>
      </c>
      <c r="D33" s="2549"/>
      <c r="E33" s="1282">
        <f>SUM(E27:E32)</f>
        <v>0</v>
      </c>
      <c r="F33" s="1282">
        <f t="shared" ref="F33:G33" si="7">SUM(F27:F32)</f>
        <v>0</v>
      </c>
      <c r="G33" s="1282">
        <f t="shared" si="7"/>
        <v>0</v>
      </c>
      <c r="H33" s="1282">
        <f>SUM(H27:H32)</f>
        <v>0</v>
      </c>
      <c r="I33" s="1282">
        <f t="shared" si="1"/>
        <v>0</v>
      </c>
      <c r="J33" s="1284">
        <f t="shared" si="2"/>
        <v>0</v>
      </c>
      <c r="K33" s="230"/>
      <c r="L33" s="227" t="str">
        <f>+C33</f>
        <v>Total periodo 2º TRIMESTRE</v>
      </c>
      <c r="M33" s="227">
        <f>SUM(M27:M32)</f>
        <v>0</v>
      </c>
      <c r="N33" s="227">
        <f t="shared" ref="N33:O33" si="8">SUM(N27:N32)</f>
        <v>0</v>
      </c>
      <c r="O33" s="227">
        <f t="shared" si="8"/>
        <v>0</v>
      </c>
      <c r="P33" s="227">
        <f>SUM(P27:P32)</f>
        <v>0</v>
      </c>
      <c r="Q33" s="227">
        <f t="shared" si="3"/>
        <v>0</v>
      </c>
      <c r="R33" s="227">
        <f t="shared" si="4"/>
        <v>0</v>
      </c>
    </row>
    <row r="34" spans="3:18" ht="27" customHeight="1" outlineLevel="1">
      <c r="C34" s="2550" t="s">
        <v>1075</v>
      </c>
      <c r="D34" s="1280" t="s">
        <v>1046</v>
      </c>
      <c r="E34" s="1267"/>
      <c r="F34" s="1268"/>
      <c r="G34" s="1269">
        <f>+'IVA (TRIM)'!I36</f>
        <v>0</v>
      </c>
      <c r="H34" s="1269">
        <f>+'IVA (TRIM)'!J36</f>
        <v>0</v>
      </c>
      <c r="I34" s="1270">
        <f t="shared" si="1"/>
        <v>0</v>
      </c>
      <c r="J34" s="1271">
        <f t="shared" si="2"/>
        <v>0</v>
      </c>
      <c r="K34" s="136"/>
      <c r="L34" s="1266" t="s">
        <v>1013</v>
      </c>
      <c r="M34" s="1267"/>
      <c r="N34" s="1268"/>
      <c r="O34" s="1269">
        <f>+SUM('IVA (TRIM)'!I18:I24)</f>
        <v>0</v>
      </c>
      <c r="P34" s="1269">
        <f>+SUM('IVA (TRIM)'!J18:J24)</f>
        <v>0</v>
      </c>
      <c r="Q34" s="1270">
        <f t="shared" si="3"/>
        <v>0</v>
      </c>
      <c r="R34" s="1271">
        <f t="shared" si="4"/>
        <v>0</v>
      </c>
    </row>
    <row r="35" spans="3:18" ht="27" customHeight="1" outlineLevel="1">
      <c r="C35" s="2551"/>
      <c r="D35" s="223" t="s">
        <v>1048</v>
      </c>
      <c r="E35" s="385"/>
      <c r="F35" s="386"/>
      <c r="G35" s="225">
        <f>+'IVA (TRIM)'!I$38</f>
        <v>0</v>
      </c>
      <c r="H35" s="225">
        <f>+'IVA (TRIM)'!J$38</f>
        <v>0</v>
      </c>
      <c r="I35" s="226">
        <f t="shared" si="1"/>
        <v>0</v>
      </c>
      <c r="J35" s="1273">
        <f t="shared" si="2"/>
        <v>0</v>
      </c>
      <c r="K35" s="136"/>
      <c r="L35" s="1272" t="s">
        <v>1051</v>
      </c>
      <c r="M35" s="385">
        <f>+E36</f>
        <v>0</v>
      </c>
      <c r="N35" s="386">
        <f>+F36</f>
        <v>0</v>
      </c>
      <c r="O35" s="225">
        <f>+'IVA (TRIM)'!I25</f>
        <v>0</v>
      </c>
      <c r="P35" s="225">
        <f>+'IVA (TRIM)'!J25</f>
        <v>0</v>
      </c>
      <c r="Q35" s="226">
        <f t="shared" si="3"/>
        <v>0</v>
      </c>
      <c r="R35" s="1273">
        <f t="shared" si="4"/>
        <v>0</v>
      </c>
    </row>
    <row r="36" spans="3:18" ht="27" customHeight="1" outlineLevel="1">
      <c r="C36" s="2551"/>
      <c r="D36" s="223" t="s">
        <v>1049</v>
      </c>
      <c r="E36" s="385"/>
      <c r="F36" s="386"/>
      <c r="G36" s="225">
        <f>+'IVA (TRIM)'!I$40</f>
        <v>0</v>
      </c>
      <c r="H36" s="225">
        <f>+'IVA (TRIM)'!J$40</f>
        <v>0</v>
      </c>
      <c r="I36" s="226">
        <f t="shared" si="1"/>
        <v>0</v>
      </c>
      <c r="J36" s="1273">
        <f t="shared" si="2"/>
        <v>0</v>
      </c>
      <c r="K36" s="136"/>
      <c r="L36" s="1272" t="s">
        <v>1649</v>
      </c>
      <c r="M36" s="385"/>
      <c r="N36" s="386"/>
      <c r="O36" s="225">
        <f>+'IVA (TRIM)'!I26</f>
        <v>0</v>
      </c>
      <c r="P36" s="225">
        <f>+'IVA (TRIM)'!J26</f>
        <v>0</v>
      </c>
      <c r="Q36" s="226">
        <f t="shared" si="3"/>
        <v>0</v>
      </c>
      <c r="R36" s="1273">
        <f t="shared" si="4"/>
        <v>0</v>
      </c>
    </row>
    <row r="37" spans="3:18" ht="27" customHeight="1" outlineLevel="1">
      <c r="C37" s="2551"/>
      <c r="D37" s="223" t="s">
        <v>1023</v>
      </c>
      <c r="E37" s="385"/>
      <c r="F37" s="386"/>
      <c r="G37" s="225">
        <f>+'IVA (TRIM)'!I$43</f>
        <v>0</v>
      </c>
      <c r="H37" s="225">
        <f>+'IVA (TRIM)'!J$43</f>
        <v>0</v>
      </c>
      <c r="I37" s="226">
        <f t="shared" si="1"/>
        <v>0</v>
      </c>
      <c r="J37" s="1273">
        <f t="shared" si="2"/>
        <v>0</v>
      </c>
      <c r="K37" s="136"/>
      <c r="L37" s="1272" t="s">
        <v>1651</v>
      </c>
      <c r="M37" s="385"/>
      <c r="N37" s="386"/>
      <c r="O37" s="225">
        <f>+'IVA (TRIM)'!I27</f>
        <v>0</v>
      </c>
      <c r="P37" s="225">
        <f>+'IVA (TRIM)'!J27</f>
        <v>0</v>
      </c>
      <c r="Q37" s="226">
        <f t="shared" si="3"/>
        <v>0</v>
      </c>
      <c r="R37" s="1273">
        <f t="shared" si="4"/>
        <v>0</v>
      </c>
    </row>
    <row r="38" spans="3:18" ht="27" customHeight="1" outlineLevel="1">
      <c r="C38" s="2551"/>
      <c r="D38" s="223" t="s">
        <v>1047</v>
      </c>
      <c r="E38" s="385"/>
      <c r="F38" s="386"/>
      <c r="G38" s="225">
        <f>+'IVA (TRIM)'!I$37+'IVA (TRIM)'!I$39+'IVA (TRIM)'!I$41</f>
        <v>0</v>
      </c>
      <c r="H38" s="225">
        <f>+'IVA (TRIM)'!J$37+'IVA (TRIM)'!J$39+'IVA (TRIM)'!J$41</f>
        <v>0</v>
      </c>
      <c r="I38" s="226">
        <f t="shared" si="1"/>
        <v>0</v>
      </c>
      <c r="J38" s="1273">
        <f t="shared" si="2"/>
        <v>0</v>
      </c>
      <c r="K38" s="136"/>
      <c r="L38" s="1272" t="s">
        <v>1050</v>
      </c>
      <c r="M38" s="385"/>
      <c r="N38" s="386"/>
      <c r="O38" s="225">
        <f>SUM('IVA (TRIM)'!I28:I31)</f>
        <v>0</v>
      </c>
      <c r="P38" s="225">
        <f>SUM('IVA (TRIM)'!J28:J31)</f>
        <v>0</v>
      </c>
      <c r="Q38" s="226">
        <f t="shared" si="3"/>
        <v>0</v>
      </c>
      <c r="R38" s="1273">
        <f t="shared" si="4"/>
        <v>0</v>
      </c>
    </row>
    <row r="39" spans="3:18" ht="27" customHeight="1" outlineLevel="1">
      <c r="C39" s="2552"/>
      <c r="D39" s="1281" t="s">
        <v>1652</v>
      </c>
      <c r="E39" s="1275"/>
      <c r="F39" s="1276"/>
      <c r="G39" s="1277">
        <f>+'IVA (TRIM)'!I$42</f>
        <v>0</v>
      </c>
      <c r="H39" s="1277">
        <f>+'IVA (TRIM)'!J$42</f>
        <v>0</v>
      </c>
      <c r="I39" s="1278">
        <f t="shared" si="1"/>
        <v>0</v>
      </c>
      <c r="J39" s="1279">
        <f t="shared" si="2"/>
        <v>0</v>
      </c>
      <c r="K39" s="136"/>
      <c r="L39" s="1274" t="s">
        <v>1650</v>
      </c>
      <c r="M39" s="1275"/>
      <c r="N39" s="1276"/>
      <c r="O39" s="1277">
        <f>+'IVA (TRIM)'!I32</f>
        <v>0</v>
      </c>
      <c r="P39" s="1277">
        <f>+'IVA (TRIM)'!J32</f>
        <v>0</v>
      </c>
      <c r="Q39" s="1278">
        <f t="shared" si="3"/>
        <v>0</v>
      </c>
      <c r="R39" s="1279">
        <f t="shared" si="4"/>
        <v>0</v>
      </c>
    </row>
    <row r="40" spans="3:18" s="231" customFormat="1" ht="27" customHeight="1">
      <c r="C40" s="2548" t="s">
        <v>1080</v>
      </c>
      <c r="D40" s="2549"/>
      <c r="E40" s="1282">
        <f>SUM(E34:E39)</f>
        <v>0</v>
      </c>
      <c r="F40" s="1282">
        <f t="shared" ref="F40:H40" si="9">SUM(F34:F39)</f>
        <v>0</v>
      </c>
      <c r="G40" s="1282">
        <f t="shared" si="9"/>
        <v>0</v>
      </c>
      <c r="H40" s="1282">
        <f t="shared" si="9"/>
        <v>0</v>
      </c>
      <c r="I40" s="1282">
        <f t="shared" si="1"/>
        <v>0</v>
      </c>
      <c r="J40" s="1284">
        <f t="shared" si="2"/>
        <v>0</v>
      </c>
      <c r="K40" s="230"/>
      <c r="L40" s="227" t="str">
        <f>+C40</f>
        <v>Total periodo 3º TRIMESTRE</v>
      </c>
      <c r="M40" s="227">
        <f>SUM(M34:M39)</f>
        <v>0</v>
      </c>
      <c r="N40" s="227">
        <f t="shared" ref="N40:O40" si="10">SUM(N34:N39)</f>
        <v>0</v>
      </c>
      <c r="O40" s="227">
        <f t="shared" si="10"/>
        <v>0</v>
      </c>
      <c r="P40" s="227">
        <f>SUM(P34:P39)</f>
        <v>0</v>
      </c>
      <c r="Q40" s="227">
        <f t="shared" si="3"/>
        <v>0</v>
      </c>
      <c r="R40" s="227">
        <f t="shared" si="4"/>
        <v>0</v>
      </c>
    </row>
    <row r="41" spans="3:18" ht="27" customHeight="1" outlineLevel="1">
      <c r="C41" s="2550" t="s">
        <v>1076</v>
      </c>
      <c r="D41" s="1280" t="s">
        <v>1046</v>
      </c>
      <c r="E41" s="1267"/>
      <c r="F41" s="1268"/>
      <c r="G41" s="1269">
        <f>+'IVA (TRIM)'!K$36</f>
        <v>0</v>
      </c>
      <c r="H41" s="1269">
        <f>+'IVA (TRIM)'!L$36</f>
        <v>0</v>
      </c>
      <c r="I41" s="1270">
        <f t="shared" si="1"/>
        <v>0</v>
      </c>
      <c r="J41" s="1271">
        <f t="shared" si="2"/>
        <v>0</v>
      </c>
      <c r="K41" s="136"/>
      <c r="L41" s="1266" t="s">
        <v>1013</v>
      </c>
      <c r="M41" s="1267"/>
      <c r="N41" s="1268"/>
      <c r="O41" s="1269">
        <f>+SUM('IVA (TRIM)'!K18:K24)</f>
        <v>0</v>
      </c>
      <c r="P41" s="1269">
        <f>+SUM('IVA (TRIM)'!L18:L24)</f>
        <v>0</v>
      </c>
      <c r="Q41" s="1270">
        <f t="shared" si="3"/>
        <v>0</v>
      </c>
      <c r="R41" s="1271">
        <f t="shared" si="4"/>
        <v>0</v>
      </c>
    </row>
    <row r="42" spans="3:18" ht="27" customHeight="1" outlineLevel="1">
      <c r="C42" s="2551"/>
      <c r="D42" s="223" t="s">
        <v>1048</v>
      </c>
      <c r="E42" s="385"/>
      <c r="F42" s="386"/>
      <c r="G42" s="225">
        <f>+'IVA (TRIM)'!K$38</f>
        <v>0</v>
      </c>
      <c r="H42" s="225">
        <f>+'IVA (TRIM)'!L$38</f>
        <v>0</v>
      </c>
      <c r="I42" s="226">
        <f t="shared" si="1"/>
        <v>0</v>
      </c>
      <c r="J42" s="1273">
        <f t="shared" si="2"/>
        <v>0</v>
      </c>
      <c r="K42" s="136"/>
      <c r="L42" s="1272" t="s">
        <v>1051</v>
      </c>
      <c r="M42" s="385">
        <f>+E43</f>
        <v>0</v>
      </c>
      <c r="N42" s="386">
        <f>+F43</f>
        <v>0</v>
      </c>
      <c r="O42" s="225">
        <f>+'IVA (TRIM)'!K25</f>
        <v>0</v>
      </c>
      <c r="P42" s="225">
        <f>+'IVA (TRIM)'!L25</f>
        <v>0</v>
      </c>
      <c r="Q42" s="226">
        <f t="shared" si="3"/>
        <v>0</v>
      </c>
      <c r="R42" s="1273">
        <f t="shared" si="4"/>
        <v>0</v>
      </c>
    </row>
    <row r="43" spans="3:18" ht="27" customHeight="1" outlineLevel="1">
      <c r="C43" s="2551"/>
      <c r="D43" s="223" t="s">
        <v>1049</v>
      </c>
      <c r="E43" s="385"/>
      <c r="F43" s="386"/>
      <c r="G43" s="225">
        <f>+'IVA (TRIM)'!K$40</f>
        <v>0</v>
      </c>
      <c r="H43" s="225">
        <f>+'IVA (TRIM)'!L$40</f>
        <v>0</v>
      </c>
      <c r="I43" s="226">
        <f t="shared" si="1"/>
        <v>0</v>
      </c>
      <c r="J43" s="1273">
        <f t="shared" si="2"/>
        <v>0</v>
      </c>
      <c r="K43" s="136"/>
      <c r="L43" s="1272" t="s">
        <v>1649</v>
      </c>
      <c r="M43" s="385"/>
      <c r="N43" s="386"/>
      <c r="O43" s="225">
        <f>+'IVA (TRIM)'!K26</f>
        <v>0</v>
      </c>
      <c r="P43" s="225">
        <f>+'IVA (TRIM)'!L26</f>
        <v>0</v>
      </c>
      <c r="Q43" s="226">
        <f t="shared" si="3"/>
        <v>0</v>
      </c>
      <c r="R43" s="1273">
        <f t="shared" si="4"/>
        <v>0</v>
      </c>
    </row>
    <row r="44" spans="3:18" ht="27" customHeight="1" outlineLevel="1">
      <c r="C44" s="2551"/>
      <c r="D44" s="223" t="s">
        <v>1023</v>
      </c>
      <c r="E44" s="385"/>
      <c r="F44" s="386"/>
      <c r="G44" s="225">
        <f>+'IVA (TRIM)'!K$43</f>
        <v>0</v>
      </c>
      <c r="H44" s="225">
        <f>+'IVA (TRIM)'!L$43</f>
        <v>0</v>
      </c>
      <c r="I44" s="226">
        <f t="shared" si="1"/>
        <v>0</v>
      </c>
      <c r="J44" s="1273">
        <f t="shared" si="2"/>
        <v>0</v>
      </c>
      <c r="K44" s="136"/>
      <c r="L44" s="1272" t="s">
        <v>1651</v>
      </c>
      <c r="M44" s="385"/>
      <c r="N44" s="386"/>
      <c r="O44" s="225">
        <f>+'IVA (TRIM)'!K27</f>
        <v>0</v>
      </c>
      <c r="P44" s="225">
        <f>+'IVA (TRIM)'!L27</f>
        <v>0</v>
      </c>
      <c r="Q44" s="226">
        <f t="shared" si="3"/>
        <v>0</v>
      </c>
      <c r="R44" s="1273">
        <f t="shared" si="4"/>
        <v>0</v>
      </c>
    </row>
    <row r="45" spans="3:18" ht="27" customHeight="1" outlineLevel="1">
      <c r="C45" s="2551"/>
      <c r="D45" s="223" t="s">
        <v>1047</v>
      </c>
      <c r="E45" s="385"/>
      <c r="F45" s="386"/>
      <c r="G45" s="225">
        <f>+'IVA (TRIM)'!K$37+'IVA (TRIM)'!K$39+'IVA (TRIM)'!K$41</f>
        <v>0</v>
      </c>
      <c r="H45" s="225">
        <f>+'IVA (TRIM)'!L$37+'IVA (TRIM)'!L$39+'IVA (TRIM)'!L$41</f>
        <v>0</v>
      </c>
      <c r="I45" s="226">
        <f t="shared" si="1"/>
        <v>0</v>
      </c>
      <c r="J45" s="1273">
        <f t="shared" si="2"/>
        <v>0</v>
      </c>
      <c r="K45" s="136"/>
      <c r="L45" s="1272" t="s">
        <v>1050</v>
      </c>
      <c r="M45" s="385"/>
      <c r="N45" s="386"/>
      <c r="O45" s="225">
        <f>SUM('IVA (TRIM)'!K28:K31)</f>
        <v>0</v>
      </c>
      <c r="P45" s="225">
        <f>SUM('IVA (TRIM)'!L28:L31)</f>
        <v>0</v>
      </c>
      <c r="Q45" s="226">
        <f t="shared" si="3"/>
        <v>0</v>
      </c>
      <c r="R45" s="1273">
        <f t="shared" si="4"/>
        <v>0</v>
      </c>
    </row>
    <row r="46" spans="3:18" ht="27" customHeight="1" outlineLevel="1">
      <c r="C46" s="2552"/>
      <c r="D46" s="1281" t="s">
        <v>1652</v>
      </c>
      <c r="E46" s="1275"/>
      <c r="F46" s="1276"/>
      <c r="G46" s="1277">
        <f>+'IVA (TRIM)'!K$42</f>
        <v>0</v>
      </c>
      <c r="H46" s="1277">
        <f>+'IVA (TRIM)'!L$42</f>
        <v>0</v>
      </c>
      <c r="I46" s="1278">
        <f t="shared" si="1"/>
        <v>0</v>
      </c>
      <c r="J46" s="1279">
        <f t="shared" si="2"/>
        <v>0</v>
      </c>
      <c r="K46" s="136"/>
      <c r="L46" s="1274" t="s">
        <v>1650</v>
      </c>
      <c r="M46" s="1275"/>
      <c r="N46" s="1276"/>
      <c r="O46" s="1277">
        <f>+'IVA (TRIM)'!K32</f>
        <v>0</v>
      </c>
      <c r="P46" s="1277">
        <f>+'IVA (TRIM)'!L32</f>
        <v>0</v>
      </c>
      <c r="Q46" s="1278">
        <f t="shared" si="3"/>
        <v>0</v>
      </c>
      <c r="R46" s="1279">
        <f t="shared" si="4"/>
        <v>0</v>
      </c>
    </row>
    <row r="47" spans="3:18" s="231" customFormat="1" ht="27" customHeight="1">
      <c r="C47" s="2548" t="s">
        <v>1081</v>
      </c>
      <c r="D47" s="2549"/>
      <c r="E47" s="1282">
        <f>SUM(E41:E46)</f>
        <v>0</v>
      </c>
      <c r="F47" s="1282">
        <f t="shared" ref="F47:G47" si="11">SUM(F41:F46)</f>
        <v>0</v>
      </c>
      <c r="G47" s="1282">
        <f t="shared" si="11"/>
        <v>0</v>
      </c>
      <c r="H47" s="1282">
        <f>SUM(H41:H46)</f>
        <v>0</v>
      </c>
      <c r="I47" s="1282">
        <f t="shared" si="1"/>
        <v>0</v>
      </c>
      <c r="J47" s="1284">
        <f t="shared" si="2"/>
        <v>0</v>
      </c>
      <c r="K47" s="230"/>
      <c r="L47" s="227" t="str">
        <f>+C47</f>
        <v>Total periodo 4º TRIMESTRE</v>
      </c>
      <c r="M47" s="1282">
        <f>SUM(M41:M46)</f>
        <v>0</v>
      </c>
      <c r="N47" s="1282">
        <f t="shared" ref="N47:O47" si="12">SUM(N41:N46)</f>
        <v>0</v>
      </c>
      <c r="O47" s="1282">
        <f t="shared" si="12"/>
        <v>0</v>
      </c>
      <c r="P47" s="1282">
        <f>SUM(P41:P46)</f>
        <v>0</v>
      </c>
      <c r="Q47" s="227">
        <f t="shared" si="3"/>
        <v>0</v>
      </c>
      <c r="R47" s="227">
        <f t="shared" si="4"/>
        <v>0</v>
      </c>
    </row>
    <row r="48" spans="3:18" ht="15" customHeight="1"/>
    <row r="49" spans="3:18" ht="27" customHeight="1">
      <c r="C49" s="2553" t="s">
        <v>1064</v>
      </c>
      <c r="D49" s="2553"/>
      <c r="E49" s="228">
        <f t="shared" ref="E49:J49" si="13">SUM(E47,E40,E33,E26)</f>
        <v>0</v>
      </c>
      <c r="F49" s="228">
        <f t="shared" si="13"/>
        <v>0</v>
      </c>
      <c r="G49" s="228">
        <f t="shared" si="13"/>
        <v>0</v>
      </c>
      <c r="H49" s="228">
        <f t="shared" si="13"/>
        <v>0</v>
      </c>
      <c r="I49" s="227">
        <f t="shared" si="13"/>
        <v>0</v>
      </c>
      <c r="J49" s="227">
        <f t="shared" si="13"/>
        <v>0</v>
      </c>
      <c r="K49" s="136"/>
      <c r="L49" s="228" t="str">
        <f>+C49</f>
        <v>Total  Ejercicio</v>
      </c>
      <c r="M49" s="480">
        <f t="shared" ref="M49:R49" si="14">SUM(M47,M40,M33,M26)</f>
        <v>0</v>
      </c>
      <c r="N49" s="480">
        <f t="shared" si="14"/>
        <v>0</v>
      </c>
      <c r="O49" s="480">
        <f t="shared" si="14"/>
        <v>0</v>
      </c>
      <c r="P49" s="480">
        <f t="shared" si="14"/>
        <v>0</v>
      </c>
      <c r="Q49" s="227">
        <f t="shared" si="14"/>
        <v>0</v>
      </c>
      <c r="R49" s="227">
        <f t="shared" si="14"/>
        <v>0</v>
      </c>
    </row>
    <row r="50" spans="3:18" ht="15" customHeight="1"/>
  </sheetData>
  <mergeCells count="20">
    <mergeCell ref="C34:C39"/>
    <mergeCell ref="C41:C46"/>
    <mergeCell ref="C49:D49"/>
    <mergeCell ref="C40:D40"/>
    <mergeCell ref="C47:D47"/>
    <mergeCell ref="Q16:R16"/>
    <mergeCell ref="C26:D26"/>
    <mergeCell ref="C33:D33"/>
    <mergeCell ref="E16:F16"/>
    <mergeCell ref="G16:H16"/>
    <mergeCell ref="I16:J16"/>
    <mergeCell ref="M16:N16"/>
    <mergeCell ref="O16:P16"/>
    <mergeCell ref="C20:C25"/>
    <mergeCell ref="C27:C32"/>
    <mergeCell ref="C5:D5"/>
    <mergeCell ref="E5:G5"/>
    <mergeCell ref="E7:G7"/>
    <mergeCell ref="E15:J15"/>
    <mergeCell ref="M15:R15"/>
  </mergeCells>
  <conditionalFormatting sqref="I26">
    <cfRule type="expression" dxfId="86" priority="22">
      <formula>I26&lt;&gt;0</formula>
    </cfRule>
  </conditionalFormatting>
  <conditionalFormatting sqref="J26">
    <cfRule type="expression" dxfId="85" priority="21">
      <formula>J26&lt;&gt;0</formula>
    </cfRule>
  </conditionalFormatting>
  <conditionalFormatting sqref="I49">
    <cfRule type="expression" dxfId="84" priority="14">
      <formula>I49&lt;&gt;0</formula>
    </cfRule>
  </conditionalFormatting>
  <conditionalFormatting sqref="J49">
    <cfRule type="expression" dxfId="83" priority="13">
      <formula>J49&lt;&gt;0</formula>
    </cfRule>
  </conditionalFormatting>
  <conditionalFormatting sqref="Q49">
    <cfRule type="expression" dxfId="82" priority="12">
      <formula>Q49&lt;&gt;0</formula>
    </cfRule>
  </conditionalFormatting>
  <conditionalFormatting sqref="R49">
    <cfRule type="expression" dxfId="81" priority="11">
      <formula>R49&lt;&gt;0</formula>
    </cfRule>
  </conditionalFormatting>
  <conditionalFormatting sqref="I33 I40 I47">
    <cfRule type="expression" dxfId="80" priority="2">
      <formula>I33&lt;&gt;0</formula>
    </cfRule>
  </conditionalFormatting>
  <conditionalFormatting sqref="J33 J40 J47">
    <cfRule type="expression" dxfId="79" priority="1">
      <formula>J33&lt;&gt;0</formula>
    </cfRule>
  </conditionalFormatting>
  <dataValidations count="1">
    <dataValidation allowBlank="1" showInputMessage="1" showErrorMessage="1" promptTitle="B.I." prompt="Base Imponible" sqref="E17 G17 I17 M17 O17 Q17" xr:uid="{00000000-0002-0000-1D00-000000000000}"/>
  </dataValidations>
  <pageMargins left="0.43307086614173229" right="0.23622047244094491" top="0.74803149606299213" bottom="0.74803149606299213" header="0.31496062992125984" footer="0.31496062992125984"/>
  <pageSetup paperSize="9" scale="35" fitToWidth="2" fitToHeight="2"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locked="0" defaultSize="0" print="0" autoFill="0" autoPict="0" macro="[0]!borrarregistroivatrimestral">
                <anchor moveWithCells="1" sizeWithCells="1">
                  <from>
                    <xdr:col>7</xdr:col>
                    <xdr:colOff>350520</xdr:colOff>
                    <xdr:row>8</xdr:row>
                    <xdr:rowOff>152400</xdr:rowOff>
                  </from>
                  <to>
                    <xdr:col>8</xdr:col>
                    <xdr:colOff>419100</xdr:colOff>
                    <xdr:row>12</xdr:row>
                    <xdr:rowOff>7620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4">
    <pageSetUpPr autoPageBreaks="0" fitToPage="1"/>
  </sheetPr>
  <dimension ref="A1:L62"/>
  <sheetViews>
    <sheetView showGridLines="0" showRowColHeaders="0" showZeros="0" zoomScale="80" zoomScaleNormal="80" zoomScaleSheetLayoutView="55" zoomScalePageLayoutView="55" workbookViewId="0">
      <pane xSplit="3" ySplit="15" topLeftCell="D27" activePane="bottomRight" state="frozen"/>
      <selection activeCell="G9" sqref="G9"/>
      <selection pane="topRight" activeCell="G9" sqref="G9"/>
      <selection pane="bottomLeft" activeCell="G9" sqref="G9"/>
      <selection pane="bottomRight"/>
    </sheetView>
  </sheetViews>
  <sheetFormatPr baseColWidth="10" defaultColWidth="0" defaultRowHeight="15" customHeight="1" zeroHeight="1" outlineLevelRow="1"/>
  <cols>
    <col min="1" max="2" width="2" customWidth="1"/>
    <col min="3" max="3" width="21.44140625" customWidth="1"/>
    <col min="4" max="4" width="57" customWidth="1"/>
    <col min="5" max="5" width="22.44140625" customWidth="1"/>
    <col min="6" max="6" width="24" customWidth="1"/>
    <col min="7" max="7" width="20.5546875" customWidth="1"/>
    <col min="8" max="8" width="55" customWidth="1"/>
    <col min="9" max="9" width="5" customWidth="1"/>
    <col min="10" max="16384" width="13" hidden="1"/>
  </cols>
  <sheetData>
    <row r="1" spans="3:8" ht="15" customHeight="1"/>
    <row r="2" spans="3:8" ht="9" customHeight="1"/>
    <row r="3" spans="3:8" ht="5.25" customHeight="1">
      <c r="C3" s="1"/>
      <c r="D3" s="1"/>
    </row>
    <row r="4" spans="3:8" ht="5.25" customHeight="1"/>
    <row r="5" spans="3:8" ht="21">
      <c r="C5" s="2252" t="str">
        <f>+MENU!C5</f>
        <v>Sociedad:</v>
      </c>
      <c r="D5" s="2253"/>
      <c r="E5" s="2254" t="str">
        <f>+MENU!E5</f>
        <v>MARIO PILATO BLAT, S.A.</v>
      </c>
      <c r="F5" s="2255"/>
      <c r="G5" s="2255"/>
    </row>
    <row r="6" spans="3:8" ht="12.75" customHeight="1">
      <c r="C6" s="218"/>
      <c r="D6" s="218"/>
      <c r="E6" s="218"/>
      <c r="F6" s="218"/>
      <c r="G6" s="218"/>
    </row>
    <row r="7" spans="3:8" ht="21">
      <c r="C7" s="220" t="str">
        <f>+instrucciones!$C$7</f>
        <v>Fecha de cierre</v>
      </c>
      <c r="D7" s="220"/>
      <c r="E7" s="2256">
        <f>+MENU!D7</f>
        <v>45657</v>
      </c>
      <c r="F7" s="2256"/>
      <c r="G7" s="2256"/>
    </row>
    <row r="8" spans="3:8" ht="15" customHeight="1">
      <c r="C8" s="2"/>
      <c r="D8" s="2"/>
      <c r="F8" s="3"/>
      <c r="G8" s="3"/>
      <c r="H8" s="3"/>
    </row>
    <row r="9" spans="3:8" ht="15" customHeight="1"/>
    <row r="10" spans="3:8" ht="5.25" customHeight="1">
      <c r="F10" s="219"/>
    </row>
    <row r="11" spans="3:8" ht="5.25" customHeight="1"/>
    <row r="12" spans="3:8" ht="6" customHeight="1"/>
    <row r="13" spans="3:8" s="1341" customFormat="1" ht="22.5" customHeight="1">
      <c r="C13" s="1777" t="s">
        <v>1069</v>
      </c>
      <c r="D13" s="1778"/>
    </row>
    <row r="14" spans="3:8" s="1341" customFormat="1" ht="6" customHeight="1"/>
    <row r="15" spans="3:8" s="1489" customFormat="1" ht="21" customHeight="1">
      <c r="C15" s="1385" t="s">
        <v>1065</v>
      </c>
      <c r="D15" s="1385" t="s">
        <v>648</v>
      </c>
      <c r="E15" s="1385" t="s">
        <v>995</v>
      </c>
      <c r="F15" s="1385" t="s">
        <v>1066</v>
      </c>
      <c r="G15" s="1385" t="s">
        <v>1067</v>
      </c>
      <c r="H15" s="1385" t="s">
        <v>1068</v>
      </c>
    </row>
    <row r="16" spans="3:8" s="1368" customFormat="1" ht="15" hidden="1" customHeight="1"/>
    <row r="17" spans="3:12" s="1341" customFormat="1" ht="15" customHeight="1"/>
    <row r="18" spans="3:12" s="1341" customFormat="1" ht="24" customHeight="1">
      <c r="C18" s="1830">
        <v>700</v>
      </c>
      <c r="D18" s="1831" t="str">
        <f>+LOOKUP(C18,asientos!$M$12:$M$13033,asientos!$N$12:$N$13033)</f>
        <v>VTAS DE MERCADERÍAS</v>
      </c>
      <c r="E18" s="1832">
        <f ca="1">-LOOKUP(C18,asientos!$M$12:$M$13033,asientos!$O$12:$O$13033)</f>
        <v>23781582.580000002</v>
      </c>
      <c r="F18" s="1832">
        <f ca="1">+E18-G18</f>
        <v>7023324.4300000016</v>
      </c>
      <c r="G18" s="1833">
        <f>8450142.53+8264943.07+43172.55</f>
        <v>16758258.15</v>
      </c>
      <c r="H18" s="2555" t="s">
        <v>2950</v>
      </c>
      <c r="L18" s="1834">
        <v>700</v>
      </c>
    </row>
    <row r="19" spans="3:12" s="1341" customFormat="1" ht="24" customHeight="1">
      <c r="C19" s="1835">
        <v>701</v>
      </c>
      <c r="D19" s="1836" t="str">
        <f>+LOOKUP(C19,asientos!$M$12:$M$13033,asientos!$N$12:$N$13033)</f>
        <v>VTAS DE PRODUCTOS TERMINADOS</v>
      </c>
      <c r="E19" s="1837">
        <f ca="1">-LOOKUP(C19,asientos!$M$12:$M$13033,asientos!$O$12:$O$13033)</f>
        <v>48356916.410000004</v>
      </c>
      <c r="F19" s="1837">
        <f t="shared" ref="F19:F30" ca="1" si="0">+E19-G19</f>
        <v>48356916.410000004</v>
      </c>
      <c r="G19" s="1838"/>
      <c r="H19" s="2556"/>
      <c r="L19" s="1839">
        <v>701</v>
      </c>
    </row>
    <row r="20" spans="3:12" s="1341" customFormat="1" ht="24" customHeight="1">
      <c r="C20" s="1835">
        <v>702</v>
      </c>
      <c r="D20" s="1836" t="str">
        <f>+LOOKUP(C20,asientos!$M$12:$M$13033,asientos!$N$12:$N$13033)</f>
        <v>VTAS DE PRODUCTOS SEMITERMINADOS</v>
      </c>
      <c r="E20" s="1837">
        <f ca="1">-LOOKUP(C20,asientos!$M$12:$M$13033,asientos!$O$12:$O$13033)</f>
        <v>0</v>
      </c>
      <c r="F20" s="1837">
        <f t="shared" ca="1" si="0"/>
        <v>0</v>
      </c>
      <c r="G20" s="1838"/>
      <c r="H20" s="2556"/>
      <c r="L20" s="1839">
        <v>702</v>
      </c>
    </row>
    <row r="21" spans="3:12" s="1341" customFormat="1" ht="24" customHeight="1">
      <c r="C21" s="1835">
        <v>703</v>
      </c>
      <c r="D21" s="1836" t="str">
        <f>+LOOKUP(C21,asientos!$M$12:$M$13033,asientos!$N$12:$N$13033)</f>
        <v>VTAS DE SUBPRODUCTOS Y RESIDUOS</v>
      </c>
      <c r="E21" s="1837">
        <f ca="1">-LOOKUP(C21,asientos!$M$12:$M$13033,asientos!$O$12:$O$13033)</f>
        <v>0</v>
      </c>
      <c r="F21" s="1837">
        <f t="shared" ca="1" si="0"/>
        <v>0</v>
      </c>
      <c r="G21" s="1838"/>
      <c r="H21" s="2556"/>
      <c r="L21" s="1839">
        <v>703</v>
      </c>
    </row>
    <row r="22" spans="3:12" s="1341" customFormat="1" ht="24" customHeight="1">
      <c r="C22" s="1835">
        <v>704</v>
      </c>
      <c r="D22" s="1836" t="str">
        <f>+LOOKUP(C22,asientos!$M$12:$M$13033,asientos!$N$12:$N$13033)</f>
        <v>VTAS DE ENVASES Y EMBALAJES</v>
      </c>
      <c r="E22" s="1837">
        <f ca="1">-LOOKUP(C22,asientos!$M$12:$M$13033,asientos!$O$12:$O$13033)</f>
        <v>0</v>
      </c>
      <c r="F22" s="1837">
        <f t="shared" ca="1" si="0"/>
        <v>0</v>
      </c>
      <c r="G22" s="1838"/>
      <c r="H22" s="2556"/>
      <c r="L22" s="1839">
        <v>704</v>
      </c>
    </row>
    <row r="23" spans="3:12" s="1341" customFormat="1" ht="24" customHeight="1">
      <c r="C23" s="1835">
        <v>705</v>
      </c>
      <c r="D23" s="1836" t="str">
        <f>+LOOKUP(C23,asientos!$M$12:$M$13033,asientos!$N$12:$N$13033)</f>
        <v>PRESTACIONES DE SERVICIOS</v>
      </c>
      <c r="E23" s="1837">
        <f ca="1">-LOOKUP(C23,asientos!$M$12:$M$13033,asientos!$O$12:$O$13033)</f>
        <v>1677197.1400000001</v>
      </c>
      <c r="F23" s="1837">
        <f t="shared" ca="1" si="0"/>
        <v>1677197.1400000001</v>
      </c>
      <c r="G23" s="1838"/>
      <c r="H23" s="2556"/>
      <c r="L23" s="1839">
        <v>705</v>
      </c>
    </row>
    <row r="24" spans="3:12" s="1341" customFormat="1" ht="24" customHeight="1">
      <c r="C24" s="1835">
        <v>708</v>
      </c>
      <c r="D24" s="1836" t="str">
        <f>+LOOKUP(C24,asientos!$M$12:$M$13033,asientos!$N$12:$N$13033)</f>
        <v>DEVOLUCIONES DE VENTAS Y OP SIMILARES</v>
      </c>
      <c r="E24" s="1837">
        <f ca="1">-LOOKUP(C24,asientos!$M$12:$M$13033,asientos!$O$12:$O$13033)</f>
        <v>0</v>
      </c>
      <c r="F24" s="1837">
        <f t="shared" ca="1" si="0"/>
        <v>0</v>
      </c>
      <c r="G24" s="1838"/>
      <c r="H24" s="2556"/>
      <c r="L24" s="1839">
        <v>708</v>
      </c>
    </row>
    <row r="25" spans="3:12" s="1341" customFormat="1" ht="24" customHeight="1">
      <c r="C25" s="1835">
        <v>709</v>
      </c>
      <c r="D25" s="1836" t="str">
        <f>+LOOKUP(C25,asientos!$M$12:$M$13033,asientos!$N$12:$N$13033)</f>
        <v>RAPPELS SOBRE VENTAS</v>
      </c>
      <c r="E25" s="1837">
        <f ca="1">-LOOKUP(C25,asientos!$M$12:$M$13033,asientos!$O$12:$O$13033)</f>
        <v>-29652.65</v>
      </c>
      <c r="F25" s="1837">
        <f t="shared" ca="1" si="0"/>
        <v>-29652.65</v>
      </c>
      <c r="G25" s="1838"/>
      <c r="H25" s="2556"/>
      <c r="L25" s="1839">
        <v>709</v>
      </c>
    </row>
    <row r="26" spans="3:12" s="1341" customFormat="1" ht="24" customHeight="1">
      <c r="C26" s="1835">
        <v>752</v>
      </c>
      <c r="D26" s="1836" t="str">
        <f>+LOOKUP(C26,asientos!$M$12:$M$13033,asientos!$N$12:$N$13033)</f>
        <v>INGRESOS POR ARRENDAMIENTOS</v>
      </c>
      <c r="E26" s="1837">
        <f ca="1">-LOOKUP(C26,asientos!$M$12:$M$13033,asientos!$O$12:$O$13033)</f>
        <v>0</v>
      </c>
      <c r="F26" s="1837">
        <f t="shared" ca="1" si="0"/>
        <v>0</v>
      </c>
      <c r="G26" s="1838"/>
      <c r="H26" s="2556"/>
      <c r="L26" s="1839">
        <v>752</v>
      </c>
    </row>
    <row r="27" spans="3:12" s="1341" customFormat="1" ht="24" customHeight="1">
      <c r="C27" s="1835">
        <v>753</v>
      </c>
      <c r="D27" s="1836" t="str">
        <f>+LOOKUP(C27,asientos!$M$12:$M$13033,asientos!$N$12:$N$13033)</f>
        <v>INGRESOS DE PROP INDUSTRIAL CEDIDA EN EXPLOTACIÓN</v>
      </c>
      <c r="E27" s="1837">
        <f ca="1">-LOOKUP(C27,asientos!$M$12:$M$13033,asientos!$O$12:$O$13033)</f>
        <v>0</v>
      </c>
      <c r="F27" s="1837">
        <f t="shared" ca="1" si="0"/>
        <v>0</v>
      </c>
      <c r="G27" s="1838"/>
      <c r="H27" s="2556"/>
      <c r="L27" s="1839">
        <v>753</v>
      </c>
    </row>
    <row r="28" spans="3:12" s="1341" customFormat="1" ht="24" customHeight="1">
      <c r="C28" s="1835">
        <v>754</v>
      </c>
      <c r="D28" s="1836" t="str">
        <f>+LOOKUP(C28,asientos!$M$12:$M$13033,asientos!$N$12:$N$13033)</f>
        <v>INGRESOS  POR COMISIONES</v>
      </c>
      <c r="E28" s="1837">
        <f ca="1">-LOOKUP(C28,asientos!$M$12:$M$13033,asientos!$O$12:$O$13033)</f>
        <v>0</v>
      </c>
      <c r="F28" s="1837">
        <f t="shared" ca="1" si="0"/>
        <v>0</v>
      </c>
      <c r="G28" s="1838"/>
      <c r="H28" s="2556"/>
      <c r="L28" s="1839">
        <v>754</v>
      </c>
    </row>
    <row r="29" spans="3:12" s="1341" customFormat="1" ht="24" customHeight="1">
      <c r="C29" s="1835">
        <v>759</v>
      </c>
      <c r="D29" s="1836" t="str">
        <f>+LOOKUP(C29,asientos!$M$12:$M$13033,asientos!$N$12:$N$13033)</f>
        <v>INGRESOS POR SERVICIOS DIVERSOS</v>
      </c>
      <c r="E29" s="1837">
        <f ca="1">-LOOKUP(C29,asientos!$M$12:$M$13033,asientos!$O$12:$O$13033)</f>
        <v>5048.42</v>
      </c>
      <c r="F29" s="1837">
        <f t="shared" ca="1" si="0"/>
        <v>5048.42</v>
      </c>
      <c r="G29" s="1838"/>
      <c r="H29" s="2556"/>
      <c r="L29" s="1839">
        <v>759</v>
      </c>
    </row>
    <row r="30" spans="3:12" s="1341" customFormat="1" ht="24" customHeight="1">
      <c r="C30" s="1835">
        <v>706</v>
      </c>
      <c r="D30" s="1836" t="str">
        <f>+LOOKUP(C30,asientos!$M$12:$M$13033,asientos!$N$12:$N$13033)</f>
        <v>DTOS SOBRE VTAS POR PRONTO PAGO</v>
      </c>
      <c r="E30" s="1837">
        <f ca="1">-LOOKUP(C30,asientos!$M$12:$M$13033,asientos!$O$12:$O$13033)</f>
        <v>-3003.21</v>
      </c>
      <c r="F30" s="1837">
        <f t="shared" ca="1" si="0"/>
        <v>-3003.21</v>
      </c>
      <c r="G30" s="1838"/>
      <c r="H30" s="2556"/>
      <c r="L30" s="1839">
        <v>706</v>
      </c>
    </row>
    <row r="31" spans="3:12" s="1341" customFormat="1" ht="24" customHeight="1">
      <c r="C31" s="1840"/>
      <c r="D31" s="1841" t="s">
        <v>1070</v>
      </c>
      <c r="E31" s="1842"/>
      <c r="F31" s="1842"/>
      <c r="G31" s="1838"/>
      <c r="H31" s="2556"/>
    </row>
    <row r="32" spans="3:12" s="1341" customFormat="1" ht="24" customHeight="1">
      <c r="C32" s="1840"/>
      <c r="D32" s="1841" t="s">
        <v>428</v>
      </c>
      <c r="E32" s="1842"/>
      <c r="F32" s="1842"/>
      <c r="G32" s="1838"/>
      <c r="H32" s="2556"/>
    </row>
    <row r="33" spans="3:8" s="1341" customFormat="1" ht="24" customHeight="1" outlineLevel="1">
      <c r="C33" s="1840"/>
      <c r="D33" s="1841" t="s">
        <v>2951</v>
      </c>
      <c r="E33" s="1842"/>
      <c r="F33" s="1842">
        <v>-717149.18</v>
      </c>
      <c r="G33" s="1838"/>
      <c r="H33" s="2556"/>
    </row>
    <row r="34" spans="3:8" s="1341" customFormat="1" ht="24" customHeight="1" outlineLevel="1">
      <c r="C34" s="1840"/>
      <c r="D34" s="1841"/>
      <c r="E34" s="1842"/>
      <c r="F34" s="1842"/>
      <c r="G34" s="1838"/>
      <c r="H34" s="2556"/>
    </row>
    <row r="35" spans="3:8" s="1341" customFormat="1" ht="24" customHeight="1" outlineLevel="1">
      <c r="C35" s="1840"/>
      <c r="D35" s="1841"/>
      <c r="E35" s="1842"/>
      <c r="F35" s="1842"/>
      <c r="G35" s="1838"/>
      <c r="H35" s="2556"/>
    </row>
    <row r="36" spans="3:8" s="1341" customFormat="1" ht="24" customHeight="1" outlineLevel="1">
      <c r="C36" s="1840"/>
      <c r="D36" s="1841"/>
      <c r="E36" s="1842"/>
      <c r="F36" s="1842"/>
      <c r="G36" s="1838"/>
      <c r="H36" s="2556"/>
    </row>
    <row r="37" spans="3:8" s="1341" customFormat="1" ht="24" customHeight="1" outlineLevel="1">
      <c r="C37" s="1843"/>
      <c r="D37" s="1844"/>
      <c r="E37" s="1845"/>
      <c r="F37" s="1845"/>
      <c r="G37" s="1846"/>
      <c r="H37" s="2557"/>
    </row>
    <row r="38" spans="3:8" s="1341" customFormat="1" ht="24" customHeight="1">
      <c r="D38" s="1847" t="s">
        <v>1071</v>
      </c>
      <c r="E38" s="1848">
        <f ca="1">SUM(E18:E37)</f>
        <v>73788088.690000013</v>
      </c>
      <c r="F38" s="1848">
        <f ca="1">SUM(F18:F37)</f>
        <v>56312681.360000007</v>
      </c>
      <c r="G38" s="1848">
        <f>SUM(G18:G37)</f>
        <v>16758258.15</v>
      </c>
    </row>
    <row r="39" spans="3:8" s="1341" customFormat="1" ht="9" customHeight="1">
      <c r="D39" s="1717"/>
      <c r="E39" s="1717"/>
      <c r="F39" s="1717"/>
      <c r="G39" s="1717"/>
    </row>
    <row r="40" spans="3:8" s="1341" customFormat="1" ht="24" customHeight="1">
      <c r="D40" s="2554" t="s">
        <v>1072</v>
      </c>
      <c r="E40" s="2554"/>
      <c r="F40" s="1849">
        <f>IF(MENU!$P$11="NO",+SUM('MESIVA (check)'!$G$18:$G$38)+'MESIVA (check)'!G42,MESIVA!AE73+MESIVA!AE75+MESIVA!AE76+MESIVA!AE78+MESIVA!AE79+MESIVA!AE82)</f>
        <v>56311852.719999999</v>
      </c>
      <c r="G40" s="1849">
        <f>IF(MENU!$P$11="NO",+SUM('MESIVA (check)'!G74:G76),MESIVA!AE111+MESIVA!AE112+MESIVA!AE113)</f>
        <v>16758258.15</v>
      </c>
    </row>
    <row r="41" spans="3:8" s="1341" customFormat="1" ht="9" customHeight="1">
      <c r="D41" s="1717"/>
      <c r="E41" s="1717"/>
      <c r="F41" s="1717"/>
      <c r="G41" s="1717"/>
    </row>
    <row r="42" spans="3:8" s="1341" customFormat="1" ht="24" customHeight="1">
      <c r="D42" s="2554" t="s">
        <v>177</v>
      </c>
      <c r="E42" s="2554"/>
      <c r="F42" s="1849">
        <f ca="1">+F38-F40</f>
        <v>828.64000000804663</v>
      </c>
      <c r="G42" s="1849">
        <f>+G38-G40</f>
        <v>0</v>
      </c>
    </row>
    <row r="43" spans="3:8" s="1341" customFormat="1" ht="15" customHeight="1"/>
    <row r="44" spans="3:8" s="1341" customFormat="1" ht="15" customHeight="1" outlineLevel="1"/>
    <row r="45" spans="3:8" s="1341" customFormat="1" ht="15" customHeight="1" outlineLevel="1"/>
    <row r="46" spans="3:8" s="1341" customFormat="1" ht="15" customHeight="1" outlineLevel="1"/>
    <row r="47" spans="3:8" s="1341" customFormat="1" ht="15" customHeight="1" outlineLevel="1"/>
    <row r="48" spans="3:8" s="1341" customFormat="1" ht="15" customHeight="1" outlineLevel="1"/>
    <row r="49" s="1341" customFormat="1" ht="15" customHeight="1" outlineLevel="1"/>
    <row r="50" s="1341" customFormat="1" ht="15" customHeight="1" outlineLevel="1"/>
    <row r="51" s="1341" customFormat="1" ht="15" customHeight="1" outlineLevel="1"/>
    <row r="52" s="1341" customFormat="1" ht="15" customHeight="1" outlineLevel="1"/>
    <row r="53" s="1341" customFormat="1" ht="15" customHeight="1" outlineLevel="1"/>
    <row r="54" s="1341" customFormat="1" ht="15" customHeight="1" outlineLevel="1"/>
    <row r="55" s="1341" customFormat="1" ht="15" customHeight="1" outlineLevel="1"/>
    <row r="56" s="1341" customFormat="1" ht="15" customHeight="1" outlineLevel="1"/>
    <row r="57" s="1341" customFormat="1" ht="15" customHeight="1" outlineLevel="1"/>
    <row r="58" s="1341" customFormat="1" ht="15" customHeight="1" outlineLevel="1"/>
    <row r="59" s="1341" customFormat="1" ht="15" customHeight="1" outlineLevel="1"/>
    <row r="60" s="1341" customFormat="1" ht="15" customHeight="1" outlineLevel="1"/>
    <row r="61" s="1341" customFormat="1" ht="15" customHeight="1" outlineLevel="1"/>
    <row r="62" s="1341" customFormat="1" ht="15" customHeight="1"/>
  </sheetData>
  <mergeCells count="6">
    <mergeCell ref="D40:E40"/>
    <mergeCell ref="D42:E42"/>
    <mergeCell ref="H18:H37"/>
    <mergeCell ref="C5:D5"/>
    <mergeCell ref="E5:G5"/>
    <mergeCell ref="E7:G7"/>
  </mergeCells>
  <conditionalFormatting sqref="F42">
    <cfRule type="expression" dxfId="78" priority="2">
      <formula>F42&lt;&gt;0</formula>
    </cfRule>
  </conditionalFormatting>
  <conditionalFormatting sqref="G42">
    <cfRule type="expression" dxfId="77" priority="1">
      <formula>G42&lt;&gt;0</formula>
    </cfRule>
  </conditionalFormatting>
  <dataValidations disablePrompts="1" count="2">
    <dataValidation allowBlank="1" showInputMessage="1" showErrorMessage="1" promptTitle="B.I." prompt="Base Imponible" sqref="G15" xr:uid="{84181594-9688-42A8-B90E-6FB07034B304}"/>
    <dataValidation type="list" allowBlank="1" showInputMessage="1" showErrorMessage="1" sqref="C18:C30" xr:uid="{A7E9955F-F793-4764-93F9-D89ABC9D619C}">
      <formula1>$L$18:$L$30</formula1>
    </dataValidation>
  </dataValidations>
  <pageMargins left="0.43307086614173229" right="0.23622047244094491" top="0.74803149606299213" bottom="0.74803149606299213" header="0.31496062992125984" footer="0.31496062992125984"/>
  <pageSetup paperSize="9" scale="5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locked="0" defaultSize="0" print="0" autoFill="0" autoPict="0" macro="[0]!borrarmesajuiva">
                <anchor moveWithCells="1" sizeWithCells="1">
                  <from>
                    <xdr:col>5</xdr:col>
                    <xdr:colOff>914400</xdr:colOff>
                    <xdr:row>8</xdr:row>
                    <xdr:rowOff>152400</xdr:rowOff>
                  </from>
                  <to>
                    <xdr:col>6</xdr:col>
                    <xdr:colOff>723900</xdr:colOff>
                    <xdr:row>12</xdr:row>
                    <xdr:rowOff>7620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9">
    <pageSetUpPr autoPageBreaks="0" fitToPage="1"/>
  </sheetPr>
  <dimension ref="A1:L62"/>
  <sheetViews>
    <sheetView showGridLines="0" showRowColHeaders="0" showZeros="0" zoomScale="85" zoomScaleNormal="85" zoomScaleSheetLayoutView="55" zoomScalePageLayoutView="55" workbookViewId="0">
      <pane xSplit="3" ySplit="15" topLeftCell="D28" activePane="bottomRight" state="frozen"/>
      <selection activeCell="G9" sqref="G9"/>
      <selection pane="topRight" activeCell="G9" sqref="G9"/>
      <selection pane="bottomLeft" activeCell="G9" sqref="G9"/>
      <selection pane="bottomRight"/>
    </sheetView>
  </sheetViews>
  <sheetFormatPr baseColWidth="10" defaultColWidth="0" defaultRowHeight="15" customHeight="1" zeroHeight="1" outlineLevelRow="1"/>
  <cols>
    <col min="1" max="2" width="2" customWidth="1"/>
    <col min="3" max="3" width="21.44140625" customWidth="1"/>
    <col min="4" max="4" width="57" customWidth="1"/>
    <col min="5" max="5" width="22.44140625" customWidth="1"/>
    <col min="6" max="6" width="24" customWidth="1"/>
    <col min="7" max="7" width="20.5546875" customWidth="1"/>
    <col min="8" max="8" width="55" customWidth="1"/>
    <col min="9" max="9" width="5" customWidth="1"/>
    <col min="10" max="16384" width="13" hidden="1"/>
  </cols>
  <sheetData>
    <row r="1" spans="3:8" ht="15" customHeight="1"/>
    <row r="2" spans="3:8" ht="9" customHeight="1"/>
    <row r="3" spans="3:8" ht="5.25" customHeight="1">
      <c r="C3" s="1"/>
      <c r="D3" s="1"/>
    </row>
    <row r="4" spans="3:8" ht="5.25" customHeight="1"/>
    <row r="5" spans="3:8" ht="21">
      <c r="C5" s="2252" t="str">
        <f>+MENU!C5</f>
        <v>Sociedad:</v>
      </c>
      <c r="D5" s="2253"/>
      <c r="E5" s="2254" t="str">
        <f>+MENU!E5</f>
        <v>MARIO PILATO BLAT, S.A.</v>
      </c>
      <c r="F5" s="2255"/>
      <c r="G5" s="2255"/>
    </row>
    <row r="6" spans="3:8" ht="12.75" customHeight="1">
      <c r="C6" s="218"/>
      <c r="D6" s="218"/>
      <c r="E6" s="218"/>
      <c r="F6" s="218"/>
      <c r="G6" s="218"/>
    </row>
    <row r="7" spans="3:8" ht="21">
      <c r="C7" s="220" t="str">
        <f>+instrucciones!$C$7</f>
        <v>Fecha de cierre</v>
      </c>
      <c r="D7" s="220"/>
      <c r="E7" s="2256">
        <f>+MENU!D7</f>
        <v>45657</v>
      </c>
      <c r="F7" s="2256"/>
      <c r="G7" s="2256"/>
    </row>
    <row r="8" spans="3:8" ht="15" customHeight="1">
      <c r="C8" s="2"/>
      <c r="D8" s="2"/>
      <c r="F8" s="3"/>
      <c r="G8" s="3"/>
      <c r="H8" s="3"/>
    </row>
    <row r="9" spans="3:8" ht="15" customHeight="1"/>
    <row r="10" spans="3:8" ht="5.25" customHeight="1">
      <c r="F10" s="219"/>
    </row>
    <row r="11" spans="3:8" ht="5.25" customHeight="1"/>
    <row r="12" spans="3:8" ht="6" customHeight="1"/>
    <row r="13" spans="3:8" ht="22.5" customHeight="1">
      <c r="C13" s="221" t="s">
        <v>1069</v>
      </c>
      <c r="D13" s="222"/>
    </row>
    <row r="14" spans="3:8" ht="6" customHeight="1"/>
    <row r="15" spans="3:8" s="33" customFormat="1" ht="21" customHeight="1">
      <c r="C15" s="193" t="s">
        <v>1065</v>
      </c>
      <c r="D15" s="193" t="s">
        <v>648</v>
      </c>
      <c r="E15" s="193" t="s">
        <v>995</v>
      </c>
      <c r="F15" s="193" t="s">
        <v>1066</v>
      </c>
      <c r="G15" s="193" t="s">
        <v>1067</v>
      </c>
      <c r="H15" s="193" t="s">
        <v>1068</v>
      </c>
    </row>
    <row r="17" spans="3:12" ht="15" customHeight="1"/>
    <row r="18" spans="3:12" ht="24" customHeight="1">
      <c r="C18" s="483">
        <v>700</v>
      </c>
      <c r="D18" s="484" t="str">
        <f>+LOOKUP(C18,asientos!$M$12:$M$13033,asientos!$N$12:$N$13033)</f>
        <v>VTAS DE MERCADERÍAS</v>
      </c>
      <c r="E18" s="485">
        <f ca="1">-LOOKUP(C18,asientos!$M$12:$M$13033,asientos!$O$12:$O$13033)</f>
        <v>23781582.580000002</v>
      </c>
      <c r="F18" s="485">
        <f ca="1">+E18-G18</f>
        <v>23781582.580000002</v>
      </c>
      <c r="G18" s="486"/>
      <c r="H18" s="2559"/>
      <c r="I18" s="523"/>
      <c r="L18" s="232">
        <v>700</v>
      </c>
    </row>
    <row r="19" spans="3:12" ht="24" customHeight="1">
      <c r="C19" s="396">
        <v>701</v>
      </c>
      <c r="D19" s="234" t="str">
        <f>+LOOKUP(C19,asientos!$M$12:$M$13033,asientos!$N$12:$N$13033)</f>
        <v>VTAS DE PRODUCTOS TERMINADOS</v>
      </c>
      <c r="E19" s="235">
        <f ca="1">-LOOKUP(C19,asientos!$M$12:$M$13033,asientos!$O$12:$O$13033)</f>
        <v>48356916.410000004</v>
      </c>
      <c r="F19" s="235">
        <f t="shared" ref="F19:F30" ca="1" si="0">+E19-G19</f>
        <v>48356916.410000004</v>
      </c>
      <c r="G19" s="389"/>
      <c r="H19" s="2560"/>
      <c r="I19" s="492"/>
      <c r="L19" s="233">
        <v>701</v>
      </c>
    </row>
    <row r="20" spans="3:12" ht="24" customHeight="1">
      <c r="C20" s="396">
        <v>702</v>
      </c>
      <c r="D20" s="234" t="str">
        <f>+LOOKUP(C20,asientos!$M$12:$M$13033,asientos!$N$12:$N$13033)</f>
        <v>VTAS DE PRODUCTOS SEMITERMINADOS</v>
      </c>
      <c r="E20" s="235">
        <f ca="1">-LOOKUP(C20,asientos!$M$12:$M$13033,asientos!$O$12:$O$13033)</f>
        <v>0</v>
      </c>
      <c r="F20" s="235">
        <f t="shared" ca="1" si="0"/>
        <v>0</v>
      </c>
      <c r="G20" s="389"/>
      <c r="H20" s="2560"/>
      <c r="I20" s="492"/>
      <c r="L20" s="233">
        <v>702</v>
      </c>
    </row>
    <row r="21" spans="3:12" ht="24" customHeight="1">
      <c r="C21" s="396">
        <v>703</v>
      </c>
      <c r="D21" s="234" t="str">
        <f>+LOOKUP(C21,asientos!$M$12:$M$13033,asientos!$N$12:$N$13033)</f>
        <v>VTAS DE SUBPRODUCTOS Y RESIDUOS</v>
      </c>
      <c r="E21" s="235">
        <f ca="1">-LOOKUP(C21,asientos!$M$12:$M$13033,asientos!$O$12:$O$13033)</f>
        <v>0</v>
      </c>
      <c r="F21" s="235">
        <f t="shared" ca="1" si="0"/>
        <v>0</v>
      </c>
      <c r="G21" s="389"/>
      <c r="H21" s="2560"/>
      <c r="I21" s="492"/>
      <c r="L21" s="233">
        <v>703</v>
      </c>
    </row>
    <row r="22" spans="3:12" ht="24" customHeight="1">
      <c r="C22" s="396">
        <v>704</v>
      </c>
      <c r="D22" s="234" t="str">
        <f>+LOOKUP(C22,asientos!$M$12:$M$13033,asientos!$N$12:$N$13033)</f>
        <v>VTAS DE ENVASES Y EMBALAJES</v>
      </c>
      <c r="E22" s="235">
        <f ca="1">-LOOKUP(C22,asientos!$M$12:$M$13033,asientos!$O$12:$O$13033)</f>
        <v>0</v>
      </c>
      <c r="F22" s="235">
        <f t="shared" ca="1" si="0"/>
        <v>0</v>
      </c>
      <c r="G22" s="389"/>
      <c r="H22" s="2560"/>
      <c r="I22" s="492"/>
      <c r="L22" s="233">
        <v>704</v>
      </c>
    </row>
    <row r="23" spans="3:12" ht="24" customHeight="1">
      <c r="C23" s="396">
        <v>705</v>
      </c>
      <c r="D23" s="234" t="str">
        <f>+LOOKUP(C23,asientos!$M$12:$M$13033,asientos!$N$12:$N$13033)</f>
        <v>PRESTACIONES DE SERVICIOS</v>
      </c>
      <c r="E23" s="235">
        <f ca="1">-LOOKUP(C23,asientos!$M$12:$M$13033,asientos!$O$12:$O$13033)</f>
        <v>1677197.1400000001</v>
      </c>
      <c r="F23" s="235">
        <f t="shared" ca="1" si="0"/>
        <v>1677197.1400000001</v>
      </c>
      <c r="G23" s="389"/>
      <c r="H23" s="2560"/>
      <c r="I23" s="492"/>
      <c r="L23" s="233">
        <v>705</v>
      </c>
    </row>
    <row r="24" spans="3:12" ht="24" customHeight="1">
      <c r="C24" s="396">
        <v>708</v>
      </c>
      <c r="D24" s="234" t="str">
        <f>+LOOKUP(C24,asientos!$M$12:$M$13033,asientos!$N$12:$N$13033)</f>
        <v>DEVOLUCIONES DE VENTAS Y OP SIMILARES</v>
      </c>
      <c r="E24" s="235">
        <f ca="1">-LOOKUP(C24,asientos!$M$12:$M$13033,asientos!$O$12:$O$13033)</f>
        <v>0</v>
      </c>
      <c r="F24" s="235">
        <f t="shared" ca="1" si="0"/>
        <v>0</v>
      </c>
      <c r="G24" s="389"/>
      <c r="H24" s="2560"/>
      <c r="I24" s="492"/>
      <c r="L24" s="233">
        <v>708</v>
      </c>
    </row>
    <row r="25" spans="3:12" ht="24" customHeight="1">
      <c r="C25" s="396">
        <v>709</v>
      </c>
      <c r="D25" s="234" t="str">
        <f>+LOOKUP(C25,asientos!$M$12:$M$13033,asientos!$N$12:$N$13033)</f>
        <v>RAPPELS SOBRE VENTAS</v>
      </c>
      <c r="E25" s="235">
        <f ca="1">-LOOKUP(C25,asientos!$M$12:$M$13033,asientos!$O$12:$O$13033)</f>
        <v>-29652.65</v>
      </c>
      <c r="F25" s="235">
        <f t="shared" ca="1" si="0"/>
        <v>-29652.65</v>
      </c>
      <c r="G25" s="389"/>
      <c r="H25" s="2560"/>
      <c r="I25" s="492"/>
      <c r="L25" s="233">
        <v>709</v>
      </c>
    </row>
    <row r="26" spans="3:12" ht="24" customHeight="1">
      <c r="C26" s="396">
        <v>752</v>
      </c>
      <c r="D26" s="234" t="str">
        <f>+LOOKUP(C26,asientos!$M$12:$M$13033,asientos!$N$12:$N$13033)</f>
        <v>INGRESOS POR ARRENDAMIENTOS</v>
      </c>
      <c r="E26" s="235">
        <f ca="1">-LOOKUP(C26,asientos!$M$12:$M$13033,asientos!$O$12:$O$13033)</f>
        <v>0</v>
      </c>
      <c r="F26" s="235">
        <f t="shared" ca="1" si="0"/>
        <v>0</v>
      </c>
      <c r="G26" s="389"/>
      <c r="H26" s="2560"/>
      <c r="I26" s="492"/>
      <c r="L26" s="233">
        <v>752</v>
      </c>
    </row>
    <row r="27" spans="3:12" ht="24" customHeight="1">
      <c r="C27" s="396">
        <v>753</v>
      </c>
      <c r="D27" s="234" t="str">
        <f>+LOOKUP(C27,asientos!$M$12:$M$13033,asientos!$N$12:$N$13033)</f>
        <v>INGRESOS DE PROP INDUSTRIAL CEDIDA EN EXPLOTACIÓN</v>
      </c>
      <c r="E27" s="235">
        <f ca="1">-LOOKUP(C27,asientos!$M$12:$M$13033,asientos!$O$12:$O$13033)</f>
        <v>0</v>
      </c>
      <c r="F27" s="235">
        <f t="shared" ca="1" si="0"/>
        <v>0</v>
      </c>
      <c r="G27" s="389"/>
      <c r="H27" s="2560"/>
      <c r="I27" s="492"/>
      <c r="L27" s="233">
        <v>753</v>
      </c>
    </row>
    <row r="28" spans="3:12" ht="24" customHeight="1">
      <c r="C28" s="396">
        <v>754</v>
      </c>
      <c r="D28" s="234" t="str">
        <f>+LOOKUP(C28,asientos!$M$12:$M$13033,asientos!$N$12:$N$13033)</f>
        <v>INGRESOS  POR COMISIONES</v>
      </c>
      <c r="E28" s="235">
        <f ca="1">-LOOKUP(C28,asientos!$M$12:$M$13033,asientos!$O$12:$O$13033)</f>
        <v>0</v>
      </c>
      <c r="F28" s="235">
        <f t="shared" ca="1" si="0"/>
        <v>0</v>
      </c>
      <c r="G28" s="389"/>
      <c r="H28" s="2560"/>
      <c r="I28" s="492"/>
      <c r="L28" s="233">
        <v>754</v>
      </c>
    </row>
    <row r="29" spans="3:12" ht="24" customHeight="1">
      <c r="C29" s="396">
        <v>759</v>
      </c>
      <c r="D29" s="234" t="str">
        <f>+LOOKUP(C29,asientos!$M$12:$M$13033,asientos!$N$12:$N$13033)</f>
        <v>INGRESOS POR SERVICIOS DIVERSOS</v>
      </c>
      <c r="E29" s="235">
        <f ca="1">-LOOKUP(C29,asientos!$M$12:$M$13033,asientos!$O$12:$O$13033)</f>
        <v>5048.42</v>
      </c>
      <c r="F29" s="235">
        <f t="shared" ca="1" si="0"/>
        <v>5048.42</v>
      </c>
      <c r="G29" s="389"/>
      <c r="H29" s="2560"/>
      <c r="I29" s="492"/>
      <c r="L29" s="233">
        <v>759</v>
      </c>
    </row>
    <row r="30" spans="3:12" ht="24" customHeight="1">
      <c r="C30" s="396">
        <v>706</v>
      </c>
      <c r="D30" s="234" t="str">
        <f>+LOOKUP(C30,asientos!$M$12:$M$13033,asientos!$N$12:$N$13033)</f>
        <v>DTOS SOBRE VTAS POR PRONTO PAGO</v>
      </c>
      <c r="E30" s="235">
        <f ca="1">-LOOKUP(C30,asientos!$M$12:$M$13033,asientos!$O$12:$O$13033)</f>
        <v>-3003.21</v>
      </c>
      <c r="F30" s="235">
        <f t="shared" ca="1" si="0"/>
        <v>-3003.21</v>
      </c>
      <c r="G30" s="389"/>
      <c r="H30" s="2560"/>
      <c r="I30" s="492"/>
      <c r="L30" s="233">
        <v>706</v>
      </c>
    </row>
    <row r="31" spans="3:12" ht="24" customHeight="1">
      <c r="C31" s="487"/>
      <c r="D31" s="390" t="s">
        <v>1070</v>
      </c>
      <c r="E31" s="387"/>
      <c r="F31" s="387"/>
      <c r="G31" s="389"/>
      <c r="H31" s="2560"/>
      <c r="I31" s="492"/>
    </row>
    <row r="32" spans="3:12" ht="24" customHeight="1">
      <c r="C32" s="487"/>
      <c r="D32" s="390" t="s">
        <v>428</v>
      </c>
      <c r="E32" s="387"/>
      <c r="F32" s="387"/>
      <c r="G32" s="389"/>
      <c r="H32" s="2560"/>
      <c r="I32" s="492"/>
    </row>
    <row r="33" spans="3:9" ht="24" customHeight="1" outlineLevel="1">
      <c r="C33" s="487"/>
      <c r="D33" s="390"/>
      <c r="E33" s="387"/>
      <c r="F33" s="387"/>
      <c r="G33" s="389"/>
      <c r="H33" s="2560"/>
      <c r="I33" s="492"/>
    </row>
    <row r="34" spans="3:9" ht="24" customHeight="1" outlineLevel="1">
      <c r="C34" s="487"/>
      <c r="D34" s="390"/>
      <c r="E34" s="387"/>
      <c r="F34" s="387"/>
      <c r="G34" s="389"/>
      <c r="H34" s="2560"/>
      <c r="I34" s="492"/>
    </row>
    <row r="35" spans="3:9" ht="24" customHeight="1" outlineLevel="1">
      <c r="C35" s="487"/>
      <c r="D35" s="390"/>
      <c r="E35" s="387"/>
      <c r="F35" s="387"/>
      <c r="G35" s="389"/>
      <c r="H35" s="2560"/>
      <c r="I35" s="492"/>
    </row>
    <row r="36" spans="3:9" ht="24" customHeight="1" outlineLevel="1">
      <c r="C36" s="487"/>
      <c r="D36" s="390"/>
      <c r="E36" s="387"/>
      <c r="F36" s="387"/>
      <c r="G36" s="389"/>
      <c r="H36" s="2560"/>
      <c r="I36" s="492"/>
    </row>
    <row r="37" spans="3:9" ht="24" customHeight="1" outlineLevel="1">
      <c r="C37" s="488"/>
      <c r="D37" s="489"/>
      <c r="E37" s="490"/>
      <c r="F37" s="490"/>
      <c r="G37" s="491"/>
      <c r="H37" s="2561"/>
      <c r="I37" s="283"/>
    </row>
    <row r="38" spans="3:9" ht="24" customHeight="1">
      <c r="D38" s="481" t="s">
        <v>1071</v>
      </c>
      <c r="E38" s="482">
        <f ca="1">SUM(E18:E37)</f>
        <v>73788088.690000013</v>
      </c>
      <c r="F38" s="482">
        <f ca="1">SUM(F18:F37)</f>
        <v>73788088.690000013</v>
      </c>
      <c r="G38" s="482">
        <f>SUM(G18:G37)</f>
        <v>0</v>
      </c>
    </row>
    <row r="39" spans="3:9" ht="9" customHeight="1">
      <c r="D39" s="215"/>
      <c r="E39" s="215"/>
      <c r="F39" s="215"/>
      <c r="G39" s="215"/>
    </row>
    <row r="40" spans="3:9" ht="24" customHeight="1">
      <c r="D40" s="2558" t="s">
        <v>1072</v>
      </c>
      <c r="E40" s="2558"/>
      <c r="F40" s="281">
        <f>+SUM('IVA (check_TRIM)'!G18:G38)+'IVA (check_TRIM)'!G42</f>
        <v>0</v>
      </c>
      <c r="G40" s="281">
        <f>+SUM('IVA (check_TRIM)'!$G$73:$G$75)</f>
        <v>0</v>
      </c>
    </row>
    <row r="41" spans="3:9" ht="9" customHeight="1">
      <c r="D41" s="215"/>
      <c r="E41" s="215"/>
      <c r="F41" s="215"/>
      <c r="G41" s="215"/>
    </row>
    <row r="42" spans="3:9" ht="24" customHeight="1">
      <c r="D42" s="2558" t="s">
        <v>177</v>
      </c>
      <c r="E42" s="2558"/>
      <c r="F42" s="281">
        <f ca="1">+F38-F40</f>
        <v>73788088.690000013</v>
      </c>
      <c r="G42" s="281">
        <f>+G38-G40</f>
        <v>0</v>
      </c>
    </row>
    <row r="43" spans="3:9" ht="15" customHeight="1"/>
    <row r="44" spans="3:9" ht="15" hidden="1" customHeight="1" outlineLevel="1"/>
    <row r="45" spans="3:9" ht="15" hidden="1" customHeight="1" outlineLevel="1"/>
    <row r="46" spans="3:9" ht="15" hidden="1" customHeight="1" outlineLevel="1"/>
    <row r="47" spans="3:9" ht="15" hidden="1" customHeight="1" outlineLevel="1"/>
    <row r="48" spans="3:9" ht="15" hidden="1" customHeight="1" outlineLevel="1"/>
    <row r="49" spans="8:8" ht="15" hidden="1" customHeight="1" outlineLevel="1"/>
    <row r="50" spans="8:8" ht="15" hidden="1" customHeight="1" outlineLevel="1"/>
    <row r="51" spans="8:8" ht="15" hidden="1" customHeight="1" outlineLevel="1"/>
    <row r="52" spans="8:8" ht="15" hidden="1" customHeight="1" outlineLevel="1"/>
    <row r="53" spans="8:8" ht="15" hidden="1" customHeight="1" outlineLevel="1"/>
    <row r="54" spans="8:8" ht="15" hidden="1" customHeight="1" outlineLevel="1"/>
    <row r="55" spans="8:8" ht="15" hidden="1" customHeight="1" outlineLevel="1"/>
    <row r="56" spans="8:8" ht="15" hidden="1" customHeight="1" outlineLevel="1"/>
    <row r="57" spans="8:8" ht="15" hidden="1" customHeight="1" outlineLevel="1"/>
    <row r="58" spans="8:8" ht="15" hidden="1" customHeight="1" outlineLevel="1"/>
    <row r="59" spans="8:8" ht="15" hidden="1" customHeight="1" outlineLevel="1"/>
    <row r="60" spans="8:8" ht="15" hidden="1" customHeight="1" outlineLevel="1"/>
    <row r="61" spans="8:8" ht="15" hidden="1" customHeight="1" outlineLevel="1"/>
    <row r="62" spans="8:8" ht="15" customHeight="1" collapsed="1">
      <c r="H62">
        <f>+'IVA (check_TRIM)'!D80</f>
        <v>0</v>
      </c>
    </row>
  </sheetData>
  <mergeCells count="6">
    <mergeCell ref="D42:E42"/>
    <mergeCell ref="C5:D5"/>
    <mergeCell ref="E5:G5"/>
    <mergeCell ref="E7:G7"/>
    <mergeCell ref="H18:H37"/>
    <mergeCell ref="D40:E40"/>
  </mergeCells>
  <conditionalFormatting sqref="F42">
    <cfRule type="expression" dxfId="76" priority="2">
      <formula>F42&lt;&gt;0</formula>
    </cfRule>
  </conditionalFormatting>
  <conditionalFormatting sqref="G42">
    <cfRule type="expression" dxfId="75" priority="1">
      <formula>G42&lt;&gt;0</formula>
    </cfRule>
  </conditionalFormatting>
  <dataValidations disablePrompts="1" count="2">
    <dataValidation type="list" allowBlank="1" showInputMessage="1" showErrorMessage="1" sqref="C18:C30" xr:uid="{00000000-0002-0000-1F00-000000000000}">
      <formula1>$L$18:$L$30</formula1>
    </dataValidation>
    <dataValidation allowBlank="1" showInputMessage="1" showErrorMessage="1" promptTitle="B.I." prompt="Base Imponible" sqref="G15" xr:uid="{00000000-0002-0000-1F00-000001000000}"/>
  </dataValidations>
  <pageMargins left="0.43307086614173229" right="0.23622047244094491" top="0.74803149606299213" bottom="0.74803149606299213" header="0.31496062992125984" footer="0.31496062992125984"/>
  <pageSetup paperSize="9" scale="5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locked="0" defaultSize="0" print="0" autoFill="0" autoPict="0" macro="[0]!borrarajuivatrimestral">
                <anchor moveWithCells="1" sizeWithCells="1">
                  <from>
                    <xdr:col>5</xdr:col>
                    <xdr:colOff>914400</xdr:colOff>
                    <xdr:row>12</xdr:row>
                    <xdr:rowOff>0</xdr:rowOff>
                  </from>
                  <to>
                    <xdr:col>6</xdr:col>
                    <xdr:colOff>723900</xdr:colOff>
                    <xdr:row>12</xdr:row>
                    <xdr:rowOff>266700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30">
    <pageSetUpPr autoPageBreaks="0" fitToPage="1"/>
  </sheetPr>
  <dimension ref="A1:L73"/>
  <sheetViews>
    <sheetView showGridLines="0" showRowColHeaders="0" showZeros="0" zoomScale="70" zoomScaleNormal="70" zoomScaleSheetLayoutView="55" zoomScalePageLayoutView="55" workbookViewId="0">
      <pane xSplit="3" ySplit="15" topLeftCell="D16" activePane="bottomRight" state="frozen"/>
      <selection activeCell="A38" sqref="A38:H38"/>
      <selection pane="topRight" activeCell="A38" sqref="A38:H38"/>
      <selection pane="bottomLeft" activeCell="A38" sqref="A38:H38"/>
      <selection pane="bottomRight"/>
    </sheetView>
  </sheetViews>
  <sheetFormatPr baseColWidth="10" defaultColWidth="0" defaultRowHeight="15" customHeight="1" zeroHeight="1" outlineLevelRow="1"/>
  <cols>
    <col min="1" max="2" width="2" customWidth="1"/>
    <col min="3" max="3" width="21.44140625" customWidth="1"/>
    <col min="4" max="4" width="57" customWidth="1"/>
    <col min="5" max="5" width="22.44140625" customWidth="1"/>
    <col min="6" max="6" width="24" customWidth="1"/>
    <col min="7" max="7" width="20.5546875" customWidth="1"/>
    <col min="8" max="8" width="55" customWidth="1"/>
    <col min="9" max="9" width="5" customWidth="1"/>
    <col min="10" max="16384" width="13" hidden="1"/>
  </cols>
  <sheetData>
    <row r="1" spans="3:8" ht="15" customHeight="1"/>
    <row r="2" spans="3:8" ht="9" customHeight="1"/>
    <row r="3" spans="3:8" ht="5.25" customHeight="1">
      <c r="C3" s="1"/>
      <c r="D3" s="1"/>
    </row>
    <row r="4" spans="3:8" ht="5.25" customHeight="1"/>
    <row r="5" spans="3:8" ht="21">
      <c r="C5" s="2252" t="str">
        <f>+MENU!C5</f>
        <v>Sociedad:</v>
      </c>
      <c r="D5" s="2253"/>
      <c r="E5" s="2254" t="str">
        <f>+MENU!E5</f>
        <v>MARIO PILATO BLAT, S.A.</v>
      </c>
      <c r="F5" s="2255"/>
      <c r="G5" s="2255"/>
    </row>
    <row r="6" spans="3:8" ht="12.75" customHeight="1">
      <c r="C6" s="218"/>
      <c r="D6" s="218"/>
      <c r="E6" s="218"/>
      <c r="F6" s="218"/>
      <c r="G6" s="218"/>
    </row>
    <row r="7" spans="3:8" ht="21">
      <c r="C7" s="220" t="str">
        <f>+instrucciones!$C$7</f>
        <v>Fecha de cierre</v>
      </c>
      <c r="D7" s="220"/>
      <c r="E7" s="2256">
        <f>+MENU!D7</f>
        <v>45657</v>
      </c>
      <c r="F7" s="2256"/>
      <c r="G7" s="2256"/>
    </row>
    <row r="8" spans="3:8" ht="15" customHeight="1">
      <c r="C8" s="2"/>
      <c r="D8" s="2"/>
      <c r="F8" s="3"/>
      <c r="G8" s="3"/>
      <c r="H8" s="3"/>
    </row>
    <row r="9" spans="3:8" ht="15" customHeight="1"/>
    <row r="10" spans="3:8" ht="5.25" customHeight="1">
      <c r="F10" s="219"/>
    </row>
    <row r="11" spans="3:8" ht="5.25" customHeight="1"/>
    <row r="12" spans="3:8" ht="6" customHeight="1"/>
    <row r="13" spans="3:8" ht="22.5" customHeight="1">
      <c r="C13" s="221" t="s">
        <v>1082</v>
      </c>
      <c r="D13" s="222"/>
    </row>
    <row r="14" spans="3:8" ht="6" customHeight="1"/>
    <row r="15" spans="3:8" s="33" customFormat="1" ht="21" customHeight="1">
      <c r="C15" s="194" t="s">
        <v>1065</v>
      </c>
      <c r="D15" s="194" t="s">
        <v>648</v>
      </c>
      <c r="E15" s="194" t="s">
        <v>1083</v>
      </c>
      <c r="F15" s="194" t="s">
        <v>1084</v>
      </c>
      <c r="G15" s="194" t="s">
        <v>935</v>
      </c>
      <c r="H15" s="194" t="s">
        <v>1068</v>
      </c>
    </row>
    <row r="16" spans="3:8" ht="15" customHeight="1"/>
    <row r="17" spans="3:12" ht="24" customHeight="1">
      <c r="C17" s="483">
        <v>4700</v>
      </c>
      <c r="D17" s="484" t="str">
        <f>+LOOKUP(C17,asientos!$M$12:$M$13033,asientos!$N$12:$N$13033)</f>
        <v>HP DEUDORA POR IVA</v>
      </c>
      <c r="E17" s="485">
        <f ca="1">LOOKUP(C17,asientos!$M$12:$M$13033,asientos!$O$12:$O$13033)</f>
        <v>0</v>
      </c>
      <c r="F17" s="1832">
        <f>IF(MENU!$P$11="NO",+IF(MESIVA!AB55&lt;0,MESIVA!AB55,0)+IF('IVA (TRIM)'!L55&lt;0,'IVA (TRIM)'!L55,0),IF(MESIVA!$F$144&lt;0,MESIVA!F144,0))</f>
        <v>0</v>
      </c>
      <c r="G17" s="493">
        <f ca="1">+SUM(E17:F17)</f>
        <v>0</v>
      </c>
      <c r="H17" s="2559" t="s">
        <v>2963</v>
      </c>
      <c r="L17" s="232">
        <v>4700</v>
      </c>
    </row>
    <row r="18" spans="3:12" ht="24" customHeight="1">
      <c r="C18" s="396">
        <v>4709</v>
      </c>
      <c r="D18" s="234" t="str">
        <f>+LOOKUP(C18,asientos!$M$12:$M$13033,asientos!$N$12:$N$13033)</f>
        <v>HP DEUDORA POR DEVOLUCIÓN DE IMPUESTOS</v>
      </c>
      <c r="E18" s="235">
        <f ca="1">LOOKUP(C18,asientos!$M$12:$M$13033,asientos!$O$12:$O$13033)</f>
        <v>3151475.96</v>
      </c>
      <c r="F18" s="1837">
        <f ca="1">+IF(CALCIS!G91&lt;0,CALCIS!G91,0)</f>
        <v>-2032224.3753749961</v>
      </c>
      <c r="G18" s="242">
        <f t="shared" ref="G18:G25" ca="1" si="0">+SUM(E18:F18)</f>
        <v>1119251.5846250039</v>
      </c>
      <c r="H18" s="2560"/>
      <c r="L18" s="233">
        <v>4709</v>
      </c>
    </row>
    <row r="19" spans="3:12" ht="24" customHeight="1">
      <c r="C19" s="396">
        <v>472</v>
      </c>
      <c r="D19" s="234" t="str">
        <f>+LOOKUP(C19,asientos!$M$12:$M$13033,asientos!$N$12:$N$13033)</f>
        <v>HP IVA SOPORTADO</v>
      </c>
      <c r="E19" s="235">
        <f ca="1">LOOKUP(C19,asientos!$M$12:$M$13033,asientos!$O$12:$O$13033)</f>
        <v>0</v>
      </c>
      <c r="F19" s="1837"/>
      <c r="G19" s="242">
        <f ca="1">+E19-F19</f>
        <v>0</v>
      </c>
      <c r="H19" s="2560"/>
      <c r="L19" s="233">
        <v>472</v>
      </c>
    </row>
    <row r="20" spans="3:12" ht="24" customHeight="1">
      <c r="C20" s="396">
        <v>473</v>
      </c>
      <c r="D20" s="234" t="str">
        <f>+LOOKUP(C20,asientos!$M$12:$M$13033,asientos!$N$12:$N$13033)</f>
        <v>HP RETENCIONES Y PAGOS A CUENTA</v>
      </c>
      <c r="E20" s="235">
        <f ca="1">LOOKUP(C20,asientos!$M$12:$M$13033,asientos!$O$12:$O$13033)+F20</f>
        <v>4509891.3</v>
      </c>
      <c r="F20" s="1837">
        <f>+SUM(CALCIS!G81)</f>
        <v>4509891.3</v>
      </c>
      <c r="G20" s="242">
        <f ca="1">+E20-F20</f>
        <v>0</v>
      </c>
      <c r="H20" s="2560"/>
      <c r="L20" s="233">
        <v>473</v>
      </c>
    </row>
    <row r="21" spans="3:12" ht="24" customHeight="1">
      <c r="C21" s="396">
        <v>4750</v>
      </c>
      <c r="D21" s="234" t="str">
        <f>+LOOKUP(C21,asientos!$M$12:$M$13033,asientos!$N$12:$N$13033)</f>
        <v>HP ACREEDORA POR IVA</v>
      </c>
      <c r="E21" s="235">
        <f ca="1">LOOKUP(C21,asientos!$M$12:$M$13033,asientos!$O$12:$O$13033)</f>
        <v>-674546.61</v>
      </c>
      <c r="F21" s="1837">
        <f>IF(MENU!$P$11="NO",+IF(MESIVA!AB55&gt;0,MESIVA!AB55,0)+IF('IVA (TRIM)'!L55&gt;0,'IVA (TRIM)'!L55,0),IF(MESIVA!$F$144&gt;0,MESIVA!F144,0))</f>
        <v>674546.61</v>
      </c>
      <c r="G21" s="242">
        <f t="shared" ca="1" si="0"/>
        <v>0</v>
      </c>
      <c r="H21" s="2560"/>
      <c r="L21" s="233">
        <v>4750</v>
      </c>
    </row>
    <row r="22" spans="3:12" ht="24" customHeight="1">
      <c r="C22" s="396">
        <v>4751</v>
      </c>
      <c r="D22" s="234" t="str">
        <f>+LOOKUP(C22,asientos!$M$12:$M$13033,asientos!$N$12:$N$13033)</f>
        <v>HP ACREEDORA POR RETENCIONES PRACTICADAS</v>
      </c>
      <c r="E22" s="235">
        <f ca="1">LOOKUP(C22,asientos!$M$12:$M$13033,asientos!$O$12:$O$13033)</f>
        <v>-170101.03999999998</v>
      </c>
      <c r="F22" s="1837">
        <f>IF(MENU!$P$11="NO",+'IRPF (mensual)'!M28,LOOKUP(MONTH($E$7),'IRPF (mensual)'!$B$40:$B$51,'IRPF (mensual)'!$M$40:$M$51))+IF(MENU!$P$11="NO",'AJUIRC (MES)'!E28,LOOKUP(MONTH('AJUIRC (MES)'!$D$7),'AJUIRC (MES)'!B39:B50,'AJUIRC (MES)'!E39:E50))+IF(MENU!$P$11="NO",'Arrendamiento (mensual)'!H28,LOOKUP(MONTH($E$7),'Arrendamiento (mensual)'!B40:B51,'Arrendamiento (mensual)'!H40:H51))+'IRPF (TRIM)'!E20+'IRPF (TRIM)'!G20+'IRPF (TRIM)'!I20+'IRPF (TRIM)'!K20+'Arrendamiento (TRIM)'!H20</f>
        <v>170101.04</v>
      </c>
      <c r="G22" s="242">
        <f t="shared" ca="1" si="0"/>
        <v>0</v>
      </c>
      <c r="H22" s="2560"/>
      <c r="L22" s="233">
        <v>4751</v>
      </c>
    </row>
    <row r="23" spans="3:12" ht="24" customHeight="1">
      <c r="C23" s="396">
        <v>4752</v>
      </c>
      <c r="D23" s="234" t="str">
        <f>+LOOKUP(C23,asientos!$M$12:$M$13033,asientos!$N$12:$N$13033)</f>
        <v>HP ACREEDORA POR IS</v>
      </c>
      <c r="E23" s="235">
        <f ca="1">LOOKUP(C23,asientos!$M$12:$M$13033,asientos!$O$12:$O$13033)</f>
        <v>0</v>
      </c>
      <c r="F23" s="1837">
        <f ca="1">+IF(CALCIS!G91&gt;0,CALCIS!G91,0)</f>
        <v>0</v>
      </c>
      <c r="G23" s="242">
        <f t="shared" ca="1" si="0"/>
        <v>0</v>
      </c>
      <c r="H23" s="2560"/>
      <c r="L23" s="233">
        <v>4752</v>
      </c>
    </row>
    <row r="24" spans="3:12" ht="24" customHeight="1">
      <c r="C24" s="396">
        <v>476</v>
      </c>
      <c r="D24" s="234" t="str">
        <f>+LOOKUP(C24,asientos!$M$12:$M$13033,asientos!$N$12:$N$13033)</f>
        <v>ORGANISMOS DE LA SEG. SOC. ACREEDORES</v>
      </c>
      <c r="E24" s="235">
        <f ca="1">LOOKUP(C24,asientos!$M$12:$M$13033,asientos!$O$12:$O$13033)</f>
        <v>-52069.54</v>
      </c>
      <c r="F24" s="1842">
        <v>51702.19</v>
      </c>
      <c r="G24" s="242">
        <f t="shared" ca="1" si="0"/>
        <v>-367.34999999999854</v>
      </c>
      <c r="H24" s="2560"/>
      <c r="L24" s="233">
        <v>476</v>
      </c>
    </row>
    <row r="25" spans="3:12" ht="24" customHeight="1">
      <c r="C25" s="396">
        <v>477</v>
      </c>
      <c r="D25" s="234" t="str">
        <f>+LOOKUP(C25,asientos!$M$12:$M$13033,asientos!$N$12:$N$13033)</f>
        <v>HP IVA REPERCUTIDO</v>
      </c>
      <c r="E25" s="235">
        <f ca="1">LOOKUP(C25,asientos!$M$12:$M$13033,asientos!$O$12:$O$13033)</f>
        <v>0</v>
      </c>
      <c r="F25" s="1842"/>
      <c r="G25" s="242">
        <f t="shared" ca="1" si="0"/>
        <v>0</v>
      </c>
      <c r="H25" s="2560"/>
      <c r="L25" s="233">
        <v>477</v>
      </c>
    </row>
    <row r="26" spans="3:12" ht="24" customHeight="1">
      <c r="C26" s="396">
        <v>694</v>
      </c>
      <c r="D26" s="234" t="str">
        <f>+LOOKUP(C26,asientos!$M$12:$M$13033,asientos!$N$12:$N$13033)</f>
        <v>PÉRDIDAS POR DETERIORO DE CRÉDITOS POR OP COMERC.</v>
      </c>
      <c r="E26" s="235">
        <f ca="1">LOOKUP(C26,asientos!$M$12:$M$13033,asientos!$O$12:$O$13033)</f>
        <v>110160</v>
      </c>
      <c r="F26" s="1837">
        <f>+MOROSOS!H101</f>
        <v>110160</v>
      </c>
      <c r="G26" s="242">
        <f ca="1">+E26-F26</f>
        <v>0</v>
      </c>
      <c r="H26" s="2560"/>
      <c r="L26" s="233">
        <v>694</v>
      </c>
    </row>
    <row r="27" spans="3:12" ht="24" customHeight="1">
      <c r="C27" s="396">
        <v>6300</v>
      </c>
      <c r="D27" s="234" t="str">
        <f>+LOOKUP(C27,asientos!$M$12:$M$13033,asientos!$N$12:$N$13033)</f>
        <v>IMPUESTO CORRIENTE</v>
      </c>
      <c r="E27" s="235">
        <f ca="1">LOOKUP(C27,asientos!$M$12:$M$13033,asientos!$O$12:$O$13033)</f>
        <v>2477666.92</v>
      </c>
      <c r="F27" s="1837">
        <f ca="1">+CALCIS!G77</f>
        <v>2477666.9246250037</v>
      </c>
      <c r="G27" s="242">
        <f ca="1">+E27-F27</f>
        <v>-4.6250037848949432E-3</v>
      </c>
      <c r="H27" s="2560"/>
      <c r="L27" s="233">
        <v>6300</v>
      </c>
    </row>
    <row r="28" spans="3:12" ht="24" customHeight="1">
      <c r="C28" s="396">
        <v>6301</v>
      </c>
      <c r="D28" s="234" t="str">
        <f>+LOOKUP(C28,asientos!$M$12:$M$13033,asientos!$N$12:$N$13033)</f>
        <v>IMPUESTO DIFERIDO</v>
      </c>
      <c r="E28" s="235">
        <f ca="1">LOOKUP(C28,asientos!$M$12:$M$13033,asientos!$O$12:$O$13033)</f>
        <v>65906.049999999988</v>
      </c>
      <c r="F28" s="1837">
        <f ca="1">+CALCIS!H77-CALCIS!G77</f>
        <v>2623.0924999997951</v>
      </c>
      <c r="G28" s="242">
        <f ca="1">+E28-F28</f>
        <v>63282.957500000193</v>
      </c>
      <c r="H28" s="2560"/>
      <c r="L28" s="233">
        <v>6301</v>
      </c>
    </row>
    <row r="29" spans="3:12" ht="24" customHeight="1">
      <c r="C29" s="396"/>
      <c r="D29" s="234" t="str">
        <f>IFERROR(+LOOKUP(C29,asientos!$M$12:$M$13033,asientos!$N$12:$N$13033),"")</f>
        <v/>
      </c>
      <c r="E29" s="235">
        <f>IFERROR(LOOKUP(C29,asientos!$M$12:$M$13033,asientos!$O$12:$O$13033),0)</f>
        <v>0</v>
      </c>
      <c r="F29" s="1842"/>
      <c r="G29" s="242">
        <f>+E29-F29</f>
        <v>0</v>
      </c>
      <c r="H29" s="2560"/>
      <c r="L29" s="233"/>
    </row>
    <row r="30" spans="3:12" ht="24" customHeight="1" outlineLevel="1">
      <c r="C30" s="488"/>
      <c r="D30" s="494"/>
      <c r="E30" s="495"/>
      <c r="F30" s="1842"/>
      <c r="G30" s="496"/>
      <c r="H30" s="2561"/>
    </row>
    <row r="31" spans="3:12" ht="24" customHeight="1">
      <c r="D31" s="481" t="s">
        <v>1071</v>
      </c>
      <c r="E31" s="482">
        <f ca="1">SUM(E17:E30)</f>
        <v>9418383.0399999991</v>
      </c>
      <c r="F31" s="482">
        <f ca="1">SUM(F17:F30)</f>
        <v>5964466.7817500066</v>
      </c>
      <c r="G31" s="482">
        <f ca="1">SUM(G17:G30)</f>
        <v>1182167.1875000002</v>
      </c>
    </row>
    <row r="32" spans="3:12" ht="9" customHeight="1">
      <c r="D32" s="215"/>
      <c r="E32" s="215"/>
      <c r="F32" s="215"/>
      <c r="G32" s="215"/>
    </row>
    <row r="33" spans="3:12" ht="21.75" customHeight="1">
      <c r="C33" s="194" t="s">
        <v>1092</v>
      </c>
      <c r="D33" s="194" t="s">
        <v>988</v>
      </c>
      <c r="E33" s="194" t="s">
        <v>1085</v>
      </c>
      <c r="F33" s="194" t="s">
        <v>1086</v>
      </c>
      <c r="G33" s="194" t="s">
        <v>1087</v>
      </c>
      <c r="H33" s="194" t="s">
        <v>1068</v>
      </c>
    </row>
    <row r="34" spans="3:12" ht="15" customHeight="1"/>
    <row r="35" spans="3:12" ht="23.25" customHeight="1">
      <c r="C35" s="394">
        <v>0.19</v>
      </c>
      <c r="D35" s="252" t="s">
        <v>1088</v>
      </c>
      <c r="E35" s="253">
        <f ca="1">SUM(E36:E42)-E43</f>
        <v>5756509.6800000025</v>
      </c>
      <c r="F35" s="253">
        <f>+CALCIS!E83</f>
        <v>1265329.2999999998</v>
      </c>
      <c r="G35" s="254">
        <f ca="1">+(E35*C35)-F35</f>
        <v>-171592.4607999993</v>
      </c>
      <c r="H35" s="2562" t="s">
        <v>2975</v>
      </c>
      <c r="L35" s="233">
        <v>760</v>
      </c>
    </row>
    <row r="36" spans="3:12" ht="23.25" customHeight="1" outlineLevel="1">
      <c r="C36" s="395">
        <v>760</v>
      </c>
      <c r="D36" s="234" t="str">
        <f>+LOOKUP(C36,asientos!$M$12:$M$13033,asientos!$N$12:$N$13033)</f>
        <v>INGRESOS DE PART. EN INSTRUMENTOS DE PATRIMONIO</v>
      </c>
      <c r="E36" s="235">
        <f ca="1">IFERROR(-LOOKUP(C36,asientos!$M$12:$M$13033,asientos!$O$12:$O$13033),0)</f>
        <v>6524020.6900000004</v>
      </c>
      <c r="F36" s="397"/>
      <c r="G36" s="247"/>
      <c r="H36" s="2562"/>
      <c r="L36" s="233">
        <v>761</v>
      </c>
    </row>
    <row r="37" spans="3:12" ht="23.25" customHeight="1" outlineLevel="1">
      <c r="C37" s="395">
        <v>761</v>
      </c>
      <c r="D37" s="234">
        <v>763</v>
      </c>
      <c r="E37" s="235">
        <v>3504561.87</v>
      </c>
      <c r="F37" s="397"/>
      <c r="G37" s="247"/>
      <c r="H37" s="2562"/>
      <c r="L37" s="233">
        <v>762</v>
      </c>
    </row>
    <row r="38" spans="3:12" ht="23.25" customHeight="1" outlineLevel="1">
      <c r="C38" s="395">
        <v>762</v>
      </c>
      <c r="D38" s="234" t="str">
        <f>+LOOKUP(C38,asientos!$M$12:$M$13033,asientos!$N$12:$N$13033)</f>
        <v>INGRESOS DE CRÉDITOS</v>
      </c>
      <c r="E38" s="235">
        <f ca="1">IFERROR(-LOOKUP(C38,asientos!$M$12:$M$13033,asientos!$O$12:$O$13033),0)</f>
        <v>0</v>
      </c>
      <c r="F38" s="397"/>
      <c r="G38" s="247"/>
      <c r="H38" s="2562"/>
      <c r="L38" s="233">
        <v>766</v>
      </c>
    </row>
    <row r="39" spans="3:12" ht="23.25" customHeight="1" outlineLevel="1">
      <c r="C39" s="395">
        <v>766</v>
      </c>
      <c r="D39" s="234" t="str">
        <f>+LOOKUP(C39,asientos!$M$12:$M$13033,asientos!$N$12:$N$13033)</f>
        <v>BENEF EN PARTICIP. Y VALORES REPRESENT. DE DEUDA</v>
      </c>
      <c r="E39" s="235">
        <f ca="1">IFERROR(-LOOKUP(C39,asientos!$M$12:$M$13033,asientos!$O$12:$O$13033),0)</f>
        <v>639120.5</v>
      </c>
      <c r="F39" s="397"/>
      <c r="G39" s="247"/>
      <c r="H39" s="2562"/>
      <c r="L39" s="233">
        <v>767</v>
      </c>
    </row>
    <row r="40" spans="3:12" ht="23.25" customHeight="1" outlineLevel="1">
      <c r="C40" s="395">
        <v>767</v>
      </c>
      <c r="D40" s="234">
        <v>768</v>
      </c>
      <c r="E40" s="235">
        <v>160702.71</v>
      </c>
      <c r="F40" s="397"/>
      <c r="G40" s="247"/>
      <c r="H40" s="2562"/>
      <c r="L40" s="233">
        <v>769</v>
      </c>
    </row>
    <row r="41" spans="3:12" ht="23.25" customHeight="1" outlineLevel="1">
      <c r="C41" s="395">
        <v>769</v>
      </c>
      <c r="D41" s="234" t="str">
        <f>+LOOKUP(C41,asientos!$M$12:$M$13033,asientos!$N$12:$N$13033)</f>
        <v>OTROS INGRESOS FINANCIEROS</v>
      </c>
      <c r="E41" s="235">
        <f ca="1">IFERROR(-LOOKUP(C41,asientos!$M$12:$M$13033,asientos!$O$12:$O$13033),0)</f>
        <v>2309646.29</v>
      </c>
      <c r="F41" s="397"/>
      <c r="G41" s="247"/>
      <c r="H41" s="2562"/>
    </row>
    <row r="42" spans="3:12" ht="23.25" customHeight="1" outlineLevel="1">
      <c r="C42" s="396"/>
      <c r="D42" s="234" t="str">
        <f>IFERROR(LOOKUP(C42,asientos!$M$12:$M$13033,asientos!$N$12:$N$13033),"")</f>
        <v/>
      </c>
      <c r="E42" s="235">
        <f>IFERROR(-LOOKUP(C42,asientos!$M$12:$M$13033,asientos!$O$12:$O$13033),0)</f>
        <v>0</v>
      </c>
      <c r="F42" s="397"/>
      <c r="G42" s="247"/>
      <c r="H42" s="2562"/>
    </row>
    <row r="43" spans="3:12" ht="23.25" customHeight="1">
      <c r="C43" s="472"/>
      <c r="D43" s="473" t="s">
        <v>1089</v>
      </c>
      <c r="E43" s="526">
        <f>2863020.42+827926.8+160713.98-11.27+3504561.87+25330.58</f>
        <v>7381542.3799999999</v>
      </c>
      <c r="F43" s="474"/>
      <c r="G43" s="254"/>
      <c r="H43" s="2562"/>
    </row>
    <row r="44" spans="3:12" ht="10.5" customHeight="1">
      <c r="C44" s="468"/>
      <c r="D44" s="469"/>
      <c r="E44" s="470"/>
      <c r="F44" s="470"/>
      <c r="G44" s="471"/>
      <c r="H44" s="2562"/>
    </row>
    <row r="45" spans="3:12" ht="23.25" customHeight="1">
      <c r="C45" s="394">
        <v>0.19</v>
      </c>
      <c r="D45" s="252" t="s">
        <v>1090</v>
      </c>
      <c r="E45" s="253">
        <f ca="1">SUM(E46:E47)-E48</f>
        <v>0</v>
      </c>
      <c r="F45" s="253">
        <f>+CALCIS!E84</f>
        <v>0</v>
      </c>
      <c r="G45" s="254">
        <f ca="1">+(E45*C45)-F45</f>
        <v>0</v>
      </c>
      <c r="H45" s="2562"/>
    </row>
    <row r="46" spans="3:12" ht="23.25" customHeight="1" outlineLevel="1">
      <c r="C46" s="399">
        <v>752</v>
      </c>
      <c r="D46" s="246" t="str">
        <f>+LOOKUP(C46,asientos!$M$12:$M$13033,asientos!$N$12:$N$13033)</f>
        <v>INGRESOS POR ARRENDAMIENTOS</v>
      </c>
      <c r="E46" s="251">
        <f ca="1">-LOOKUP(C46,asientos!$M$12:$M$13033,asientos!$O$12:$O$13033)</f>
        <v>0</v>
      </c>
      <c r="F46" s="397"/>
      <c r="G46" s="247"/>
      <c r="H46" s="2562"/>
      <c r="L46" s="233">
        <v>752</v>
      </c>
    </row>
    <row r="47" spans="3:12" ht="23.25" customHeight="1" outlineLevel="1">
      <c r="C47" s="395">
        <v>753</v>
      </c>
      <c r="D47" s="234" t="str">
        <f>+LOOKUP(C47,asientos!$M$12:$M$13033,asientos!$N$12:$N$13033)</f>
        <v>INGRESOS DE PROP INDUSTRIAL CEDIDA EN EXPLOTACIÓN</v>
      </c>
      <c r="E47" s="235">
        <f ca="1">-LOOKUP(C47,asientos!$M$12:$M$13033,asientos!$O$12:$O$13033)</f>
        <v>0</v>
      </c>
      <c r="F47" s="397"/>
      <c r="G47" s="247"/>
      <c r="H47" s="2562"/>
      <c r="L47" s="233">
        <v>753</v>
      </c>
    </row>
    <row r="48" spans="3:12" ht="23.25" customHeight="1">
      <c r="C48" s="398"/>
      <c r="D48" s="262" t="s">
        <v>1091</v>
      </c>
      <c r="E48" s="263"/>
      <c r="F48" s="263"/>
      <c r="G48" s="264"/>
      <c r="H48" s="2562"/>
    </row>
    <row r="49" spans="3:12" ht="15" customHeight="1"/>
    <row r="50" spans="3:12" ht="21.75" customHeight="1">
      <c r="C50" s="194" t="s">
        <v>1065</v>
      </c>
      <c r="D50" s="194" t="s">
        <v>1093</v>
      </c>
      <c r="E50" s="194" t="s">
        <v>1094</v>
      </c>
      <c r="F50" s="194" t="s">
        <v>1095</v>
      </c>
      <c r="G50" s="194" t="s">
        <v>935</v>
      </c>
      <c r="H50" s="194" t="s">
        <v>1068</v>
      </c>
    </row>
    <row r="51" spans="3:12" ht="15" customHeight="1"/>
    <row r="52" spans="3:12" ht="23.25" customHeight="1">
      <c r="C52" s="398"/>
      <c r="D52" s="262" t="s">
        <v>1096</v>
      </c>
      <c r="E52" s="263">
        <f>IF(MENU!$P$11="NO",+'MESIVA (check)'!G51+'MESIVA (check)'!G55+'MESIVA (check)'!G57+'MESIVA (check)'!G58+'MESIVA (check)'!G60+'MESIVA (check)'!G61+'IVA (check_TRIM)'!G50+'IVA (check_TRIM)'!G54+'IVA (check_TRIM)'!G56+'IVA (check_TRIM)'!G57+'IVA (check_TRIM)'!G59+'IVA (check_TRIM)'!G60,+MESIVA!AE91+MESIVA!AE93+MESIVA!AE95+MESIVA!AE97+MESIVA!AE98)</f>
        <v>67866872.170000002</v>
      </c>
      <c r="F52" s="263">
        <f ca="1">SUM(F53:F70)</f>
        <v>68172839.749999985</v>
      </c>
      <c r="G52" s="264">
        <f ca="1">+E52-F52</f>
        <v>-305967.57999998331</v>
      </c>
      <c r="H52" s="2562" t="s">
        <v>2964</v>
      </c>
    </row>
    <row r="53" spans="3:12" ht="23.25" customHeight="1" outlineLevel="1">
      <c r="C53" s="399">
        <v>600</v>
      </c>
      <c r="D53" s="246" t="str">
        <f>+LOOKUP(C53,asientos!$M$12:$M$13033,asientos!$N$12:$N$13033)</f>
        <v>COMPRAS DE MERCADERÍAS</v>
      </c>
      <c r="F53" s="251">
        <f ca="1">IFERROR(LOOKUP(C53,asientos!$M$12:$M$13033,asientos!$O$12:$O$13033),0)</f>
        <v>21680440.560000002</v>
      </c>
      <c r="G53" s="247"/>
      <c r="H53" s="2562"/>
      <c r="L53" s="233">
        <v>600</v>
      </c>
    </row>
    <row r="54" spans="3:12" ht="23.25" customHeight="1" outlineLevel="1">
      <c r="C54" s="399">
        <v>601</v>
      </c>
      <c r="D54" s="246" t="str">
        <f>+LOOKUP(C54,asientos!$M$12:$M$13033,asientos!$N$12:$N$13033)</f>
        <v>COMPRAS DE MATERIAS PRIMAS</v>
      </c>
      <c r="F54" s="251">
        <f ca="1">IFERROR(LOOKUP(C54,asientos!$M$12:$M$13033,asientos!$O$12:$O$13033),0)</f>
        <v>41519643.559999987</v>
      </c>
      <c r="G54" s="247"/>
      <c r="H54" s="2562"/>
      <c r="L54" s="233">
        <v>601</v>
      </c>
    </row>
    <row r="55" spans="3:12" ht="23.25" customHeight="1" outlineLevel="1">
      <c r="C55" s="399">
        <v>602</v>
      </c>
      <c r="D55" s="246" t="str">
        <f>+LOOKUP(C55,asientos!$M$12:$M$13033,asientos!$N$12:$N$13033)</f>
        <v>COMPRAS DE OTROS APROVISIONAMIENTOS</v>
      </c>
      <c r="F55" s="251">
        <f ca="1">IFERROR(LOOKUP(C55,asientos!$M$12:$M$13033,asientos!$O$12:$O$13033),0)</f>
        <v>397772.66</v>
      </c>
      <c r="G55" s="247"/>
      <c r="H55" s="2562"/>
      <c r="L55" s="233">
        <v>602</v>
      </c>
    </row>
    <row r="56" spans="3:12" ht="23.25" customHeight="1" outlineLevel="1">
      <c r="C56" s="399">
        <v>606</v>
      </c>
      <c r="D56" s="246" t="str">
        <f>+LOOKUP(C56,asientos!$M$12:$M$13033,asientos!$N$12:$N$13033)</f>
        <v>DESCUENTOS SOBRE COMPRAS POR PRONTO PAGO</v>
      </c>
      <c r="F56" s="251">
        <f ca="1">IFERROR(LOOKUP(C56,asientos!$M$12:$M$13033,asientos!$O$12:$O$13033),0)</f>
        <v>-831.47</v>
      </c>
      <c r="G56" s="247"/>
      <c r="H56" s="2562"/>
      <c r="L56" s="233">
        <v>606</v>
      </c>
    </row>
    <row r="57" spans="3:12" ht="23.25" customHeight="1" outlineLevel="1">
      <c r="C57" s="399">
        <v>607</v>
      </c>
      <c r="D57" s="246" t="str">
        <f>+LOOKUP(C57,asientos!$M$12:$M$13033,asientos!$N$12:$N$13033)</f>
        <v>TRABAJOS REALIZADOS POR OTRAS EMPRESAS</v>
      </c>
      <c r="F57" s="251">
        <f ca="1">IFERROR(LOOKUP(C57,asientos!$M$12:$M$13033,asientos!$O$12:$O$13033),0)</f>
        <v>0</v>
      </c>
      <c r="G57" s="247"/>
      <c r="H57" s="2562"/>
      <c r="L57" s="233">
        <v>607</v>
      </c>
    </row>
    <row r="58" spans="3:12" ht="23.25" customHeight="1" outlineLevel="1">
      <c r="C58" s="399">
        <v>608</v>
      </c>
      <c r="D58" s="246" t="str">
        <f>+LOOKUP(C58,asientos!$M$12:$M$13033,asientos!$N$12:$N$13033)</f>
        <v>DEVOLUCIONES DE COMPRAS Y OP SIMILARES</v>
      </c>
      <c r="F58" s="251">
        <f ca="1">IFERROR(LOOKUP(C58,asientos!$M$12:$M$13033,asientos!$O$12:$O$13033),0)</f>
        <v>0</v>
      </c>
      <c r="G58" s="247"/>
      <c r="H58" s="2562"/>
      <c r="L58" s="233">
        <v>608</v>
      </c>
    </row>
    <row r="59" spans="3:12" ht="23.25" customHeight="1" outlineLevel="1">
      <c r="C59" s="399">
        <v>609</v>
      </c>
      <c r="D59" s="246" t="str">
        <f>+LOOKUP(C59,asientos!$M$12:$M$13033,asientos!$N$12:$N$13033)</f>
        <v>RAPPELS POR COMPRAS</v>
      </c>
      <c r="F59" s="251">
        <f ca="1">IFERROR(LOOKUP(C59,asientos!$M$12:$M$13033,asientos!$O$12:$O$13033),0)</f>
        <v>0</v>
      </c>
      <c r="G59" s="247"/>
      <c r="H59" s="2562"/>
      <c r="L59" s="233">
        <v>609</v>
      </c>
    </row>
    <row r="60" spans="3:12" ht="23.25" customHeight="1" outlineLevel="1">
      <c r="C60" s="399">
        <v>620</v>
      </c>
      <c r="D60" s="246" t="str">
        <f>+LOOKUP(C60,asientos!$M$12:$M$13033,asientos!$N$12:$N$13033)</f>
        <v>GASTOS EN INVESTIGACIÓN Y DESARROLLO DEL EJERCICIO</v>
      </c>
      <c r="F60" s="251">
        <f ca="1">IFERROR(LOOKUP(C60,asientos!$M$12:$M$13033,asientos!$O$12:$O$13033),0)</f>
        <v>0</v>
      </c>
      <c r="G60" s="247"/>
      <c r="H60" s="2562"/>
      <c r="L60" s="233">
        <v>620</v>
      </c>
    </row>
    <row r="61" spans="3:12" ht="23.25" customHeight="1" outlineLevel="1">
      <c r="C61" s="399">
        <v>621</v>
      </c>
      <c r="D61" s="246" t="str">
        <f>+LOOKUP(C61,asientos!$M$12:$M$13033,asientos!$N$12:$N$13033)</f>
        <v>ARRENDAMIENTOS Y CÁNONES</v>
      </c>
      <c r="F61" s="251">
        <f ca="1">IFERROR(LOOKUP(C61,asientos!$M$12:$M$13033,asientos!$O$12:$O$13033),0)</f>
        <v>45607.610000000008</v>
      </c>
      <c r="G61" s="247"/>
      <c r="H61" s="2562"/>
      <c r="L61" s="233">
        <v>621</v>
      </c>
    </row>
    <row r="62" spans="3:12" ht="23.25" customHeight="1" outlineLevel="1">
      <c r="C62" s="399">
        <v>622</v>
      </c>
      <c r="D62" s="246" t="str">
        <f>+LOOKUP(C62,asientos!$M$12:$M$13033,asientos!$N$12:$N$13033)</f>
        <v>REPARACIONES Y CONSERVACIÓN</v>
      </c>
      <c r="F62" s="251">
        <f ca="1">IFERROR(LOOKUP(C62,asientos!$M$12:$M$13033,asientos!$O$12:$O$13033),0)</f>
        <v>408157.99</v>
      </c>
      <c r="G62" s="247"/>
      <c r="H62" s="2562"/>
      <c r="L62" s="233">
        <v>622</v>
      </c>
    </row>
    <row r="63" spans="3:12" ht="23.25" customHeight="1" outlineLevel="1">
      <c r="C63" s="399">
        <v>623</v>
      </c>
      <c r="D63" s="246" t="str">
        <f>+LOOKUP(C63,asientos!$M$12:$M$13033,asientos!$N$12:$N$13033)</f>
        <v>SERVICIOS DE PROFESIONALES INDEPENDIENTES</v>
      </c>
      <c r="F63" s="251">
        <f ca="1">IFERROR(LOOKUP(C63,asientos!$M$12:$M$13033,asientos!$O$12:$O$13033),0)</f>
        <v>1289990.83</v>
      </c>
      <c r="G63" s="247"/>
      <c r="H63" s="2562"/>
      <c r="L63" s="233">
        <v>623</v>
      </c>
    </row>
    <row r="64" spans="3:12" ht="23.25" customHeight="1" outlineLevel="1">
      <c r="C64" s="399">
        <v>624</v>
      </c>
      <c r="D64" s="246" t="str">
        <f>+LOOKUP(C64,asientos!$M$12:$M$13033,asientos!$N$12:$N$13033)</f>
        <v>TRANSPORTES</v>
      </c>
      <c r="F64" s="251">
        <f ca="1">IFERROR(LOOKUP(C64,asientos!$M$12:$M$13033,asientos!$O$12:$O$13033),0)</f>
        <v>969386.08000000007</v>
      </c>
      <c r="G64" s="247"/>
      <c r="H64" s="2562"/>
      <c r="L64" s="233">
        <v>624</v>
      </c>
    </row>
    <row r="65" spans="3:12" ht="23.25" customHeight="1" outlineLevel="1">
      <c r="C65" s="399">
        <v>626</v>
      </c>
      <c r="D65" s="246" t="str">
        <f>+LOOKUP(C65,asientos!$M$12:$M$13033,asientos!$N$12:$N$13033)</f>
        <v>SERVICIOS BANCARIOS Y SIMILARES</v>
      </c>
      <c r="F65" s="251">
        <f ca="1">IFERROR(LOOKUP(C65,asientos!$M$12:$M$13033,asientos!$O$12:$O$13033),0)</f>
        <v>58684.98</v>
      </c>
      <c r="G65" s="247"/>
      <c r="H65" s="2562"/>
      <c r="L65" s="233">
        <v>626</v>
      </c>
    </row>
    <row r="66" spans="3:12" ht="23.25" customHeight="1" outlineLevel="1">
      <c r="C66" s="399">
        <v>627</v>
      </c>
      <c r="D66" s="246" t="str">
        <f>+LOOKUP(C66,asientos!$M$12:$M$13033,asientos!$N$12:$N$13033)</f>
        <v>PUBLICIDAD, PROPAGANDA Y RELACIONES PÚBLICAS</v>
      </c>
      <c r="F66" s="251">
        <f ca="1">IFERROR(LOOKUP(C66,asientos!$M$12:$M$13033,asientos!$O$12:$O$13033),0)</f>
        <v>49008.95</v>
      </c>
      <c r="G66" s="247"/>
      <c r="H66" s="2562"/>
      <c r="L66" s="233">
        <v>627</v>
      </c>
    </row>
    <row r="67" spans="3:12" ht="23.25" customHeight="1" outlineLevel="1">
      <c r="C67" s="399">
        <v>628</v>
      </c>
      <c r="D67" s="246" t="str">
        <f>+LOOKUP(C67,asientos!$M$12:$M$13033,asientos!$N$12:$N$13033)</f>
        <v>SUMINISTROS</v>
      </c>
      <c r="F67" s="251">
        <f ca="1">IFERROR(LOOKUP(C67,asientos!$M$12:$M$13033,asientos!$O$12:$O$13033),0)</f>
        <v>1387300.6999999995</v>
      </c>
      <c r="G67" s="247"/>
      <c r="H67" s="2562"/>
      <c r="L67" s="233">
        <v>628</v>
      </c>
    </row>
    <row r="68" spans="3:12" ht="23.25" customHeight="1" outlineLevel="1">
      <c r="C68" s="399">
        <v>629</v>
      </c>
      <c r="D68" s="246" t="str">
        <f>+LOOKUP(C68,asientos!$M$12:$M$13033,asientos!$N$12:$N$13033)</f>
        <v>OTROS SERVICIOS</v>
      </c>
      <c r="F68" s="251">
        <f ca="1">IFERROR(LOOKUP(C68,asientos!$M$12:$M$13033,asientos!$O$12:$O$13033),0)</f>
        <v>367677.30000000005</v>
      </c>
      <c r="G68" s="247"/>
      <c r="H68" s="2562"/>
      <c r="L68" s="233">
        <v>629</v>
      </c>
    </row>
    <row r="69" spans="3:12" ht="23.25" customHeight="1" outlineLevel="1">
      <c r="C69" s="399"/>
      <c r="D69" s="246" t="str">
        <f>IFERROR(+LOOKUP(C69,asientos!$M$12:$M$13033,asientos!$N$12:$N$13033),"")</f>
        <v/>
      </c>
      <c r="F69" s="251">
        <f>IFERROR(LOOKUP(C69,asientos!$M$12:$M$13033,asientos!$O$12:$O$13033),0)</f>
        <v>0</v>
      </c>
      <c r="G69" s="247"/>
      <c r="H69" s="2562"/>
      <c r="L69" s="233"/>
    </row>
    <row r="70" spans="3:12" ht="23.25" customHeight="1" outlineLevel="1">
      <c r="C70" s="475"/>
      <c r="D70" s="246" t="str">
        <f>IFERROR(+LOOKUP(C70,asientos!$M$12:$M$13033,asientos!$N$12:$N$13033),"")</f>
        <v/>
      </c>
      <c r="F70" s="251">
        <f>IFERROR(LOOKUP(C70,asientos!$M$12:$M$13033,asientos!$O$12:$O$13033),0)</f>
        <v>0</v>
      </c>
      <c r="G70" s="476"/>
      <c r="H70" s="2562"/>
      <c r="L70" s="233"/>
    </row>
    <row r="71" spans="3:12" ht="23.25" customHeight="1">
      <c r="C71" s="398"/>
      <c r="D71" s="262" t="s">
        <v>1097</v>
      </c>
      <c r="E71" s="263">
        <f>IF(MENU!$P$11="NO",+'MESIVA (check)'!G52+'MESIVA (check)'!G56+'MESIVA (check)'!G59+'IVA (check_TRIM)'!G51+'IVA (check_TRIM)'!G55+'IVA (check_TRIM)'!G58,+MESIVA!AE92+MESIVA!AE94+MESIVA!AE96)</f>
        <v>3427926.2600000002</v>
      </c>
      <c r="F71" s="263">
        <f>+Inmovilizado!F50+Inmovilizado!G50+Inmovilizado!F72+Inmovilizado!G72+Inmovilizado!F113+Inmovilizado!G113</f>
        <v>4519575.2699999996</v>
      </c>
      <c r="G71" s="264">
        <f>+E71-F71</f>
        <v>-1091649.0099999993</v>
      </c>
      <c r="H71" s="2562"/>
    </row>
    <row r="72" spans="3:12" ht="23.25" customHeight="1">
      <c r="C72" s="477"/>
      <c r="D72" s="478" t="s">
        <v>1098</v>
      </c>
      <c r="E72" s="479"/>
      <c r="F72" s="479"/>
      <c r="G72" s="264">
        <f>+E72-F72</f>
        <v>0</v>
      </c>
      <c r="H72" s="2562"/>
    </row>
    <row r="73" spans="3:12" ht="15" customHeight="1"/>
  </sheetData>
  <mergeCells count="6">
    <mergeCell ref="H35:H48"/>
    <mergeCell ref="H52:H72"/>
    <mergeCell ref="C5:D5"/>
    <mergeCell ref="E5:G5"/>
    <mergeCell ref="E7:G7"/>
    <mergeCell ref="H17:H30"/>
  </mergeCells>
  <conditionalFormatting sqref="G31">
    <cfRule type="expression" dxfId="74" priority="8">
      <formula>G31&lt;&gt;0</formula>
    </cfRule>
  </conditionalFormatting>
  <conditionalFormatting sqref="G35">
    <cfRule type="expression" dxfId="73" priority="7">
      <formula>G35&lt;&gt;0</formula>
    </cfRule>
  </conditionalFormatting>
  <conditionalFormatting sqref="G43">
    <cfRule type="expression" dxfId="72" priority="6">
      <formula>G43&lt;&gt;0</formula>
    </cfRule>
  </conditionalFormatting>
  <conditionalFormatting sqref="G45">
    <cfRule type="expression" dxfId="71" priority="5">
      <formula>G45&lt;&gt;0</formula>
    </cfRule>
  </conditionalFormatting>
  <conditionalFormatting sqref="G48">
    <cfRule type="expression" dxfId="70" priority="4">
      <formula>G48&lt;&gt;0</formula>
    </cfRule>
  </conditionalFormatting>
  <conditionalFormatting sqref="G52">
    <cfRule type="expression" dxfId="69" priority="3">
      <formula>G52&lt;&gt;0</formula>
    </cfRule>
  </conditionalFormatting>
  <conditionalFormatting sqref="G71">
    <cfRule type="expression" dxfId="68" priority="2">
      <formula>G71&lt;&gt;0</formula>
    </cfRule>
  </conditionalFormatting>
  <conditionalFormatting sqref="G72">
    <cfRule type="expression" dxfId="67" priority="1">
      <formula>G72&lt;&gt;0</formula>
    </cfRule>
  </conditionalFormatting>
  <dataValidations count="4">
    <dataValidation type="list" allowBlank="1" showInputMessage="1" showErrorMessage="1" sqref="C17:C29" xr:uid="{00000000-0002-0000-2000-000000000000}">
      <formula1>$L$17:$L$29</formula1>
    </dataValidation>
    <dataValidation type="list" allowBlank="1" showInputMessage="1" showErrorMessage="1" sqref="C36:C42" xr:uid="{00000000-0002-0000-2000-000001000000}">
      <formula1>$L$35:$L$40</formula1>
    </dataValidation>
    <dataValidation type="list" allowBlank="1" showInputMessage="1" showErrorMessage="1" sqref="C46:C47" xr:uid="{00000000-0002-0000-2000-000002000000}">
      <formula1>$L$46:$L$47</formula1>
    </dataValidation>
    <dataValidation type="list" allowBlank="1" showInputMessage="1" showErrorMessage="1" sqref="C53:C70" xr:uid="{00000000-0002-0000-2000-000003000000}">
      <formula1>$L$53:$L$70</formula1>
    </dataValidation>
  </dataValidations>
  <pageMargins left="0.43307086614173229" right="0.23622047244094491" top="0.74803149606299213" bottom="0.74803149606299213" header="0.31496062992125984" footer="0.31496062992125984"/>
  <pageSetup paperSize="9" scale="4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77" r:id="rId4" name="Button 9">
              <controlPr locked="0" defaultSize="0" print="0" autoFill="0" autoPict="0" macro="[0]!borrarmesentpub">
                <anchor moveWithCells="1" sizeWithCells="1">
                  <from>
                    <xdr:col>4</xdr:col>
                    <xdr:colOff>655320</xdr:colOff>
                    <xdr:row>10</xdr:row>
                    <xdr:rowOff>76200</xdr:rowOff>
                  </from>
                  <to>
                    <xdr:col>5</xdr:col>
                    <xdr:colOff>609600</xdr:colOff>
                    <xdr:row>12</xdr:row>
                    <xdr:rowOff>190500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32">
    <pageSetUpPr autoPageBreaks="0" fitToPage="1"/>
  </sheetPr>
  <dimension ref="A1:J135"/>
  <sheetViews>
    <sheetView showGridLines="0" showRowColHeaders="0" showZeros="0" zoomScale="85" zoomScaleNormal="85" zoomScaleSheetLayoutView="55" zoomScalePageLayoutView="55" workbookViewId="0">
      <pane xSplit="3" ySplit="15" topLeftCell="D16" activePane="bottomRight" state="frozen"/>
      <selection activeCell="G9" sqref="G9"/>
      <selection pane="topRight" activeCell="G9" sqref="G9"/>
      <selection pane="bottomLeft" activeCell="G9" sqref="G9"/>
      <selection pane="bottomRight" activeCell="G17" sqref="G17"/>
    </sheetView>
  </sheetViews>
  <sheetFormatPr baseColWidth="10" defaultColWidth="0" defaultRowHeight="15" customHeight="1" zeroHeight="1" outlineLevelRow="1"/>
  <cols>
    <col min="1" max="2" width="2" customWidth="1"/>
    <col min="3" max="3" width="21.44140625" customWidth="1"/>
    <col min="4" max="4" width="52" customWidth="1"/>
    <col min="5" max="5" width="24" customWidth="1"/>
    <col min="6" max="6" width="43" customWidth="1"/>
    <col min="7" max="7" width="24" customWidth="1"/>
    <col min="8" max="8" width="27" customWidth="1"/>
    <col min="9" max="9" width="24" customWidth="1"/>
    <col min="10" max="10" width="4" customWidth="1"/>
    <col min="11" max="16384" width="13" hidden="1"/>
  </cols>
  <sheetData>
    <row r="1" spans="3:9" ht="15" customHeight="1"/>
    <row r="2" spans="3:9" ht="9" customHeight="1"/>
    <row r="3" spans="3:9" ht="5.25" customHeight="1">
      <c r="C3" s="1"/>
      <c r="D3" s="1"/>
    </row>
    <row r="4" spans="3:9" ht="5.25" customHeight="1"/>
    <row r="5" spans="3:9" ht="21">
      <c r="C5" s="2252" t="str">
        <f>+MENU!C5</f>
        <v>Sociedad:</v>
      </c>
      <c r="D5" s="2342"/>
      <c r="E5" s="2285" t="str">
        <f>+MENU!E5</f>
        <v>MARIO PILATO BLAT, S.A.</v>
      </c>
      <c r="F5" s="2286"/>
    </row>
    <row r="6" spans="3:9" ht="12.75" customHeight="1">
      <c r="C6" s="218"/>
      <c r="D6" s="218"/>
      <c r="E6" s="218"/>
      <c r="F6" s="218"/>
    </row>
    <row r="7" spans="3:9" ht="21">
      <c r="C7" s="220" t="str">
        <f>+instrucciones!$C$7</f>
        <v>Fecha de cierre</v>
      </c>
      <c r="D7" s="220"/>
      <c r="E7" s="2299">
        <f>+MENU!D7</f>
        <v>45657</v>
      </c>
      <c r="F7" s="2300"/>
    </row>
    <row r="8" spans="3:9" ht="15" customHeight="1">
      <c r="C8" s="2"/>
      <c r="D8" s="2"/>
      <c r="F8" s="3"/>
      <c r="G8" s="3"/>
      <c r="H8" s="3"/>
    </row>
    <row r="9" spans="3:9" ht="15" customHeight="1"/>
    <row r="10" spans="3:9" ht="5.25" customHeight="1">
      <c r="F10" s="219"/>
    </row>
    <row r="11" spans="3:9" ht="5.25" customHeight="1"/>
    <row r="12" spans="3:9" ht="6" customHeight="1"/>
    <row r="13" spans="3:9" ht="22.5" customHeight="1">
      <c r="C13" s="221" t="s">
        <v>1099</v>
      </c>
      <c r="D13" s="222"/>
    </row>
    <row r="14" spans="3:9" ht="6" customHeight="1"/>
    <row r="15" spans="3:9" s="33" customFormat="1" ht="21" customHeight="1">
      <c r="C15" s="194" t="s">
        <v>1100</v>
      </c>
      <c r="D15" s="194" t="s">
        <v>1101</v>
      </c>
      <c r="E15" s="194" t="s">
        <v>995</v>
      </c>
      <c r="F15" s="194" t="s">
        <v>1102</v>
      </c>
      <c r="G15" s="194" t="s">
        <v>1103</v>
      </c>
      <c r="H15" s="194" t="s">
        <v>1104</v>
      </c>
      <c r="I15" s="194" t="s">
        <v>1105</v>
      </c>
    </row>
    <row r="16" spans="3:9" ht="15" customHeight="1" outlineLevel="1">
      <c r="C16" s="497">
        <v>1333</v>
      </c>
      <c r="D16" s="498" t="s">
        <v>2961</v>
      </c>
      <c r="E16" s="499">
        <v>110160</v>
      </c>
      <c r="F16" s="499"/>
      <c r="G16" s="499" t="s">
        <v>2962</v>
      </c>
      <c r="H16" s="499">
        <v>110160</v>
      </c>
      <c r="I16" s="266">
        <f>+E16-H16</f>
        <v>0</v>
      </c>
    </row>
    <row r="17" spans="3:9" ht="15" customHeight="1" outlineLevel="1">
      <c r="C17" s="423"/>
      <c r="D17" s="500"/>
      <c r="E17" s="501"/>
      <c r="F17" s="501"/>
      <c r="G17" s="501"/>
      <c r="H17" s="501"/>
      <c r="I17" s="267">
        <f t="shared" ref="I17:I80" si="0">+E17-H17</f>
        <v>0</v>
      </c>
    </row>
    <row r="18" spans="3:9" ht="15" customHeight="1" outlineLevel="1">
      <c r="C18" s="423"/>
      <c r="D18" s="500"/>
      <c r="E18" s="501"/>
      <c r="F18" s="501"/>
      <c r="G18" s="501"/>
      <c r="H18" s="501"/>
      <c r="I18" s="267">
        <f t="shared" si="0"/>
        <v>0</v>
      </c>
    </row>
    <row r="19" spans="3:9" ht="15" customHeight="1" outlineLevel="1">
      <c r="C19" s="423"/>
      <c r="D19" s="500"/>
      <c r="E19" s="501"/>
      <c r="F19" s="501"/>
      <c r="G19" s="501"/>
      <c r="H19" s="501"/>
      <c r="I19" s="267">
        <f t="shared" si="0"/>
        <v>0</v>
      </c>
    </row>
    <row r="20" spans="3:9" ht="15" customHeight="1" outlineLevel="1">
      <c r="C20" s="423"/>
      <c r="D20" s="500"/>
      <c r="E20" s="501"/>
      <c r="F20" s="501"/>
      <c r="G20" s="501"/>
      <c r="H20" s="501"/>
      <c r="I20" s="267">
        <f t="shared" si="0"/>
        <v>0</v>
      </c>
    </row>
    <row r="21" spans="3:9" ht="15" customHeight="1" outlineLevel="1">
      <c r="C21" s="423"/>
      <c r="D21" s="500"/>
      <c r="E21" s="501"/>
      <c r="F21" s="501"/>
      <c r="G21" s="501"/>
      <c r="H21" s="501"/>
      <c r="I21" s="267">
        <f t="shared" si="0"/>
        <v>0</v>
      </c>
    </row>
    <row r="22" spans="3:9" ht="15" customHeight="1" outlineLevel="1">
      <c r="C22" s="423"/>
      <c r="D22" s="500"/>
      <c r="E22" s="501"/>
      <c r="F22" s="501"/>
      <c r="G22" s="501"/>
      <c r="H22" s="501"/>
      <c r="I22" s="267">
        <f t="shared" si="0"/>
        <v>0</v>
      </c>
    </row>
    <row r="23" spans="3:9" ht="15" customHeight="1" outlineLevel="1">
      <c r="C23" s="423"/>
      <c r="D23" s="500"/>
      <c r="E23" s="501"/>
      <c r="F23" s="501"/>
      <c r="G23" s="501"/>
      <c r="H23" s="501"/>
      <c r="I23" s="267">
        <f t="shared" si="0"/>
        <v>0</v>
      </c>
    </row>
    <row r="24" spans="3:9" ht="15" customHeight="1" outlineLevel="1">
      <c r="C24" s="423"/>
      <c r="D24" s="500"/>
      <c r="E24" s="501"/>
      <c r="F24" s="501"/>
      <c r="G24" s="501"/>
      <c r="H24" s="501"/>
      <c r="I24" s="267">
        <f t="shared" si="0"/>
        <v>0</v>
      </c>
    </row>
    <row r="25" spans="3:9" ht="15" customHeight="1" outlineLevel="1">
      <c r="C25" s="423"/>
      <c r="D25" s="500"/>
      <c r="E25" s="501"/>
      <c r="F25" s="501"/>
      <c r="G25" s="501"/>
      <c r="H25" s="501"/>
      <c r="I25" s="267">
        <f t="shared" si="0"/>
        <v>0</v>
      </c>
    </row>
    <row r="26" spans="3:9" ht="15" customHeight="1" outlineLevel="1">
      <c r="C26" s="423"/>
      <c r="D26" s="500"/>
      <c r="E26" s="501"/>
      <c r="F26" s="501"/>
      <c r="G26" s="501"/>
      <c r="H26" s="501"/>
      <c r="I26" s="267">
        <f t="shared" si="0"/>
        <v>0</v>
      </c>
    </row>
    <row r="27" spans="3:9" ht="15" customHeight="1" outlineLevel="1">
      <c r="C27" s="423"/>
      <c r="D27" s="500"/>
      <c r="E27" s="501"/>
      <c r="F27" s="501"/>
      <c r="G27" s="501"/>
      <c r="H27" s="501"/>
      <c r="I27" s="267">
        <f t="shared" si="0"/>
        <v>0</v>
      </c>
    </row>
    <row r="28" spans="3:9" ht="15" customHeight="1" outlineLevel="1">
      <c r="C28" s="423"/>
      <c r="D28" s="500"/>
      <c r="E28" s="501"/>
      <c r="F28" s="501"/>
      <c r="G28" s="501"/>
      <c r="H28" s="501"/>
      <c r="I28" s="267">
        <f t="shared" si="0"/>
        <v>0</v>
      </c>
    </row>
    <row r="29" spans="3:9" ht="15" customHeight="1" outlineLevel="1">
      <c r="C29" s="423"/>
      <c r="D29" s="500"/>
      <c r="E29" s="501"/>
      <c r="F29" s="501"/>
      <c r="G29" s="501"/>
      <c r="H29" s="501"/>
      <c r="I29" s="267">
        <f t="shared" si="0"/>
        <v>0</v>
      </c>
    </row>
    <row r="30" spans="3:9" ht="15" customHeight="1" outlineLevel="1">
      <c r="C30" s="423"/>
      <c r="D30" s="500"/>
      <c r="E30" s="501"/>
      <c r="F30" s="501"/>
      <c r="G30" s="501"/>
      <c r="H30" s="501"/>
      <c r="I30" s="267">
        <f t="shared" si="0"/>
        <v>0</v>
      </c>
    </row>
    <row r="31" spans="3:9" ht="15" customHeight="1" outlineLevel="1">
      <c r="C31" s="423"/>
      <c r="D31" s="500"/>
      <c r="E31" s="501"/>
      <c r="F31" s="501"/>
      <c r="G31" s="501"/>
      <c r="H31" s="501"/>
      <c r="I31" s="267">
        <f t="shared" si="0"/>
        <v>0</v>
      </c>
    </row>
    <row r="32" spans="3:9" ht="15" customHeight="1" outlineLevel="1">
      <c r="C32" s="423"/>
      <c r="D32" s="500"/>
      <c r="E32" s="501"/>
      <c r="F32" s="501"/>
      <c r="G32" s="501"/>
      <c r="H32" s="501"/>
      <c r="I32" s="267">
        <f t="shared" si="0"/>
        <v>0</v>
      </c>
    </row>
    <row r="33" spans="3:9" ht="15" customHeight="1" outlineLevel="1">
      <c r="C33" s="423"/>
      <c r="D33" s="500"/>
      <c r="E33" s="501"/>
      <c r="F33" s="501"/>
      <c r="G33" s="501"/>
      <c r="H33" s="501"/>
      <c r="I33" s="267">
        <f t="shared" si="0"/>
        <v>0</v>
      </c>
    </row>
    <row r="34" spans="3:9" ht="15" customHeight="1" outlineLevel="1">
      <c r="C34" s="423"/>
      <c r="D34" s="500"/>
      <c r="E34" s="501"/>
      <c r="F34" s="501"/>
      <c r="G34" s="501"/>
      <c r="H34" s="501"/>
      <c r="I34" s="267">
        <f t="shared" si="0"/>
        <v>0</v>
      </c>
    </row>
    <row r="35" spans="3:9" ht="15" customHeight="1" outlineLevel="1">
      <c r="C35" s="423"/>
      <c r="D35" s="500"/>
      <c r="E35" s="501"/>
      <c r="F35" s="501"/>
      <c r="G35" s="501"/>
      <c r="H35" s="501"/>
      <c r="I35" s="267">
        <f t="shared" si="0"/>
        <v>0</v>
      </c>
    </row>
    <row r="36" spans="3:9" ht="15" customHeight="1" outlineLevel="1">
      <c r="C36" s="423"/>
      <c r="D36" s="500"/>
      <c r="E36" s="501"/>
      <c r="F36" s="501"/>
      <c r="G36" s="501"/>
      <c r="H36" s="501"/>
      <c r="I36" s="267">
        <f t="shared" si="0"/>
        <v>0</v>
      </c>
    </row>
    <row r="37" spans="3:9" ht="15" customHeight="1" outlineLevel="1">
      <c r="C37" s="423"/>
      <c r="D37" s="500"/>
      <c r="E37" s="501"/>
      <c r="F37" s="501"/>
      <c r="G37" s="501"/>
      <c r="H37" s="501"/>
      <c r="I37" s="267">
        <f t="shared" si="0"/>
        <v>0</v>
      </c>
    </row>
    <row r="38" spans="3:9" ht="15" customHeight="1" outlineLevel="1">
      <c r="C38" s="423"/>
      <c r="D38" s="500"/>
      <c r="E38" s="501"/>
      <c r="F38" s="501"/>
      <c r="G38" s="501"/>
      <c r="H38" s="501"/>
      <c r="I38" s="267">
        <f t="shared" si="0"/>
        <v>0</v>
      </c>
    </row>
    <row r="39" spans="3:9" ht="15" customHeight="1" outlineLevel="1">
      <c r="C39" s="423"/>
      <c r="D39" s="500"/>
      <c r="E39" s="501"/>
      <c r="F39" s="501"/>
      <c r="G39" s="501"/>
      <c r="H39" s="501"/>
      <c r="I39" s="267">
        <f t="shared" si="0"/>
        <v>0</v>
      </c>
    </row>
    <row r="40" spans="3:9" ht="15" customHeight="1" outlineLevel="1">
      <c r="C40" s="423"/>
      <c r="D40" s="500"/>
      <c r="E40" s="501"/>
      <c r="F40" s="501"/>
      <c r="G40" s="501"/>
      <c r="H40" s="501"/>
      <c r="I40" s="267">
        <f t="shared" si="0"/>
        <v>0</v>
      </c>
    </row>
    <row r="41" spans="3:9" ht="15" customHeight="1" outlineLevel="1">
      <c r="C41" s="423"/>
      <c r="D41" s="500"/>
      <c r="E41" s="501"/>
      <c r="F41" s="501"/>
      <c r="G41" s="501"/>
      <c r="H41" s="501"/>
      <c r="I41" s="267">
        <f t="shared" si="0"/>
        <v>0</v>
      </c>
    </row>
    <row r="42" spans="3:9" ht="15" customHeight="1" outlineLevel="1">
      <c r="C42" s="423"/>
      <c r="D42" s="500"/>
      <c r="E42" s="501"/>
      <c r="F42" s="501"/>
      <c r="G42" s="501"/>
      <c r="H42" s="501"/>
      <c r="I42" s="267">
        <f t="shared" si="0"/>
        <v>0</v>
      </c>
    </row>
    <row r="43" spans="3:9" ht="15" customHeight="1" outlineLevel="1">
      <c r="C43" s="423"/>
      <c r="D43" s="500"/>
      <c r="E43" s="501"/>
      <c r="F43" s="501"/>
      <c r="G43" s="501"/>
      <c r="H43" s="501"/>
      <c r="I43" s="267">
        <f t="shared" si="0"/>
        <v>0</v>
      </c>
    </row>
    <row r="44" spans="3:9" ht="15" customHeight="1" outlineLevel="1">
      <c r="C44" s="423"/>
      <c r="D44" s="500"/>
      <c r="E44" s="501"/>
      <c r="F44" s="501"/>
      <c r="G44" s="501"/>
      <c r="H44" s="501"/>
      <c r="I44" s="267">
        <f t="shared" si="0"/>
        <v>0</v>
      </c>
    </row>
    <row r="45" spans="3:9" ht="15" customHeight="1" outlineLevel="1">
      <c r="C45" s="423"/>
      <c r="D45" s="500"/>
      <c r="E45" s="501"/>
      <c r="F45" s="501"/>
      <c r="G45" s="501"/>
      <c r="H45" s="501"/>
      <c r="I45" s="267">
        <f t="shared" si="0"/>
        <v>0</v>
      </c>
    </row>
    <row r="46" spans="3:9" ht="15" customHeight="1" outlineLevel="1">
      <c r="C46" s="423"/>
      <c r="D46" s="500"/>
      <c r="E46" s="501"/>
      <c r="F46" s="501"/>
      <c r="G46" s="501"/>
      <c r="H46" s="501"/>
      <c r="I46" s="267">
        <f t="shared" si="0"/>
        <v>0</v>
      </c>
    </row>
    <row r="47" spans="3:9" ht="15" customHeight="1" outlineLevel="1">
      <c r="C47" s="423"/>
      <c r="D47" s="500"/>
      <c r="E47" s="501"/>
      <c r="F47" s="501"/>
      <c r="G47" s="501"/>
      <c r="H47" s="501"/>
      <c r="I47" s="267">
        <f t="shared" si="0"/>
        <v>0</v>
      </c>
    </row>
    <row r="48" spans="3:9" ht="15" customHeight="1" outlineLevel="1">
      <c r="C48" s="423"/>
      <c r="D48" s="500"/>
      <c r="E48" s="501"/>
      <c r="F48" s="501"/>
      <c r="G48" s="501"/>
      <c r="H48" s="501"/>
      <c r="I48" s="267">
        <f t="shared" si="0"/>
        <v>0</v>
      </c>
    </row>
    <row r="49" spans="3:9" ht="15" customHeight="1" outlineLevel="1">
      <c r="C49" s="423"/>
      <c r="D49" s="500"/>
      <c r="E49" s="501"/>
      <c r="F49" s="501"/>
      <c r="G49" s="501"/>
      <c r="H49" s="501"/>
      <c r="I49" s="267">
        <f t="shared" si="0"/>
        <v>0</v>
      </c>
    </row>
    <row r="50" spans="3:9" ht="15" customHeight="1" outlineLevel="1">
      <c r="C50" s="423"/>
      <c r="D50" s="500"/>
      <c r="E50" s="501"/>
      <c r="F50" s="501"/>
      <c r="G50" s="501"/>
      <c r="H50" s="501"/>
      <c r="I50" s="267">
        <f t="shared" si="0"/>
        <v>0</v>
      </c>
    </row>
    <row r="51" spans="3:9" ht="15" customHeight="1" outlineLevel="1">
      <c r="C51" s="423"/>
      <c r="D51" s="500"/>
      <c r="E51" s="501"/>
      <c r="F51" s="501"/>
      <c r="G51" s="501"/>
      <c r="H51" s="501"/>
      <c r="I51" s="267">
        <f t="shared" si="0"/>
        <v>0</v>
      </c>
    </row>
    <row r="52" spans="3:9" ht="15" customHeight="1" outlineLevel="1">
      <c r="C52" s="423"/>
      <c r="D52" s="500"/>
      <c r="E52" s="501"/>
      <c r="F52" s="501"/>
      <c r="G52" s="501"/>
      <c r="H52" s="501"/>
      <c r="I52" s="267">
        <f t="shared" si="0"/>
        <v>0</v>
      </c>
    </row>
    <row r="53" spans="3:9" ht="15" customHeight="1" outlineLevel="1">
      <c r="C53" s="423"/>
      <c r="D53" s="500"/>
      <c r="E53" s="501"/>
      <c r="F53" s="501"/>
      <c r="G53" s="501"/>
      <c r="H53" s="501"/>
      <c r="I53" s="267">
        <f t="shared" si="0"/>
        <v>0</v>
      </c>
    </row>
    <row r="54" spans="3:9" ht="15" customHeight="1" outlineLevel="1">
      <c r="C54" s="423"/>
      <c r="D54" s="500"/>
      <c r="E54" s="501"/>
      <c r="F54" s="501"/>
      <c r="G54" s="501"/>
      <c r="H54" s="501"/>
      <c r="I54" s="267">
        <f t="shared" si="0"/>
        <v>0</v>
      </c>
    </row>
    <row r="55" spans="3:9" ht="15" customHeight="1" outlineLevel="1">
      <c r="C55" s="423"/>
      <c r="D55" s="500"/>
      <c r="E55" s="501"/>
      <c r="F55" s="501"/>
      <c r="G55" s="501"/>
      <c r="H55" s="501"/>
      <c r="I55" s="267">
        <f t="shared" si="0"/>
        <v>0</v>
      </c>
    </row>
    <row r="56" spans="3:9" ht="15" customHeight="1" outlineLevel="1">
      <c r="C56" s="423"/>
      <c r="D56" s="500"/>
      <c r="E56" s="501"/>
      <c r="F56" s="501"/>
      <c r="G56" s="501"/>
      <c r="H56" s="501"/>
      <c r="I56" s="267">
        <f t="shared" si="0"/>
        <v>0</v>
      </c>
    </row>
    <row r="57" spans="3:9" ht="15" customHeight="1" outlineLevel="1">
      <c r="C57" s="423"/>
      <c r="D57" s="500"/>
      <c r="E57" s="501"/>
      <c r="F57" s="501"/>
      <c r="G57" s="501"/>
      <c r="H57" s="501"/>
      <c r="I57" s="267">
        <f t="shared" si="0"/>
        <v>0</v>
      </c>
    </row>
    <row r="58" spans="3:9" ht="15" customHeight="1" outlineLevel="1">
      <c r="C58" s="423"/>
      <c r="D58" s="500"/>
      <c r="E58" s="501"/>
      <c r="F58" s="501"/>
      <c r="G58" s="501"/>
      <c r="H58" s="501"/>
      <c r="I58" s="267">
        <f t="shared" si="0"/>
        <v>0</v>
      </c>
    </row>
    <row r="59" spans="3:9" ht="15" customHeight="1" outlineLevel="1">
      <c r="C59" s="423"/>
      <c r="D59" s="500"/>
      <c r="E59" s="501"/>
      <c r="F59" s="501"/>
      <c r="G59" s="501"/>
      <c r="H59" s="501"/>
      <c r="I59" s="267">
        <f t="shared" si="0"/>
        <v>0</v>
      </c>
    </row>
    <row r="60" spans="3:9" ht="15" customHeight="1" outlineLevel="1">
      <c r="C60" s="423"/>
      <c r="D60" s="500"/>
      <c r="E60" s="501"/>
      <c r="F60" s="501"/>
      <c r="G60" s="501"/>
      <c r="H60" s="501"/>
      <c r="I60" s="267">
        <f t="shared" si="0"/>
        <v>0</v>
      </c>
    </row>
    <row r="61" spans="3:9" ht="15" customHeight="1" outlineLevel="1">
      <c r="C61" s="423"/>
      <c r="D61" s="500"/>
      <c r="E61" s="501"/>
      <c r="F61" s="501"/>
      <c r="G61" s="501"/>
      <c r="H61" s="501"/>
      <c r="I61" s="267">
        <f t="shared" si="0"/>
        <v>0</v>
      </c>
    </row>
    <row r="62" spans="3:9" ht="15" customHeight="1" outlineLevel="1">
      <c r="C62" s="423"/>
      <c r="D62" s="500"/>
      <c r="E62" s="501"/>
      <c r="F62" s="501"/>
      <c r="G62" s="501"/>
      <c r="H62" s="501"/>
      <c r="I62" s="267">
        <f t="shared" si="0"/>
        <v>0</v>
      </c>
    </row>
    <row r="63" spans="3:9" ht="15" customHeight="1" outlineLevel="1">
      <c r="C63" s="423"/>
      <c r="D63" s="500"/>
      <c r="E63" s="501"/>
      <c r="F63" s="501"/>
      <c r="G63" s="501"/>
      <c r="H63" s="501"/>
      <c r="I63" s="267">
        <f t="shared" si="0"/>
        <v>0</v>
      </c>
    </row>
    <row r="64" spans="3:9" ht="15" customHeight="1" outlineLevel="1">
      <c r="C64" s="423"/>
      <c r="D64" s="500"/>
      <c r="E64" s="501"/>
      <c r="F64" s="501"/>
      <c r="G64" s="501"/>
      <c r="H64" s="501"/>
      <c r="I64" s="267">
        <f t="shared" si="0"/>
        <v>0</v>
      </c>
    </row>
    <row r="65" spans="3:9" ht="15" customHeight="1" outlineLevel="1">
      <c r="C65" s="423"/>
      <c r="D65" s="500"/>
      <c r="E65" s="501"/>
      <c r="F65" s="501"/>
      <c r="G65" s="501"/>
      <c r="H65" s="501"/>
      <c r="I65" s="267">
        <f t="shared" si="0"/>
        <v>0</v>
      </c>
    </row>
    <row r="66" spans="3:9" ht="15" customHeight="1" outlineLevel="1">
      <c r="C66" s="423"/>
      <c r="D66" s="500"/>
      <c r="E66" s="501"/>
      <c r="F66" s="501"/>
      <c r="G66" s="501"/>
      <c r="H66" s="501"/>
      <c r="I66" s="267">
        <f t="shared" si="0"/>
        <v>0</v>
      </c>
    </row>
    <row r="67" spans="3:9" ht="15" customHeight="1" outlineLevel="1">
      <c r="C67" s="423"/>
      <c r="D67" s="500"/>
      <c r="E67" s="501"/>
      <c r="F67" s="501"/>
      <c r="G67" s="501"/>
      <c r="H67" s="501"/>
      <c r="I67" s="267">
        <f t="shared" si="0"/>
        <v>0</v>
      </c>
    </row>
    <row r="68" spans="3:9" ht="15" customHeight="1" outlineLevel="1">
      <c r="C68" s="423"/>
      <c r="D68" s="500"/>
      <c r="E68" s="501"/>
      <c r="F68" s="501"/>
      <c r="G68" s="501"/>
      <c r="H68" s="501"/>
      <c r="I68" s="267">
        <f t="shared" si="0"/>
        <v>0</v>
      </c>
    </row>
    <row r="69" spans="3:9" ht="15" customHeight="1" outlineLevel="1">
      <c r="C69" s="423"/>
      <c r="D69" s="500"/>
      <c r="E69" s="501"/>
      <c r="F69" s="501"/>
      <c r="G69" s="501"/>
      <c r="H69" s="501"/>
      <c r="I69" s="267">
        <f t="shared" si="0"/>
        <v>0</v>
      </c>
    </row>
    <row r="70" spans="3:9" ht="15" customHeight="1" outlineLevel="1">
      <c r="C70" s="423"/>
      <c r="D70" s="500"/>
      <c r="E70" s="501"/>
      <c r="F70" s="501"/>
      <c r="G70" s="501"/>
      <c r="H70" s="501"/>
      <c r="I70" s="267">
        <f t="shared" si="0"/>
        <v>0</v>
      </c>
    </row>
    <row r="71" spans="3:9" ht="15" customHeight="1" outlineLevel="1">
      <c r="C71" s="423"/>
      <c r="D71" s="500"/>
      <c r="E71" s="501"/>
      <c r="F71" s="501"/>
      <c r="G71" s="501"/>
      <c r="H71" s="501"/>
      <c r="I71" s="267">
        <f t="shared" si="0"/>
        <v>0</v>
      </c>
    </row>
    <row r="72" spans="3:9" ht="15" customHeight="1" outlineLevel="1">
      <c r="C72" s="423"/>
      <c r="D72" s="500"/>
      <c r="E72" s="501"/>
      <c r="F72" s="501"/>
      <c r="G72" s="501"/>
      <c r="H72" s="501"/>
      <c r="I72" s="267">
        <f t="shared" si="0"/>
        <v>0</v>
      </c>
    </row>
    <row r="73" spans="3:9" ht="15" customHeight="1" outlineLevel="1">
      <c r="C73" s="423"/>
      <c r="D73" s="500"/>
      <c r="E73" s="501"/>
      <c r="F73" s="501"/>
      <c r="G73" s="501"/>
      <c r="H73" s="501"/>
      <c r="I73" s="267">
        <f t="shared" si="0"/>
        <v>0</v>
      </c>
    </row>
    <row r="74" spans="3:9" ht="15" customHeight="1" outlineLevel="1">
      <c r="C74" s="423"/>
      <c r="D74" s="500"/>
      <c r="E74" s="501"/>
      <c r="F74" s="501"/>
      <c r="G74" s="501"/>
      <c r="H74" s="501"/>
      <c r="I74" s="267">
        <f t="shared" si="0"/>
        <v>0</v>
      </c>
    </row>
    <row r="75" spans="3:9" ht="15" customHeight="1" outlineLevel="1">
      <c r="C75" s="423"/>
      <c r="D75" s="500"/>
      <c r="E75" s="501"/>
      <c r="F75" s="501"/>
      <c r="G75" s="501"/>
      <c r="H75" s="501"/>
      <c r="I75" s="267">
        <f t="shared" si="0"/>
        <v>0</v>
      </c>
    </row>
    <row r="76" spans="3:9" ht="15" customHeight="1" outlineLevel="1">
      <c r="C76" s="423"/>
      <c r="D76" s="500"/>
      <c r="E76" s="501"/>
      <c r="F76" s="501"/>
      <c r="G76" s="501"/>
      <c r="H76" s="501"/>
      <c r="I76" s="267">
        <f t="shared" si="0"/>
        <v>0</v>
      </c>
    </row>
    <row r="77" spans="3:9" ht="15" customHeight="1" outlineLevel="1">
      <c r="C77" s="423"/>
      <c r="D77" s="500"/>
      <c r="E77" s="501"/>
      <c r="F77" s="501"/>
      <c r="G77" s="501"/>
      <c r="H77" s="501"/>
      <c r="I77" s="267">
        <f t="shared" si="0"/>
        <v>0</v>
      </c>
    </row>
    <row r="78" spans="3:9" ht="15" customHeight="1" outlineLevel="1">
      <c r="C78" s="423"/>
      <c r="D78" s="500"/>
      <c r="E78" s="501"/>
      <c r="F78" s="501"/>
      <c r="G78" s="501"/>
      <c r="H78" s="501"/>
      <c r="I78" s="267">
        <f t="shared" si="0"/>
        <v>0</v>
      </c>
    </row>
    <row r="79" spans="3:9" ht="15" customHeight="1" outlineLevel="1">
      <c r="C79" s="423"/>
      <c r="D79" s="500"/>
      <c r="E79" s="501"/>
      <c r="F79" s="501"/>
      <c r="G79" s="501"/>
      <c r="H79" s="501"/>
      <c r="I79" s="267">
        <f t="shared" si="0"/>
        <v>0</v>
      </c>
    </row>
    <row r="80" spans="3:9" ht="15" customHeight="1" outlineLevel="1">
      <c r="C80" s="423"/>
      <c r="D80" s="500"/>
      <c r="E80" s="501"/>
      <c r="F80" s="501"/>
      <c r="G80" s="501"/>
      <c r="H80" s="501"/>
      <c r="I80" s="267">
        <f t="shared" si="0"/>
        <v>0</v>
      </c>
    </row>
    <row r="81" spans="3:9" ht="15" customHeight="1" outlineLevel="1">
      <c r="C81" s="423"/>
      <c r="D81" s="500"/>
      <c r="E81" s="501"/>
      <c r="F81" s="501"/>
      <c r="G81" s="501"/>
      <c r="H81" s="501"/>
      <c r="I81" s="267">
        <f t="shared" ref="I81:I100" si="1">+E81-H81</f>
        <v>0</v>
      </c>
    </row>
    <row r="82" spans="3:9" ht="15" customHeight="1" outlineLevel="1">
      <c r="C82" s="423"/>
      <c r="D82" s="500"/>
      <c r="E82" s="501"/>
      <c r="F82" s="501"/>
      <c r="G82" s="501"/>
      <c r="H82" s="501"/>
      <c r="I82" s="267">
        <f t="shared" si="1"/>
        <v>0</v>
      </c>
    </row>
    <row r="83" spans="3:9" ht="15" customHeight="1" outlineLevel="1">
      <c r="C83" s="423"/>
      <c r="D83" s="500"/>
      <c r="E83" s="501"/>
      <c r="F83" s="501"/>
      <c r="G83" s="501"/>
      <c r="H83" s="501"/>
      <c r="I83" s="267">
        <f t="shared" si="1"/>
        <v>0</v>
      </c>
    </row>
    <row r="84" spans="3:9" ht="15" customHeight="1" outlineLevel="1">
      <c r="C84" s="423"/>
      <c r="D84" s="500"/>
      <c r="E84" s="501"/>
      <c r="F84" s="501"/>
      <c r="G84" s="501"/>
      <c r="H84" s="501"/>
      <c r="I84" s="267">
        <f t="shared" si="1"/>
        <v>0</v>
      </c>
    </row>
    <row r="85" spans="3:9" ht="15" customHeight="1" outlineLevel="1">
      <c r="C85" s="423"/>
      <c r="D85" s="500"/>
      <c r="E85" s="501"/>
      <c r="F85" s="501"/>
      <c r="G85" s="501"/>
      <c r="H85" s="501"/>
      <c r="I85" s="267">
        <f t="shared" si="1"/>
        <v>0</v>
      </c>
    </row>
    <row r="86" spans="3:9" ht="15" customHeight="1" outlineLevel="1">
      <c r="C86" s="423"/>
      <c r="D86" s="500"/>
      <c r="E86" s="501"/>
      <c r="F86" s="501"/>
      <c r="G86" s="501"/>
      <c r="H86" s="501"/>
      <c r="I86" s="267">
        <f t="shared" si="1"/>
        <v>0</v>
      </c>
    </row>
    <row r="87" spans="3:9" ht="15" customHeight="1" outlineLevel="1">
      <c r="C87" s="423"/>
      <c r="D87" s="500"/>
      <c r="E87" s="501"/>
      <c r="F87" s="501"/>
      <c r="G87" s="501"/>
      <c r="H87" s="501"/>
      <c r="I87" s="267">
        <f t="shared" si="1"/>
        <v>0</v>
      </c>
    </row>
    <row r="88" spans="3:9" ht="15" customHeight="1" outlineLevel="1">
      <c r="C88" s="423"/>
      <c r="D88" s="500"/>
      <c r="E88" s="501"/>
      <c r="F88" s="501"/>
      <c r="G88" s="501"/>
      <c r="H88" s="501"/>
      <c r="I88" s="267">
        <f t="shared" si="1"/>
        <v>0</v>
      </c>
    </row>
    <row r="89" spans="3:9" ht="15" customHeight="1" outlineLevel="1">
      <c r="C89" s="423"/>
      <c r="D89" s="500"/>
      <c r="E89" s="501"/>
      <c r="F89" s="501"/>
      <c r="G89" s="501"/>
      <c r="H89" s="501"/>
      <c r="I89" s="267">
        <f t="shared" si="1"/>
        <v>0</v>
      </c>
    </row>
    <row r="90" spans="3:9" ht="15" customHeight="1" outlineLevel="1">
      <c r="C90" s="423"/>
      <c r="D90" s="500"/>
      <c r="E90" s="501"/>
      <c r="F90" s="501"/>
      <c r="G90" s="501"/>
      <c r="H90" s="501"/>
      <c r="I90" s="267">
        <f t="shared" si="1"/>
        <v>0</v>
      </c>
    </row>
    <row r="91" spans="3:9" ht="15" customHeight="1" outlineLevel="1">
      <c r="C91" s="423"/>
      <c r="D91" s="500"/>
      <c r="E91" s="501"/>
      <c r="F91" s="501"/>
      <c r="G91" s="501"/>
      <c r="H91" s="501"/>
      <c r="I91" s="267">
        <f t="shared" si="1"/>
        <v>0</v>
      </c>
    </row>
    <row r="92" spans="3:9" ht="15" customHeight="1" outlineLevel="1">
      <c r="C92" s="423"/>
      <c r="D92" s="500"/>
      <c r="E92" s="501"/>
      <c r="F92" s="501"/>
      <c r="G92" s="501"/>
      <c r="H92" s="501"/>
      <c r="I92" s="267">
        <f t="shared" si="1"/>
        <v>0</v>
      </c>
    </row>
    <row r="93" spans="3:9" ht="15" customHeight="1" outlineLevel="1">
      <c r="C93" s="423"/>
      <c r="D93" s="500"/>
      <c r="E93" s="501"/>
      <c r="F93" s="501"/>
      <c r="G93" s="501"/>
      <c r="H93" s="501"/>
      <c r="I93" s="267">
        <f t="shared" si="1"/>
        <v>0</v>
      </c>
    </row>
    <row r="94" spans="3:9" ht="15" customHeight="1" outlineLevel="1">
      <c r="C94" s="423"/>
      <c r="D94" s="500"/>
      <c r="E94" s="501"/>
      <c r="F94" s="501"/>
      <c r="G94" s="501"/>
      <c r="H94" s="501"/>
      <c r="I94" s="267">
        <f t="shared" si="1"/>
        <v>0</v>
      </c>
    </row>
    <row r="95" spans="3:9" ht="15" customHeight="1" outlineLevel="1">
      <c r="C95" s="423"/>
      <c r="D95" s="500"/>
      <c r="E95" s="501"/>
      <c r="F95" s="501"/>
      <c r="G95" s="501"/>
      <c r="H95" s="501"/>
      <c r="I95" s="267">
        <f t="shared" si="1"/>
        <v>0</v>
      </c>
    </row>
    <row r="96" spans="3:9" ht="15" customHeight="1" outlineLevel="1">
      <c r="C96" s="423"/>
      <c r="D96" s="500"/>
      <c r="E96" s="501"/>
      <c r="F96" s="501"/>
      <c r="G96" s="501"/>
      <c r="H96" s="501"/>
      <c r="I96" s="267">
        <f t="shared" si="1"/>
        <v>0</v>
      </c>
    </row>
    <row r="97" spans="3:9" ht="15" customHeight="1" outlineLevel="1">
      <c r="C97" s="423"/>
      <c r="D97" s="500"/>
      <c r="E97" s="501"/>
      <c r="F97" s="501"/>
      <c r="G97" s="501"/>
      <c r="H97" s="501"/>
      <c r="I97" s="267">
        <f t="shared" si="1"/>
        <v>0</v>
      </c>
    </row>
    <row r="98" spans="3:9" ht="15" customHeight="1" outlineLevel="1">
      <c r="C98" s="423"/>
      <c r="D98" s="500"/>
      <c r="E98" s="501"/>
      <c r="F98" s="501"/>
      <c r="G98" s="501"/>
      <c r="H98" s="501"/>
      <c r="I98" s="267">
        <f t="shared" si="1"/>
        <v>0</v>
      </c>
    </row>
    <row r="99" spans="3:9" ht="15" customHeight="1" outlineLevel="1">
      <c r="C99" s="423"/>
      <c r="D99" s="500"/>
      <c r="E99" s="501"/>
      <c r="F99" s="501"/>
      <c r="G99" s="501"/>
      <c r="H99" s="501"/>
      <c r="I99" s="267">
        <f t="shared" si="1"/>
        <v>0</v>
      </c>
    </row>
    <row r="100" spans="3:9" ht="15" customHeight="1" outlineLevel="1">
      <c r="C100" s="502"/>
      <c r="D100" s="503"/>
      <c r="E100" s="504"/>
      <c r="F100" s="504"/>
      <c r="G100" s="504"/>
      <c r="H100" s="504"/>
      <c r="I100" s="268">
        <f t="shared" si="1"/>
        <v>0</v>
      </c>
    </row>
    <row r="101" spans="3:9" ht="19.5" customHeight="1">
      <c r="E101" s="269">
        <f>SUM(E16:E100)</f>
        <v>110160</v>
      </c>
      <c r="H101" s="269">
        <f>SUM(H16:H100)</f>
        <v>110160</v>
      </c>
      <c r="I101" s="269">
        <f>SUM(I16:I100)</f>
        <v>0</v>
      </c>
    </row>
    <row r="102" spans="3:9" ht="15" customHeight="1"/>
    <row r="103" spans="3:9" ht="15" hidden="1" customHeight="1" outlineLevel="1">
      <c r="C103" t="s">
        <v>1106</v>
      </c>
    </row>
    <row r="104" spans="3:9" ht="15" hidden="1" customHeight="1" outlineLevel="1">
      <c r="C104" s="505"/>
      <c r="D104" s="506"/>
      <c r="E104" s="506"/>
      <c r="F104" s="506"/>
      <c r="G104" s="506"/>
      <c r="H104" s="506"/>
      <c r="I104" s="507"/>
    </row>
    <row r="105" spans="3:9" ht="15" hidden="1" customHeight="1" outlineLevel="1">
      <c r="C105" s="508"/>
      <c r="D105" s="509"/>
      <c r="E105" s="509"/>
      <c r="F105" s="509"/>
      <c r="G105" s="509"/>
      <c r="H105" s="509"/>
      <c r="I105" s="510"/>
    </row>
    <row r="106" spans="3:9" ht="15" hidden="1" customHeight="1" outlineLevel="1">
      <c r="C106" s="508"/>
      <c r="D106" s="509"/>
      <c r="E106" s="509"/>
      <c r="F106" s="509"/>
      <c r="G106" s="509"/>
      <c r="H106" s="509"/>
      <c r="I106" s="510"/>
    </row>
    <row r="107" spans="3:9" ht="15" hidden="1" customHeight="1" outlineLevel="1">
      <c r="C107" s="508"/>
      <c r="D107" s="509"/>
      <c r="E107" s="509"/>
      <c r="F107" s="509"/>
      <c r="G107" s="509"/>
      <c r="H107" s="509"/>
      <c r="I107" s="510"/>
    </row>
    <row r="108" spans="3:9" ht="15" hidden="1" customHeight="1" outlineLevel="1">
      <c r="C108" s="508"/>
      <c r="D108" s="509"/>
      <c r="E108" s="509"/>
      <c r="F108" s="509"/>
      <c r="G108" s="509"/>
      <c r="H108" s="509"/>
      <c r="I108" s="510"/>
    </row>
    <row r="109" spans="3:9" ht="15" hidden="1" customHeight="1" outlineLevel="1">
      <c r="C109" s="508"/>
      <c r="D109" s="509"/>
      <c r="E109" s="509"/>
      <c r="F109" s="509"/>
      <c r="G109" s="509"/>
      <c r="H109" s="509"/>
      <c r="I109" s="510"/>
    </row>
    <row r="110" spans="3:9" ht="15" hidden="1" customHeight="1" outlineLevel="1">
      <c r="C110" s="508"/>
      <c r="D110" s="509"/>
      <c r="E110" s="509"/>
      <c r="F110" s="509"/>
      <c r="G110" s="509"/>
      <c r="H110" s="509"/>
      <c r="I110" s="510"/>
    </row>
    <row r="111" spans="3:9" ht="15" hidden="1" customHeight="1" outlineLevel="1">
      <c r="C111" s="508"/>
      <c r="D111" s="509"/>
      <c r="E111" s="509"/>
      <c r="F111" s="509"/>
      <c r="G111" s="509"/>
      <c r="H111" s="509"/>
      <c r="I111" s="510"/>
    </row>
    <row r="112" spans="3:9" ht="15" hidden="1" customHeight="1" outlineLevel="1">
      <c r="C112" s="508"/>
      <c r="D112" s="509"/>
      <c r="E112" s="509"/>
      <c r="F112" s="509"/>
      <c r="G112" s="509"/>
      <c r="H112" s="509"/>
      <c r="I112" s="510"/>
    </row>
    <row r="113" spans="3:9" ht="15" hidden="1" customHeight="1" outlineLevel="1">
      <c r="C113" s="508"/>
      <c r="D113" s="509"/>
      <c r="E113" s="509"/>
      <c r="F113" s="509"/>
      <c r="G113" s="509"/>
      <c r="H113" s="509"/>
      <c r="I113" s="510"/>
    </row>
    <row r="114" spans="3:9" ht="15" hidden="1" customHeight="1" outlineLevel="1">
      <c r="C114" s="508"/>
      <c r="D114" s="509"/>
      <c r="E114" s="509"/>
      <c r="F114" s="509"/>
      <c r="G114" s="509"/>
      <c r="H114" s="509"/>
      <c r="I114" s="510"/>
    </row>
    <row r="115" spans="3:9" ht="15" hidden="1" customHeight="1" outlineLevel="1">
      <c r="C115" s="508"/>
      <c r="D115" s="509"/>
      <c r="E115" s="509"/>
      <c r="F115" s="509"/>
      <c r="G115" s="509"/>
      <c r="H115" s="509"/>
      <c r="I115" s="510"/>
    </row>
    <row r="116" spans="3:9" ht="15" hidden="1" customHeight="1" outlineLevel="1">
      <c r="C116" s="508"/>
      <c r="D116" s="509"/>
      <c r="E116" s="509"/>
      <c r="F116" s="509"/>
      <c r="G116" s="509"/>
      <c r="H116" s="509"/>
      <c r="I116" s="510"/>
    </row>
    <row r="117" spans="3:9" ht="15" hidden="1" customHeight="1" outlineLevel="1">
      <c r="C117" s="508"/>
      <c r="D117" s="509"/>
      <c r="E117" s="509"/>
      <c r="F117" s="509"/>
      <c r="G117" s="509"/>
      <c r="H117" s="509"/>
      <c r="I117" s="510"/>
    </row>
    <row r="118" spans="3:9" ht="15" hidden="1" customHeight="1" outlineLevel="1">
      <c r="C118" s="508"/>
      <c r="D118" s="509"/>
      <c r="E118" s="509"/>
      <c r="F118" s="509"/>
      <c r="G118" s="509"/>
      <c r="H118" s="509"/>
      <c r="I118" s="510"/>
    </row>
    <row r="119" spans="3:9" ht="15" hidden="1" customHeight="1" outlineLevel="1">
      <c r="C119" s="508"/>
      <c r="D119" s="509"/>
      <c r="E119" s="509"/>
      <c r="F119" s="509"/>
      <c r="G119" s="509"/>
      <c r="H119" s="509"/>
      <c r="I119" s="510"/>
    </row>
    <row r="120" spans="3:9" ht="15" hidden="1" customHeight="1" outlineLevel="1">
      <c r="C120" s="508"/>
      <c r="D120" s="509"/>
      <c r="E120" s="509"/>
      <c r="F120" s="509"/>
      <c r="G120" s="509"/>
      <c r="H120" s="509"/>
      <c r="I120" s="510"/>
    </row>
    <row r="121" spans="3:9" ht="15" hidden="1" customHeight="1" outlineLevel="1">
      <c r="C121" s="508"/>
      <c r="D121" s="509"/>
      <c r="E121" s="509"/>
      <c r="F121" s="509"/>
      <c r="G121" s="509"/>
      <c r="H121" s="509"/>
      <c r="I121" s="510"/>
    </row>
    <row r="122" spans="3:9" ht="15" hidden="1" customHeight="1" outlineLevel="1">
      <c r="C122" s="508"/>
      <c r="D122" s="509"/>
      <c r="E122" s="509"/>
      <c r="F122" s="509"/>
      <c r="G122" s="509"/>
      <c r="H122" s="509"/>
      <c r="I122" s="510"/>
    </row>
    <row r="123" spans="3:9" ht="15" hidden="1" customHeight="1" outlineLevel="1">
      <c r="C123" s="508"/>
      <c r="D123" s="509"/>
      <c r="E123" s="509"/>
      <c r="F123" s="509"/>
      <c r="G123" s="509"/>
      <c r="H123" s="509"/>
      <c r="I123" s="510"/>
    </row>
    <row r="124" spans="3:9" ht="15" hidden="1" customHeight="1" outlineLevel="1">
      <c r="C124" s="508"/>
      <c r="D124" s="509"/>
      <c r="E124" s="509"/>
      <c r="F124" s="509"/>
      <c r="G124" s="509"/>
      <c r="H124" s="509"/>
      <c r="I124" s="510"/>
    </row>
    <row r="125" spans="3:9" ht="15" hidden="1" customHeight="1" outlineLevel="1">
      <c r="C125" s="508"/>
      <c r="D125" s="509"/>
      <c r="E125" s="509"/>
      <c r="F125" s="509"/>
      <c r="G125" s="509"/>
      <c r="H125" s="509"/>
      <c r="I125" s="510"/>
    </row>
    <row r="126" spans="3:9" ht="15" hidden="1" customHeight="1" outlineLevel="1">
      <c r="C126" s="508"/>
      <c r="D126" s="509"/>
      <c r="E126" s="509"/>
      <c r="F126" s="509"/>
      <c r="G126" s="509"/>
      <c r="H126" s="509"/>
      <c r="I126" s="510"/>
    </row>
    <row r="127" spans="3:9" ht="15" hidden="1" customHeight="1" outlineLevel="1">
      <c r="C127" s="508"/>
      <c r="D127" s="509"/>
      <c r="E127" s="509"/>
      <c r="F127" s="509"/>
      <c r="G127" s="509"/>
      <c r="H127" s="509"/>
      <c r="I127" s="510"/>
    </row>
    <row r="128" spans="3:9" ht="15" hidden="1" customHeight="1" outlineLevel="1">
      <c r="C128" s="508"/>
      <c r="D128" s="509"/>
      <c r="E128" s="509"/>
      <c r="F128" s="509"/>
      <c r="G128" s="509"/>
      <c r="H128" s="509"/>
      <c r="I128" s="510"/>
    </row>
    <row r="129" spans="3:9" ht="15" hidden="1" customHeight="1" outlineLevel="1">
      <c r="C129" s="508"/>
      <c r="D129" s="509"/>
      <c r="E129" s="509"/>
      <c r="F129" s="509"/>
      <c r="G129" s="509"/>
      <c r="H129" s="509"/>
      <c r="I129" s="510"/>
    </row>
    <row r="130" spans="3:9" ht="15" hidden="1" customHeight="1" outlineLevel="1">
      <c r="C130" s="508"/>
      <c r="D130" s="509"/>
      <c r="E130" s="509"/>
      <c r="F130" s="509"/>
      <c r="G130" s="509"/>
      <c r="H130" s="509"/>
      <c r="I130" s="510"/>
    </row>
    <row r="131" spans="3:9" ht="15" hidden="1" customHeight="1" outlineLevel="1">
      <c r="C131" s="508"/>
      <c r="D131" s="509"/>
      <c r="E131" s="509"/>
      <c r="F131" s="509"/>
      <c r="G131" s="509"/>
      <c r="H131" s="509"/>
      <c r="I131" s="510"/>
    </row>
    <row r="132" spans="3:9" ht="15" hidden="1" customHeight="1" outlineLevel="1">
      <c r="C132" s="508"/>
      <c r="D132" s="509"/>
      <c r="E132" s="509"/>
      <c r="F132" s="509"/>
      <c r="G132" s="509"/>
      <c r="H132" s="509"/>
      <c r="I132" s="510"/>
    </row>
    <row r="133" spans="3:9" ht="15" hidden="1" customHeight="1" outlineLevel="1">
      <c r="C133" s="511"/>
      <c r="D133" s="512"/>
      <c r="E133" s="512"/>
      <c r="F133" s="512"/>
      <c r="G133" s="512"/>
      <c r="H133" s="512"/>
      <c r="I133" s="513"/>
    </row>
    <row r="134" spans="3:9" ht="15" customHeight="1" collapsed="1"/>
    <row r="135" spans="3:9" ht="15" customHeight="1"/>
  </sheetData>
  <mergeCells count="3">
    <mergeCell ref="C5:D5"/>
    <mergeCell ref="E5:F5"/>
    <mergeCell ref="E7:F7"/>
  </mergeCells>
  <dataValidations count="1">
    <dataValidation allowBlank="1" showInputMessage="1" showErrorMessage="1" prompt="Saldo - Dotación ejercicio_x000a_" sqref="I15" xr:uid="{00000000-0002-0000-2200-000000000000}"/>
  </dataValidations>
  <pageMargins left="0.43307086614173229" right="0.23622047244094491" top="0.74803149606299213" bottom="0.74803149606299213" header="0.31496062992125984" footer="0.31496062992125984"/>
  <pageSetup paperSize="9" scale="3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locked="0" defaultSize="0" print="0" autoFill="0" autoPict="0" macro="[0]!borrarmorosos">
                <anchor moveWithCells="1" sizeWithCells="1">
                  <from>
                    <xdr:col>4</xdr:col>
                    <xdr:colOff>1028700</xdr:colOff>
                    <xdr:row>11</xdr:row>
                    <xdr:rowOff>76200</xdr:rowOff>
                  </from>
                  <to>
                    <xdr:col>5</xdr:col>
                    <xdr:colOff>914400</xdr:colOff>
                    <xdr:row>12</xdr:row>
                    <xdr:rowOff>266700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33">
    <pageSetUpPr autoPageBreaks="0" fitToPage="1"/>
  </sheetPr>
  <dimension ref="A1:K58"/>
  <sheetViews>
    <sheetView showGridLines="0" showRowColHeaders="0" showZeros="0" zoomScaleSheetLayoutView="70" zoomScalePageLayoutView="55" workbookViewId="0">
      <pane xSplit="3" ySplit="15" topLeftCell="D16" activePane="bottomRight" state="frozen"/>
      <selection activeCell="G9" sqref="G9"/>
      <selection pane="topRight" activeCell="G9" sqref="G9"/>
      <selection pane="bottomLeft" activeCell="G9" sqref="G9"/>
      <selection pane="bottomRight" activeCell="G9" sqref="G9"/>
    </sheetView>
  </sheetViews>
  <sheetFormatPr baseColWidth="10" defaultColWidth="0" defaultRowHeight="15" customHeight="1" zeroHeight="1" outlineLevelRow="1"/>
  <cols>
    <col min="1" max="2" width="2" customWidth="1"/>
    <col min="3" max="3" width="21.44140625" customWidth="1"/>
    <col min="4" max="4" width="64.5546875" customWidth="1"/>
    <col min="5" max="5" width="22" customWidth="1"/>
    <col min="6" max="6" width="52" customWidth="1"/>
    <col min="7" max="7" width="13" customWidth="1"/>
    <col min="8" max="16384" width="13" hidden="1"/>
  </cols>
  <sheetData>
    <row r="1" spans="3:11" ht="15" customHeight="1"/>
    <row r="2" spans="3:11" ht="9" customHeight="1"/>
    <row r="3" spans="3:11" ht="9.75" customHeight="1">
      <c r="C3" s="1"/>
      <c r="D3" s="1"/>
    </row>
    <row r="4" spans="3:11" ht="9" customHeight="1"/>
    <row r="5" spans="3:11" ht="21">
      <c r="C5" s="2252" t="str">
        <f>+MENU!C5</f>
        <v>Sociedad:</v>
      </c>
      <c r="D5" s="2342"/>
      <c r="E5" s="2285" t="str">
        <f>+MENU!E5</f>
        <v>MARIO PILATO BLAT, S.A.</v>
      </c>
      <c r="F5" s="2286"/>
    </row>
    <row r="6" spans="3:11" ht="12.75" customHeight="1">
      <c r="C6" s="218"/>
      <c r="D6" s="218"/>
      <c r="E6" s="218"/>
      <c r="F6" s="218"/>
    </row>
    <row r="7" spans="3:11" ht="21">
      <c r="C7" s="220" t="str">
        <f>+instrucciones!$C$7</f>
        <v>Fecha de cierre</v>
      </c>
      <c r="D7" s="220"/>
      <c r="E7" s="2299">
        <f>+MENU!D7</f>
        <v>45657</v>
      </c>
      <c r="F7" s="2300"/>
    </row>
    <row r="8" spans="3:11" ht="15" customHeight="1">
      <c r="C8" s="2"/>
      <c r="D8" s="2"/>
      <c r="F8" s="3"/>
      <c r="G8" s="3"/>
      <c r="H8" s="3"/>
    </row>
    <row r="9" spans="3:11" ht="15" customHeight="1"/>
    <row r="10" spans="3:11" ht="5.25" customHeight="1">
      <c r="F10" s="219"/>
    </row>
    <row r="11" spans="3:11" ht="5.25" customHeight="1"/>
    <row r="12" spans="3:11" ht="6" customHeight="1"/>
    <row r="13" spans="3:11" ht="22.5" customHeight="1">
      <c r="C13" s="221" t="s">
        <v>1107</v>
      </c>
      <c r="D13" s="222"/>
    </row>
    <row r="14" spans="3:11" ht="6" customHeight="1"/>
    <row r="15" spans="3:11" s="33" customFormat="1" ht="21" customHeight="1">
      <c r="C15" s="194" t="s">
        <v>1065</v>
      </c>
      <c r="D15" s="194" t="s">
        <v>648</v>
      </c>
      <c r="E15" s="194" t="s">
        <v>995</v>
      </c>
      <c r="F15" s="194" t="s">
        <v>1068</v>
      </c>
      <c r="G15"/>
      <c r="H15"/>
      <c r="I15"/>
    </row>
    <row r="16" spans="3:11" ht="20.25" customHeight="1" outlineLevel="1">
      <c r="C16" s="404">
        <v>30</v>
      </c>
      <c r="D16" s="271" t="str">
        <f>LOOKUP(C16,asientos!$M$12:$M$13033,asientos!$N$12:$N$13033)</f>
        <v>COMERCIALES</v>
      </c>
      <c r="E16" s="276">
        <f ca="1">LOOKUP(C16,asientos!$M$12:$M$13033,asientos!$O$12:$O$13033)</f>
        <v>7571396.0500000007</v>
      </c>
      <c r="F16" s="2572"/>
      <c r="K16" s="270">
        <f>+SYS_4_3_Digitos!A131</f>
        <v>292</v>
      </c>
    </row>
    <row r="17" spans="3:11" ht="20.25" customHeight="1" outlineLevel="1">
      <c r="C17" s="405">
        <v>31</v>
      </c>
      <c r="D17" s="272" t="str">
        <f>LOOKUP(C17,asientos!$M$12:$M$13033,asientos!$N$12:$N$13033)</f>
        <v>MATERIAS PRIMAS</v>
      </c>
      <c r="E17" s="277">
        <f ca="1">LOOKUP(C17,asientos!$M$12:$M$13033,asientos!$O$12:$O$13033)</f>
        <v>33428757.619999997</v>
      </c>
      <c r="F17" s="2573"/>
      <c r="K17" s="270">
        <f>+SYS_4_3_Digitos!A132</f>
        <v>2933</v>
      </c>
    </row>
    <row r="18" spans="3:11" ht="20.25" customHeight="1" outlineLevel="1">
      <c r="C18" s="405">
        <v>32</v>
      </c>
      <c r="D18" s="272" t="str">
        <f>LOOKUP(C18,asientos!$M$12:$M$13033,asientos!$N$12:$N$13033)</f>
        <v>OTROS APROVISIONAMIENTOS</v>
      </c>
      <c r="E18" s="277">
        <f ca="1">LOOKUP(C18,asientos!$M$12:$M$13033,asientos!$O$12:$O$13033)</f>
        <v>254479.54</v>
      </c>
      <c r="F18" s="2573"/>
      <c r="K18" s="270">
        <f>+SYS_4_3_Digitos!A133</f>
        <v>2934</v>
      </c>
    </row>
    <row r="19" spans="3:11" ht="20.25" customHeight="1" outlineLevel="1">
      <c r="C19" s="405">
        <v>33</v>
      </c>
      <c r="D19" s="272" t="str">
        <f>LOOKUP(C19,asientos!$M$12:$M$13033,asientos!$N$12:$N$13033)</f>
        <v>PRODUCTOS EN CURSO</v>
      </c>
      <c r="E19" s="277">
        <f ca="1">LOOKUP(C19,asientos!$M$12:$M$13033,asientos!$O$12:$O$13033)</f>
        <v>0</v>
      </c>
      <c r="F19" s="2573"/>
      <c r="K19" s="270">
        <f>+SYS_4_3_Digitos!A134</f>
        <v>294</v>
      </c>
    </row>
    <row r="20" spans="3:11" ht="20.25" customHeight="1" outlineLevel="1">
      <c r="C20" s="405">
        <v>34</v>
      </c>
      <c r="D20" s="272" t="str">
        <f>LOOKUP(C20,asientos!$M$12:$M$13033,asientos!$N$12:$N$13033)</f>
        <v>PRODUCTOS SEMITERMINADOS</v>
      </c>
      <c r="E20" s="277">
        <f ca="1">LOOKUP(C20,asientos!$M$12:$M$13033,asientos!$O$12:$O$13033)</f>
        <v>0</v>
      </c>
      <c r="F20" s="2573"/>
      <c r="K20" s="270">
        <f>+SYS_4_3_Digitos!A135</f>
        <v>2953</v>
      </c>
    </row>
    <row r="21" spans="3:11" ht="20.25" customHeight="1" outlineLevel="1">
      <c r="C21" s="405">
        <v>35</v>
      </c>
      <c r="D21" s="272" t="str">
        <f>LOOKUP(C21,asientos!$M$12:$M$13033,asientos!$N$12:$N$13033)</f>
        <v>PRODUCTOS TERMINADOS</v>
      </c>
      <c r="E21" s="277">
        <f ca="1">LOOKUP(C21,asientos!$M$12:$M$13033,asientos!$O$12:$O$13033)</f>
        <v>4499319.3600000003</v>
      </c>
      <c r="F21" s="2573"/>
      <c r="K21" s="270">
        <f>+SYS_4_3_Digitos!A136</f>
        <v>2954</v>
      </c>
    </row>
    <row r="22" spans="3:11" ht="20.25" customHeight="1" outlineLevel="1">
      <c r="C22" s="405">
        <v>36</v>
      </c>
      <c r="D22" s="272" t="str">
        <f>LOOKUP(C22,asientos!$M$12:$M$13033,asientos!$N$12:$N$13033)</f>
        <v>SUBPRODUCTOS, RESIDUOS Y MATERIALES RECUPERADOS</v>
      </c>
      <c r="E22" s="277">
        <f ca="1">LOOKUP(C22,asientos!$M$12:$M$13033,asientos!$O$12:$O$13033)</f>
        <v>0</v>
      </c>
      <c r="F22" s="2573"/>
      <c r="K22" s="270">
        <f>+SYS_4_3_Digitos!A137</f>
        <v>2955</v>
      </c>
    </row>
    <row r="23" spans="3:11" ht="20.25" customHeight="1" outlineLevel="1">
      <c r="C23" s="406">
        <v>39</v>
      </c>
      <c r="D23" s="273" t="str">
        <f>LOOKUP(C23,asientos!$M$12:$M$13033,asientos!$N$12:$N$13033)</f>
        <v>DETERIORO DE VALOR DE EXISTENCIAS</v>
      </c>
      <c r="E23" s="278">
        <f ca="1">LOOKUP(C23,asientos!$M$12:$M$13033,asientos!$O$12:$O$13033)</f>
        <v>0</v>
      </c>
      <c r="F23" s="2574"/>
      <c r="K23" s="270">
        <f>+SYS_4_3_Digitos!A139</f>
        <v>297</v>
      </c>
    </row>
    <row r="24" spans="3:11" ht="20.25" customHeight="1" outlineLevel="1">
      <c r="C24" s="279"/>
      <c r="D24" s="281" t="s">
        <v>1115</v>
      </c>
      <c r="E24" s="269">
        <f ca="1">SUM(E16:E23)</f>
        <v>45753952.57</v>
      </c>
      <c r="F24" s="280"/>
      <c r="K24" s="163"/>
    </row>
    <row r="25" spans="3:11" ht="12" customHeight="1"/>
    <row r="26" spans="3:11" ht="18.75" customHeight="1">
      <c r="C26" s="274" t="s">
        <v>1108</v>
      </c>
      <c r="D26" s="151"/>
      <c r="K26" s="163"/>
    </row>
    <row r="27" spans="3:11" ht="6" customHeight="1">
      <c r="K27" s="163"/>
    </row>
    <row r="28" spans="3:11" ht="15" customHeight="1">
      <c r="C28" s="2563"/>
      <c r="D28" s="2564"/>
      <c r="E28" s="2564"/>
      <c r="F28" s="2565"/>
    </row>
    <row r="29" spans="3:11" ht="15" customHeight="1">
      <c r="C29" s="2566"/>
      <c r="D29" s="2567"/>
      <c r="E29" s="2567"/>
      <c r="F29" s="2568"/>
    </row>
    <row r="30" spans="3:11" ht="15" customHeight="1">
      <c r="C30" s="2566"/>
      <c r="D30" s="2567"/>
      <c r="E30" s="2567"/>
      <c r="F30" s="2568"/>
    </row>
    <row r="31" spans="3:11" ht="15" customHeight="1">
      <c r="C31" s="2566"/>
      <c r="D31" s="2567"/>
      <c r="E31" s="2567"/>
      <c r="F31" s="2568"/>
    </row>
    <row r="32" spans="3:11" ht="15" customHeight="1">
      <c r="C32" s="2566"/>
      <c r="D32" s="2567"/>
      <c r="E32" s="2567"/>
      <c r="F32" s="2568"/>
    </row>
    <row r="33" spans="3:6" ht="15" customHeight="1">
      <c r="C33" s="2566"/>
      <c r="D33" s="2567"/>
      <c r="E33" s="2567"/>
      <c r="F33" s="2568"/>
    </row>
    <row r="34" spans="3:6" ht="15" customHeight="1">
      <c r="C34" s="2566"/>
      <c r="D34" s="2567"/>
      <c r="E34" s="2567"/>
      <c r="F34" s="2568"/>
    </row>
    <row r="35" spans="3:6" ht="15" customHeight="1">
      <c r="C35" s="2569"/>
      <c r="D35" s="2570"/>
      <c r="E35" s="2570"/>
      <c r="F35" s="2571"/>
    </row>
    <row r="36" spans="3:6" ht="7.5" customHeight="1"/>
    <row r="37" spans="3:6" ht="18.75" customHeight="1">
      <c r="C37" s="274" t="s">
        <v>1109</v>
      </c>
      <c r="D37" s="151"/>
    </row>
    <row r="38" spans="3:6" ht="7.5" customHeight="1"/>
    <row r="39" spans="3:6" ht="15" customHeight="1">
      <c r="C39" s="275" t="s">
        <v>1110</v>
      </c>
    </row>
    <row r="40" spans="3:6" ht="15" customHeight="1">
      <c r="C40" s="2563"/>
      <c r="D40" s="2564"/>
      <c r="E40" s="2564"/>
      <c r="F40" s="2565"/>
    </row>
    <row r="41" spans="3:6" ht="15" customHeight="1">
      <c r="C41" s="2566"/>
      <c r="D41" s="2567"/>
      <c r="E41" s="2567"/>
      <c r="F41" s="2568"/>
    </row>
    <row r="42" spans="3:6" ht="15" customHeight="1">
      <c r="C42" s="2566"/>
      <c r="D42" s="2567"/>
      <c r="E42" s="2567"/>
      <c r="F42" s="2568"/>
    </row>
    <row r="43" spans="3:6" ht="15" customHeight="1">
      <c r="C43" s="2566"/>
      <c r="D43" s="2567"/>
      <c r="E43" s="2567"/>
      <c r="F43" s="2568"/>
    </row>
    <row r="44" spans="3:6" ht="15" customHeight="1">
      <c r="C44" s="2566"/>
      <c r="D44" s="2567"/>
      <c r="E44" s="2567"/>
      <c r="F44" s="2568"/>
    </row>
    <row r="45" spans="3:6" ht="15" customHeight="1">
      <c r="C45" s="2566"/>
      <c r="D45" s="2567"/>
      <c r="E45" s="2567"/>
      <c r="F45" s="2568"/>
    </row>
    <row r="46" spans="3:6" ht="15" customHeight="1">
      <c r="C46" s="2566"/>
      <c r="D46" s="2567"/>
      <c r="E46" s="2567"/>
      <c r="F46" s="2568"/>
    </row>
    <row r="47" spans="3:6" ht="15" customHeight="1">
      <c r="C47" s="2569"/>
      <c r="D47" s="2570"/>
      <c r="E47" s="2570"/>
      <c r="F47" s="2571"/>
    </row>
    <row r="48" spans="3:6" ht="15" customHeight="1"/>
    <row r="49" spans="3:6" ht="15" customHeight="1">
      <c r="C49" s="275" t="s">
        <v>1111</v>
      </c>
    </row>
    <row r="50" spans="3:6" ht="15" customHeight="1">
      <c r="C50" s="2563"/>
      <c r="D50" s="2564"/>
      <c r="E50" s="2564"/>
      <c r="F50" s="2565"/>
    </row>
    <row r="51" spans="3:6" ht="15" customHeight="1">
      <c r="C51" s="2566"/>
      <c r="D51" s="2567"/>
      <c r="E51" s="2567"/>
      <c r="F51" s="2568"/>
    </row>
    <row r="52" spans="3:6" ht="15" customHeight="1">
      <c r="C52" s="2566"/>
      <c r="D52" s="2567"/>
      <c r="E52" s="2567"/>
      <c r="F52" s="2568"/>
    </row>
    <row r="53" spans="3:6" ht="15" customHeight="1">
      <c r="C53" s="2566"/>
      <c r="D53" s="2567"/>
      <c r="E53" s="2567"/>
      <c r="F53" s="2568"/>
    </row>
    <row r="54" spans="3:6" ht="15" customHeight="1">
      <c r="C54" s="2566"/>
      <c r="D54" s="2567"/>
      <c r="E54" s="2567"/>
      <c r="F54" s="2568"/>
    </row>
    <row r="55" spans="3:6" ht="15" customHeight="1">
      <c r="C55" s="2566"/>
      <c r="D55" s="2567"/>
      <c r="E55" s="2567"/>
      <c r="F55" s="2568"/>
    </row>
    <row r="56" spans="3:6" ht="15" customHeight="1">
      <c r="C56" s="2566"/>
      <c r="D56" s="2567"/>
      <c r="E56" s="2567"/>
      <c r="F56" s="2568"/>
    </row>
    <row r="57" spans="3:6" ht="15" customHeight="1">
      <c r="C57" s="2569"/>
      <c r="D57" s="2570"/>
      <c r="E57" s="2570"/>
      <c r="F57" s="2571"/>
    </row>
    <row r="58" spans="3:6" ht="15" customHeight="1"/>
  </sheetData>
  <mergeCells count="7">
    <mergeCell ref="C50:F57"/>
    <mergeCell ref="C5:D5"/>
    <mergeCell ref="E5:F5"/>
    <mergeCell ref="E7:F7"/>
    <mergeCell ref="F16:F23"/>
    <mergeCell ref="C28:F35"/>
    <mergeCell ref="C40:F47"/>
  </mergeCells>
  <dataValidations count="1">
    <dataValidation type="list" allowBlank="1" showInputMessage="1" showErrorMessage="1" sqref="C16:C24" xr:uid="{00000000-0002-0000-2300-000000000000}">
      <formula1>$K$16:$K$23</formula1>
    </dataValidation>
  </dataValidations>
  <pageMargins left="0.43307086614173229" right="0.23622047244094491" top="0.74803149606299213" bottom="0.74803149606299213" header="0.31496062992125984" footer="0.31496062992125984"/>
  <pageSetup paperSize="9" scale="50" orientation="landscape" r:id="rId1"/>
  <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4">
    <tabColor rgb="FFFFC000"/>
    <pageSetUpPr autoPageBreaks="0"/>
  </sheetPr>
  <dimension ref="C1:T78"/>
  <sheetViews>
    <sheetView showGridLines="0" showRowColHeaders="0" showZeros="0" topLeftCell="A47" zoomScale="85" zoomScaleNormal="85" zoomScaleSheetLayoutView="85" zoomScalePageLayoutView="55" workbookViewId="0">
      <selection activeCell="H58" sqref="H58"/>
    </sheetView>
  </sheetViews>
  <sheetFormatPr baseColWidth="10" defaultColWidth="0" defaultRowHeight="13.8"/>
  <cols>
    <col min="1" max="2" width="2" style="553" customWidth="1"/>
    <col min="3" max="3" width="28.5546875" style="553" customWidth="1"/>
    <col min="4" max="4" width="69" style="553" customWidth="1"/>
    <col min="5" max="5" width="19" style="553" customWidth="1"/>
    <col min="6" max="6" width="20.5546875" style="553" customWidth="1"/>
    <col min="7" max="7" width="22.5546875" style="553" customWidth="1"/>
    <col min="8" max="8" width="4" style="553" customWidth="1"/>
    <col min="9" max="11" width="18" style="553" customWidth="1"/>
    <col min="12" max="12" width="4" style="553" customWidth="1"/>
    <col min="13" max="13" width="18" style="553" hidden="1" customWidth="1"/>
    <col min="14" max="14" width="4" style="553" hidden="1" customWidth="1"/>
    <col min="15" max="20" width="13" style="553" hidden="1" customWidth="1"/>
    <col min="21" max="16384" width="0" style="553" hidden="1"/>
  </cols>
  <sheetData>
    <row r="1" spans="3:7" ht="15" hidden="1" customHeight="1"/>
    <row r="2" spans="3:7" ht="9" hidden="1" customHeight="1"/>
    <row r="3" spans="3:7" ht="9.75" hidden="1" customHeight="1"/>
    <row r="4" spans="3:7" ht="9" customHeight="1"/>
    <row r="5" spans="3:7" ht="30">
      <c r="C5" s="563" t="str">
        <f>+MENU!C5</f>
        <v>Sociedad:</v>
      </c>
      <c r="D5" s="2575" t="str">
        <f>+MENU!E5</f>
        <v>MARIO PILATO BLAT, S.A.</v>
      </c>
      <c r="E5" s="2575"/>
      <c r="F5" s="2575"/>
    </row>
    <row r="6" spans="3:7" ht="12.75" customHeight="1">
      <c r="C6" s="794"/>
      <c r="D6" s="794"/>
      <c r="E6" s="794"/>
      <c r="F6" s="794"/>
    </row>
    <row r="7" spans="3:7" ht="17.399999999999999">
      <c r="C7" s="604" t="str">
        <f>+instrucciones!$C$7</f>
        <v>Fecha de cierre</v>
      </c>
      <c r="D7" s="765">
        <f>+MENU!D7</f>
        <v>45657</v>
      </c>
      <c r="E7" s="793"/>
      <c r="G7" s="793"/>
    </row>
    <row r="8" spans="3:7" ht="23.25" hidden="1" customHeight="1">
      <c r="C8" s="612"/>
      <c r="D8" s="612"/>
      <c r="F8" s="613"/>
      <c r="G8" s="613"/>
    </row>
    <row r="9" spans="3:7" ht="15" hidden="1" customHeight="1"/>
    <row r="10" spans="3:7" ht="5.25" customHeight="1">
      <c r="F10" s="795"/>
    </row>
    <row r="11" spans="3:7" ht="5.25" customHeight="1"/>
    <row r="12" spans="3:7" ht="6" customHeight="1"/>
    <row r="13" spans="3:7" ht="30" customHeight="1">
      <c r="C13" s="796" t="s">
        <v>1112</v>
      </c>
      <c r="D13" s="797"/>
    </row>
    <row r="14" spans="3:7" ht="13.5" customHeight="1"/>
    <row r="15" spans="3:7" ht="21.75" customHeight="1">
      <c r="C15" s="2576" t="s">
        <v>1113</v>
      </c>
      <c r="D15" s="2577"/>
      <c r="E15" s="2577"/>
      <c r="F15" s="2577"/>
      <c r="G15" s="2578"/>
    </row>
    <row r="16" spans="3:7" ht="17.25" customHeight="1"/>
    <row r="17" spans="3:20" ht="18" customHeight="1">
      <c r="C17" s="819" t="s">
        <v>1065</v>
      </c>
      <c r="D17" s="819" t="s">
        <v>648</v>
      </c>
      <c r="E17" s="819" t="s">
        <v>995</v>
      </c>
    </row>
    <row r="18" spans="3:20" ht="18" customHeight="1">
      <c r="C18" s="799">
        <v>6300</v>
      </c>
      <c r="D18" s="800" t="str">
        <f>IFERROR(LOOKUP(C18,asientos!$M$12:$M$13033,asientos!$N$12:$N$13033),"")</f>
        <v>IMPUESTO CORRIENTE</v>
      </c>
      <c r="E18" s="801">
        <f ca="1">IFERROR(LOOKUP(C18,asientos!$M$12:$M$13033,asientos!$O$12:$O$13033),0)</f>
        <v>2477666.92</v>
      </c>
      <c r="T18" s="802">
        <v>6300</v>
      </c>
    </row>
    <row r="19" spans="3:20" ht="18" customHeight="1">
      <c r="C19" s="803">
        <v>6301</v>
      </c>
      <c r="D19" s="804" t="str">
        <f>IFERROR(LOOKUP(C19,asientos!$M$12:$M$13033,asientos!$N$12:$N$13033),"")</f>
        <v>IMPUESTO DIFERIDO</v>
      </c>
      <c r="E19" s="805">
        <f ca="1">IFERROR(LOOKUP(C19,asientos!$M$12:$M$13033,asientos!$O$12:$O$13033),0)</f>
        <v>65906.049999999988</v>
      </c>
      <c r="R19" s="802">
        <v>6301</v>
      </c>
    </row>
    <row r="20" spans="3:20" ht="18" customHeight="1">
      <c r="C20" s="803">
        <v>633</v>
      </c>
      <c r="D20" s="804" t="str">
        <f>IFERROR(LOOKUP(C20,asientos!$M$12:$M$13033,asientos!$N$12:$N$13033),"")</f>
        <v>AJUSTES NEGATIVOS EN LA IMPOSICIÓN SOBRE BENEFICIOS</v>
      </c>
      <c r="E20" s="805">
        <f ca="1">IFERROR(LOOKUP(C20,asientos!$M$12:$M$13033,asientos!$O$12:$O$13033),0)</f>
        <v>0</v>
      </c>
      <c r="R20" s="802">
        <v>631</v>
      </c>
    </row>
    <row r="21" spans="3:20" ht="18" customHeight="1">
      <c r="C21" s="803">
        <v>638</v>
      </c>
      <c r="D21" s="804" t="str">
        <f>IFERROR(LOOKUP(C21,asientos!$M$12:$M$13033,asientos!$N$12:$N$13033),"")</f>
        <v>AJUSTES POSITIVOS EN LA IMPOSICIÓN SOBRE BENEFICIOS</v>
      </c>
      <c r="E21" s="805">
        <f ca="1">IFERROR(LOOKUP(C21,asientos!$M$12:$M$13033,asientos!$O$12:$O$13033),0)</f>
        <v>0</v>
      </c>
      <c r="R21" s="802">
        <v>633</v>
      </c>
    </row>
    <row r="22" spans="3:20" ht="18" customHeight="1">
      <c r="C22" s="803"/>
      <c r="D22" s="804" t="str">
        <f>IFERROR(LOOKUP(C22,asientos!$M$12:$M$13033,asientos!$N$12:$N$13033),"")</f>
        <v/>
      </c>
      <c r="E22" s="805">
        <f>IFERROR(LOOKUP(C22,asientos!$M$12:$M$13033,asientos!$O$12:$O$13033),0)</f>
        <v>0</v>
      </c>
      <c r="R22" s="802">
        <v>6341</v>
      </c>
    </row>
    <row r="23" spans="3:20" ht="18" customHeight="1">
      <c r="C23" s="803"/>
      <c r="D23" s="804" t="str">
        <f>IFERROR(LOOKUP(C23,asientos!$M$12:$M$13033,asientos!$N$12:$N$13033),"")</f>
        <v/>
      </c>
      <c r="E23" s="805">
        <f>IFERROR(LOOKUP(C23,asientos!$M$12:$M$13033,asientos!$O$12:$O$13033),0)</f>
        <v>0</v>
      </c>
      <c r="R23" s="802">
        <v>6342</v>
      </c>
    </row>
    <row r="24" spans="3:20" ht="18" customHeight="1">
      <c r="C24" s="803"/>
      <c r="D24" s="804" t="str">
        <f>IFERROR(LOOKUP(C24,asientos!$M$12:$M$13033,asientos!$N$12:$N$13033),"")</f>
        <v/>
      </c>
      <c r="E24" s="805">
        <f>IFERROR(LOOKUP(C24,asientos!$M$12:$M$13033,asientos!$O$12:$O$13033),0)</f>
        <v>0</v>
      </c>
      <c r="R24" s="802">
        <v>636</v>
      </c>
    </row>
    <row r="25" spans="3:20" ht="18" customHeight="1">
      <c r="C25" s="806"/>
      <c r="D25" s="807" t="str">
        <f>IFERROR(LOOKUP(C25,asientos!$M$12:$M$13033,asientos!$N$12:$N$13033),"")</f>
        <v/>
      </c>
      <c r="E25" s="808">
        <f>IFERROR(LOOKUP(C25,asientos!$M$12:$M$13033,asientos!$O$12:$O$13033),0)</f>
        <v>0</v>
      </c>
      <c r="R25" s="802">
        <v>638</v>
      </c>
    </row>
    <row r="26" spans="3:20" ht="22.5" customHeight="1">
      <c r="D26" s="809" t="s">
        <v>1114</v>
      </c>
      <c r="E26" s="810">
        <f ca="1">SUM(E18:E25)</f>
        <v>2543572.9699999997</v>
      </c>
      <c r="F26"/>
      <c r="G26"/>
      <c r="R26" s="802">
        <v>6391</v>
      </c>
    </row>
    <row r="27" spans="3:20" ht="17.25" customHeight="1">
      <c r="F27"/>
      <c r="G27"/>
      <c r="T27" s="802">
        <v>6392</v>
      </c>
    </row>
    <row r="28" spans="3:20" ht="18" customHeight="1">
      <c r="D28" s="819" t="s">
        <v>648</v>
      </c>
      <c r="E28" s="819" t="s">
        <v>986</v>
      </c>
      <c r="F28"/>
      <c r="G28"/>
    </row>
    <row r="29" spans="3:20" ht="18" customHeight="1">
      <c r="C29" s="811" t="s">
        <v>1116</v>
      </c>
      <c r="D29" s="814" t="s">
        <v>1548</v>
      </c>
      <c r="E29" s="812"/>
      <c r="F29"/>
      <c r="G29"/>
    </row>
    <row r="30" spans="3:20" ht="18" customHeight="1">
      <c r="C30" s="813" t="s">
        <v>1117</v>
      </c>
      <c r="D30" s="814" t="s">
        <v>2954</v>
      </c>
      <c r="E30" s="812">
        <v>6882</v>
      </c>
      <c r="F30"/>
      <c r="G30"/>
    </row>
    <row r="31" spans="3:20" ht="18" customHeight="1">
      <c r="C31" s="813" t="s">
        <v>1118</v>
      </c>
      <c r="D31" s="814" t="s">
        <v>2959</v>
      </c>
      <c r="E31" s="812">
        <v>605.61</v>
      </c>
      <c r="F31" s="605" t="s">
        <v>2960</v>
      </c>
    </row>
    <row r="32" spans="3:20" ht="18" customHeight="1">
      <c r="C32" s="813" t="s">
        <v>1119</v>
      </c>
      <c r="D32" s="815" t="s">
        <v>2955</v>
      </c>
      <c r="E32" s="812">
        <f>-F32*0.95</f>
        <v>-2661484.0425</v>
      </c>
      <c r="F32" s="2224">
        <v>2801562.15</v>
      </c>
    </row>
    <row r="33" spans="3:7" ht="18" customHeight="1">
      <c r="C33" s="813" t="s">
        <v>1120</v>
      </c>
      <c r="D33" s="815" t="s">
        <v>2956</v>
      </c>
      <c r="E33" s="812">
        <f t="shared" ref="E33:E34" si="0">-F33*0.95</f>
        <v>-2719869.3989999997</v>
      </c>
      <c r="F33" s="2224">
        <v>2863020.42</v>
      </c>
    </row>
    <row r="34" spans="3:7" ht="18" customHeight="1">
      <c r="C34" s="816" t="s">
        <v>1121</v>
      </c>
      <c r="D34" s="817" t="s">
        <v>2957</v>
      </c>
      <c r="E34" s="812">
        <f t="shared" si="0"/>
        <v>-786530.46</v>
      </c>
      <c r="F34" s="2224">
        <v>827926.8</v>
      </c>
    </row>
    <row r="35" spans="3:7" ht="22.5" customHeight="1">
      <c r="D35" s="809" t="s">
        <v>1127</v>
      </c>
      <c r="E35" s="810">
        <f>SUM(E29:E34)</f>
        <v>-6160396.2914999994</v>
      </c>
    </row>
    <row r="36" spans="3:7" ht="15" customHeight="1"/>
    <row r="37" spans="3:7" ht="15" hidden="1" customHeight="1"/>
    <row r="38" spans="3:7" ht="21.75" customHeight="1">
      <c r="C38" s="2576" t="s">
        <v>1128</v>
      </c>
      <c r="D38" s="2577"/>
      <c r="E38" s="2577"/>
      <c r="F38" s="2577"/>
      <c r="G38" s="2578"/>
    </row>
    <row r="39" spans="3:7" ht="15" customHeight="1"/>
    <row r="40" spans="3:7" ht="15" customHeight="1">
      <c r="C40" s="818" t="s">
        <v>1129</v>
      </c>
    </row>
    <row r="41" spans="3:7" ht="6" customHeight="1"/>
    <row r="42" spans="3:7" ht="18" customHeight="1">
      <c r="C42" s="819" t="s">
        <v>1130</v>
      </c>
      <c r="D42" s="819" t="s">
        <v>1131</v>
      </c>
      <c r="E42" s="819" t="s">
        <v>1132</v>
      </c>
      <c r="F42" s="819" t="s">
        <v>644</v>
      </c>
      <c r="G42" s="819" t="s">
        <v>1136</v>
      </c>
    </row>
    <row r="43" spans="3:7" ht="18" customHeight="1">
      <c r="C43" s="820" t="s">
        <v>1133</v>
      </c>
      <c r="D43" s="821">
        <f>+SUMIF('BASE DATOS LEASING'!$B$5:$B$9822,MENU!$D$5,'BASE DATOS LEASING'!$T$5:$T$9822)</f>
        <v>0</v>
      </c>
      <c r="E43" s="821">
        <f>+SUMIF('BASE DATOS LEASING'!$B$5:$B$9822,MENU!$D$5,'BASE DATOS LEASING'!X5:X9822)</f>
        <v>0</v>
      </c>
      <c r="F43" s="821">
        <f t="shared" ref="F43:F48" si="1">+D43-E43</f>
        <v>0</v>
      </c>
      <c r="G43" s="822">
        <f>+SUMIF('BASE DATOS LEASING'!$B$5:$B$9822,MENU!$D$5,'BASE DATOS LEASING'!AC5:AC9822)</f>
        <v>0</v>
      </c>
    </row>
    <row r="44" spans="3:7" ht="18" customHeight="1">
      <c r="C44" s="823" t="s">
        <v>1134</v>
      </c>
      <c r="D44" s="824"/>
      <c r="E44" s="824"/>
      <c r="F44" s="825">
        <f t="shared" si="1"/>
        <v>0</v>
      </c>
      <c r="G44" s="826"/>
    </row>
    <row r="45" spans="3:7" ht="18" customHeight="1">
      <c r="C45" s="827"/>
      <c r="D45" s="824"/>
      <c r="E45" s="824"/>
      <c r="F45" s="825">
        <f t="shared" si="1"/>
        <v>0</v>
      </c>
      <c r="G45" s="826"/>
    </row>
    <row r="46" spans="3:7" ht="18" customHeight="1">
      <c r="C46" s="827"/>
      <c r="D46" s="824"/>
      <c r="E46" s="824"/>
      <c r="F46" s="825">
        <f t="shared" si="1"/>
        <v>0</v>
      </c>
      <c r="G46" s="826"/>
    </row>
    <row r="47" spans="3:7" ht="18" customHeight="1">
      <c r="C47" s="827"/>
      <c r="D47" s="824"/>
      <c r="E47" s="824"/>
      <c r="F47" s="825">
        <f t="shared" si="1"/>
        <v>0</v>
      </c>
      <c r="G47" s="826"/>
    </row>
    <row r="48" spans="3:7" ht="18" customHeight="1">
      <c r="C48" s="827"/>
      <c r="D48" s="824"/>
      <c r="E48" s="824"/>
      <c r="F48" s="825">
        <f t="shared" si="1"/>
        <v>0</v>
      </c>
      <c r="G48" s="826"/>
    </row>
    <row r="49" spans="3:7" ht="22.5" customHeight="1">
      <c r="C49" s="828" t="s">
        <v>959</v>
      </c>
      <c r="D49" s="829">
        <f t="shared" ref="D49:G49" si="2">SUM(D43:D48)</f>
        <v>0</v>
      </c>
      <c r="E49" s="829">
        <f t="shared" si="2"/>
        <v>0</v>
      </c>
      <c r="F49" s="829">
        <f>SUM(F43:F48)</f>
        <v>0</v>
      </c>
      <c r="G49" s="829">
        <f t="shared" si="2"/>
        <v>0</v>
      </c>
    </row>
    <row r="50" spans="3:7" ht="18" customHeight="1"/>
    <row r="51" spans="3:7" ht="18" customHeight="1">
      <c r="D51" s="2581" t="s">
        <v>648</v>
      </c>
      <c r="E51" s="2582"/>
      <c r="F51" s="798" t="s">
        <v>986</v>
      </c>
    </row>
    <row r="52" spans="3:7" ht="18" customHeight="1">
      <c r="C52" s="830" t="s">
        <v>1116</v>
      </c>
      <c r="D52" s="2583" t="s">
        <v>2965</v>
      </c>
      <c r="E52" s="2583"/>
      <c r="F52" s="831">
        <v>-10492.37</v>
      </c>
    </row>
    <row r="53" spans="3:7" ht="18" customHeight="1">
      <c r="C53" s="832" t="s">
        <v>1117</v>
      </c>
      <c r="D53" s="2584"/>
      <c r="E53" s="2584"/>
      <c r="F53" s="833"/>
    </row>
    <row r="54" spans="3:7" ht="18" customHeight="1">
      <c r="C54" s="832" t="s">
        <v>1118</v>
      </c>
      <c r="D54" s="2584"/>
      <c r="E54" s="2584"/>
      <c r="F54" s="833"/>
    </row>
    <row r="55" spans="3:7" ht="18" customHeight="1">
      <c r="C55" s="832" t="s">
        <v>1119</v>
      </c>
      <c r="D55" s="2584"/>
      <c r="E55" s="2584"/>
      <c r="F55" s="833"/>
    </row>
    <row r="56" spans="3:7" ht="18" customHeight="1">
      <c r="C56" s="832" t="s">
        <v>1120</v>
      </c>
      <c r="D56" s="2584"/>
      <c r="E56" s="2584"/>
      <c r="F56" s="833"/>
    </row>
    <row r="57" spans="3:7" ht="18" customHeight="1">
      <c r="C57" s="834" t="s">
        <v>1121</v>
      </c>
      <c r="D57" s="2585"/>
      <c r="E57" s="2585"/>
      <c r="F57" s="835"/>
    </row>
    <row r="58" spans="3:7" ht="22.5" customHeight="1">
      <c r="D58" s="2579" t="s">
        <v>1135</v>
      </c>
      <c r="E58" s="2580"/>
      <c r="F58" s="836">
        <f>SUM(F52:F57)</f>
        <v>-10492.37</v>
      </c>
    </row>
    <row r="60" spans="3:7" hidden="1"/>
    <row r="61" spans="3:7" ht="20.399999999999999">
      <c r="C61" s="2576" t="s">
        <v>1137</v>
      </c>
      <c r="D61" s="2577"/>
      <c r="E61" s="2577"/>
      <c r="F61" s="2577"/>
      <c r="G61" s="2578"/>
    </row>
    <row r="63" spans="3:7" ht="15.6">
      <c r="D63" s="819" t="s">
        <v>648</v>
      </c>
      <c r="E63" s="819" t="s">
        <v>986</v>
      </c>
    </row>
    <row r="64" spans="3:7" ht="18" customHeight="1">
      <c r="C64" s="811" t="s">
        <v>1116</v>
      </c>
      <c r="D64" s="837"/>
      <c r="E64" s="812"/>
    </row>
    <row r="65" spans="3:5" ht="18" customHeight="1">
      <c r="C65" s="813" t="s">
        <v>1117</v>
      </c>
      <c r="D65" s="815"/>
      <c r="E65" s="812"/>
    </row>
    <row r="66" spans="3:5" ht="18" customHeight="1">
      <c r="C66" s="813" t="s">
        <v>1118</v>
      </c>
      <c r="D66" s="815"/>
      <c r="E66" s="812"/>
    </row>
    <row r="67" spans="3:5" ht="18" customHeight="1">
      <c r="C67" s="813" t="s">
        <v>1119</v>
      </c>
      <c r="D67" s="815"/>
      <c r="E67" s="812"/>
    </row>
    <row r="68" spans="3:5" ht="18" customHeight="1">
      <c r="C68" s="813" t="s">
        <v>1120</v>
      </c>
      <c r="D68" s="815"/>
      <c r="E68" s="812"/>
    </row>
    <row r="69" spans="3:5" ht="18" customHeight="1">
      <c r="C69" s="813" t="s">
        <v>1121</v>
      </c>
      <c r="D69" s="815"/>
      <c r="E69" s="812"/>
    </row>
    <row r="70" spans="3:5" ht="18" customHeight="1">
      <c r="C70" s="813" t="s">
        <v>1122</v>
      </c>
      <c r="D70" s="815"/>
      <c r="E70" s="812"/>
    </row>
    <row r="71" spans="3:5" ht="18" customHeight="1">
      <c r="C71" s="813" t="s">
        <v>1123</v>
      </c>
      <c r="D71" s="815"/>
      <c r="E71" s="812"/>
    </row>
    <row r="72" spans="3:5" ht="18" customHeight="1">
      <c r="C72" s="813" t="s">
        <v>1124</v>
      </c>
      <c r="D72" s="815"/>
      <c r="E72" s="812"/>
    </row>
    <row r="73" spans="3:5" ht="18" customHeight="1">
      <c r="C73" s="813" t="s">
        <v>1125</v>
      </c>
      <c r="D73" s="815"/>
      <c r="E73" s="812"/>
    </row>
    <row r="74" spans="3:5" ht="18" customHeight="1">
      <c r="C74" s="813" t="s">
        <v>1126</v>
      </c>
      <c r="D74" s="815"/>
      <c r="E74" s="812"/>
    </row>
    <row r="75" spans="3:5" ht="18" customHeight="1">
      <c r="C75" s="816" t="s">
        <v>1138</v>
      </c>
      <c r="D75" s="817"/>
      <c r="E75" s="812"/>
    </row>
    <row r="76" spans="3:5" ht="22.5" customHeight="1">
      <c r="D76" s="809" t="s">
        <v>1139</v>
      </c>
      <c r="E76" s="810">
        <f>SUM(E64:E75)</f>
        <v>0</v>
      </c>
    </row>
    <row r="78" spans="3:5" ht="22.5" customHeight="1">
      <c r="D78" s="809" t="s">
        <v>1140</v>
      </c>
      <c r="E78" s="810">
        <f>+E76-'PATRIMONIO NETO'!I65</f>
        <v>0</v>
      </c>
    </row>
  </sheetData>
  <mergeCells count="12">
    <mergeCell ref="D5:F5"/>
    <mergeCell ref="C15:G15"/>
    <mergeCell ref="C61:G61"/>
    <mergeCell ref="D58:E58"/>
    <mergeCell ref="D51:E51"/>
    <mergeCell ref="D52:E52"/>
    <mergeCell ref="D53:E53"/>
    <mergeCell ref="D54:E54"/>
    <mergeCell ref="D55:E55"/>
    <mergeCell ref="D56:E56"/>
    <mergeCell ref="D57:E57"/>
    <mergeCell ref="C38:G38"/>
  </mergeCells>
  <conditionalFormatting sqref="T18 T27 R19:R26">
    <cfRule type="expression" dxfId="66" priority="2">
      <formula>R18=""</formula>
    </cfRule>
  </conditionalFormatting>
  <conditionalFormatting sqref="E78">
    <cfRule type="expression" dxfId="65" priority="1">
      <formula>E78&lt;&gt;0</formula>
    </cfRule>
  </conditionalFormatting>
  <dataValidations count="2">
    <dataValidation allowBlank="1" showInputMessage="1" showErrorMessage="1" prompt="Amortización Ejercicio" sqref="D42" xr:uid="{00000000-0002-0000-2400-000000000000}"/>
    <dataValidation type="list" allowBlank="1" showInputMessage="1" showErrorMessage="1" sqref="C18:C25" xr:uid="{00000000-0002-0000-2400-000001000000}">
      <formula1>$T$18:$T$27</formula1>
    </dataValidation>
  </dataValidations>
  <pageMargins left="0.62992125984251968" right="0.23622047244094491" top="0.55118110236220474" bottom="0.55118110236220474" header="0.31496062992125984" footer="0.31496062992125984"/>
  <pageSetup paperSize="9" scale="58" orientation="portrait" r:id="rId1"/>
  <headerFooter>
    <oddFooter>&amp;C&amp;"Arial,Normal"&amp;12&amp;K03-024Ajustes Fiscales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82" r:id="rId4" name="Button 2">
              <controlPr locked="0" defaultSize="0" print="0" autoFill="0" autoPict="0" macro="[0]!BORRARAJUIS">
                <anchor moveWithCells="1" sizeWithCells="1">
                  <from>
                    <xdr:col>4</xdr:col>
                    <xdr:colOff>190500</xdr:colOff>
                    <xdr:row>11</xdr:row>
                    <xdr:rowOff>45720</xdr:rowOff>
                  </from>
                  <to>
                    <xdr:col>6</xdr:col>
                    <xdr:colOff>190500</xdr:colOff>
                    <xdr:row>12</xdr:row>
                    <xdr:rowOff>236220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5">
    <tabColor rgb="FFFFC000"/>
    <pageSetUpPr autoPageBreaks="0"/>
  </sheetPr>
  <dimension ref="C1:N91"/>
  <sheetViews>
    <sheetView showGridLines="0" showZeros="0" view="pageBreakPreview" zoomScale="70" zoomScaleNormal="80" zoomScaleSheetLayoutView="70" zoomScalePageLayoutView="55" workbookViewId="0">
      <pane xSplit="4" ySplit="17" topLeftCell="E77" activePane="bottomRight" state="frozen"/>
      <selection activeCell="H58" sqref="H58"/>
      <selection pane="topRight" activeCell="H58" sqref="H58"/>
      <selection pane="bottomLeft" activeCell="H58" sqref="H58"/>
      <selection pane="bottomRight" activeCell="H58" sqref="H58"/>
    </sheetView>
  </sheetViews>
  <sheetFormatPr baseColWidth="10" defaultColWidth="11.44140625" defaultRowHeight="13.8" outlineLevelRow="1"/>
  <cols>
    <col min="1" max="2" width="2" style="553" customWidth="1"/>
    <col min="3" max="3" width="12" style="553" customWidth="1"/>
    <col min="4" max="4" width="69.44140625" style="553" customWidth="1"/>
    <col min="5" max="6" width="23" style="553" customWidth="1"/>
    <col min="7" max="7" width="28" style="553" customWidth="1"/>
    <col min="8" max="8" width="29" style="553" customWidth="1"/>
    <col min="9" max="9" width="2" style="553" customWidth="1"/>
    <col min="10" max="10" width="18.109375" style="553" bestFit="1" customWidth="1"/>
    <col min="11" max="11" width="22.88671875" style="553" customWidth="1"/>
    <col min="12" max="13" width="18.109375" style="553" bestFit="1" customWidth="1"/>
    <col min="14" max="14" width="18.44140625" style="553" customWidth="1"/>
    <col min="15" max="16384" width="11.44140625" style="553"/>
  </cols>
  <sheetData>
    <row r="1" spans="3:8" ht="15" customHeight="1"/>
    <row r="2" spans="3:8" ht="9" customHeight="1"/>
    <row r="3" spans="3:8" ht="9.75" customHeight="1"/>
    <row r="4" spans="3:8" ht="9" customHeight="1"/>
    <row r="5" spans="3:8" ht="30">
      <c r="C5" s="563" t="str">
        <f>+MENU!C5</f>
        <v>Sociedad:</v>
      </c>
      <c r="D5" s="563"/>
      <c r="E5" s="1101" t="str">
        <f>+MENU!E5</f>
        <v>MARIO PILATO BLAT, S.A.</v>
      </c>
      <c r="G5" s="1100"/>
    </row>
    <row r="6" spans="3:8" ht="12.75" customHeight="1">
      <c r="C6" s="794"/>
      <c r="D6" s="794"/>
      <c r="F6" s="794"/>
    </row>
    <row r="7" spans="3:8" ht="17.399999999999999">
      <c r="C7" s="604" t="str">
        <f>+instrucciones!$C$7</f>
        <v>Fecha de cierre</v>
      </c>
      <c r="D7" s="604"/>
      <c r="F7" s="2250">
        <f>+MENU!D7</f>
        <v>45657</v>
      </c>
      <c r="G7" s="2250"/>
    </row>
    <row r="8" spans="3:8" ht="15" customHeight="1">
      <c r="C8" s="612"/>
      <c r="D8" s="612"/>
      <c r="F8" s="613"/>
      <c r="G8" s="613"/>
    </row>
    <row r="9" spans="3:8" ht="15" hidden="1" customHeight="1"/>
    <row r="10" spans="3:8" ht="5.25" hidden="1" customHeight="1">
      <c r="F10" s="795"/>
    </row>
    <row r="11" spans="3:8" ht="5.25" hidden="1" customHeight="1"/>
    <row r="12" spans="3:8" ht="6" hidden="1" customHeight="1"/>
    <row r="13" spans="3:8" ht="22.5" customHeight="1">
      <c r="C13" s="796" t="s">
        <v>1141</v>
      </c>
      <c r="D13" s="797"/>
    </row>
    <row r="14" spans="3:8" ht="4.5" customHeight="1"/>
    <row r="15" spans="3:8" ht="17.25" customHeight="1">
      <c r="G15" s="838" t="s">
        <v>1143</v>
      </c>
      <c r="H15" s="838" t="s">
        <v>1144</v>
      </c>
    </row>
    <row r="16" spans="3:8" ht="6" customHeight="1"/>
    <row r="17" spans="3:8" ht="21.75" customHeight="1">
      <c r="D17" s="839" t="s">
        <v>1142</v>
      </c>
      <c r="E17" s="840"/>
      <c r="F17" s="841"/>
      <c r="G17" s="842">
        <f ca="1">+PG!E81</f>
        <v>14641500.340000015</v>
      </c>
      <c r="H17" s="842">
        <f ca="1">+G17</f>
        <v>14641500.340000015</v>
      </c>
    </row>
    <row r="18" spans="3:8" ht="7.5" customHeight="1">
      <c r="D18" s="560"/>
      <c r="E18" s="843"/>
      <c r="F18" s="843"/>
      <c r="G18" s="843"/>
      <c r="H18" s="843"/>
    </row>
    <row r="19" spans="3:8" ht="18" customHeight="1">
      <c r="D19" s="560"/>
      <c r="E19" s="838" t="s">
        <v>1145</v>
      </c>
      <c r="F19" s="838" t="s">
        <v>1146</v>
      </c>
      <c r="G19" s="843"/>
      <c r="H19" s="843"/>
    </row>
    <row r="20" spans="3:8" ht="6" customHeight="1"/>
    <row r="21" spans="3:8" ht="18" customHeight="1">
      <c r="D21" s="839" t="s">
        <v>1147</v>
      </c>
      <c r="E21" s="844">
        <f ca="1">+IF(AJUIS!$E$26&gt;0,AJUIS!$E$26,0)</f>
        <v>2543572.9699999997</v>
      </c>
      <c r="F21" s="844">
        <f ca="1">+IF(AJUIS!$E$26&lt;0,AJUIS!$E$26,0)</f>
        <v>0</v>
      </c>
      <c r="G21" s="842">
        <f ca="1">+E21+F21</f>
        <v>2543572.9699999997</v>
      </c>
      <c r="H21" s="842">
        <f ca="1">+G21</f>
        <v>2543572.9699999997</v>
      </c>
    </row>
    <row r="22" spans="3:8" ht="18" customHeight="1">
      <c r="D22" s="560"/>
      <c r="E22" s="843"/>
      <c r="F22" s="843"/>
      <c r="G22" s="843"/>
      <c r="H22" s="843"/>
    </row>
    <row r="23" spans="3:8" ht="18" customHeight="1">
      <c r="D23" s="839" t="s">
        <v>1148</v>
      </c>
      <c r="E23" s="843"/>
      <c r="F23" s="843"/>
      <c r="G23" s="842">
        <f>SUM(E24:F29)</f>
        <v>-6160396.2914999994</v>
      </c>
      <c r="H23" s="842">
        <f>+G23</f>
        <v>-6160396.2914999994</v>
      </c>
    </row>
    <row r="24" spans="3:8" ht="18" customHeight="1" outlineLevel="1">
      <c r="C24" s="845" t="str">
        <f>+AJUIS!C29</f>
        <v>A-</v>
      </c>
      <c r="D24" s="846" t="str">
        <f>+AJUIS!D29</f>
        <v>EXENCIÓN POR DOBLE IMPOSICIÓN</v>
      </c>
      <c r="E24" s="847">
        <f>+IF(AJUIS!$E29&gt;0,AJUIS!$E29,0)</f>
        <v>0</v>
      </c>
      <c r="F24" s="848">
        <f>+IF(AJUIS!$E29&lt;0,AJUIS!$E29,0)</f>
        <v>0</v>
      </c>
      <c r="G24" s="843"/>
      <c r="H24" s="843"/>
    </row>
    <row r="25" spans="3:8" ht="18" customHeight="1" outlineLevel="1">
      <c r="C25" s="849" t="str">
        <f>+AJUIS!C30</f>
        <v>B-</v>
      </c>
      <c r="D25" s="850" t="str">
        <f>+AJUIS!D30</f>
        <v>Donaciones cta. 6299.2 (art. 15.e)</v>
      </c>
      <c r="E25" s="851">
        <f>+IF(AJUIS!$E30&gt;0,AJUIS!$E30,0)</f>
        <v>6882</v>
      </c>
      <c r="F25" s="852">
        <f>+IF(AJUIS!$E30&lt;0,AJUIS!$E30,0)</f>
        <v>0</v>
      </c>
      <c r="G25" s="843"/>
      <c r="H25" s="843"/>
    </row>
    <row r="26" spans="3:8" ht="18" customHeight="1" outlineLevel="1">
      <c r="C26" s="849" t="str">
        <f>+AJUIS!C31</f>
        <v>C-</v>
      </c>
      <c r="D26" s="850" t="str">
        <f>+AJUIS!D31</f>
        <v>Multas y sanciones cta 6311.1 (art.15.c)</v>
      </c>
      <c r="E26" s="851">
        <f>+IF(AJUIS!$E31&gt;0,AJUIS!$E31,0)</f>
        <v>605.61</v>
      </c>
      <c r="F26" s="852">
        <f>+IF(AJUIS!$E31&lt;0,AJUIS!$E31,0)</f>
        <v>0</v>
      </c>
      <c r="G26" s="843"/>
      <c r="H26" s="843"/>
    </row>
    <row r="27" spans="3:8" ht="18" customHeight="1" outlineLevel="1">
      <c r="C27" s="849" t="str">
        <f>+AJUIS!C32</f>
        <v>D-</v>
      </c>
      <c r="D27" s="850" t="str">
        <f>+AJUIS!D32</f>
        <v>Exención dividendos Iberdrola (Art.21.1 - D.T. 40) Cta. 7603001</v>
      </c>
      <c r="E27" s="851">
        <f>+IF(AJUIS!$E32&gt;0,AJUIS!$E32,0)</f>
        <v>0</v>
      </c>
      <c r="F27" s="852">
        <f>+IF(AJUIS!$E32&lt;0,AJUIS!$E32,0)</f>
        <v>-2661484.0425</v>
      </c>
      <c r="G27" s="843"/>
      <c r="H27" s="843"/>
    </row>
    <row r="28" spans="3:8" ht="18" customHeight="1" outlineLevel="1">
      <c r="C28" s="849" t="str">
        <f>+AJUIS!C33</f>
        <v>E-</v>
      </c>
      <c r="D28" s="850" t="str">
        <f>+AJUIS!D33</f>
        <v>Exención dividendos Banco Santander (Art.21.1 - D.T. 40) Cta. 7603002</v>
      </c>
      <c r="E28" s="851">
        <f>+IF(AJUIS!$E33&gt;0,AJUIS!$E33,0)</f>
        <v>0</v>
      </c>
      <c r="F28" s="852">
        <f>+IF(AJUIS!$E33&lt;0,AJUIS!$E33,0)</f>
        <v>-2719869.3989999997</v>
      </c>
      <c r="G28" s="843"/>
      <c r="H28" s="843"/>
    </row>
    <row r="29" spans="3:8" ht="18" customHeight="1" outlineLevel="1">
      <c r="C29" s="853" t="str">
        <f>+AJUIS!C34</f>
        <v>F-</v>
      </c>
      <c r="D29" s="854" t="str">
        <f>+AJUIS!D34</f>
        <v>Exención dividendos Telefónica (Art.21.1 - D.T. 40) Cta. 7603003</v>
      </c>
      <c r="E29" s="855">
        <f>+IF(AJUIS!$E34&gt;0,AJUIS!$E34,0)</f>
        <v>0</v>
      </c>
      <c r="F29" s="856">
        <f>+IF(AJUIS!$E34&lt;0,AJUIS!$E34,0)</f>
        <v>-786530.46</v>
      </c>
      <c r="G29" s="843"/>
      <c r="H29" s="843"/>
    </row>
    <row r="30" spans="3:8" ht="18" customHeight="1">
      <c r="E30" s="843"/>
      <c r="F30" s="843"/>
      <c r="G30" s="843"/>
      <c r="H30" s="843"/>
    </row>
    <row r="31" spans="3:8" ht="18" customHeight="1">
      <c r="D31" s="839" t="s">
        <v>1149</v>
      </c>
      <c r="E31" s="843"/>
      <c r="F31" s="843"/>
      <c r="G31" s="842">
        <f>SUM(E32:F38)</f>
        <v>-10492.37</v>
      </c>
      <c r="H31" s="843"/>
    </row>
    <row r="32" spans="3:8" ht="18" customHeight="1" outlineLevel="1">
      <c r="C32" s="820"/>
      <c r="D32" s="846" t="s">
        <v>1150</v>
      </c>
      <c r="E32" s="847">
        <f>+IF(AJUIS!$F$49&gt;0,AJUIS!$F$49,0)</f>
        <v>0</v>
      </c>
      <c r="F32" s="848">
        <f>+IF(AJUIS!$F$49&lt;0,AJUIS!$F$49,0)</f>
        <v>0</v>
      </c>
      <c r="G32" s="843"/>
      <c r="H32" s="843"/>
    </row>
    <row r="33" spans="3:14" ht="18" customHeight="1" outlineLevel="1">
      <c r="C33" s="849" t="str">
        <f>+AJUIS!C52</f>
        <v>A-</v>
      </c>
      <c r="D33" s="850" t="str">
        <f>+AJUIS!D52</f>
        <v>Reversión amortización 30% no deducible</v>
      </c>
      <c r="E33" s="851">
        <f>+IF(AJUIS!$F52&gt;0,AJUIS!$F52,0)</f>
        <v>0</v>
      </c>
      <c r="F33" s="852">
        <f>+IF(AJUIS!$F52&lt;0,AJUIS!$F52,0)</f>
        <v>-10492.37</v>
      </c>
      <c r="G33" s="843"/>
      <c r="H33" s="843"/>
    </row>
    <row r="34" spans="3:14" ht="18" customHeight="1" outlineLevel="1">
      <c r="C34" s="849" t="str">
        <f>+AJUIS!C53</f>
        <v>B-</v>
      </c>
      <c r="D34" s="850">
        <f>+AJUIS!D53</f>
        <v>0</v>
      </c>
      <c r="E34" s="851">
        <f>+IF(AJUIS!$F53&gt;0,AJUIS!$F53,0)</f>
        <v>0</v>
      </c>
      <c r="F34" s="852">
        <f>+IF(AJUIS!$F53&lt;0,AJUIS!$F53,0)</f>
        <v>0</v>
      </c>
      <c r="G34" s="843"/>
      <c r="H34" s="843"/>
    </row>
    <row r="35" spans="3:14" ht="18" customHeight="1" outlineLevel="1">
      <c r="C35" s="849" t="str">
        <f>+AJUIS!C54</f>
        <v>C-</v>
      </c>
      <c r="D35" s="850">
        <f>+AJUIS!D54</f>
        <v>0</v>
      </c>
      <c r="E35" s="851">
        <f>+IF(AJUIS!$F54&gt;0,AJUIS!$F54,0)</f>
        <v>0</v>
      </c>
      <c r="F35" s="852">
        <f>+IF(AJUIS!$F54&lt;0,AJUIS!$F54,0)</f>
        <v>0</v>
      </c>
      <c r="G35" s="843"/>
      <c r="H35" s="843"/>
    </row>
    <row r="36" spans="3:14" ht="18" customHeight="1" outlineLevel="1">
      <c r="C36" s="849" t="str">
        <f>+AJUIS!C55</f>
        <v>D-</v>
      </c>
      <c r="D36" s="850">
        <f>+AJUIS!D55</f>
        <v>0</v>
      </c>
      <c r="E36" s="851">
        <f>+IF(AJUIS!$F55&gt;0,AJUIS!$F55,0)</f>
        <v>0</v>
      </c>
      <c r="F36" s="852">
        <f>+IF(AJUIS!$F55&lt;0,AJUIS!$F55,0)</f>
        <v>0</v>
      </c>
      <c r="G36" s="843"/>
      <c r="H36" s="843"/>
    </row>
    <row r="37" spans="3:14" ht="18" customHeight="1" outlineLevel="1">
      <c r="C37" s="849" t="str">
        <f>+AJUIS!C56</f>
        <v>E-</v>
      </c>
      <c r="D37" s="850">
        <f>+AJUIS!D56</f>
        <v>0</v>
      </c>
      <c r="E37" s="851">
        <f>+IF(AJUIS!$F56&gt;0,AJUIS!$F56,0)</f>
        <v>0</v>
      </c>
      <c r="F37" s="852">
        <f>+IF(AJUIS!$F56&lt;0,AJUIS!$F56,0)</f>
        <v>0</v>
      </c>
      <c r="G37" s="843"/>
      <c r="H37" s="843"/>
    </row>
    <row r="38" spans="3:14" ht="18" customHeight="1" outlineLevel="1">
      <c r="C38" s="853" t="str">
        <f>+AJUIS!C57</f>
        <v>F-</v>
      </c>
      <c r="D38" s="854">
        <f>+AJUIS!D57</f>
        <v>0</v>
      </c>
      <c r="E38" s="855">
        <f>+IF(AJUIS!$F57&gt;0,AJUIS!$F57,0)</f>
        <v>0</v>
      </c>
      <c r="F38" s="856">
        <f>+IF(AJUIS!$F57&lt;0,AJUIS!$F57,0)</f>
        <v>0</v>
      </c>
      <c r="G38" s="843"/>
      <c r="H38" s="843"/>
    </row>
    <row r="39" spans="3:14" ht="11.25" customHeight="1"/>
    <row r="40" spans="3:14" ht="31.2">
      <c r="E40" s="1111" t="s">
        <v>1151</v>
      </c>
      <c r="F40" s="1111" t="s">
        <v>1152</v>
      </c>
      <c r="G40" s="1111" t="s">
        <v>1153</v>
      </c>
      <c r="H40" s="1111" t="s">
        <v>1154</v>
      </c>
      <c r="J40" s="1111" t="s">
        <v>1592</v>
      </c>
      <c r="K40" s="1111" t="s">
        <v>1590</v>
      </c>
      <c r="L40" s="1111" t="s">
        <v>1585</v>
      </c>
      <c r="M40" s="1111" t="s">
        <v>65</v>
      </c>
      <c r="N40" s="1125" t="s">
        <v>1591</v>
      </c>
    </row>
    <row r="41" spans="3:14" ht="19.5" customHeight="1">
      <c r="D41" s="1116" t="s">
        <v>1588</v>
      </c>
      <c r="E41" s="1117">
        <f ca="1">+F41+G41</f>
        <v>11014184.648500016</v>
      </c>
      <c r="F41" s="1117">
        <f>+AJUIS!E76</f>
        <v>0</v>
      </c>
      <c r="G41" s="1117">
        <f ca="1">SUM(G17:G38)</f>
        <v>11014184.648500016</v>
      </c>
      <c r="H41" s="1117">
        <f ca="1">SUM(H17:H38)</f>
        <v>11024677.018500015</v>
      </c>
      <c r="J41"/>
      <c r="K41"/>
      <c r="L41"/>
    </row>
    <row r="42" spans="3:14" ht="19.5" customHeight="1">
      <c r="D42" s="1109" t="s">
        <v>1586</v>
      </c>
      <c r="E42" s="1112">
        <f>SUM(F42:G42)</f>
        <v>1101418.47</v>
      </c>
      <c r="F42" s="1112"/>
      <c r="G42" s="1124">
        <v>1101418.47</v>
      </c>
      <c r="H42" s="1112">
        <f>+G42</f>
        <v>1101418.47</v>
      </c>
      <c r="J42" s="1123">
        <f ca="1">IF((BALANCE!M25-BALANCE!P25)&gt;0,(BALANCE!M25-BALANCE!P25),0)-SYS_4_3_Digitos!J14-SYS_4_3_Digitos!J16+SYS_4_3_Digitos!D14+SYS_4_3_Digitos!D16</f>
        <v>9724809.150000006</v>
      </c>
      <c r="K42" s="1123">
        <f ca="1">15%*J42</f>
        <v>1458721.3725000008</v>
      </c>
      <c r="L42" s="1123">
        <f ca="1">10%*E41</f>
        <v>1101418.4648500017</v>
      </c>
      <c r="M42" s="1123">
        <f ca="1">IF(G42&lt;K42,K42-G42,0)</f>
        <v>357302.90250000078</v>
      </c>
      <c r="N42" s="1123">
        <f ca="1">IF(L42&gt;K42,K42,L42)</f>
        <v>1101418.4648500017</v>
      </c>
    </row>
    <row r="43" spans="3:14" ht="19.5" customHeight="1">
      <c r="D43" s="1110" t="s">
        <v>1155</v>
      </c>
      <c r="E43" s="1112">
        <f>+F43+G43</f>
        <v>0</v>
      </c>
      <c r="F43" s="1112"/>
      <c r="G43" s="1112"/>
      <c r="H43" s="1112">
        <f>+G43</f>
        <v>0</v>
      </c>
      <c r="J43" s="136"/>
      <c r="K43"/>
      <c r="M43"/>
    </row>
    <row r="44" spans="3:14" ht="19.5" customHeight="1">
      <c r="D44" s="1118" t="s">
        <v>1589</v>
      </c>
      <c r="E44" s="1119">
        <f ca="1">+E41-SUM(E42:E43)</f>
        <v>9912766.1785000153</v>
      </c>
      <c r="F44" s="1119">
        <f t="shared" ref="F44:H44" si="0">+F41-SUM(F42:F43)</f>
        <v>0</v>
      </c>
      <c r="G44" s="1119">
        <f t="shared" ca="1" si="0"/>
        <v>9912766.1785000153</v>
      </c>
      <c r="H44" s="1121">
        <f t="shared" ca="1" si="0"/>
        <v>9923258.5485000145</v>
      </c>
      <c r="J44"/>
      <c r="K44"/>
      <c r="M44"/>
    </row>
    <row r="45" spans="3:14" ht="19.5" customHeight="1">
      <c r="D45" s="1110" t="s">
        <v>1587</v>
      </c>
      <c r="E45" s="1112">
        <f>SUM(F45:G45)</f>
        <v>0</v>
      </c>
      <c r="F45" s="1112"/>
      <c r="G45" s="1112"/>
      <c r="H45" s="1122"/>
      <c r="J45" s="1123">
        <f>IF(C48="RG",0,+E44)</f>
        <v>0</v>
      </c>
      <c r="K45" s="1123">
        <f>10%*J45</f>
        <v>0</v>
      </c>
      <c r="L45" s="1123">
        <f>+K45</f>
        <v>0</v>
      </c>
      <c r="M45" s="1123">
        <f>IF(G45&lt;K45,K45-G45,0)</f>
        <v>0</v>
      </c>
      <c r="N45" s="1123">
        <f>+L45</f>
        <v>0</v>
      </c>
    </row>
    <row r="46" spans="3:14" ht="19.5" customHeight="1">
      <c r="D46" s="1988" t="s">
        <v>1838</v>
      </c>
      <c r="E46" s="1989">
        <f>SUM(F46:G46)</f>
        <v>0</v>
      </c>
      <c r="F46" s="1990"/>
      <c r="G46" s="1990"/>
      <c r="H46" s="1986"/>
      <c r="J46" s="1987"/>
      <c r="K46" s="1987"/>
      <c r="L46" s="1987"/>
      <c r="M46" s="1987"/>
      <c r="N46" s="1987"/>
    </row>
    <row r="47" spans="3:14" ht="19.5" customHeight="1">
      <c r="D47" s="1118" t="s">
        <v>1156</v>
      </c>
      <c r="E47" s="1120">
        <f ca="1">+E44-E45+E46</f>
        <v>9912766.1785000153</v>
      </c>
      <c r="F47" s="1120">
        <f>+F44-F45+F46</f>
        <v>0</v>
      </c>
      <c r="G47" s="1120">
        <f ca="1">+G44-G45+G46</f>
        <v>9912766.1785000153</v>
      </c>
      <c r="H47" s="1120">
        <f t="shared" ref="H47" ca="1" si="1">+H44-H45</f>
        <v>9923258.5485000145</v>
      </c>
      <c r="J47"/>
      <c r="M47"/>
    </row>
    <row r="48" spans="3:14" ht="19.5" customHeight="1">
      <c r="C48" s="838" t="str">
        <f>+IF(PG!H15&gt;10000000,"RG",IF(PG!H15&lt;1000000,"MICRO","ERD"))</f>
        <v>RG</v>
      </c>
      <c r="D48" s="1110" t="s">
        <v>1157</v>
      </c>
      <c r="E48" s="1113" t="s">
        <v>2017</v>
      </c>
      <c r="F48" s="1114">
        <f ca="1">+IF($G$49=0,0,$G$49/$E$47*F47)</f>
        <v>0</v>
      </c>
      <c r="G48" s="1114">
        <f ca="1">+IF($G$49=0,0,$G$49/$E$47*G47)</f>
        <v>2478191.5446250038</v>
      </c>
      <c r="H48" s="1114">
        <f ca="1">+IF($G$49=0,0,$G$49/$E$47*H47)</f>
        <v>2480814.6371250036</v>
      </c>
      <c r="J48"/>
      <c r="M48"/>
    </row>
    <row r="49" spans="3:13" ht="19.5" customHeight="1">
      <c r="D49" s="857" t="s">
        <v>1158</v>
      </c>
      <c r="E49" s="554"/>
      <c r="F49" s="858"/>
      <c r="G49" s="1115">
        <f ca="1">+VLOOKUP($E$48,$K$53:$L$57,2,FALSE)</f>
        <v>2478191.5446250038</v>
      </c>
      <c r="H49" s="859"/>
      <c r="J49"/>
      <c r="M49"/>
    </row>
    <row r="50" spans="3:13" ht="20.25" customHeight="1">
      <c r="J50"/>
      <c r="M50"/>
    </row>
    <row r="51" spans="3:13" ht="18" customHeight="1">
      <c r="D51" s="839" t="s">
        <v>1174</v>
      </c>
      <c r="E51" s="554"/>
      <c r="F51" s="559"/>
      <c r="G51" s="860">
        <f ca="1">IF(SUM(G52:G66)&lt;&gt;0,"ERROR",SUM(E52:F66))</f>
        <v>0</v>
      </c>
    </row>
    <row r="52" spans="3:13" ht="18" customHeight="1" outlineLevel="1" thickBot="1">
      <c r="C52" s="820"/>
      <c r="D52" s="846"/>
      <c r="E52" s="861"/>
      <c r="G52" s="862"/>
      <c r="H52" s="863"/>
      <c r="I52" s="567"/>
      <c r="J52" s="567"/>
    </row>
    <row r="53" spans="3:13" ht="18" customHeight="1" outlineLevel="1">
      <c r="C53" s="849" t="s">
        <v>1116</v>
      </c>
      <c r="D53" s="850" t="s">
        <v>1159</v>
      </c>
      <c r="E53" s="864"/>
      <c r="G53" s="862"/>
      <c r="H53" s="863"/>
      <c r="I53" s="567"/>
      <c r="J53" s="567"/>
      <c r="K53" s="2195" t="s">
        <v>2017</v>
      </c>
      <c r="L53" s="2196">
        <f ca="1">$E$47*0.25</f>
        <v>2478191.5446250038</v>
      </c>
    </row>
    <row r="54" spans="3:13" ht="18" customHeight="1" outlineLevel="1">
      <c r="C54" s="849" t="s">
        <v>1117</v>
      </c>
      <c r="D54" s="850" t="s">
        <v>1160</v>
      </c>
      <c r="E54" s="865">
        <f ca="1">IF(BONIFICACIONES!K32="ERROR","ERROR",IF(BONIFICACIONES!K33="ERROR","ERROR",+BONIFICACIONES!J32+BONIFICACIONES!J33))</f>
        <v>0</v>
      </c>
      <c r="G54" s="597">
        <f ca="1">+IF(E54="ERROR",1,0)</f>
        <v>0</v>
      </c>
      <c r="I54" s="866"/>
      <c r="J54" s="866"/>
      <c r="K54" s="2197" t="s">
        <v>2018</v>
      </c>
      <c r="L54" s="2198">
        <f ca="1">+$E$47*0.23</f>
        <v>2279936.2210550038</v>
      </c>
    </row>
    <row r="55" spans="3:13" ht="18" customHeight="1" outlineLevel="1">
      <c r="C55" s="849" t="s">
        <v>1118</v>
      </c>
      <c r="D55" s="850" t="s">
        <v>1161</v>
      </c>
      <c r="E55" s="864"/>
      <c r="G55" s="597"/>
      <c r="K55" s="2197" t="s">
        <v>2026</v>
      </c>
      <c r="L55" s="2198">
        <f ca="1">+$E$47*0.25</f>
        <v>2478191.5446250038</v>
      </c>
    </row>
    <row r="56" spans="3:13" ht="18" customHeight="1" outlineLevel="1">
      <c r="C56" s="849" t="s">
        <v>1119</v>
      </c>
      <c r="D56" s="850" t="s">
        <v>1162</v>
      </c>
      <c r="E56" s="864"/>
      <c r="G56" s="597"/>
      <c r="K56" s="2197" t="s">
        <v>2028</v>
      </c>
      <c r="L56" s="2198">
        <f ca="1">+$E$47*0.15</f>
        <v>1486914.9267750022</v>
      </c>
    </row>
    <row r="57" spans="3:13" ht="18" customHeight="1" outlineLevel="1" thickBot="1">
      <c r="C57" s="849" t="s">
        <v>1120</v>
      </c>
      <c r="D57" s="850" t="s">
        <v>1163</v>
      </c>
      <c r="E57" s="864"/>
      <c r="G57" s="597"/>
      <c r="K57" s="2199" t="s">
        <v>2027</v>
      </c>
      <c r="L57" s="2200">
        <f ca="1">+$E$47*0.15</f>
        <v>1486914.9267750022</v>
      </c>
    </row>
    <row r="58" spans="3:13" ht="18" customHeight="1" outlineLevel="1">
      <c r="C58" s="853" t="s">
        <v>1121</v>
      </c>
      <c r="D58" s="854" t="s">
        <v>1164</v>
      </c>
      <c r="E58" s="867">
        <f ca="1">IF(BONIFICACIONES!K35="ERROR","ERROR",+BONIFICACIONES!J35)</f>
        <v>0</v>
      </c>
      <c r="G58" s="597">
        <f ca="1">+IF(E58="ERROR",1,0)</f>
        <v>0</v>
      </c>
    </row>
    <row r="59" spans="3:13" ht="18" customHeight="1" outlineLevel="1">
      <c r="C59" s="820"/>
      <c r="D59" s="846"/>
      <c r="E59" s="861"/>
      <c r="G59" s="597"/>
    </row>
    <row r="60" spans="3:13" ht="18" customHeight="1" outlineLevel="1">
      <c r="C60" s="849" t="s">
        <v>1116</v>
      </c>
      <c r="D60" s="850" t="s">
        <v>1165</v>
      </c>
      <c r="E60" s="864"/>
      <c r="G60" s="597"/>
    </row>
    <row r="61" spans="3:13" ht="18" customHeight="1" outlineLevel="1">
      <c r="C61" s="849" t="s">
        <v>1117</v>
      </c>
      <c r="D61" s="850" t="s">
        <v>1166</v>
      </c>
      <c r="E61" s="865">
        <f ca="1">IF(BONIFICACIONES!K27="ERROR","ERROR",+BONIFICACIONES!J27)</f>
        <v>0</v>
      </c>
      <c r="G61" s="597">
        <f ca="1">+IF(E61="ERROR",1,0)</f>
        <v>0</v>
      </c>
    </row>
    <row r="62" spans="3:13" ht="18" customHeight="1" outlineLevel="1">
      <c r="C62" s="849" t="s">
        <v>1118</v>
      </c>
      <c r="D62" s="850" t="s">
        <v>1167</v>
      </c>
      <c r="E62" s="864"/>
      <c r="G62" s="597"/>
    </row>
    <row r="63" spans="3:13" ht="18" customHeight="1" outlineLevel="1">
      <c r="C63" s="849" t="s">
        <v>1119</v>
      </c>
      <c r="D63" s="850" t="s">
        <v>1168</v>
      </c>
      <c r="E63" s="864"/>
      <c r="G63" s="597"/>
    </row>
    <row r="64" spans="3:13" ht="18" customHeight="1" outlineLevel="1">
      <c r="C64" s="849" t="s">
        <v>1120</v>
      </c>
      <c r="D64" s="850" t="s">
        <v>1169</v>
      </c>
      <c r="E64" s="864"/>
      <c r="G64" s="597"/>
    </row>
    <row r="65" spans="3:12" ht="18" customHeight="1" outlineLevel="1">
      <c r="C65" s="849" t="s">
        <v>1121</v>
      </c>
      <c r="D65" s="850" t="s">
        <v>1170</v>
      </c>
      <c r="E65" s="864"/>
      <c r="G65" s="597"/>
    </row>
    <row r="66" spans="3:12" ht="18" customHeight="1" outlineLevel="1">
      <c r="C66" s="853" t="s">
        <v>1122</v>
      </c>
      <c r="D66" s="854" t="s">
        <v>1171</v>
      </c>
      <c r="E66" s="868"/>
      <c r="G66" s="597"/>
    </row>
    <row r="67" spans="3:12" ht="15" customHeight="1">
      <c r="E67" s="869"/>
    </row>
    <row r="68" spans="3:12" ht="18" customHeight="1">
      <c r="D68" s="839" t="s">
        <v>1173</v>
      </c>
      <c r="E68" s="870"/>
      <c r="F68" s="559"/>
      <c r="G68" s="860">
        <f>IF(SUM(G69:G75)&lt;&gt;0,"ERROR",SUM(E69:F75))</f>
        <v>524.62</v>
      </c>
    </row>
    <row r="69" spans="3:12" ht="18" customHeight="1" outlineLevel="1">
      <c r="C69" s="820"/>
      <c r="D69" s="846"/>
      <c r="E69" s="861"/>
      <c r="G69" s="862"/>
      <c r="H69" s="863"/>
      <c r="I69" s="567"/>
      <c r="J69" s="567"/>
      <c r="K69" s="567"/>
      <c r="L69" s="863"/>
    </row>
    <row r="70" spans="3:12" ht="18" customHeight="1" outlineLevel="1">
      <c r="C70" s="849" t="s">
        <v>1116</v>
      </c>
      <c r="D70" s="850" t="s">
        <v>1175</v>
      </c>
      <c r="E70" s="864"/>
      <c r="G70" s="862"/>
      <c r="H70" s="863"/>
      <c r="I70" s="567"/>
      <c r="J70" s="567"/>
      <c r="K70" s="567"/>
      <c r="L70" s="863"/>
    </row>
    <row r="71" spans="3:12" ht="18" customHeight="1" outlineLevel="1">
      <c r="C71" s="849" t="s">
        <v>1117</v>
      </c>
      <c r="D71" s="850" t="s">
        <v>1176</v>
      </c>
      <c r="E71" s="865">
        <f>IF(BONIFICACIONES!K42="ERROR","ERROR",+BONIFICACIONES!J42)</f>
        <v>0</v>
      </c>
      <c r="G71" s="597">
        <f>+IF(E71="ERROR",1,0)</f>
        <v>0</v>
      </c>
      <c r="I71" s="866"/>
      <c r="J71" s="866"/>
      <c r="K71" s="866"/>
    </row>
    <row r="72" spans="3:12" ht="18" customHeight="1" outlineLevel="1">
      <c r="C72" s="849" t="s">
        <v>1118</v>
      </c>
      <c r="D72" s="850" t="s">
        <v>1177</v>
      </c>
      <c r="E72" s="864"/>
      <c r="G72" s="597"/>
    </row>
    <row r="73" spans="3:12" ht="18" customHeight="1" outlineLevel="1">
      <c r="C73" s="849" t="s">
        <v>1119</v>
      </c>
      <c r="D73" s="850" t="s">
        <v>1178</v>
      </c>
      <c r="E73" s="865">
        <f>IF(BONIFICACIONES!K82="ERROR","ERROR",+BONIFICACIONES!J82-BONIFICACIONES!J79-BONIFICACIONES!J42)</f>
        <v>0</v>
      </c>
      <c r="G73" s="597">
        <f>+IF(E73="ERROR",1,0)</f>
        <v>0</v>
      </c>
    </row>
    <row r="74" spans="3:12" ht="18" customHeight="1" outlineLevel="1">
      <c r="C74" s="849" t="s">
        <v>1120</v>
      </c>
      <c r="D74" s="850" t="s">
        <v>1179</v>
      </c>
      <c r="E74" s="865">
        <f>IF(BONIFICACIONES!K79="ERROR","ERROR",+BONIFICACIONES!J79)</f>
        <v>0</v>
      </c>
      <c r="G74" s="597">
        <f>+IF(E74="ERROR",1,0)</f>
        <v>0</v>
      </c>
    </row>
    <row r="75" spans="3:12" ht="18" customHeight="1" outlineLevel="1">
      <c r="C75" s="853" t="s">
        <v>1121</v>
      </c>
      <c r="D75" s="854" t="s">
        <v>2977</v>
      </c>
      <c r="E75" s="868">
        <v>524.62</v>
      </c>
      <c r="G75" s="597"/>
    </row>
    <row r="76" spans="3:12" ht="18" customHeight="1">
      <c r="C76" s="871"/>
      <c r="E76" s="859"/>
      <c r="F76" s="859"/>
    </row>
    <row r="77" spans="3:12" ht="18" customHeight="1">
      <c r="D77" s="872" t="s">
        <v>1172</v>
      </c>
      <c r="E77" s="554"/>
      <c r="F77" s="842">
        <f ca="1">+F48</f>
        <v>0</v>
      </c>
      <c r="G77" s="860">
        <f ca="1">IF(G51="ERROR","ERROR",IF(G68="ERROR","ERROR",+IF($E$47&lt;0,0,G48-G51-G68)))</f>
        <v>2477666.9246250037</v>
      </c>
      <c r="H77" s="842">
        <f ca="1">+IF($E$47&lt;0,0,H48-G51-G68)</f>
        <v>2480290.0171250035</v>
      </c>
    </row>
    <row r="78" spans="3:12" ht="18" customHeight="1"/>
    <row r="79" spans="3:12" ht="18" customHeight="1">
      <c r="D79" s="872" t="s">
        <v>1180</v>
      </c>
      <c r="E79" s="554"/>
      <c r="F79" s="559"/>
      <c r="G79" s="860">
        <f ca="1">IF(G51="ERROR","ERROR",IF(G68="ERROR","ERROR",+IF($E$47&lt;0,0,G49-G51-G68)))</f>
        <v>2477666.9246250037</v>
      </c>
      <c r="H79" s="842">
        <f ca="1">+IF($E$47&lt;0,0,H48-G51-G68)</f>
        <v>2480290.0171250035</v>
      </c>
    </row>
    <row r="80" spans="3:12" ht="18" customHeight="1"/>
    <row r="81" spans="3:7" ht="18" customHeight="1">
      <c r="D81" s="839" t="s">
        <v>1181</v>
      </c>
      <c r="E81" s="554"/>
      <c r="F81" s="559"/>
      <c r="G81" s="842">
        <f>SUM(E82:F85)</f>
        <v>4509891.3</v>
      </c>
    </row>
    <row r="82" spans="3:7" ht="18" customHeight="1" outlineLevel="1">
      <c r="C82" s="820"/>
      <c r="D82" s="846"/>
      <c r="E82" s="847"/>
    </row>
    <row r="83" spans="3:7" ht="15" customHeight="1" outlineLevel="1">
      <c r="C83" s="849" t="s">
        <v>1116</v>
      </c>
      <c r="D83" s="850" t="s">
        <v>1182</v>
      </c>
      <c r="E83" s="864">
        <f>826496.49+4088.94+434743.87</f>
        <v>1265329.2999999998</v>
      </c>
    </row>
    <row r="84" spans="3:7" ht="15" customHeight="1" outlineLevel="1">
      <c r="C84" s="849" t="s">
        <v>1117</v>
      </c>
      <c r="D84" s="850" t="s">
        <v>1183</v>
      </c>
      <c r="E84" s="864"/>
    </row>
    <row r="85" spans="3:7" ht="15" customHeight="1" outlineLevel="1">
      <c r="C85" s="849" t="s">
        <v>1118</v>
      </c>
      <c r="D85" s="850" t="s">
        <v>1184</v>
      </c>
      <c r="E85" s="851">
        <f>SUM(E86:E88)</f>
        <v>3244562</v>
      </c>
    </row>
    <row r="86" spans="3:7" ht="15" customHeight="1" outlineLevel="1">
      <c r="C86" s="873"/>
      <c r="D86" s="874" t="s">
        <v>1185</v>
      </c>
      <c r="E86" s="875">
        <v>992119.89</v>
      </c>
    </row>
    <row r="87" spans="3:7" ht="15" customHeight="1" outlineLevel="1">
      <c r="C87" s="873"/>
      <c r="D87" s="874" t="s">
        <v>1186</v>
      </c>
      <c r="E87" s="875">
        <v>1546841.15</v>
      </c>
    </row>
    <row r="88" spans="3:7" ht="15" customHeight="1" outlineLevel="1">
      <c r="C88" s="876"/>
      <c r="D88" s="877" t="s">
        <v>1187</v>
      </c>
      <c r="E88" s="878">
        <v>705600.96</v>
      </c>
    </row>
    <row r="89" spans="3:7" ht="15" hidden="1" customHeight="1"/>
    <row r="90" spans="3:7" ht="15" hidden="1" customHeight="1"/>
    <row r="91" spans="3:7" ht="25.5" customHeight="1">
      <c r="D91" s="879" t="s">
        <v>1188</v>
      </c>
      <c r="E91" s="880"/>
      <c r="F91" s="880"/>
      <c r="G91" s="881">
        <f ca="1">IF(G79="ERROR","ERROR",+G79-G81)</f>
        <v>-2032224.3753749961</v>
      </c>
    </row>
  </sheetData>
  <sortState xmlns:xlrd2="http://schemas.microsoft.com/office/spreadsheetml/2017/richdata2" ref="O42:P44">
    <sortCondition ref="O42"/>
  </sortState>
  <mergeCells count="1">
    <mergeCell ref="F7:G7"/>
  </mergeCells>
  <conditionalFormatting sqref="C48">
    <cfRule type="expression" dxfId="64" priority="15">
      <formula>$C$48&lt;&gt;$E$48</formula>
    </cfRule>
  </conditionalFormatting>
  <conditionalFormatting sqref="G91">
    <cfRule type="expression" dxfId="63" priority="1">
      <formula>$G$91="ERROR"</formula>
    </cfRule>
    <cfRule type="expression" dxfId="62" priority="13">
      <formula>$G$79&lt;0</formula>
    </cfRule>
  </conditionalFormatting>
  <conditionalFormatting sqref="E54">
    <cfRule type="expression" dxfId="61" priority="12">
      <formula>E54="ERROR"</formula>
    </cfRule>
  </conditionalFormatting>
  <conditionalFormatting sqref="E58">
    <cfRule type="expression" dxfId="60" priority="11">
      <formula>E58="ERROR"</formula>
    </cfRule>
  </conditionalFormatting>
  <conditionalFormatting sqref="E61">
    <cfRule type="expression" dxfId="59" priority="10">
      <formula>E61="ERROR"</formula>
    </cfRule>
  </conditionalFormatting>
  <conditionalFormatting sqref="E71">
    <cfRule type="expression" dxfId="58" priority="8">
      <formula>E71="ERROR"</formula>
    </cfRule>
  </conditionalFormatting>
  <conditionalFormatting sqref="E73:E74">
    <cfRule type="expression" dxfId="57" priority="7">
      <formula>E73="ERROR"</formula>
    </cfRule>
  </conditionalFormatting>
  <conditionalFormatting sqref="G51">
    <cfRule type="expression" dxfId="56" priority="6">
      <formula>G51="ERROR"</formula>
    </cfRule>
  </conditionalFormatting>
  <conditionalFormatting sqref="G68">
    <cfRule type="expression" dxfId="55" priority="4">
      <formula>G68="ERROR"</formula>
    </cfRule>
  </conditionalFormatting>
  <conditionalFormatting sqref="G77">
    <cfRule type="expression" dxfId="54" priority="3">
      <formula>G77="ERROR"</formula>
    </cfRule>
  </conditionalFormatting>
  <conditionalFormatting sqref="G79">
    <cfRule type="expression" dxfId="53" priority="2">
      <formula>G79="ERROR"</formula>
    </cfRule>
  </conditionalFormatting>
  <dataValidations count="14">
    <dataValidation allowBlank="1" showInputMessage="1" showErrorMessage="1" prompt="art. 30. L.I.S." sqref="D60" xr:uid="{00000000-0002-0000-2500-000000000000}"/>
    <dataValidation allowBlank="1" showInputMessage="1" showErrorMessage="1" prompt="art. 30. L.I.S._x000a_" sqref="D61" xr:uid="{00000000-0002-0000-2500-000001000000}"/>
    <dataValidation allowBlank="1" showInputMessage="1" showErrorMessage="1" prompt="art. 10 Ley 11/2009_x000a_" sqref="D62" xr:uid="{00000000-0002-0000-2500-000002000000}"/>
    <dataValidation allowBlank="1" showInputMessage="1" showErrorMessage="1" prompt="art. 31 y 31 L.I.S._x000a_" sqref="D63" xr:uid="{00000000-0002-0000-2500-000003000000}"/>
    <dataValidation allowBlank="1" showInputMessage="1" showErrorMessage="1" prompt="art. 31 y 32 L.I.S._x000a__x000a__x000a_" sqref="D64" xr:uid="{00000000-0002-0000-2500-000004000000}"/>
    <dataValidation allowBlank="1" showInputMessage="1" showErrorMessage="1" prompt="art. 107.9 L.I.S." sqref="D65" xr:uid="{00000000-0002-0000-2500-000005000000}"/>
    <dataValidation allowBlank="1" showInputMessage="1" showErrorMessage="1" prompt="Cooperativas" sqref="D66" xr:uid="{00000000-0002-0000-2500-000006000000}"/>
    <dataValidation allowBlank="1" showInputMessage="1" showErrorMessage="1" prompt="SOLAMENTE TIENE EN CUENTA EL CRITERIO DE FACTURACIÓN Y NO DE PLANTILLA" sqref="C48" xr:uid="{00000000-0002-0000-2500-000007000000}"/>
    <dataValidation allowBlank="1" showInputMessage="1" showErrorMessage="1" prompt="art. 33. L.I.S." sqref="D53" xr:uid="{00000000-0002-0000-2500-000008000000}"/>
    <dataValidation allowBlank="1" showInputMessage="1" showErrorMessage="1" prompt="art. 34. L.I.S._x000a__x000a_" sqref="D54" xr:uid="{00000000-0002-0000-2500-000009000000}"/>
    <dataValidation allowBlank="1" showInputMessage="1" showErrorMessage="1" prompt="art. 26. Ley 19/1994" sqref="D55" xr:uid="{00000000-0002-0000-2500-00000A000000}"/>
    <dataValidation allowBlank="1" showInputMessage="1" showErrorMessage="1" prompt="Ley 20/1990" sqref="D56" xr:uid="{00000000-0002-0000-2500-00000B000000}"/>
    <dataValidation allowBlank="1" showInputMessage="1" showErrorMessage="1" prompt="Capítulo III Título VII L.I.S._x000a_" sqref="D57" xr:uid="{00000000-0002-0000-2500-00000C000000}"/>
    <dataValidation type="list" allowBlank="1" showInputMessage="1" showErrorMessage="1" sqref="E48" xr:uid="{00000000-0002-0000-2500-00000D000000}">
      <formula1>$K$53:$K$57</formula1>
    </dataValidation>
  </dataValidations>
  <hyperlinks>
    <hyperlink ref="D51" location="BONIFICACIONES!A1" tooltip="BONIFICACIONES Y DEDUCCIONES" display="Bonificaciones y deducciones por doble imposición:" xr:uid="{00000000-0004-0000-2500-000000000000}"/>
  </hyperlinks>
  <pageMargins left="0.62992125984251968" right="0.23622047244094491" top="0.55118110236220474" bottom="0.74803149606299213" header="0.31496062992125984" footer="0.31496062992125984"/>
  <pageSetup paperSize="9" scale="51" orientation="portrait" r:id="rId1"/>
  <headerFooter>
    <oddFooter>&amp;C&amp;12&amp;K03-024Liquidación Impuesto sobre Sociedades</oddFooter>
  </headerFooter>
  <drawing r:id="rId2"/>
  <legacy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45">
    <tabColor rgb="FFFFC000"/>
    <pageSetUpPr autoPageBreaks="0"/>
  </sheetPr>
  <dimension ref="A1:L89"/>
  <sheetViews>
    <sheetView showGridLines="0" showRowColHeaders="0" showZeros="0" view="pageBreakPreview" topLeftCell="A65" zoomScale="85" zoomScaleNormal="85" zoomScaleSheetLayoutView="85" zoomScalePageLayoutView="55" workbookViewId="0">
      <selection activeCell="H58" sqref="H58"/>
    </sheetView>
  </sheetViews>
  <sheetFormatPr baseColWidth="10" defaultColWidth="0" defaultRowHeight="0" customHeight="1" zeroHeight="1"/>
  <cols>
    <col min="1" max="2" width="2" style="553" customWidth="1"/>
    <col min="3" max="3" width="9" style="553" customWidth="1"/>
    <col min="4" max="4" width="81" style="553" customWidth="1"/>
    <col min="5" max="5" width="34" style="553" bestFit="1" customWidth="1"/>
    <col min="6" max="6" width="13.5546875" style="553" customWidth="1"/>
    <col min="7" max="7" width="10.5546875" style="553" customWidth="1"/>
    <col min="8" max="8" width="16" style="553" customWidth="1"/>
    <col min="9" max="9" width="14" style="553" customWidth="1"/>
    <col min="10" max="10" width="15.44140625" style="553" customWidth="1"/>
    <col min="11" max="12" width="18" style="553" customWidth="1"/>
    <col min="13" max="16384" width="18" style="553" hidden="1"/>
  </cols>
  <sheetData>
    <row r="1" spans="3:10" ht="15" customHeight="1"/>
    <row r="2" spans="3:10" ht="9" customHeight="1"/>
    <row r="3" spans="3:10" ht="9.75" customHeight="1"/>
    <row r="4" spans="3:10" ht="9" customHeight="1"/>
    <row r="5" spans="3:10" ht="30">
      <c r="D5" s="563" t="str">
        <f>+MENU!C5</f>
        <v>Sociedad:</v>
      </c>
      <c r="E5" s="1098" t="str">
        <f>+MENU!E5</f>
        <v>MARIO PILATO BLAT, S.A.</v>
      </c>
      <c r="F5" s="1098"/>
      <c r="G5" s="1098"/>
      <c r="H5" s="1102"/>
      <c r="I5" s="1102"/>
      <c r="J5" s="1102"/>
    </row>
    <row r="6" spans="3:10" ht="12.75" customHeight="1">
      <c r="D6" s="794"/>
      <c r="E6" s="794"/>
      <c r="F6" s="794"/>
    </row>
    <row r="7" spans="3:10" ht="17.399999999999999">
      <c r="D7" s="604" t="str">
        <f>+instrucciones!$C$7</f>
        <v>Fecha de cierre</v>
      </c>
      <c r="E7" s="2250">
        <f>+MENU!D7</f>
        <v>45657</v>
      </c>
      <c r="F7" s="2250"/>
    </row>
    <row r="8" spans="3:10" ht="15" customHeight="1">
      <c r="C8" s="612"/>
      <c r="D8" s="612"/>
      <c r="F8" s="613"/>
      <c r="G8" s="613"/>
    </row>
    <row r="9" spans="3:10" ht="15" hidden="1" customHeight="1"/>
    <row r="10" spans="3:10" ht="5.25" hidden="1" customHeight="1">
      <c r="F10" s="795"/>
    </row>
    <row r="11" spans="3:10" ht="5.25" hidden="1" customHeight="1"/>
    <row r="12" spans="3:10" ht="6" hidden="1" customHeight="1"/>
    <row r="13" spans="3:10" ht="22.5" customHeight="1">
      <c r="D13" s="796" t="s">
        <v>1428</v>
      </c>
    </row>
    <row r="14" spans="3:10" ht="4.5" customHeight="1"/>
    <row r="15" spans="3:10" ht="15" customHeight="1"/>
    <row r="16" spans="3:10" ht="15" hidden="1" customHeight="1"/>
    <row r="17" spans="4:12" ht="15" customHeight="1">
      <c r="D17" s="2586" t="s">
        <v>1429</v>
      </c>
      <c r="E17" s="882" t="s">
        <v>65</v>
      </c>
      <c r="F17" s="882" t="s">
        <v>932</v>
      </c>
      <c r="G17" s="883"/>
      <c r="H17" s="884"/>
      <c r="I17" s="885"/>
      <c r="J17" s="885"/>
      <c r="K17" s="885"/>
      <c r="L17" s="597"/>
    </row>
    <row r="18" spans="4:12" ht="15" customHeight="1">
      <c r="D18" s="2587"/>
      <c r="E18" s="886" t="s">
        <v>1430</v>
      </c>
      <c r="F18" s="886" t="s">
        <v>1431</v>
      </c>
      <c r="G18" s="887" t="s">
        <v>1432</v>
      </c>
      <c r="H18" s="888" t="s">
        <v>180</v>
      </c>
      <c r="I18" s="886"/>
      <c r="J18" s="886" t="s">
        <v>1433</v>
      </c>
      <c r="K18" s="889"/>
      <c r="L18" s="597"/>
    </row>
    <row r="19" spans="4:12" ht="15" customHeight="1">
      <c r="D19" s="2588"/>
      <c r="E19" s="886" t="s">
        <v>1434</v>
      </c>
      <c r="F19" s="886" t="s">
        <v>1435</v>
      </c>
      <c r="G19" s="887" t="s">
        <v>1436</v>
      </c>
      <c r="H19" s="888" t="s">
        <v>1437</v>
      </c>
      <c r="I19" s="886" t="s">
        <v>1438</v>
      </c>
      <c r="J19" s="886" t="s">
        <v>1439</v>
      </c>
      <c r="K19" s="886" t="s">
        <v>65</v>
      </c>
      <c r="L19" s="597"/>
    </row>
    <row r="20" spans="4:12" ht="20.25" customHeight="1">
      <c r="D20" s="975" t="s">
        <v>1563</v>
      </c>
      <c r="E20" s="890"/>
      <c r="F20" s="891"/>
      <c r="G20" s="892">
        <f ca="1">IF(+CALCIS!$G$49=0,0,+CALCIS!$G$49/CALCIS!$E$47)</f>
        <v>0.25</v>
      </c>
      <c r="H20" s="893">
        <v>0.5</v>
      </c>
      <c r="I20" s="894">
        <f ca="1">+F20*G20*H20</f>
        <v>0</v>
      </c>
      <c r="J20" s="891"/>
      <c r="K20" s="895">
        <f ca="1">IF(J20&gt;E20+I20,"ERROR",E20+I20-J20)</f>
        <v>0</v>
      </c>
      <c r="L20" s="597"/>
    </row>
    <row r="21" spans="4:12" ht="20.25" customHeight="1">
      <c r="D21" s="976" t="s">
        <v>1564</v>
      </c>
      <c r="E21" s="896"/>
      <c r="F21" s="897"/>
      <c r="G21" s="898">
        <f ca="1">IF(+CALCIS!$G$49=0,0,+CALCIS!$G$49/CALCIS!$E$47)</f>
        <v>0.25</v>
      </c>
      <c r="H21" s="899">
        <v>1</v>
      </c>
      <c r="I21" s="900">
        <f ca="1">+F21*G21*H21</f>
        <v>0</v>
      </c>
      <c r="J21" s="897"/>
      <c r="K21" s="901">
        <f ca="1">IF(J21&gt;E21+I21,"ERROR",E21+I21-J21)</f>
        <v>0</v>
      </c>
      <c r="L21" s="597"/>
    </row>
    <row r="22" spans="4:12" ht="20.25" customHeight="1">
      <c r="D22" s="976" t="s">
        <v>1565</v>
      </c>
      <c r="E22" s="896"/>
      <c r="F22" s="897"/>
      <c r="G22" s="898">
        <f ca="1">IF(+CALCIS!$G$49=0,0,+CALCIS!$G$49/CALCIS!$E$47)</f>
        <v>0.25</v>
      </c>
      <c r="H22" s="899">
        <v>1</v>
      </c>
      <c r="I22" s="900">
        <f ca="1">+F22*G22*H22</f>
        <v>0</v>
      </c>
      <c r="J22" s="897"/>
      <c r="K22" s="901">
        <f ca="1">IF(J22&gt;E22+I22,"ERROR",E22+I22-J22)</f>
        <v>0</v>
      </c>
      <c r="L22" s="597"/>
    </row>
    <row r="23" spans="4:12" ht="20.25" customHeight="1">
      <c r="D23" s="976" t="s">
        <v>1440</v>
      </c>
      <c r="E23" s="902"/>
      <c r="F23" s="900"/>
      <c r="G23" s="900"/>
      <c r="H23" s="899"/>
      <c r="I23" s="900"/>
      <c r="J23" s="900"/>
      <c r="K23" s="901"/>
      <c r="L23" s="597"/>
    </row>
    <row r="24" spans="4:12" ht="20.25" customHeight="1">
      <c r="D24" s="976" t="s">
        <v>1543</v>
      </c>
      <c r="E24" s="896"/>
      <c r="F24" s="897"/>
      <c r="G24" s="898">
        <f ca="1">IF(+CALCIS!$G$49=0,0,+CALCIS!$G$49/CALCIS!$E$47)</f>
        <v>0.25</v>
      </c>
      <c r="H24" s="903"/>
      <c r="I24" s="900">
        <f ca="1">+F24*G24*H24</f>
        <v>0</v>
      </c>
      <c r="J24" s="897"/>
      <c r="K24" s="901">
        <f ca="1">IF(J24&gt;E24+I24,"ERROR",E24+I24-J24)</f>
        <v>0</v>
      </c>
      <c r="L24" s="597"/>
    </row>
    <row r="25" spans="4:12" ht="20.25" customHeight="1">
      <c r="D25" s="976" t="s">
        <v>1545</v>
      </c>
      <c r="E25" s="896"/>
      <c r="F25" s="897"/>
      <c r="G25" s="898">
        <f ca="1">IF(+CALCIS!$G$49=0,0,+CALCIS!$G$49/CALCIS!$E$47)</f>
        <v>0.25</v>
      </c>
      <c r="H25" s="903"/>
      <c r="I25" s="900">
        <f ca="1">+F25*G25*H25</f>
        <v>0</v>
      </c>
      <c r="J25" s="897"/>
      <c r="K25" s="901">
        <f ca="1">IF(J25&gt;E25+I25,"ERROR",E25+I25-J25)</f>
        <v>0</v>
      </c>
      <c r="L25" s="597"/>
    </row>
    <row r="26" spans="4:12" ht="20.25" customHeight="1">
      <c r="D26" s="904"/>
      <c r="E26" s="905"/>
      <c r="F26" s="906"/>
      <c r="G26" s="907"/>
      <c r="H26" s="907"/>
      <c r="I26" s="906"/>
      <c r="J26" s="906"/>
      <c r="K26" s="908"/>
      <c r="L26" s="597"/>
    </row>
    <row r="27" spans="4:12" ht="15" customHeight="1">
      <c r="D27" s="909" t="s">
        <v>1441</v>
      </c>
      <c r="E27" s="910">
        <f>SUM(E20:E25)</f>
        <v>0</v>
      </c>
      <c r="F27" s="910">
        <f>SUM(F20:F25)</f>
        <v>0</v>
      </c>
      <c r="G27" s="911"/>
      <c r="H27" s="911"/>
      <c r="I27" s="910">
        <f ca="1">SUM(I20:I25)</f>
        <v>0</v>
      </c>
      <c r="J27" s="910">
        <f>SUM(J20:J25)</f>
        <v>0</v>
      </c>
      <c r="K27" s="912">
        <f ca="1">IF(E27+I27-J27&lt;&gt;L27,"ERROR",E27+I27-J27)</f>
        <v>0</v>
      </c>
      <c r="L27" s="913">
        <f ca="1">SUM(K20:K26)</f>
        <v>0</v>
      </c>
    </row>
    <row r="28" spans="4:12" ht="15" customHeight="1">
      <c r="L28" s="597"/>
    </row>
    <row r="29" spans="4:12" ht="15" customHeight="1">
      <c r="D29" s="2586" t="s">
        <v>1442</v>
      </c>
      <c r="E29" s="882" t="s">
        <v>65</v>
      </c>
      <c r="F29" s="882"/>
      <c r="G29" s="883"/>
      <c r="H29" s="884"/>
      <c r="I29" s="885"/>
      <c r="J29" s="885"/>
      <c r="K29" s="885"/>
      <c r="L29" s="597"/>
    </row>
    <row r="30" spans="4:12" ht="15" customHeight="1">
      <c r="D30" s="2587"/>
      <c r="E30" s="886" t="s">
        <v>1430</v>
      </c>
      <c r="F30" s="886" t="s">
        <v>1443</v>
      </c>
      <c r="G30" s="887" t="s">
        <v>1432</v>
      </c>
      <c r="H30" s="888" t="s">
        <v>180</v>
      </c>
      <c r="I30" s="886"/>
      <c r="J30" s="886" t="s">
        <v>1433</v>
      </c>
      <c r="K30" s="889"/>
      <c r="L30" s="597"/>
    </row>
    <row r="31" spans="4:12" ht="15" customHeight="1">
      <c r="D31" s="2588"/>
      <c r="E31" s="914" t="s">
        <v>1434</v>
      </c>
      <c r="F31" s="914" t="s">
        <v>1444</v>
      </c>
      <c r="G31" s="915" t="s">
        <v>1436</v>
      </c>
      <c r="H31" s="916" t="s">
        <v>1445</v>
      </c>
      <c r="I31" s="914" t="s">
        <v>1446</v>
      </c>
      <c r="J31" s="914" t="s">
        <v>1439</v>
      </c>
      <c r="K31" s="914" t="s">
        <v>65</v>
      </c>
      <c r="L31" s="597"/>
    </row>
    <row r="32" spans="4:12" ht="21.9" customHeight="1">
      <c r="D32" s="977" t="s">
        <v>1566</v>
      </c>
      <c r="E32" s="917"/>
      <c r="F32" s="891"/>
      <c r="G32" s="918">
        <f ca="1">IF(+CALCIS!$G$49=0,0,+CALCIS!$G$49/CALCIS!$E$47)</f>
        <v>0.25</v>
      </c>
      <c r="H32" s="919"/>
      <c r="I32" s="894">
        <f ca="1">+F32*G32*H32</f>
        <v>0</v>
      </c>
      <c r="J32" s="891"/>
      <c r="K32" s="920">
        <f ca="1">IF(J32&gt;E32+I32,"ERROR",E32+I32-J32)</f>
        <v>0</v>
      </c>
      <c r="L32" s="597"/>
    </row>
    <row r="33" spans="4:12" ht="21.9" customHeight="1">
      <c r="D33" s="976" t="s">
        <v>1447</v>
      </c>
      <c r="E33" s="896"/>
      <c r="F33" s="897"/>
      <c r="G33" s="921">
        <f ca="1">IF(+CALCIS!$G$49=0,0,+CALCIS!$G$49/CALCIS!$E$47)</f>
        <v>0.25</v>
      </c>
      <c r="H33" s="922">
        <v>0.99</v>
      </c>
      <c r="I33" s="900">
        <f ca="1">+F33*G33*H33</f>
        <v>0</v>
      </c>
      <c r="J33" s="897"/>
      <c r="K33" s="923">
        <f ca="1">IF(J33&gt;E33+I33,"ERROR",E33+I33-J33)</f>
        <v>0</v>
      </c>
      <c r="L33" s="597"/>
    </row>
    <row r="34" spans="4:12" ht="21.9" customHeight="1">
      <c r="D34" s="976" t="s">
        <v>1544</v>
      </c>
      <c r="E34" s="902"/>
      <c r="F34" s="900"/>
      <c r="G34" s="924"/>
      <c r="H34" s="922"/>
      <c r="I34" s="900"/>
      <c r="J34" s="900"/>
      <c r="K34" s="923"/>
      <c r="L34" s="597"/>
    </row>
    <row r="35" spans="4:12" ht="21.9" customHeight="1">
      <c r="D35" s="976" t="s">
        <v>1448</v>
      </c>
      <c r="E35" s="896"/>
      <c r="F35" s="897"/>
      <c r="G35" s="921">
        <f ca="1">IF(+CALCIS!$G$49=0,0,+CALCIS!$G$49/CALCIS!$E$47)</f>
        <v>0.25</v>
      </c>
      <c r="H35" s="921"/>
      <c r="I35" s="900">
        <f ca="1">+F35*G35*H35</f>
        <v>0</v>
      </c>
      <c r="J35" s="897"/>
      <c r="K35" s="923">
        <f ca="1">IF(J35&gt;E35+I35,"ERROR",E35+I35-J35)</f>
        <v>0</v>
      </c>
      <c r="L35" s="597"/>
    </row>
    <row r="36" spans="4:12" ht="21.9" customHeight="1">
      <c r="D36" s="925"/>
      <c r="E36" s="926"/>
      <c r="F36" s="906"/>
      <c r="G36" s="927"/>
      <c r="H36" s="928"/>
      <c r="I36" s="906"/>
      <c r="J36" s="906"/>
      <c r="K36" s="929"/>
      <c r="L36" s="597"/>
    </row>
    <row r="37" spans="4:12" ht="15" customHeight="1">
      <c r="D37" s="909" t="s">
        <v>1449</v>
      </c>
      <c r="E37" s="910">
        <f>SUM(E32:E36)</f>
        <v>0</v>
      </c>
      <c r="F37" s="910">
        <f>SUM(F32:F36)</f>
        <v>0</v>
      </c>
      <c r="G37" s="930"/>
      <c r="H37" s="930"/>
      <c r="I37" s="910">
        <f ca="1">SUM(I32:I36)</f>
        <v>0</v>
      </c>
      <c r="J37" s="910">
        <f>SUM(J32:J36)</f>
        <v>0</v>
      </c>
      <c r="K37" s="912">
        <f ca="1">IF(E37+I37-J37&lt;&gt;L37,"ERROR",E37+I37-J37)</f>
        <v>0</v>
      </c>
      <c r="L37" s="913">
        <f ca="1">SUM(K32:K36)</f>
        <v>0</v>
      </c>
    </row>
    <row r="38" spans="4:12" ht="15" customHeight="1">
      <c r="L38" s="597"/>
    </row>
    <row r="39" spans="4:12" ht="15" customHeight="1">
      <c r="D39" s="931" t="s">
        <v>1450</v>
      </c>
      <c r="E39" s="882" t="s">
        <v>65</v>
      </c>
      <c r="F39" s="932"/>
      <c r="G39" s="883"/>
      <c r="H39" s="933"/>
      <c r="I39" s="885"/>
      <c r="J39" s="934"/>
      <c r="K39" s="885"/>
      <c r="L39" s="597"/>
    </row>
    <row r="40" spans="4:12" ht="15" customHeight="1">
      <c r="D40" s="935" t="s">
        <v>1451</v>
      </c>
      <c r="E40" s="886" t="s">
        <v>1430</v>
      </c>
      <c r="F40" s="936" t="s">
        <v>1443</v>
      </c>
      <c r="G40" s="887" t="s">
        <v>1432</v>
      </c>
      <c r="H40" s="937" t="s">
        <v>180</v>
      </c>
      <c r="I40" s="886"/>
      <c r="J40" s="936" t="s">
        <v>1433</v>
      </c>
      <c r="K40" s="889"/>
      <c r="L40" s="597"/>
    </row>
    <row r="41" spans="4:12" ht="15" customHeight="1">
      <c r="D41" s="938" t="s">
        <v>1452</v>
      </c>
      <c r="E41" s="914" t="s">
        <v>1434</v>
      </c>
      <c r="F41" s="939" t="s">
        <v>1438</v>
      </c>
      <c r="G41" s="915" t="s">
        <v>1436</v>
      </c>
      <c r="H41" s="940" t="s">
        <v>1437</v>
      </c>
      <c r="I41" s="914" t="s">
        <v>1438</v>
      </c>
      <c r="J41" s="939" t="s">
        <v>1439</v>
      </c>
      <c r="K41" s="914" t="s">
        <v>65</v>
      </c>
      <c r="L41" s="597"/>
    </row>
    <row r="42" spans="4:12" ht="21.9" customHeight="1">
      <c r="D42" s="978" t="s">
        <v>1547</v>
      </c>
      <c r="E42" s="941"/>
      <c r="F42" s="942"/>
      <c r="G42" s="943"/>
      <c r="H42" s="944">
        <v>0.12</v>
      </c>
      <c r="I42" s="945">
        <f>+F42*H42</f>
        <v>0</v>
      </c>
      <c r="J42" s="942"/>
      <c r="K42" s="946">
        <f>IF(J42&gt;E42+I42,"ERROR",E42+I42-J42)</f>
        <v>0</v>
      </c>
      <c r="L42" s="597"/>
    </row>
    <row r="43" spans="4:12" ht="12" customHeight="1">
      <c r="D43" s="979"/>
      <c r="E43" s="947"/>
      <c r="F43" s="947"/>
      <c r="G43" s="948"/>
      <c r="H43" s="949"/>
      <c r="I43" s="947"/>
      <c r="J43" s="947"/>
      <c r="K43" s="950"/>
      <c r="L43" s="597"/>
    </row>
    <row r="44" spans="4:12" ht="21.9" customHeight="1">
      <c r="D44" s="980" t="s">
        <v>1453</v>
      </c>
      <c r="E44" s="947"/>
      <c r="F44" s="947"/>
      <c r="G44" s="948"/>
      <c r="H44" s="949"/>
      <c r="I44" s="947"/>
      <c r="J44" s="947"/>
      <c r="K44" s="950"/>
      <c r="L44" s="597"/>
    </row>
    <row r="45" spans="4:12" ht="21.9" customHeight="1">
      <c r="D45" s="979" t="s">
        <v>1454</v>
      </c>
      <c r="E45" s="947"/>
      <c r="F45" s="947"/>
      <c r="G45" s="948"/>
      <c r="H45" s="949"/>
      <c r="I45" s="947"/>
      <c r="J45" s="951"/>
      <c r="K45" s="952"/>
      <c r="L45" s="597"/>
    </row>
    <row r="46" spans="4:12" ht="21.9" customHeight="1">
      <c r="D46" s="979" t="s">
        <v>1455</v>
      </c>
      <c r="E46" s="951"/>
      <c r="F46" s="953"/>
      <c r="G46" s="948"/>
      <c r="H46" s="949"/>
      <c r="I46" s="947"/>
      <c r="J46" s="951"/>
      <c r="K46" s="952"/>
      <c r="L46" s="597"/>
    </row>
    <row r="47" spans="4:12" ht="21.9" customHeight="1">
      <c r="D47" s="979" t="s">
        <v>1456</v>
      </c>
      <c r="E47" s="951"/>
      <c r="F47" s="953"/>
      <c r="G47" s="948"/>
      <c r="H47" s="949"/>
      <c r="I47" s="947"/>
      <c r="J47" s="951"/>
      <c r="K47" s="952"/>
      <c r="L47" s="597"/>
    </row>
    <row r="48" spans="4:12" ht="21.9" customHeight="1">
      <c r="D48" s="981" t="s">
        <v>1457</v>
      </c>
      <c r="E48" s="954"/>
      <c r="F48" s="955">
        <f>+(F46+F47)/2</f>
        <v>0</v>
      </c>
      <c r="G48" s="956"/>
      <c r="H48" s="957">
        <v>0.25</v>
      </c>
      <c r="I48" s="958">
        <f>+F48*H48</f>
        <v>0</v>
      </c>
      <c r="J48" s="953"/>
      <c r="K48" s="923">
        <f>+E48+I48-J48</f>
        <v>0</v>
      </c>
      <c r="L48" s="597"/>
    </row>
    <row r="49" spans="4:12" ht="21.9" customHeight="1">
      <c r="D49" s="979" t="s">
        <v>1458</v>
      </c>
      <c r="E49" s="951"/>
      <c r="F49" s="953"/>
      <c r="G49" s="948"/>
      <c r="H49" s="949"/>
      <c r="I49" s="947"/>
      <c r="J49" s="951"/>
      <c r="K49" s="952"/>
      <c r="L49" s="597"/>
    </row>
    <row r="50" spans="4:12" ht="21.9" customHeight="1">
      <c r="D50" s="979" t="s">
        <v>1459</v>
      </c>
      <c r="E50" s="951"/>
      <c r="F50" s="953"/>
      <c r="G50" s="948"/>
      <c r="H50" s="949"/>
      <c r="I50" s="949"/>
      <c r="J50" s="949"/>
      <c r="K50" s="952"/>
      <c r="L50" s="597"/>
    </row>
    <row r="51" spans="4:12" ht="21.9" customHeight="1">
      <c r="D51" s="981" t="s">
        <v>1460</v>
      </c>
      <c r="E51" s="959"/>
      <c r="F51" s="960">
        <f>+F49-F50</f>
        <v>0</v>
      </c>
      <c r="G51" s="961"/>
      <c r="H51" s="957">
        <v>0.42</v>
      </c>
      <c r="I51" s="958">
        <f>+(F51-F48)*H51</f>
        <v>0</v>
      </c>
      <c r="J51" s="953"/>
      <c r="K51" s="923">
        <f>+E51+I51-J51</f>
        <v>0</v>
      </c>
      <c r="L51" s="597"/>
    </row>
    <row r="52" spans="4:12" ht="21.9" customHeight="1">
      <c r="D52" s="981" t="s">
        <v>1461</v>
      </c>
      <c r="E52" s="954"/>
      <c r="F52" s="953"/>
      <c r="G52" s="961"/>
      <c r="H52" s="957">
        <v>0.17</v>
      </c>
      <c r="I52" s="958">
        <f>+F52*H52</f>
        <v>0</v>
      </c>
      <c r="J52" s="953"/>
      <c r="K52" s="923">
        <f>IF(J52&gt;E52+I52,"ERROR",E52+I52-J52)</f>
        <v>0</v>
      </c>
      <c r="L52" s="597"/>
    </row>
    <row r="53" spans="4:12" ht="21.9" customHeight="1">
      <c r="D53" s="981" t="s">
        <v>1462</v>
      </c>
      <c r="E53" s="954"/>
      <c r="F53" s="953"/>
      <c r="G53" s="961"/>
      <c r="H53" s="957">
        <v>0.08</v>
      </c>
      <c r="I53" s="958">
        <f>+F53*H53</f>
        <v>0</v>
      </c>
      <c r="J53" s="953"/>
      <c r="K53" s="923">
        <f>IF(J53&gt;E53+I53,"ERROR",E53+I53-J53)</f>
        <v>0</v>
      </c>
      <c r="L53" s="597"/>
    </row>
    <row r="54" spans="4:12" ht="21.9" customHeight="1">
      <c r="D54" s="979"/>
      <c r="E54" s="951"/>
      <c r="F54" s="951"/>
      <c r="G54" s="948"/>
      <c r="H54" s="949"/>
      <c r="I54" s="947"/>
      <c r="J54" s="951"/>
      <c r="K54" s="952"/>
      <c r="L54" s="597"/>
    </row>
    <row r="55" spans="4:12" ht="21.9" customHeight="1">
      <c r="D55" s="982" t="s">
        <v>1463</v>
      </c>
      <c r="E55" s="954"/>
      <c r="F55" s="953"/>
      <c r="G55" s="961"/>
      <c r="H55" s="957">
        <v>0.12</v>
      </c>
      <c r="I55" s="958">
        <f>+F55*H55</f>
        <v>0</v>
      </c>
      <c r="J55" s="953"/>
      <c r="K55" s="923">
        <f>IF(J55&gt;E55+I55,"ERROR",E55+I55-J55)</f>
        <v>0</v>
      </c>
      <c r="L55" s="597"/>
    </row>
    <row r="56" spans="4:12" ht="12" customHeight="1">
      <c r="D56" s="979"/>
      <c r="E56" s="947"/>
      <c r="F56" s="947"/>
      <c r="G56" s="948"/>
      <c r="H56" s="949"/>
      <c r="I56" s="947"/>
      <c r="J56" s="951"/>
      <c r="K56" s="952"/>
      <c r="L56" s="597"/>
    </row>
    <row r="57" spans="4:12" ht="21.9" customHeight="1">
      <c r="D57" s="980" t="s">
        <v>1567</v>
      </c>
      <c r="E57" s="947"/>
      <c r="F57" s="947"/>
      <c r="G57" s="948"/>
      <c r="H57" s="949"/>
      <c r="I57" s="947"/>
      <c r="J57" s="951"/>
      <c r="K57" s="952"/>
      <c r="L57" s="597"/>
    </row>
    <row r="58" spans="4:12" ht="21.9" customHeight="1">
      <c r="D58" s="979" t="s">
        <v>1464</v>
      </c>
      <c r="E58" s="947"/>
      <c r="F58" s="947"/>
      <c r="G58" s="948"/>
      <c r="H58" s="949"/>
      <c r="I58" s="947"/>
      <c r="J58" s="951"/>
      <c r="K58" s="952"/>
      <c r="L58" s="597"/>
    </row>
    <row r="59" spans="4:12" ht="21.9" customHeight="1">
      <c r="D59" s="979" t="s">
        <v>1455</v>
      </c>
      <c r="E59" s="951"/>
      <c r="F59" s="953"/>
      <c r="G59" s="948"/>
      <c r="H59" s="949"/>
      <c r="I59" s="947"/>
      <c r="J59" s="951"/>
      <c r="K59" s="952"/>
      <c r="L59" s="597"/>
    </row>
    <row r="60" spans="4:12" ht="21.9" customHeight="1">
      <c r="D60" s="979" t="s">
        <v>1456</v>
      </c>
      <c r="E60" s="951"/>
      <c r="F60" s="953"/>
      <c r="G60" s="948"/>
      <c r="H60" s="949"/>
      <c r="I60" s="947"/>
      <c r="J60" s="951"/>
      <c r="K60" s="952"/>
      <c r="L60" s="597"/>
    </row>
    <row r="61" spans="4:12" ht="21.9" customHeight="1">
      <c r="D61" s="981" t="s">
        <v>1457</v>
      </c>
      <c r="E61" s="954"/>
      <c r="F61" s="955">
        <f>+(F59+F60)/2</f>
        <v>0</v>
      </c>
      <c r="G61" s="961"/>
      <c r="H61" s="957"/>
      <c r="I61" s="958">
        <f>+F61*H61</f>
        <v>0</v>
      </c>
      <c r="J61" s="953"/>
      <c r="K61" s="923">
        <f>+E61+I61-J61</f>
        <v>0</v>
      </c>
      <c r="L61" s="597"/>
    </row>
    <row r="62" spans="4:12" ht="21.9" customHeight="1">
      <c r="D62" s="979" t="s">
        <v>1458</v>
      </c>
      <c r="E62" s="951"/>
      <c r="F62" s="953"/>
      <c r="G62" s="948"/>
      <c r="H62" s="949"/>
      <c r="I62" s="947"/>
      <c r="J62" s="951"/>
      <c r="K62" s="952"/>
      <c r="L62" s="597"/>
    </row>
    <row r="63" spans="4:12" ht="21.9" customHeight="1">
      <c r="D63" s="979" t="s">
        <v>1459</v>
      </c>
      <c r="E63" s="951"/>
      <c r="F63" s="953"/>
      <c r="G63" s="948"/>
      <c r="H63" s="949"/>
      <c r="I63" s="947"/>
      <c r="J63" s="951"/>
      <c r="K63" s="952"/>
      <c r="L63" s="597"/>
    </row>
    <row r="64" spans="4:12" ht="21.9" customHeight="1">
      <c r="D64" s="981" t="s">
        <v>1460</v>
      </c>
      <c r="E64" s="959"/>
      <c r="F64" s="959">
        <f>+F62-F63</f>
        <v>0</v>
      </c>
      <c r="G64" s="961"/>
      <c r="H64" s="957"/>
      <c r="I64" s="958">
        <f>+(F64-F61)*H64</f>
        <v>0</v>
      </c>
      <c r="J64" s="953"/>
      <c r="K64" s="923">
        <f>+E64+I64-J64</f>
        <v>0</v>
      </c>
      <c r="L64" s="597"/>
    </row>
    <row r="65" spans="4:12" ht="21.9" customHeight="1">
      <c r="D65" s="980"/>
      <c r="E65" s="951"/>
      <c r="F65" s="951"/>
      <c r="G65" s="948"/>
      <c r="H65" s="949"/>
      <c r="I65" s="947"/>
      <c r="J65" s="951"/>
      <c r="K65" s="952"/>
      <c r="L65" s="597"/>
    </row>
    <row r="66" spans="4:12" ht="21.9" customHeight="1">
      <c r="D66" s="982" t="s">
        <v>1568</v>
      </c>
      <c r="E66" s="954"/>
      <c r="F66" s="953"/>
      <c r="G66" s="961"/>
      <c r="H66" s="962">
        <v>0</v>
      </c>
      <c r="I66" s="958">
        <f>+F66*H66</f>
        <v>0</v>
      </c>
      <c r="J66" s="953"/>
      <c r="K66" s="923">
        <f>IF(J66&gt;E66+I66,"ERROR",E66+I66-J66)</f>
        <v>0</v>
      </c>
      <c r="L66" s="597"/>
    </row>
    <row r="67" spans="4:12" ht="21.9" customHeight="1">
      <c r="D67" s="982" t="s">
        <v>1569</v>
      </c>
      <c r="E67" s="954"/>
      <c r="F67" s="953"/>
      <c r="G67" s="961"/>
      <c r="H67" s="957"/>
      <c r="I67" s="958">
        <f>+F67*H67</f>
        <v>0</v>
      </c>
      <c r="J67" s="953"/>
      <c r="K67" s="923">
        <f>IF(J67&gt;E67+I67,"ERROR",E67+I67-J67)</f>
        <v>0</v>
      </c>
      <c r="L67" s="597"/>
    </row>
    <row r="68" spans="4:12" ht="21.9" customHeight="1">
      <c r="D68" s="980" t="s">
        <v>1465</v>
      </c>
      <c r="E68" s="951"/>
      <c r="F68" s="951"/>
      <c r="G68" s="948"/>
      <c r="H68" s="949"/>
      <c r="I68" s="947"/>
      <c r="J68" s="951"/>
      <c r="K68" s="952"/>
      <c r="L68" s="597"/>
    </row>
    <row r="69" spans="4:12" ht="21.9" customHeight="1">
      <c r="D69" s="981" t="s">
        <v>1540</v>
      </c>
      <c r="E69" s="954"/>
      <c r="F69" s="953"/>
      <c r="G69" s="961"/>
      <c r="H69" s="963">
        <v>9000</v>
      </c>
      <c r="I69" s="958">
        <f>+F69*H69</f>
        <v>0</v>
      </c>
      <c r="J69" s="953"/>
      <c r="K69" s="923">
        <f>IF(J69&gt;E69+I69,"ERROR",E69+I69-J69)</f>
        <v>0</v>
      </c>
      <c r="L69" s="597"/>
    </row>
    <row r="70" spans="4:12" ht="21.9" customHeight="1">
      <c r="D70" s="981" t="s">
        <v>1541</v>
      </c>
      <c r="E70" s="954"/>
      <c r="F70" s="953"/>
      <c r="G70" s="961"/>
      <c r="H70" s="963">
        <v>12000</v>
      </c>
      <c r="I70" s="958">
        <f>+F70*H70</f>
        <v>0</v>
      </c>
      <c r="J70" s="953"/>
      <c r="K70" s="923">
        <f>IF(J70&gt;E70+I70,"ERROR",E70+I70-J70)</f>
        <v>0</v>
      </c>
      <c r="L70" s="597"/>
    </row>
    <row r="71" spans="4:12" ht="21.9" customHeight="1">
      <c r="D71" s="981" t="s">
        <v>1542</v>
      </c>
      <c r="E71" s="954"/>
      <c r="F71" s="953"/>
      <c r="G71" s="961"/>
      <c r="H71" s="953"/>
      <c r="I71" s="953"/>
      <c r="J71" s="953"/>
      <c r="K71" s="923">
        <f>IF(J71&gt;E71+I71,"ERROR",E71+I71-J71)</f>
        <v>0</v>
      </c>
      <c r="L71" s="597"/>
    </row>
    <row r="72" spans="4:12" ht="21.9" customHeight="1">
      <c r="D72" s="979"/>
      <c r="E72" s="951"/>
      <c r="F72" s="951"/>
      <c r="G72" s="948"/>
      <c r="H72" s="951"/>
      <c r="I72" s="951"/>
      <c r="J72" s="951"/>
      <c r="K72" s="952"/>
      <c r="L72" s="597"/>
    </row>
    <row r="73" spans="4:12" ht="21.9" customHeight="1">
      <c r="D73" s="980" t="s">
        <v>1466</v>
      </c>
      <c r="E73" s="951"/>
      <c r="F73" s="951"/>
      <c r="G73" s="948"/>
      <c r="H73" s="951"/>
      <c r="I73" s="951"/>
      <c r="J73" s="951"/>
      <c r="K73" s="952"/>
      <c r="L73" s="597"/>
    </row>
    <row r="74" spans="4:12" ht="21.9" customHeight="1">
      <c r="D74" s="980" t="s">
        <v>1546</v>
      </c>
      <c r="E74" s="954"/>
      <c r="F74" s="953"/>
      <c r="G74" s="961"/>
      <c r="H74" s="964"/>
      <c r="I74" s="959">
        <f>+F74*H74</f>
        <v>0</v>
      </c>
      <c r="J74" s="953"/>
      <c r="K74" s="923">
        <f>IF(J74&gt;E74+I74,"ERROR",E74+I74-J74)</f>
        <v>0</v>
      </c>
      <c r="L74" s="597"/>
    </row>
    <row r="75" spans="4:12" ht="21.9" customHeight="1">
      <c r="D75" s="983"/>
      <c r="E75" s="954"/>
      <c r="F75" s="953"/>
      <c r="G75" s="961"/>
      <c r="H75" s="953"/>
      <c r="I75" s="959">
        <f>+F75*H75</f>
        <v>0</v>
      </c>
      <c r="J75" s="953"/>
      <c r="K75" s="923">
        <f>IF(J75&gt;E75+I75,"ERROR",E75+I75-J75)</f>
        <v>0</v>
      </c>
      <c r="L75" s="597"/>
    </row>
    <row r="76" spans="4:12" ht="21.9" customHeight="1">
      <c r="D76" s="984"/>
      <c r="E76" s="965"/>
      <c r="F76" s="965"/>
      <c r="G76" s="966"/>
      <c r="H76" s="967"/>
      <c r="I76" s="967"/>
      <c r="J76" s="967"/>
      <c r="K76" s="968"/>
      <c r="L76" s="597"/>
    </row>
    <row r="77" spans="4:12" ht="21.9" customHeight="1">
      <c r="D77" s="985" t="s">
        <v>1467</v>
      </c>
      <c r="E77" s="947"/>
      <c r="F77" s="947"/>
      <c r="G77" s="948"/>
      <c r="H77" s="949"/>
      <c r="I77" s="947"/>
      <c r="J77" s="947"/>
      <c r="K77" s="950"/>
      <c r="L77" s="597"/>
    </row>
    <row r="78" spans="4:12" ht="21.9" customHeight="1">
      <c r="D78" s="980" t="s">
        <v>1570</v>
      </c>
      <c r="E78" s="947"/>
      <c r="F78" s="947"/>
      <c r="G78" s="948"/>
      <c r="H78" s="949"/>
      <c r="I78" s="947"/>
      <c r="J78" s="947"/>
      <c r="K78" s="950"/>
      <c r="L78" s="597"/>
    </row>
    <row r="79" spans="4:12" ht="21.9" customHeight="1">
      <c r="D79" s="982" t="s">
        <v>1468</v>
      </c>
      <c r="E79" s="953"/>
      <c r="F79" s="953"/>
      <c r="G79" s="961"/>
      <c r="H79" s="957">
        <v>0.35</v>
      </c>
      <c r="I79" s="958">
        <f>+F79*H79</f>
        <v>0</v>
      </c>
      <c r="J79" s="953"/>
      <c r="K79" s="923">
        <f>IF(J79&gt;E79+I79,"ERROR",E79+I79-J79)</f>
        <v>0</v>
      </c>
      <c r="L79" s="597"/>
    </row>
    <row r="80" spans="4:12" ht="21.9" customHeight="1">
      <c r="D80" s="969"/>
      <c r="E80" s="970"/>
      <c r="F80" s="970"/>
      <c r="G80" s="970"/>
      <c r="H80" s="970"/>
      <c r="I80" s="970"/>
      <c r="J80" s="970"/>
      <c r="K80" s="971"/>
      <c r="L80" s="597"/>
    </row>
    <row r="81" spans="4:12" ht="21.9" hidden="1" customHeight="1">
      <c r="D81" s="969"/>
      <c r="E81" s="947"/>
      <c r="F81" s="947"/>
      <c r="G81" s="948"/>
      <c r="H81" s="949"/>
      <c r="I81" s="947"/>
      <c r="J81" s="947"/>
      <c r="K81" s="950"/>
      <c r="L81" s="597"/>
    </row>
    <row r="82" spans="4:12" ht="15" customHeight="1">
      <c r="D82" s="972" t="s">
        <v>1469</v>
      </c>
      <c r="E82" s="910">
        <f>SUM(E42:E81)</f>
        <v>0</v>
      </c>
      <c r="F82" s="910">
        <f>SUM(F42:F81)</f>
        <v>0</v>
      </c>
      <c r="G82" s="910"/>
      <c r="H82" s="910"/>
      <c r="I82" s="910">
        <f>SUM(I42:I81)</f>
        <v>0</v>
      </c>
      <c r="J82" s="910">
        <f>SUM(J42:J81)</f>
        <v>0</v>
      </c>
      <c r="K82" s="912">
        <f>IF(E82+I82-J82&lt;&gt;L82,"ERROR",E82+I82-J82)</f>
        <v>0</v>
      </c>
      <c r="L82" s="913">
        <f>SUM(K42:K81)</f>
        <v>0</v>
      </c>
    </row>
    <row r="83" spans="4:12" ht="15" customHeight="1">
      <c r="L83" s="597"/>
    </row>
    <row r="84" spans="4:12" ht="15" customHeight="1">
      <c r="D84" s="973" t="s">
        <v>1470</v>
      </c>
      <c r="E84" s="974">
        <f>+E27+E37+E82</f>
        <v>0</v>
      </c>
      <c r="F84" s="974">
        <f>+F27+F37+F82</f>
        <v>0</v>
      </c>
      <c r="G84" s="974"/>
      <c r="H84" s="974"/>
      <c r="I84" s="974">
        <f ca="1">+I27+I37+I82</f>
        <v>0</v>
      </c>
      <c r="J84" s="974">
        <f>+J27+J37+J82</f>
        <v>0</v>
      </c>
      <c r="K84" s="912">
        <f ca="1">IF(E84+I84-J84&lt;&gt;L84,"ERROR",E84+I84-J84)</f>
        <v>0</v>
      </c>
      <c r="L84" s="913">
        <f ca="1">SUM(L20:L82)</f>
        <v>0</v>
      </c>
    </row>
    <row r="85" spans="4:12" ht="15" customHeight="1"/>
    <row r="86" spans="4:12" ht="15" hidden="1" customHeight="1"/>
    <row r="87" spans="4:12" ht="15" hidden="1" customHeight="1"/>
    <row r="88" spans="4:12" ht="15" hidden="1" customHeight="1"/>
    <row r="89" spans="4:12" ht="15" hidden="1" customHeight="1"/>
  </sheetData>
  <mergeCells count="3">
    <mergeCell ref="D17:D19"/>
    <mergeCell ref="D29:D31"/>
    <mergeCell ref="E7:F7"/>
  </mergeCells>
  <conditionalFormatting sqref="K20:K27">
    <cfRule type="expression" dxfId="52" priority="6">
      <formula>K20="ERROR"</formula>
    </cfRule>
  </conditionalFormatting>
  <conditionalFormatting sqref="K32:K36">
    <cfRule type="expression" dxfId="51" priority="5">
      <formula>K32="ERROR"</formula>
    </cfRule>
  </conditionalFormatting>
  <conditionalFormatting sqref="K42:K81">
    <cfRule type="expression" dxfId="50" priority="4">
      <formula>K42="ERROR"</formula>
    </cfRule>
  </conditionalFormatting>
  <conditionalFormatting sqref="K37">
    <cfRule type="expression" dxfId="49" priority="3">
      <formula>K37="ERROR"</formula>
    </cfRule>
  </conditionalFormatting>
  <conditionalFormatting sqref="K82">
    <cfRule type="expression" dxfId="48" priority="2">
      <formula>K82="ERROR"</formula>
    </cfRule>
  </conditionalFormatting>
  <conditionalFormatting sqref="K84">
    <cfRule type="expression" dxfId="47" priority="1">
      <formula>K84="ERROR"</formula>
    </cfRule>
  </conditionalFormatting>
  <pageMargins left="0.62992125984251968" right="0.23622047244094491" top="0.55118110236220474" bottom="0.55118110236220474" header="0.31496062992125984" footer="0.31496062992125984"/>
  <pageSetup paperSize="9" scale="46" orientation="portrait" r:id="rId1"/>
  <headerFooter>
    <oddFooter>&amp;C&amp;"Arial,Normal"&amp;12&amp;K03-024Deducciones y Bonificaciones</oddFooter>
  </headerFooter>
  <colBreaks count="1" manualBreakCount="1">
    <brk id="12" max="84"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A08E2-5C30-4FA3-B9C3-5DB50F47E4B6}">
  <sheetPr codeName="Hoja37">
    <tabColor rgb="FF92D050"/>
  </sheetPr>
  <dimension ref="A1:O88"/>
  <sheetViews>
    <sheetView showGridLines="0" showRowColHeaders="0" topLeftCell="A7" zoomScale="96" zoomScaleNormal="96" workbookViewId="0">
      <selection activeCell="K40" sqref="K40"/>
    </sheetView>
  </sheetViews>
  <sheetFormatPr baseColWidth="10" defaultColWidth="0" defaultRowHeight="15" customHeight="1" zeroHeight="1" outlineLevelRow="1"/>
  <cols>
    <col min="1" max="2" width="2" customWidth="1"/>
    <col min="3" max="3" width="20" customWidth="1"/>
    <col min="4" max="4" width="64.5546875" customWidth="1"/>
    <col min="5" max="7" width="20" customWidth="1"/>
    <col min="8" max="11" width="21" customWidth="1"/>
    <col min="12" max="12" width="8" customWidth="1"/>
    <col min="13" max="13" width="18" hidden="1" customWidth="1"/>
    <col min="14" max="15" width="16" hidden="1" customWidth="1"/>
    <col min="16" max="16384" width="13" hidden="1"/>
  </cols>
  <sheetData>
    <row r="1" spans="3:8" ht="15" customHeight="1"/>
    <row r="2" spans="3:8" ht="9" customHeight="1"/>
    <row r="3" spans="3:8" ht="9.75" customHeight="1">
      <c r="C3" s="1"/>
      <c r="D3" s="1"/>
    </row>
    <row r="4" spans="3:8" ht="9" customHeight="1"/>
    <row r="5" spans="3:8" ht="21">
      <c r="C5" s="2252" t="str">
        <f>+MENU!C5</f>
        <v>Sociedad:</v>
      </c>
      <c r="D5" s="2342"/>
      <c r="E5" s="2591" t="str">
        <f>+MENU!E5</f>
        <v>MARIO PILATO BLAT, S.A.</v>
      </c>
      <c r="F5" s="2591"/>
      <c r="G5" s="2591"/>
    </row>
    <row r="6" spans="3:8" ht="12.75" customHeight="1">
      <c r="C6" s="218"/>
      <c r="D6" s="218"/>
      <c r="E6" s="218"/>
      <c r="F6" s="218"/>
    </row>
    <row r="7" spans="3:8" ht="21">
      <c r="C7" s="220" t="str">
        <f>+instrucciones!$C$7</f>
        <v>Fecha de cierre</v>
      </c>
      <c r="D7" s="220"/>
      <c r="E7" s="2256">
        <f>+MENU!D7</f>
        <v>45657</v>
      </c>
      <c r="F7" s="2256"/>
      <c r="G7" s="2256"/>
    </row>
    <row r="8" spans="3:8" ht="15" customHeight="1">
      <c r="C8" s="2"/>
      <c r="D8" s="2"/>
      <c r="F8" s="3"/>
      <c r="G8" s="3"/>
    </row>
    <row r="10" spans="3:8" ht="5.25" customHeight="1">
      <c r="F10" s="219"/>
    </row>
    <row r="11" spans="3:8" ht="5.25" customHeight="1"/>
    <row r="12" spans="3:8" ht="6" customHeight="1"/>
    <row r="13" spans="3:8" ht="22.5" customHeight="1">
      <c r="C13" s="221" t="s">
        <v>1599</v>
      </c>
      <c r="D13" s="1166"/>
      <c r="F13" s="1167" t="s">
        <v>1600</v>
      </c>
      <c r="G13" s="1926">
        <f>YEAR(E7)</f>
        <v>2024</v>
      </c>
    </row>
    <row r="14" spans="3:8" ht="22.5" hidden="1" customHeight="1">
      <c r="C14" s="1142"/>
      <c r="D14" s="1165"/>
      <c r="E14" s="1168"/>
      <c r="F14" s="1168"/>
      <c r="G14" s="1168"/>
      <c r="H14" s="1168"/>
    </row>
    <row r="15" spans="3:8" ht="22.5" hidden="1" customHeight="1">
      <c r="C15" s="1142"/>
      <c r="D15" s="1142"/>
    </row>
    <row r="16" spans="3:8" ht="8.25" customHeight="1"/>
    <row r="17" spans="3:11" s="33" customFormat="1" ht="18" customHeight="1">
      <c r="C17" s="1144" t="s">
        <v>1065</v>
      </c>
      <c r="D17" s="1144" t="s">
        <v>648</v>
      </c>
      <c r="E17" s="1144">
        <f t="shared" ref="E17:J17" si="0">+F17-1</f>
        <v>2018</v>
      </c>
      <c r="F17" s="1144">
        <f t="shared" si="0"/>
        <v>2019</v>
      </c>
      <c r="G17" s="1144">
        <f t="shared" si="0"/>
        <v>2020</v>
      </c>
      <c r="H17" s="1144">
        <f t="shared" si="0"/>
        <v>2021</v>
      </c>
      <c r="I17" s="1144">
        <f t="shared" si="0"/>
        <v>2022</v>
      </c>
      <c r="J17" s="1144">
        <f t="shared" si="0"/>
        <v>2023</v>
      </c>
      <c r="K17" s="1144">
        <f>+G13</f>
        <v>2024</v>
      </c>
    </row>
    <row r="18" spans="3:11" ht="18" customHeight="1" outlineLevel="1">
      <c r="C18" s="1154">
        <f>+SYS_4_3_Digitos!A5</f>
        <v>100</v>
      </c>
      <c r="D18" s="1155" t="str">
        <f>LOOKUP(C18,asientos!$M$12:$M$13033,asientos!$N$12:$N$13033)</f>
        <v>CAPITAL SOCIAL</v>
      </c>
      <c r="E18" s="1156">
        <v>140000005.09999999</v>
      </c>
      <c r="F18" s="1156">
        <v>140000005.09999999</v>
      </c>
      <c r="G18" s="1156">
        <v>140000005.09999999</v>
      </c>
      <c r="H18" s="1971">
        <v>140000005.09999999</v>
      </c>
      <c r="I18" s="1971">
        <v>140000005.09999999</v>
      </c>
      <c r="J18" s="1971">
        <f>+SYS_4_3_Digitos!D5-SYS_4_3_Digitos!C5</f>
        <v>140000005.09999999</v>
      </c>
      <c r="K18" s="1156">
        <f ca="1">+SYS_4_3_Digitos!J5-SYS_4_3_Digitos!I5</f>
        <v>140000005.09999999</v>
      </c>
    </row>
    <row r="19" spans="3:11" ht="18" customHeight="1" outlineLevel="1">
      <c r="C19" s="1154">
        <f>+SYS_4_3_Digitos!A6</f>
        <v>103</v>
      </c>
      <c r="D19" s="1155" t="str">
        <f>LOOKUP(C19,asientos!$M$12:$M$13033,asientos!$N$12:$N$13033)</f>
        <v>SOCIOS POR DESEMBOLSOS NO EXIGIDOS</v>
      </c>
      <c r="E19" s="1156"/>
      <c r="F19" s="1156"/>
      <c r="G19" s="1156"/>
      <c r="H19" s="1971">
        <v>0</v>
      </c>
      <c r="I19" s="1971">
        <v>0</v>
      </c>
      <c r="J19" s="1971">
        <f>+SYS_4_3_Digitos!D6-SYS_4_3_Digitos!C6</f>
        <v>0</v>
      </c>
      <c r="K19" s="1156">
        <f ca="1">+SYS_4_3_Digitos!J6-SYS_4_3_Digitos!I6</f>
        <v>0</v>
      </c>
    </row>
    <row r="20" spans="3:11" ht="18" customHeight="1" outlineLevel="1">
      <c r="C20" s="1154">
        <f>+SYS_4_3_Digitos!A7</f>
        <v>104</v>
      </c>
      <c r="D20" s="1155" t="str">
        <f>LOOKUP(C20,asientos!$M$12:$M$13033,asientos!$N$12:$N$13033)</f>
        <v>SOCIOS POR APORTACIONES NO DINERARIAS PENDIENTES</v>
      </c>
      <c r="E20" s="1156"/>
      <c r="F20" s="1156"/>
      <c r="G20" s="1156"/>
      <c r="H20" s="1971">
        <v>0</v>
      </c>
      <c r="I20" s="1971">
        <v>0</v>
      </c>
      <c r="J20" s="1971">
        <f>+SYS_4_3_Digitos!D7-SYS_4_3_Digitos!C7</f>
        <v>0</v>
      </c>
      <c r="K20" s="1156">
        <f ca="1">+SYS_4_3_Digitos!J7-SYS_4_3_Digitos!I7</f>
        <v>0</v>
      </c>
    </row>
    <row r="21" spans="3:11" ht="18" customHeight="1" outlineLevel="1">
      <c r="C21" s="1154">
        <f>+SYS_4_3_Digitos!A8</f>
        <v>108</v>
      </c>
      <c r="D21" s="1155" t="str">
        <f>LOOKUP(C21,asientos!$M$12:$M$13033,asientos!$N$12:$N$13033)</f>
        <v>ACC. O PARTICIPACIONES PROPIAS EN SIT. ESPECIALES</v>
      </c>
      <c r="E21" s="1156"/>
      <c r="F21" s="1156"/>
      <c r="G21" s="1156"/>
      <c r="H21" s="1971">
        <v>0</v>
      </c>
      <c r="I21" s="1971">
        <v>0</v>
      </c>
      <c r="J21" s="1971">
        <f>+SYS_4_3_Digitos!D8-SYS_4_3_Digitos!C8</f>
        <v>0</v>
      </c>
      <c r="K21" s="1156">
        <f ca="1">+SYS_4_3_Digitos!J8-SYS_4_3_Digitos!I8</f>
        <v>0</v>
      </c>
    </row>
    <row r="22" spans="3:11" ht="18" customHeight="1" outlineLevel="1">
      <c r="C22" s="1154">
        <f>+SYS_4_3_Digitos!A9</f>
        <v>109</v>
      </c>
      <c r="D22" s="1155" t="str">
        <f>LOOKUP(C22,asientos!$M$12:$M$13033,asientos!$N$12:$N$13033)</f>
        <v>ACC. O PARTIC. PROPIAS PARA REDUCC. DE CAPITAL</v>
      </c>
      <c r="E22" s="1156"/>
      <c r="F22" s="1156"/>
      <c r="G22" s="1156"/>
      <c r="H22" s="1971">
        <v>0</v>
      </c>
      <c r="I22" s="1971">
        <v>0</v>
      </c>
      <c r="J22" s="1971">
        <f>+SYS_4_3_Digitos!D9-SYS_4_3_Digitos!C9</f>
        <v>0</v>
      </c>
      <c r="K22" s="1156">
        <f ca="1">+SYS_4_3_Digitos!J9-SYS_4_3_Digitos!I9</f>
        <v>0</v>
      </c>
    </row>
    <row r="23" spans="3:11" ht="18" customHeight="1" outlineLevel="1">
      <c r="C23" s="1154">
        <f>+SYS_4_3_Digitos!A10</f>
        <v>110</v>
      </c>
      <c r="D23" s="1155" t="str">
        <f>LOOKUP(C23,asientos!$M$12:$M$13033,asientos!$N$12:$N$13033)</f>
        <v>PRIMA DE EMISIÓN O ASUNCIÓN</v>
      </c>
      <c r="E23" s="1156"/>
      <c r="F23" s="1156"/>
      <c r="G23" s="1156"/>
      <c r="H23" s="1971">
        <v>0</v>
      </c>
      <c r="I23" s="1971">
        <v>0</v>
      </c>
      <c r="J23" s="1971">
        <f>+SYS_4_3_Digitos!D10-SYS_4_3_Digitos!C10</f>
        <v>0</v>
      </c>
      <c r="K23" s="1156">
        <f ca="1">+SYS_4_3_Digitos!J10-SYS_4_3_Digitos!I10</f>
        <v>0</v>
      </c>
    </row>
    <row r="24" spans="3:11" ht="18" customHeight="1" outlineLevel="1">
      <c r="C24" s="1154">
        <f>+SYS_4_3_Digitos!A11</f>
        <v>111</v>
      </c>
      <c r="D24" s="1155" t="str">
        <f>LOOKUP(C24,asientos!$M$12:$M$13033,asientos!$N$12:$N$13033)</f>
        <v>OTROS INSTRUMENTOS DE PATRIMONIO NETO</v>
      </c>
      <c r="E24" s="1156"/>
      <c r="F24" s="1156"/>
      <c r="G24" s="1156"/>
      <c r="H24" s="1971">
        <v>0</v>
      </c>
      <c r="I24" s="1971">
        <v>0</v>
      </c>
      <c r="J24" s="1971">
        <f>+SYS_4_3_Digitos!D11-SYS_4_3_Digitos!C11</f>
        <v>0</v>
      </c>
      <c r="K24" s="1156">
        <f ca="1">+SYS_4_3_Digitos!J11-SYS_4_3_Digitos!I11</f>
        <v>0</v>
      </c>
    </row>
    <row r="25" spans="3:11" ht="18" customHeight="1" outlineLevel="1">
      <c r="C25" s="1154">
        <f>+SYS_4_3_Digitos!A12</f>
        <v>112</v>
      </c>
      <c r="D25" s="1155" t="str">
        <f>LOOKUP(C25,asientos!$M$12:$M$13033,asientos!$N$12:$N$13033)</f>
        <v>RESERVA LEGAL</v>
      </c>
      <c r="E25" s="1156">
        <v>9717200</v>
      </c>
      <c r="F25" s="1156">
        <v>10283332.300000001</v>
      </c>
      <c r="G25" s="1156">
        <v>11826824.08</v>
      </c>
      <c r="H25" s="1971">
        <v>12485704.02</v>
      </c>
      <c r="I25" s="1971">
        <v>13694219.84</v>
      </c>
      <c r="J25" s="1971">
        <f>+SYS_4_3_Digitos!D12-SYS_4_3_Digitos!C12</f>
        <v>15620049.640000001</v>
      </c>
      <c r="K25" s="1156">
        <f ca="1">+SYS_4_3_Digitos!J12-SYS_4_3_Digitos!I12</f>
        <v>16700583.99</v>
      </c>
    </row>
    <row r="26" spans="3:11" ht="18" customHeight="1" outlineLevel="1">
      <c r="C26" s="1157">
        <f>+SYS_4_3_Digitos!A13</f>
        <v>113</v>
      </c>
      <c r="D26" s="1158" t="str">
        <f>LOOKUP(C26,asientos!$M$12:$M$13033,asientos!$N$12:$N$13033)</f>
        <v>RESERVAS VOLUNTARIAS</v>
      </c>
      <c r="E26" s="1159">
        <v>80717171.680000007</v>
      </c>
      <c r="F26" s="1159">
        <v>84223567.739999995</v>
      </c>
      <c r="G26" s="1159">
        <v>97828405</v>
      </c>
      <c r="H26" s="1971">
        <v>102576261.08</v>
      </c>
      <c r="I26" s="1971">
        <v>113613607.73</v>
      </c>
      <c r="J26" s="1971">
        <f>+SYS_4_3_Digitos!D13-SYS_4_3_Digitos!C13</f>
        <v>129999012.16</v>
      </c>
      <c r="K26" s="1159">
        <f ca="1">+SYS_4_3_Digitos!J13-SYS_4_3_Digitos!I13</f>
        <v>138943662.72</v>
      </c>
    </row>
    <row r="27" spans="3:11" ht="18" customHeight="1" outlineLevel="1">
      <c r="C27" s="1154">
        <f>+SYS_4_3_Digitos!A14</f>
        <v>1140</v>
      </c>
      <c r="D27" s="1155" t="str">
        <f>LOOKUP(C27,asientos!$M$12:$M$13033,asientos!$N$12:$N$13033)</f>
        <v>RESERVAS ESPECIALES</v>
      </c>
      <c r="E27" s="1156"/>
      <c r="F27" s="1156"/>
      <c r="G27" s="1156"/>
      <c r="H27" s="1971">
        <v>0</v>
      </c>
      <c r="I27" s="1971">
        <v>0</v>
      </c>
      <c r="J27" s="1971">
        <f>+SYS_4_3_Digitos!D14-SYS_4_3_Digitos!C14</f>
        <v>0</v>
      </c>
      <c r="K27" s="1156">
        <f ca="1">+SYS_4_3_Digitos!J14-SYS_4_3_Digitos!I14</f>
        <v>0</v>
      </c>
    </row>
    <row r="28" spans="3:11" ht="18" customHeight="1" outlineLevel="1">
      <c r="C28" s="1154">
        <v>1147</v>
      </c>
      <c r="D28" s="1155" t="str">
        <f>LOOKUP(C28,asientos!$M$12:$M$13033,asientos!$N$12:$N$13033)</f>
        <v>RESERVA DE CAPITALIZACIÓN</v>
      </c>
      <c r="E28" s="1156">
        <v>1709705.28</v>
      </c>
      <c r="F28" s="1156">
        <v>3298499.94</v>
      </c>
      <c r="G28" s="1156">
        <v>4028120.69</v>
      </c>
      <c r="H28" s="1971">
        <v>5210184.08</v>
      </c>
      <c r="I28" s="1971">
        <v>5049479.7700000005</v>
      </c>
      <c r="J28" s="1971">
        <f>+SYS_4_3_Digitos!D15-SYS_4_3_Digitos!C15</f>
        <v>5996543.5099999998</v>
      </c>
      <c r="K28" s="1156">
        <f ca="1">+SYS_4_3_Digitos!J15-SYS_4_3_Digitos!I15</f>
        <v>6776702.0999999996</v>
      </c>
    </row>
    <row r="29" spans="3:11" ht="18" customHeight="1" outlineLevel="1">
      <c r="C29" s="1154">
        <v>1148</v>
      </c>
      <c r="D29" s="1155" t="str">
        <f>LOOKUP(C29,asientos!$M$12:$M$13033,asientos!$N$12:$N$13033)</f>
        <v>RESERVA DE NIVELACIÓN</v>
      </c>
      <c r="E29" s="1156"/>
      <c r="F29" s="1156"/>
      <c r="G29" s="1156"/>
      <c r="H29" s="1971">
        <v>0</v>
      </c>
      <c r="I29" s="1971">
        <v>0</v>
      </c>
      <c r="J29" s="1971">
        <f>+SYS_4_3_Digitos!D16-SYS_4_3_Digitos!C16</f>
        <v>0</v>
      </c>
      <c r="K29" s="1156">
        <f ca="1">+SYS_4_3_Digitos!J16-SYS_4_3_Digitos!I16</f>
        <v>0</v>
      </c>
    </row>
    <row r="30" spans="3:11" ht="18" customHeight="1" outlineLevel="1">
      <c r="C30" s="1154">
        <f>+SYS_4_3_Digitos!A17</f>
        <v>115</v>
      </c>
      <c r="D30" s="1155" t="str">
        <f>LOOKUP(C30,asientos!$M$12:$M$13033,asientos!$N$12:$N$13033)</f>
        <v>RESERVAS POR P Y G ACTUARIALES Y OTROS AJUSTES</v>
      </c>
      <c r="E30" s="1156"/>
      <c r="F30" s="1156"/>
      <c r="G30" s="1156"/>
      <c r="H30" s="1971">
        <v>0</v>
      </c>
      <c r="I30" s="1971">
        <v>0</v>
      </c>
      <c r="J30" s="1971">
        <f>+SYS_4_3_Digitos!D17-SYS_4_3_Digitos!C17</f>
        <v>0</v>
      </c>
      <c r="K30" s="1156">
        <f ca="1">+SYS_4_3_Digitos!J17-SYS_4_3_Digitos!I17</f>
        <v>0</v>
      </c>
    </row>
    <row r="31" spans="3:11" ht="18" customHeight="1" outlineLevel="1">
      <c r="C31" s="1154">
        <f>+SYS_4_3_Digitos!A18</f>
        <v>118</v>
      </c>
      <c r="D31" s="1155" t="str">
        <f>LOOKUP(C31,asientos!$M$12:$M$13033,asientos!$N$12:$N$13033)</f>
        <v>APORTACIONES DE SOCIOS O PROPIETARIOS</v>
      </c>
      <c r="E31" s="1156"/>
      <c r="F31" s="1156"/>
      <c r="G31" s="1156"/>
      <c r="H31" s="1971">
        <v>0</v>
      </c>
      <c r="I31" s="1971">
        <v>0</v>
      </c>
      <c r="J31" s="1971">
        <f>+SYS_4_3_Digitos!D18-SYS_4_3_Digitos!C18</f>
        <v>0</v>
      </c>
      <c r="K31" s="1156">
        <f ca="1">+SYS_4_3_Digitos!J18-SYS_4_3_Digitos!I18</f>
        <v>0</v>
      </c>
    </row>
    <row r="32" spans="3:11" ht="18" customHeight="1" outlineLevel="1">
      <c r="C32" s="1154">
        <f>+SYS_4_3_Digitos!A19</f>
        <v>119</v>
      </c>
      <c r="D32" s="1155" t="str">
        <f>LOOKUP(C32,asientos!$M$12:$M$13033,asientos!$N$12:$N$13033)</f>
        <v>DIFERENCIA POR AJUSTE DEL CAPITAL A EUROS</v>
      </c>
      <c r="E32" s="1156">
        <v>13.56</v>
      </c>
      <c r="F32" s="1156">
        <v>13.56</v>
      </c>
      <c r="G32" s="1156">
        <v>13.56</v>
      </c>
      <c r="H32" s="1971">
        <v>13.56</v>
      </c>
      <c r="I32" s="1971">
        <v>13.56</v>
      </c>
      <c r="J32" s="1971">
        <f>+SYS_4_3_Digitos!D19-SYS_4_3_Digitos!C19</f>
        <v>13.56</v>
      </c>
      <c r="K32" s="1156">
        <f ca="1">+SYS_4_3_Digitos!J19-SYS_4_3_Digitos!I19</f>
        <v>13.56</v>
      </c>
    </row>
    <row r="33" spans="3:11" ht="18" customHeight="1" outlineLevel="1">
      <c r="C33" s="1157">
        <f>+SYS_4_3_Digitos!A20</f>
        <v>120</v>
      </c>
      <c r="D33" s="1158" t="str">
        <f>LOOKUP(C33,asientos!$M$12:$M$13033,asientos!$N$12:$N$13033)</f>
        <v>REMANENTE</v>
      </c>
      <c r="E33" s="1159"/>
      <c r="F33" s="1159"/>
      <c r="G33" s="1159"/>
      <c r="H33" s="1971">
        <v>0</v>
      </c>
      <c r="I33" s="1971">
        <v>0</v>
      </c>
      <c r="J33" s="1971">
        <f>+SYS_4_3_Digitos!D20-SYS_4_3_Digitos!C20</f>
        <v>0</v>
      </c>
      <c r="K33" s="1159">
        <f ca="1">+SYS_4_3_Digitos!J20-SYS_4_3_Digitos!I20</f>
        <v>0</v>
      </c>
    </row>
    <row r="34" spans="3:11" ht="18" customHeight="1" outlineLevel="1">
      <c r="C34" s="1157">
        <f>+SYS_4_3_Digitos!A21</f>
        <v>121</v>
      </c>
      <c r="D34" s="1158" t="str">
        <f>LOOKUP(C34,asientos!$M$12:$M$13033,asientos!$N$12:$N$13033)</f>
        <v>RESULTADOS NEGATIVOS DE EJERCICIOS ANTERIORES</v>
      </c>
      <c r="E34" s="1159"/>
      <c r="F34" s="1159"/>
      <c r="G34" s="1159"/>
      <c r="H34" s="1971">
        <v>0</v>
      </c>
      <c r="I34" s="1971">
        <v>0</v>
      </c>
      <c r="J34" s="1971">
        <f>+SYS_4_3_Digitos!D21-SYS_4_3_Digitos!C21</f>
        <v>0</v>
      </c>
      <c r="K34" s="1159">
        <f ca="1">+SYS_4_3_Digitos!J21-SYS_4_3_Digitos!I21</f>
        <v>0</v>
      </c>
    </row>
    <row r="35" spans="3:11" ht="18" customHeight="1" outlineLevel="1">
      <c r="C35" s="1160">
        <f>+SYS_4_3_Digitos!A22</f>
        <v>129</v>
      </c>
      <c r="D35" s="1161" t="str">
        <f>LOOKUP(C35,asientos!$M$12:$M$13033,asientos!$N$12:$N$13033)</f>
        <v>RESULTADO DEL EJERCICIO</v>
      </c>
      <c r="E35" s="1162">
        <v>5661323.0199999996</v>
      </c>
      <c r="F35" s="1162">
        <v>15434917.84</v>
      </c>
      <c r="G35" s="1162">
        <v>6588799.4099999834</v>
      </c>
      <c r="H35" s="1971">
        <v>12085158.160000028</v>
      </c>
      <c r="I35" s="1971">
        <v>19258297.969999973</v>
      </c>
      <c r="J35" s="1971">
        <f>+PG!H81</f>
        <v>10805343.500000006</v>
      </c>
      <c r="K35" s="1162">
        <f ca="1">+PG!E81</f>
        <v>14641500.340000015</v>
      </c>
    </row>
    <row r="36" spans="3:11" ht="18" customHeight="1">
      <c r="C36" s="1931"/>
      <c r="D36" s="1932" t="s">
        <v>1195</v>
      </c>
      <c r="E36" s="1933">
        <f t="shared" ref="E36:K36" si="1">SUM(E18:E35)</f>
        <v>237805418.64000002</v>
      </c>
      <c r="F36" s="1933">
        <f t="shared" si="1"/>
        <v>253240336.47999999</v>
      </c>
      <c r="G36" s="1933">
        <f t="shared" si="1"/>
        <v>260272167.84</v>
      </c>
      <c r="H36" s="1933">
        <f t="shared" si="1"/>
        <v>272357326.00000006</v>
      </c>
      <c r="I36" s="1933">
        <f t="shared" si="1"/>
        <v>291615623.96999997</v>
      </c>
      <c r="J36" s="1933">
        <f t="shared" si="1"/>
        <v>302420967.46999997</v>
      </c>
      <c r="K36" s="1934">
        <f t="shared" ca="1" si="1"/>
        <v>317062467.81000006</v>
      </c>
    </row>
    <row r="37" spans="3:11" ht="18" customHeight="1">
      <c r="C37" s="1936">
        <v>1</v>
      </c>
      <c r="D37" s="1937" t="s">
        <v>1601</v>
      </c>
      <c r="E37" s="1938">
        <v>237805418.64000002</v>
      </c>
      <c r="F37" s="1938">
        <f t="shared" ref="F37:K37" si="2">+F36-E36</f>
        <v>15434917.839999974</v>
      </c>
      <c r="G37" s="1938">
        <f t="shared" si="2"/>
        <v>7031831.3600000143</v>
      </c>
      <c r="H37" s="1938">
        <f t="shared" si="2"/>
        <v>12085158.160000056</v>
      </c>
      <c r="I37" s="1938">
        <f t="shared" si="2"/>
        <v>19258297.969999909</v>
      </c>
      <c r="J37" s="1938">
        <f t="shared" si="2"/>
        <v>10805343.5</v>
      </c>
      <c r="K37" s="1939">
        <f t="shared" ca="1" si="2"/>
        <v>14641500.340000093</v>
      </c>
    </row>
    <row r="38" spans="3:11" ht="18" customHeight="1">
      <c r="C38" s="1929">
        <v>2</v>
      </c>
      <c r="D38" s="1148" t="s">
        <v>1602</v>
      </c>
      <c r="E38" s="1146">
        <v>82426876.960000008</v>
      </c>
      <c r="F38" s="1146">
        <f>+F26+F28+F33+F34-E26-E28-E33-E34</f>
        <v>5095190.7199999848</v>
      </c>
      <c r="G38" s="1146">
        <f>+G26+G28+G33+G34-F26-F28-F33-F34</f>
        <v>14334458.010000004</v>
      </c>
      <c r="H38" s="1146">
        <f t="shared" ref="H38:J38" si="3">+H26+H28+H33+H34-G26-G28-G33-G34</f>
        <v>5929919.4699999969</v>
      </c>
      <c r="I38" s="1146">
        <f t="shared" si="3"/>
        <v>10876642.340000002</v>
      </c>
      <c r="J38" s="1146">
        <f t="shared" si="3"/>
        <v>17332468.169999983</v>
      </c>
      <c r="K38" s="1146">
        <f ca="1">+K26+K28+K33+K34-J26-J28-J33-J34</f>
        <v>9724809.1499999966</v>
      </c>
    </row>
    <row r="39" spans="3:11" ht="15" customHeight="1">
      <c r="C39" s="1940"/>
      <c r="D39" s="1941" t="s">
        <v>1646</v>
      </c>
      <c r="E39" s="1942">
        <v>149717218.66</v>
      </c>
      <c r="F39" s="1942">
        <f>+F37-F35-F38+E35-F27+E28-F29+E29</f>
        <v>2275837.5799999889</v>
      </c>
      <c r="G39" s="1942">
        <f>+G37-G35-G38+F35-G27+F27-G29+F29</f>
        <v>1543491.7800000273</v>
      </c>
      <c r="H39" s="1942">
        <f>+H37-H35-H38+G35-H27+G27-H29+G29</f>
        <v>658879.94000001438</v>
      </c>
      <c r="I39" s="1942">
        <f>+I37-I35-I38+H35-I27+H27-I29+H29</f>
        <v>1208515.819999963</v>
      </c>
      <c r="J39" s="1942">
        <f>+J37-J35-J38+I35-J27+I27-J29+I29</f>
        <v>1925829.7999999858</v>
      </c>
      <c r="K39" s="1943">
        <f ca="1">+K37-K35-K38+J35-K27+J27-K29+J29</f>
        <v>1080534.3500000872</v>
      </c>
    </row>
    <row r="40" spans="3:11" ht="15" customHeight="1">
      <c r="C40" s="1935">
        <v>0.15</v>
      </c>
      <c r="D40" s="1163" t="s">
        <v>1604</v>
      </c>
      <c r="E40" s="1164">
        <v>8242687.6960000014</v>
      </c>
      <c r="F40" s="1164">
        <f>+F38*0.1</f>
        <v>509519.07199999853</v>
      </c>
      <c r="G40" s="1164">
        <f>+G38*0.1</f>
        <v>1433445.8010000004</v>
      </c>
      <c r="H40" s="1164">
        <f>+H38*0.1</f>
        <v>592991.94699999969</v>
      </c>
      <c r="I40" s="1164">
        <f>+I38*0.1</f>
        <v>1087664.2340000002</v>
      </c>
      <c r="J40" s="1164">
        <f>+J38*0.1</f>
        <v>1733246.8169999984</v>
      </c>
      <c r="K40" s="1164">
        <f ca="1">+K38*$C$40</f>
        <v>1458721.3724999994</v>
      </c>
    </row>
    <row r="41" spans="3:11" ht="15" customHeight="1">
      <c r="C41" s="1944"/>
      <c r="D41" s="1927" t="s">
        <v>1608</v>
      </c>
      <c r="E41" s="1928"/>
      <c r="F41" s="1970"/>
      <c r="G41" s="1970"/>
      <c r="H41" s="1970"/>
      <c r="I41" s="1970">
        <v>1984600.04</v>
      </c>
      <c r="J41" s="1970">
        <v>780158.59</v>
      </c>
      <c r="K41" s="1928">
        <f>+CALCIS!E42</f>
        <v>1101418.47</v>
      </c>
    </row>
    <row r="42" spans="3:11" ht="15" customHeight="1">
      <c r="C42" s="1150"/>
      <c r="D42" s="1163" t="s">
        <v>1750</v>
      </c>
      <c r="E42" s="1164">
        <v>3298499.94</v>
      </c>
      <c r="F42" s="1164">
        <f>+G28</f>
        <v>4028120.69</v>
      </c>
      <c r="G42" s="1164">
        <f>+H28</f>
        <v>5210184.08</v>
      </c>
      <c r="H42" s="1164">
        <f>+I28</f>
        <v>5049479.7700000005</v>
      </c>
      <c r="I42" s="1164">
        <f>+J28</f>
        <v>5996543.5099999998</v>
      </c>
      <c r="J42" s="1164">
        <v>6776702.0999999996</v>
      </c>
      <c r="K42" s="1164">
        <f ca="1">+K28+K41</f>
        <v>7878120.5699999994</v>
      </c>
    </row>
    <row r="43" spans="3:11" ht="15" customHeight="1">
      <c r="C43" s="1150"/>
      <c r="D43" s="1151" t="s">
        <v>1605</v>
      </c>
      <c r="E43" s="1152">
        <v>-3298499.94</v>
      </c>
      <c r="F43" s="1152">
        <f>+E41+F41-F42</f>
        <v>-4028120.69</v>
      </c>
      <c r="G43" s="1152">
        <f>+E41+F41+G41+-G42</f>
        <v>-5210184.08</v>
      </c>
      <c r="H43" s="1152">
        <f>+E41+F41+G41+H41-H42</f>
        <v>-5049479.7700000005</v>
      </c>
      <c r="I43" s="1152">
        <f>+E41+F41+G41+H41+I41-I42</f>
        <v>-4011943.4699999997</v>
      </c>
      <c r="J43" s="1152">
        <f>+E41+F41+G41+H41+I41+J41-J42</f>
        <v>-4011943.4699999997</v>
      </c>
      <c r="K43" s="1152">
        <f ca="1">+F41+G41+H41+I41+J41-K42+K41</f>
        <v>-4011943.4699999997</v>
      </c>
    </row>
    <row r="44" spans="3:11" ht="15" customHeight="1">
      <c r="D44" s="1147"/>
    </row>
    <row r="45" spans="3:11" ht="15" customHeight="1">
      <c r="C45" s="2589" t="s">
        <v>1606</v>
      </c>
      <c r="D45" s="2590"/>
      <c r="E45" s="1956" t="s">
        <v>1603</v>
      </c>
      <c r="F45" s="1956">
        <f>+F17</f>
        <v>2019</v>
      </c>
      <c r="G45" s="1956">
        <f t="shared" ref="G45:K45" si="4">+G17</f>
        <v>2020</v>
      </c>
      <c r="H45" s="1956">
        <f t="shared" si="4"/>
        <v>2021</v>
      </c>
      <c r="I45" s="1956">
        <f t="shared" si="4"/>
        <v>2022</v>
      </c>
      <c r="J45" s="1956">
        <f t="shared" si="4"/>
        <v>2023</v>
      </c>
      <c r="K45" s="1956">
        <f t="shared" si="4"/>
        <v>2024</v>
      </c>
    </row>
    <row r="46" spans="3:11" ht="15" customHeight="1">
      <c r="C46" s="1930"/>
      <c r="E46" s="1153">
        <f>+F17</f>
        <v>2019</v>
      </c>
      <c r="F46" s="184" t="str">
        <f>IF(F38&gt;0,"CUMPLE","NO CUMPLE")</f>
        <v>CUMPLE</v>
      </c>
      <c r="G46" s="184"/>
      <c r="H46" s="184"/>
      <c r="I46" s="1228"/>
      <c r="J46" s="1228"/>
      <c r="K46" s="1961"/>
    </row>
    <row r="47" spans="3:11" ht="15" customHeight="1">
      <c r="C47" s="1930"/>
      <c r="E47" s="1153">
        <f>+G17</f>
        <v>2020</v>
      </c>
      <c r="F47" s="184" t="str">
        <f>IF(F38+G38&gt;=F38,"CUMPLE","NO CUMPLE")</f>
        <v>CUMPLE</v>
      </c>
      <c r="G47" s="184" t="str">
        <f>IF(G38&gt;0,"CUMPLE","NO CUMPLE")</f>
        <v>CUMPLE</v>
      </c>
      <c r="H47" s="184"/>
      <c r="I47" s="1228"/>
      <c r="J47" s="1228"/>
      <c r="K47" s="1961"/>
    </row>
    <row r="48" spans="3:11" ht="15" customHeight="1">
      <c r="C48" s="1930"/>
      <c r="E48" s="1153">
        <f>+H17</f>
        <v>2021</v>
      </c>
      <c r="F48" s="184" t="str">
        <f>IF(F38+G38+H38&gt;=F38,"CUMPLE","NO CUMPLE")</f>
        <v>CUMPLE</v>
      </c>
      <c r="G48" s="184" t="str">
        <f>IF(G38+H38&gt;=G38,"CUMPLE","NO CUMPLE")</f>
        <v>CUMPLE</v>
      </c>
      <c r="H48" s="184" t="str">
        <f>IF(H38&gt;0,"CUMPLE","NO CUMPLE")</f>
        <v>CUMPLE</v>
      </c>
      <c r="I48" s="1228"/>
      <c r="J48" s="1228"/>
      <c r="K48" s="1961"/>
    </row>
    <row r="49" spans="3:11" ht="15" customHeight="1">
      <c r="C49" s="1930"/>
      <c r="E49" s="1153">
        <f>+I17</f>
        <v>2022</v>
      </c>
      <c r="F49" s="184" t="str">
        <f>IF(F38+G38+H38+I38&gt;=F38,"CUMPLE","NO CUMPLE")</f>
        <v>CUMPLE</v>
      </c>
      <c r="G49" s="184" t="str">
        <f>IF(+G38+H38+I38&gt;=G38,"CUMPLE","NO CUMPLE")</f>
        <v>CUMPLE</v>
      </c>
      <c r="H49" s="184" t="str">
        <f>IF(H38+I38&gt;=H38,"CUMPLE","NO CUMPLE")</f>
        <v>CUMPLE</v>
      </c>
      <c r="I49" s="1228" t="str">
        <f>IF(I38&gt;0,"CUMPLE","NO CUMPLE")</f>
        <v>CUMPLE</v>
      </c>
      <c r="J49" s="1228"/>
      <c r="K49" s="1961"/>
    </row>
    <row r="50" spans="3:11" ht="15" customHeight="1">
      <c r="C50" s="1930"/>
      <c r="E50" s="1153">
        <f>+J17</f>
        <v>2023</v>
      </c>
      <c r="F50" s="184" t="str">
        <f>IF(F38+G38+H38+I38+J38&gt;=F38,"CUMPLE","NO CUMPLE")</f>
        <v>CUMPLE</v>
      </c>
      <c r="G50" s="184" t="str">
        <f>IF(+G38+H38+I38+J38&gt;=G38,"CUMPLE","NO CUMPLE")</f>
        <v>CUMPLE</v>
      </c>
      <c r="H50" s="184" t="str">
        <f>IF(H38+I38+J38&gt;=H38,"CUMPLE","NO CUMPLE")</f>
        <v>CUMPLE</v>
      </c>
      <c r="I50" s="1228" t="str">
        <f>IF(I38+J38&gt;=I38,"CUMPLE","NO CUMPLE")</f>
        <v>CUMPLE</v>
      </c>
      <c r="J50" s="1228" t="str">
        <f>IF(J38&gt;0,"CUMPLE","NO CUMPLE")</f>
        <v>CUMPLE</v>
      </c>
      <c r="K50" s="1961"/>
    </row>
    <row r="51" spans="3:11" ht="15" customHeight="1">
      <c r="C51" s="1940"/>
      <c r="D51" s="1216"/>
      <c r="E51" s="1962">
        <f>+K17</f>
        <v>2024</v>
      </c>
      <c r="F51" s="1963" t="str">
        <f ca="1">IF(+F38+G38+H38+I38+J38+K38&gt;=F38,"CUMPLE","NO CUMPLE")</f>
        <v>CUMPLE</v>
      </c>
      <c r="G51" s="1963" t="str">
        <f ca="1">IF(+G38+H38+I38+J38+K38&gt;=G38,"CUMPLE","NO CUMPLE")</f>
        <v>CUMPLE</v>
      </c>
      <c r="H51" s="1963" t="str">
        <f ca="1">IF(H38+I38+J38+K38&gt;=H38,"CUMPLE","NO CUMPLE")</f>
        <v>CUMPLE</v>
      </c>
      <c r="I51" s="1964" t="str">
        <f ca="1">IF(I38+J38+K38&gt;=I38,"CUMPLE","NO CUMPLE")</f>
        <v>CUMPLE</v>
      </c>
      <c r="J51" s="1964" t="str">
        <f ca="1">IF(J38+K38&gt;=J38,"CUMPLE","NO CUMPLE")</f>
        <v>CUMPLE</v>
      </c>
      <c r="K51" s="1965" t="str">
        <f ca="1">IF(K38&gt;0,"CUMPLE","NO CUMPLE")</f>
        <v>CUMPLE</v>
      </c>
    </row>
    <row r="52" spans="3:11" ht="15" customHeight="1"/>
    <row r="53" spans="3:11" ht="15" customHeight="1"/>
    <row r="54" spans="3:11" ht="15" customHeight="1">
      <c r="D54" s="1172" t="s">
        <v>1614</v>
      </c>
    </row>
    <row r="55" spans="3:11" ht="15" customHeight="1">
      <c r="D55" t="s">
        <v>1615</v>
      </c>
    </row>
    <row r="56" spans="3:11" ht="15" customHeight="1">
      <c r="D56" t="s">
        <v>1616</v>
      </c>
    </row>
    <row r="57" spans="3:11" ht="15" customHeight="1">
      <c r="D57" t="s">
        <v>1617</v>
      </c>
    </row>
    <row r="58" spans="3:11" ht="15" customHeight="1">
      <c r="D58" t="s">
        <v>1618</v>
      </c>
    </row>
    <row r="59" spans="3:11" ht="15" customHeight="1">
      <c r="D59" t="s">
        <v>1647</v>
      </c>
    </row>
    <row r="60" spans="3:11" ht="15" customHeight="1">
      <c r="D60" t="s">
        <v>1648</v>
      </c>
    </row>
    <row r="61" spans="3:11" ht="15" customHeight="1"/>
    <row r="62" spans="3:11" ht="15" customHeight="1"/>
    <row r="63" spans="3:11" ht="15" customHeight="1"/>
    <row r="64" spans="3:11"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sheetData>
  <mergeCells count="4">
    <mergeCell ref="C45:D45"/>
    <mergeCell ref="C5:D5"/>
    <mergeCell ref="E5:G5"/>
    <mergeCell ref="E7:G7"/>
  </mergeCells>
  <pageMargins left="0.70866141732283472" right="0.70866141732283472" top="0.74803149606299213" bottom="0.74803149606299213" header="0.31496062992125984" footer="0.31496062992125984"/>
  <pageSetup paperSize="9" scale="57" orientation="landscape"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5A781-253E-47AC-BE30-A27886B77B7B}">
  <sheetPr codeName="Hoja48">
    <tabColor rgb="FF92D050"/>
  </sheetPr>
  <dimension ref="A1:O88"/>
  <sheetViews>
    <sheetView showGridLines="0" showRowColHeaders="0" zoomScale="110" zoomScaleNormal="110" workbookViewId="0">
      <selection activeCell="H18" sqref="H18:J18"/>
    </sheetView>
  </sheetViews>
  <sheetFormatPr baseColWidth="10" defaultColWidth="0" defaultRowHeight="15" customHeight="1" zeroHeight="1" outlineLevelRow="1"/>
  <cols>
    <col min="1" max="2" width="2" customWidth="1"/>
    <col min="3" max="3" width="20" customWidth="1"/>
    <col min="4" max="4" width="61" bestFit="1" customWidth="1"/>
    <col min="5" max="5" width="20" customWidth="1"/>
    <col min="6" max="6" width="23" customWidth="1"/>
    <col min="7" max="7" width="20" customWidth="1"/>
    <col min="8" max="11" width="21" customWidth="1"/>
    <col min="12" max="12" width="8" customWidth="1"/>
    <col min="13" max="13" width="18" hidden="1" customWidth="1"/>
    <col min="14" max="15" width="16" hidden="1" customWidth="1"/>
    <col min="16" max="16384" width="13" hidden="1"/>
  </cols>
  <sheetData>
    <row r="1" spans="3:7" ht="15" customHeight="1"/>
    <row r="2" spans="3:7" ht="9" customHeight="1"/>
    <row r="3" spans="3:7" ht="9.75" customHeight="1">
      <c r="C3" s="1"/>
      <c r="D3" s="1"/>
    </row>
    <row r="4" spans="3:7" ht="9" customHeight="1"/>
    <row r="5" spans="3:7" ht="21">
      <c r="C5" s="2252" t="str">
        <f>+MENU!C5</f>
        <v>Sociedad:</v>
      </c>
      <c r="D5" s="2342"/>
      <c r="E5" s="2591" t="str">
        <f>+MENU!E5</f>
        <v>MARIO PILATO BLAT, S.A.</v>
      </c>
      <c r="F5" s="2591"/>
      <c r="G5" s="2591"/>
    </row>
    <row r="6" spans="3:7" ht="12.75" customHeight="1">
      <c r="C6" s="218"/>
      <c r="D6" s="218"/>
      <c r="E6" s="218"/>
      <c r="F6" s="218"/>
    </row>
    <row r="7" spans="3:7" ht="21">
      <c r="C7" s="220" t="str">
        <f>+instrucciones!$C$7</f>
        <v>Fecha de cierre</v>
      </c>
      <c r="D7" s="220"/>
      <c r="E7" s="2256">
        <f>+MENU!D7</f>
        <v>45657</v>
      </c>
      <c r="F7" s="2256"/>
      <c r="G7" s="2256"/>
    </row>
    <row r="8" spans="3:7" ht="15" hidden="1" customHeight="1">
      <c r="C8" s="2"/>
      <c r="D8" s="2"/>
      <c r="F8" s="3"/>
      <c r="G8" s="3"/>
    </row>
    <row r="10" spans="3:7" ht="5.25" customHeight="1">
      <c r="F10" s="219"/>
    </row>
    <row r="11" spans="3:7" ht="5.25" customHeight="1"/>
    <row r="12" spans="3:7" ht="6" customHeight="1"/>
    <row r="13" spans="3:7" ht="22.5" customHeight="1">
      <c r="C13" s="221" t="s">
        <v>1607</v>
      </c>
      <c r="D13" s="212"/>
      <c r="F13" s="1143" t="s">
        <v>1600</v>
      </c>
      <c r="G13" s="1926">
        <f>YEAR(E7)</f>
        <v>2024</v>
      </c>
    </row>
    <row r="14" spans="3:7" ht="22.5" hidden="1" customHeight="1">
      <c r="C14" s="1142"/>
      <c r="D14" s="1142"/>
    </row>
    <row r="15" spans="3:7" ht="22.5" hidden="1" customHeight="1">
      <c r="C15" s="1142"/>
      <c r="D15" s="1142"/>
    </row>
    <row r="16" spans="3:7" ht="8.25" customHeight="1"/>
    <row r="17" spans="3:11" s="33" customFormat="1" ht="18" customHeight="1">
      <c r="C17" s="1144" t="s">
        <v>1065</v>
      </c>
      <c r="D17" s="1144" t="s">
        <v>648</v>
      </c>
      <c r="E17" s="1144">
        <f t="shared" ref="E17:J17" si="0">+F17-1</f>
        <v>2018</v>
      </c>
      <c r="F17" s="1144">
        <f t="shared" si="0"/>
        <v>2019</v>
      </c>
      <c r="G17" s="1144">
        <f t="shared" si="0"/>
        <v>2020</v>
      </c>
      <c r="H17" s="1144">
        <f t="shared" si="0"/>
        <v>2021</v>
      </c>
      <c r="I17" s="1144">
        <f t="shared" si="0"/>
        <v>2022</v>
      </c>
      <c r="J17" s="1144">
        <f t="shared" si="0"/>
        <v>2023</v>
      </c>
      <c r="K17" s="1144">
        <f>+G13</f>
        <v>2024</v>
      </c>
    </row>
    <row r="18" spans="3:11" ht="18" customHeight="1" outlineLevel="1">
      <c r="C18" s="1154"/>
      <c r="D18" s="1169" t="str">
        <f>+CALCIS!D44</f>
        <v>Base Imponible Previa (2)</v>
      </c>
      <c r="E18" s="1156"/>
      <c r="F18" s="1966"/>
      <c r="G18" s="1966"/>
      <c r="H18" s="1966">
        <v>10188321.032500029</v>
      </c>
      <c r="I18" s="1966">
        <v>17861400.369999971</v>
      </c>
      <c r="J18" s="1966">
        <v>7021427.3100000052</v>
      </c>
      <c r="K18" s="1966">
        <f ca="1">+CALCIS!E44</f>
        <v>9912766.1785000153</v>
      </c>
    </row>
    <row r="19" spans="3:11" ht="18" customHeight="1" outlineLevel="1">
      <c r="C19" s="1945"/>
      <c r="D19" s="1946"/>
      <c r="E19" s="1947"/>
      <c r="F19" s="1947"/>
      <c r="G19" s="1947"/>
      <c r="H19" s="1947"/>
      <c r="I19" s="1947"/>
      <c r="J19" s="1947"/>
      <c r="K19" s="1947"/>
    </row>
    <row r="20" spans="3:11" ht="15" customHeight="1">
      <c r="C20" s="1948">
        <v>0.1</v>
      </c>
      <c r="D20" s="1217" t="s">
        <v>1609</v>
      </c>
      <c r="E20" s="1953">
        <f>+E18*$C$20</f>
        <v>0</v>
      </c>
      <c r="F20" s="1953">
        <f t="shared" ref="F20:K20" si="1">+F18*$C$20</f>
        <v>0</v>
      </c>
      <c r="G20" s="1953">
        <f t="shared" si="1"/>
        <v>0</v>
      </c>
      <c r="H20" s="1953">
        <f t="shared" si="1"/>
        <v>1018832.103250003</v>
      </c>
      <c r="I20" s="1953">
        <f t="shared" si="1"/>
        <v>1786140.0369999972</v>
      </c>
      <c r="J20" s="1953">
        <f t="shared" si="1"/>
        <v>702142.73100000061</v>
      </c>
      <c r="K20" s="1953">
        <f t="shared" ca="1" si="1"/>
        <v>991276.61785000155</v>
      </c>
    </row>
    <row r="21" spans="3:11" ht="15" customHeight="1">
      <c r="C21" s="1952"/>
      <c r="D21" s="1927" t="s">
        <v>1611</v>
      </c>
      <c r="E21" s="1928"/>
      <c r="F21" s="1971"/>
      <c r="G21" s="1971"/>
      <c r="H21" s="1971"/>
      <c r="I21" s="1971"/>
      <c r="J21" s="1971"/>
      <c r="K21" s="1971">
        <f>CALCIS!E45</f>
        <v>0</v>
      </c>
    </row>
    <row r="22" spans="3:11" ht="15" customHeight="1">
      <c r="C22" s="1935"/>
      <c r="D22" s="1163" t="s">
        <v>1610</v>
      </c>
      <c r="E22" s="1164"/>
      <c r="F22" s="1971"/>
      <c r="G22" s="1971"/>
      <c r="H22" s="1971"/>
      <c r="I22" s="1971"/>
      <c r="J22" s="1971"/>
      <c r="K22" s="1971"/>
    </row>
    <row r="23" spans="3:11" ht="15" customHeight="1">
      <c r="C23" s="1150"/>
      <c r="D23" s="1150" t="s">
        <v>1751</v>
      </c>
      <c r="E23" s="1149">
        <f>+'MTTO.RESERV.CAP.'!E29</f>
        <v>0</v>
      </c>
      <c r="F23" s="1149">
        <f>+'MTTO.RESERV.CAP.'!F29</f>
        <v>0</v>
      </c>
      <c r="G23" s="1149">
        <f>+'MTTO.RESERV.CAP.'!G29</f>
        <v>0</v>
      </c>
      <c r="H23" s="1149">
        <f>+'MTTO.RESERV.CAP.'!H29</f>
        <v>0</v>
      </c>
      <c r="I23" s="1149">
        <f>+'MTTO.RESERV.CAP.'!I29</f>
        <v>0</v>
      </c>
      <c r="J23" s="1149">
        <f>+'MTTO.RESERV.CAP.'!J29</f>
        <v>0</v>
      </c>
      <c r="K23" s="1149">
        <f ca="1">+'MTTO.RESERV.CAP.'!K29</f>
        <v>0</v>
      </c>
    </row>
    <row r="24" spans="3:11" ht="15" customHeight="1">
      <c r="C24" s="1150"/>
      <c r="D24" s="1151" t="s">
        <v>1605</v>
      </c>
      <c r="E24" s="1152">
        <f>+E21-E22</f>
        <v>0</v>
      </c>
      <c r="F24" s="1152">
        <f t="shared" ref="F24:K24" si="2">+F21-F22</f>
        <v>0</v>
      </c>
      <c r="G24" s="1152">
        <f t="shared" si="2"/>
        <v>0</v>
      </c>
      <c r="H24" s="1152">
        <f t="shared" si="2"/>
        <v>0</v>
      </c>
      <c r="I24" s="1152">
        <f t="shared" si="2"/>
        <v>0</v>
      </c>
      <c r="J24" s="1152">
        <f t="shared" si="2"/>
        <v>0</v>
      </c>
      <c r="K24" s="1152">
        <f t="shared" si="2"/>
        <v>0</v>
      </c>
    </row>
    <row r="25" spans="3:11" ht="15" customHeight="1">
      <c r="C25" s="1940"/>
      <c r="D25" s="1949"/>
      <c r="E25" s="1950"/>
      <c r="F25" s="1950"/>
      <c r="G25" s="1950"/>
      <c r="H25" s="1950"/>
      <c r="I25" s="1950"/>
      <c r="J25" s="1950"/>
      <c r="K25" s="1951"/>
    </row>
    <row r="26" spans="3:11" ht="15" customHeight="1">
      <c r="D26" s="1147"/>
    </row>
    <row r="27" spans="3:11" ht="15" customHeight="1">
      <c r="C27" s="2589" t="s">
        <v>1612</v>
      </c>
      <c r="D27" s="2590"/>
      <c r="E27" s="1956" t="s">
        <v>1603</v>
      </c>
      <c r="F27" s="1956">
        <f t="shared" ref="F27:K27" si="3">+F17</f>
        <v>2019</v>
      </c>
      <c r="G27" s="1956">
        <f t="shared" si="3"/>
        <v>2020</v>
      </c>
      <c r="H27" s="1956">
        <f t="shared" si="3"/>
        <v>2021</v>
      </c>
      <c r="I27" s="1956">
        <f t="shared" si="3"/>
        <v>2022</v>
      </c>
      <c r="J27" s="1956">
        <f t="shared" si="3"/>
        <v>2023</v>
      </c>
      <c r="K27" s="1956">
        <f t="shared" si="3"/>
        <v>2024</v>
      </c>
    </row>
    <row r="28" spans="3:11" ht="15" customHeight="1">
      <c r="C28" s="1930"/>
      <c r="E28" s="1954">
        <f>+F17</f>
        <v>2019</v>
      </c>
      <c r="F28" s="1170" t="str">
        <f>IF(F21&gt;0,-F21,"NO APLICAMOS")</f>
        <v>NO APLICAMOS</v>
      </c>
      <c r="G28" s="1170"/>
      <c r="H28" s="1170"/>
      <c r="I28" s="1229"/>
      <c r="J28" s="1229"/>
      <c r="K28" s="1957"/>
    </row>
    <row r="29" spans="3:11" ht="15" customHeight="1">
      <c r="C29" s="1930"/>
      <c r="E29" s="1954">
        <f>+G17</f>
        <v>2020</v>
      </c>
      <c r="F29" s="1170">
        <f>-IF(G18&gt;0, 0,IF(F21&gt;=-G18,G18,-F21))</f>
        <v>0</v>
      </c>
      <c r="G29" s="1170" t="str">
        <f>IF(G21&gt;0,-G21,"NO APLICAMOS")</f>
        <v>NO APLICAMOS</v>
      </c>
      <c r="H29" s="1170"/>
      <c r="I29" s="1229"/>
      <c r="J29" s="1229"/>
      <c r="K29" s="1957"/>
    </row>
    <row r="30" spans="3:11" ht="15" customHeight="1">
      <c r="C30" s="1930"/>
      <c r="E30" s="1954">
        <f>+H17</f>
        <v>2021</v>
      </c>
      <c r="F30" s="1170" t="e">
        <f>IF($F$28+$F$29=0,0,IF(H$18&gt;=0,0,IF(($F$21-$F$29)&gt;=-H$18,-H$18,($F$21-$F$29))))</f>
        <v>#VALUE!</v>
      </c>
      <c r="G30" s="1170">
        <f>-IF(H18&gt;0, 0,IF(G21&gt;=-H18,H18,-G21))</f>
        <v>0</v>
      </c>
      <c r="H30" s="1170" t="str">
        <f>IF(H21&gt;0,-H21,"NO APLICAMOS")</f>
        <v>NO APLICAMOS</v>
      </c>
      <c r="I30" s="1229"/>
      <c r="J30" s="1229"/>
      <c r="K30" s="1957"/>
    </row>
    <row r="31" spans="3:11" ht="15" customHeight="1">
      <c r="C31" s="1930"/>
      <c r="E31" s="1954">
        <f>+I17</f>
        <v>2022</v>
      </c>
      <c r="F31" s="1170" t="e">
        <f>IF($F$28+$F$29+$F$30=0,0,IF(I$18&gt;=0,0,IF(($F$21-$F$29-$F$30)&gt;=-I$18,-I$18,($F$21-$F$29-$F$30))))</f>
        <v>#VALUE!</v>
      </c>
      <c r="G31" s="1170" t="e">
        <f>IF($G$29+$G$30=0,0,IF(I$18&gt;=0,0,IF(($G$21-$G$30)&gt;=-I$18,-I$18,($G$21-$F$30))))</f>
        <v>#VALUE!</v>
      </c>
      <c r="H31" s="1170">
        <f>-IF(I18&gt;0, 0,IF(H21&gt;=-I18,I18,-H21))</f>
        <v>0</v>
      </c>
      <c r="I31" s="1229" t="str">
        <f>IF(I21&gt;0,-I21,"NO APLICAMOS")</f>
        <v>NO APLICAMOS</v>
      </c>
      <c r="J31" s="1229"/>
      <c r="K31" s="1957"/>
    </row>
    <row r="32" spans="3:11" ht="15" customHeight="1">
      <c r="C32" s="1930"/>
      <c r="E32" s="1954">
        <f>+J17</f>
        <v>2023</v>
      </c>
      <c r="F32" s="1170" t="e">
        <f>IF($F$28+$F$29+$F$30+$F$31=0,0,IF(J$18&gt;=0,0,IF(($F$21-$F$29-$F$30-$F$31)&gt;=-J$18,-J$18,($F$21-$F$29-$F$30-$F$31))))</f>
        <v>#VALUE!</v>
      </c>
      <c r="G32" s="1170" t="e">
        <f>IF($G$29+$G$30+$G$31=0,0,IF(J$18&gt;=0,0,IF(($G$21-$G$30-$G$31)&gt;=-J$18,-J$18,($G$21-$G$30-$G$31))))</f>
        <v>#VALUE!</v>
      </c>
      <c r="H32" s="1170" t="e">
        <f>IF($H$30+$H$31=0,0,IF(J$18&gt;=0,0,IF(($H$21-$H$31)&gt;=-J$18,-J$18,($H$21-$H$31))))</f>
        <v>#VALUE!</v>
      </c>
      <c r="I32" s="1229">
        <f>-IF(J18&gt;0, 0,IF(I21&gt;=-J18,J18,-I21))</f>
        <v>0</v>
      </c>
      <c r="J32" s="1229" t="str">
        <f>IF(J21&gt;0,-J21,"NO APLICAMOS")</f>
        <v>NO APLICAMOS</v>
      </c>
      <c r="K32" s="1957"/>
    </row>
    <row r="33" spans="3:11" ht="15" customHeight="1">
      <c r="C33" s="1940"/>
      <c r="D33" s="1216"/>
      <c r="E33" s="1955">
        <f>+K17</f>
        <v>2024</v>
      </c>
      <c r="F33" s="1958" t="e">
        <f>-SUM(F28:F32)</f>
        <v>#VALUE!</v>
      </c>
      <c r="G33" s="1958" t="e">
        <f>IF($G$29+$G$30+$G$31+$G$32=0,0,IF(K$18&gt;=0,0,IF(($G$21-$G$30-$G$31-$G$32)&gt;=-K$18,-K$18,($F$21-$G$30-$G$31-$G$32))))</f>
        <v>#VALUE!</v>
      </c>
      <c r="H33" s="1958" t="e">
        <f>IF($H$30+$H$31+$H$32=0,0,IF(K$18&gt;=0,0,IF(($H$21-$H$31-$H$32)&gt;=-K$18,-K$18,($H$21-$H$31-$H$32))))</f>
        <v>#VALUE!</v>
      </c>
      <c r="I33" s="1959" t="e">
        <f>IF($I$31+$I$32=0,0,IF(K$18&gt;=0,0,IF(($I$21-$I$32)&gt;=-K$18,-K$18,(I$21-$I$32))))</f>
        <v>#VALUE!</v>
      </c>
      <c r="J33" s="1959">
        <f ca="1">-IF(K18&gt;0, 0,IF(J21&gt;=-K18,K18,-J21))</f>
        <v>0</v>
      </c>
      <c r="K33" s="1960" t="str">
        <f>IF(K21&gt;0,-K21,"NO APLICAMOS")</f>
        <v>NO APLICAMOS</v>
      </c>
    </row>
    <row r="34" spans="3:11" ht="15" customHeight="1">
      <c r="E34" s="1145" t="s">
        <v>1613</v>
      </c>
      <c r="F34" s="1171" t="e">
        <f>SUM(F28:F33)</f>
        <v>#VALUE!</v>
      </c>
      <c r="G34" s="1171" t="e">
        <f>SUM(G28:G33)</f>
        <v>#VALUE!</v>
      </c>
      <c r="H34" s="1171" t="e">
        <f t="shared" ref="H34:K34" si="4">SUM(H28:H33)</f>
        <v>#VALUE!</v>
      </c>
      <c r="I34" s="1171" t="e">
        <f t="shared" si="4"/>
        <v>#VALUE!</v>
      </c>
      <c r="J34" s="1171">
        <f t="shared" ca="1" si="4"/>
        <v>0</v>
      </c>
      <c r="K34" s="1171">
        <f t="shared" si="4"/>
        <v>0</v>
      </c>
    </row>
    <row r="35" spans="3:11" ht="15" customHeight="1"/>
    <row r="36" spans="3:11" ht="15" customHeight="1">
      <c r="D36" s="1172" t="s">
        <v>1614</v>
      </c>
    </row>
    <row r="37" spans="3:11" ht="15" customHeight="1">
      <c r="D37" t="s">
        <v>1615</v>
      </c>
    </row>
    <row r="38" spans="3:11" ht="15" customHeight="1">
      <c r="D38" t="s">
        <v>1619</v>
      </c>
    </row>
    <row r="39" spans="3:11" ht="15" customHeight="1">
      <c r="D39" t="s">
        <v>1620</v>
      </c>
    </row>
    <row r="40" spans="3:11" ht="15" customHeight="1">
      <c r="D40" t="s">
        <v>1618</v>
      </c>
    </row>
    <row r="41" spans="3:11" ht="15" customHeight="1">
      <c r="D41" t="s">
        <v>1647</v>
      </c>
    </row>
    <row r="42" spans="3:11" ht="15" customHeight="1">
      <c r="D42" t="s">
        <v>1648</v>
      </c>
    </row>
    <row r="43" spans="3:11" ht="15" customHeight="1"/>
    <row r="44" spans="3:11" ht="15" customHeight="1"/>
    <row r="45" spans="3:11" ht="15" customHeight="1"/>
    <row r="46" spans="3:11" ht="15" customHeight="1"/>
    <row r="47" spans="3:11" ht="15" customHeight="1"/>
    <row r="48" spans="3:11"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sheetData>
  <mergeCells count="4">
    <mergeCell ref="C5:D5"/>
    <mergeCell ref="E5:G5"/>
    <mergeCell ref="E7:G7"/>
    <mergeCell ref="C27:D27"/>
  </mergeCells>
  <pageMargins left="0.70866141732283472" right="0.70866141732283472" top="0.74803149606299213" bottom="0.74803149606299213" header="0.31496062992125984" footer="0.31496062992125984"/>
  <pageSetup paperSize="9" scale="57" orientation="landscape"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36">
    <pageSetUpPr autoPageBreaks="0"/>
  </sheetPr>
  <dimension ref="A1:N82"/>
  <sheetViews>
    <sheetView showGridLines="0" showZeros="0" zoomScale="85" zoomScaleNormal="85" zoomScaleSheetLayoutView="85" zoomScalePageLayoutView="55" workbookViewId="0">
      <pane xSplit="4" ySplit="15" topLeftCell="E57" activePane="bottomRight" state="frozen"/>
      <selection activeCell="G9" sqref="G9"/>
      <selection pane="topRight" activeCell="G9" sqref="G9"/>
      <selection pane="bottomLeft" activeCell="G9" sqref="G9"/>
      <selection pane="bottomRight"/>
    </sheetView>
  </sheetViews>
  <sheetFormatPr baseColWidth="10" defaultColWidth="0" defaultRowHeight="15" customHeight="1" zeroHeight="1" outlineLevelRow="1"/>
  <cols>
    <col min="1" max="2" width="2" customWidth="1"/>
    <col min="3" max="3" width="20" customWidth="1"/>
    <col min="4" max="4" width="61" bestFit="1" customWidth="1"/>
    <col min="5" max="7" width="20" customWidth="1"/>
    <col min="8" max="10" width="21" customWidth="1"/>
    <col min="11" max="11" width="8" customWidth="1"/>
    <col min="12" max="12" width="18" hidden="1" customWidth="1"/>
    <col min="13" max="14" width="16" hidden="1" customWidth="1"/>
    <col min="15" max="16384" width="13" hidden="1"/>
  </cols>
  <sheetData>
    <row r="1" spans="3:10" ht="15" customHeight="1"/>
    <row r="2" spans="3:10" ht="9" customHeight="1"/>
    <row r="3" spans="3:10" ht="9.75" customHeight="1">
      <c r="C3" s="1"/>
      <c r="D3" s="1"/>
    </row>
    <row r="4" spans="3:10" ht="9" customHeight="1"/>
    <row r="5" spans="3:10" ht="21">
      <c r="C5" s="2252" t="str">
        <f>+MENU!C5</f>
        <v>Sociedad:</v>
      </c>
      <c r="D5" s="2342"/>
      <c r="E5" s="2591" t="str">
        <f>+MENU!E5</f>
        <v>MARIO PILATO BLAT, S.A.</v>
      </c>
      <c r="F5" s="2591"/>
      <c r="G5" s="2591"/>
    </row>
    <row r="6" spans="3:10" ht="12.75" customHeight="1">
      <c r="C6" s="218"/>
      <c r="D6" s="218"/>
      <c r="E6" s="218"/>
      <c r="F6" s="218"/>
    </row>
    <row r="7" spans="3:10" ht="21">
      <c r="C7" s="220" t="str">
        <f>+instrucciones!$C$7</f>
        <v>Fecha de cierre</v>
      </c>
      <c r="D7" s="220"/>
      <c r="E7" s="2256">
        <f>+MENU!D7</f>
        <v>45657</v>
      </c>
      <c r="F7" s="2256"/>
      <c r="G7" s="2256"/>
    </row>
    <row r="8" spans="3:10" ht="15" customHeight="1">
      <c r="C8" s="2"/>
      <c r="D8" s="2"/>
      <c r="F8" s="3"/>
      <c r="G8" s="3"/>
    </row>
    <row r="9" spans="3:10" ht="15" customHeight="1"/>
    <row r="10" spans="3:10" ht="5.25" customHeight="1">
      <c r="F10" s="219"/>
    </row>
    <row r="11" spans="3:10" ht="5.25" customHeight="1"/>
    <row r="12" spans="3:10" ht="6" customHeight="1"/>
    <row r="13" spans="3:10" ht="22.5" customHeight="1">
      <c r="C13" s="221" t="s">
        <v>1189</v>
      </c>
      <c r="D13" s="212"/>
    </row>
    <row r="14" spans="3:10" ht="8.25" customHeight="1"/>
    <row r="15" spans="3:10" s="33" customFormat="1" ht="18" customHeight="1">
      <c r="E15" s="2385" t="s">
        <v>1194</v>
      </c>
      <c r="F15" s="2386"/>
      <c r="G15" s="2385" t="s">
        <v>1192</v>
      </c>
      <c r="H15" s="2386"/>
      <c r="I15" s="2592" t="s">
        <v>1193</v>
      </c>
      <c r="J15" s="2592"/>
    </row>
    <row r="16" spans="3:10" s="33" customFormat="1" ht="18" customHeight="1">
      <c r="C16" s="193" t="s">
        <v>1065</v>
      </c>
      <c r="D16" s="193" t="s">
        <v>648</v>
      </c>
      <c r="E16" s="193" t="s">
        <v>1190</v>
      </c>
      <c r="F16" s="193" t="s">
        <v>1191</v>
      </c>
      <c r="G16" s="193" t="s">
        <v>1190</v>
      </c>
      <c r="H16" s="193" t="s">
        <v>1191</v>
      </c>
      <c r="I16" s="193" t="s">
        <v>1190</v>
      </c>
      <c r="J16" s="193" t="s">
        <v>1191</v>
      </c>
    </row>
    <row r="17" spans="3:10" ht="18" customHeight="1" outlineLevel="1">
      <c r="C17" s="286">
        <v>100</v>
      </c>
      <c r="D17" s="287" t="str">
        <f>LOOKUP(C17,asientos!$M$12:$M$13033,asientos!$N$12:$N$13033)</f>
        <v>CAPITAL SOCIAL</v>
      </c>
      <c r="E17" s="292">
        <f>+LOOKUP($C$17,SYS_4_3_Digitos!$A$5:$A$6004,SYS_4_3_Digitos!C5:C6004)</f>
        <v>0</v>
      </c>
      <c r="F17" s="293">
        <f>+LOOKUP($C$17,SYS_4_3_Digitos!$A$5:$A$6004,SYS_4_3_Digitos!D5:D6004)</f>
        <v>140000005.09999999</v>
      </c>
      <c r="G17" s="292">
        <f ca="1">+I17-E17</f>
        <v>0</v>
      </c>
      <c r="H17" s="293">
        <f t="shared" ref="H17:H43" ca="1" si="0">+J17-F17</f>
        <v>0</v>
      </c>
      <c r="I17" s="294">
        <f ca="1">+LOOKUP($C$17,SYS_4_3_Digitos!$A$5:$A$6004,SYS_4_3_Digitos!I5:I6004)</f>
        <v>0</v>
      </c>
      <c r="J17" s="293">
        <f ca="1">+LOOKUP($C$17,SYS_4_3_Digitos!$A$5:$A$6004,SYS_4_3_Digitos!J5:J6004)</f>
        <v>140000005.09999999</v>
      </c>
    </row>
    <row r="18" spans="3:10" ht="18" customHeight="1" outlineLevel="1">
      <c r="C18" s="288">
        <v>103</v>
      </c>
      <c r="D18" s="289" t="str">
        <f>LOOKUP(C18,asientos!$M$12:$M$13033,asientos!$N$12:$N$13033)</f>
        <v>SOCIOS POR DESEMBOLSOS NO EXIGIDOS</v>
      </c>
      <c r="E18" s="295">
        <f>+LOOKUP($C$17,SYS_4_3_Digitos!$A$5:$A$6004,SYS_4_3_Digitos!C6:C6005)</f>
        <v>0</v>
      </c>
      <c r="F18" s="296">
        <f>+LOOKUP($C$17,SYS_4_3_Digitos!$A$5:$A$6004,SYS_4_3_Digitos!D6:D6005)</f>
        <v>0</v>
      </c>
      <c r="G18" s="295">
        <f t="shared" ref="G18:G43" ca="1" si="1">+I18-E18</f>
        <v>0</v>
      </c>
      <c r="H18" s="296">
        <f t="shared" ca="1" si="0"/>
        <v>0</v>
      </c>
      <c r="I18" s="297">
        <f ca="1">+LOOKUP($C$17,SYS_4_3_Digitos!$A$5:$A$6004,SYS_4_3_Digitos!I6:I6005)</f>
        <v>0</v>
      </c>
      <c r="J18" s="296">
        <f ca="1">+LOOKUP($C$17,SYS_4_3_Digitos!$A$5:$A$6004,SYS_4_3_Digitos!J6:J6005)</f>
        <v>0</v>
      </c>
    </row>
    <row r="19" spans="3:10" ht="18" customHeight="1" outlineLevel="1">
      <c r="C19" s="288">
        <v>104</v>
      </c>
      <c r="D19" s="289" t="str">
        <f>LOOKUP(C19,asientos!$M$12:$M$13033,asientos!$N$12:$N$13033)</f>
        <v>SOCIOS POR APORTACIONES NO DINERARIAS PENDIENTES</v>
      </c>
      <c r="E19" s="295">
        <f>+LOOKUP($C$17,SYS_4_3_Digitos!$A$5:$A$6004,SYS_4_3_Digitos!C7:C6006)</f>
        <v>0</v>
      </c>
      <c r="F19" s="296">
        <f>+LOOKUP($C$17,SYS_4_3_Digitos!$A$5:$A$6004,SYS_4_3_Digitos!D7:D6006)</f>
        <v>0</v>
      </c>
      <c r="G19" s="295">
        <f t="shared" ca="1" si="1"/>
        <v>0</v>
      </c>
      <c r="H19" s="296">
        <f t="shared" ca="1" si="0"/>
        <v>0</v>
      </c>
      <c r="I19" s="297">
        <f ca="1">+LOOKUP($C$17,SYS_4_3_Digitos!$A$5:$A$6004,SYS_4_3_Digitos!I7:I6006)</f>
        <v>0</v>
      </c>
      <c r="J19" s="296">
        <f ca="1">+LOOKUP($C$17,SYS_4_3_Digitos!$A$5:$A$6004,SYS_4_3_Digitos!J7:J6006)</f>
        <v>0</v>
      </c>
    </row>
    <row r="20" spans="3:10" ht="18" customHeight="1" outlineLevel="1">
      <c r="C20" s="288">
        <v>108</v>
      </c>
      <c r="D20" s="289" t="str">
        <f>LOOKUP(C20,asientos!$M$12:$M$13033,asientos!$N$12:$N$13033)</f>
        <v>ACC. O PARTICIPACIONES PROPIAS EN SIT. ESPECIALES</v>
      </c>
      <c r="E20" s="295">
        <f>+LOOKUP($C$17,SYS_4_3_Digitos!$A$5:$A$6004,SYS_4_3_Digitos!C8:C6007)</f>
        <v>0</v>
      </c>
      <c r="F20" s="296">
        <f>+LOOKUP($C$17,SYS_4_3_Digitos!$A$5:$A$6004,SYS_4_3_Digitos!D8:D6007)</f>
        <v>0</v>
      </c>
      <c r="G20" s="295">
        <f t="shared" ca="1" si="1"/>
        <v>0</v>
      </c>
      <c r="H20" s="296">
        <f t="shared" ca="1" si="0"/>
        <v>0</v>
      </c>
      <c r="I20" s="297">
        <f ca="1">+LOOKUP($C$17,SYS_4_3_Digitos!$A$5:$A$6004,SYS_4_3_Digitos!I8:I6007)</f>
        <v>0</v>
      </c>
      <c r="J20" s="296">
        <f ca="1">+LOOKUP($C$17,SYS_4_3_Digitos!$A$5:$A$6004,SYS_4_3_Digitos!J8:J6007)</f>
        <v>0</v>
      </c>
    </row>
    <row r="21" spans="3:10" ht="18" customHeight="1" outlineLevel="1">
      <c r="C21" s="288">
        <v>109</v>
      </c>
      <c r="D21" s="289" t="str">
        <f>LOOKUP(C21,asientos!$M$12:$M$13033,asientos!$N$12:$N$13033)</f>
        <v>ACC. O PARTIC. PROPIAS PARA REDUCC. DE CAPITAL</v>
      </c>
      <c r="E21" s="295">
        <f>+LOOKUP($C$17,SYS_4_3_Digitos!$A$5:$A$6004,SYS_4_3_Digitos!C9:C6008)</f>
        <v>0</v>
      </c>
      <c r="F21" s="296">
        <f>+LOOKUP($C$17,SYS_4_3_Digitos!$A$5:$A$6004,SYS_4_3_Digitos!D9:D6008)</f>
        <v>0</v>
      </c>
      <c r="G21" s="295">
        <f t="shared" ca="1" si="1"/>
        <v>0</v>
      </c>
      <c r="H21" s="296">
        <f t="shared" ca="1" si="0"/>
        <v>0</v>
      </c>
      <c r="I21" s="297">
        <f ca="1">+LOOKUP($C$17,SYS_4_3_Digitos!$A$5:$A$6004,SYS_4_3_Digitos!I9:I6008)</f>
        <v>0</v>
      </c>
      <c r="J21" s="296">
        <f ca="1">+LOOKUP($C$17,SYS_4_3_Digitos!$A$5:$A$6004,SYS_4_3_Digitos!J9:J6008)</f>
        <v>0</v>
      </c>
    </row>
    <row r="22" spans="3:10" ht="18" customHeight="1" outlineLevel="1">
      <c r="C22" s="288">
        <v>110</v>
      </c>
      <c r="D22" s="289" t="str">
        <f>LOOKUP(C22,asientos!$M$12:$M$13033,asientos!$N$12:$N$13033)</f>
        <v>PRIMA DE EMISIÓN O ASUNCIÓN</v>
      </c>
      <c r="E22" s="295">
        <f>+LOOKUP($C$17,SYS_4_3_Digitos!$A$5:$A$6004,SYS_4_3_Digitos!C10:C6009)</f>
        <v>0</v>
      </c>
      <c r="F22" s="296">
        <f>+LOOKUP($C$17,SYS_4_3_Digitos!$A$5:$A$6004,SYS_4_3_Digitos!D10:D6009)</f>
        <v>0</v>
      </c>
      <c r="G22" s="295">
        <f t="shared" ca="1" si="1"/>
        <v>0</v>
      </c>
      <c r="H22" s="296">
        <f t="shared" ca="1" si="0"/>
        <v>0</v>
      </c>
      <c r="I22" s="297">
        <f ca="1">+LOOKUP($C$17,SYS_4_3_Digitos!$A$5:$A$6004,SYS_4_3_Digitos!I10:I6009)</f>
        <v>0</v>
      </c>
      <c r="J22" s="296">
        <f ca="1">+LOOKUP($C$17,SYS_4_3_Digitos!$A$5:$A$6004,SYS_4_3_Digitos!J10:J6009)</f>
        <v>0</v>
      </c>
    </row>
    <row r="23" spans="3:10" ht="18" customHeight="1" outlineLevel="1">
      <c r="C23" s="288">
        <v>111</v>
      </c>
      <c r="D23" s="289" t="str">
        <f>LOOKUP(C23,asientos!$M$12:$M$13033,asientos!$N$12:$N$13033)</f>
        <v>OTROS INSTRUMENTOS DE PATRIMONIO NETO</v>
      </c>
      <c r="E23" s="295">
        <f>+LOOKUP($C$17,SYS_4_3_Digitos!$A$5:$A$6004,SYS_4_3_Digitos!C11:C6010)</f>
        <v>0</v>
      </c>
      <c r="F23" s="296">
        <f>+LOOKUP($C$17,SYS_4_3_Digitos!$A$5:$A$6004,SYS_4_3_Digitos!D11:D6010)</f>
        <v>0</v>
      </c>
      <c r="G23" s="295">
        <f t="shared" ca="1" si="1"/>
        <v>0</v>
      </c>
      <c r="H23" s="296">
        <f t="shared" ca="1" si="0"/>
        <v>0</v>
      </c>
      <c r="I23" s="297">
        <f ca="1">+LOOKUP($C$17,SYS_4_3_Digitos!$A$5:$A$6004,SYS_4_3_Digitos!I11:I6010)</f>
        <v>0</v>
      </c>
      <c r="J23" s="296">
        <f ca="1">+LOOKUP($C$17,SYS_4_3_Digitos!$A$5:$A$6004,SYS_4_3_Digitos!J11:J6010)</f>
        <v>0</v>
      </c>
    </row>
    <row r="24" spans="3:10" ht="18" customHeight="1" outlineLevel="1">
      <c r="C24" s="288">
        <v>112</v>
      </c>
      <c r="D24" s="289" t="str">
        <f>LOOKUP(C24,asientos!$M$12:$M$13033,asientos!$N$12:$N$13033)</f>
        <v>RESERVA LEGAL</v>
      </c>
      <c r="E24" s="295">
        <f>+LOOKUP($C$17,SYS_4_3_Digitos!$A$5:$A$6004,SYS_4_3_Digitos!C12:C6011)</f>
        <v>0</v>
      </c>
      <c r="F24" s="296">
        <f>+LOOKUP($C$17,SYS_4_3_Digitos!$A$5:$A$6004,SYS_4_3_Digitos!D12:D6011)</f>
        <v>15620049.640000001</v>
      </c>
      <c r="G24" s="295">
        <f t="shared" ca="1" si="1"/>
        <v>0</v>
      </c>
      <c r="H24" s="296">
        <f t="shared" ca="1" si="0"/>
        <v>1080534.3499999996</v>
      </c>
      <c r="I24" s="297">
        <f ca="1">+LOOKUP($C$17,SYS_4_3_Digitos!$A$5:$A$6004,SYS_4_3_Digitos!I12:I6011)</f>
        <v>0</v>
      </c>
      <c r="J24" s="296">
        <f ca="1">+LOOKUP($C$17,SYS_4_3_Digitos!$A$5:$A$6004,SYS_4_3_Digitos!J12:J6011)</f>
        <v>16700583.99</v>
      </c>
    </row>
    <row r="25" spans="3:10" ht="18" customHeight="1" outlineLevel="1">
      <c r="C25" s="288">
        <v>113</v>
      </c>
      <c r="D25" s="289" t="str">
        <f>LOOKUP(C25,asientos!$M$12:$M$13033,asientos!$N$12:$N$13033)</f>
        <v>RESERVAS VOLUNTARIAS</v>
      </c>
      <c r="E25" s="295">
        <f>+LOOKUP($C$17,SYS_4_3_Digitos!$A$5:$A$6004,SYS_4_3_Digitos!C13:C6012)</f>
        <v>0</v>
      </c>
      <c r="F25" s="296">
        <f>+LOOKUP($C$17,SYS_4_3_Digitos!$A$5:$A$6004,SYS_4_3_Digitos!D13:D6012)</f>
        <v>129999012.16</v>
      </c>
      <c r="G25" s="295">
        <f t="shared" ca="1" si="1"/>
        <v>0</v>
      </c>
      <c r="H25" s="296">
        <f t="shared" ca="1" si="0"/>
        <v>8944650.5600000024</v>
      </c>
      <c r="I25" s="297">
        <f ca="1">+LOOKUP($C$17,SYS_4_3_Digitos!$A$5:$A$6004,SYS_4_3_Digitos!I13:I6012)</f>
        <v>0</v>
      </c>
      <c r="J25" s="296">
        <f ca="1">+LOOKUP($C$17,SYS_4_3_Digitos!$A$5:$A$6004,SYS_4_3_Digitos!J13:J6012)</f>
        <v>138943662.72</v>
      </c>
    </row>
    <row r="26" spans="3:10" ht="18" customHeight="1" outlineLevel="1">
      <c r="C26" s="288">
        <v>1140</v>
      </c>
      <c r="D26" s="289" t="str">
        <f>LOOKUP(C26,asientos!$M$12:$M$13033,asientos!$N$12:$N$13033)</f>
        <v>RESERVAS ESPECIALES</v>
      </c>
      <c r="E26" s="295">
        <f>+LOOKUP($C$17,SYS_4_3_Digitos!$A$5:$A$6004,SYS_4_3_Digitos!C14:C6013)</f>
        <v>0</v>
      </c>
      <c r="F26" s="296">
        <f>+LOOKUP($C$17,SYS_4_3_Digitos!$A$5:$A$6004,SYS_4_3_Digitos!D14:D6013)</f>
        <v>0</v>
      </c>
      <c r="G26" s="295">
        <f t="shared" ca="1" si="1"/>
        <v>0</v>
      </c>
      <c r="H26" s="296">
        <f t="shared" ca="1" si="0"/>
        <v>0</v>
      </c>
      <c r="I26" s="297">
        <f ca="1">+LOOKUP($C$17,SYS_4_3_Digitos!$A$5:$A$6004,SYS_4_3_Digitos!I14:I6013)</f>
        <v>0</v>
      </c>
      <c r="J26" s="296">
        <f ca="1">+LOOKUP($C$17,SYS_4_3_Digitos!$A$5:$A$6004,SYS_4_3_Digitos!J14:J6013)</f>
        <v>0</v>
      </c>
    </row>
    <row r="27" spans="3:10" ht="18" customHeight="1" outlineLevel="1">
      <c r="C27" s="288">
        <v>1147</v>
      </c>
      <c r="D27" s="289" t="str">
        <f>LOOKUP(C27,asientos!$M$12:$M$13033,asientos!$N$12:$N$13033)</f>
        <v>RESERVA DE CAPITALIZACIÓN</v>
      </c>
      <c r="E27" s="295">
        <f>+LOOKUP($C$17,SYS_4_3_Digitos!$A$5:$A$6004,SYS_4_3_Digitos!C15:C6014)</f>
        <v>0</v>
      </c>
      <c r="F27" s="296">
        <f>+LOOKUP($C$17,SYS_4_3_Digitos!$A$5:$A$6004,SYS_4_3_Digitos!D15:D6014)</f>
        <v>5996543.5099999998</v>
      </c>
      <c r="G27" s="295">
        <f t="shared" ref="G27:G28" ca="1" si="2">+I27-E27</f>
        <v>0</v>
      </c>
      <c r="H27" s="296">
        <f t="shared" ref="H27:H28" ca="1" si="3">+J27-F27</f>
        <v>780158.58999999985</v>
      </c>
      <c r="I27" s="297">
        <f ca="1">+LOOKUP($C$17,SYS_4_3_Digitos!$A$5:$A$6004,SYS_4_3_Digitos!I15:I6014)</f>
        <v>0</v>
      </c>
      <c r="J27" s="296">
        <f ca="1">+LOOKUP($C$17,SYS_4_3_Digitos!$A$5:$A$6004,SYS_4_3_Digitos!J15:J6014)</f>
        <v>6776702.0999999996</v>
      </c>
    </row>
    <row r="28" spans="3:10" ht="18" customHeight="1" outlineLevel="1">
      <c r="C28" s="288">
        <v>1148</v>
      </c>
      <c r="D28" s="289" t="str">
        <f>LOOKUP(C28,asientos!$M$12:$M$13033,asientos!$N$12:$N$13033)</f>
        <v>RESERVA DE NIVELACIÓN</v>
      </c>
      <c r="E28" s="295">
        <f>+LOOKUP($C$17,SYS_4_3_Digitos!$A$5:$A$6004,SYS_4_3_Digitos!C16:C6015)</f>
        <v>0</v>
      </c>
      <c r="F28" s="296">
        <f>+LOOKUP($C$17,SYS_4_3_Digitos!$A$5:$A$6004,SYS_4_3_Digitos!D16:D6015)</f>
        <v>0</v>
      </c>
      <c r="G28" s="295">
        <f t="shared" ca="1" si="2"/>
        <v>0</v>
      </c>
      <c r="H28" s="296">
        <f t="shared" ca="1" si="3"/>
        <v>0</v>
      </c>
      <c r="I28" s="297">
        <f ca="1">+LOOKUP($C$17,SYS_4_3_Digitos!$A$5:$A$6004,SYS_4_3_Digitos!I16:I6015)</f>
        <v>0</v>
      </c>
      <c r="J28" s="296">
        <f ca="1">+LOOKUP($C$17,SYS_4_3_Digitos!$A$5:$A$6004,SYS_4_3_Digitos!J16:J6015)</f>
        <v>0</v>
      </c>
    </row>
    <row r="29" spans="3:10" ht="18" customHeight="1" outlineLevel="1">
      <c r="C29" s="288">
        <v>115</v>
      </c>
      <c r="D29" s="289" t="str">
        <f>LOOKUP(C29,asientos!$M$12:$M$13033,asientos!$N$12:$N$13033)</f>
        <v>RESERVAS POR P Y G ACTUARIALES Y OTROS AJUSTES</v>
      </c>
      <c r="E29" s="295">
        <f>+LOOKUP($C$17,SYS_4_3_Digitos!$A$5:$A$6004,SYS_4_3_Digitos!C17:C6016)</f>
        <v>0</v>
      </c>
      <c r="F29" s="296">
        <f>+LOOKUP($C$17,SYS_4_3_Digitos!$A$5:$A$6004,SYS_4_3_Digitos!D17:D6016)</f>
        <v>0</v>
      </c>
      <c r="G29" s="295">
        <f t="shared" ref="G29:G34" ca="1" si="4">+I29-E29</f>
        <v>0</v>
      </c>
      <c r="H29" s="296">
        <f t="shared" ref="H29:H34" ca="1" si="5">+J29-F29</f>
        <v>0</v>
      </c>
      <c r="I29" s="297">
        <f ca="1">+LOOKUP($C$17,SYS_4_3_Digitos!$A$5:$A$6004,SYS_4_3_Digitos!I17:I6016)</f>
        <v>0</v>
      </c>
      <c r="J29" s="296">
        <f ca="1">+LOOKUP($C$17,SYS_4_3_Digitos!$A$5:$A$6004,SYS_4_3_Digitos!J17:J6016)</f>
        <v>0</v>
      </c>
    </row>
    <row r="30" spans="3:10" ht="18" customHeight="1" outlineLevel="1">
      <c r="C30" s="288">
        <v>118</v>
      </c>
      <c r="D30" s="289" t="str">
        <f>LOOKUP(C30,asientos!$M$12:$M$13033,asientos!$N$12:$N$13033)</f>
        <v>APORTACIONES DE SOCIOS O PROPIETARIOS</v>
      </c>
      <c r="E30" s="295">
        <f>+LOOKUP($C$17,SYS_4_3_Digitos!$A$5:$A$6004,SYS_4_3_Digitos!C18:C6017)</f>
        <v>0</v>
      </c>
      <c r="F30" s="296">
        <f>+LOOKUP($C$17,SYS_4_3_Digitos!$A$5:$A$6004,SYS_4_3_Digitos!D18:D6017)</f>
        <v>0</v>
      </c>
      <c r="G30" s="295">
        <f t="shared" ca="1" si="4"/>
        <v>0</v>
      </c>
      <c r="H30" s="296">
        <f t="shared" ca="1" si="5"/>
        <v>0</v>
      </c>
      <c r="I30" s="297">
        <f ca="1">+LOOKUP($C$17,SYS_4_3_Digitos!$A$5:$A$6004,SYS_4_3_Digitos!I18:I6017)</f>
        <v>0</v>
      </c>
      <c r="J30" s="296">
        <f ca="1">+LOOKUP($C$17,SYS_4_3_Digitos!$A$5:$A$6004,SYS_4_3_Digitos!J18:J6017)</f>
        <v>0</v>
      </c>
    </row>
    <row r="31" spans="3:10" ht="18" customHeight="1" outlineLevel="1">
      <c r="C31" s="288">
        <v>119</v>
      </c>
      <c r="D31" s="289" t="str">
        <f>LOOKUP(C31,asientos!$M$12:$M$13033,asientos!$N$12:$N$13033)</f>
        <v>DIFERENCIA POR AJUSTE DEL CAPITAL A EUROS</v>
      </c>
      <c r="E31" s="295">
        <f>+LOOKUP($C$17,SYS_4_3_Digitos!$A$5:$A$6004,SYS_4_3_Digitos!C19:C6018)</f>
        <v>0</v>
      </c>
      <c r="F31" s="296">
        <f>+LOOKUP($C$17,SYS_4_3_Digitos!$A$5:$A$6004,SYS_4_3_Digitos!D19:D6018)</f>
        <v>13.56</v>
      </c>
      <c r="G31" s="295">
        <f t="shared" ca="1" si="4"/>
        <v>0</v>
      </c>
      <c r="H31" s="296">
        <f t="shared" ca="1" si="5"/>
        <v>0</v>
      </c>
      <c r="I31" s="297">
        <f ca="1">+LOOKUP($C$17,SYS_4_3_Digitos!$A$5:$A$6004,SYS_4_3_Digitos!I19:I6018)</f>
        <v>0</v>
      </c>
      <c r="J31" s="296">
        <f ca="1">+LOOKUP($C$17,SYS_4_3_Digitos!$A$5:$A$6004,SYS_4_3_Digitos!J19:J6018)</f>
        <v>13.56</v>
      </c>
    </row>
    <row r="32" spans="3:10" ht="18" customHeight="1" outlineLevel="1">
      <c r="C32" s="288">
        <v>120</v>
      </c>
      <c r="D32" s="289" t="str">
        <f>LOOKUP(C32,asientos!$M$12:$M$13033,asientos!$N$12:$N$13033)</f>
        <v>REMANENTE</v>
      </c>
      <c r="E32" s="295">
        <f>+LOOKUP($C$17,SYS_4_3_Digitos!$A$5:$A$6004,SYS_4_3_Digitos!C20:C6019)</f>
        <v>0</v>
      </c>
      <c r="F32" s="296">
        <f>+LOOKUP($C$17,SYS_4_3_Digitos!$A$5:$A$6004,SYS_4_3_Digitos!D20:D6019)</f>
        <v>0</v>
      </c>
      <c r="G32" s="295">
        <f t="shared" ca="1" si="4"/>
        <v>0</v>
      </c>
      <c r="H32" s="296">
        <f t="shared" ca="1" si="5"/>
        <v>0</v>
      </c>
      <c r="I32" s="297">
        <f ca="1">+LOOKUP($C$17,SYS_4_3_Digitos!$A$5:$A$6004,SYS_4_3_Digitos!I20:I6019)</f>
        <v>0</v>
      </c>
      <c r="J32" s="296">
        <f ca="1">+LOOKUP($C$17,SYS_4_3_Digitos!$A$5:$A$6004,SYS_4_3_Digitos!J20:J6019)</f>
        <v>0</v>
      </c>
    </row>
    <row r="33" spans="3:10" ht="18" customHeight="1" outlineLevel="1">
      <c r="C33" s="288">
        <v>121</v>
      </c>
      <c r="D33" s="289" t="str">
        <f>LOOKUP(C33,asientos!$M$12:$M$13033,asientos!$N$12:$N$13033)</f>
        <v>RESULTADOS NEGATIVOS DE EJERCICIOS ANTERIORES</v>
      </c>
      <c r="E33" s="295">
        <f>+LOOKUP($C$17,SYS_4_3_Digitos!$A$5:$A$6004,SYS_4_3_Digitos!C21:C6020)</f>
        <v>0</v>
      </c>
      <c r="F33" s="296">
        <f>+LOOKUP($C$17,SYS_4_3_Digitos!$A$5:$A$6004,SYS_4_3_Digitos!D21:D6020)</f>
        <v>0</v>
      </c>
      <c r="G33" s="295">
        <f t="shared" ca="1" si="4"/>
        <v>0</v>
      </c>
      <c r="H33" s="296">
        <f t="shared" ca="1" si="5"/>
        <v>0</v>
      </c>
      <c r="I33" s="297">
        <f ca="1">+LOOKUP($C$17,SYS_4_3_Digitos!$A$5:$A$6004,SYS_4_3_Digitos!I21:I6020)</f>
        <v>0</v>
      </c>
      <c r="J33" s="296">
        <f ca="1">+LOOKUP($C$17,SYS_4_3_Digitos!$A$5:$A$6004,SYS_4_3_Digitos!J21:J6020)</f>
        <v>0</v>
      </c>
    </row>
    <row r="34" spans="3:10" ht="18" customHeight="1" outlineLevel="1">
      <c r="C34" s="288">
        <v>129</v>
      </c>
      <c r="D34" s="289" t="str">
        <f>LOOKUP(C34,asientos!$M$12:$M$13033,asientos!$N$12:$N$13033)</f>
        <v>RESULTADO DEL EJERCICIO</v>
      </c>
      <c r="E34" s="295">
        <f>+IF(PG!H81&lt;0,-PG!H81,0)</f>
        <v>0</v>
      </c>
      <c r="F34" s="296">
        <f>+IF(PG!H81&gt;0,PG!H81,0)</f>
        <v>10805343.500000006</v>
      </c>
      <c r="G34" s="295">
        <f t="shared" ca="1" si="4"/>
        <v>0</v>
      </c>
      <c r="H34" s="296">
        <f t="shared" ca="1" si="5"/>
        <v>3836156.8400000092</v>
      </c>
      <c r="I34" s="295">
        <f ca="1">+IF(PG!E81&lt;0,-PG!E81,0)</f>
        <v>0</v>
      </c>
      <c r="J34" s="296">
        <f ca="1">+IF(PG!E81&gt;0,PG!E81,0)</f>
        <v>14641500.340000015</v>
      </c>
    </row>
    <row r="35" spans="3:10" ht="18" customHeight="1" outlineLevel="1">
      <c r="C35" s="288">
        <v>130</v>
      </c>
      <c r="D35" s="289" t="str">
        <f>LOOKUP(C35,asientos!$M$12:$M$13033,asientos!$N$12:$N$13033)</f>
        <v>SUBVENCIONES OFICIALES DE CAPITAL</v>
      </c>
      <c r="E35" s="295">
        <f>+LOOKUP($C$17,SYS_4_3_Digitos!$A$5:$A$6004,SYS_4_3_Digitos!C23:C6022)</f>
        <v>0</v>
      </c>
      <c r="F35" s="296">
        <f>+LOOKUP($C$17,SYS_4_3_Digitos!$A$5:$A$6004,SYS_4_3_Digitos!D23:D6022)</f>
        <v>16574.64</v>
      </c>
      <c r="G35" s="295">
        <f t="shared" ref="G35:G42" ca="1" si="6">+I35-E35</f>
        <v>0</v>
      </c>
      <c r="H35" s="296">
        <f t="shared" ref="H35:H42" ca="1" si="7">+J35-F35</f>
        <v>18399.009999999995</v>
      </c>
      <c r="I35" s="297">
        <f ca="1">+LOOKUP($C$17,SYS_4_3_Digitos!$A$5:$A$6004,SYS_4_3_Digitos!I23:I6022)</f>
        <v>0</v>
      </c>
      <c r="J35" s="296">
        <f ca="1">+LOOKUP($C$17,SYS_4_3_Digitos!$A$5:$A$6004,SYS_4_3_Digitos!J23:J6022)</f>
        <v>34973.649999999994</v>
      </c>
    </row>
    <row r="36" spans="3:10" ht="18" customHeight="1" outlineLevel="1">
      <c r="C36" s="288">
        <v>131</v>
      </c>
      <c r="D36" s="289" t="str">
        <f>LOOKUP(C36,asientos!$M$12:$M$13033,asientos!$N$12:$N$13033)</f>
        <v>DONACIONES Y LEGADOS DE CAPITAL</v>
      </c>
      <c r="E36" s="295">
        <f>+LOOKUP($C$17,SYS_4_3_Digitos!$A$5:$A$6004,SYS_4_3_Digitos!C24:C6023)</f>
        <v>0</v>
      </c>
      <c r="F36" s="296">
        <f>+LOOKUP($C$17,SYS_4_3_Digitos!$A$5:$A$6004,SYS_4_3_Digitos!D24:D6023)</f>
        <v>0</v>
      </c>
      <c r="G36" s="295">
        <f t="shared" ca="1" si="6"/>
        <v>0</v>
      </c>
      <c r="H36" s="296">
        <f t="shared" ca="1" si="7"/>
        <v>0</v>
      </c>
      <c r="I36" s="297">
        <f ca="1">+LOOKUP($C$17,SYS_4_3_Digitos!$A$5:$A$6004,SYS_4_3_Digitos!I24:I6023)</f>
        <v>0</v>
      </c>
      <c r="J36" s="296">
        <f ca="1">+LOOKUP($C$17,SYS_4_3_Digitos!$A$5:$A$6004,SYS_4_3_Digitos!J24:J6023)</f>
        <v>0</v>
      </c>
    </row>
    <row r="37" spans="3:10" ht="18" customHeight="1" outlineLevel="1">
      <c r="C37" s="288">
        <v>132</v>
      </c>
      <c r="D37" s="289" t="str">
        <f>LOOKUP(C37,asientos!$M$12:$M$13033,asientos!$N$12:$N$13033)</f>
        <v>OTRAS SUBVENCIONES, DONACIONES Y LEGADOS</v>
      </c>
      <c r="E37" s="295">
        <f>+LOOKUP($C$17,SYS_4_3_Digitos!$A$5:$A$6004,SYS_4_3_Digitos!C25:C6024)</f>
        <v>0</v>
      </c>
      <c r="F37" s="296">
        <f>+LOOKUP($C$17,SYS_4_3_Digitos!$A$5:$A$6004,SYS_4_3_Digitos!D25:D6024)</f>
        <v>0</v>
      </c>
      <c r="G37" s="295">
        <f t="shared" ca="1" si="6"/>
        <v>0</v>
      </c>
      <c r="H37" s="296">
        <f t="shared" ca="1" si="7"/>
        <v>0</v>
      </c>
      <c r="I37" s="297">
        <f ca="1">+LOOKUP($C$17,SYS_4_3_Digitos!$A$5:$A$6004,SYS_4_3_Digitos!I25:I6024)</f>
        <v>0</v>
      </c>
      <c r="J37" s="296">
        <f ca="1">+LOOKUP($C$17,SYS_4_3_Digitos!$A$5:$A$6004,SYS_4_3_Digitos!J25:J6024)</f>
        <v>0</v>
      </c>
    </row>
    <row r="38" spans="3:10" ht="18" customHeight="1" outlineLevel="1">
      <c r="C38" s="288">
        <v>133</v>
      </c>
      <c r="D38" s="289" t="str">
        <f>LOOKUP(C38,asientos!$M$12:$M$13033,asientos!$N$12:$N$13033)</f>
        <v>AJ. POR VALORACIÓN EN ACTIV. FROS DISP. PARA LA VTA</v>
      </c>
      <c r="E38" s="295">
        <f>+LOOKUP($C$17,SYS_4_3_Digitos!$A$5:$A$6004,SYS_4_3_Digitos!C26:C6025)</f>
        <v>0</v>
      </c>
      <c r="F38" s="296">
        <f>+LOOKUP($C$17,SYS_4_3_Digitos!$A$5:$A$6004,SYS_4_3_Digitos!D26:D6025)</f>
        <v>11088325.029999999</v>
      </c>
      <c r="G38" s="295">
        <f t="shared" ca="1" si="6"/>
        <v>0</v>
      </c>
      <c r="H38" s="296">
        <f t="shared" ca="1" si="7"/>
        <v>12625366.469999997</v>
      </c>
      <c r="I38" s="297">
        <f ca="1">+LOOKUP($C$17,SYS_4_3_Digitos!$A$5:$A$6004,SYS_4_3_Digitos!I26:I6025)</f>
        <v>0</v>
      </c>
      <c r="J38" s="296">
        <f ca="1">+LOOKUP($C$17,SYS_4_3_Digitos!$A$5:$A$6004,SYS_4_3_Digitos!J26:J6025)</f>
        <v>23713691.499999996</v>
      </c>
    </row>
    <row r="39" spans="3:10" ht="18" customHeight="1" outlineLevel="1">
      <c r="C39" s="288">
        <v>134</v>
      </c>
      <c r="D39" s="289" t="str">
        <f>LOOKUP(C39,asientos!$M$12:$M$13033,asientos!$N$12:$N$13033)</f>
        <v>OPERACIONES DE COBERTURA</v>
      </c>
      <c r="E39" s="295">
        <f>+LOOKUP($C$17,SYS_4_3_Digitos!$A$5:$A$6004,SYS_4_3_Digitos!C27:C6026)</f>
        <v>0</v>
      </c>
      <c r="F39" s="296">
        <f>+LOOKUP($C$17,SYS_4_3_Digitos!$A$5:$A$6004,SYS_4_3_Digitos!D27:D6026)</f>
        <v>0</v>
      </c>
      <c r="G39" s="295">
        <f t="shared" ca="1" si="6"/>
        <v>0</v>
      </c>
      <c r="H39" s="296">
        <f t="shared" ca="1" si="7"/>
        <v>0</v>
      </c>
      <c r="I39" s="297">
        <f ca="1">+LOOKUP($C$17,SYS_4_3_Digitos!$A$5:$A$6004,SYS_4_3_Digitos!I27:I6026)</f>
        <v>0</v>
      </c>
      <c r="J39" s="296">
        <f ca="1">+LOOKUP($C$17,SYS_4_3_Digitos!$A$5:$A$6004,SYS_4_3_Digitos!J27:J6026)</f>
        <v>0</v>
      </c>
    </row>
    <row r="40" spans="3:10" ht="18" customHeight="1" outlineLevel="1">
      <c r="C40" s="288">
        <v>135</v>
      </c>
      <c r="D40" s="289" t="str">
        <f>LOOKUP(C40,asientos!$M$12:$M$13033,asientos!$N$12:$N$13033)</f>
        <v>DIFERENCIAS DE CONVERSIÓN</v>
      </c>
      <c r="E40" s="295">
        <f>+LOOKUP($C$17,SYS_4_3_Digitos!$A$5:$A$6004,SYS_4_3_Digitos!C28:C6027)</f>
        <v>0</v>
      </c>
      <c r="F40" s="296">
        <f>+LOOKUP($C$17,SYS_4_3_Digitos!$A$5:$A$6004,SYS_4_3_Digitos!D28:D6027)</f>
        <v>0</v>
      </c>
      <c r="G40" s="295">
        <f t="shared" ca="1" si="6"/>
        <v>0</v>
      </c>
      <c r="H40" s="296">
        <f t="shared" ca="1" si="7"/>
        <v>0</v>
      </c>
      <c r="I40" s="297">
        <f ca="1">+LOOKUP($C$17,SYS_4_3_Digitos!$A$5:$A$6004,SYS_4_3_Digitos!I28:I6027)</f>
        <v>0</v>
      </c>
      <c r="J40" s="296">
        <f ca="1">+LOOKUP($C$17,SYS_4_3_Digitos!$A$5:$A$6004,SYS_4_3_Digitos!J28:J6027)</f>
        <v>0</v>
      </c>
    </row>
    <row r="41" spans="3:10" ht="18" customHeight="1" outlineLevel="1">
      <c r="C41" s="288">
        <v>136</v>
      </c>
      <c r="D41" s="289" t="str">
        <f>LOOKUP(C41,asientos!$M$12:$M$13033,asientos!$N$12:$N$13033)</f>
        <v>AJ. POR VALORAC. EN ACTIV. NO CORR. Y GRUP. ENA…</v>
      </c>
      <c r="E41" s="295">
        <f>+LOOKUP($C$17,SYS_4_3_Digitos!$A$5:$A$6004,SYS_4_3_Digitos!C29:C6028)</f>
        <v>0</v>
      </c>
      <c r="F41" s="296">
        <f>+LOOKUP($C$17,SYS_4_3_Digitos!$A$5:$A$6004,SYS_4_3_Digitos!D29:D6028)</f>
        <v>0</v>
      </c>
      <c r="G41" s="295">
        <f t="shared" ca="1" si="6"/>
        <v>0</v>
      </c>
      <c r="H41" s="296">
        <f t="shared" ca="1" si="7"/>
        <v>0</v>
      </c>
      <c r="I41" s="297">
        <f ca="1">+LOOKUP($C$17,SYS_4_3_Digitos!$A$5:$A$6004,SYS_4_3_Digitos!I29:I6028)</f>
        <v>0</v>
      </c>
      <c r="J41" s="296">
        <f ca="1">+LOOKUP($C$17,SYS_4_3_Digitos!$A$5:$A$6004,SYS_4_3_Digitos!J29:J6028)</f>
        <v>0</v>
      </c>
    </row>
    <row r="42" spans="3:10" ht="18" customHeight="1" outlineLevel="1">
      <c r="C42" s="288">
        <v>137</v>
      </c>
      <c r="D42" s="289" t="str">
        <f>LOOKUP(C42,asientos!$M$12:$M$13033,asientos!$N$12:$N$13033)</f>
        <v>INGRESOS FISCALES A DISTRIBUIR EN VARIOS EJERCICIOS</v>
      </c>
      <c r="E42" s="295">
        <f>+LOOKUP($C$17,SYS_4_3_Digitos!$A$5:$A$6004,SYS_4_3_Digitos!C30:C6029)</f>
        <v>0</v>
      </c>
      <c r="F42" s="296">
        <f>+LOOKUP($C$17,SYS_4_3_Digitos!$A$5:$A$6004,SYS_4_3_Digitos!D30:D6029)</f>
        <v>0</v>
      </c>
      <c r="G42" s="295">
        <f t="shared" ca="1" si="6"/>
        <v>0</v>
      </c>
      <c r="H42" s="296">
        <f t="shared" ca="1" si="7"/>
        <v>0</v>
      </c>
      <c r="I42" s="297">
        <f ca="1">+LOOKUP($C$17,SYS_4_3_Digitos!$A$5:$A$6004,SYS_4_3_Digitos!I30:I6029)</f>
        <v>0</v>
      </c>
      <c r="J42" s="296">
        <f ca="1">+LOOKUP($C$17,SYS_4_3_Digitos!$A$5:$A$6004,SYS_4_3_Digitos!J30:J6029)</f>
        <v>0</v>
      </c>
    </row>
    <row r="43" spans="3:10" ht="18" customHeight="1" outlineLevel="1">
      <c r="C43" s="290">
        <v>557</v>
      </c>
      <c r="D43" s="291" t="str">
        <f>LOOKUP(C43,asientos!$M$12:$M$13033,asientos!$N$12:$N$13033)</f>
        <v>DIVIDENDO ACTIVO A CUENTA</v>
      </c>
      <c r="E43" s="298">
        <f ca="1">+LOOKUP($C$17,SYS_4_3_Digitos!$A$5:$A$6004,SYS_4_3_Digitos!C235:C6026)</f>
        <v>0</v>
      </c>
      <c r="F43" s="299">
        <f ca="1">+LOOKUP($C$17,SYS_4_3_Digitos!$A$5:$A$6004,SYS_4_3_Digitos!D235:D6026)</f>
        <v>0</v>
      </c>
      <c r="G43" s="298">
        <f t="shared" ca="1" si="1"/>
        <v>0</v>
      </c>
      <c r="H43" s="299">
        <f t="shared" ca="1" si="0"/>
        <v>0</v>
      </c>
      <c r="I43" s="300">
        <f ca="1">+LOOKUP($C$17,SYS_4_3_Digitos!$A$5:$A$6004,SYS_4_3_Digitos!I235:I6026)</f>
        <v>0</v>
      </c>
      <c r="J43" s="299">
        <f ca="1">+LOOKUP($C$17,SYS_4_3_Digitos!$A$5:$A$6004,SYS_4_3_Digitos!J235:J6026)</f>
        <v>0</v>
      </c>
    </row>
    <row r="44" spans="3:10" ht="18" customHeight="1">
      <c r="E44" s="301">
        <f t="shared" ref="E44:J44" ca="1" si="8">SUM(E17:E43)</f>
        <v>0</v>
      </c>
      <c r="F44" s="301">
        <f t="shared" ca="1" si="8"/>
        <v>313525867.13999993</v>
      </c>
      <c r="G44" s="301">
        <f t="shared" ca="1" si="8"/>
        <v>0</v>
      </c>
      <c r="H44" s="301">
        <f t="shared" ca="1" si="8"/>
        <v>27285265.820000008</v>
      </c>
      <c r="I44" s="301">
        <f t="shared" ca="1" si="8"/>
        <v>0</v>
      </c>
      <c r="J44" s="301">
        <f t="shared" ca="1" si="8"/>
        <v>340811132.96000004</v>
      </c>
    </row>
    <row r="45" spans="3:10" ht="18" customHeight="1">
      <c r="D45" s="285" t="s">
        <v>1195</v>
      </c>
      <c r="E45" s="301">
        <f ca="1">+IF($E$44&gt;$F$44,$E$44-$F$44,0)</f>
        <v>0</v>
      </c>
      <c r="F45" s="301">
        <f ca="1">+IF($E$44&lt;$F$44,-($E$44-$F$44),0)</f>
        <v>313525867.13999993</v>
      </c>
      <c r="G45" s="301">
        <f ca="1">+IF($G$44&gt;$H$44,$G$44-$H$44,0)</f>
        <v>0</v>
      </c>
      <c r="H45" s="301">
        <f ca="1">+IF($G$44&lt;$H$44,-($G$44-$H$44),0)</f>
        <v>27285265.820000008</v>
      </c>
      <c r="I45" s="301">
        <f ca="1">+IF($I$44&gt;$J$44,$I$44-$J$44,0)</f>
        <v>0</v>
      </c>
      <c r="J45" s="301">
        <f ca="1">+IF($I$44&lt;$J$44,-($I$44-$J$44),0)</f>
        <v>340811132.96000004</v>
      </c>
    </row>
    <row r="46" spans="3:10" ht="18" customHeight="1"/>
    <row r="47" spans="3:10" ht="18" customHeight="1">
      <c r="C47" s="274" t="s">
        <v>1196</v>
      </c>
      <c r="D47" s="151"/>
    </row>
    <row r="48" spans="3:10" ht="6" customHeight="1"/>
    <row r="49" spans="3:10" ht="18" customHeight="1">
      <c r="C49" s="193" t="s">
        <v>1065</v>
      </c>
      <c r="D49" s="193" t="s">
        <v>1197</v>
      </c>
      <c r="E49" s="210" t="s">
        <v>1198</v>
      </c>
      <c r="F49" s="193" t="s">
        <v>172</v>
      </c>
      <c r="G49" s="193" t="s">
        <v>1199</v>
      </c>
      <c r="H49" s="211" t="s">
        <v>995</v>
      </c>
      <c r="I49" s="193" t="s">
        <v>1200</v>
      </c>
      <c r="J49" s="211" t="s">
        <v>1201</v>
      </c>
    </row>
    <row r="50" spans="3:10" ht="18" customHeight="1" outlineLevel="1">
      <c r="C50" s="429"/>
      <c r="D50" s="304"/>
      <c r="E50" s="529"/>
      <c r="F50" s="426"/>
      <c r="G50" s="426"/>
      <c r="H50" s="305"/>
      <c r="I50" s="426"/>
      <c r="J50" s="305">
        <f>+I50*0.25</f>
        <v>0</v>
      </c>
    </row>
    <row r="51" spans="3:10" ht="18" customHeight="1" outlineLevel="1">
      <c r="C51" s="427"/>
      <c r="D51" s="306" t="s">
        <v>1202</v>
      </c>
      <c r="E51" s="530"/>
      <c r="F51" s="424">
        <f ca="1">+I34</f>
        <v>0</v>
      </c>
      <c r="G51" s="424">
        <f ca="1">+J34</f>
        <v>14641500.340000015</v>
      </c>
      <c r="H51" s="302">
        <f ca="1">+F51-G51+H50</f>
        <v>-14641500.340000015</v>
      </c>
      <c r="I51" s="424"/>
      <c r="J51" s="302">
        <f t="shared" ref="J51:J64" si="9">+I51*0.25</f>
        <v>0</v>
      </c>
    </row>
    <row r="52" spans="3:10" ht="18" customHeight="1" outlineLevel="1">
      <c r="C52" s="427">
        <v>129</v>
      </c>
      <c r="D52" s="306" t="s">
        <v>1203</v>
      </c>
      <c r="E52" s="530"/>
      <c r="F52" s="424"/>
      <c r="G52" s="424"/>
      <c r="H52" s="302">
        <f t="shared" ref="H52:H64" ca="1" si="10">+F52-G52+H51</f>
        <v>-14641500.340000015</v>
      </c>
      <c r="I52" s="424"/>
      <c r="J52" s="302">
        <f t="shared" si="9"/>
        <v>0</v>
      </c>
    </row>
    <row r="53" spans="3:10" ht="18" customHeight="1" outlineLevel="1">
      <c r="C53" s="427">
        <v>121</v>
      </c>
      <c r="D53" s="306" t="s">
        <v>1203</v>
      </c>
      <c r="E53" s="530"/>
      <c r="F53" s="424"/>
      <c r="G53" s="424"/>
      <c r="H53" s="302">
        <f t="shared" ca="1" si="10"/>
        <v>-14641500.340000015</v>
      </c>
      <c r="I53" s="424"/>
      <c r="J53" s="302">
        <f t="shared" si="9"/>
        <v>0</v>
      </c>
    </row>
    <row r="54" spans="3:10" ht="18" customHeight="1" outlineLevel="1">
      <c r="C54" s="427"/>
      <c r="D54" s="306" t="s">
        <v>1204</v>
      </c>
      <c r="E54" s="530"/>
      <c r="F54" s="424"/>
      <c r="G54" s="424"/>
      <c r="H54" s="302">
        <f t="shared" ca="1" si="10"/>
        <v>-14641500.340000015</v>
      </c>
      <c r="I54" s="424"/>
      <c r="J54" s="302">
        <f t="shared" si="9"/>
        <v>0</v>
      </c>
    </row>
    <row r="55" spans="3:10" ht="18" customHeight="1" outlineLevel="1">
      <c r="C55" s="427" t="s">
        <v>1205</v>
      </c>
      <c r="D55" s="306" t="s">
        <v>1206</v>
      </c>
      <c r="E55" s="530"/>
      <c r="F55" s="424"/>
      <c r="G55" s="424"/>
      <c r="H55" s="302">
        <f t="shared" ca="1" si="10"/>
        <v>-14641500.340000015</v>
      </c>
      <c r="I55" s="424"/>
      <c r="J55" s="302">
        <f t="shared" si="9"/>
        <v>0</v>
      </c>
    </row>
    <row r="56" spans="3:10" ht="18" customHeight="1" outlineLevel="1">
      <c r="C56" s="427"/>
      <c r="D56" s="306"/>
      <c r="E56" s="530"/>
      <c r="F56" s="424"/>
      <c r="G56" s="424"/>
      <c r="H56" s="302">
        <f t="shared" ca="1" si="10"/>
        <v>-14641500.340000015</v>
      </c>
      <c r="I56" s="424"/>
      <c r="J56" s="302">
        <f t="shared" si="9"/>
        <v>0</v>
      </c>
    </row>
    <row r="57" spans="3:10" ht="18" customHeight="1" outlineLevel="1">
      <c r="C57" s="427">
        <v>100</v>
      </c>
      <c r="D57" s="306" t="s">
        <v>1207</v>
      </c>
      <c r="E57" s="530"/>
      <c r="F57" s="424"/>
      <c r="G57" s="424"/>
      <c r="H57" s="302">
        <f t="shared" ca="1" si="10"/>
        <v>-14641500.340000015</v>
      </c>
      <c r="I57" s="424"/>
      <c r="J57" s="302">
        <f t="shared" si="9"/>
        <v>0</v>
      </c>
    </row>
    <row r="58" spans="3:10" ht="18" customHeight="1" outlineLevel="1">
      <c r="C58" s="427">
        <v>109</v>
      </c>
      <c r="D58" s="306" t="s">
        <v>1208</v>
      </c>
      <c r="E58" s="530"/>
      <c r="F58" s="424"/>
      <c r="G58" s="424"/>
      <c r="H58" s="302">
        <f t="shared" ca="1" si="10"/>
        <v>-14641500.340000015</v>
      </c>
      <c r="I58" s="424"/>
      <c r="J58" s="302">
        <f t="shared" si="9"/>
        <v>0</v>
      </c>
    </row>
    <row r="59" spans="3:10" ht="18" customHeight="1" outlineLevel="1">
      <c r="C59" s="427">
        <v>113</v>
      </c>
      <c r="D59" s="306" t="s">
        <v>1209</v>
      </c>
      <c r="E59" s="530"/>
      <c r="F59" s="424"/>
      <c r="G59" s="424"/>
      <c r="H59" s="302">
        <f t="shared" ca="1" si="10"/>
        <v>-14641500.340000015</v>
      </c>
      <c r="I59" s="424"/>
      <c r="J59" s="302">
        <f t="shared" si="9"/>
        <v>0</v>
      </c>
    </row>
    <row r="60" spans="3:10" ht="18" customHeight="1" outlineLevel="1">
      <c r="C60" s="427">
        <v>113</v>
      </c>
      <c r="D60" s="306" t="s">
        <v>1210</v>
      </c>
      <c r="E60" s="530"/>
      <c r="F60" s="424"/>
      <c r="G60" s="424"/>
      <c r="H60" s="302">
        <f t="shared" ca="1" si="10"/>
        <v>-14641500.340000015</v>
      </c>
      <c r="I60" s="424"/>
      <c r="J60" s="302">
        <f t="shared" si="9"/>
        <v>0</v>
      </c>
    </row>
    <row r="61" spans="3:10" ht="18" customHeight="1" outlineLevel="1">
      <c r="C61" s="427"/>
      <c r="D61" s="306"/>
      <c r="E61" s="530"/>
      <c r="F61" s="424"/>
      <c r="G61" s="424"/>
      <c r="H61" s="302">
        <f t="shared" ca="1" si="10"/>
        <v>-14641500.340000015</v>
      </c>
      <c r="I61" s="424"/>
      <c r="J61" s="302">
        <f t="shared" si="9"/>
        <v>0</v>
      </c>
    </row>
    <row r="62" spans="3:10" ht="18" customHeight="1" outlineLevel="1">
      <c r="C62" s="427"/>
      <c r="D62" s="306"/>
      <c r="E62" s="530"/>
      <c r="F62" s="424"/>
      <c r="G62" s="424"/>
      <c r="H62" s="302">
        <f t="shared" ca="1" si="10"/>
        <v>-14641500.340000015</v>
      </c>
      <c r="I62" s="424"/>
      <c r="J62" s="302">
        <f t="shared" si="9"/>
        <v>0</v>
      </c>
    </row>
    <row r="63" spans="3:10" ht="18" customHeight="1" outlineLevel="1">
      <c r="C63" s="427"/>
      <c r="D63" s="306"/>
      <c r="E63" s="530"/>
      <c r="F63" s="424"/>
      <c r="G63" s="424"/>
      <c r="H63" s="302">
        <f t="shared" ca="1" si="10"/>
        <v>-14641500.340000015</v>
      </c>
      <c r="I63" s="424"/>
      <c r="J63" s="302">
        <f t="shared" si="9"/>
        <v>0</v>
      </c>
    </row>
    <row r="64" spans="3:10" ht="18" customHeight="1" outlineLevel="1">
      <c r="C64" s="428"/>
      <c r="D64" s="307"/>
      <c r="E64" s="531"/>
      <c r="F64" s="425"/>
      <c r="G64" s="425"/>
      <c r="H64" s="303">
        <f t="shared" ca="1" si="10"/>
        <v>-14641500.340000015</v>
      </c>
      <c r="I64" s="425"/>
      <c r="J64" s="303">
        <f t="shared" si="9"/>
        <v>0</v>
      </c>
    </row>
    <row r="65" spans="3:10" ht="18" customHeight="1">
      <c r="D65" s="310" t="s">
        <v>1211</v>
      </c>
      <c r="E65" s="282"/>
      <c r="F65" s="301">
        <f ca="1">SUM(F50:F64)</f>
        <v>0</v>
      </c>
      <c r="G65" s="301">
        <f ca="1">SUM(G50:G64)</f>
        <v>14641500.340000015</v>
      </c>
      <c r="H65" s="301">
        <f ca="1">+F65-G65</f>
        <v>-14641500.340000015</v>
      </c>
      <c r="I65" s="301">
        <f>SUM(I50:I64)</f>
        <v>0</v>
      </c>
      <c r="J65" s="301">
        <f>SUM(J50:J64)</f>
        <v>0</v>
      </c>
    </row>
    <row r="66" spans="3:10" ht="9" customHeight="1"/>
    <row r="67" spans="3:10" ht="18" customHeight="1">
      <c r="F67" s="308" t="s">
        <v>1212</v>
      </c>
      <c r="G67" s="309"/>
      <c r="H67" s="301">
        <f ca="1">+H45+H65-G45</f>
        <v>12643765.479999993</v>
      </c>
    </row>
    <row r="68" spans="3:10" ht="9" customHeight="1"/>
    <row r="69" spans="3:10" ht="18" customHeight="1">
      <c r="C69" s="274" t="s">
        <v>291</v>
      </c>
      <c r="D69" s="151"/>
    </row>
    <row r="70" spans="3:10" ht="18" customHeight="1">
      <c r="C70" s="315" t="s">
        <v>1213</v>
      </c>
      <c r="D70" s="314">
        <f>+F25-E25</f>
        <v>129999012.16</v>
      </c>
    </row>
    <row r="71" spans="3:10" ht="18" customHeight="1">
      <c r="C71" s="316" t="s">
        <v>1214</v>
      </c>
      <c r="D71" s="311"/>
    </row>
    <row r="72" spans="3:10" ht="18" customHeight="1">
      <c r="C72" s="316" t="s">
        <v>1215</v>
      </c>
      <c r="D72" s="311">
        <f ca="1">+H25-G25-D71</f>
        <v>8944650.5600000024</v>
      </c>
    </row>
    <row r="73" spans="3:10" ht="18" customHeight="1">
      <c r="C73" s="317" t="s">
        <v>1216</v>
      </c>
      <c r="D73" s="312">
        <f ca="1">SUM(D70:D72)</f>
        <v>138943662.72</v>
      </c>
    </row>
    <row r="74" spans="3:10" ht="18" customHeight="1">
      <c r="C74" s="318" t="s">
        <v>1140</v>
      </c>
      <c r="D74" s="313">
        <f ca="1">+D73-(J25-I25)</f>
        <v>0</v>
      </c>
    </row>
    <row r="75" spans="3:10" ht="18" customHeight="1"/>
    <row r="76" spans="3:10" ht="18" hidden="1" customHeight="1"/>
    <row r="77" spans="3:10" ht="18" hidden="1" customHeight="1"/>
    <row r="78" spans="3:10" ht="18" hidden="1" customHeight="1"/>
    <row r="79" spans="3:10" ht="18" hidden="1" customHeight="1"/>
    <row r="80" spans="3:10" ht="18" hidden="1" customHeight="1"/>
    <row r="81" ht="18" hidden="1" customHeight="1"/>
    <row r="82" ht="18" hidden="1" customHeight="1"/>
  </sheetData>
  <sortState xmlns:xlrd2="http://schemas.microsoft.com/office/spreadsheetml/2017/richdata2" ref="C17:J43">
    <sortCondition ref="C17"/>
  </sortState>
  <mergeCells count="6">
    <mergeCell ref="I15:J15"/>
    <mergeCell ref="C5:D5"/>
    <mergeCell ref="E5:G5"/>
    <mergeCell ref="E7:G7"/>
    <mergeCell ref="E15:F15"/>
    <mergeCell ref="G15:H15"/>
  </mergeCells>
  <conditionalFormatting sqref="H67">
    <cfRule type="expression" dxfId="46" priority="1">
      <formula>$H$67&lt;&gt;0</formula>
    </cfRule>
  </conditionalFormatting>
  <pageMargins left="3.937007874015748E-2" right="3.937007874015748E-2" top="0.35433070866141736" bottom="0.35433070866141736" header="0.31496062992125984" footer="0.31496062992125984"/>
  <pageSetup paperSize="9" scale="55" orientation="landscape"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E2A2B-CD3B-409D-9DAF-3F44A91C01B9}">
  <sheetPr codeName="Hoja49">
    <tabColor rgb="FF92D050"/>
  </sheetPr>
  <dimension ref="A1:I21"/>
  <sheetViews>
    <sheetView showGridLines="0" showRowColHeaders="0" zoomScale="115" zoomScaleNormal="115" workbookViewId="0"/>
  </sheetViews>
  <sheetFormatPr baseColWidth="10" defaultColWidth="11.44140625" defaultRowHeight="14.4"/>
  <cols>
    <col min="5" max="8" width="13" customWidth="1"/>
  </cols>
  <sheetData>
    <row r="1" spans="1:9" ht="21">
      <c r="A1" s="1215" t="s">
        <v>1621</v>
      </c>
      <c r="C1" s="2594" t="str">
        <f>+MENU!E5</f>
        <v>MARIO PILATO BLAT, S.A.</v>
      </c>
      <c r="D1" s="2255"/>
      <c r="E1" s="2255"/>
      <c r="F1" s="2255"/>
      <c r="G1" s="2255"/>
    </row>
    <row r="3" spans="1:9">
      <c r="C3" s="1172" t="s">
        <v>1622</v>
      </c>
    </row>
    <row r="7" spans="1:9">
      <c r="C7" t="s">
        <v>1623</v>
      </c>
      <c r="E7" s="1216"/>
      <c r="F7" s="1216"/>
      <c r="G7" s="1216"/>
      <c r="H7" s="1216"/>
      <c r="I7" s="2593" t="s">
        <v>1624</v>
      </c>
    </row>
    <row r="8" spans="1:9">
      <c r="E8" t="s">
        <v>1625</v>
      </c>
      <c r="I8" s="2593"/>
    </row>
    <row r="11" spans="1:9">
      <c r="C11" t="s">
        <v>1626</v>
      </c>
    </row>
    <row r="14" spans="1:9">
      <c r="E14" s="1217" t="s">
        <v>1627</v>
      </c>
      <c r="F14" s="1217" t="s">
        <v>1628</v>
      </c>
      <c r="G14" s="1218" t="s">
        <v>1629</v>
      </c>
    </row>
    <row r="15" spans="1:9" ht="15" thickBot="1">
      <c r="E15" s="1163" t="s">
        <v>1630</v>
      </c>
      <c r="F15" s="1163" t="s">
        <v>1631</v>
      </c>
      <c r="G15" s="1219" t="s">
        <v>1632</v>
      </c>
    </row>
    <row r="16" spans="1:9" ht="15" thickBot="1">
      <c r="C16" s="1172" t="s">
        <v>1633</v>
      </c>
      <c r="E16" s="1220">
        <f>+BALANCE!P72+BALANCE!P73+BALANCE!P74</f>
        <v>390317.36000000074</v>
      </c>
      <c r="F16" s="1220">
        <f ca="1">+BALANCE!M72+BALANCE!M73+BALANCE!M74</f>
        <v>436547.45999999996</v>
      </c>
      <c r="G16" s="1221">
        <f ca="1">AVERAGEA(E16,F16)</f>
        <v>413432.41000000038</v>
      </c>
      <c r="H16" s="1222">
        <v>365</v>
      </c>
      <c r="I16" s="1223">
        <f ca="1">+G16/G21*H16</f>
        <v>2.0244275562101071</v>
      </c>
    </row>
    <row r="17" spans="4:7">
      <c r="E17" s="1217" t="s">
        <v>1634</v>
      </c>
      <c r="F17" s="1217" t="s">
        <v>1635</v>
      </c>
      <c r="G17" s="1218" t="s">
        <v>1636</v>
      </c>
    </row>
    <row r="18" spans="4:7">
      <c r="E18" s="1224" t="s">
        <v>1637</v>
      </c>
      <c r="F18" s="1224" t="s">
        <v>1638</v>
      </c>
      <c r="G18" s="1225" t="s">
        <v>1639</v>
      </c>
    </row>
    <row r="19" spans="4:7">
      <c r="D19" s="1150" t="s">
        <v>1634</v>
      </c>
      <c r="E19" s="1226">
        <f ca="1">-(PG!E21+PG!E22+PG!E23+SYS_4_3_Digitos!I247+SYS_4_3_Digitos!I248+SYS_4_3_Digitos!I249-SYS_4_3_Digitos!J247-SYS_4_3_Digitos!J248-SYS_4_3_Digitos!J249)</f>
        <v>56924401.449999996</v>
      </c>
      <c r="F19" s="1226">
        <v>1.21</v>
      </c>
      <c r="G19" s="1227">
        <f ca="1">+E19*F19</f>
        <v>68878525.754499987</v>
      </c>
    </row>
    <row r="20" spans="4:7">
      <c r="D20" s="1150" t="s">
        <v>1640</v>
      </c>
      <c r="E20" s="1226">
        <f ca="1">-PG!E36</f>
        <v>4679720.6499999994</v>
      </c>
      <c r="F20" s="1226">
        <v>1.21</v>
      </c>
      <c r="G20" s="1227">
        <f ca="1">+E20*F20</f>
        <v>5662461.9864999987</v>
      </c>
    </row>
    <row r="21" spans="4:7">
      <c r="D21" s="1151" t="s">
        <v>1071</v>
      </c>
      <c r="E21" s="1227">
        <f ca="1">SUM(E19:E20)</f>
        <v>61604122.099999994</v>
      </c>
      <c r="F21" s="1227"/>
      <c r="G21" s="1227">
        <f ca="1">SUM(G19:G20)</f>
        <v>74540987.740999982</v>
      </c>
    </row>
  </sheetData>
  <mergeCells count="2">
    <mergeCell ref="I7:I8"/>
    <mergeCell ref="C1:G1"/>
  </mergeCells>
  <pageMargins left="0.7" right="0.7" top="0.75" bottom="0.75" header="0.3" footer="0.3"/>
  <pageSetup paperSize="9" scale="79"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78E7C-5078-4726-BF70-7CEECDD44AA7}">
  <sheetPr codeName="Hoja46">
    <pageSetUpPr autoPageBreaks="0"/>
  </sheetPr>
  <dimension ref="A1:J135"/>
  <sheetViews>
    <sheetView showGridLines="0" showZeros="0" zoomScaleNormal="100" zoomScaleSheetLayoutView="55" zoomScalePageLayoutView="55" workbookViewId="0">
      <selection activeCell="C24" sqref="C24"/>
    </sheetView>
  </sheetViews>
  <sheetFormatPr baseColWidth="10" defaultColWidth="0" defaultRowHeight="15" customHeight="1" zeroHeight="1"/>
  <cols>
    <col min="1" max="2" width="2" customWidth="1"/>
    <col min="3" max="5" width="16" customWidth="1"/>
    <col min="6" max="6" width="18" customWidth="1"/>
    <col min="7" max="9" width="16" customWidth="1"/>
    <col min="10" max="10" width="4" customWidth="1"/>
    <col min="11" max="16384" width="13" hidden="1"/>
  </cols>
  <sheetData>
    <row r="1" spans="3:9" ht="15" customHeight="1"/>
    <row r="2" spans="3:9" ht="9" customHeight="1"/>
    <row r="3" spans="3:9" ht="5.25" customHeight="1">
      <c r="C3" s="1230"/>
      <c r="D3" s="1230"/>
    </row>
    <row r="4" spans="3:9" ht="5.25" customHeight="1"/>
    <row r="5" spans="3:9" ht="21">
      <c r="C5" s="2252" t="str">
        <f>+MENU!C5</f>
        <v>Sociedad:</v>
      </c>
      <c r="D5" s="2342"/>
      <c r="E5" s="2285" t="str">
        <f>+MENU!E5</f>
        <v>MARIO PILATO BLAT, S.A.</v>
      </c>
      <c r="F5" s="2286"/>
    </row>
    <row r="6" spans="3:9" ht="12.75" customHeight="1">
      <c r="C6" s="218"/>
      <c r="D6" s="218"/>
      <c r="E6" s="218"/>
      <c r="F6" s="218"/>
    </row>
    <row r="7" spans="3:9" ht="21">
      <c r="C7" s="2252" t="str">
        <f>+instrucciones!$C$7</f>
        <v>Fecha de cierre</v>
      </c>
      <c r="D7" s="2298"/>
      <c r="E7" s="2299">
        <f>+MENU!D7</f>
        <v>45657</v>
      </c>
      <c r="F7" s="2300"/>
    </row>
    <row r="8" spans="3:9" ht="15" customHeight="1">
      <c r="C8" s="2"/>
      <c r="D8" s="2"/>
      <c r="F8" s="3"/>
      <c r="G8" s="3"/>
      <c r="H8" s="3"/>
    </row>
    <row r="9" spans="3:9" ht="15" customHeight="1"/>
    <row r="10" spans="3:9" ht="5.25" customHeight="1">
      <c r="F10" s="219"/>
    </row>
    <row r="11" spans="3:9" ht="5.25" customHeight="1"/>
    <row r="12" spans="3:9" ht="6" customHeight="1"/>
    <row r="13" spans="3:9" ht="22.5" customHeight="1">
      <c r="C13" s="221" t="s">
        <v>1217</v>
      </c>
      <c r="D13" s="222"/>
    </row>
    <row r="14" spans="3:9" ht="6" customHeight="1"/>
    <row r="15" spans="3:9" s="33" customFormat="1" ht="21" customHeight="1">
      <c r="C15" s="2601" t="s">
        <v>1068</v>
      </c>
      <c r="D15" s="2602"/>
      <c r="E15" s="2602"/>
      <c r="F15" s="2602"/>
      <c r="G15" s="2602"/>
      <c r="H15" s="2602"/>
      <c r="I15" s="2603"/>
    </row>
    <row r="16" spans="3:9" ht="15" customHeight="1">
      <c r="C16" s="2595">
        <v>2021</v>
      </c>
      <c r="D16" s="2596"/>
      <c r="E16" s="2596"/>
      <c r="F16" s="2596"/>
      <c r="G16" s="2596"/>
      <c r="H16" s="2596"/>
      <c r="I16" s="2597"/>
    </row>
    <row r="17" spans="3:9" ht="15" customHeight="1">
      <c r="C17" s="443" t="s">
        <v>2056</v>
      </c>
      <c r="D17" s="444"/>
      <c r="E17" s="444"/>
      <c r="F17" s="444"/>
      <c r="G17" s="444"/>
      <c r="H17" s="444"/>
      <c r="I17" s="1231"/>
    </row>
    <row r="18" spans="3:9" ht="15" customHeight="1">
      <c r="C18" s="2598">
        <v>2022</v>
      </c>
      <c r="D18" s="2599"/>
      <c r="E18" s="2599"/>
      <c r="F18" s="2599"/>
      <c r="G18" s="2599"/>
      <c r="H18" s="2599"/>
      <c r="I18" s="2600"/>
    </row>
    <row r="19" spans="3:9" ht="15" customHeight="1">
      <c r="C19" s="443" t="s">
        <v>2057</v>
      </c>
      <c r="D19" s="444"/>
      <c r="E19" s="1982"/>
      <c r="F19" s="444"/>
      <c r="G19" s="1982"/>
      <c r="H19" s="444"/>
      <c r="I19" s="1231"/>
    </row>
    <row r="20" spans="3:9" ht="15" customHeight="1">
      <c r="C20" s="443" t="s">
        <v>2058</v>
      </c>
      <c r="D20" s="444"/>
      <c r="E20" s="1982"/>
      <c r="F20" s="444"/>
      <c r="G20" s="1982"/>
      <c r="H20" s="444"/>
      <c r="I20" s="1231"/>
    </row>
    <row r="21" spans="3:9" ht="15" customHeight="1">
      <c r="C21" s="2598">
        <v>2023</v>
      </c>
      <c r="D21" s="2599"/>
      <c r="E21" s="2599"/>
      <c r="F21" s="2599"/>
      <c r="G21" s="2599"/>
      <c r="H21" s="2599"/>
      <c r="I21" s="2600"/>
    </row>
    <row r="22" spans="3:9" ht="15" customHeight="1">
      <c r="C22" s="443"/>
      <c r="D22" s="444"/>
      <c r="E22" s="444"/>
      <c r="F22" s="444"/>
      <c r="G22" s="444"/>
      <c r="H22" s="444"/>
      <c r="I22" s="1231"/>
    </row>
    <row r="23" spans="3:9" ht="15" customHeight="1">
      <c r="C23" s="2598">
        <v>2024</v>
      </c>
      <c r="D23" s="2599"/>
      <c r="E23" s="2599"/>
      <c r="F23" s="2599"/>
      <c r="G23" s="2599"/>
      <c r="H23" s="2599"/>
      <c r="I23" s="2600"/>
    </row>
    <row r="24" spans="3:9" ht="15" customHeight="1">
      <c r="C24" s="443"/>
      <c r="D24" s="444"/>
      <c r="E24" s="444"/>
      <c r="F24" s="444"/>
      <c r="G24" s="444"/>
      <c r="H24" s="444"/>
      <c r="I24" s="1231"/>
    </row>
    <row r="25" spans="3:9" ht="15" customHeight="1">
      <c r="C25" s="443"/>
      <c r="D25" s="444"/>
      <c r="E25" s="444"/>
      <c r="F25" s="444"/>
      <c r="G25" s="444"/>
      <c r="H25" s="444"/>
      <c r="I25" s="1231"/>
    </row>
    <row r="26" spans="3:9" ht="15" customHeight="1">
      <c r="C26" s="443"/>
      <c r="D26" s="444"/>
      <c r="E26" s="444"/>
      <c r="F26" s="444"/>
      <c r="G26" s="444"/>
      <c r="H26" s="444"/>
      <c r="I26" s="1231"/>
    </row>
    <row r="27" spans="3:9" ht="15" customHeight="1">
      <c r="C27" s="443"/>
      <c r="D27" s="444"/>
      <c r="E27" s="444"/>
      <c r="F27" s="444"/>
      <c r="G27" s="444"/>
      <c r="H27" s="444"/>
      <c r="I27" s="1231"/>
    </row>
    <row r="28" spans="3:9" ht="15" customHeight="1">
      <c r="C28" s="443"/>
      <c r="D28" s="444"/>
      <c r="E28" s="444"/>
      <c r="F28" s="444"/>
      <c r="G28" s="444"/>
      <c r="H28" s="444"/>
      <c r="I28" s="1231"/>
    </row>
    <row r="29" spans="3:9" ht="15" customHeight="1">
      <c r="C29" s="443"/>
      <c r="D29" s="444"/>
      <c r="E29" s="444"/>
      <c r="F29" s="444"/>
      <c r="G29" s="444"/>
      <c r="H29" s="444"/>
      <c r="I29" s="1231"/>
    </row>
    <row r="30" spans="3:9" ht="15" customHeight="1">
      <c r="C30" s="443"/>
      <c r="D30" s="444"/>
      <c r="E30" s="444"/>
      <c r="F30" s="444"/>
      <c r="G30" s="444"/>
      <c r="H30" s="444"/>
      <c r="I30" s="1231"/>
    </row>
    <row r="31" spans="3:9" ht="15" customHeight="1">
      <c r="C31" s="443"/>
      <c r="D31" s="444"/>
      <c r="E31" s="444"/>
      <c r="F31" s="444"/>
      <c r="G31" s="444"/>
      <c r="H31" s="444"/>
      <c r="I31" s="1231"/>
    </row>
    <row r="32" spans="3:9" ht="15" customHeight="1">
      <c r="C32" s="443"/>
      <c r="D32" s="444"/>
      <c r="E32" s="444"/>
      <c r="F32" s="444"/>
      <c r="G32" s="444"/>
      <c r="H32" s="444"/>
      <c r="I32" s="1231"/>
    </row>
    <row r="33" spans="3:9" ht="15" customHeight="1">
      <c r="C33" s="443"/>
      <c r="D33" s="444"/>
      <c r="E33" s="444"/>
      <c r="F33" s="444"/>
      <c r="G33" s="444"/>
      <c r="H33" s="444"/>
      <c r="I33" s="1231"/>
    </row>
    <row r="34" spans="3:9" ht="15" customHeight="1">
      <c r="C34" s="443"/>
      <c r="D34" s="444"/>
      <c r="E34" s="444"/>
      <c r="F34" s="444"/>
      <c r="G34" s="444"/>
      <c r="H34" s="444"/>
      <c r="I34" s="1231"/>
    </row>
    <row r="35" spans="3:9" ht="15" customHeight="1">
      <c r="C35" s="443"/>
      <c r="D35" s="444"/>
      <c r="E35" s="444"/>
      <c r="F35" s="444"/>
      <c r="G35" s="444"/>
      <c r="H35" s="444"/>
      <c r="I35" s="1231"/>
    </row>
    <row r="36" spans="3:9" ht="15" customHeight="1">
      <c r="C36" s="443"/>
      <c r="D36" s="444"/>
      <c r="E36" s="444"/>
      <c r="F36" s="444"/>
      <c r="G36" s="444"/>
      <c r="H36" s="444"/>
      <c r="I36" s="1231"/>
    </row>
    <row r="37" spans="3:9" ht="15" customHeight="1">
      <c r="C37" s="443"/>
      <c r="D37" s="444"/>
      <c r="E37" s="444"/>
      <c r="F37" s="444"/>
      <c r="G37" s="444"/>
      <c r="H37" s="444"/>
      <c r="I37" s="1231"/>
    </row>
    <row r="38" spans="3:9" ht="15" customHeight="1">
      <c r="C38" s="443"/>
      <c r="D38" s="444"/>
      <c r="E38" s="444"/>
      <c r="F38" s="444"/>
      <c r="G38" s="444"/>
      <c r="H38" s="444"/>
      <c r="I38" s="1231"/>
    </row>
    <row r="39" spans="3:9" ht="15" customHeight="1">
      <c r="C39" s="443"/>
      <c r="D39" s="444"/>
      <c r="E39" s="444"/>
      <c r="F39" s="444"/>
      <c r="G39" s="444"/>
      <c r="H39" s="444"/>
      <c r="I39" s="1231"/>
    </row>
    <row r="40" spans="3:9" ht="15" customHeight="1">
      <c r="C40" s="443"/>
      <c r="D40" s="444"/>
      <c r="E40" s="444"/>
      <c r="F40" s="444"/>
      <c r="G40" s="444"/>
      <c r="H40" s="444"/>
      <c r="I40" s="1231"/>
    </row>
    <row r="41" spans="3:9" ht="15" customHeight="1">
      <c r="C41" s="443"/>
      <c r="D41" s="444"/>
      <c r="E41" s="444"/>
      <c r="F41" s="444"/>
      <c r="G41" s="444"/>
      <c r="H41" s="444"/>
      <c r="I41" s="1231"/>
    </row>
    <row r="42" spans="3:9" ht="15" customHeight="1">
      <c r="C42" s="443"/>
      <c r="D42" s="444"/>
      <c r="E42" s="444"/>
      <c r="F42" s="444"/>
      <c r="G42" s="444"/>
      <c r="H42" s="444"/>
      <c r="I42" s="1231"/>
    </row>
    <row r="43" spans="3:9" ht="15" customHeight="1">
      <c r="C43" s="443"/>
      <c r="D43" s="444"/>
      <c r="E43" s="444"/>
      <c r="F43" s="444"/>
      <c r="G43" s="444"/>
      <c r="H43" s="444"/>
      <c r="I43" s="1231"/>
    </row>
    <row r="44" spans="3:9" ht="15" customHeight="1">
      <c r="C44" s="443"/>
      <c r="D44" s="444"/>
      <c r="E44" s="444"/>
      <c r="F44" s="444"/>
      <c r="G44" s="444"/>
      <c r="H44" s="444"/>
      <c r="I44" s="1231"/>
    </row>
    <row r="45" spans="3:9" ht="15" customHeight="1">
      <c r="C45" s="443"/>
      <c r="D45" s="444"/>
      <c r="E45" s="1982"/>
      <c r="F45" s="444"/>
      <c r="G45" s="444"/>
      <c r="H45" s="444"/>
      <c r="I45" s="1231"/>
    </row>
    <row r="46" spans="3:9" ht="15" customHeight="1">
      <c r="C46" s="443"/>
      <c r="D46" s="444"/>
      <c r="E46" s="1982"/>
      <c r="F46" s="444"/>
      <c r="G46" s="444"/>
      <c r="H46" s="444"/>
      <c r="I46" s="1231"/>
    </row>
    <row r="47" spans="3:9" ht="15" customHeight="1">
      <c r="C47" s="443"/>
      <c r="D47" s="444"/>
      <c r="E47" s="444"/>
      <c r="F47" s="444"/>
      <c r="G47" s="444"/>
      <c r="H47" s="444"/>
      <c r="I47" s="1231"/>
    </row>
    <row r="48" spans="3:9" ht="15" customHeight="1">
      <c r="C48" s="443"/>
      <c r="D48" s="444"/>
      <c r="E48" s="444"/>
      <c r="F48" s="444"/>
      <c r="G48" s="444"/>
      <c r="H48" s="444"/>
      <c r="I48" s="1231"/>
    </row>
    <row r="49" spans="3:9" ht="15" customHeight="1">
      <c r="C49" s="443"/>
      <c r="D49" s="444"/>
      <c r="E49" s="444"/>
      <c r="F49" s="444"/>
      <c r="G49" s="444"/>
      <c r="H49" s="444"/>
      <c r="I49" s="1231"/>
    </row>
    <row r="50" spans="3:9" ht="15" customHeight="1">
      <c r="C50" s="443"/>
      <c r="D50" s="444"/>
      <c r="E50" s="444"/>
      <c r="F50" s="444"/>
      <c r="G50" s="444"/>
      <c r="H50" s="444"/>
      <c r="I50" s="1231"/>
    </row>
    <row r="51" spans="3:9" ht="15" customHeight="1">
      <c r="C51" s="2201"/>
      <c r="D51" s="444"/>
      <c r="E51" s="444"/>
      <c r="F51" s="444"/>
      <c r="G51" s="444"/>
      <c r="H51" s="444"/>
      <c r="I51" s="1231"/>
    </row>
    <row r="52" spans="3:9" ht="15" customHeight="1">
      <c r="C52" s="443"/>
      <c r="D52" s="444"/>
      <c r="E52" s="444"/>
      <c r="F52" s="444"/>
      <c r="G52" s="444"/>
      <c r="H52" s="444"/>
      <c r="I52" s="1231"/>
    </row>
    <row r="53" spans="3:9" ht="15" customHeight="1">
      <c r="C53" s="443"/>
      <c r="D53" s="444"/>
      <c r="E53" s="444"/>
      <c r="F53" s="444"/>
      <c r="G53" s="444"/>
      <c r="H53" s="444"/>
      <c r="I53" s="1231"/>
    </row>
    <row r="54" spans="3:9" ht="15" customHeight="1">
      <c r="C54" s="443"/>
      <c r="D54" s="444"/>
      <c r="E54" s="444"/>
      <c r="F54" s="444"/>
      <c r="G54" s="444"/>
      <c r="H54" s="444"/>
      <c r="I54" s="1231"/>
    </row>
    <row r="55" spans="3:9" ht="15" customHeight="1">
      <c r="C55" s="443"/>
      <c r="D55" s="444"/>
      <c r="E55" s="444"/>
      <c r="F55" s="444"/>
      <c r="G55" s="444"/>
      <c r="H55" s="444"/>
      <c r="I55" s="1231"/>
    </row>
    <row r="56" spans="3:9" ht="15" customHeight="1">
      <c r="C56" s="443"/>
      <c r="D56" s="444"/>
      <c r="E56" s="444"/>
      <c r="F56" s="444"/>
      <c r="G56" s="444"/>
      <c r="H56" s="444"/>
      <c r="I56" s="1231"/>
    </row>
    <row r="57" spans="3:9" ht="15" customHeight="1">
      <c r="C57" s="443"/>
      <c r="D57" s="444"/>
      <c r="E57" s="444"/>
      <c r="F57" s="444"/>
      <c r="G57" s="444"/>
      <c r="H57" s="444"/>
      <c r="I57" s="1231"/>
    </row>
    <row r="58" spans="3:9" ht="15" customHeight="1">
      <c r="C58" s="443"/>
      <c r="D58" s="444"/>
      <c r="E58" s="444"/>
      <c r="F58" s="444"/>
      <c r="G58" s="444"/>
      <c r="H58" s="444"/>
      <c r="I58" s="1231"/>
    </row>
    <row r="59" spans="3:9" ht="15" customHeight="1">
      <c r="C59" s="443"/>
      <c r="D59" s="444"/>
      <c r="E59" s="444"/>
      <c r="F59" s="444"/>
      <c r="G59" s="444"/>
      <c r="H59" s="444"/>
      <c r="I59" s="1231"/>
    </row>
    <row r="60" spans="3:9" ht="15" customHeight="1">
      <c r="C60" s="443"/>
      <c r="D60" s="444"/>
      <c r="E60" s="444"/>
      <c r="F60" s="444"/>
      <c r="G60" s="444"/>
      <c r="H60" s="444"/>
      <c r="I60" s="1231"/>
    </row>
    <row r="61" spans="3:9" ht="15" customHeight="1">
      <c r="C61" s="443"/>
      <c r="D61" s="444"/>
      <c r="E61" s="444"/>
      <c r="F61" s="444"/>
      <c r="G61" s="444"/>
      <c r="H61" s="444"/>
      <c r="I61" s="1231"/>
    </row>
    <row r="62" spans="3:9" ht="15" customHeight="1">
      <c r="C62" s="443"/>
      <c r="D62" s="2202"/>
      <c r="E62" s="1982"/>
      <c r="F62" s="444"/>
      <c r="G62" s="444"/>
      <c r="H62" s="444"/>
      <c r="I62" s="1231"/>
    </row>
    <row r="63" spans="3:9" ht="15" customHeight="1">
      <c r="C63" s="443"/>
      <c r="D63" s="2202"/>
      <c r="E63" s="1982"/>
      <c r="F63" s="444"/>
      <c r="G63" s="444"/>
      <c r="H63" s="444"/>
      <c r="I63" s="1231"/>
    </row>
    <row r="64" spans="3:9" ht="15" customHeight="1">
      <c r="C64" s="443"/>
      <c r="D64" s="2202"/>
      <c r="E64" s="1982"/>
      <c r="F64" s="444"/>
      <c r="G64" s="444"/>
      <c r="H64" s="444"/>
      <c r="I64" s="1231"/>
    </row>
    <row r="65" spans="3:9" ht="15" customHeight="1">
      <c r="C65" s="443"/>
      <c r="D65" s="444"/>
      <c r="E65" s="444"/>
      <c r="F65" s="444"/>
      <c r="G65" s="444"/>
      <c r="H65" s="444"/>
      <c r="I65" s="1231"/>
    </row>
    <row r="66" spans="3:9" ht="15" customHeight="1">
      <c r="C66" s="443"/>
      <c r="D66" s="444"/>
      <c r="E66" s="444"/>
      <c r="F66" s="444"/>
      <c r="G66" s="444"/>
      <c r="H66" s="444"/>
      <c r="I66" s="1231"/>
    </row>
    <row r="67" spans="3:9" ht="15" customHeight="1">
      <c r="C67" s="443"/>
      <c r="D67" s="444"/>
      <c r="E67" s="444"/>
      <c r="F67" s="444"/>
      <c r="G67" s="444"/>
      <c r="H67" s="444"/>
      <c r="I67" s="1231"/>
    </row>
    <row r="68" spans="3:9" ht="15" customHeight="1">
      <c r="C68" s="443"/>
      <c r="D68" s="444"/>
      <c r="E68" s="444"/>
      <c r="F68" s="444"/>
      <c r="G68" s="444"/>
      <c r="H68" s="444"/>
      <c r="I68" s="1231"/>
    </row>
    <row r="69" spans="3:9" ht="15" customHeight="1">
      <c r="C69" s="443"/>
      <c r="D69" s="444"/>
      <c r="E69" s="444"/>
      <c r="F69" s="444"/>
      <c r="G69" s="444"/>
      <c r="H69" s="444"/>
      <c r="I69" s="1231"/>
    </row>
    <row r="70" spans="3:9" ht="15" customHeight="1">
      <c r="C70" s="443"/>
      <c r="D70" s="444"/>
      <c r="E70" s="444"/>
      <c r="F70" s="444"/>
      <c r="G70" s="444"/>
      <c r="H70" s="444"/>
      <c r="I70" s="1231"/>
    </row>
    <row r="71" spans="3:9" ht="15" customHeight="1">
      <c r="C71" s="443"/>
      <c r="D71" s="444"/>
      <c r="E71" s="444"/>
      <c r="F71" s="444"/>
      <c r="G71" s="444"/>
      <c r="H71" s="444"/>
      <c r="I71" s="1231"/>
    </row>
    <row r="72" spans="3:9" ht="15" customHeight="1">
      <c r="C72" s="443"/>
      <c r="D72" s="444"/>
      <c r="E72" s="444"/>
      <c r="F72" s="444"/>
      <c r="G72" s="444"/>
      <c r="H72" s="444"/>
      <c r="I72" s="1231"/>
    </row>
    <row r="73" spans="3:9" ht="15" customHeight="1">
      <c r="C73" s="443"/>
      <c r="D73" s="444"/>
      <c r="E73" s="444"/>
      <c r="F73" s="444"/>
      <c r="G73" s="444"/>
      <c r="H73" s="444"/>
      <c r="I73" s="1231"/>
    </row>
    <row r="74" spans="3:9" ht="15" customHeight="1">
      <c r="C74" s="443"/>
      <c r="D74" s="444"/>
      <c r="E74" s="444"/>
      <c r="F74" s="444"/>
      <c r="G74" s="444"/>
      <c r="H74" s="444"/>
      <c r="I74" s="2203"/>
    </row>
    <row r="75" spans="3:9" ht="15" customHeight="1">
      <c r="C75" s="443"/>
      <c r="D75" s="444"/>
      <c r="E75" s="444"/>
      <c r="F75" s="444"/>
      <c r="G75" s="444"/>
      <c r="H75" s="444"/>
      <c r="I75" s="1231"/>
    </row>
    <row r="76" spans="3:9" ht="15" customHeight="1">
      <c r="C76" s="2201"/>
      <c r="D76" s="444"/>
      <c r="E76" s="444"/>
      <c r="F76" s="444"/>
      <c r="G76" s="444"/>
      <c r="H76" s="444"/>
      <c r="I76" s="1231"/>
    </row>
    <row r="77" spans="3:9" ht="15" customHeight="1">
      <c r="C77" s="443"/>
      <c r="D77" s="444"/>
      <c r="E77" s="444"/>
      <c r="F77" s="444"/>
      <c r="G77" s="444"/>
      <c r="H77" s="444"/>
      <c r="I77" s="1231"/>
    </row>
    <row r="78" spans="3:9" ht="15" customHeight="1">
      <c r="C78" s="443"/>
      <c r="D78" s="444"/>
      <c r="E78" s="444"/>
      <c r="F78" s="444"/>
      <c r="G78" s="444"/>
      <c r="H78" s="444"/>
      <c r="I78" s="1231"/>
    </row>
    <row r="79" spans="3:9" ht="15" customHeight="1">
      <c r="C79" s="443"/>
      <c r="D79" s="444"/>
      <c r="E79" s="444"/>
      <c r="F79" s="444"/>
      <c r="G79" s="444"/>
      <c r="H79" s="444"/>
      <c r="I79" s="1231"/>
    </row>
    <row r="80" spans="3:9" ht="15" customHeight="1">
      <c r="C80" s="443"/>
      <c r="D80" s="444"/>
      <c r="E80" s="444"/>
      <c r="F80" s="444"/>
      <c r="G80" s="444"/>
      <c r="H80" s="444"/>
      <c r="I80" s="1231"/>
    </row>
    <row r="81" spans="3:9" ht="15" customHeight="1">
      <c r="C81" s="443"/>
      <c r="D81" s="444"/>
      <c r="E81" s="444"/>
      <c r="F81" s="444"/>
      <c r="G81" s="444"/>
      <c r="H81" s="444"/>
      <c r="I81" s="1231"/>
    </row>
    <row r="82" spans="3:9" ht="15" customHeight="1">
      <c r="C82" s="443"/>
      <c r="D82" s="444"/>
      <c r="E82" s="444"/>
      <c r="F82" s="444"/>
      <c r="G82" s="444"/>
      <c r="H82" s="444"/>
      <c r="I82" s="1231"/>
    </row>
    <row r="83" spans="3:9" ht="15" customHeight="1">
      <c r="C83" s="443"/>
      <c r="D83" s="444"/>
      <c r="E83" s="444"/>
      <c r="F83" s="444"/>
      <c r="G83" s="444"/>
      <c r="H83" s="444"/>
      <c r="I83" s="1231"/>
    </row>
    <row r="84" spans="3:9" ht="15" customHeight="1">
      <c r="C84" s="443"/>
      <c r="D84" s="444"/>
      <c r="E84" s="444"/>
      <c r="F84" s="444"/>
      <c r="G84" s="444"/>
      <c r="H84" s="444"/>
      <c r="I84" s="1231"/>
    </row>
    <row r="85" spans="3:9" ht="15" customHeight="1">
      <c r="C85" s="443"/>
      <c r="D85" s="444"/>
      <c r="E85" s="444"/>
      <c r="F85" s="444"/>
      <c r="G85" s="444"/>
      <c r="H85" s="444"/>
      <c r="I85" s="1231"/>
    </row>
    <row r="86" spans="3:9" ht="15" customHeight="1">
      <c r="C86" s="443"/>
      <c r="D86" s="444"/>
      <c r="E86" s="444"/>
      <c r="F86" s="444"/>
      <c r="G86" s="444"/>
      <c r="H86" s="444"/>
      <c r="I86" s="1231"/>
    </row>
    <row r="87" spans="3:9" ht="15" customHeight="1">
      <c r="C87" s="443"/>
      <c r="D87" s="444"/>
      <c r="E87" s="444"/>
      <c r="F87" s="444"/>
      <c r="G87" s="444"/>
      <c r="H87" s="444"/>
      <c r="I87" s="1231"/>
    </row>
    <row r="88" spans="3:9" ht="15" customHeight="1">
      <c r="C88" s="443"/>
      <c r="D88" s="444"/>
      <c r="E88" s="444"/>
      <c r="F88" s="444"/>
      <c r="G88" s="444"/>
      <c r="H88" s="444"/>
      <c r="I88" s="1231"/>
    </row>
    <row r="89" spans="3:9" ht="15" customHeight="1">
      <c r="C89" s="443"/>
      <c r="D89" s="444"/>
      <c r="E89" s="444"/>
      <c r="F89" s="444"/>
      <c r="G89" s="444"/>
      <c r="H89" s="444"/>
      <c r="I89" s="1231"/>
    </row>
    <row r="90" spans="3:9" ht="15" customHeight="1">
      <c r="C90" s="443"/>
      <c r="D90" s="444"/>
      <c r="E90" s="444"/>
      <c r="F90" s="444"/>
      <c r="G90" s="444"/>
      <c r="H90" s="444"/>
      <c r="I90" s="1231"/>
    </row>
    <row r="91" spans="3:9" ht="15" customHeight="1">
      <c r="C91" s="443"/>
      <c r="D91" s="444"/>
      <c r="E91" s="444"/>
      <c r="F91" s="444"/>
      <c r="G91" s="444"/>
      <c r="H91" s="444"/>
      <c r="I91" s="1231"/>
    </row>
    <row r="92" spans="3:9" ht="15" customHeight="1">
      <c r="C92" s="443"/>
      <c r="D92" s="444"/>
      <c r="E92" s="444"/>
      <c r="F92" s="444"/>
      <c r="G92" s="444"/>
      <c r="H92" s="444"/>
      <c r="I92" s="1231"/>
    </row>
    <row r="93" spans="3:9" ht="15" customHeight="1">
      <c r="C93" s="443"/>
      <c r="D93" s="444"/>
      <c r="E93" s="444"/>
      <c r="F93" s="444"/>
      <c r="G93" s="444"/>
      <c r="H93" s="444"/>
      <c r="I93" s="1231"/>
    </row>
    <row r="94" spans="3:9" ht="15" customHeight="1">
      <c r="C94" s="443"/>
      <c r="D94" s="444"/>
      <c r="E94" s="444"/>
      <c r="F94" s="444"/>
      <c r="G94" s="444"/>
      <c r="H94" s="444"/>
      <c r="I94" s="1231"/>
    </row>
    <row r="95" spans="3:9" ht="15" customHeight="1">
      <c r="C95" s="443"/>
      <c r="D95" s="444"/>
      <c r="E95" s="444"/>
      <c r="F95" s="444"/>
      <c r="G95" s="444"/>
      <c r="H95" s="444"/>
      <c r="I95" s="1231"/>
    </row>
    <row r="96" spans="3:9" ht="15" customHeight="1">
      <c r="C96" s="443"/>
      <c r="D96" s="444"/>
      <c r="E96" s="444"/>
      <c r="F96" s="444"/>
      <c r="G96" s="444"/>
      <c r="H96" s="444"/>
      <c r="I96" s="1231"/>
    </row>
    <row r="97" spans="3:9" ht="15" customHeight="1">
      <c r="C97" s="443"/>
      <c r="D97" s="444"/>
      <c r="E97" s="444"/>
      <c r="F97" s="444"/>
      <c r="G97" s="444"/>
      <c r="H97" s="444"/>
      <c r="I97" s="1231"/>
    </row>
    <row r="98" spans="3:9" ht="15" customHeight="1">
      <c r="C98" s="443"/>
      <c r="D98" s="444"/>
      <c r="E98" s="444"/>
      <c r="F98" s="444"/>
      <c r="G98" s="444"/>
      <c r="H98" s="444"/>
      <c r="I98" s="1231"/>
    </row>
    <row r="99" spans="3:9" ht="15" customHeight="1">
      <c r="C99" s="443"/>
      <c r="D99" s="444"/>
      <c r="E99" s="444"/>
      <c r="F99" s="444"/>
      <c r="G99" s="444"/>
      <c r="H99" s="444"/>
      <c r="I99" s="1231"/>
    </row>
    <row r="100" spans="3:9" ht="15" customHeight="1">
      <c r="C100" s="443"/>
      <c r="D100" s="444"/>
      <c r="E100" s="444"/>
      <c r="F100" s="444"/>
      <c r="G100" s="444"/>
      <c r="H100" s="444"/>
      <c r="I100" s="1231"/>
    </row>
    <row r="101" spans="3:9" ht="15" customHeight="1">
      <c r="C101" s="443"/>
      <c r="D101" s="444"/>
      <c r="E101" s="444"/>
      <c r="F101" s="444"/>
      <c r="G101" s="444"/>
      <c r="H101" s="444"/>
      <c r="I101" s="1231"/>
    </row>
    <row r="102" spans="3:9" ht="15" customHeight="1">
      <c r="C102" s="443"/>
      <c r="D102" s="444"/>
      <c r="E102" s="444"/>
      <c r="F102" s="444"/>
      <c r="G102" s="444"/>
      <c r="H102" s="444"/>
      <c r="I102" s="1231"/>
    </row>
    <row r="103" spans="3:9" ht="15" customHeight="1">
      <c r="C103" s="443"/>
      <c r="D103" s="444"/>
      <c r="E103" s="444"/>
      <c r="F103" s="444"/>
      <c r="G103" s="444"/>
      <c r="H103" s="444"/>
      <c r="I103" s="1231"/>
    </row>
    <row r="104" spans="3:9" ht="15" customHeight="1">
      <c r="C104" s="443"/>
      <c r="D104" s="444"/>
      <c r="E104" s="444"/>
      <c r="F104" s="444"/>
      <c r="G104" s="444"/>
      <c r="H104" s="444"/>
      <c r="I104" s="1231"/>
    </row>
    <row r="105" spans="3:9" ht="15" customHeight="1">
      <c r="C105" s="443"/>
      <c r="D105" s="444"/>
      <c r="E105" s="444"/>
      <c r="F105" s="444"/>
      <c r="G105" s="444"/>
      <c r="H105" s="444"/>
      <c r="I105" s="1231"/>
    </row>
    <row r="106" spans="3:9" ht="15" customHeight="1">
      <c r="C106" s="443"/>
      <c r="D106" s="444"/>
      <c r="E106" s="444"/>
      <c r="F106" s="444"/>
      <c r="G106" s="444"/>
      <c r="H106" s="444"/>
      <c r="I106" s="1231"/>
    </row>
    <row r="107" spans="3:9" ht="15" customHeight="1">
      <c r="C107" s="443"/>
      <c r="D107" s="444"/>
      <c r="E107" s="444"/>
      <c r="F107" s="444"/>
      <c r="G107" s="444"/>
      <c r="H107" s="444"/>
      <c r="I107" s="1231"/>
    </row>
    <row r="108" spans="3:9" ht="15" customHeight="1">
      <c r="C108" s="443"/>
      <c r="D108" s="444"/>
      <c r="E108" s="444"/>
      <c r="F108" s="444"/>
      <c r="G108" s="444"/>
      <c r="H108" s="444"/>
      <c r="I108" s="1231"/>
    </row>
    <row r="109" spans="3:9" ht="15" customHeight="1">
      <c r="C109" s="443"/>
      <c r="D109" s="444"/>
      <c r="E109" s="444"/>
      <c r="F109" s="444"/>
      <c r="G109" s="444"/>
      <c r="H109" s="444"/>
      <c r="I109" s="1231"/>
    </row>
    <row r="110" spans="3:9" ht="15" customHeight="1">
      <c r="C110" s="443"/>
      <c r="D110" s="444"/>
      <c r="E110" s="444"/>
      <c r="F110" s="444"/>
      <c r="G110" s="444"/>
      <c r="H110" s="444"/>
      <c r="I110" s="1231"/>
    </row>
    <row r="111" spans="3:9" ht="15" customHeight="1">
      <c r="C111" s="443"/>
      <c r="D111" s="444"/>
      <c r="E111" s="444"/>
      <c r="F111" s="444"/>
      <c r="G111" s="444"/>
      <c r="H111" s="444"/>
      <c r="I111" s="1231"/>
    </row>
    <row r="112" spans="3:9" ht="15" customHeight="1">
      <c r="C112" s="443"/>
      <c r="D112" s="444"/>
      <c r="E112" s="444"/>
      <c r="F112" s="444"/>
      <c r="G112" s="444"/>
      <c r="H112" s="444"/>
      <c r="I112" s="1231"/>
    </row>
    <row r="113" spans="3:9" ht="15" customHeight="1">
      <c r="C113" s="443"/>
      <c r="D113" s="444"/>
      <c r="E113" s="444"/>
      <c r="F113" s="444"/>
      <c r="G113" s="444"/>
      <c r="H113" s="444"/>
      <c r="I113" s="1231"/>
    </row>
    <row r="114" spans="3:9" ht="15" customHeight="1">
      <c r="C114" s="443"/>
      <c r="D114" s="444"/>
      <c r="E114" s="444"/>
      <c r="F114" s="444"/>
      <c r="G114" s="444"/>
      <c r="H114" s="444"/>
      <c r="I114" s="1231"/>
    </row>
    <row r="115" spans="3:9" ht="15" customHeight="1">
      <c r="C115" s="443"/>
      <c r="D115" s="444"/>
      <c r="E115" s="444"/>
      <c r="F115" s="444"/>
      <c r="G115" s="444"/>
      <c r="H115" s="444"/>
      <c r="I115" s="1231"/>
    </row>
    <row r="116" spans="3:9" ht="15" customHeight="1">
      <c r="C116" s="443"/>
      <c r="D116" s="444"/>
      <c r="E116" s="444"/>
      <c r="F116" s="444"/>
      <c r="G116" s="444"/>
      <c r="H116" s="444"/>
      <c r="I116" s="1231"/>
    </row>
    <row r="117" spans="3:9" ht="15" customHeight="1">
      <c r="C117" s="443"/>
      <c r="D117" s="444"/>
      <c r="E117" s="444"/>
      <c r="F117" s="444"/>
      <c r="G117" s="444"/>
      <c r="H117" s="444"/>
      <c r="I117" s="1231"/>
    </row>
    <row r="118" spans="3:9" ht="15" customHeight="1">
      <c r="C118" s="443"/>
      <c r="D118" s="444"/>
      <c r="E118" s="444"/>
      <c r="F118" s="444"/>
      <c r="G118" s="444"/>
      <c r="H118" s="444"/>
      <c r="I118" s="1231"/>
    </row>
    <row r="119" spans="3:9" ht="15" customHeight="1">
      <c r="C119" s="443"/>
      <c r="D119" s="444"/>
      <c r="E119" s="444"/>
      <c r="F119" s="444"/>
      <c r="G119" s="444"/>
      <c r="H119" s="444"/>
      <c r="I119" s="1231"/>
    </row>
    <row r="120" spans="3:9" ht="15" customHeight="1">
      <c r="C120" s="443"/>
      <c r="D120" s="444"/>
      <c r="E120" s="444"/>
      <c r="F120" s="444"/>
      <c r="G120" s="444"/>
      <c r="H120" s="444"/>
      <c r="I120" s="1231"/>
    </row>
    <row r="121" spans="3:9" ht="15" customHeight="1">
      <c r="C121" s="443"/>
      <c r="D121" s="444"/>
      <c r="E121" s="444"/>
      <c r="F121" s="444"/>
      <c r="G121" s="444"/>
      <c r="H121" s="444"/>
      <c r="I121" s="1231"/>
    </row>
    <row r="122" spans="3:9" ht="15" customHeight="1">
      <c r="C122" s="443"/>
      <c r="D122" s="444"/>
      <c r="E122" s="444"/>
      <c r="F122" s="444"/>
      <c r="G122" s="444"/>
      <c r="H122" s="444"/>
      <c r="I122" s="1231"/>
    </row>
    <row r="123" spans="3:9" ht="15" customHeight="1">
      <c r="C123" s="443"/>
      <c r="D123" s="444"/>
      <c r="E123" s="444"/>
      <c r="F123" s="444"/>
      <c r="G123" s="444"/>
      <c r="H123" s="444"/>
      <c r="I123" s="1231"/>
    </row>
    <row r="124" spans="3:9" ht="15" customHeight="1">
      <c r="C124" s="443"/>
      <c r="D124" s="444"/>
      <c r="E124" s="444"/>
      <c r="F124" s="444"/>
      <c r="G124" s="444"/>
      <c r="H124" s="444"/>
      <c r="I124" s="1231"/>
    </row>
    <row r="125" spans="3:9" ht="15" customHeight="1">
      <c r="C125" s="443"/>
      <c r="D125" s="444"/>
      <c r="E125" s="444"/>
      <c r="F125" s="444"/>
      <c r="G125" s="444"/>
      <c r="H125" s="444"/>
      <c r="I125" s="1231"/>
    </row>
    <row r="126" spans="3:9" ht="15" customHeight="1">
      <c r="C126" s="443"/>
      <c r="D126" s="444"/>
      <c r="E126" s="444"/>
      <c r="F126" s="444"/>
      <c r="G126" s="444"/>
      <c r="H126" s="444"/>
      <c r="I126" s="1231"/>
    </row>
    <row r="127" spans="3:9" ht="15" customHeight="1">
      <c r="C127" s="443"/>
      <c r="D127" s="444"/>
      <c r="E127" s="444"/>
      <c r="F127" s="444"/>
      <c r="G127" s="444"/>
      <c r="H127" s="444"/>
      <c r="I127" s="1231"/>
    </row>
    <row r="128" spans="3:9" ht="15" customHeight="1">
      <c r="C128" s="443"/>
      <c r="D128" s="444"/>
      <c r="E128" s="444"/>
      <c r="F128" s="444"/>
      <c r="G128" s="444"/>
      <c r="H128" s="444"/>
      <c r="I128" s="1231"/>
    </row>
    <row r="129" spans="3:9" ht="15" customHeight="1">
      <c r="C129" s="443"/>
      <c r="D129" s="444"/>
      <c r="E129" s="444"/>
      <c r="F129" s="444"/>
      <c r="G129" s="444"/>
      <c r="H129" s="444"/>
      <c r="I129" s="1231"/>
    </row>
    <row r="130" spans="3:9" ht="15" customHeight="1">
      <c r="C130" s="1232"/>
      <c r="D130" s="1233"/>
      <c r="E130" s="1233"/>
      <c r="F130" s="1233"/>
      <c r="G130" s="1233"/>
      <c r="H130" s="1233"/>
      <c r="I130" s="1234"/>
    </row>
    <row r="131" spans="3:9" ht="15" customHeight="1"/>
    <row r="132" spans="3:9" ht="15" customHeight="1"/>
    <row r="133" spans="3:9" ht="15" customHeight="1"/>
    <row r="134" spans="3:9" ht="15" customHeight="1"/>
    <row r="135" spans="3:9" ht="15" customHeight="1"/>
  </sheetData>
  <mergeCells count="9">
    <mergeCell ref="C16:I16"/>
    <mergeCell ref="C18:I18"/>
    <mergeCell ref="C21:I21"/>
    <mergeCell ref="C23:I23"/>
    <mergeCell ref="C5:D5"/>
    <mergeCell ref="E5:F5"/>
    <mergeCell ref="C7:D7"/>
    <mergeCell ref="E7:F7"/>
    <mergeCell ref="C15:I15"/>
  </mergeCells>
  <dataValidations count="1">
    <dataValidation allowBlank="1" showInputMessage="1" showErrorMessage="1" prompt="Saldo - Dotación ejercicio_x000a_" sqref="I15" xr:uid="{49F062B7-268B-46EA-B9EE-7CAA5AFCEC15}"/>
  </dataValidations>
  <pageMargins left="0.23622047244094491" right="0.23622047244094491" top="0.74803149606299213" bottom="0.74803149606299213" header="0.31496062992125984" footer="0.31496062992125984"/>
  <pageSetup paperSize="9" scale="75"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A1BCB-E6C4-4AFC-82F5-6B8F0C76739E}">
  <sheetPr codeName="Hoja58"/>
  <dimension ref="A1:J197"/>
  <sheetViews>
    <sheetView showGridLines="0" zoomScaleNormal="100" workbookViewId="0">
      <selection activeCell="I14" sqref="I14"/>
    </sheetView>
  </sheetViews>
  <sheetFormatPr baseColWidth="10" defaultColWidth="0" defaultRowHeight="15" customHeight="1" zeroHeight="1"/>
  <cols>
    <col min="1" max="2" width="2" customWidth="1"/>
    <col min="3" max="3" width="16" customWidth="1"/>
    <col min="4" max="4" width="19" customWidth="1"/>
    <col min="5" max="5" width="16" customWidth="1"/>
    <col min="6" max="6" width="18" customWidth="1"/>
    <col min="7" max="7" width="16" customWidth="1"/>
    <col min="8" max="8" width="13" customWidth="1"/>
    <col min="9" max="9" width="26" customWidth="1"/>
    <col min="10" max="10" width="4" customWidth="1"/>
    <col min="11" max="16384" width="13" hidden="1"/>
  </cols>
  <sheetData>
    <row r="1" spans="3:9" ht="15" customHeight="1"/>
    <row r="2" spans="3:9" ht="9" customHeight="1"/>
    <row r="3" spans="3:9" ht="5.25" customHeight="1">
      <c r="C3" s="1230"/>
      <c r="D3" s="1230"/>
    </row>
    <row r="4" spans="3:9" ht="5.25" customHeight="1"/>
    <row r="5" spans="3:9" ht="21">
      <c r="C5" s="2252" t="str">
        <f>+MENU!C5</f>
        <v>Sociedad:</v>
      </c>
      <c r="D5" s="2342"/>
      <c r="E5" s="2285" t="str">
        <f>+MENU!E5</f>
        <v>MARIO PILATO BLAT, S.A.</v>
      </c>
      <c r="F5" s="2286"/>
    </row>
    <row r="6" spans="3:9" ht="12.75" customHeight="1">
      <c r="C6" s="218"/>
      <c r="D6" s="218"/>
      <c r="E6" s="218"/>
      <c r="F6" s="218"/>
    </row>
    <row r="7" spans="3:9" ht="21">
      <c r="C7" s="2252" t="str">
        <f>+instrucciones!$C$7</f>
        <v>Fecha de cierre</v>
      </c>
      <c r="D7" s="2298"/>
      <c r="E7" s="2299">
        <f>+MENU!D7</f>
        <v>45657</v>
      </c>
      <c r="F7" s="2300"/>
      <c r="I7" s="2014" t="s">
        <v>1668</v>
      </c>
    </row>
    <row r="8" spans="3:9" ht="15" customHeight="1">
      <c r="C8" s="2"/>
      <c r="D8" s="2"/>
      <c r="F8" s="3"/>
      <c r="G8" s="3"/>
      <c r="H8" s="3"/>
      <c r="I8" s="2014" t="s">
        <v>1670</v>
      </c>
    </row>
    <row r="9" spans="3:9" ht="15" customHeight="1">
      <c r="F9" s="2604" t="s">
        <v>1867</v>
      </c>
      <c r="G9" s="2605"/>
      <c r="H9" s="2606"/>
      <c r="I9" s="2014" t="s">
        <v>1868</v>
      </c>
    </row>
    <row r="10" spans="3:9" ht="5.25" customHeight="1">
      <c r="F10" s="219"/>
    </row>
    <row r="11" spans="3:9" ht="5.25" customHeight="1"/>
    <row r="12" spans="3:9" ht="6" customHeight="1"/>
    <row r="13" spans="3:9" ht="22.5" customHeight="1">
      <c r="C13" s="2607" t="s">
        <v>2036</v>
      </c>
      <c r="D13" s="2608"/>
      <c r="E13" s="2608"/>
      <c r="F13" s="2608"/>
      <c r="H13" s="2013" t="s">
        <v>1866</v>
      </c>
      <c r="I13" s="2015" t="s">
        <v>1668</v>
      </c>
    </row>
    <row r="14" spans="3:9" ht="6" customHeight="1"/>
    <row r="15" spans="3:9" s="33" customFormat="1" ht="21" customHeight="1">
      <c r="C15" s="2601" t="s">
        <v>1784</v>
      </c>
      <c r="D15" s="2602"/>
      <c r="E15" s="2602"/>
      <c r="F15" s="2602"/>
      <c r="G15" s="2602"/>
      <c r="H15" s="2602"/>
      <c r="I15" s="2603"/>
    </row>
    <row r="16" spans="3:9" ht="15" customHeight="1">
      <c r="C16" s="1979"/>
      <c r="D16" s="1980"/>
      <c r="E16" s="1980"/>
      <c r="F16" s="1980"/>
      <c r="G16" s="1980"/>
      <c r="H16" s="1980"/>
      <c r="I16" s="1981"/>
    </row>
    <row r="17" spans="3:9" ht="15" customHeight="1">
      <c r="C17" s="2208" t="s">
        <v>2037</v>
      </c>
      <c r="D17" s="2205"/>
      <c r="E17" s="2205"/>
      <c r="F17" s="2205"/>
      <c r="G17" s="2205"/>
      <c r="H17" s="2205"/>
      <c r="I17" s="2206"/>
    </row>
    <row r="18" spans="3:9" ht="15" customHeight="1">
      <c r="C18" s="2207"/>
      <c r="D18" s="444"/>
      <c r="E18" s="444"/>
      <c r="F18" s="444"/>
      <c r="G18" s="444"/>
      <c r="H18" s="444"/>
      <c r="I18" s="1231"/>
    </row>
    <row r="19" spans="3:9" ht="15" customHeight="1">
      <c r="C19" s="443" t="s">
        <v>1815</v>
      </c>
      <c r="D19" s="444"/>
      <c r="E19" s="444"/>
      <c r="F19" s="444"/>
      <c r="G19" s="444"/>
      <c r="H19" s="444"/>
      <c r="I19" s="1231"/>
    </row>
    <row r="20" spans="3:9" ht="15" customHeight="1">
      <c r="C20" s="443" t="s">
        <v>1814</v>
      </c>
      <c r="D20" s="444"/>
      <c r="E20" s="444"/>
      <c r="F20" s="444"/>
      <c r="G20" s="444"/>
      <c r="H20" s="444"/>
      <c r="I20" s="1231"/>
    </row>
    <row r="21" spans="3:9" ht="15" customHeight="1">
      <c r="C21" s="443" t="s">
        <v>1783</v>
      </c>
      <c r="D21" s="444"/>
      <c r="E21" s="1982"/>
      <c r="F21" s="444"/>
      <c r="G21" s="1982"/>
      <c r="H21" s="444"/>
      <c r="I21" s="1231"/>
    </row>
    <row r="22" spans="3:9" ht="15" customHeight="1">
      <c r="C22" s="443" t="s">
        <v>1817</v>
      </c>
      <c r="D22" s="444"/>
      <c r="E22" s="1982"/>
      <c r="F22" s="444"/>
      <c r="G22" s="1982"/>
      <c r="H22" s="444"/>
      <c r="I22" s="1231"/>
    </row>
    <row r="23" spans="3:9" ht="15" customHeight="1">
      <c r="C23" s="443" t="s">
        <v>1816</v>
      </c>
      <c r="D23" s="444"/>
      <c r="E23" s="1982"/>
      <c r="F23" s="444"/>
      <c r="G23" s="1982"/>
      <c r="H23" s="444"/>
      <c r="I23" s="1231"/>
    </row>
    <row r="24" spans="3:9" ht="15" customHeight="1">
      <c r="C24" s="443"/>
      <c r="D24" s="444"/>
      <c r="E24" s="444"/>
      <c r="F24" s="444"/>
      <c r="G24" s="444"/>
      <c r="H24" s="444"/>
      <c r="I24" s="1231"/>
    </row>
    <row r="25" spans="3:9" ht="15" customHeight="1">
      <c r="C25" s="2204" t="s">
        <v>2034</v>
      </c>
      <c r="D25" s="2205"/>
      <c r="E25" s="2205"/>
      <c r="F25" s="2205"/>
      <c r="G25" s="2205"/>
      <c r="H25" s="2205"/>
      <c r="I25" s="2206"/>
    </row>
    <row r="26" spans="3:9" ht="15" customHeight="1">
      <c r="C26" s="2204" t="s">
        <v>2033</v>
      </c>
      <c r="D26" s="2205"/>
      <c r="E26" s="2205"/>
      <c r="F26" s="2205"/>
      <c r="G26" s="2205"/>
      <c r="H26" s="2205"/>
      <c r="I26" s="2206"/>
    </row>
    <row r="27" spans="3:9" ht="15" customHeight="1">
      <c r="C27" s="1983"/>
      <c r="D27" s="444"/>
      <c r="E27" s="444"/>
      <c r="F27" s="444"/>
      <c r="G27" s="444"/>
      <c r="H27" s="444"/>
      <c r="I27" s="1231"/>
    </row>
    <row r="28" spans="3:9" ht="15" customHeight="1">
      <c r="C28" s="443" t="s">
        <v>1798</v>
      </c>
      <c r="D28" s="444"/>
      <c r="E28" s="444"/>
      <c r="F28" s="444"/>
      <c r="G28" s="444"/>
      <c r="H28" s="444"/>
      <c r="I28" s="1231"/>
    </row>
    <row r="29" spans="3:9" ht="15" customHeight="1">
      <c r="C29" s="443" t="s">
        <v>1793</v>
      </c>
      <c r="D29" s="444"/>
      <c r="E29" s="444"/>
      <c r="F29" s="444"/>
      <c r="G29" s="444"/>
      <c r="H29" s="444"/>
      <c r="I29" s="1231"/>
    </row>
    <row r="30" spans="3:9" ht="15" customHeight="1">
      <c r="C30" s="443"/>
      <c r="D30" s="444"/>
      <c r="E30" s="444"/>
      <c r="F30" s="444"/>
      <c r="G30" s="444"/>
      <c r="H30" s="444"/>
      <c r="I30" s="1231"/>
    </row>
    <row r="31" spans="3:9" ht="15" customHeight="1">
      <c r="C31" s="1984" t="s">
        <v>1812</v>
      </c>
      <c r="D31" s="444"/>
      <c r="E31" s="444"/>
      <c r="F31" s="444"/>
      <c r="G31" s="444"/>
      <c r="H31" s="444"/>
      <c r="I31" s="1231"/>
    </row>
    <row r="32" spans="3:9" ht="15" customHeight="1">
      <c r="C32" s="443"/>
      <c r="D32" s="444"/>
      <c r="E32" s="444"/>
      <c r="F32" s="444"/>
      <c r="G32" s="444"/>
      <c r="H32" s="444"/>
      <c r="I32" s="1231"/>
    </row>
    <row r="33" spans="3:9" ht="15" customHeight="1">
      <c r="C33" s="1984" t="s">
        <v>1786</v>
      </c>
      <c r="D33" s="444"/>
      <c r="E33" s="444"/>
      <c r="F33" s="444"/>
      <c r="G33" s="444"/>
      <c r="H33" s="444"/>
      <c r="I33" s="1231"/>
    </row>
    <row r="34" spans="3:9" ht="15" customHeight="1">
      <c r="C34" s="443" t="s">
        <v>1794</v>
      </c>
      <c r="D34" s="444"/>
      <c r="E34" s="444"/>
      <c r="F34" s="444"/>
      <c r="G34" s="444"/>
      <c r="H34" s="444"/>
      <c r="I34" s="1231"/>
    </row>
    <row r="35" spans="3:9" ht="15" customHeight="1">
      <c r="C35" s="443" t="s">
        <v>1818</v>
      </c>
      <c r="D35" s="444"/>
      <c r="E35" s="444"/>
      <c r="F35" s="444"/>
      <c r="G35" s="444"/>
      <c r="H35" s="444"/>
      <c r="I35" s="1231"/>
    </row>
    <row r="36" spans="3:9" ht="15" customHeight="1">
      <c r="C36" s="443" t="s">
        <v>1796</v>
      </c>
      <c r="D36" s="444"/>
      <c r="E36" s="444"/>
      <c r="F36" s="444"/>
      <c r="G36" s="444"/>
      <c r="H36" s="444"/>
      <c r="I36" s="1231"/>
    </row>
    <row r="37" spans="3:9" ht="15" customHeight="1">
      <c r="C37" s="443" t="s">
        <v>1797</v>
      </c>
      <c r="D37" s="444"/>
      <c r="E37" s="444"/>
      <c r="F37" s="444"/>
      <c r="G37" s="444"/>
      <c r="H37" s="444"/>
      <c r="I37" s="1231"/>
    </row>
    <row r="38" spans="3:9" ht="15" customHeight="1">
      <c r="C38" s="443"/>
      <c r="D38" s="444"/>
      <c r="E38" s="444"/>
      <c r="F38" s="444"/>
      <c r="G38" s="444"/>
      <c r="H38" s="444"/>
      <c r="I38" s="1231"/>
    </row>
    <row r="39" spans="3:9" ht="15" customHeight="1">
      <c r="C39" s="1984" t="s">
        <v>1787</v>
      </c>
      <c r="D39" s="444"/>
      <c r="E39" s="444"/>
      <c r="F39" s="444"/>
      <c r="G39" s="444"/>
      <c r="H39" s="444"/>
      <c r="I39" s="1231"/>
    </row>
    <row r="40" spans="3:9" ht="15" customHeight="1">
      <c r="C40" s="443" t="s">
        <v>1872</v>
      </c>
      <c r="D40" s="444"/>
      <c r="E40" s="444"/>
      <c r="F40" s="444"/>
      <c r="G40" s="444"/>
      <c r="H40" s="444"/>
      <c r="I40" s="1231"/>
    </row>
    <row r="41" spans="3:9" ht="15" customHeight="1">
      <c r="C41" s="443" t="s">
        <v>1878</v>
      </c>
      <c r="D41" s="444"/>
      <c r="E41" s="444"/>
      <c r="F41" s="444"/>
      <c r="G41" s="444"/>
      <c r="H41" s="444"/>
      <c r="I41" s="1231"/>
    </row>
    <row r="42" spans="3:9" ht="15" customHeight="1">
      <c r="C42" s="443" t="s">
        <v>1879</v>
      </c>
      <c r="D42" s="444"/>
      <c r="E42" s="444"/>
      <c r="F42" s="444"/>
      <c r="G42" s="444"/>
      <c r="H42" s="444"/>
      <c r="I42" s="1231"/>
    </row>
    <row r="43" spans="3:9" ht="15" customHeight="1">
      <c r="C43" s="443" t="s">
        <v>1873</v>
      </c>
      <c r="D43" s="444"/>
      <c r="E43" s="444"/>
      <c r="F43" s="444"/>
      <c r="G43" s="444"/>
      <c r="H43" s="444"/>
      <c r="I43" s="1231"/>
    </row>
    <row r="44" spans="3:9" ht="15" customHeight="1">
      <c r="C44" s="443" t="s">
        <v>1877</v>
      </c>
      <c r="D44" s="444"/>
      <c r="E44" s="444"/>
      <c r="F44" s="444"/>
      <c r="G44" s="444"/>
      <c r="H44" s="444"/>
      <c r="I44" s="1231"/>
    </row>
    <row r="45" spans="3:9" ht="15" customHeight="1">
      <c r="C45" s="443" t="s">
        <v>1874</v>
      </c>
      <c r="D45" s="444"/>
      <c r="E45" s="444"/>
      <c r="F45" s="444"/>
      <c r="G45" s="444"/>
      <c r="H45" s="444"/>
      <c r="I45" s="1231"/>
    </row>
    <row r="46" spans="3:9" ht="15" customHeight="1">
      <c r="C46" s="443" t="s">
        <v>1875</v>
      </c>
      <c r="D46" s="444"/>
      <c r="E46" s="444"/>
      <c r="F46" s="444"/>
      <c r="G46" s="444"/>
      <c r="H46" s="444"/>
      <c r="I46" s="1231"/>
    </row>
    <row r="47" spans="3:9" ht="15" customHeight="1">
      <c r="C47" s="443" t="s">
        <v>1876</v>
      </c>
      <c r="D47" s="444"/>
      <c r="E47" s="444"/>
      <c r="F47" s="444"/>
      <c r="G47" s="444"/>
      <c r="H47" s="444"/>
      <c r="I47" s="1231"/>
    </row>
    <row r="48" spans="3:9" ht="15" customHeight="1">
      <c r="C48" s="443" t="s">
        <v>1819</v>
      </c>
      <c r="D48" s="444"/>
      <c r="E48" s="444"/>
      <c r="F48" s="444"/>
      <c r="G48" s="444"/>
      <c r="H48" s="444"/>
      <c r="I48" s="1231"/>
    </row>
    <row r="49" spans="3:9" ht="15" customHeight="1">
      <c r="C49" s="443" t="s">
        <v>1799</v>
      </c>
      <c r="D49" s="444"/>
      <c r="E49" s="444"/>
      <c r="F49" s="444"/>
      <c r="G49" s="444"/>
      <c r="H49" s="444"/>
      <c r="I49" s="1231"/>
    </row>
    <row r="50" spans="3:9" ht="15" customHeight="1">
      <c r="C50" s="443"/>
      <c r="D50" s="444"/>
      <c r="E50" s="444"/>
      <c r="F50" s="444"/>
      <c r="G50" s="444"/>
      <c r="H50" s="444"/>
      <c r="I50" s="1231"/>
    </row>
    <row r="51" spans="3:9" ht="15" customHeight="1">
      <c r="C51" s="1984" t="s">
        <v>1788</v>
      </c>
      <c r="D51" s="444"/>
      <c r="E51" s="444"/>
      <c r="F51" s="444"/>
      <c r="G51" s="444"/>
      <c r="H51" s="444"/>
      <c r="I51" s="1231"/>
    </row>
    <row r="52" spans="3:9" ht="15" customHeight="1">
      <c r="C52" s="443" t="s">
        <v>1820</v>
      </c>
      <c r="D52" s="444"/>
      <c r="E52" s="444"/>
      <c r="F52" s="444"/>
      <c r="G52" s="444"/>
      <c r="H52" s="444"/>
      <c r="I52" s="1231"/>
    </row>
    <row r="53" spans="3:9" ht="15" customHeight="1">
      <c r="C53" s="443" t="s">
        <v>1821</v>
      </c>
      <c r="D53" s="444"/>
      <c r="E53" s="444"/>
      <c r="F53" s="444"/>
      <c r="G53" s="444"/>
      <c r="H53" s="444"/>
      <c r="I53" s="1231"/>
    </row>
    <row r="54" spans="3:9" ht="15" customHeight="1">
      <c r="C54" s="443" t="s">
        <v>1822</v>
      </c>
      <c r="D54" s="444"/>
      <c r="E54" s="444"/>
      <c r="F54" s="444"/>
      <c r="G54" s="444"/>
      <c r="H54" s="444"/>
      <c r="I54" s="1231"/>
    </row>
    <row r="55" spans="3:9" ht="15" customHeight="1">
      <c r="C55" s="443" t="s">
        <v>1823</v>
      </c>
      <c r="D55" s="444"/>
      <c r="E55" s="444"/>
      <c r="F55" s="444"/>
      <c r="G55" s="444"/>
      <c r="H55" s="444"/>
      <c r="I55" s="1231"/>
    </row>
    <row r="56" spans="3:9" ht="15" customHeight="1">
      <c r="C56" s="443"/>
      <c r="D56" s="444"/>
      <c r="E56" s="444"/>
      <c r="F56" s="444"/>
      <c r="G56" s="444"/>
      <c r="H56" s="444"/>
      <c r="I56" s="1231"/>
    </row>
    <row r="57" spans="3:9" ht="14.25" customHeight="1">
      <c r="C57" s="1984" t="s">
        <v>1824</v>
      </c>
      <c r="D57" s="444"/>
      <c r="E57" s="444"/>
      <c r="F57" s="444"/>
      <c r="G57" s="444"/>
      <c r="H57" s="444"/>
      <c r="I57" s="1231"/>
    </row>
    <row r="58" spans="3:9" ht="15" customHeight="1">
      <c r="C58" s="443" t="s">
        <v>1827</v>
      </c>
      <c r="D58" s="444"/>
      <c r="E58" s="444"/>
      <c r="F58" s="444"/>
      <c r="G58" s="444"/>
      <c r="H58" s="444"/>
      <c r="I58" s="1231"/>
    </row>
    <row r="59" spans="3:9" ht="15" customHeight="1">
      <c r="C59" s="443" t="s">
        <v>1825</v>
      </c>
      <c r="D59" s="444"/>
      <c r="E59" s="444"/>
      <c r="F59" s="444"/>
      <c r="G59" s="444"/>
      <c r="H59" s="444"/>
      <c r="I59" s="1231"/>
    </row>
    <row r="60" spans="3:9" ht="15" customHeight="1">
      <c r="C60" s="443" t="s">
        <v>1828</v>
      </c>
      <c r="D60" s="444"/>
      <c r="E60" s="444"/>
      <c r="F60" s="444"/>
      <c r="G60" s="444"/>
      <c r="H60" s="444"/>
      <c r="I60" s="1231"/>
    </row>
    <row r="61" spans="3:9" ht="15" customHeight="1">
      <c r="C61" s="443" t="s">
        <v>1826</v>
      </c>
      <c r="D61" s="444"/>
      <c r="E61" s="444"/>
      <c r="F61" s="444"/>
      <c r="G61" s="444"/>
      <c r="H61" s="444"/>
      <c r="I61" s="1231"/>
    </row>
    <row r="62" spans="3:9" ht="15" customHeight="1">
      <c r="C62" s="443"/>
      <c r="D62" s="444"/>
      <c r="E62" s="444"/>
      <c r="F62" s="444"/>
      <c r="G62" s="444"/>
      <c r="H62" s="444"/>
      <c r="I62" s="1231"/>
    </row>
    <row r="63" spans="3:9" ht="15" customHeight="1">
      <c r="C63" s="443" t="s">
        <v>1871</v>
      </c>
      <c r="D63" s="444"/>
      <c r="E63" s="444"/>
      <c r="F63" s="444"/>
      <c r="G63" s="444"/>
      <c r="H63" s="444"/>
      <c r="I63" s="1231"/>
    </row>
    <row r="64" spans="3:9" ht="15" customHeight="1">
      <c r="C64" s="443" t="s">
        <v>1813</v>
      </c>
      <c r="D64" s="444"/>
      <c r="E64" s="444"/>
      <c r="F64" s="444"/>
      <c r="G64" s="444"/>
      <c r="H64" s="444"/>
      <c r="I64" s="1231"/>
    </row>
    <row r="65" spans="3:9" ht="15" customHeight="1">
      <c r="C65" s="443" t="s">
        <v>1829</v>
      </c>
      <c r="D65" s="444"/>
      <c r="E65" s="444"/>
      <c r="F65" s="444"/>
      <c r="G65" s="444"/>
      <c r="H65" s="444"/>
      <c r="I65" s="1231"/>
    </row>
    <row r="66" spans="3:9" ht="15" customHeight="1">
      <c r="C66" s="443" t="s">
        <v>1831</v>
      </c>
      <c r="D66" s="444"/>
      <c r="E66" s="444"/>
      <c r="F66" s="444"/>
      <c r="G66" s="444"/>
      <c r="H66" s="444"/>
      <c r="I66" s="1231"/>
    </row>
    <row r="67" spans="3:9" ht="15" customHeight="1">
      <c r="C67" s="443"/>
      <c r="D67" s="444"/>
      <c r="E67" s="444"/>
      <c r="F67" s="444"/>
      <c r="G67" s="444"/>
      <c r="H67" s="444"/>
      <c r="I67" s="1231"/>
    </row>
    <row r="68" spans="3:9" ht="15" customHeight="1">
      <c r="C68" s="443" t="s">
        <v>1870</v>
      </c>
      <c r="D68" s="444"/>
      <c r="E68" s="444"/>
      <c r="F68" s="444"/>
      <c r="G68" s="444"/>
      <c r="H68" s="444"/>
      <c r="I68" s="1231"/>
    </row>
    <row r="69" spans="3:9" ht="15" customHeight="1">
      <c r="C69" s="443" t="s">
        <v>1869</v>
      </c>
      <c r="D69" s="444"/>
      <c r="E69" s="444"/>
      <c r="F69" s="444"/>
      <c r="G69" s="444"/>
      <c r="H69" s="444"/>
      <c r="I69" s="1231"/>
    </row>
    <row r="70" spans="3:9" ht="15" customHeight="1">
      <c r="C70" s="443"/>
      <c r="D70" s="444"/>
      <c r="E70" s="444"/>
      <c r="F70" s="444"/>
      <c r="G70" s="444"/>
      <c r="H70" s="444"/>
      <c r="I70" s="1231"/>
    </row>
    <row r="71" spans="3:9" ht="18" customHeight="1">
      <c r="C71" s="2601" t="s">
        <v>1789</v>
      </c>
      <c r="D71" s="2602"/>
      <c r="E71" s="2602"/>
      <c r="F71" s="2602"/>
      <c r="G71" s="2602"/>
      <c r="H71" s="2602"/>
      <c r="I71" s="2603"/>
    </row>
    <row r="72" spans="3:9" ht="15" customHeight="1">
      <c r="C72" s="443"/>
      <c r="D72" s="444"/>
      <c r="E72" s="444"/>
      <c r="F72" s="444"/>
      <c r="G72" s="444"/>
      <c r="H72" s="444"/>
      <c r="I72" s="1231"/>
    </row>
    <row r="73" spans="3:9" ht="15" customHeight="1">
      <c r="C73" s="1983" t="s">
        <v>1790</v>
      </c>
      <c r="D73" s="444"/>
      <c r="E73" s="444"/>
      <c r="F73" s="444"/>
      <c r="G73" s="444"/>
      <c r="H73" s="444"/>
      <c r="I73" s="1231"/>
    </row>
    <row r="74" spans="3:9" ht="15" customHeight="1">
      <c r="C74" s="2204" t="s">
        <v>2035</v>
      </c>
      <c r="D74" s="2205"/>
      <c r="E74" s="2205"/>
      <c r="F74" s="2205"/>
      <c r="G74" s="2205"/>
      <c r="H74" s="2205"/>
      <c r="I74" s="2206"/>
    </row>
    <row r="75" spans="3:9" ht="15" customHeight="1">
      <c r="C75" s="1983"/>
      <c r="D75" s="444"/>
      <c r="E75" s="444"/>
      <c r="F75" s="444"/>
      <c r="G75" s="444"/>
      <c r="H75" s="444"/>
      <c r="I75" s="1231"/>
    </row>
    <row r="76" spans="3:9" ht="15" customHeight="1">
      <c r="C76" s="443" t="s">
        <v>1830</v>
      </c>
      <c r="D76" s="444"/>
      <c r="E76" s="444"/>
      <c r="F76" s="444"/>
      <c r="G76" s="444"/>
      <c r="H76" s="444"/>
      <c r="I76" s="1231"/>
    </row>
    <row r="77" spans="3:9" ht="15" customHeight="1">
      <c r="C77" s="443"/>
      <c r="D77" s="444"/>
      <c r="E77" s="444"/>
      <c r="F77" s="444"/>
      <c r="G77" s="444"/>
      <c r="H77" s="444"/>
      <c r="I77" s="1231"/>
    </row>
    <row r="78" spans="3:9" ht="15" customHeight="1">
      <c r="C78" s="443" t="s">
        <v>1832</v>
      </c>
      <c r="D78" s="444"/>
      <c r="E78" s="444"/>
      <c r="F78" s="444"/>
      <c r="G78" s="444"/>
      <c r="H78" s="444"/>
      <c r="I78" s="1231"/>
    </row>
    <row r="79" spans="3:9" ht="15" customHeight="1">
      <c r="C79" s="443" t="s">
        <v>1809</v>
      </c>
      <c r="D79" s="444"/>
      <c r="E79" s="444"/>
      <c r="F79" s="444"/>
      <c r="G79" s="444"/>
      <c r="H79" s="444"/>
      <c r="I79" s="1231"/>
    </row>
    <row r="80" spans="3:9" ht="15" customHeight="1">
      <c r="C80" s="443" t="s">
        <v>1800</v>
      </c>
      <c r="D80" s="444"/>
      <c r="E80" s="444"/>
      <c r="F80" s="444"/>
      <c r="G80" s="444"/>
      <c r="H80" s="444"/>
      <c r="I80" s="1231"/>
    </row>
    <row r="81" spans="3:9" ht="15" customHeight="1">
      <c r="C81" s="443"/>
      <c r="D81" s="444"/>
      <c r="E81" s="444"/>
      <c r="F81" s="444"/>
      <c r="G81" s="444"/>
      <c r="H81" s="444"/>
      <c r="I81" s="1231"/>
    </row>
    <row r="82" spans="3:9" ht="15" customHeight="1">
      <c r="C82" s="443" t="s">
        <v>1795</v>
      </c>
      <c r="D82" s="444"/>
      <c r="E82" s="444"/>
      <c r="F82" s="444"/>
      <c r="G82" s="444"/>
      <c r="H82" s="444"/>
      <c r="I82" s="1231"/>
    </row>
    <row r="83" spans="3:9" ht="15" customHeight="1">
      <c r="C83" s="443"/>
      <c r="D83" s="444"/>
      <c r="E83" s="444"/>
      <c r="F83" s="444"/>
      <c r="G83" s="444"/>
      <c r="H83" s="444"/>
      <c r="I83" s="1231"/>
    </row>
    <row r="84" spans="3:9" ht="15" customHeight="1">
      <c r="C84" s="1983" t="s">
        <v>1785</v>
      </c>
      <c r="D84" s="444"/>
      <c r="E84" s="444"/>
      <c r="F84" s="444"/>
      <c r="G84" s="444"/>
      <c r="H84" s="444"/>
      <c r="I84" s="1231"/>
    </row>
    <row r="85" spans="3:9" ht="15" customHeight="1">
      <c r="C85" s="1983"/>
      <c r="D85" s="444"/>
      <c r="E85" s="444"/>
      <c r="F85" s="444"/>
      <c r="G85" s="444"/>
      <c r="H85" s="444"/>
      <c r="I85" s="1231"/>
    </row>
    <row r="86" spans="3:9" ht="15" customHeight="1">
      <c r="C86" s="1983" t="s">
        <v>1791</v>
      </c>
      <c r="D86" s="444"/>
      <c r="E86" s="444"/>
      <c r="F86" s="444"/>
      <c r="G86" s="444"/>
      <c r="H86" s="444"/>
      <c r="I86" s="1231"/>
    </row>
    <row r="87" spans="3:9" ht="15" customHeight="1">
      <c r="C87" s="1983"/>
      <c r="D87" s="444"/>
      <c r="E87" s="444"/>
      <c r="F87" s="444"/>
      <c r="G87" s="444"/>
      <c r="H87" s="444"/>
      <c r="I87" s="1231"/>
    </row>
    <row r="88" spans="3:9" ht="15" customHeight="1">
      <c r="C88" s="443" t="s">
        <v>1792</v>
      </c>
      <c r="D88" s="444"/>
      <c r="E88" s="444"/>
      <c r="F88" s="444"/>
      <c r="G88" s="444"/>
      <c r="H88" s="444"/>
      <c r="I88" s="1231"/>
    </row>
    <row r="89" spans="3:9" ht="15" customHeight="1">
      <c r="C89" s="443" t="s">
        <v>1810</v>
      </c>
      <c r="D89" s="444"/>
      <c r="E89" s="444"/>
      <c r="F89" s="444"/>
      <c r="G89" s="444"/>
      <c r="H89" s="444"/>
      <c r="I89" s="1231"/>
    </row>
    <row r="90" spans="3:9" ht="15" customHeight="1">
      <c r="C90" s="443"/>
      <c r="D90" s="444"/>
      <c r="E90" s="444"/>
      <c r="F90" s="444"/>
      <c r="G90" s="444"/>
      <c r="H90" s="444"/>
      <c r="I90" s="1231"/>
    </row>
    <row r="91" spans="3:9" ht="15" customHeight="1">
      <c r="C91" s="1985" t="s">
        <v>1801</v>
      </c>
      <c r="D91" s="444"/>
      <c r="E91" s="444"/>
      <c r="F91" s="444"/>
      <c r="G91" s="444"/>
      <c r="H91" s="444"/>
      <c r="I91" s="1231"/>
    </row>
    <row r="92" spans="3:9" ht="15" customHeight="1">
      <c r="C92" s="1985" t="s">
        <v>1802</v>
      </c>
      <c r="D92" s="444"/>
      <c r="E92" s="444"/>
      <c r="F92" s="444"/>
      <c r="G92" s="444"/>
      <c r="H92" s="444"/>
      <c r="I92" s="1231"/>
    </row>
    <row r="93" spans="3:9" ht="15" customHeight="1">
      <c r="C93" s="443"/>
      <c r="D93" s="444"/>
      <c r="E93" s="444"/>
      <c r="F93" s="444"/>
      <c r="G93" s="444"/>
      <c r="H93" s="444"/>
      <c r="I93" s="1231"/>
    </row>
    <row r="94" spans="3:9" ht="15" customHeight="1">
      <c r="C94" s="1984" t="s">
        <v>1804</v>
      </c>
      <c r="D94" s="444"/>
      <c r="E94" s="444"/>
      <c r="F94" s="444"/>
      <c r="G94" s="444"/>
      <c r="H94" s="444"/>
      <c r="I94" s="1231"/>
    </row>
    <row r="95" spans="3:9" ht="15" customHeight="1">
      <c r="C95" s="1984"/>
      <c r="D95" s="444"/>
      <c r="E95" s="444"/>
      <c r="F95" s="444"/>
      <c r="G95" s="444"/>
      <c r="H95" s="444"/>
      <c r="I95" s="1231"/>
    </row>
    <row r="96" spans="3:9" ht="15" customHeight="1">
      <c r="C96" s="1983" t="s">
        <v>1803</v>
      </c>
      <c r="D96" s="444"/>
      <c r="E96" s="444"/>
      <c r="F96" s="444"/>
      <c r="G96" s="444"/>
      <c r="H96" s="444"/>
      <c r="I96" s="1231"/>
    </row>
    <row r="97" spans="3:9" ht="15" customHeight="1">
      <c r="C97" s="443" t="s">
        <v>1805</v>
      </c>
      <c r="D97" s="444"/>
      <c r="E97" s="444"/>
      <c r="F97" s="444"/>
      <c r="G97" s="444"/>
      <c r="H97" s="444"/>
      <c r="I97" s="1231"/>
    </row>
    <row r="98" spans="3:9" ht="15" customHeight="1">
      <c r="C98" s="443" t="s">
        <v>1806</v>
      </c>
      <c r="D98" s="444"/>
      <c r="E98" s="444"/>
      <c r="F98" s="444"/>
      <c r="G98" s="444"/>
      <c r="H98" s="444"/>
      <c r="I98" s="1231"/>
    </row>
    <row r="99" spans="3:9" ht="15" customHeight="1">
      <c r="C99" s="443" t="s">
        <v>1833</v>
      </c>
      <c r="D99" s="444"/>
      <c r="E99" s="444"/>
      <c r="F99" s="444"/>
      <c r="G99" s="444"/>
      <c r="H99" s="444"/>
      <c r="I99" s="1231"/>
    </row>
    <row r="100" spans="3:9" ht="15" customHeight="1">
      <c r="C100" s="443" t="s">
        <v>1807</v>
      </c>
      <c r="D100" s="444"/>
      <c r="E100" s="444"/>
      <c r="F100" s="444"/>
      <c r="G100" s="444"/>
      <c r="H100" s="444"/>
      <c r="I100" s="1231"/>
    </row>
    <row r="101" spans="3:9" ht="15" customHeight="1">
      <c r="C101" s="443"/>
      <c r="D101" s="444"/>
      <c r="E101" s="444"/>
      <c r="F101" s="444"/>
      <c r="G101" s="444"/>
      <c r="H101" s="444"/>
      <c r="I101" s="1231"/>
    </row>
    <row r="102" spans="3:9" ht="15" customHeight="1">
      <c r="C102" s="1983" t="s">
        <v>1808</v>
      </c>
      <c r="D102" s="444"/>
      <c r="E102" s="444"/>
      <c r="F102" s="444"/>
      <c r="G102" s="444"/>
      <c r="H102" s="444"/>
      <c r="I102" s="1231"/>
    </row>
    <row r="103" spans="3:9" ht="15" customHeight="1">
      <c r="C103" s="443" t="s">
        <v>1834</v>
      </c>
      <c r="D103" s="444"/>
      <c r="E103" s="444"/>
      <c r="F103" s="444"/>
      <c r="G103" s="444"/>
      <c r="H103" s="444"/>
      <c r="I103" s="1231"/>
    </row>
    <row r="104" spans="3:9" ht="15" customHeight="1">
      <c r="C104" s="443"/>
      <c r="D104" s="444"/>
      <c r="E104" s="444"/>
      <c r="F104" s="444"/>
      <c r="G104" s="444"/>
      <c r="H104" s="444"/>
      <c r="I104" s="1231"/>
    </row>
    <row r="105" spans="3:9" ht="15" customHeight="1">
      <c r="C105" s="1983" t="s">
        <v>1835</v>
      </c>
      <c r="D105" s="444"/>
      <c r="E105" s="444"/>
      <c r="F105" s="444"/>
      <c r="G105" s="444"/>
      <c r="H105" s="444"/>
      <c r="I105" s="1231"/>
    </row>
    <row r="106" spans="3:9" ht="15" customHeight="1">
      <c r="C106" s="1983" t="s">
        <v>1836</v>
      </c>
      <c r="D106" s="444"/>
      <c r="E106" s="444"/>
      <c r="F106" s="444"/>
      <c r="G106" s="444"/>
      <c r="H106" s="444"/>
      <c r="I106" s="1231"/>
    </row>
    <row r="107" spans="3:9" ht="15" customHeight="1">
      <c r="C107" s="1983" t="s">
        <v>1811</v>
      </c>
      <c r="D107" s="444"/>
      <c r="E107" s="444"/>
      <c r="F107" s="444"/>
      <c r="G107" s="444"/>
      <c r="H107" s="444"/>
      <c r="I107" s="1231"/>
    </row>
    <row r="108" spans="3:9" ht="15" customHeight="1">
      <c r="C108" s="1983" t="s">
        <v>1837</v>
      </c>
      <c r="D108" s="444"/>
      <c r="E108" s="444"/>
      <c r="F108" s="444"/>
      <c r="G108" s="444"/>
      <c r="H108" s="444"/>
      <c r="I108" s="1231"/>
    </row>
    <row r="109" spans="3:9" ht="15" customHeight="1">
      <c r="C109" s="443"/>
      <c r="D109" s="444"/>
      <c r="E109" s="444"/>
      <c r="F109" s="444"/>
      <c r="G109" s="444"/>
      <c r="H109" s="444"/>
      <c r="I109" s="1231"/>
    </row>
    <row r="110" spans="3:9" ht="15" customHeight="1">
      <c r="C110" s="443"/>
      <c r="D110" s="444"/>
      <c r="E110" s="444"/>
      <c r="F110" s="444"/>
      <c r="G110" s="444"/>
      <c r="H110" s="444"/>
      <c r="I110" s="1231"/>
    </row>
    <row r="111" spans="3:9" ht="15" customHeight="1">
      <c r="C111" s="443"/>
      <c r="D111" s="444"/>
      <c r="E111" s="444"/>
      <c r="F111" s="444"/>
      <c r="G111" s="444"/>
      <c r="H111" s="444"/>
      <c r="I111" s="1231"/>
    </row>
    <row r="112" spans="3:9" ht="15" customHeight="1">
      <c r="C112" s="443"/>
      <c r="D112" s="444"/>
      <c r="E112" s="444"/>
      <c r="F112" s="444"/>
      <c r="G112" s="444"/>
      <c r="H112" s="444"/>
      <c r="I112" s="1231"/>
    </row>
    <row r="113" spans="3:9" ht="15" customHeight="1">
      <c r="C113" s="443"/>
      <c r="D113" s="444"/>
      <c r="E113" s="444"/>
      <c r="F113" s="444"/>
      <c r="G113" s="444"/>
      <c r="H113" s="444"/>
      <c r="I113" s="1231"/>
    </row>
    <row r="114" spans="3:9" ht="15" customHeight="1">
      <c r="C114" s="443"/>
      <c r="D114" s="444"/>
      <c r="E114" s="444"/>
      <c r="F114" s="444"/>
      <c r="G114" s="444"/>
      <c r="H114" s="444"/>
      <c r="I114" s="1231"/>
    </row>
    <row r="115" spans="3:9" ht="15" customHeight="1">
      <c r="C115" s="443"/>
      <c r="D115" s="444"/>
      <c r="E115" s="444"/>
      <c r="F115" s="444"/>
      <c r="G115" s="444"/>
      <c r="H115" s="444"/>
      <c r="I115" s="1231"/>
    </row>
    <row r="116" spans="3:9" ht="15" customHeight="1">
      <c r="C116" s="443"/>
      <c r="D116" s="444"/>
      <c r="E116" s="444"/>
      <c r="F116" s="444"/>
      <c r="G116" s="444"/>
      <c r="H116" s="444"/>
      <c r="I116" s="1231"/>
    </row>
    <row r="117" spans="3:9" ht="15" customHeight="1">
      <c r="C117" s="443"/>
      <c r="D117" s="444"/>
      <c r="E117" s="444"/>
      <c r="F117" s="444"/>
      <c r="G117" s="444"/>
      <c r="H117" s="444"/>
      <c r="I117" s="1231"/>
    </row>
    <row r="118" spans="3:9" ht="15" customHeight="1">
      <c r="C118" s="443"/>
      <c r="D118" s="444"/>
      <c r="E118" s="444"/>
      <c r="F118" s="444"/>
      <c r="G118" s="444"/>
      <c r="H118" s="444"/>
      <c r="I118" s="1231"/>
    </row>
    <row r="119" spans="3:9" ht="15" customHeight="1">
      <c r="C119" s="443"/>
      <c r="D119" s="444"/>
      <c r="E119" s="444"/>
      <c r="F119" s="444"/>
      <c r="G119" s="444"/>
      <c r="H119" s="444"/>
      <c r="I119" s="1231"/>
    </row>
    <row r="120" spans="3:9" ht="15" customHeight="1">
      <c r="C120" s="443"/>
      <c r="D120" s="444"/>
      <c r="E120" s="444"/>
      <c r="F120" s="444"/>
      <c r="G120" s="444"/>
      <c r="H120" s="444"/>
      <c r="I120" s="1231"/>
    </row>
    <row r="121" spans="3:9" ht="15" customHeight="1">
      <c r="C121" s="443"/>
      <c r="D121" s="444"/>
      <c r="E121" s="444"/>
      <c r="F121" s="444"/>
      <c r="G121" s="444"/>
      <c r="H121" s="444"/>
      <c r="I121" s="1231"/>
    </row>
    <row r="122" spans="3:9" ht="15" customHeight="1">
      <c r="C122" s="443"/>
      <c r="D122" s="444"/>
      <c r="E122" s="444"/>
      <c r="F122" s="444"/>
      <c r="G122" s="444"/>
      <c r="H122" s="444"/>
      <c r="I122" s="1231"/>
    </row>
    <row r="123" spans="3:9" ht="15" customHeight="1">
      <c r="C123" s="443"/>
      <c r="D123" s="444"/>
      <c r="E123" s="444"/>
      <c r="F123" s="444"/>
      <c r="G123" s="444"/>
      <c r="H123" s="444"/>
      <c r="I123" s="1231"/>
    </row>
    <row r="124" spans="3:9" ht="15" customHeight="1">
      <c r="C124" s="443"/>
      <c r="D124" s="444"/>
      <c r="E124" s="444"/>
      <c r="F124" s="444"/>
      <c r="G124" s="444"/>
      <c r="H124" s="444"/>
      <c r="I124" s="1231"/>
    </row>
    <row r="125" spans="3:9" ht="15" customHeight="1">
      <c r="C125" s="443"/>
      <c r="D125" s="444"/>
      <c r="E125" s="444"/>
      <c r="F125" s="444"/>
      <c r="G125" s="444"/>
      <c r="H125" s="444"/>
      <c r="I125" s="1231"/>
    </row>
    <row r="126" spans="3:9" ht="15" customHeight="1">
      <c r="C126" s="443"/>
      <c r="D126" s="444"/>
      <c r="E126" s="444"/>
      <c r="F126" s="444"/>
      <c r="G126" s="444"/>
      <c r="H126" s="444"/>
      <c r="I126" s="1231"/>
    </row>
    <row r="127" spans="3:9" ht="15" customHeight="1">
      <c r="C127" s="443"/>
      <c r="D127" s="444"/>
      <c r="E127" s="444"/>
      <c r="F127" s="444"/>
      <c r="G127" s="444"/>
      <c r="H127" s="444"/>
      <c r="I127" s="1231"/>
    </row>
    <row r="128" spans="3:9" ht="15" customHeight="1">
      <c r="C128" s="443"/>
      <c r="D128" s="444"/>
      <c r="E128" s="444"/>
      <c r="F128" s="444"/>
      <c r="G128" s="444"/>
      <c r="H128" s="444"/>
      <c r="I128" s="1231"/>
    </row>
    <row r="129" spans="3:9" ht="15" customHeight="1">
      <c r="C129" s="443"/>
      <c r="D129" s="444"/>
      <c r="E129" s="444"/>
      <c r="F129" s="444"/>
      <c r="G129" s="444"/>
      <c r="H129" s="444"/>
      <c r="I129" s="1231"/>
    </row>
    <row r="130" spans="3:9" ht="15" customHeight="1">
      <c r="C130" s="443"/>
      <c r="D130" s="444"/>
      <c r="E130" s="444"/>
      <c r="F130" s="444"/>
      <c r="G130" s="444"/>
      <c r="H130" s="444"/>
      <c r="I130" s="1231"/>
    </row>
    <row r="131" spans="3:9" ht="15" customHeight="1">
      <c r="C131" s="443"/>
      <c r="D131" s="444"/>
      <c r="E131" s="444"/>
      <c r="F131" s="444"/>
      <c r="G131" s="444"/>
      <c r="H131" s="444"/>
      <c r="I131" s="1231"/>
    </row>
    <row r="132" spans="3:9" ht="15" customHeight="1">
      <c r="C132" s="443"/>
      <c r="D132" s="444"/>
      <c r="E132" s="444"/>
      <c r="F132" s="444"/>
      <c r="G132" s="444"/>
      <c r="H132" s="444"/>
      <c r="I132" s="1231"/>
    </row>
    <row r="133" spans="3:9" ht="15" customHeight="1">
      <c r="C133" s="443"/>
      <c r="D133" s="444"/>
      <c r="E133" s="444"/>
      <c r="F133" s="444"/>
      <c r="G133" s="444"/>
      <c r="H133" s="444"/>
      <c r="I133" s="1231"/>
    </row>
    <row r="134" spans="3:9" ht="15" customHeight="1">
      <c r="C134" s="443"/>
      <c r="D134" s="444"/>
      <c r="E134" s="444"/>
      <c r="F134" s="444"/>
      <c r="G134" s="444"/>
      <c r="H134" s="444"/>
      <c r="I134" s="1231"/>
    </row>
    <row r="135" spans="3:9" ht="15" customHeight="1">
      <c r="C135" s="443"/>
      <c r="D135" s="444"/>
      <c r="E135" s="444"/>
      <c r="F135" s="444"/>
      <c r="G135" s="444"/>
      <c r="H135" s="444"/>
      <c r="I135" s="1231"/>
    </row>
    <row r="136" spans="3:9" ht="15" customHeight="1">
      <c r="C136" s="443"/>
      <c r="D136" s="444"/>
      <c r="E136" s="444"/>
      <c r="F136" s="444"/>
      <c r="G136" s="444"/>
      <c r="H136" s="444"/>
      <c r="I136" s="1231"/>
    </row>
    <row r="137" spans="3:9" ht="15" customHeight="1">
      <c r="C137" s="443"/>
      <c r="D137" s="444"/>
      <c r="E137" s="444"/>
      <c r="F137" s="444"/>
      <c r="G137" s="444"/>
      <c r="H137" s="444"/>
      <c r="I137" s="1231"/>
    </row>
    <row r="138" spans="3:9" ht="15" customHeight="1">
      <c r="C138" s="443"/>
      <c r="D138" s="444"/>
      <c r="E138" s="444"/>
      <c r="F138" s="444"/>
      <c r="G138" s="444"/>
      <c r="H138" s="444"/>
      <c r="I138" s="1231"/>
    </row>
    <row r="139" spans="3:9" ht="15" customHeight="1">
      <c r="C139" s="443"/>
      <c r="D139" s="444"/>
      <c r="E139" s="444"/>
      <c r="F139" s="444"/>
      <c r="G139" s="444"/>
      <c r="H139" s="444"/>
      <c r="I139" s="1231"/>
    </row>
    <row r="140" spans="3:9" ht="15" customHeight="1">
      <c r="C140" s="443"/>
      <c r="D140" s="444"/>
      <c r="E140" s="444"/>
      <c r="F140" s="444"/>
      <c r="G140" s="444"/>
      <c r="H140" s="444"/>
      <c r="I140" s="1231"/>
    </row>
    <row r="141" spans="3:9" ht="15" customHeight="1">
      <c r="C141" s="443"/>
      <c r="D141" s="444"/>
      <c r="E141" s="444"/>
      <c r="F141" s="444"/>
      <c r="G141" s="444"/>
      <c r="H141" s="444"/>
      <c r="I141" s="1231"/>
    </row>
    <row r="142" spans="3:9" ht="15" customHeight="1">
      <c r="C142" s="443"/>
      <c r="D142" s="444"/>
      <c r="E142" s="444"/>
      <c r="F142" s="444"/>
      <c r="G142" s="444"/>
      <c r="H142" s="444"/>
      <c r="I142" s="1231"/>
    </row>
    <row r="143" spans="3:9" ht="15" customHeight="1">
      <c r="C143" s="443"/>
      <c r="D143" s="444"/>
      <c r="E143" s="444"/>
      <c r="F143" s="444"/>
      <c r="G143" s="444"/>
      <c r="H143" s="444"/>
      <c r="I143" s="1231"/>
    </row>
    <row r="144" spans="3:9" ht="15" customHeight="1">
      <c r="C144" s="443"/>
      <c r="D144" s="444"/>
      <c r="E144" s="444"/>
      <c r="F144" s="444"/>
      <c r="G144" s="444"/>
      <c r="H144" s="444"/>
      <c r="I144" s="1231"/>
    </row>
    <row r="145" spans="3:9" ht="15" customHeight="1">
      <c r="C145" s="443"/>
      <c r="D145" s="444"/>
      <c r="E145" s="444"/>
      <c r="F145" s="444"/>
      <c r="G145" s="444"/>
      <c r="H145" s="444"/>
      <c r="I145" s="1231"/>
    </row>
    <row r="146" spans="3:9" ht="15" customHeight="1">
      <c r="C146" s="443"/>
      <c r="D146" s="444"/>
      <c r="E146" s="444"/>
      <c r="F146" s="444"/>
      <c r="G146" s="444"/>
      <c r="H146" s="444"/>
      <c r="I146" s="1231"/>
    </row>
    <row r="147" spans="3:9" ht="15" customHeight="1">
      <c r="C147" s="443"/>
      <c r="D147" s="444"/>
      <c r="E147" s="444"/>
      <c r="F147" s="444"/>
      <c r="G147" s="444"/>
      <c r="H147" s="444"/>
      <c r="I147" s="1231"/>
    </row>
    <row r="148" spans="3:9" ht="15" customHeight="1">
      <c r="C148" s="443"/>
      <c r="D148" s="444"/>
      <c r="E148" s="444"/>
      <c r="F148" s="444"/>
      <c r="G148" s="444"/>
      <c r="H148" s="444"/>
      <c r="I148" s="1231"/>
    </row>
    <row r="149" spans="3:9" ht="15" customHeight="1">
      <c r="C149" s="443"/>
      <c r="D149" s="444"/>
      <c r="E149" s="444"/>
      <c r="F149" s="444"/>
      <c r="G149" s="444"/>
      <c r="H149" s="444"/>
      <c r="I149" s="1231"/>
    </row>
    <row r="150" spans="3:9" ht="15" customHeight="1">
      <c r="C150" s="443"/>
      <c r="D150" s="444"/>
      <c r="E150" s="444"/>
      <c r="F150" s="444"/>
      <c r="G150" s="444"/>
      <c r="H150" s="444"/>
      <c r="I150" s="1231"/>
    </row>
    <row r="151" spans="3:9" ht="15" customHeight="1">
      <c r="C151" s="443"/>
      <c r="D151" s="444"/>
      <c r="E151" s="444"/>
      <c r="F151" s="444"/>
      <c r="G151" s="444"/>
      <c r="H151" s="444"/>
      <c r="I151" s="1231"/>
    </row>
    <row r="152" spans="3:9" ht="15" customHeight="1">
      <c r="C152" s="443"/>
      <c r="D152" s="444"/>
      <c r="E152" s="444"/>
      <c r="F152" s="444"/>
      <c r="G152" s="444"/>
      <c r="H152" s="444"/>
      <c r="I152" s="1231"/>
    </row>
    <row r="153" spans="3:9" ht="15" customHeight="1">
      <c r="C153" s="443"/>
      <c r="D153" s="444"/>
      <c r="E153" s="444"/>
      <c r="F153" s="444"/>
      <c r="G153" s="444"/>
      <c r="H153" s="444"/>
      <c r="I153" s="1231"/>
    </row>
    <row r="154" spans="3:9" ht="15" customHeight="1">
      <c r="C154" s="443"/>
      <c r="D154" s="444"/>
      <c r="E154" s="444"/>
      <c r="F154" s="444"/>
      <c r="G154" s="444"/>
      <c r="H154" s="444"/>
      <c r="I154" s="1231"/>
    </row>
    <row r="155" spans="3:9" ht="15" customHeight="1">
      <c r="C155" s="443"/>
      <c r="D155" s="444"/>
      <c r="E155" s="444"/>
      <c r="F155" s="444"/>
      <c r="G155" s="444"/>
      <c r="H155" s="444"/>
      <c r="I155" s="1231"/>
    </row>
    <row r="156" spans="3:9" ht="15" customHeight="1">
      <c r="C156" s="443"/>
      <c r="D156" s="444"/>
      <c r="E156" s="444"/>
      <c r="F156" s="444"/>
      <c r="G156" s="444"/>
      <c r="H156" s="444"/>
      <c r="I156" s="1231"/>
    </row>
    <row r="157" spans="3:9" ht="15" customHeight="1">
      <c r="C157" s="443"/>
      <c r="D157" s="444"/>
      <c r="E157" s="444"/>
      <c r="F157" s="444"/>
      <c r="G157" s="444"/>
      <c r="H157" s="444"/>
      <c r="I157" s="1231"/>
    </row>
    <row r="158" spans="3:9" ht="15" customHeight="1">
      <c r="C158" s="443"/>
      <c r="D158" s="444"/>
      <c r="E158" s="444"/>
      <c r="F158" s="444"/>
      <c r="G158" s="444"/>
      <c r="H158" s="444"/>
      <c r="I158" s="1231"/>
    </row>
    <row r="159" spans="3:9" ht="15" customHeight="1">
      <c r="C159" s="443"/>
      <c r="D159" s="444"/>
      <c r="E159" s="444"/>
      <c r="F159" s="444"/>
      <c r="G159" s="444"/>
      <c r="H159" s="444"/>
      <c r="I159" s="1231"/>
    </row>
    <row r="160" spans="3:9" ht="15" customHeight="1">
      <c r="C160" s="443"/>
      <c r="D160" s="444"/>
      <c r="E160" s="444"/>
      <c r="F160" s="444"/>
      <c r="G160" s="444"/>
      <c r="H160" s="444"/>
      <c r="I160" s="1231"/>
    </row>
    <row r="161" spans="3:9" ht="15" customHeight="1">
      <c r="C161" s="443"/>
      <c r="D161" s="444"/>
      <c r="E161" s="444"/>
      <c r="F161" s="444"/>
      <c r="G161" s="444"/>
      <c r="H161" s="444"/>
      <c r="I161" s="1231"/>
    </row>
    <row r="162" spans="3:9" ht="15" customHeight="1">
      <c r="C162" s="443"/>
      <c r="D162" s="444"/>
      <c r="E162" s="444"/>
      <c r="F162" s="444"/>
      <c r="G162" s="444"/>
      <c r="H162" s="444"/>
      <c r="I162" s="1231"/>
    </row>
    <row r="163" spans="3:9" ht="15" customHeight="1">
      <c r="C163" s="443"/>
      <c r="D163" s="444"/>
      <c r="E163" s="444"/>
      <c r="F163" s="444"/>
      <c r="G163" s="444"/>
      <c r="H163" s="444"/>
      <c r="I163" s="1231"/>
    </row>
    <row r="164" spans="3:9" ht="15" customHeight="1">
      <c r="C164" s="443"/>
      <c r="D164" s="444"/>
      <c r="E164" s="444"/>
      <c r="F164" s="444"/>
      <c r="G164" s="444"/>
      <c r="H164" s="444"/>
      <c r="I164" s="1231"/>
    </row>
    <row r="165" spans="3:9" ht="15" customHeight="1">
      <c r="C165" s="443"/>
      <c r="D165" s="444"/>
      <c r="E165" s="444"/>
      <c r="F165" s="444"/>
      <c r="G165" s="444"/>
      <c r="H165" s="444"/>
      <c r="I165" s="1231"/>
    </row>
    <row r="166" spans="3:9" ht="15" customHeight="1">
      <c r="C166" s="443"/>
      <c r="D166" s="444"/>
      <c r="E166" s="444"/>
      <c r="F166" s="444"/>
      <c r="G166" s="444"/>
      <c r="H166" s="444"/>
      <c r="I166" s="1231"/>
    </row>
    <row r="167" spans="3:9" ht="15" customHeight="1">
      <c r="C167" s="443"/>
      <c r="D167" s="444"/>
      <c r="E167" s="444"/>
      <c r="F167" s="444"/>
      <c r="G167" s="444"/>
      <c r="H167" s="444"/>
      <c r="I167" s="1231"/>
    </row>
    <row r="168" spans="3:9" ht="15" customHeight="1">
      <c r="C168" s="443"/>
      <c r="D168" s="444"/>
      <c r="E168" s="444"/>
      <c r="F168" s="444"/>
      <c r="G168" s="444"/>
      <c r="H168" s="444"/>
      <c r="I168" s="1231"/>
    </row>
    <row r="169" spans="3:9" ht="15" customHeight="1">
      <c r="C169" s="443"/>
      <c r="D169" s="444"/>
      <c r="E169" s="444"/>
      <c r="F169" s="444"/>
      <c r="G169" s="444"/>
      <c r="H169" s="444"/>
      <c r="I169" s="1231"/>
    </row>
    <row r="170" spans="3:9" ht="15" customHeight="1">
      <c r="C170" s="443"/>
      <c r="D170" s="444"/>
      <c r="E170" s="444"/>
      <c r="F170" s="444"/>
      <c r="G170" s="444"/>
      <c r="H170" s="444"/>
      <c r="I170" s="1231"/>
    </row>
    <row r="171" spans="3:9" ht="15" customHeight="1">
      <c r="C171" s="443"/>
      <c r="D171" s="444"/>
      <c r="E171" s="444"/>
      <c r="F171" s="444"/>
      <c r="G171" s="444"/>
      <c r="H171" s="444"/>
      <c r="I171" s="1231"/>
    </row>
    <row r="172" spans="3:9" ht="15" customHeight="1">
      <c r="C172" s="443"/>
      <c r="D172" s="444"/>
      <c r="E172" s="444"/>
      <c r="F172" s="444"/>
      <c r="G172" s="444"/>
      <c r="H172" s="444"/>
      <c r="I172" s="1231"/>
    </row>
    <row r="173" spans="3:9" ht="15" customHeight="1">
      <c r="C173" s="443"/>
      <c r="D173" s="444"/>
      <c r="E173" s="444"/>
      <c r="F173" s="444"/>
      <c r="G173" s="444"/>
      <c r="H173" s="444"/>
      <c r="I173" s="1231"/>
    </row>
    <row r="174" spans="3:9" ht="15" customHeight="1">
      <c r="C174" s="443"/>
      <c r="D174" s="444"/>
      <c r="E174" s="444"/>
      <c r="F174" s="444"/>
      <c r="G174" s="444"/>
      <c r="H174" s="444"/>
      <c r="I174" s="1231"/>
    </row>
    <row r="175" spans="3:9" ht="15" customHeight="1">
      <c r="C175" s="443"/>
      <c r="D175" s="444"/>
      <c r="E175" s="444"/>
      <c r="F175" s="444"/>
      <c r="G175" s="444"/>
      <c r="H175" s="444"/>
      <c r="I175" s="1231"/>
    </row>
    <row r="176" spans="3:9" ht="15" customHeight="1">
      <c r="C176" s="443"/>
      <c r="D176" s="444"/>
      <c r="E176" s="444"/>
      <c r="F176" s="444"/>
      <c r="G176" s="444"/>
      <c r="H176" s="444"/>
      <c r="I176" s="1231"/>
    </row>
    <row r="177" spans="3:9" ht="15" customHeight="1">
      <c r="C177" s="443"/>
      <c r="D177" s="444"/>
      <c r="E177" s="444"/>
      <c r="F177" s="444"/>
      <c r="G177" s="444"/>
      <c r="H177" s="444"/>
      <c r="I177" s="1231"/>
    </row>
    <row r="178" spans="3:9" ht="15" customHeight="1">
      <c r="C178" s="443"/>
      <c r="D178" s="444"/>
      <c r="E178" s="444"/>
      <c r="F178" s="444"/>
      <c r="G178" s="444"/>
      <c r="H178" s="444"/>
      <c r="I178" s="1231"/>
    </row>
    <row r="179" spans="3:9" ht="15" customHeight="1">
      <c r="C179" s="443"/>
      <c r="D179" s="444"/>
      <c r="E179" s="444"/>
      <c r="F179" s="444"/>
      <c r="G179" s="444"/>
      <c r="H179" s="444"/>
      <c r="I179" s="1231"/>
    </row>
    <row r="180" spans="3:9" ht="15" customHeight="1">
      <c r="C180" s="1232"/>
      <c r="D180" s="1233"/>
      <c r="E180" s="1233"/>
      <c r="F180" s="1233"/>
      <c r="G180" s="1233"/>
      <c r="H180" s="1233"/>
      <c r="I180" s="1234"/>
    </row>
    <row r="181" spans="3:9" ht="15" customHeight="1"/>
    <row r="182" spans="3:9" ht="15" customHeight="1"/>
    <row r="183" spans="3:9" ht="15" customHeight="1"/>
    <row r="184" spans="3:9" ht="15" customHeight="1"/>
    <row r="185" spans="3:9" ht="15" customHeight="1"/>
    <row r="186" spans="3:9" ht="15" customHeight="1"/>
    <row r="187" spans="3:9" ht="15" customHeight="1"/>
    <row r="188" spans="3:9" ht="15" customHeight="1"/>
    <row r="189" spans="3:9" ht="15" customHeight="1"/>
    <row r="190" spans="3:9" ht="15" customHeight="1"/>
    <row r="191" spans="3:9" ht="15" customHeight="1"/>
    <row r="192" spans="3:9" ht="15" customHeight="1"/>
    <row r="193" ht="15" customHeight="1"/>
    <row r="194" ht="15" customHeight="1"/>
    <row r="195" ht="15" customHeight="1"/>
    <row r="196" ht="15" customHeight="1"/>
    <row r="197" ht="15" customHeight="1"/>
  </sheetData>
  <mergeCells count="8">
    <mergeCell ref="C71:I71"/>
    <mergeCell ref="C5:D5"/>
    <mergeCell ref="E5:F5"/>
    <mergeCell ref="C7:D7"/>
    <mergeCell ref="E7:F7"/>
    <mergeCell ref="C15:I15"/>
    <mergeCell ref="F9:H9"/>
    <mergeCell ref="C13:F13"/>
  </mergeCells>
  <dataValidations disablePrompts="1" count="1">
    <dataValidation allowBlank="1" showInputMessage="1" showErrorMessage="1" prompt="Saldo - Dotación ejercicio_x000a_" sqref="I15 I71" xr:uid="{5E3349E6-F3DB-43CE-A879-F75C8B8AFB09}"/>
  </dataValidations>
  <pageMargins left="0.7" right="0.7" top="0.75" bottom="0.75" header="0.3" footer="0.3"/>
  <pageSetup paperSize="9" scale="67" orientation="portrait" horizontalDpi="4294967295" verticalDpi="4294967295" r:id="rId1"/>
  <rowBreaks count="1" manualBreakCount="1">
    <brk id="70" max="16383" man="1"/>
  </rowBreaks>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8EA0C-6B50-476E-83B7-A1FFF87C949F}">
  <sheetPr codeName="Hoja1"/>
  <dimension ref="A1:J220"/>
  <sheetViews>
    <sheetView showGridLines="0" showRowColHeaders="0" workbookViewId="0">
      <selection activeCell="I14" sqref="I14"/>
    </sheetView>
  </sheetViews>
  <sheetFormatPr baseColWidth="10" defaultColWidth="0" defaultRowHeight="15" customHeight="1" zeroHeight="1"/>
  <cols>
    <col min="1" max="2" width="2" customWidth="1"/>
    <col min="3" max="3" width="16" customWidth="1"/>
    <col min="4" max="4" width="19" customWidth="1"/>
    <col min="5" max="5" width="16" customWidth="1"/>
    <col min="6" max="6" width="18" customWidth="1"/>
    <col min="7" max="8" width="16" customWidth="1"/>
    <col min="9" max="9" width="26" customWidth="1"/>
    <col min="10" max="10" width="4" customWidth="1"/>
    <col min="11" max="16384" width="13" hidden="1"/>
  </cols>
  <sheetData>
    <row r="1" spans="3:9" ht="15" customHeight="1"/>
    <row r="2" spans="3:9" ht="9" customHeight="1"/>
    <row r="3" spans="3:9" ht="5.25" customHeight="1">
      <c r="C3" s="1230"/>
      <c r="D3" s="1230"/>
    </row>
    <row r="4" spans="3:9" ht="5.25" customHeight="1"/>
    <row r="5" spans="3:9" ht="21">
      <c r="C5" s="2252" t="str">
        <f>+MENU!C5</f>
        <v>Sociedad:</v>
      </c>
      <c r="D5" s="2342"/>
      <c r="E5" s="2285" t="str">
        <f>+MENU!E5</f>
        <v>MARIO PILATO BLAT, S.A.</v>
      </c>
      <c r="F5" s="2286"/>
    </row>
    <row r="6" spans="3:9" ht="12.75" customHeight="1">
      <c r="C6" s="218"/>
      <c r="D6" s="218"/>
      <c r="E6" s="218"/>
      <c r="F6" s="218"/>
    </row>
    <row r="7" spans="3:9" ht="21">
      <c r="C7" s="2252" t="str">
        <f>+instrucciones!$C$7</f>
        <v>Fecha de cierre</v>
      </c>
      <c r="D7" s="2298"/>
      <c r="E7" s="2299">
        <f>+MENU!D7</f>
        <v>45657</v>
      </c>
      <c r="F7" s="2300"/>
      <c r="I7" s="2014" t="s">
        <v>1668</v>
      </c>
    </row>
    <row r="8" spans="3:9" ht="15" customHeight="1">
      <c r="C8" s="2"/>
      <c r="D8" s="2"/>
      <c r="F8" s="3"/>
      <c r="G8" s="3"/>
      <c r="H8" s="3"/>
      <c r="I8" s="2014" t="s">
        <v>1670</v>
      </c>
    </row>
    <row r="9" spans="3:9" ht="15" customHeight="1">
      <c r="F9" s="2604" t="s">
        <v>1867</v>
      </c>
      <c r="G9" s="2605"/>
      <c r="H9" s="2606"/>
      <c r="I9" s="2014" t="s">
        <v>1868</v>
      </c>
    </row>
    <row r="10" spans="3:9" ht="5.25" customHeight="1">
      <c r="F10" s="219"/>
    </row>
    <row r="11" spans="3:9" ht="5.25" customHeight="1"/>
    <row r="12" spans="3:9" ht="6" customHeight="1"/>
    <row r="13" spans="3:9" ht="22.5" customHeight="1">
      <c r="C13" s="2607" t="s">
        <v>2038</v>
      </c>
      <c r="D13" s="2608"/>
      <c r="E13" s="2608"/>
      <c r="F13" s="2608"/>
      <c r="H13" s="2013" t="s">
        <v>1866</v>
      </c>
      <c r="I13" s="2015" t="s">
        <v>1668</v>
      </c>
    </row>
    <row r="14" spans="3:9" ht="6" customHeight="1"/>
    <row r="15" spans="3:9" s="33" customFormat="1" ht="21" customHeight="1">
      <c r="C15" s="2601" t="s">
        <v>2045</v>
      </c>
      <c r="D15" s="2602"/>
      <c r="E15" s="2602"/>
      <c r="F15" s="2602"/>
      <c r="G15" s="2602"/>
      <c r="H15" s="2602"/>
      <c r="I15" s="2603"/>
    </row>
    <row r="16" spans="3:9" s="33" customFormat="1" ht="15" customHeight="1">
      <c r="C16" s="2207"/>
      <c r="D16" s="444"/>
      <c r="E16" s="444"/>
      <c r="F16" s="444"/>
      <c r="G16" s="444"/>
      <c r="H16" s="444"/>
      <c r="I16" s="1231"/>
    </row>
    <row r="17" spans="3:9" s="33" customFormat="1" ht="15" customHeight="1">
      <c r="C17" s="2207"/>
      <c r="D17" s="444"/>
      <c r="E17" s="444"/>
      <c r="F17" s="444"/>
      <c r="G17" s="444"/>
      <c r="H17" s="444"/>
      <c r="I17" s="1231"/>
    </row>
    <row r="18" spans="3:9" ht="15" customHeight="1">
      <c r="C18" s="2207"/>
      <c r="D18" s="444"/>
      <c r="E18" s="444"/>
      <c r="F18" s="444"/>
      <c r="G18" s="444"/>
      <c r="H18" s="444"/>
      <c r="I18" s="1231"/>
    </row>
    <row r="19" spans="3:9" ht="15" customHeight="1">
      <c r="C19" s="2207"/>
      <c r="D19" s="444"/>
      <c r="E19" s="444"/>
      <c r="F19" s="444"/>
      <c r="G19" s="444"/>
      <c r="H19" s="444"/>
      <c r="I19" s="1231"/>
    </row>
    <row r="20" spans="3:9" s="33" customFormat="1" ht="15" customHeight="1">
      <c r="C20" s="2207"/>
      <c r="D20" s="444"/>
      <c r="E20" s="444"/>
      <c r="F20" s="444"/>
      <c r="G20" s="444"/>
      <c r="H20" s="444"/>
      <c r="I20" s="1231"/>
    </row>
    <row r="21" spans="3:9" s="33" customFormat="1" ht="15" customHeight="1">
      <c r="C21" s="2207"/>
      <c r="D21" s="444"/>
      <c r="E21" s="444"/>
      <c r="F21" s="444"/>
      <c r="G21" s="444"/>
      <c r="H21" s="444"/>
      <c r="I21" s="1231"/>
    </row>
    <row r="22" spans="3:9" ht="15" customHeight="1">
      <c r="C22" s="2207"/>
      <c r="D22" s="444"/>
      <c r="E22" s="444"/>
      <c r="F22" s="444"/>
      <c r="G22" s="444"/>
      <c r="H22" s="444"/>
      <c r="I22" s="1231"/>
    </row>
    <row r="23" spans="3:9" ht="15" customHeight="1">
      <c r="C23" s="2207"/>
      <c r="D23" s="444"/>
      <c r="E23" s="444"/>
      <c r="F23" s="444"/>
      <c r="G23" s="444"/>
      <c r="H23" s="444"/>
      <c r="I23" s="1231"/>
    </row>
    <row r="24" spans="3:9" s="33" customFormat="1" ht="15" customHeight="1">
      <c r="C24" s="2207"/>
      <c r="D24" s="444"/>
      <c r="E24" s="444"/>
      <c r="F24" s="444"/>
      <c r="G24" s="444"/>
      <c r="H24" s="444"/>
      <c r="I24" s="1231"/>
    </row>
    <row r="25" spans="3:9" s="33" customFormat="1" ht="15" customHeight="1">
      <c r="C25" s="2214" t="s">
        <v>2039</v>
      </c>
      <c r="D25" s="444"/>
      <c r="E25" s="444"/>
      <c r="F25" s="444"/>
      <c r="G25" s="444"/>
      <c r="H25" s="444"/>
      <c r="I25" s="1231"/>
    </row>
    <row r="26" spans="3:9" ht="15" customHeight="1">
      <c r="C26" s="2207"/>
      <c r="D26" s="444"/>
      <c r="E26" s="444"/>
      <c r="F26" s="444"/>
      <c r="G26" s="444"/>
      <c r="H26" s="444"/>
      <c r="I26" s="1231"/>
    </row>
    <row r="27" spans="3:9" ht="15" customHeight="1">
      <c r="C27" s="2303" t="s">
        <v>2046</v>
      </c>
      <c r="D27" s="2304"/>
      <c r="E27" s="2305"/>
      <c r="F27" s="2000" t="s">
        <v>2041</v>
      </c>
      <c r="G27" s="2001" t="s">
        <v>1636</v>
      </c>
      <c r="H27" s="2617" t="s">
        <v>1849</v>
      </c>
      <c r="I27" s="2618"/>
    </row>
    <row r="28" spans="3:9" s="33" customFormat="1" ht="15" customHeight="1">
      <c r="C28" s="2611" t="s">
        <v>2040</v>
      </c>
      <c r="D28" s="2612"/>
      <c r="E28" s="2613"/>
      <c r="F28" s="2003"/>
      <c r="G28" s="2213"/>
      <c r="H28" s="2609"/>
      <c r="I28" s="2610"/>
    </row>
    <row r="29" spans="3:9" s="33" customFormat="1" ht="15" customHeight="1">
      <c r="C29" s="2614" t="s">
        <v>2042</v>
      </c>
      <c r="D29" s="2615"/>
      <c r="E29" s="2616"/>
      <c r="F29" s="2006"/>
      <c r="G29" s="2006"/>
      <c r="H29" s="2609"/>
      <c r="I29" s="2610"/>
    </row>
    <row r="30" spans="3:9" ht="15" customHeight="1">
      <c r="C30" s="2614" t="s">
        <v>2043</v>
      </c>
      <c r="D30" s="2615"/>
      <c r="E30" s="2616"/>
      <c r="F30" s="2006"/>
      <c r="G30" s="2006"/>
      <c r="H30" s="2609"/>
      <c r="I30" s="2610"/>
    </row>
    <row r="31" spans="3:9" ht="15" customHeight="1">
      <c r="C31" s="2614" t="s">
        <v>2044</v>
      </c>
      <c r="D31" s="2615"/>
      <c r="E31" s="2616"/>
      <c r="F31" s="2006"/>
      <c r="G31" s="2006"/>
      <c r="H31" s="2609"/>
      <c r="I31" s="2610"/>
    </row>
    <row r="32" spans="3:9" s="33" customFormat="1" ht="15" customHeight="1">
      <c r="C32" s="2291"/>
      <c r="D32" s="2292"/>
      <c r="E32" s="2293"/>
      <c r="F32" s="2006"/>
      <c r="G32" s="2006"/>
      <c r="H32" s="2609"/>
      <c r="I32" s="2610"/>
    </row>
    <row r="33" spans="3:9" s="33" customFormat="1" ht="15" customHeight="1">
      <c r="C33" s="2291"/>
      <c r="D33" s="2292"/>
      <c r="E33" s="2293"/>
      <c r="F33" s="2006"/>
      <c r="G33" s="2006"/>
      <c r="H33" s="2609"/>
      <c r="I33" s="2610"/>
    </row>
    <row r="34" spans="3:9" ht="15" customHeight="1">
      <c r="C34" s="2291"/>
      <c r="D34" s="2292"/>
      <c r="E34" s="2293"/>
      <c r="F34" s="2006"/>
      <c r="G34" s="2006"/>
      <c r="H34" s="2609"/>
      <c r="I34" s="2610"/>
    </row>
    <row r="35" spans="3:9" ht="15" customHeight="1">
      <c r="C35" s="2291"/>
      <c r="D35" s="2292"/>
      <c r="E35" s="2293"/>
      <c r="F35" s="2006"/>
      <c r="G35" s="2006"/>
      <c r="H35" s="2609"/>
      <c r="I35" s="2610"/>
    </row>
    <row r="36" spans="3:9" s="33" customFormat="1" ht="15" customHeight="1">
      <c r="C36" s="2291"/>
      <c r="D36" s="2292"/>
      <c r="E36" s="2293"/>
      <c r="F36" s="2006"/>
      <c r="G36" s="2006"/>
      <c r="H36" s="2609"/>
      <c r="I36" s="2610"/>
    </row>
    <row r="37" spans="3:9" s="33" customFormat="1" ht="15" customHeight="1">
      <c r="C37" s="2309"/>
      <c r="D37" s="2310"/>
      <c r="E37" s="2311"/>
      <c r="F37" s="2123"/>
      <c r="G37" s="2123"/>
      <c r="H37" s="2609"/>
      <c r="I37" s="2610"/>
    </row>
    <row r="38" spans="3:9" ht="15" customHeight="1">
      <c r="C38" s="2207"/>
      <c r="D38" s="444"/>
      <c r="E38" s="444"/>
      <c r="F38" s="444"/>
      <c r="G38" s="444"/>
      <c r="H38" s="444"/>
      <c r="I38" s="1231"/>
    </row>
    <row r="39" spans="3:9" ht="15" customHeight="1">
      <c r="C39" s="1983"/>
      <c r="D39" s="444"/>
      <c r="E39" s="444"/>
      <c r="F39" s="444"/>
      <c r="G39" s="444"/>
      <c r="H39" s="444"/>
      <c r="I39" s="1231"/>
    </row>
    <row r="40" spans="3:9" ht="15" customHeight="1">
      <c r="C40" s="2303" t="s">
        <v>2047</v>
      </c>
      <c r="D40" s="2304"/>
      <c r="E40" s="2305"/>
      <c r="F40" s="2000" t="s">
        <v>2041</v>
      </c>
      <c r="G40" s="2001" t="s">
        <v>1636</v>
      </c>
      <c r="H40" s="2617" t="s">
        <v>1849</v>
      </c>
      <c r="I40" s="2618"/>
    </row>
    <row r="41" spans="3:9" ht="15" customHeight="1">
      <c r="C41" s="2611" t="s">
        <v>2048</v>
      </c>
      <c r="D41" s="2612"/>
      <c r="E41" s="2613"/>
      <c r="F41" s="2003"/>
      <c r="G41" s="2213"/>
      <c r="H41" s="2609"/>
      <c r="I41" s="2610"/>
    </row>
    <row r="42" spans="3:9" ht="15" customHeight="1">
      <c r="C42" s="2614" t="s">
        <v>2049</v>
      </c>
      <c r="D42" s="2615"/>
      <c r="E42" s="2616"/>
      <c r="F42" s="2006"/>
      <c r="G42" s="2006"/>
      <c r="H42" s="2609"/>
      <c r="I42" s="2610"/>
    </row>
    <row r="43" spans="3:9" ht="15" customHeight="1">
      <c r="C43" s="2614" t="s">
        <v>2050</v>
      </c>
      <c r="D43" s="2615"/>
      <c r="E43" s="2616"/>
      <c r="F43" s="2006"/>
      <c r="G43" s="2006"/>
      <c r="H43" s="2609"/>
      <c r="I43" s="2610"/>
    </row>
    <row r="44" spans="3:9" ht="15" customHeight="1">
      <c r="C44" s="2614"/>
      <c r="D44" s="2615"/>
      <c r="E44" s="2616"/>
      <c r="F44" s="2006"/>
      <c r="G44" s="2006"/>
      <c r="H44" s="2609"/>
      <c r="I44" s="2610"/>
    </row>
    <row r="45" spans="3:9" ht="15" customHeight="1">
      <c r="C45" s="2291"/>
      <c r="D45" s="2292"/>
      <c r="E45" s="2293"/>
      <c r="F45" s="2006"/>
      <c r="G45" s="2006"/>
      <c r="H45" s="2609"/>
      <c r="I45" s="2610"/>
    </row>
    <row r="46" spans="3:9" ht="15" customHeight="1">
      <c r="C46" s="2291"/>
      <c r="D46" s="2292"/>
      <c r="E46" s="2293"/>
      <c r="F46" s="2006"/>
      <c r="G46" s="2006"/>
      <c r="H46" s="2609"/>
      <c r="I46" s="2610"/>
    </row>
    <row r="47" spans="3:9" ht="15" customHeight="1">
      <c r="C47" s="2291"/>
      <c r="D47" s="2292"/>
      <c r="E47" s="2293"/>
      <c r="F47" s="2006"/>
      <c r="G47" s="2006"/>
      <c r="H47" s="2609"/>
      <c r="I47" s="2610"/>
    </row>
    <row r="48" spans="3:9" ht="15" customHeight="1">
      <c r="C48" s="2291"/>
      <c r="D48" s="2292"/>
      <c r="E48" s="2293"/>
      <c r="F48" s="2006"/>
      <c r="G48" s="2006"/>
      <c r="H48" s="2609"/>
      <c r="I48" s="2610"/>
    </row>
    <row r="49" spans="3:9" ht="15" customHeight="1">
      <c r="C49" s="2291"/>
      <c r="D49" s="2292"/>
      <c r="E49" s="2293"/>
      <c r="F49" s="2006"/>
      <c r="G49" s="2006"/>
      <c r="H49" s="2609"/>
      <c r="I49" s="2610"/>
    </row>
    <row r="50" spans="3:9" ht="15" customHeight="1">
      <c r="C50" s="2309"/>
      <c r="D50" s="2310"/>
      <c r="E50" s="2311"/>
      <c r="F50" s="2123"/>
      <c r="G50" s="2123"/>
      <c r="H50" s="2609"/>
      <c r="I50" s="2610"/>
    </row>
    <row r="51" spans="3:9" ht="15" customHeight="1">
      <c r="C51" s="443"/>
      <c r="D51" s="444"/>
      <c r="E51" s="444"/>
      <c r="F51" s="444"/>
      <c r="G51" s="444"/>
      <c r="H51" s="444"/>
      <c r="I51" s="1231"/>
    </row>
    <row r="52" spans="3:9" ht="15" customHeight="1">
      <c r="C52" s="443"/>
      <c r="D52" s="444"/>
      <c r="E52" s="444"/>
      <c r="F52" s="444"/>
      <c r="G52" s="444"/>
      <c r="H52" s="444"/>
      <c r="I52" s="1231"/>
    </row>
    <row r="53" spans="3:9" ht="15" customHeight="1">
      <c r="C53" s="2303" t="s">
        <v>2051</v>
      </c>
      <c r="D53" s="2304"/>
      <c r="E53" s="2305"/>
      <c r="F53" s="2000" t="s">
        <v>2041</v>
      </c>
      <c r="G53" s="2001" t="s">
        <v>1636</v>
      </c>
      <c r="H53" s="2617" t="s">
        <v>1849</v>
      </c>
      <c r="I53" s="2618"/>
    </row>
    <row r="54" spans="3:9" ht="15" customHeight="1">
      <c r="C54" s="2611" t="s">
        <v>2054</v>
      </c>
      <c r="D54" s="2612"/>
      <c r="E54" s="2613"/>
      <c r="F54" s="2003"/>
      <c r="G54" s="2213"/>
      <c r="H54" s="2609"/>
      <c r="I54" s="2610"/>
    </row>
    <row r="55" spans="3:9" ht="15" customHeight="1">
      <c r="C55" s="2614" t="s">
        <v>2052</v>
      </c>
      <c r="D55" s="2615"/>
      <c r="E55" s="2616"/>
      <c r="F55" s="2006"/>
      <c r="G55" s="2006"/>
      <c r="H55" s="2609"/>
      <c r="I55" s="2610"/>
    </row>
    <row r="56" spans="3:9" ht="15" customHeight="1">
      <c r="C56" s="2614" t="s">
        <v>2053</v>
      </c>
      <c r="D56" s="2615"/>
      <c r="E56" s="2616"/>
      <c r="F56" s="2006"/>
      <c r="G56" s="2006"/>
      <c r="H56" s="2609"/>
      <c r="I56" s="2610"/>
    </row>
    <row r="57" spans="3:9" ht="15" customHeight="1">
      <c r="C57" s="2614"/>
      <c r="D57" s="2615"/>
      <c r="E57" s="2616"/>
      <c r="F57" s="2006"/>
      <c r="G57" s="2006"/>
      <c r="H57" s="2609"/>
      <c r="I57" s="2610"/>
    </row>
    <row r="58" spans="3:9" ht="15" customHeight="1">
      <c r="C58" s="2291"/>
      <c r="D58" s="2292"/>
      <c r="E58" s="2293"/>
      <c r="F58" s="2006"/>
      <c r="G58" s="2006"/>
      <c r="H58" s="2609"/>
      <c r="I58" s="2610"/>
    </row>
    <row r="59" spans="3:9" ht="15" customHeight="1">
      <c r="C59" s="2291"/>
      <c r="D59" s="2292"/>
      <c r="E59" s="2293"/>
      <c r="F59" s="2006"/>
      <c r="G59" s="2006"/>
      <c r="H59" s="2609"/>
      <c r="I59" s="2610"/>
    </row>
    <row r="60" spans="3:9" ht="15" customHeight="1">
      <c r="C60" s="2291"/>
      <c r="D60" s="2292"/>
      <c r="E60" s="2293"/>
      <c r="F60" s="2006"/>
      <c r="G60" s="2006"/>
      <c r="H60" s="2609"/>
      <c r="I60" s="2610"/>
    </row>
    <row r="61" spans="3:9" ht="15" customHeight="1">
      <c r="C61" s="2291"/>
      <c r="D61" s="2292"/>
      <c r="E61" s="2293"/>
      <c r="F61" s="2006"/>
      <c r="G61" s="2006"/>
      <c r="H61" s="2609"/>
      <c r="I61" s="2610"/>
    </row>
    <row r="62" spans="3:9" ht="15" customHeight="1">
      <c r="C62" s="2291"/>
      <c r="D62" s="2292"/>
      <c r="E62" s="2293"/>
      <c r="F62" s="2006"/>
      <c r="G62" s="2006"/>
      <c r="H62" s="2609"/>
      <c r="I62" s="2610"/>
    </row>
    <row r="63" spans="3:9" ht="15" customHeight="1">
      <c r="C63" s="2309"/>
      <c r="D63" s="2310"/>
      <c r="E63" s="2311"/>
      <c r="F63" s="2123"/>
      <c r="G63" s="2123"/>
      <c r="H63" s="2609"/>
      <c r="I63" s="2610"/>
    </row>
    <row r="64" spans="3:9" ht="15" customHeight="1">
      <c r="C64" s="1984"/>
      <c r="D64" s="444"/>
      <c r="E64" s="444"/>
      <c r="F64" s="444"/>
      <c r="G64" s="444"/>
      <c r="H64" s="444"/>
      <c r="I64" s="1231"/>
    </row>
    <row r="65" spans="3:9" ht="18" customHeight="1">
      <c r="C65" s="2601" t="s">
        <v>1789</v>
      </c>
      <c r="D65" s="2602"/>
      <c r="E65" s="2602"/>
      <c r="F65" s="2602"/>
      <c r="G65" s="2602"/>
      <c r="H65" s="2602"/>
      <c r="I65" s="2603"/>
    </row>
    <row r="66" spans="3:9" ht="15" customHeight="1">
      <c r="C66" s="443"/>
      <c r="D66" s="444"/>
      <c r="E66" s="444"/>
      <c r="F66" s="444"/>
      <c r="G66" s="444"/>
      <c r="H66" s="444"/>
      <c r="I66" s="1231"/>
    </row>
    <row r="67" spans="3:9" ht="15" customHeight="1">
      <c r="C67" s="2212"/>
      <c r="D67" s="2215"/>
      <c r="E67" s="2215"/>
      <c r="F67" s="2215"/>
      <c r="G67" s="2215"/>
      <c r="H67" s="2215"/>
      <c r="I67" s="2211"/>
    </row>
    <row r="68" spans="3:9" ht="15" customHeight="1">
      <c r="C68" s="1983"/>
      <c r="D68" s="444"/>
      <c r="E68" s="444"/>
      <c r="F68" s="444"/>
      <c r="G68" s="444"/>
      <c r="H68" s="444"/>
      <c r="I68" s="1231"/>
    </row>
    <row r="69" spans="3:9" ht="15" customHeight="1">
      <c r="C69" s="443"/>
      <c r="D69" s="444"/>
      <c r="E69" s="444"/>
      <c r="F69" s="444"/>
      <c r="G69" s="444"/>
      <c r="H69" s="444"/>
      <c r="I69" s="1231"/>
    </row>
    <row r="70" spans="3:9" ht="15" customHeight="1">
      <c r="C70" s="443"/>
      <c r="D70" s="444"/>
      <c r="E70" s="444"/>
      <c r="F70" s="444"/>
      <c r="G70" s="444"/>
      <c r="H70" s="444"/>
      <c r="I70" s="1231"/>
    </row>
    <row r="71" spans="3:9" ht="15" customHeight="1">
      <c r="C71" s="443"/>
      <c r="D71" s="444"/>
      <c r="E71" s="444"/>
      <c r="F71" s="444"/>
      <c r="G71" s="444"/>
      <c r="H71" s="444"/>
      <c r="I71" s="1231"/>
    </row>
    <row r="72" spans="3:9" ht="15" customHeight="1">
      <c r="C72" s="443"/>
      <c r="D72" s="444"/>
      <c r="E72" s="444"/>
      <c r="F72" s="444"/>
      <c r="G72" s="444"/>
      <c r="H72" s="444"/>
      <c r="I72" s="1231"/>
    </row>
    <row r="73" spans="3:9" ht="15" customHeight="1">
      <c r="C73" s="443"/>
      <c r="D73" s="444"/>
      <c r="E73" s="444"/>
      <c r="F73" s="444"/>
      <c r="G73" s="444"/>
      <c r="H73" s="444"/>
      <c r="I73" s="1231"/>
    </row>
    <row r="74" spans="3:9" ht="15" customHeight="1">
      <c r="C74" s="1983"/>
      <c r="D74" s="444"/>
      <c r="E74" s="444"/>
      <c r="F74" s="444"/>
      <c r="G74" s="444"/>
      <c r="H74" s="444"/>
      <c r="I74" s="1231"/>
    </row>
    <row r="75" spans="3:9" ht="15" customHeight="1">
      <c r="C75" s="443"/>
      <c r="D75" s="444"/>
      <c r="E75" s="444"/>
      <c r="F75" s="444"/>
      <c r="G75" s="444"/>
      <c r="H75" s="444"/>
      <c r="I75" s="1231"/>
    </row>
    <row r="76" spans="3:9" ht="15" customHeight="1">
      <c r="C76" s="443"/>
      <c r="D76" s="444"/>
      <c r="E76" s="444"/>
      <c r="F76" s="444"/>
      <c r="G76" s="444"/>
      <c r="H76" s="444"/>
      <c r="I76" s="1231"/>
    </row>
    <row r="77" spans="3:9" ht="15" customHeight="1">
      <c r="C77" s="443"/>
      <c r="D77" s="444"/>
      <c r="E77" s="444"/>
      <c r="F77" s="444"/>
      <c r="G77" s="444"/>
      <c r="H77" s="444"/>
      <c r="I77" s="1231"/>
    </row>
    <row r="78" spans="3:9" ht="15" customHeight="1">
      <c r="C78" s="443"/>
      <c r="D78" s="444"/>
      <c r="E78" s="444"/>
      <c r="F78" s="444"/>
      <c r="G78" s="444"/>
      <c r="H78" s="444"/>
      <c r="I78" s="1231"/>
    </row>
    <row r="79" spans="3:9" ht="15" customHeight="1">
      <c r="C79" s="443"/>
      <c r="D79" s="444"/>
      <c r="E79" s="444"/>
      <c r="F79" s="444"/>
      <c r="G79" s="444"/>
      <c r="H79" s="444"/>
      <c r="I79" s="1231"/>
    </row>
    <row r="80" spans="3:9" ht="15" customHeight="1">
      <c r="C80" s="443"/>
      <c r="D80" s="444"/>
      <c r="E80" s="444"/>
      <c r="F80" s="444"/>
      <c r="G80" s="444"/>
      <c r="H80" s="444"/>
      <c r="I80" s="1231"/>
    </row>
    <row r="81" spans="3:9" ht="15" customHeight="1">
      <c r="C81" s="443"/>
      <c r="D81" s="444"/>
      <c r="E81" s="444"/>
      <c r="F81" s="444"/>
      <c r="G81" s="444"/>
      <c r="H81" s="444"/>
      <c r="I81" s="1231"/>
    </row>
    <row r="82" spans="3:9" ht="15" customHeight="1">
      <c r="C82" s="443"/>
      <c r="D82" s="444"/>
      <c r="E82" s="444"/>
      <c r="F82" s="444"/>
      <c r="G82" s="444"/>
      <c r="H82" s="444"/>
      <c r="I82" s="1231"/>
    </row>
    <row r="83" spans="3:9" ht="15" customHeight="1">
      <c r="C83" s="443"/>
      <c r="D83" s="444"/>
      <c r="E83" s="444"/>
      <c r="F83" s="444"/>
      <c r="G83" s="444"/>
      <c r="H83" s="444"/>
      <c r="I83" s="1231"/>
    </row>
    <row r="84" spans="3:9" ht="15" customHeight="1">
      <c r="C84" s="443"/>
      <c r="D84" s="444"/>
      <c r="E84" s="444"/>
      <c r="F84" s="444"/>
      <c r="G84" s="444"/>
      <c r="H84" s="444"/>
      <c r="I84" s="1231"/>
    </row>
    <row r="85" spans="3:9" ht="15" customHeight="1">
      <c r="C85" s="443"/>
      <c r="D85" s="444"/>
      <c r="E85" s="444"/>
      <c r="F85" s="444"/>
      <c r="G85" s="444"/>
      <c r="H85" s="444"/>
      <c r="I85" s="1231"/>
    </row>
    <row r="86" spans="3:9" ht="15" customHeight="1">
      <c r="C86" s="443"/>
      <c r="D86" s="444"/>
      <c r="E86" s="444"/>
      <c r="F86" s="444"/>
      <c r="G86" s="444"/>
      <c r="H86" s="444"/>
      <c r="I86" s="1231"/>
    </row>
    <row r="87" spans="3:9" ht="15" customHeight="1">
      <c r="C87" s="443"/>
      <c r="D87" s="444"/>
      <c r="E87" s="444"/>
      <c r="F87" s="444"/>
      <c r="G87" s="444"/>
      <c r="H87" s="444"/>
      <c r="I87" s="1231"/>
    </row>
    <row r="88" spans="3:9" ht="15" customHeight="1">
      <c r="C88" s="443"/>
      <c r="D88" s="444"/>
      <c r="E88" s="444"/>
      <c r="F88" s="444"/>
      <c r="G88" s="444"/>
      <c r="H88" s="444"/>
      <c r="I88" s="1231"/>
    </row>
    <row r="89" spans="3:9" ht="15" customHeight="1">
      <c r="C89" s="443"/>
      <c r="D89" s="444"/>
      <c r="E89" s="444"/>
      <c r="F89" s="444"/>
      <c r="G89" s="444"/>
      <c r="H89" s="444"/>
      <c r="I89" s="1231"/>
    </row>
    <row r="90" spans="3:9" ht="15" customHeight="1">
      <c r="C90" s="443"/>
      <c r="D90" s="444"/>
      <c r="E90" s="444"/>
      <c r="F90" s="444"/>
      <c r="G90" s="444"/>
      <c r="H90" s="444"/>
      <c r="I90" s="1231"/>
    </row>
    <row r="91" spans="3:9" ht="15" customHeight="1">
      <c r="C91" s="443"/>
      <c r="D91" s="444"/>
      <c r="E91" s="444"/>
      <c r="F91" s="444"/>
      <c r="G91" s="444"/>
      <c r="H91" s="444"/>
      <c r="I91" s="1231"/>
    </row>
    <row r="92" spans="3:9" ht="15" customHeight="1">
      <c r="C92" s="443"/>
      <c r="D92" s="444"/>
      <c r="E92" s="444"/>
      <c r="F92" s="444"/>
      <c r="G92" s="444"/>
      <c r="H92" s="444"/>
      <c r="I92" s="1231"/>
    </row>
    <row r="93" spans="3:9" ht="15" customHeight="1">
      <c r="C93" s="443"/>
      <c r="D93" s="444"/>
      <c r="E93" s="444"/>
      <c r="F93" s="444"/>
      <c r="G93" s="444"/>
      <c r="H93" s="444"/>
      <c r="I93" s="1231"/>
    </row>
    <row r="94" spans="3:9" ht="15" customHeight="1">
      <c r="C94" s="443"/>
      <c r="D94" s="444"/>
      <c r="E94" s="444"/>
      <c r="F94" s="444"/>
      <c r="G94" s="444"/>
      <c r="H94" s="444"/>
      <c r="I94" s="1231"/>
    </row>
    <row r="95" spans="3:9" ht="15" customHeight="1">
      <c r="C95" s="443"/>
      <c r="D95" s="444"/>
      <c r="E95" s="444"/>
      <c r="F95" s="444"/>
      <c r="G95" s="444"/>
      <c r="H95" s="444"/>
      <c r="I95" s="1231"/>
    </row>
    <row r="96" spans="3:9" ht="15" customHeight="1">
      <c r="C96" s="443"/>
      <c r="D96" s="444"/>
      <c r="E96" s="444"/>
      <c r="F96" s="444"/>
      <c r="G96" s="444"/>
      <c r="H96" s="444"/>
      <c r="I96" s="1231"/>
    </row>
    <row r="97" spans="3:9" ht="15" customHeight="1">
      <c r="C97" s="443"/>
      <c r="D97" s="444"/>
      <c r="E97" s="444"/>
      <c r="F97" s="444"/>
      <c r="G97" s="444"/>
      <c r="H97" s="444"/>
      <c r="I97" s="1231"/>
    </row>
    <row r="98" spans="3:9" ht="15" customHeight="1">
      <c r="C98" s="443"/>
      <c r="D98" s="444"/>
      <c r="E98" s="444"/>
      <c r="F98" s="444"/>
      <c r="G98" s="444"/>
      <c r="H98" s="444"/>
      <c r="I98" s="1231"/>
    </row>
    <row r="99" spans="3:9" ht="15" customHeight="1">
      <c r="C99" s="443"/>
      <c r="D99" s="444"/>
      <c r="E99" s="444"/>
      <c r="F99" s="444"/>
      <c r="G99" s="444"/>
      <c r="H99" s="444"/>
      <c r="I99" s="1231"/>
    </row>
    <row r="100" spans="3:9" ht="15" customHeight="1">
      <c r="C100" s="443"/>
      <c r="D100" s="444"/>
      <c r="E100" s="444"/>
      <c r="F100" s="444"/>
      <c r="G100" s="444"/>
      <c r="H100" s="444"/>
      <c r="I100" s="1231"/>
    </row>
    <row r="101" spans="3:9" ht="15" customHeight="1">
      <c r="C101" s="443"/>
      <c r="D101" s="444"/>
      <c r="E101" s="444"/>
      <c r="F101" s="444"/>
      <c r="G101" s="444"/>
      <c r="H101" s="444"/>
      <c r="I101" s="1231"/>
    </row>
    <row r="102" spans="3:9" ht="15" customHeight="1">
      <c r="C102" s="443"/>
      <c r="D102" s="444"/>
      <c r="E102" s="444"/>
      <c r="F102" s="444"/>
      <c r="G102" s="444"/>
      <c r="H102" s="444"/>
      <c r="I102" s="1231"/>
    </row>
    <row r="103" spans="3:9" ht="15" customHeight="1">
      <c r="C103" s="443"/>
      <c r="D103" s="444"/>
      <c r="E103" s="444"/>
      <c r="F103" s="444"/>
      <c r="G103" s="444"/>
      <c r="H103" s="444"/>
      <c r="I103" s="1231"/>
    </row>
    <row r="104" spans="3:9" ht="15" customHeight="1">
      <c r="C104" s="443"/>
      <c r="D104" s="444"/>
      <c r="E104" s="444"/>
      <c r="F104" s="444"/>
      <c r="G104" s="444"/>
      <c r="H104" s="444"/>
      <c r="I104" s="1231"/>
    </row>
    <row r="105" spans="3:9" ht="15" customHeight="1">
      <c r="C105" s="443"/>
      <c r="D105" s="444"/>
      <c r="E105" s="444"/>
      <c r="F105" s="444"/>
      <c r="G105" s="444"/>
      <c r="H105" s="444"/>
      <c r="I105" s="1231"/>
    </row>
    <row r="106" spans="3:9" ht="15" customHeight="1">
      <c r="C106" s="443"/>
      <c r="D106" s="444"/>
      <c r="E106" s="444"/>
      <c r="F106" s="444"/>
      <c r="G106" s="444"/>
      <c r="H106" s="444"/>
      <c r="I106" s="1231"/>
    </row>
    <row r="107" spans="3:9" ht="15" customHeight="1">
      <c r="C107" s="443"/>
      <c r="D107" s="444"/>
      <c r="E107" s="444"/>
      <c r="F107" s="444"/>
      <c r="G107" s="444"/>
      <c r="H107" s="444"/>
      <c r="I107" s="1231"/>
    </row>
    <row r="108" spans="3:9" ht="15" customHeight="1">
      <c r="C108" s="443"/>
      <c r="D108" s="444"/>
      <c r="E108" s="444"/>
      <c r="F108" s="444"/>
      <c r="G108" s="444"/>
      <c r="H108" s="444"/>
      <c r="I108" s="1231"/>
    </row>
    <row r="109" spans="3:9" ht="15" customHeight="1">
      <c r="C109" s="443"/>
      <c r="D109" s="444"/>
      <c r="E109" s="444"/>
      <c r="F109" s="444"/>
      <c r="G109" s="444"/>
      <c r="H109" s="444"/>
      <c r="I109" s="1231"/>
    </row>
    <row r="110" spans="3:9" ht="15" customHeight="1">
      <c r="C110" s="443"/>
      <c r="D110" s="444"/>
      <c r="E110" s="444"/>
      <c r="F110" s="444"/>
      <c r="G110" s="444"/>
      <c r="H110" s="444"/>
      <c r="I110" s="1231"/>
    </row>
    <row r="111" spans="3:9" ht="15" customHeight="1">
      <c r="C111" s="443"/>
      <c r="D111" s="444"/>
      <c r="E111" s="444"/>
      <c r="F111" s="444"/>
      <c r="G111" s="444"/>
      <c r="H111" s="444"/>
      <c r="I111" s="1231"/>
    </row>
    <row r="112" spans="3:9" ht="15" customHeight="1">
      <c r="C112" s="443"/>
      <c r="D112" s="444"/>
      <c r="E112" s="444"/>
      <c r="F112" s="444"/>
      <c r="G112" s="444"/>
      <c r="H112" s="444"/>
      <c r="I112" s="1231"/>
    </row>
    <row r="113" spans="3:9" ht="15" customHeight="1">
      <c r="C113" s="443"/>
      <c r="D113" s="444"/>
      <c r="E113" s="444"/>
      <c r="F113" s="444"/>
      <c r="G113" s="444"/>
      <c r="H113" s="444"/>
      <c r="I113" s="1231"/>
    </row>
    <row r="114" spans="3:9" ht="15" customHeight="1">
      <c r="C114" s="443"/>
      <c r="D114" s="444"/>
      <c r="E114" s="444"/>
      <c r="F114" s="444"/>
      <c r="G114" s="444"/>
      <c r="H114" s="444"/>
      <c r="I114" s="1231"/>
    </row>
    <row r="115" spans="3:9" ht="15" customHeight="1">
      <c r="C115" s="443"/>
      <c r="D115" s="444"/>
      <c r="E115" s="444"/>
      <c r="F115" s="444"/>
      <c r="G115" s="444"/>
      <c r="H115" s="444"/>
      <c r="I115" s="1231"/>
    </row>
    <row r="116" spans="3:9" ht="15" customHeight="1">
      <c r="C116" s="443"/>
      <c r="D116" s="444"/>
      <c r="E116" s="444"/>
      <c r="F116" s="444"/>
      <c r="G116" s="444"/>
      <c r="H116" s="444"/>
      <c r="I116" s="1231"/>
    </row>
    <row r="117" spans="3:9" ht="15" customHeight="1">
      <c r="C117" s="443"/>
      <c r="D117" s="444"/>
      <c r="E117" s="444"/>
      <c r="F117" s="444"/>
      <c r="G117" s="444"/>
      <c r="H117" s="444"/>
      <c r="I117" s="1231"/>
    </row>
    <row r="118" spans="3:9" ht="15" customHeight="1">
      <c r="C118" s="443"/>
      <c r="D118" s="444"/>
      <c r="E118" s="444"/>
      <c r="F118" s="444"/>
      <c r="G118" s="444"/>
      <c r="H118" s="444"/>
      <c r="I118" s="1231"/>
    </row>
    <row r="119" spans="3:9" ht="15" customHeight="1">
      <c r="C119" s="443"/>
      <c r="D119" s="444"/>
      <c r="E119" s="444"/>
      <c r="F119" s="444"/>
      <c r="G119" s="444"/>
      <c r="H119" s="444"/>
      <c r="I119" s="1231"/>
    </row>
    <row r="120" spans="3:9" ht="15" customHeight="1">
      <c r="C120" s="443"/>
      <c r="D120" s="444"/>
      <c r="E120" s="444"/>
      <c r="F120" s="444"/>
      <c r="G120" s="444"/>
      <c r="H120" s="444"/>
      <c r="I120" s="1231"/>
    </row>
    <row r="121" spans="3:9" ht="15" customHeight="1">
      <c r="C121" s="443"/>
      <c r="D121" s="444"/>
      <c r="E121" s="444"/>
      <c r="F121" s="444"/>
      <c r="G121" s="444"/>
      <c r="H121" s="444"/>
      <c r="I121" s="1231"/>
    </row>
    <row r="122" spans="3:9" ht="15" customHeight="1">
      <c r="C122" s="443"/>
      <c r="D122" s="444"/>
      <c r="E122" s="444"/>
      <c r="F122" s="444"/>
      <c r="G122" s="444"/>
      <c r="H122" s="444"/>
      <c r="I122" s="1231"/>
    </row>
    <row r="123" spans="3:9" ht="15" customHeight="1">
      <c r="C123" s="443"/>
      <c r="D123" s="444"/>
      <c r="E123" s="444"/>
      <c r="F123" s="444"/>
      <c r="G123" s="444"/>
      <c r="H123" s="444"/>
      <c r="I123" s="1231"/>
    </row>
    <row r="124" spans="3:9" ht="15" customHeight="1">
      <c r="C124" s="443"/>
      <c r="D124" s="444"/>
      <c r="E124" s="444"/>
      <c r="F124" s="444"/>
      <c r="G124" s="444"/>
      <c r="H124" s="444"/>
      <c r="I124" s="1231"/>
    </row>
    <row r="125" spans="3:9" ht="15" customHeight="1">
      <c r="C125" s="443"/>
      <c r="D125" s="444"/>
      <c r="E125" s="444"/>
      <c r="F125" s="444"/>
      <c r="G125" s="444"/>
      <c r="H125" s="444"/>
      <c r="I125" s="1231"/>
    </row>
    <row r="126" spans="3:9" ht="15" customHeight="1">
      <c r="C126" s="443"/>
      <c r="D126" s="444"/>
      <c r="E126" s="444"/>
      <c r="F126" s="444"/>
      <c r="G126" s="444"/>
      <c r="H126" s="444"/>
      <c r="I126" s="1231"/>
    </row>
    <row r="127" spans="3:9" ht="15" customHeight="1">
      <c r="C127" s="443"/>
      <c r="D127" s="444"/>
      <c r="E127" s="444"/>
      <c r="F127" s="444"/>
      <c r="G127" s="444"/>
      <c r="H127" s="444"/>
      <c r="I127" s="1231"/>
    </row>
    <row r="128" spans="3:9" ht="15" customHeight="1">
      <c r="C128" s="443"/>
      <c r="D128" s="444"/>
      <c r="E128" s="444"/>
      <c r="F128" s="444"/>
      <c r="G128" s="444"/>
      <c r="H128" s="444"/>
      <c r="I128" s="1231"/>
    </row>
    <row r="129" spans="3:9" ht="15" customHeight="1">
      <c r="C129" s="443"/>
      <c r="D129" s="444"/>
      <c r="E129" s="444"/>
      <c r="F129" s="444"/>
      <c r="G129" s="444"/>
      <c r="H129" s="444"/>
      <c r="I129" s="1231"/>
    </row>
    <row r="130" spans="3:9" ht="15" customHeight="1">
      <c r="C130" s="443"/>
      <c r="D130" s="444"/>
      <c r="E130" s="444"/>
      <c r="F130" s="444"/>
      <c r="G130" s="444"/>
      <c r="H130" s="444"/>
      <c r="I130" s="1231"/>
    </row>
    <row r="131" spans="3:9" ht="15" customHeight="1">
      <c r="C131" s="443"/>
      <c r="D131" s="444"/>
      <c r="E131" s="444"/>
      <c r="F131" s="444"/>
      <c r="G131" s="444"/>
      <c r="H131" s="444"/>
      <c r="I131" s="1231"/>
    </row>
    <row r="132" spans="3:9" ht="15" customHeight="1">
      <c r="C132" s="443"/>
      <c r="D132" s="444"/>
      <c r="E132" s="444"/>
      <c r="F132" s="444"/>
      <c r="G132" s="444"/>
      <c r="H132" s="444"/>
      <c r="I132" s="1231"/>
    </row>
    <row r="133" spans="3:9" ht="15" customHeight="1">
      <c r="C133" s="443"/>
      <c r="D133" s="444"/>
      <c r="E133" s="444"/>
      <c r="F133" s="444"/>
      <c r="G133" s="444"/>
      <c r="H133" s="444"/>
      <c r="I133" s="1231"/>
    </row>
    <row r="134" spans="3:9" ht="15" customHeight="1">
      <c r="C134" s="443"/>
      <c r="D134" s="444"/>
      <c r="E134" s="444"/>
      <c r="F134" s="444"/>
      <c r="G134" s="444"/>
      <c r="H134" s="444"/>
      <c r="I134" s="1231"/>
    </row>
    <row r="135" spans="3:9" ht="15" customHeight="1">
      <c r="C135" s="443"/>
      <c r="D135" s="444"/>
      <c r="E135" s="444"/>
      <c r="F135" s="444"/>
      <c r="G135" s="444"/>
      <c r="H135" s="444"/>
      <c r="I135" s="1231"/>
    </row>
    <row r="136" spans="3:9" ht="15" customHeight="1">
      <c r="C136" s="443"/>
      <c r="D136" s="444"/>
      <c r="E136" s="444"/>
      <c r="F136" s="444"/>
      <c r="G136" s="444"/>
      <c r="H136" s="444"/>
      <c r="I136" s="1231"/>
    </row>
    <row r="137" spans="3:9" ht="15" customHeight="1">
      <c r="C137" s="443"/>
      <c r="D137" s="444"/>
      <c r="E137" s="444"/>
      <c r="F137" s="444"/>
      <c r="G137" s="444"/>
      <c r="H137" s="444"/>
      <c r="I137" s="1231"/>
    </row>
    <row r="138" spans="3:9" ht="15" customHeight="1">
      <c r="C138" s="443"/>
      <c r="D138" s="444"/>
      <c r="E138" s="444"/>
      <c r="F138" s="444"/>
      <c r="G138" s="444"/>
      <c r="H138" s="444"/>
      <c r="I138" s="1231"/>
    </row>
    <row r="139" spans="3:9" ht="15" customHeight="1">
      <c r="C139" s="443"/>
      <c r="D139" s="444"/>
      <c r="E139" s="444"/>
      <c r="F139" s="444"/>
      <c r="G139" s="444"/>
      <c r="H139" s="444"/>
      <c r="I139" s="1231"/>
    </row>
    <row r="140" spans="3:9" ht="15" customHeight="1">
      <c r="C140" s="443"/>
      <c r="D140" s="444"/>
      <c r="E140" s="444"/>
      <c r="F140" s="444"/>
      <c r="G140" s="444"/>
      <c r="H140" s="444"/>
      <c r="I140" s="1231"/>
    </row>
    <row r="141" spans="3:9" ht="15" customHeight="1">
      <c r="C141" s="443"/>
      <c r="D141" s="444"/>
      <c r="E141" s="444"/>
      <c r="F141" s="444"/>
      <c r="G141" s="444"/>
      <c r="H141" s="444"/>
      <c r="I141" s="1231"/>
    </row>
    <row r="142" spans="3:9" ht="15" customHeight="1">
      <c r="C142" s="443"/>
      <c r="D142" s="444"/>
      <c r="E142" s="444"/>
      <c r="F142" s="444"/>
      <c r="G142" s="444"/>
      <c r="H142" s="444"/>
      <c r="I142" s="1231"/>
    </row>
    <row r="143" spans="3:9" ht="15" customHeight="1">
      <c r="C143" s="443"/>
      <c r="D143" s="444"/>
      <c r="E143" s="444"/>
      <c r="F143" s="444"/>
      <c r="G143" s="444"/>
      <c r="H143" s="444"/>
      <c r="I143" s="1231"/>
    </row>
    <row r="144" spans="3:9" ht="15" customHeight="1">
      <c r="C144" s="443"/>
      <c r="D144" s="444"/>
      <c r="E144" s="444"/>
      <c r="F144" s="444"/>
      <c r="G144" s="444"/>
      <c r="H144" s="444"/>
      <c r="I144" s="1231"/>
    </row>
    <row r="145" spans="3:9" ht="15" customHeight="1">
      <c r="C145" s="1232"/>
      <c r="D145" s="1233"/>
      <c r="E145" s="1233"/>
      <c r="F145" s="1233"/>
      <c r="G145" s="1233"/>
      <c r="H145" s="1233"/>
      <c r="I145" s="1234"/>
    </row>
    <row r="146" spans="3:9" ht="15" customHeight="1"/>
    <row r="147" spans="3:9" ht="15" customHeight="1"/>
    <row r="148" spans="3:9" ht="15" customHeight="1"/>
    <row r="149" spans="3:9" ht="15" customHeight="1"/>
    <row r="150" spans="3:9" ht="15" customHeight="1"/>
    <row r="151" spans="3:9" ht="15" customHeight="1"/>
    <row r="152" spans="3:9" ht="15" customHeight="1"/>
    <row r="153" spans="3:9" ht="15" customHeight="1"/>
    <row r="154" spans="3:9" ht="15" customHeight="1"/>
    <row r="155" spans="3:9" ht="15" customHeight="1"/>
    <row r="156" spans="3:9" ht="15" customHeight="1"/>
    <row r="157" spans="3:9" ht="15" customHeight="1"/>
    <row r="158" spans="3:9" ht="15" customHeight="1"/>
    <row r="159" spans="3:9" ht="15" customHeight="1"/>
    <row r="160" spans="3:9"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sheetData>
  <mergeCells count="74">
    <mergeCell ref="C61:E61"/>
    <mergeCell ref="H61:I61"/>
    <mergeCell ref="C62:E62"/>
    <mergeCell ref="H62:I62"/>
    <mergeCell ref="C63:E63"/>
    <mergeCell ref="H63:I63"/>
    <mergeCell ref="C58:E58"/>
    <mergeCell ref="H58:I58"/>
    <mergeCell ref="C59:E59"/>
    <mergeCell ref="H59:I59"/>
    <mergeCell ref="C60:E60"/>
    <mergeCell ref="H60:I60"/>
    <mergeCell ref="C55:E55"/>
    <mergeCell ref="H55:I55"/>
    <mergeCell ref="C56:E56"/>
    <mergeCell ref="H56:I56"/>
    <mergeCell ref="C57:E57"/>
    <mergeCell ref="H57:I57"/>
    <mergeCell ref="C50:E50"/>
    <mergeCell ref="H50:I50"/>
    <mergeCell ref="C53:E53"/>
    <mergeCell ref="H53:I53"/>
    <mergeCell ref="C54:E54"/>
    <mergeCell ref="H54:I54"/>
    <mergeCell ref="C47:E47"/>
    <mergeCell ref="H47:I47"/>
    <mergeCell ref="C48:E48"/>
    <mergeCell ref="H48:I48"/>
    <mergeCell ref="C49:E49"/>
    <mergeCell ref="H49:I49"/>
    <mergeCell ref="C44:E44"/>
    <mergeCell ref="H44:I44"/>
    <mergeCell ref="C45:E45"/>
    <mergeCell ref="H45:I45"/>
    <mergeCell ref="C46:E46"/>
    <mergeCell ref="H46:I46"/>
    <mergeCell ref="C41:E41"/>
    <mergeCell ref="H41:I41"/>
    <mergeCell ref="C42:E42"/>
    <mergeCell ref="H42:I42"/>
    <mergeCell ref="C43:E43"/>
    <mergeCell ref="H43:I43"/>
    <mergeCell ref="C36:E36"/>
    <mergeCell ref="C37:E37"/>
    <mergeCell ref="H35:I35"/>
    <mergeCell ref="H36:I36"/>
    <mergeCell ref="H37:I37"/>
    <mergeCell ref="C65:I65"/>
    <mergeCell ref="C27:E27"/>
    <mergeCell ref="C28:E28"/>
    <mergeCell ref="C29:E29"/>
    <mergeCell ref="C30:E30"/>
    <mergeCell ref="C31:E31"/>
    <mergeCell ref="C32:E32"/>
    <mergeCell ref="C33:E33"/>
    <mergeCell ref="C34:E34"/>
    <mergeCell ref="H27:I27"/>
    <mergeCell ref="H28:I28"/>
    <mergeCell ref="H29:I29"/>
    <mergeCell ref="H30:I30"/>
    <mergeCell ref="C40:E40"/>
    <mergeCell ref="H40:I40"/>
    <mergeCell ref="C35:E35"/>
    <mergeCell ref="H31:I31"/>
    <mergeCell ref="H34:I34"/>
    <mergeCell ref="C13:F13"/>
    <mergeCell ref="C5:D5"/>
    <mergeCell ref="E5:F5"/>
    <mergeCell ref="C7:D7"/>
    <mergeCell ref="E7:F7"/>
    <mergeCell ref="F9:H9"/>
    <mergeCell ref="H32:I32"/>
    <mergeCell ref="H33:I33"/>
    <mergeCell ref="C15:I15"/>
  </mergeCells>
  <dataValidations count="1">
    <dataValidation allowBlank="1" showInputMessage="1" showErrorMessage="1" prompt="Saldo - Dotación ejercicio_x000a_" sqref="I65 I36:I37 I32:I33 I15:I17 I20:I21 I24:I25 I29 I49:I50 I45:I46 I42 I62:I63 I58:I59 I55" xr:uid="{18B33477-7709-4316-9DE0-A5F22678C95C}"/>
  </dataValidations>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47">
    <pageSetUpPr autoPageBreaks="0" fitToPage="1"/>
  </sheetPr>
  <dimension ref="C1:XFC56"/>
  <sheetViews>
    <sheetView showGridLines="0" showRowColHeaders="0" showZeros="0" topLeftCell="A8" zoomScaleNormal="100" zoomScaleSheetLayoutView="55" zoomScalePageLayoutView="55" workbookViewId="0">
      <selection activeCell="G25" sqref="G25"/>
    </sheetView>
  </sheetViews>
  <sheetFormatPr baseColWidth="10" defaultColWidth="0" defaultRowHeight="15" customHeight="1" zeroHeight="1"/>
  <cols>
    <col min="1" max="2" width="2" customWidth="1"/>
    <col min="3" max="3" width="24" customWidth="1"/>
    <col min="4" max="4" width="18.44140625" customWidth="1"/>
    <col min="5" max="5" width="24" customWidth="1"/>
    <col min="6" max="6" width="19.5546875" customWidth="1"/>
    <col min="7" max="7" width="24" customWidth="1"/>
    <col min="8" max="8" width="16" customWidth="1"/>
    <col min="9" max="9" width="19.5546875" customWidth="1"/>
    <col min="10" max="10" width="19" customWidth="1"/>
    <col min="11" max="16383" width="13" hidden="1"/>
    <col min="16384" max="16384" width="2.5546875" customWidth="1"/>
  </cols>
  <sheetData>
    <row r="1" spans="3:11" ht="15" customHeight="1"/>
    <row r="2" spans="3:11" ht="9" customHeight="1"/>
    <row r="3" spans="3:11" ht="5.25" customHeight="1">
      <c r="C3" s="1"/>
      <c r="D3" s="1"/>
    </row>
    <row r="4" spans="3:11" ht="5.25" customHeight="1"/>
    <row r="5" spans="3:11" ht="21">
      <c r="C5" s="2252" t="str">
        <f>+MENU!C5</f>
        <v>Sociedad:</v>
      </c>
      <c r="D5" s="2342"/>
      <c r="E5" s="2285" t="str">
        <f>+MENU!E5</f>
        <v>MARIO PILATO BLAT, S.A.</v>
      </c>
      <c r="F5" s="2286"/>
    </row>
    <row r="6" spans="3:11" ht="12.75" customHeight="1">
      <c r="C6" s="218"/>
      <c r="D6" s="218"/>
      <c r="E6" s="218"/>
      <c r="F6" s="218"/>
    </row>
    <row r="7" spans="3:11" ht="21">
      <c r="C7" s="2622" t="str">
        <f>+instrucciones!$C$7</f>
        <v>Fecha de cierre</v>
      </c>
      <c r="D7" s="2623"/>
      <c r="E7" s="2299">
        <f>+MENU!D7</f>
        <v>45657</v>
      </c>
      <c r="F7" s="2300"/>
    </row>
    <row r="8" spans="3:11" ht="15" customHeight="1">
      <c r="C8" s="2"/>
      <c r="D8" s="2"/>
      <c r="F8" s="3"/>
      <c r="G8" s="3"/>
      <c r="H8" s="3"/>
    </row>
    <row r="9" spans="3:11" ht="15" customHeight="1"/>
    <row r="10" spans="3:11" ht="5.25" customHeight="1">
      <c r="F10" s="219"/>
    </row>
    <row r="11" spans="3:11" ht="5.25" customHeight="1"/>
    <row r="12" spans="3:11" ht="6" customHeight="1" thickBot="1"/>
    <row r="13" spans="3:11" ht="22.5" customHeight="1" thickBot="1">
      <c r="C13" s="221" t="s">
        <v>1489</v>
      </c>
      <c r="D13" s="212"/>
      <c r="F13" s="2627" t="str">
        <f>IF('COVID19-OTRAS REVISIONES CIERRE'!I13= "SI","COVID-19 Y OTRAS REVISIONES CIERRE","COVID-19 Y OTRAS REVISIONES CIERRE-REV")</f>
        <v>COVID-19 Y OTRAS REVISIONES CIERRE</v>
      </c>
      <c r="G13" s="2628"/>
      <c r="H13" s="2629"/>
      <c r="I13" s="2210" t="str">
        <f>IF(DANA!I13= "SI","DANA","DANA-REV")</f>
        <v>DANA</v>
      </c>
      <c r="K13" s="2209"/>
    </row>
    <row r="14" spans="3:11" ht="6" customHeight="1"/>
    <row r="15" spans="3:11" s="33" customFormat="1" ht="21" customHeight="1">
      <c r="C15" s="2624" t="s">
        <v>1068</v>
      </c>
      <c r="D15" s="2625"/>
      <c r="E15" s="2625"/>
      <c r="F15" s="2625"/>
      <c r="G15" s="2625"/>
      <c r="H15" s="2625"/>
      <c r="I15" s="2625"/>
      <c r="J15" s="2626"/>
    </row>
    <row r="16" spans="3:11" ht="15" customHeight="1">
      <c r="C16" s="2017"/>
      <c r="D16" s="2018"/>
      <c r="E16" s="2018"/>
      <c r="F16" s="2018"/>
      <c r="G16" s="2018"/>
      <c r="H16" s="2018"/>
      <c r="I16" s="2019"/>
      <c r="J16" s="2020"/>
    </row>
    <row r="17" spans="3:10" ht="15" customHeight="1">
      <c r="C17" s="2021" t="s">
        <v>1393</v>
      </c>
      <c r="G17" s="2022" t="s">
        <v>1494</v>
      </c>
      <c r="I17" s="537">
        <f>+'AJUIRC (TRIM)'!D26+'AJUIRC (TRIM)'!E26+'AJUIRC (TRIM)'!F26+'AJUIRC (TRIM)'!G26</f>
        <v>0</v>
      </c>
      <c r="J17" s="2023"/>
    </row>
    <row r="18" spans="3:10" ht="15" customHeight="1">
      <c r="C18" s="2024" t="s">
        <v>1490</v>
      </c>
      <c r="E18" s="537">
        <f ca="1">+Inmovilizado!P111+Inmovilizado!E119+Inmovilizado!F119+Inmovilizado!G119+Inmovilizado!H119+Inmovilizado!L119</f>
        <v>0</v>
      </c>
      <c r="I18" s="524"/>
      <c r="J18" s="2023"/>
    </row>
    <row r="19" spans="3:10" ht="15" customHeight="1">
      <c r="C19" s="2024" t="s">
        <v>1491</v>
      </c>
      <c r="E19" s="537">
        <f ca="1">+Inmovilizado!E56+Inmovilizado!F56+Inmovilizado!G56+Inmovilizado!H56+Inmovilizado!L56+Inmovilizado!P48</f>
        <v>1.3038516044616699E-8</v>
      </c>
      <c r="G19" s="2025"/>
      <c r="J19" s="2023"/>
    </row>
    <row r="20" spans="3:10" ht="15" customHeight="1">
      <c r="C20" s="2024" t="s">
        <v>1492</v>
      </c>
      <c r="E20" s="537">
        <f ca="1">+Inmovilizado!E78+Inmovilizado!F78+Inmovilizado!G78+Inmovilizado!H78+Inmovilizado!L78+Inmovilizado!P70</f>
        <v>0</v>
      </c>
      <c r="G20" s="2022" t="s">
        <v>1495</v>
      </c>
      <c r="H20" s="2026" t="s">
        <v>1736</v>
      </c>
      <c r="I20" s="2026" t="s">
        <v>1737</v>
      </c>
      <c r="J20" s="2027" t="s">
        <v>1250</v>
      </c>
    </row>
    <row r="21" spans="3:10" ht="15" customHeight="1">
      <c r="C21" s="2028"/>
      <c r="E21" s="538"/>
      <c r="G21" s="2025" t="s">
        <v>1402</v>
      </c>
      <c r="H21" s="1850">
        <f>+'MESIVA (check)'!J48+'MESIVA (check)'!J64+'MESIVA (check)'!J73</f>
        <v>0</v>
      </c>
      <c r="I21" s="1850">
        <f>+MESREGISTROIVA!I105+MESREGISTROIVA!J105+MESREGISTROIVA!Q105+MESREGISTROIVA!R105+MESREGISTROIVA!I195+MESREGISTROIVA!J195+MESREGISTROIVA!Q195+MESREGISTROIVA!R195</f>
        <v>-167368184.59999999</v>
      </c>
      <c r="J21" s="2029">
        <f ca="1">+MESAJUIVA!F42</f>
        <v>828.64000000804663</v>
      </c>
    </row>
    <row r="22" spans="3:10" ht="15" customHeight="1">
      <c r="C22" s="2028"/>
      <c r="E22" s="538"/>
      <c r="G22" s="2025" t="s">
        <v>1403</v>
      </c>
      <c r="H22" s="1850">
        <f>+'IVA (check_TRIM)'!J47+'IVA (check_TRIM)'!J63+'IVA (check_TRIM)'!J72</f>
        <v>0</v>
      </c>
      <c r="I22" s="2223" t="s">
        <v>2958</v>
      </c>
      <c r="J22" s="2029"/>
    </row>
    <row r="23" spans="3:10" ht="15" customHeight="1">
      <c r="C23" s="2021" t="s">
        <v>1493</v>
      </c>
      <c r="E23" s="537">
        <f ca="1">+'Leasg. (prueba)'!D18+'Leasg. (prueba)'!E18+'Leasg. (prueba)'!F18</f>
        <v>-9998511.5600000005</v>
      </c>
      <c r="H23" s="1341"/>
      <c r="I23" s="1341"/>
      <c r="J23" s="2030"/>
    </row>
    <row r="24" spans="3:10" ht="15" customHeight="1">
      <c r="C24" s="2028"/>
      <c r="E24" s="538"/>
      <c r="H24" s="2026" t="s">
        <v>1738</v>
      </c>
      <c r="I24" s="2026" t="s">
        <v>1739</v>
      </c>
      <c r="J24" s="2027" t="s">
        <v>1740</v>
      </c>
    </row>
    <row r="25" spans="3:10" ht="15" customHeight="1">
      <c r="C25" s="2028"/>
      <c r="E25" s="538"/>
      <c r="G25" s="2022" t="s">
        <v>1496</v>
      </c>
      <c r="H25" s="1850">
        <f ca="1">+MESENTPUB!G31</f>
        <v>1182167.1875000002</v>
      </c>
      <c r="I25" s="1850">
        <f ca="1">+MESENTPUB!G35+MESENTPUB!G45</f>
        <v>-171592.4607999993</v>
      </c>
      <c r="J25" s="2029">
        <f ca="1">MESENTPUB!G52+MESENTPUB!G71+MESENTPUB!G72</f>
        <v>-1397616.5899999826</v>
      </c>
    </row>
    <row r="26" spans="3:10" ht="15" customHeight="1">
      <c r="C26" s="2021" t="s">
        <v>1401</v>
      </c>
      <c r="D26" s="2026" t="s">
        <v>1741</v>
      </c>
      <c r="E26" s="2039" t="s">
        <v>1742</v>
      </c>
      <c r="F26" s="2026" t="s">
        <v>1743</v>
      </c>
      <c r="G26" s="2025"/>
      <c r="J26" s="2023"/>
    </row>
    <row r="27" spans="3:10" ht="15" customHeight="1">
      <c r="C27" s="2024" t="s">
        <v>1402</v>
      </c>
      <c r="D27" s="1850">
        <f>+'IRPF (mensual)'!L34+'IRPF (mensual)'!M34+'IRPF (mensual)'!L57+'IRPF (mensual)'!M57</f>
        <v>-3.2014213502407074E-10</v>
      </c>
      <c r="E27" s="1850">
        <f ca="1">+'IRPF (mensual)'!H72</f>
        <v>-424.10999999990599</v>
      </c>
      <c r="F27" s="1850">
        <f ca="1">+'IRPF (mensual)'!H76+'IRPF (mensual)'!H79</f>
        <v>0</v>
      </c>
      <c r="G27" s="2025"/>
      <c r="J27" s="2023"/>
    </row>
    <row r="28" spans="3:10" ht="15" customHeight="1">
      <c r="C28" s="2024" t="s">
        <v>1403</v>
      </c>
      <c r="D28" s="2142">
        <f>+'IRPF (TRIM)'!L35+'IRPF (TRIM)'!M35</f>
        <v>0</v>
      </c>
      <c r="E28" s="2142"/>
      <c r="F28" s="1850"/>
      <c r="G28" s="2022" t="s">
        <v>1497</v>
      </c>
      <c r="J28" s="2023"/>
    </row>
    <row r="29" spans="3:10" ht="15" customHeight="1">
      <c r="C29" s="2024" t="s">
        <v>1865</v>
      </c>
      <c r="D29" s="2620" t="str">
        <f>IF('Retribución Administradores'!I17= "SI","REVISADO","PENDIENTE DE REVISAR")</f>
        <v>REVISADO</v>
      </c>
      <c r="E29" s="2621"/>
      <c r="F29" s="1341"/>
      <c r="G29" s="2025" t="s">
        <v>1498</v>
      </c>
      <c r="I29" s="537">
        <f>+AJUIS!E78</f>
        <v>0</v>
      </c>
      <c r="J29" s="2023"/>
    </row>
    <row r="30" spans="3:10" ht="15" customHeight="1">
      <c r="C30" s="2028"/>
      <c r="D30" s="1341"/>
      <c r="E30" s="2031"/>
      <c r="F30" s="1341"/>
      <c r="J30" s="2023"/>
    </row>
    <row r="31" spans="3:10" ht="15" customHeight="1">
      <c r="C31" s="2021" t="s">
        <v>1404</v>
      </c>
      <c r="D31" s="2026" t="s">
        <v>1744</v>
      </c>
      <c r="E31" s="2026" t="s">
        <v>1745</v>
      </c>
      <c r="F31" s="1341"/>
      <c r="J31" s="2023"/>
    </row>
    <row r="32" spans="3:10" ht="15" customHeight="1">
      <c r="C32" s="2024" t="s">
        <v>1402</v>
      </c>
      <c r="D32" s="1850">
        <f>IF(MENU!$P$11="NO",'Arrendamiento (mensual)'!H36,'Arrendamiento (mensual)'!H66)</f>
        <v>0</v>
      </c>
      <c r="E32" s="1850">
        <f ca="1">+'Arrendamiento (mensual)'!H66</f>
        <v>0</v>
      </c>
      <c r="F32" s="1341"/>
      <c r="G32" s="2032" t="s">
        <v>1593</v>
      </c>
      <c r="H32" s="1851">
        <f ca="1">+SYS_4_3_Digitos!J132-SYS_4_3_Digitos!I132-I32</f>
        <v>0</v>
      </c>
      <c r="I32" s="1126"/>
      <c r="J32" s="2033" t="str">
        <f ca="1">IF(H32&lt;&gt; 0,"REVISAR","OK")</f>
        <v>OK</v>
      </c>
    </row>
    <row r="33" spans="3:10" ht="15" customHeight="1">
      <c r="C33" s="2024" t="s">
        <v>1403</v>
      </c>
      <c r="D33" s="1850">
        <f>+'Arrendamiento (TRIM)'!H28</f>
        <v>0</v>
      </c>
      <c r="E33" s="1850"/>
      <c r="F33" s="1341"/>
      <c r="H33" s="1127" t="s">
        <v>1594</v>
      </c>
      <c r="I33" s="1127" t="s">
        <v>1595</v>
      </c>
      <c r="J33" s="1127" t="s">
        <v>1596</v>
      </c>
    </row>
    <row r="34" spans="3:10" ht="15" customHeight="1">
      <c r="C34" s="2024"/>
      <c r="D34" s="2031"/>
      <c r="E34" s="2031"/>
      <c r="F34" s="1341"/>
      <c r="H34" s="2034"/>
      <c r="I34" s="2034"/>
      <c r="J34" s="2035"/>
    </row>
    <row r="35" spans="3:10" ht="15" customHeight="1">
      <c r="C35" s="2024" t="s">
        <v>1886</v>
      </c>
      <c r="D35" s="2620" t="str">
        <f>IF('Seguros coches'!I17= "SI","REVISADO","PENDIENTE DE REVISAR")</f>
        <v>REVISADO</v>
      </c>
      <c r="E35" s="2621"/>
      <c r="F35" s="1341"/>
      <c r="G35" s="2141" t="s">
        <v>1887</v>
      </c>
      <c r="H35" s="2041"/>
      <c r="I35" s="2620" t="str">
        <f>IF('Préstamos socios_Dividendos'!G5="SI","REVISADO","PENDIENTE DE REVISAR")</f>
        <v>PENDIENTE DE REVISAR</v>
      </c>
      <c r="J35" s="2621"/>
    </row>
    <row r="36" spans="3:10" ht="15" customHeight="1">
      <c r="C36" s="2028"/>
      <c r="G36" s="2141" t="s">
        <v>1888</v>
      </c>
      <c r="H36" s="2041"/>
      <c r="I36" s="2620" t="str">
        <f>IF('Revisión Exención Patrimonio'!G3="SI","REVISADO","PENDIENTE DE REVISAR")</f>
        <v>PENDIENTE DE REVISAR</v>
      </c>
      <c r="J36" s="2621"/>
    </row>
    <row r="37" spans="3:10" ht="15" customHeight="1">
      <c r="C37" s="2036"/>
      <c r="D37" s="2619"/>
      <c r="E37" s="2619"/>
      <c r="F37" s="2037"/>
      <c r="G37" s="2037"/>
      <c r="H37" s="2037"/>
      <c r="I37" s="2037"/>
      <c r="J37" s="2038"/>
    </row>
    <row r="38" spans="3:10" ht="15" customHeight="1"/>
    <row r="39" spans="3:10" ht="15" customHeight="1">
      <c r="C39" s="533"/>
      <c r="D39" s="524"/>
      <c r="E39" s="524"/>
      <c r="F39" s="2040"/>
      <c r="G39" s="533"/>
      <c r="H39" s="524"/>
      <c r="I39" s="524"/>
      <c r="J39" s="154"/>
    </row>
    <row r="40" spans="3:10" ht="15" customHeight="1">
      <c r="C40" s="532" t="s">
        <v>1499</v>
      </c>
      <c r="E40" s="534" t="str">
        <f ca="1">IF(BALANCE!M19=BALANCE!P19,"Sin movimiento",IF(BALANCE!M19&gt;BALANCE!P19,"Ampliación","Reducción"))</f>
        <v>Sin movimiento</v>
      </c>
      <c r="F40" s="540">
        <f ca="1">+BALANCE!M19-BALANCE!P19</f>
        <v>0</v>
      </c>
      <c r="G40" s="532" t="s">
        <v>1505</v>
      </c>
      <c r="I40" s="534" t="str">
        <f ca="1">IF(SYS_4_3_Digitos!I165=SYS_4_3_Digitos!J193,"Ok","Descuadre")</f>
        <v>Ok</v>
      </c>
      <c r="J40" s="492"/>
    </row>
    <row r="41" spans="3:10" ht="15" customHeight="1">
      <c r="C41" s="532"/>
      <c r="F41" s="492"/>
      <c r="G41" s="523"/>
      <c r="J41" s="492"/>
    </row>
    <row r="42" spans="3:10" ht="15" customHeight="1">
      <c r="C42" s="532" t="s">
        <v>1240</v>
      </c>
      <c r="E42" s="534" t="str">
        <f ca="1">+IF(BALANCE!M23+BALANCE!M27=BALANCE!P23+BALANCE!P27,"Rdo.ej.ant.NO.distrib.","Comprobrar rdo.ej.ant.")</f>
        <v>Comprobrar rdo.ej.ant.</v>
      </c>
      <c r="F42" s="492"/>
      <c r="G42" s="532" t="s">
        <v>1234</v>
      </c>
      <c r="I42" s="534" t="str">
        <f ca="1">IF(SYS_4_3_Digitos!J245&gt;0,"Caja acreedora","Ok")</f>
        <v>Ok</v>
      </c>
      <c r="J42" s="492"/>
    </row>
    <row r="43" spans="3:10" ht="15" customHeight="1">
      <c r="C43" s="532"/>
      <c r="F43" s="492"/>
      <c r="G43" s="523"/>
      <c r="J43" s="492"/>
    </row>
    <row r="44" spans="3:10" ht="15" customHeight="1">
      <c r="C44" s="532" t="s">
        <v>1500</v>
      </c>
      <c r="E44" s="534" t="str">
        <f ca="1">IF(SYS_4_3_Digitos!D23+SYS_4_3_Digitos!D24+SYS_4_3_Digitos!D25=SYS_4_3_Digitos!J23+SYS_4_3_Digitos!J24+SYS_4_3_Digitos!J25,"Falta imputación a rdos.",IF(SYS_4_3_Digitos!D23+SYS_4_3_Digitos!D24+SYS_4_3_Digitos!D25&lt;SYS_4_3_Digitos!J23+SYS_4_3_Digitos!J24+SYS_4_3_Digitos!J25,"Nueva Subvención","Comprobar imputación"))</f>
        <v>Nueva Subvención</v>
      </c>
      <c r="F44" s="492"/>
      <c r="G44" s="532" t="s">
        <v>1506</v>
      </c>
      <c r="I44" s="545">
        <f ca="1">IF(SYS_4_3_Digitos!I226+SYS_4_3_Digitos!I227+SYS_4_3_Digitos!I228+SYS_4_3_Digitos!I229+SYS_4_3_Digitos!I230-SYS_4_3_Digitos!J226-SYS_4_3_Digitos!J227-SYS_4_3_Digitos!J228-SYS_4_3_Digitos!J229-SYS_4_3_Digitos!J230&lt;&gt;0,"Existe",0)</f>
        <v>0</v>
      </c>
      <c r="J44" s="492"/>
    </row>
    <row r="45" spans="3:10" ht="15" customHeight="1">
      <c r="C45" s="532"/>
      <c r="F45" s="492"/>
      <c r="G45" s="523"/>
      <c r="J45" s="492"/>
    </row>
    <row r="46" spans="3:10" ht="15" customHeight="1">
      <c r="C46" s="532" t="s">
        <v>1501</v>
      </c>
      <c r="E46" s="534" t="str">
        <f ca="1">IF(SYS_4_3_Digitos!C181+SYS_4_3_Digitos!C182+SYS_4_3_Digitos!C183=SYS_4_3_Digitos!I181+SYS_4_3_Digitos!I182+SYS_4_3_Digitos!I183,IF(SYS_4_3_Digitos!C181+SYS_4_3_Digitos!C182+SYS_4_3_Digitos!C183+SYS_4_3_Digitos!E181+SYS_4_3_Digitos!E182+SYS_4_3_Digitos!E183=0,0,"Realizar ajuste"),"Comprobar variación")</f>
        <v>Comprobar variación</v>
      </c>
      <c r="F46" s="492"/>
      <c r="G46" s="532" t="s">
        <v>1507</v>
      </c>
      <c r="I46" s="538">
        <f ca="1">+IF(SYS_4_3_Digitos!I233-SYS_4_3_Digitos!J233&lt;&gt;0,"Existe",0)</f>
        <v>0</v>
      </c>
      <c r="J46" s="492"/>
    </row>
    <row r="47" spans="3:10" ht="15" customHeight="1">
      <c r="C47" s="532"/>
      <c r="F47" s="492"/>
      <c r="G47" s="523"/>
      <c r="J47" s="492"/>
    </row>
    <row r="48" spans="3:10" ht="15" customHeight="1">
      <c r="C48" s="532" t="s">
        <v>1502</v>
      </c>
      <c r="E48" s="539">
        <f ca="1">IF(SYS_4_3_Digitos!I101+SYS_4_3_Digitos!I102+SYS_4_3_Digitos!I103+SYS_4_3_Digitos!I104+SYS_4_3_Digitos!I105+SYS_4_3_Digitos!I106+SYS_4_3_Digitos!I107+SYS_4_3_Digitos!I108+SYS_4_3_Digitos!I109&gt;0,SYS_4_3_Digitos!I101+SYS_4_3_Digitos!I102+SYS_4_3_Digitos!I103+SYS_4_3_Digitos!I104+SYS_4_3_Digitos!I105+SYS_4_3_Digitos!I106+SYS_4_3_Digitos!I107+SYS_4_3_Digitos!I108+SYS_4_3_Digitos!I109,0)</f>
        <v>163072922.39999998</v>
      </c>
      <c r="F48" s="492"/>
      <c r="G48" s="532" t="s">
        <v>1597</v>
      </c>
      <c r="I48" s="534" t="str">
        <f ca="1">IF(Inmovilizado!H54+Inmovilizado!H76+Inmovilizado!H117=0,"REVISAR"," ")</f>
        <v xml:space="preserve"> </v>
      </c>
      <c r="J48" s="492"/>
    </row>
    <row r="49" spans="3:10" ht="15" customHeight="1">
      <c r="C49" s="532"/>
      <c r="E49" s="538"/>
      <c r="F49" s="492"/>
      <c r="G49" s="523"/>
      <c r="J49" s="492"/>
    </row>
    <row r="50" spans="3:10" ht="15" customHeight="1">
      <c r="C50" s="532" t="s">
        <v>1503</v>
      </c>
      <c r="E50" s="539">
        <f ca="1">+IF(SYS_4_3_Digitos!I211+SYS_4_3_Digitos!I214+SYS_4_3_Digitos!I215+SYS_4_3_Digitos!I216+SYS_4_3_Digitos!I217+SYS_4_3_Digitos!I218+SYS_4_3_Digitos!I219+SYS_4_3_Digitos!I220+SYS_4_3_Digitos!I221+SYS_4_3_Digitos!I222+SYS_4_3_Digitos!I223+3&gt;0,SYS_4_3_Digitos!I211+SYS_4_3_Digitos!I214+SYS_4_3_Digitos!I215+SYS_4_3_Digitos!I216+SYS_4_3_Digitos!I217+SYS_4_3_Digitos!I218+SYS_4_3_Digitos!I219+SYS_4_3_Digitos!I220+SYS_4_3_Digitos!I221+SYS_4_3_Digitos!I222+SYS_4_3_Digitos!I223+SYS_4_3_Digitos!I224+SYS_4_3_Digitos!I225,0)</f>
        <v>2904.58</v>
      </c>
      <c r="F50" s="492"/>
      <c r="G50" s="523"/>
      <c r="J50" s="492"/>
    </row>
    <row r="51" spans="3:10" ht="15" customHeight="1">
      <c r="C51" s="532"/>
      <c r="F51" s="492"/>
      <c r="G51" s="523"/>
      <c r="J51" s="492"/>
    </row>
    <row r="52" spans="3:10" ht="15" customHeight="1">
      <c r="C52" s="532" t="s">
        <v>1230</v>
      </c>
      <c r="E52" s="534" t="str">
        <f ca="1">IF(AND(SUM(SYS_4_3_Digitos!C141:C147)-SYS_4_3_Digitos!D148=SUM(SYS_4_3_Digitos!I141:I147)-SYS_4_3_Digitos!J148,SUM(SYS_4_3_Digitos!I141:I147)-SYS_4_3_Digitos!J148&gt;0),IF(SUM(SYS_4_3_Digitos!C141:C147)-SYS_4_3_Digitos!D148+SUM(SYS_4_3_Digitos!I141:I147)-SYS_4_3_Digitos!J148=0,0,"Realizar ajuste"),"Comprobar variación")</f>
        <v>Comprobar variación</v>
      </c>
      <c r="F52" s="492"/>
      <c r="G52" s="523"/>
      <c r="J52" s="492"/>
    </row>
    <row r="53" spans="3:10" ht="15" customHeight="1">
      <c r="C53" s="532"/>
      <c r="F53" s="492"/>
      <c r="G53" s="523"/>
      <c r="J53" s="492"/>
    </row>
    <row r="54" spans="3:10" ht="15" customHeight="1">
      <c r="C54" s="532" t="s">
        <v>1504</v>
      </c>
      <c r="E54" s="534" t="str">
        <f ca="1">IF(SYS_4_3_Digitos!I148&gt;0,"Existe provisión","No hay provisión")</f>
        <v>No hay provisión</v>
      </c>
      <c r="F54" s="492"/>
      <c r="G54" s="523"/>
      <c r="J54" s="492"/>
    </row>
    <row r="55" spans="3:10" ht="15" customHeight="1">
      <c r="C55" s="535"/>
      <c r="D55" s="151"/>
      <c r="E55" s="151"/>
      <c r="F55" s="283"/>
      <c r="G55" s="536"/>
      <c r="H55" s="151"/>
      <c r="I55" s="151"/>
      <c r="J55" s="283"/>
    </row>
    <row r="56" spans="3:10" ht="15" customHeight="1"/>
  </sheetData>
  <mergeCells count="11">
    <mergeCell ref="D37:E37"/>
    <mergeCell ref="D29:E29"/>
    <mergeCell ref="C5:D5"/>
    <mergeCell ref="E5:F5"/>
    <mergeCell ref="E7:F7"/>
    <mergeCell ref="C7:D7"/>
    <mergeCell ref="C15:J15"/>
    <mergeCell ref="F13:H13"/>
    <mergeCell ref="D35:E35"/>
    <mergeCell ref="I35:J35"/>
    <mergeCell ref="I36:J36"/>
  </mergeCells>
  <conditionalFormatting sqref="E18">
    <cfRule type="expression" dxfId="45" priority="74">
      <formula>ROUND(E18,0)&lt;&gt;0</formula>
    </cfRule>
  </conditionalFormatting>
  <conditionalFormatting sqref="E19">
    <cfRule type="expression" dxfId="44" priority="73">
      <formula>ROUND(E19,0)&lt;&gt;0</formula>
    </cfRule>
  </conditionalFormatting>
  <conditionalFormatting sqref="E20">
    <cfRule type="expression" dxfId="43" priority="72">
      <formula>ROUND(E20,0)&lt;&gt;0</formula>
    </cfRule>
  </conditionalFormatting>
  <conditionalFormatting sqref="E23">
    <cfRule type="expression" dxfId="42" priority="71">
      <formula>ROUND(E23,0)&lt;&gt;0</formula>
    </cfRule>
  </conditionalFormatting>
  <conditionalFormatting sqref="I17">
    <cfRule type="expression" dxfId="41" priority="66">
      <formula>ROUND(I17,0)&lt;&gt;0</formula>
    </cfRule>
  </conditionalFormatting>
  <conditionalFormatting sqref="I29">
    <cfRule type="expression" dxfId="40" priority="60">
      <formula>ROUND(I29,0)&lt;&gt;0</formula>
    </cfRule>
  </conditionalFormatting>
  <conditionalFormatting sqref="H21">
    <cfRule type="expression" dxfId="39" priority="43">
      <formula>ROUND(H21,0)&lt;&gt;0</formula>
    </cfRule>
  </conditionalFormatting>
  <conditionalFormatting sqref="H22">
    <cfRule type="expression" dxfId="38" priority="42">
      <formula>ROUND(H22,0)&lt;&gt;0</formula>
    </cfRule>
  </conditionalFormatting>
  <conditionalFormatting sqref="H25">
    <cfRule type="expression" dxfId="37" priority="41">
      <formula>ROUND(H25,0)&lt;&gt;0</formula>
    </cfRule>
  </conditionalFormatting>
  <conditionalFormatting sqref="I21">
    <cfRule type="expression" dxfId="36" priority="40">
      <formula>ROUND(I21,0)&lt;&gt;0</formula>
    </cfRule>
  </conditionalFormatting>
  <conditionalFormatting sqref="I22">
    <cfRule type="expression" dxfId="35" priority="39">
      <formula>ROUND(I22,0)&lt;&gt;0</formula>
    </cfRule>
  </conditionalFormatting>
  <conditionalFormatting sqref="J21">
    <cfRule type="expression" dxfId="34" priority="38">
      <formula>ROUND(J21,0)&lt;&gt;0</formula>
    </cfRule>
  </conditionalFormatting>
  <conditionalFormatting sqref="J22">
    <cfRule type="expression" dxfId="33" priority="37">
      <formula>ROUND(J22,0)&lt;&gt;0</formula>
    </cfRule>
  </conditionalFormatting>
  <conditionalFormatting sqref="I25">
    <cfRule type="expression" dxfId="32" priority="36">
      <formula>ROUND(I25,0)&lt;&gt;0</formula>
    </cfRule>
  </conditionalFormatting>
  <conditionalFormatting sqref="J25">
    <cfRule type="expression" dxfId="31" priority="35">
      <formula>ROUND(J25,0)&lt;&gt;0</formula>
    </cfRule>
  </conditionalFormatting>
  <conditionalFormatting sqref="D27">
    <cfRule type="expression" dxfId="30" priority="34">
      <formula>ROUND(D27,0)&lt;&gt;0</formula>
    </cfRule>
  </conditionalFormatting>
  <conditionalFormatting sqref="D28">
    <cfRule type="expression" dxfId="29" priority="33">
      <formula>ROUND(D28,0)&lt;&gt;0</formula>
    </cfRule>
  </conditionalFormatting>
  <conditionalFormatting sqref="D32">
    <cfRule type="expression" dxfId="28" priority="32">
      <formula>ROUND(D32,0)&lt;&gt;0</formula>
    </cfRule>
  </conditionalFormatting>
  <conditionalFormatting sqref="D33:D34">
    <cfRule type="expression" dxfId="27" priority="31">
      <formula>ROUND(D33,0)&lt;&gt;0</formula>
    </cfRule>
  </conditionalFormatting>
  <conditionalFormatting sqref="E32">
    <cfRule type="expression" dxfId="26" priority="30">
      <formula>ROUND(E32,0)&lt;&gt;0</formula>
    </cfRule>
  </conditionalFormatting>
  <conditionalFormatting sqref="E33:E34">
    <cfRule type="expression" dxfId="25" priority="29">
      <formula>ROUND(E33,0)&lt;&gt;0</formula>
    </cfRule>
  </conditionalFormatting>
  <conditionalFormatting sqref="E27">
    <cfRule type="expression" dxfId="24" priority="28">
      <formula>ROUND(E27,0)&lt;&gt;0</formula>
    </cfRule>
  </conditionalFormatting>
  <conditionalFormatting sqref="E28:F28">
    <cfRule type="expression" dxfId="23" priority="27">
      <formula>ROUND(E28,0)&lt;&gt;0</formula>
    </cfRule>
  </conditionalFormatting>
  <conditionalFormatting sqref="F27">
    <cfRule type="expression" dxfId="22" priority="26">
      <formula>ROUND(F27,0)&lt;&gt;0</formula>
    </cfRule>
  </conditionalFormatting>
  <conditionalFormatting sqref="H32">
    <cfRule type="expression" dxfId="21" priority="25">
      <formula>ROUND(H32,0)&lt;&gt;0</formula>
    </cfRule>
  </conditionalFormatting>
  <conditionalFormatting sqref="J32">
    <cfRule type="expression" dxfId="20" priority="24">
      <formula>$J$32="OK"</formula>
    </cfRule>
  </conditionalFormatting>
  <conditionalFormatting sqref="D29:E29">
    <cfRule type="cellIs" dxfId="19" priority="19" operator="equal">
      <formula>"REVISADO"</formula>
    </cfRule>
    <cfRule type="cellIs" dxfId="18" priority="20" operator="equal">
      <formula>"PENDIENTE DE REVISAR"</formula>
    </cfRule>
  </conditionalFormatting>
  <conditionalFormatting sqref="D37:E37">
    <cfRule type="cellIs" dxfId="17" priority="15" operator="equal">
      <formula>"REVISADO"</formula>
    </cfRule>
    <cfRule type="cellIs" dxfId="16" priority="16" operator="equal">
      <formula>"PENDIENTE DE REVISAR"</formula>
    </cfRule>
  </conditionalFormatting>
  <conditionalFormatting sqref="H35">
    <cfRule type="cellIs" dxfId="15" priority="11" operator="equal">
      <formula>"REVISADO"</formula>
    </cfRule>
    <cfRule type="cellIs" dxfId="14" priority="12" operator="equal">
      <formula>"PENDIENTE DE REVISAR"</formula>
    </cfRule>
  </conditionalFormatting>
  <conditionalFormatting sqref="H36">
    <cfRule type="cellIs" dxfId="13" priority="9" operator="equal">
      <formula>"REVISADO"</formula>
    </cfRule>
    <cfRule type="cellIs" dxfId="12" priority="10" operator="equal">
      <formula>"PENDIENTE DE REVISAR"</formula>
    </cfRule>
  </conditionalFormatting>
  <conditionalFormatting sqref="I35:J35">
    <cfRule type="cellIs" dxfId="11" priority="7" operator="equal">
      <formula>"REVISADO"</formula>
    </cfRule>
    <cfRule type="cellIs" dxfId="10" priority="8" operator="equal">
      <formula>"PENDIENTE DE REVISAR"</formula>
    </cfRule>
  </conditionalFormatting>
  <conditionalFormatting sqref="I36:J36">
    <cfRule type="cellIs" dxfId="9" priority="5" operator="equal">
      <formula>"REVISADO"</formula>
    </cfRule>
    <cfRule type="cellIs" dxfId="8" priority="6" operator="equal">
      <formula>"PENDIENTE DE REVISAR"</formula>
    </cfRule>
  </conditionalFormatting>
  <conditionalFormatting sqref="D35:E35">
    <cfRule type="cellIs" dxfId="7" priority="3" operator="equal">
      <formula>"REVISADO"</formula>
    </cfRule>
    <cfRule type="cellIs" dxfId="6" priority="4" operator="equal">
      <formula>"PENDIENTE DE REVISAR"</formula>
    </cfRule>
  </conditionalFormatting>
  <conditionalFormatting sqref="F13:H13">
    <cfRule type="cellIs" dxfId="5" priority="17" operator="equal">
      <formula>"COVID-19 Y OTRAS REVISIONES CIERRE"</formula>
    </cfRule>
    <cfRule type="cellIs" dxfId="4" priority="18" operator="equal">
      <formula>"COVID-19 Y OTRAS REVISIONES CIERRE-REV"</formula>
    </cfRule>
  </conditionalFormatting>
  <conditionalFormatting sqref="I13">
    <cfRule type="cellIs" dxfId="3" priority="1" operator="equal">
      <formula>"DANA-REV"</formula>
    </cfRule>
    <cfRule type="cellIs" dxfId="2" priority="2" operator="equal">
      <formula>"DANA"</formula>
    </cfRule>
  </conditionalFormatting>
  <hyperlinks>
    <hyperlink ref="C17" location="Inmovilizado!A1" tooltip="Inmovilizado:" display="Inmovilizado:" xr:uid="{00000000-0004-0000-2900-000000000000}"/>
    <hyperlink ref="C23" location="'Leasg. (prueba)'!A1" tooltip="Impuestos Diferidos" display="Impuestos Diferidos" xr:uid="{00000000-0004-0000-2900-000001000000}"/>
    <hyperlink ref="C27" location="'IRPF (mensual)'!A1" tooltip="Mensual" display="Mensual" xr:uid="{00000000-0004-0000-2900-000002000000}"/>
    <hyperlink ref="C28" location="'IRPF (TRIM)'!A1" tooltip="Trimestral" display="Trimestral" xr:uid="{00000000-0004-0000-2900-000003000000}"/>
    <hyperlink ref="C32" location="'Arrendamiento (mensual)'!A1" tooltip="Mensual" display="Mensual" xr:uid="{00000000-0004-0000-2900-000004000000}"/>
    <hyperlink ref="C33" location="'Arrendamiento (TRIM)'!A1" tooltip="Trimestral" display="Trimestral" xr:uid="{00000000-0004-0000-2900-000005000000}"/>
    <hyperlink ref="G17" location="'AJUIRC (TRIM)'!A1" tooltip="Capital Mobiliario:" display="Capital Mobiliario:" xr:uid="{00000000-0004-0000-2900-000006000000}"/>
    <hyperlink ref="G21" location="MESAJUIVA!A1" tooltip="Mensual" display="Mensual" xr:uid="{00000000-0004-0000-2900-000007000000}"/>
    <hyperlink ref="G22" location="'AJUIVA (TRIM)'!A1" tooltip="Trimestral" display="Trimestral" xr:uid="{00000000-0004-0000-2900-000008000000}"/>
    <hyperlink ref="G25" location="MESENTPUB!A1" tooltip="Entidades públicas:" display="Entidades públicas:" xr:uid="{00000000-0004-0000-2900-000009000000}"/>
    <hyperlink ref="G29" location="AJUIS!A1" tooltip="Ajuis" display="Ajuis" xr:uid="{00000000-0004-0000-2900-00000A000000}"/>
    <hyperlink ref="F13:H13" location="'COVID19-OTRAS REVISIONES CIERRE'!A1" display="COVID-19 Y OTRAS REVISIONES CIERRE" xr:uid="{D5D6FC47-9475-4A58-BA0B-EE8929698028}"/>
    <hyperlink ref="C29" location="'Retribución Administradores'!A1" display="Rebrib.Admon." xr:uid="{2A3A82EA-2963-49B4-A42F-9CB7E7FAAE47}"/>
    <hyperlink ref="C35" location="'Seguros coches'!A1" display="Seguros coches" xr:uid="{5C1665CE-BF7D-45FF-9135-B8D7BEFA63BA}"/>
    <hyperlink ref="G35" location="'Préstamos socios_Dividendos'!A1" display="Préstamos socios/Dividendos" xr:uid="{32ED9B33-91AE-4A64-AA48-E99FECA6FD49}"/>
    <hyperlink ref="G36" location="'Revisión Exención Patrimonio'!A1" display="Revisión Exención Patrimonio" xr:uid="{6A982EDE-BF6F-4332-81E6-4A9265EE8B2A}"/>
    <hyperlink ref="I13:K13" location="'COVID19-OTRAS REVISIONES CIERRE'!A1" display="COVID-19 Y OTRAS REVISIONES CIERRE" xr:uid="{2D2A42B4-D78B-4D77-8561-F703E9557641}"/>
    <hyperlink ref="I13" location="DANA!A1" display="DANA!A1" xr:uid="{58599734-2537-400E-A1AA-BB3782C14856}"/>
  </hyperlinks>
  <pageMargins left="0.43307086614173229" right="0.23622047244094491" top="0.74803149606299213" bottom="0.74803149606299213" header="0.31496062992125984" footer="0.31496062992125984"/>
  <pageSetup paperSize="9" scale="54" orientation="landscape" r:id="rId1"/>
  <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38">
    <tabColor rgb="FFFFC000"/>
  </sheetPr>
  <dimension ref="A1:I68"/>
  <sheetViews>
    <sheetView showGridLines="0" showRowColHeaders="0" view="pageBreakPreview" topLeftCell="A29" zoomScale="115" zoomScaleNormal="100" zoomScaleSheetLayoutView="115" workbookViewId="0">
      <selection activeCell="H58" sqref="H58"/>
    </sheetView>
  </sheetViews>
  <sheetFormatPr baseColWidth="10" defaultColWidth="0" defaultRowHeight="12.75" customHeight="1" zeroHeight="1"/>
  <cols>
    <col min="1" max="1" width="3" style="986" customWidth="1"/>
    <col min="2" max="2" width="86" style="986" customWidth="1"/>
    <col min="3" max="4" width="41" style="986" customWidth="1"/>
    <col min="5" max="6" width="16" style="986" hidden="1" customWidth="1"/>
    <col min="7" max="7" width="14" style="986" hidden="1" customWidth="1"/>
    <col min="8" max="8" width="11.44140625" style="986" hidden="1" customWidth="1"/>
    <col min="9" max="9" width="11.44140625" style="986" customWidth="1"/>
    <col min="10" max="16384" width="11.44140625" style="986" hidden="1"/>
  </cols>
  <sheetData>
    <row r="1" spans="2:8" ht="13.2">
      <c r="H1" s="986" t="s">
        <v>1218</v>
      </c>
    </row>
    <row r="2" spans="2:8" ht="42.75" customHeight="1">
      <c r="B2" s="1037" t="s">
        <v>1219</v>
      </c>
      <c r="C2" s="563"/>
      <c r="D2" s="563"/>
      <c r="E2" s="563"/>
      <c r="H2" s="986" t="s">
        <v>1220</v>
      </c>
    </row>
    <row r="3" spans="2:8" ht="13.2">
      <c r="C3" s="2630"/>
      <c r="D3" s="2630"/>
      <c r="E3" s="2630"/>
      <c r="F3" s="2630"/>
      <c r="H3" s="986" t="s">
        <v>1221</v>
      </c>
    </row>
    <row r="4" spans="2:8" ht="30">
      <c r="B4" s="2636" t="str">
        <f>+MENU!E5</f>
        <v>MARIO PILATO BLAT, S.A.</v>
      </c>
      <c r="C4" s="2636"/>
      <c r="D4" s="2636"/>
      <c r="E4" s="1024"/>
      <c r="F4" s="602"/>
    </row>
    <row r="5" spans="2:8" ht="9" customHeight="1">
      <c r="B5" s="987"/>
      <c r="C5" s="988"/>
      <c r="D5" s="988"/>
      <c r="E5" s="988"/>
      <c r="F5" s="988"/>
    </row>
    <row r="6" spans="2:8" ht="15">
      <c r="B6" s="1036" t="s">
        <v>1222</v>
      </c>
      <c r="C6" s="2635" t="s">
        <v>1218</v>
      </c>
      <c r="D6" s="2635"/>
      <c r="E6" s="988"/>
      <c r="F6" s="988"/>
    </row>
    <row r="7" spans="2:8" ht="14.25" customHeight="1"/>
    <row r="8" spans="2:8" s="993" customFormat="1" ht="32.25" customHeight="1">
      <c r="B8" s="1023"/>
      <c r="C8" s="2631" t="s">
        <v>1223</v>
      </c>
      <c r="D8" s="2632"/>
      <c r="E8" s="2632"/>
      <c r="F8" s="2632"/>
      <c r="G8" s="2632"/>
    </row>
    <row r="9" spans="2:8" ht="26.25" customHeight="1">
      <c r="B9" s="989"/>
      <c r="C9" s="1035">
        <f>+YEAR('BCE ABREVIADO'!E11)</f>
        <v>2024</v>
      </c>
      <c r="D9" s="1035">
        <f>+YEAR('BCE ABREVIADO'!H11)</f>
        <v>2023</v>
      </c>
      <c r="E9" s="990"/>
      <c r="F9" s="990"/>
      <c r="G9" s="990"/>
    </row>
    <row r="10" spans="2:8" s="996" customFormat="1" ht="30" customHeight="1">
      <c r="B10" s="1008" t="s">
        <v>3</v>
      </c>
      <c r="C10" s="1009"/>
      <c r="D10" s="1009"/>
      <c r="E10" s="994"/>
      <c r="F10" s="995"/>
      <c r="G10" s="995"/>
    </row>
    <row r="11" spans="2:8" s="998" customFormat="1" ht="30" customHeight="1">
      <c r="B11" s="1010" t="s">
        <v>1224</v>
      </c>
      <c r="C11" s="1011">
        <f ca="1">SUM(C12:C16)</f>
        <v>193402893.99000001</v>
      </c>
      <c r="D11" s="1011">
        <f>SUM(D12:D16)</f>
        <v>182072916.51999998</v>
      </c>
      <c r="E11" s="997">
        <f>SUM(E12:E16)</f>
        <v>0</v>
      </c>
      <c r="F11" s="997">
        <f>SUM(F12:F16)</f>
        <v>0</v>
      </c>
      <c r="G11" s="997">
        <f>SUM(G12:G16)</f>
        <v>0</v>
      </c>
    </row>
    <row r="12" spans="2:8" s="996" customFormat="1" ht="30" customHeight="1">
      <c r="B12" s="1012" t="s">
        <v>1225</v>
      </c>
      <c r="C12" s="1013">
        <f ca="1">+'BCE ABREVIADO'!E19</f>
        <v>5522964.8300000001</v>
      </c>
      <c r="D12" s="1013">
        <f>+'BCE ABREVIADO'!H19</f>
        <v>5651000.570000004</v>
      </c>
      <c r="E12" s="999"/>
      <c r="F12" s="999"/>
      <c r="G12" s="999"/>
    </row>
    <row r="13" spans="2:8" s="996" customFormat="1" ht="30" customHeight="1">
      <c r="B13" s="1012" t="s">
        <v>1226</v>
      </c>
      <c r="C13" s="1013">
        <f ca="1">+'BCE ABREVIADO'!E25+'BCE ABREVIADO'!E23</f>
        <v>163257538.41999999</v>
      </c>
      <c r="D13" s="1013">
        <f>+'BCE ABREVIADO'!H25+'BCE ABREVIADO'!H23</f>
        <v>155136438</v>
      </c>
      <c r="E13" s="999"/>
      <c r="F13" s="999"/>
      <c r="G13" s="999"/>
    </row>
    <row r="14" spans="2:8" s="996" customFormat="1" ht="30" customHeight="1">
      <c r="B14" s="1012" t="s">
        <v>1227</v>
      </c>
      <c r="C14" s="1013">
        <f ca="1">+'BCE ABREVIADO'!E17</f>
        <v>43207.829999999994</v>
      </c>
      <c r="D14" s="1013">
        <f>+'BCE ABREVIADO'!H17</f>
        <v>67914.289999999994</v>
      </c>
      <c r="E14" s="999"/>
      <c r="F14" s="999"/>
      <c r="G14" s="999"/>
    </row>
    <row r="15" spans="2:8" s="996" customFormat="1" ht="30" customHeight="1">
      <c r="B15" s="1012" t="s">
        <v>1228</v>
      </c>
      <c r="C15" s="1013">
        <f ca="1">+'BCE ABREVIADO'!E21</f>
        <v>22285564.650000002</v>
      </c>
      <c r="D15" s="1013">
        <f>+'BCE ABREVIADO'!H21</f>
        <v>18524284.289999999</v>
      </c>
      <c r="E15" s="999"/>
      <c r="F15" s="999"/>
      <c r="G15" s="999"/>
    </row>
    <row r="16" spans="2:8" s="996" customFormat="1" ht="30" customHeight="1">
      <c r="B16" s="1012" t="s">
        <v>1229</v>
      </c>
      <c r="C16" s="1013">
        <f ca="1">+'BCE ABREVIADO'!E27</f>
        <v>2293618.2600000002</v>
      </c>
      <c r="D16" s="1013">
        <f>+'BCE ABREVIADO'!H27</f>
        <v>2693279.37</v>
      </c>
      <c r="E16" s="999"/>
      <c r="F16" s="999"/>
      <c r="G16" s="999"/>
    </row>
    <row r="17" spans="2:7" s="998" customFormat="1" ht="30" customHeight="1">
      <c r="B17" s="1010" t="s">
        <v>1107</v>
      </c>
      <c r="C17" s="1011">
        <f ca="1">C18</f>
        <v>45753952.569999993</v>
      </c>
      <c r="D17" s="1011">
        <f>D18</f>
        <v>41673214.149999999</v>
      </c>
      <c r="E17" s="997">
        <f>E18</f>
        <v>0</v>
      </c>
      <c r="F17" s="997">
        <f>F18</f>
        <v>0</v>
      </c>
      <c r="G17" s="997">
        <f>G18</f>
        <v>0</v>
      </c>
    </row>
    <row r="18" spans="2:7" s="998" customFormat="1" ht="30" customHeight="1">
      <c r="B18" s="1012" t="s">
        <v>1230</v>
      </c>
      <c r="C18" s="1013">
        <f ca="1">+'BCE ABREVIADO'!E36</f>
        <v>45753952.569999993</v>
      </c>
      <c r="D18" s="1013">
        <f>+'BCE ABREVIADO'!H36</f>
        <v>41673214.149999999</v>
      </c>
      <c r="E18" s="999"/>
      <c r="F18" s="999"/>
      <c r="G18" s="999"/>
    </row>
    <row r="19" spans="2:7" s="998" customFormat="1" ht="30" customHeight="1">
      <c r="B19" s="1010" t="s">
        <v>1231</v>
      </c>
      <c r="C19" s="1011">
        <f ca="1">SUM(C20:C21)</f>
        <v>27511807.720000003</v>
      </c>
      <c r="D19" s="1011">
        <f>SUM(D20:D21)</f>
        <v>22191738.370000001</v>
      </c>
      <c r="E19" s="997">
        <f>SUM(E20:E21)</f>
        <v>0</v>
      </c>
      <c r="F19" s="997">
        <f>SUM(F20:F21)</f>
        <v>0</v>
      </c>
      <c r="G19" s="997">
        <f>SUM(G20:G21)</f>
        <v>0</v>
      </c>
    </row>
    <row r="20" spans="2:7" s="996" customFormat="1" ht="30" customHeight="1">
      <c r="B20" s="1012" t="s">
        <v>1232</v>
      </c>
      <c r="C20" s="1013">
        <f ca="1">+'BCE ABREVIADO'!E39</f>
        <v>24337588.380000003</v>
      </c>
      <c r="D20" s="1013">
        <f>+'BCE ABREVIADO'!H39</f>
        <v>20428155.5</v>
      </c>
      <c r="E20" s="999"/>
      <c r="F20" s="999"/>
      <c r="G20" s="999"/>
    </row>
    <row r="21" spans="2:7" s="996" customFormat="1" ht="30" customHeight="1">
      <c r="B21" s="1012" t="s">
        <v>40</v>
      </c>
      <c r="C21" s="1013">
        <f ca="1">+'BCE ABREVIADO'!E34+'BCE ABREVIADO'!E40+'BCE ABREVIADO'!E41+'BCE ABREVIADO'!E43+'BCE ABREVIADO'!E47</f>
        <v>3174219.3400000003</v>
      </c>
      <c r="D21" s="1013">
        <f>+'BCE ABREVIADO'!H34+'BCE ABREVIADO'!H40+'BCE ABREVIADO'!H41+'BCE ABREVIADO'!H43+'BCE ABREVIADO'!H47</f>
        <v>1763582.8699999999</v>
      </c>
      <c r="E21" s="999"/>
      <c r="F21" s="999"/>
      <c r="G21" s="999"/>
    </row>
    <row r="22" spans="2:7" s="998" customFormat="1" ht="30" customHeight="1">
      <c r="B22" s="1010" t="s">
        <v>1233</v>
      </c>
      <c r="C22" s="1011">
        <f ca="1">SUM(C23:C25)</f>
        <v>85680185.949999988</v>
      </c>
      <c r="D22" s="1011">
        <f>SUM(D23:D25)</f>
        <v>74939183.629999995</v>
      </c>
      <c r="E22" s="997">
        <f>SUM(E23:E25)</f>
        <v>0</v>
      </c>
      <c r="F22" s="997">
        <f>SUM(F23:F25)</f>
        <v>0</v>
      </c>
      <c r="G22" s="997">
        <f>SUM(G23:G25)</f>
        <v>0</v>
      </c>
    </row>
    <row r="23" spans="2:7" s="996" customFormat="1" ht="30" customHeight="1">
      <c r="B23" s="1012" t="s">
        <v>1234</v>
      </c>
      <c r="C23" s="1013">
        <f ca="1">+'BCE ABREVIADO'!E49</f>
        <v>85577158.699999988</v>
      </c>
      <c r="D23" s="1013">
        <f>+'BCE ABREVIADO'!H49</f>
        <v>74813289.390000001</v>
      </c>
      <c r="E23" s="999"/>
      <c r="F23" s="999"/>
      <c r="G23" s="999"/>
    </row>
    <row r="24" spans="2:7" s="996" customFormat="1" ht="30" customHeight="1">
      <c r="B24" s="1012" t="s">
        <v>1235</v>
      </c>
      <c r="C24" s="1013"/>
      <c r="D24" s="1013"/>
      <c r="E24" s="999"/>
      <c r="F24" s="999"/>
      <c r="G24" s="999"/>
    </row>
    <row r="25" spans="2:7" s="996" customFormat="1" ht="30" customHeight="1">
      <c r="B25" s="1012" t="s">
        <v>1236</v>
      </c>
      <c r="C25" s="1013">
        <f ca="1">+'BCE ABREVIADO'!E45</f>
        <v>103027.25</v>
      </c>
      <c r="D25" s="1013">
        <f>+'BCE ABREVIADO'!H45</f>
        <v>125894.24</v>
      </c>
      <c r="E25" s="999"/>
      <c r="F25" s="999"/>
      <c r="G25" s="999"/>
    </row>
    <row r="26" spans="2:7" s="998" customFormat="1" ht="30" customHeight="1">
      <c r="B26" s="1008" t="s">
        <v>1237</v>
      </c>
      <c r="C26" s="1014">
        <f ca="1">C11+C17+C19+C22</f>
        <v>352348840.23000002</v>
      </c>
      <c r="D26" s="1014">
        <f>D11+D17+D19+D22</f>
        <v>320877052.66999996</v>
      </c>
      <c r="E26" s="1000">
        <f>E11+E17+E19+E22</f>
        <v>0</v>
      </c>
      <c r="F26" s="1000">
        <f>F11+F17+F19+F22</f>
        <v>0</v>
      </c>
      <c r="G26" s="1000">
        <f>G11+G17+G19+G22</f>
        <v>0</v>
      </c>
    </row>
    <row r="27" spans="2:7" s="996" customFormat="1" ht="24.9" customHeight="1">
      <c r="B27" s="1015"/>
      <c r="C27" s="1015"/>
      <c r="D27" s="1015"/>
    </row>
    <row r="28" spans="2:7" s="996" customFormat="1" ht="30" customHeight="1">
      <c r="B28" s="1008" t="s">
        <v>53</v>
      </c>
      <c r="C28" s="1009"/>
      <c r="D28" s="1009"/>
      <c r="E28" s="994"/>
      <c r="F28" s="995"/>
      <c r="G28" s="995"/>
    </row>
    <row r="29" spans="2:7" s="998" customFormat="1" ht="30" customHeight="1">
      <c r="B29" s="1010" t="s">
        <v>1238</v>
      </c>
      <c r="C29" s="1011">
        <f ca="1">SUM(C30:C33)</f>
        <v>340811132.96000004</v>
      </c>
      <c r="D29" s="1011">
        <f>SUM(D30:D33)</f>
        <v>313525867.13999999</v>
      </c>
      <c r="E29" s="997">
        <f>SUM(E30:E33)</f>
        <v>0</v>
      </c>
      <c r="F29" s="997">
        <f>SUM(F30:F33)</f>
        <v>0</v>
      </c>
      <c r="G29" s="997">
        <f>SUM(G30:G33)</f>
        <v>0</v>
      </c>
    </row>
    <row r="30" spans="2:7" s="996" customFormat="1" ht="30" customHeight="1">
      <c r="B30" s="1012" t="s">
        <v>1239</v>
      </c>
      <c r="C30" s="1013">
        <f ca="1">+'BCE ABREVIADO'!E66</f>
        <v>140000005.09999999</v>
      </c>
      <c r="D30" s="1013">
        <f>+'BCE ABREVIADO'!H66</f>
        <v>140000005.09999999</v>
      </c>
      <c r="E30" s="999"/>
      <c r="F30" s="999"/>
      <c r="G30" s="999"/>
    </row>
    <row r="31" spans="2:7" s="996" customFormat="1" ht="30" customHeight="1">
      <c r="B31" s="1012" t="s">
        <v>1240</v>
      </c>
      <c r="C31" s="1013">
        <f ca="1">+'BCE ABREVIADO'!E70</f>
        <v>162420962.37</v>
      </c>
      <c r="D31" s="1013">
        <f>+'BCE ABREVIADO'!H70</f>
        <v>151615618.87</v>
      </c>
      <c r="E31" s="999"/>
      <c r="F31" s="999"/>
      <c r="G31" s="999"/>
    </row>
    <row r="32" spans="2:7" s="996" customFormat="1" ht="30" customHeight="1">
      <c r="B32" s="1012" t="s">
        <v>1241</v>
      </c>
      <c r="C32" s="1013">
        <f ca="1">+'BCE ABREVIADO'!E74</f>
        <v>14641500.340000015</v>
      </c>
      <c r="D32" s="1013">
        <f>+'BCE ABREVIADO'!H74</f>
        <v>10805343.500000006</v>
      </c>
      <c r="E32" s="999"/>
      <c r="F32" s="999"/>
      <c r="G32" s="999"/>
    </row>
    <row r="33" spans="2:7" s="996" customFormat="1" ht="30" customHeight="1">
      <c r="B33" s="1012" t="s">
        <v>1242</v>
      </c>
      <c r="C33" s="1013">
        <f ca="1">+'BCE ABREVIADO'!E63-Datos!C32-Datos!C31-Datos!C30</f>
        <v>23748665.150000006</v>
      </c>
      <c r="D33" s="1013">
        <f>+'BCE ABREVIADO'!H63-Datos!D32-Datos!D31-Datos!D30</f>
        <v>11104899.669999987</v>
      </c>
      <c r="E33" s="999"/>
      <c r="F33" s="999"/>
      <c r="G33" s="999"/>
    </row>
    <row r="34" spans="2:7" s="998" customFormat="1" ht="30" customHeight="1">
      <c r="B34" s="1016" t="s">
        <v>1243</v>
      </c>
      <c r="C34" s="1011">
        <f ca="1">SUM(C35:C36)</f>
        <v>10203945.560000001</v>
      </c>
      <c r="D34" s="1011">
        <f>SUM(D35:D36)</f>
        <v>6315112.1199999982</v>
      </c>
      <c r="E34" s="997">
        <f>SUM(E35:E36)</f>
        <v>0</v>
      </c>
      <c r="F34" s="997">
        <f>SUM(F35:F36)</f>
        <v>0</v>
      </c>
      <c r="G34" s="997">
        <f>SUM(G35:G36)</f>
        <v>0</v>
      </c>
    </row>
    <row r="35" spans="2:7" s="996" customFormat="1" ht="30" customHeight="1">
      <c r="B35" s="1012" t="s">
        <v>96</v>
      </c>
      <c r="C35" s="1017">
        <f ca="1">+'BCE ABREVIADO'!E83</f>
        <v>0</v>
      </c>
      <c r="D35" s="1017">
        <f>+'BCE ABREVIADO'!H83</f>
        <v>0</v>
      </c>
      <c r="E35" s="1001"/>
      <c r="F35" s="1001"/>
      <c r="G35" s="1001"/>
    </row>
    <row r="36" spans="2:7" s="996" customFormat="1" ht="30" customHeight="1">
      <c r="B36" s="1012" t="s">
        <v>1244</v>
      </c>
      <c r="C36" s="1013">
        <f ca="1">+'BCE ABREVIADO'!E80-'BCE ABREVIADO'!E83</f>
        <v>10203945.560000001</v>
      </c>
      <c r="D36" s="1013">
        <f>+'BCE ABREVIADO'!H80-'BCE ABREVIADO'!H83</f>
        <v>6315112.1199999982</v>
      </c>
      <c r="E36" s="999"/>
      <c r="F36" s="999"/>
      <c r="G36" s="999"/>
    </row>
    <row r="37" spans="2:7" s="998" customFormat="1" ht="30" customHeight="1">
      <c r="B37" s="1016" t="s">
        <v>1245</v>
      </c>
      <c r="C37" s="1011">
        <f ca="1">SUM(C38:C40)</f>
        <v>1333761.71</v>
      </c>
      <c r="D37" s="1011">
        <f>SUM(D38:D40)</f>
        <v>1036073.4100000006</v>
      </c>
      <c r="E37" s="997">
        <f>SUM(E38:E40)</f>
        <v>0</v>
      </c>
      <c r="F37" s="997">
        <f>SUM(F38:F40)</f>
        <v>0</v>
      </c>
      <c r="G37" s="997">
        <f>SUM(G38:G40)</f>
        <v>0</v>
      </c>
    </row>
    <row r="38" spans="2:7" s="996" customFormat="1" ht="30" customHeight="1">
      <c r="B38" s="1012" t="s">
        <v>99</v>
      </c>
      <c r="C38" s="1017">
        <f ca="1">+'BCE ABREVIADO'!E99</f>
        <v>159031.70999999996</v>
      </c>
      <c r="D38" s="1017">
        <f>+'BCE ABREVIADO'!H99</f>
        <v>79309.050000000745</v>
      </c>
      <c r="E38" s="1001"/>
      <c r="F38" s="1001"/>
      <c r="G38" s="1001"/>
    </row>
    <row r="39" spans="2:7" s="996" customFormat="1" ht="30" customHeight="1">
      <c r="B39" s="1012" t="s">
        <v>1246</v>
      </c>
      <c r="C39" s="1017">
        <f ca="1">+'BCE ABREVIADO'!E94</f>
        <v>0</v>
      </c>
      <c r="D39" s="1017">
        <f>+'BCE ABREVIADO'!H94</f>
        <v>0</v>
      </c>
      <c r="E39" s="1001"/>
      <c r="F39" s="1001"/>
      <c r="G39" s="1001"/>
    </row>
    <row r="40" spans="2:7" s="996" customFormat="1" ht="30" customHeight="1">
      <c r="B40" s="1012" t="s">
        <v>1247</v>
      </c>
      <c r="C40" s="1017">
        <f ca="1">+'BCE ABREVIADO'!E90-Datos!C39-Datos!C38</f>
        <v>1174730</v>
      </c>
      <c r="D40" s="1017">
        <f>+'BCE ABREVIADO'!H90-Datos!D39-Datos!D38</f>
        <v>956764.35999999987</v>
      </c>
      <c r="E40" s="1001"/>
      <c r="F40" s="1001"/>
      <c r="G40" s="1001"/>
    </row>
    <row r="41" spans="2:7" s="998" customFormat="1" ht="30" customHeight="1">
      <c r="B41" s="1008" t="s">
        <v>108</v>
      </c>
      <c r="C41" s="1014">
        <f ca="1">C29+C34+C37</f>
        <v>352348840.23000002</v>
      </c>
      <c r="D41" s="1014">
        <f>D29+D34+D37</f>
        <v>320877052.67000002</v>
      </c>
      <c r="E41" s="1000">
        <f>E29+E34+E37</f>
        <v>0</v>
      </c>
      <c r="F41" s="1000">
        <f>F29+F34+F37</f>
        <v>0</v>
      </c>
      <c r="G41" s="1000">
        <f>G29+G34+G37</f>
        <v>0</v>
      </c>
    </row>
    <row r="42" spans="2:7" s="1003" customFormat="1" ht="6.75" customHeight="1">
      <c r="B42" s="1018"/>
      <c r="C42" s="1019" t="str">
        <f ca="1">IF(INT(C26)&lt;&gt;INT(C41),"DESCUADRE POR","")</f>
        <v/>
      </c>
      <c r="D42" s="1019" t="str">
        <f>IF(INT(D26)&lt;&gt;INT(D41),"DESCUADRE POR","")</f>
        <v/>
      </c>
      <c r="E42" s="1002" t="str">
        <f>IF(INT(E26)&lt;&gt;INT(E41),"DESCUADRE POR","")</f>
        <v/>
      </c>
      <c r="F42" s="1002" t="str">
        <f>IF(INT(F26)&lt;&gt;INT(F41),"DESCUADRE POR","")</f>
        <v/>
      </c>
      <c r="G42" s="1002" t="str">
        <f>IF(INT(G26)&lt;&gt;INT(G41),"DESCUADRE POR","")</f>
        <v/>
      </c>
    </row>
    <row r="43" spans="2:7" s="1003" customFormat="1" ht="6.75" customHeight="1">
      <c r="B43" s="1018"/>
      <c r="C43" s="1019">
        <f ca="1">INT(C26-C41)</f>
        <v>0</v>
      </c>
      <c r="D43" s="1019">
        <f>INT(D26-D41)</f>
        <v>-1</v>
      </c>
      <c r="E43" s="1002">
        <f>INT(E26-E41)</f>
        <v>0</v>
      </c>
      <c r="F43" s="1002">
        <f>INT(F26-F41)</f>
        <v>0</v>
      </c>
      <c r="G43" s="1002">
        <f>INT(G26-G41)</f>
        <v>0</v>
      </c>
    </row>
    <row r="44" spans="2:7" s="996" customFormat="1" ht="6.75" customHeight="1">
      <c r="B44" s="1020"/>
      <c r="C44" s="1015"/>
      <c r="D44" s="1015"/>
    </row>
    <row r="45" spans="2:7" s="996" customFormat="1" ht="30" customHeight="1">
      <c r="B45" s="1008" t="s">
        <v>1248</v>
      </c>
      <c r="C45" s="1021"/>
      <c r="D45" s="1021"/>
      <c r="E45" s="1004"/>
      <c r="F45" s="1005"/>
      <c r="G45" s="1005"/>
    </row>
    <row r="46" spans="2:7" s="998" customFormat="1" ht="30" customHeight="1">
      <c r="B46" s="1016" t="s">
        <v>1249</v>
      </c>
      <c r="C46" s="1022">
        <f ca="1">SUM(C47:C48)</f>
        <v>73803193.400000006</v>
      </c>
      <c r="D46" s="1022">
        <f>SUM(D47:D48)</f>
        <v>64806928.419999994</v>
      </c>
      <c r="E46" s="1006">
        <f>SUM(E47:E48)</f>
        <v>0</v>
      </c>
      <c r="F46" s="1006">
        <f>SUM(F47:F48)</f>
        <v>0</v>
      </c>
      <c r="G46" s="1006">
        <f>SUM(G47:G48)</f>
        <v>0</v>
      </c>
    </row>
    <row r="47" spans="2:7" s="996" customFormat="1" ht="30" customHeight="1">
      <c r="B47" s="1012" t="s">
        <v>1250</v>
      </c>
      <c r="C47" s="1013">
        <f ca="1">+PG!E15</f>
        <v>73783040.270000011</v>
      </c>
      <c r="D47" s="1013">
        <f>+PG!H15</f>
        <v>64662452.839999996</v>
      </c>
      <c r="E47" s="999"/>
      <c r="F47" s="1007"/>
      <c r="G47" s="1007"/>
    </row>
    <row r="48" spans="2:7" s="996" customFormat="1" ht="30" customHeight="1">
      <c r="B48" s="1012" t="s">
        <v>1251</v>
      </c>
      <c r="C48" s="1013">
        <f ca="1">+PG!E28+PG!E19</f>
        <v>20153.129999999997</v>
      </c>
      <c r="D48" s="1013">
        <f>+PG!H28+PG!H19</f>
        <v>144475.58000000002</v>
      </c>
      <c r="E48" s="999"/>
      <c r="F48" s="1007"/>
      <c r="G48" s="1007"/>
    </row>
    <row r="49" spans="2:7" s="998" customFormat="1" ht="30" customHeight="1">
      <c r="B49" s="1016" t="s">
        <v>1252</v>
      </c>
      <c r="C49" s="1022">
        <f ca="1">SUM(C50:C51)</f>
        <v>59516286.889999993</v>
      </c>
      <c r="D49" s="1022">
        <f>SUM(D50:D51)</f>
        <v>49883059.469999991</v>
      </c>
      <c r="E49" s="1006">
        <f>SUM(E50:E51)</f>
        <v>0</v>
      </c>
      <c r="F49" s="1006">
        <f>SUM(F50:F51)</f>
        <v>0</v>
      </c>
      <c r="G49" s="1006">
        <f>SUM(G50:G51)</f>
        <v>0</v>
      </c>
    </row>
    <row r="50" spans="2:7" s="996" customFormat="1" ht="30" customHeight="1">
      <c r="B50" s="1012" t="s">
        <v>1253</v>
      </c>
      <c r="C50" s="1013">
        <f ca="1">-PG!E20</f>
        <v>56934408.459999993</v>
      </c>
      <c r="D50" s="1013">
        <f>-PG!H20</f>
        <v>50758502.209999993</v>
      </c>
      <c r="E50" s="999"/>
      <c r="F50" s="1007"/>
      <c r="G50" s="1007"/>
    </row>
    <row r="51" spans="2:7" s="996" customFormat="1" ht="30" customHeight="1">
      <c r="B51" s="1012" t="s">
        <v>1254</v>
      </c>
      <c r="C51" s="1013">
        <f ca="1">-PG!E18</f>
        <v>2581878.4300000002</v>
      </c>
      <c r="D51" s="1013">
        <f>-PG!H18</f>
        <v>-875442.74</v>
      </c>
      <c r="E51" s="999"/>
      <c r="F51" s="1007"/>
      <c r="G51" s="1007"/>
    </row>
    <row r="52" spans="2:7" s="996" customFormat="1" ht="30" customHeight="1">
      <c r="B52" s="1016" t="s">
        <v>1255</v>
      </c>
      <c r="C52" s="1022">
        <f ca="1">C46-C49</f>
        <v>14286906.510000013</v>
      </c>
      <c r="D52" s="1022">
        <f>D46-D49</f>
        <v>14923868.950000003</v>
      </c>
      <c r="E52" s="1006">
        <f>E46-E49</f>
        <v>0</v>
      </c>
      <c r="F52" s="1006">
        <f>F46-F49</f>
        <v>0</v>
      </c>
      <c r="G52" s="1006">
        <f>G46-G49</f>
        <v>0</v>
      </c>
    </row>
    <row r="53" spans="2:7" s="998" customFormat="1" ht="30" customHeight="1">
      <c r="B53" s="1016" t="s">
        <v>1256</v>
      </c>
      <c r="C53" s="1022">
        <f ca="1">SUM(C54:C58)</f>
        <v>9942584.589999998</v>
      </c>
      <c r="D53" s="1022">
        <f>SUM(D54:D58)</f>
        <v>9033812.2300000004</v>
      </c>
      <c r="E53" s="1006">
        <f>SUM(E54:E58)</f>
        <v>0</v>
      </c>
      <c r="F53" s="1006">
        <f>SUM(F54:F58)</f>
        <v>0</v>
      </c>
      <c r="G53" s="1006">
        <f>SUM(G54:G58)</f>
        <v>0</v>
      </c>
    </row>
    <row r="54" spans="2:7" s="996" customFormat="1" ht="30" customHeight="1">
      <c r="B54" s="1012" t="s">
        <v>1257</v>
      </c>
      <c r="C54" s="1013">
        <f ca="1">-PG!E31</f>
        <v>4023844.96</v>
      </c>
      <c r="D54" s="1013">
        <f>-PG!H31</f>
        <v>3806847.7600000002</v>
      </c>
      <c r="E54" s="999"/>
      <c r="F54" s="1007"/>
      <c r="G54" s="1007"/>
    </row>
    <row r="55" spans="2:7" s="996" customFormat="1" ht="30" customHeight="1">
      <c r="B55" s="1012" t="s">
        <v>1258</v>
      </c>
      <c r="C55" s="1013">
        <f ca="1">-PG!E36</f>
        <v>4679720.6499999994</v>
      </c>
      <c r="D55" s="1013">
        <f>-PG!H36</f>
        <v>4249668.3800000008</v>
      </c>
      <c r="E55" s="999"/>
      <c r="F55" s="1007"/>
      <c r="G55" s="1007"/>
    </row>
    <row r="56" spans="2:7" s="996" customFormat="1" ht="30" customHeight="1">
      <c r="B56" s="1012" t="s">
        <v>1259</v>
      </c>
      <c r="C56" s="1013">
        <f ca="1">-PG!E35+PG!E36+PG!E37</f>
        <v>110160.00000000015</v>
      </c>
      <c r="D56" s="1013">
        <f>-PG!H35+PG!H36+PG!H37</f>
        <v>701.49999999988358</v>
      </c>
      <c r="E56" s="999"/>
      <c r="F56" s="1007"/>
      <c r="G56" s="1007"/>
    </row>
    <row r="57" spans="2:7" s="996" customFormat="1" ht="30" customHeight="1">
      <c r="B57" s="1012" t="s">
        <v>1260</v>
      </c>
      <c r="C57" s="1013">
        <f ca="1">-PG!E37</f>
        <v>217821.86999999997</v>
      </c>
      <c r="D57" s="1013">
        <f>-PG!H37</f>
        <v>139793.38</v>
      </c>
      <c r="E57" s="999"/>
      <c r="F57" s="1007"/>
      <c r="G57" s="1007"/>
    </row>
    <row r="58" spans="2:7" s="996" customFormat="1" ht="30" customHeight="1">
      <c r="B58" s="1012" t="s">
        <v>1261</v>
      </c>
      <c r="C58" s="1013">
        <f ca="1">-PG!E40</f>
        <v>911037.11</v>
      </c>
      <c r="D58" s="1013">
        <f>-PG!H40</f>
        <v>836801.21</v>
      </c>
      <c r="E58" s="999"/>
      <c r="F58" s="1007"/>
      <c r="G58" s="1007"/>
    </row>
    <row r="59" spans="2:7" s="998" customFormat="1" ht="30" customHeight="1">
      <c r="B59" s="1016" t="s">
        <v>1262</v>
      </c>
      <c r="C59" s="1022">
        <f ca="1">C46-C49-C53</f>
        <v>4344321.9200000148</v>
      </c>
      <c r="D59" s="1022">
        <f>D46-D49-D53</f>
        <v>5890056.7200000025</v>
      </c>
      <c r="E59" s="1006">
        <f>E46-E49-E53</f>
        <v>0</v>
      </c>
      <c r="F59" s="1006">
        <f>F46-F49-F53</f>
        <v>0</v>
      </c>
      <c r="G59" s="1006">
        <f>G46-G49-G53</f>
        <v>0</v>
      </c>
    </row>
    <row r="60" spans="2:7" s="996" customFormat="1" ht="30" customHeight="1">
      <c r="B60" s="1012" t="s">
        <v>1535</v>
      </c>
      <c r="C60" s="1013">
        <f ca="1">-PG!E71</f>
        <v>-12835985.960000003</v>
      </c>
      <c r="D60" s="1013">
        <f>-PG!H71</f>
        <v>-6454645.290000001</v>
      </c>
      <c r="E60" s="999"/>
      <c r="F60" s="1007"/>
      <c r="G60" s="1007"/>
    </row>
    <row r="61" spans="2:7" s="998" customFormat="1" ht="30" customHeight="1">
      <c r="B61" s="1016" t="s">
        <v>1264</v>
      </c>
      <c r="C61" s="1022">
        <f ca="1">C59-C60</f>
        <v>17180307.880000018</v>
      </c>
      <c r="D61" s="1022">
        <f>D59-D60</f>
        <v>12344702.010000004</v>
      </c>
      <c r="E61" s="1006">
        <f>E59-E60</f>
        <v>0</v>
      </c>
      <c r="F61" s="1006">
        <f>F59-F60</f>
        <v>0</v>
      </c>
      <c r="G61" s="1006">
        <f>G59-G60</f>
        <v>0</v>
      </c>
    </row>
    <row r="62" spans="2:7" s="996" customFormat="1" ht="30" customHeight="1">
      <c r="B62" s="1012" t="s">
        <v>1265</v>
      </c>
      <c r="C62" s="1013">
        <f ca="1">-PG!E75</f>
        <v>2543572.9699999997</v>
      </c>
      <c r="D62" s="1013">
        <f>-PG!H75</f>
        <v>1518108.19</v>
      </c>
      <c r="E62" s="999"/>
      <c r="F62" s="1007"/>
      <c r="G62" s="1007"/>
    </row>
    <row r="63" spans="2:7" s="998" customFormat="1" ht="30" customHeight="1">
      <c r="B63" s="1016" t="s">
        <v>1266</v>
      </c>
      <c r="C63" s="1022">
        <f ca="1">C61-C62</f>
        <v>14636734.910000019</v>
      </c>
      <c r="D63" s="1022">
        <f>D61-D62</f>
        <v>10826593.820000004</v>
      </c>
      <c r="E63" s="1006">
        <f>E61-E62</f>
        <v>0</v>
      </c>
      <c r="F63" s="1006">
        <f>F61-F62</f>
        <v>0</v>
      </c>
      <c r="G63" s="1006">
        <f>G61-G62</f>
        <v>0</v>
      </c>
    </row>
    <row r="64" spans="2:7" s="996" customFormat="1" ht="30" customHeight="1">
      <c r="B64" s="1012" t="s">
        <v>1267</v>
      </c>
      <c r="C64" s="1013">
        <f ca="1">-PG!E43-PG!E47-PG!E41-PG!E42-PG!E46</f>
        <v>-4765.43</v>
      </c>
      <c r="D64" s="1013">
        <f>-PG!H43-PG!H47-PG!H41-PG!H42-PG!H46</f>
        <v>21250.32</v>
      </c>
      <c r="E64" s="999"/>
      <c r="F64" s="1007"/>
      <c r="G64" s="1007"/>
    </row>
    <row r="65" spans="2:7" s="998" customFormat="1" ht="24.9" customHeight="1">
      <c r="B65" s="1016" t="s">
        <v>1268</v>
      </c>
      <c r="C65" s="1022">
        <f ca="1">C63-C64</f>
        <v>14641500.340000018</v>
      </c>
      <c r="D65" s="1022">
        <f>D63-D64</f>
        <v>10805343.500000004</v>
      </c>
      <c r="E65" s="1006">
        <f>E63-E64</f>
        <v>0</v>
      </c>
      <c r="F65" s="1006">
        <f>F63-F64</f>
        <v>0</v>
      </c>
      <c r="G65" s="1006">
        <f>G63-G64</f>
        <v>0</v>
      </c>
    </row>
    <row r="66" spans="2:7" ht="13.2"/>
    <row r="67" spans="2:7" ht="13.2" hidden="1">
      <c r="C67" s="991">
        <f ca="1">+C65-C32</f>
        <v>0</v>
      </c>
      <c r="D67" s="991">
        <f>+D65-D32</f>
        <v>0</v>
      </c>
      <c r="E67" s="2633"/>
      <c r="F67" s="2634"/>
    </row>
    <row r="68" spans="2:7" ht="13.2" hidden="1">
      <c r="C68" s="992"/>
    </row>
  </sheetData>
  <mergeCells count="5">
    <mergeCell ref="C3:F3"/>
    <mergeCell ref="C8:G8"/>
    <mergeCell ref="E67:F67"/>
    <mergeCell ref="C6:D6"/>
    <mergeCell ref="B4:D4"/>
  </mergeCells>
  <conditionalFormatting sqref="C43:G43">
    <cfRule type="cellIs" dxfId="1" priority="2" stopIfTrue="1" operator="notEqual">
      <formula>0</formula>
    </cfRule>
  </conditionalFormatting>
  <conditionalFormatting sqref="G43">
    <cfRule type="cellIs" dxfId="0" priority="1" stopIfTrue="1" operator="notEqual">
      <formula>0</formula>
    </cfRule>
  </conditionalFormatting>
  <dataValidations xWindow="562" yWindow="349" count="4">
    <dataValidation type="list" allowBlank="1" showInputMessage="1" showErrorMessage="1" sqref="C6" xr:uid="{00000000-0002-0000-2A00-000000000000}">
      <formula1>$H$1:$H$3</formula1>
    </dataValidation>
    <dataValidation allowBlank="1" showInputMessage="1" showErrorMessage="1" prompt="Insertar el periodo (año, mes, trimestre, etc)  al que corresponde el balance. Por ejemplo: 2007" sqref="C9:G9" xr:uid="{00000000-0002-0000-2A00-000001000000}"/>
    <dataValidation allowBlank="1" showInputMessage="1" showErrorMessage="1" prompt="RESULTADO FINANCIERO_x000a_" sqref="B60" xr:uid="{00000000-0002-0000-2A00-000002000000}"/>
    <dataValidation allowBlank="1" showInputMessage="1" showErrorMessage="1" prompt="INCLUYE SUBVENCIONES DE INMOVILIZADO Y EXCESOS DE PROVISIONES" sqref="B64" xr:uid="{00000000-0002-0000-2A00-000003000000}"/>
  </dataValidations>
  <pageMargins left="0.62992125984251968" right="0.70866141732283472" top="0.74803149606299213" bottom="0.74803149606299213" header="0.31496062992125984" footer="0.31496062992125984"/>
  <pageSetup paperSize="9" scale="41" orientation="portrait" r:id="rId1"/>
  <headerFooter>
    <oddFooter>&amp;C&amp;"Arial,Normal"&amp;12&amp;K03-024Ratio Económico-Financieros</oddFooter>
  </headerFooter>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39">
    <tabColor rgb="FFFFC000"/>
    <pageSetUpPr fitToPage="1"/>
  </sheetPr>
  <dimension ref="A1:I64"/>
  <sheetViews>
    <sheetView showGridLines="0" showRowColHeaders="0" view="pageBreakPreview" zoomScale="130" zoomScaleNormal="85" zoomScaleSheetLayoutView="130" workbookViewId="0">
      <pane xSplit="2" ySplit="7" topLeftCell="C8" activePane="bottomRight" state="frozen"/>
      <selection activeCell="H58" sqref="H58"/>
      <selection pane="topRight" activeCell="H58" sqref="H58"/>
      <selection pane="bottomLeft" activeCell="H58" sqref="H58"/>
      <selection pane="bottomRight" activeCell="H58" sqref="H58"/>
    </sheetView>
  </sheetViews>
  <sheetFormatPr baseColWidth="10" defaultColWidth="0" defaultRowHeight="0" customHeight="1" zeroHeight="1"/>
  <cols>
    <col min="1" max="1" width="3" style="553" customWidth="1"/>
    <col min="2" max="2" width="86" style="553" customWidth="1"/>
    <col min="3" max="4" width="38.44140625" style="553" customWidth="1"/>
    <col min="5" max="5" width="16" style="553" hidden="1" customWidth="1"/>
    <col min="6" max="6" width="1.44140625" style="553" hidden="1" customWidth="1"/>
    <col min="7" max="7" width="11.44140625" style="553" customWidth="1"/>
    <col min="8" max="9" width="0" style="553" hidden="1" customWidth="1"/>
    <col min="10" max="16384" width="11.44140625" style="553" hidden="1"/>
  </cols>
  <sheetData>
    <row r="1" spans="2:8" s="986" customFormat="1" ht="13.2">
      <c r="H1" s="986" t="s">
        <v>1218</v>
      </c>
    </row>
    <row r="2" spans="2:8" s="986" customFormat="1" ht="48" customHeight="1">
      <c r="B2" s="1037" t="s">
        <v>1219</v>
      </c>
      <c r="C2" s="563"/>
      <c r="D2" s="563"/>
      <c r="E2" s="563"/>
      <c r="H2" s="986" t="s">
        <v>1220</v>
      </c>
    </row>
    <row r="3" spans="2:8" s="986" customFormat="1" ht="24.75" customHeight="1">
      <c r="C3" s="2630"/>
      <c r="D3" s="2630"/>
      <c r="E3" s="2630"/>
      <c r="F3" s="2630"/>
      <c r="H3" s="986" t="s">
        <v>1221</v>
      </c>
    </row>
    <row r="4" spans="2:8" s="986" customFormat="1" ht="30">
      <c r="B4" s="2575" t="str">
        <f>+MENU!E5</f>
        <v>MARIO PILATO BLAT, S.A.</v>
      </c>
      <c r="C4" s="2575"/>
      <c r="D4" s="2575"/>
      <c r="E4" s="1024"/>
      <c r="F4" s="602"/>
    </row>
    <row r="5" spans="2:8" s="986" customFormat="1" ht="19.5" customHeight="1"/>
    <row r="6" spans="2:8" s="993" customFormat="1" ht="43.5" customHeight="1">
      <c r="B6" s="1023"/>
      <c r="C6" s="2637" t="s">
        <v>1223</v>
      </c>
      <c r="D6" s="2637"/>
      <c r="E6" s="1034"/>
      <c r="F6" s="1034"/>
      <c r="G6" s="986"/>
    </row>
    <row r="7" spans="2:8" s="986" customFormat="1" ht="26.25" customHeight="1">
      <c r="B7" s="989"/>
      <c r="C7" s="1067">
        <f>Datos!C9</f>
        <v>2024</v>
      </c>
      <c r="D7" s="1067">
        <f>Datos!D9</f>
        <v>2023</v>
      </c>
      <c r="E7" s="990">
        <f>Datos!E9</f>
        <v>0</v>
      </c>
      <c r="F7" s="990">
        <f>Datos!F9</f>
        <v>0</v>
      </c>
    </row>
    <row r="8" spans="2:8" s="1015" customFormat="1" ht="30" customHeight="1">
      <c r="B8" s="1008" t="s">
        <v>3</v>
      </c>
      <c r="C8" s="1025"/>
      <c r="D8" s="1025"/>
      <c r="E8" s="1025"/>
      <c r="F8" s="1026"/>
      <c r="G8" s="986"/>
    </row>
    <row r="9" spans="2:8" s="1027" customFormat="1" ht="30" customHeight="1">
      <c r="B9" s="1010" t="s">
        <v>1224</v>
      </c>
      <c r="C9" s="1028">
        <f ca="1">IFERROR(IF(Datos!$C$26&lt;&gt;0,Datos!C11*100/Datos!$C$26,""),0)</f>
        <v>54.889607090448742</v>
      </c>
      <c r="D9" s="1028">
        <f>IFERROR(IF(Datos!$D$26&lt;&gt;0,Datos!D11*100/Datos!$D$26,""),0)</f>
        <v>56.742267795400601</v>
      </c>
      <c r="E9" s="1029">
        <f>IF(Datos!$E$26&lt;&gt;0,Datos!E11*100/Datos!$E$26,0)</f>
        <v>0</v>
      </c>
      <c r="F9" s="1029" t="str">
        <f>IF(Datos!$F$26&lt;&gt;0,Datos!F11*100/Datos!$F$26,"")</f>
        <v/>
      </c>
      <c r="G9" s="986"/>
    </row>
    <row r="10" spans="2:8" s="1015" customFormat="1" ht="30" customHeight="1">
      <c r="B10" s="1012" t="s">
        <v>1225</v>
      </c>
      <c r="C10" s="1030">
        <f ca="1">IFERROR(IF(Datos!$C$26&lt;&gt;0,Datos!C12*100/Datos!$C$26,""),0)</f>
        <v>1.5674706993202581</v>
      </c>
      <c r="D10" s="1030">
        <f>IFERROR(IF(Datos!$D$26&lt;&gt;0,Datos!D12*100/Datos!$D$26,""),0)</f>
        <v>1.761110843850735</v>
      </c>
      <c r="E10" s="1031" t="str">
        <f>IF(Datos!$E$26&lt;&gt;0,Datos!E12*100/Datos!$E$26,"")</f>
        <v/>
      </c>
      <c r="F10" s="1031" t="str">
        <f>IF(Datos!$F$26&lt;&gt;0,Datos!F12*100/Datos!$F$26,"")</f>
        <v/>
      </c>
      <c r="G10" s="986"/>
    </row>
    <row r="11" spans="2:8" s="1015" customFormat="1" ht="30" customHeight="1">
      <c r="B11" s="1012" t="s">
        <v>1226</v>
      </c>
      <c r="C11" s="1030">
        <f ca="1">IFERROR(IF(Datos!$C$26&lt;&gt;0,Datos!C13*100/Datos!$C$26,""),0)</f>
        <v>46.334064364574502</v>
      </c>
      <c r="D11" s="1030">
        <f>IFERROR(IF(Datos!$D$26&lt;&gt;0,Datos!D13*100/Datos!$D$26,""),0)</f>
        <v>48.347626204216972</v>
      </c>
      <c r="E11" s="1031" t="str">
        <f>IF(Datos!$E$26&lt;&gt;0,Datos!E13*100/Datos!$E$26,"")</f>
        <v/>
      </c>
      <c r="F11" s="1031" t="str">
        <f>IF(Datos!$F$26&lt;&gt;0,Datos!F13*100/Datos!$F$26,"")</f>
        <v/>
      </c>
    </row>
    <row r="12" spans="2:8" s="1015" customFormat="1" ht="30" customHeight="1">
      <c r="B12" s="1012" t="s">
        <v>1227</v>
      </c>
      <c r="C12" s="1030">
        <f ca="1">IFERROR(IF(Datos!$C$26&lt;&gt;0,Datos!C14*100/Datos!$C$26,""),0)</f>
        <v>1.2262798984039666E-2</v>
      </c>
      <c r="D12" s="1030">
        <f>IFERROR(IF(Datos!$D$26&lt;&gt;0,Datos!D14*100/Datos!$D$26,""),0)</f>
        <v>2.1165206247966001E-2</v>
      </c>
      <c r="E12" s="1031" t="str">
        <f>IF(Datos!$E$26&lt;&gt;0,Datos!E14*100/Datos!$E$26,"")</f>
        <v/>
      </c>
      <c r="F12" s="1031" t="str">
        <f>IF(Datos!$F$26&lt;&gt;0,Datos!F14*100/Datos!$F$26,"")</f>
        <v/>
      </c>
    </row>
    <row r="13" spans="2:8" s="1015" customFormat="1" ht="30" customHeight="1">
      <c r="B13" s="1012" t="s">
        <v>1269</v>
      </c>
      <c r="C13" s="1030">
        <f ca="1">IFERROR(IF(Datos!$C$26&lt;&gt;0,Datos!C15*100/Datos!$C$26,""),0)</f>
        <v>6.3248582386287477</v>
      </c>
      <c r="D13" s="1030">
        <f>IFERROR(IF(Datos!$D$26&lt;&gt;0,Datos!D15*100/Datos!$D$26,""),0)</f>
        <v>5.7730162178505662</v>
      </c>
      <c r="E13" s="1031" t="str">
        <f>IF(Datos!$E$26&lt;&gt;0,Datos!E16*100/Datos!$E$26,"")</f>
        <v/>
      </c>
      <c r="F13" s="1031" t="str">
        <f>IF(Datos!$F$26&lt;&gt;0,Datos!F16*100/Datos!$F$26,"")</f>
        <v/>
      </c>
    </row>
    <row r="14" spans="2:8" s="1027" customFormat="1" ht="30" customHeight="1">
      <c r="B14" s="1010" t="s">
        <v>1107</v>
      </c>
      <c r="C14" s="1028">
        <f ca="1">IFERROR(IF(Datos!$C$26&lt;&gt;0,Datos!C16*100/Datos!$C$26,""),0)</f>
        <v>0.65095098894119052</v>
      </c>
      <c r="D14" s="1028">
        <f>IFERROR(IF(Datos!$D$26&lt;&gt;0,Datos!D16*100/Datos!$D$26,""),0)</f>
        <v>0.83934932323435829</v>
      </c>
      <c r="E14" s="1029" t="str">
        <f>IF(Datos!$E$26&lt;&gt;0,Datos!E17*100/Datos!$E$26,"")</f>
        <v/>
      </c>
      <c r="F14" s="1029" t="str">
        <f>IF(Datos!$F$26&lt;&gt;0,Datos!F17*100/Datos!$F$26,"")</f>
        <v/>
      </c>
    </row>
    <row r="15" spans="2:8" s="1027" customFormat="1" ht="30" customHeight="1">
      <c r="B15" s="1012" t="s">
        <v>1230</v>
      </c>
      <c r="C15" s="1030">
        <f ca="1">IFERROR(IF(Datos!$C$26&lt;&gt;0,Datos!C17*100/Datos!$C$26,""),0)</f>
        <v>12.985413132091917</v>
      </c>
      <c r="D15" s="1030">
        <f>IFERROR(IF(Datos!$D$26&lt;&gt;0,Datos!D17*100/Datos!$D$26,""),0)</f>
        <v>12.987284009012026</v>
      </c>
      <c r="E15" s="1031" t="str">
        <f>IF(Datos!$E$26&lt;&gt;0,Datos!E18*100/Datos!$E$26,"")</f>
        <v/>
      </c>
      <c r="F15" s="1031" t="str">
        <f>IF(Datos!$F$26&lt;&gt;0,Datos!F18*100/Datos!$F$26,"")</f>
        <v/>
      </c>
    </row>
    <row r="16" spans="2:8" s="1027" customFormat="1" ht="30" customHeight="1">
      <c r="B16" s="1010" t="s">
        <v>1231</v>
      </c>
      <c r="C16" s="1028">
        <f ca="1">IFERROR(IF(Datos!$C$26&lt;&gt;0,Datos!C18*100/Datos!$C$26,""),0)</f>
        <v>12.985413132091917</v>
      </c>
      <c r="D16" s="1028">
        <f>IFERROR(IF(Datos!$D$26&lt;&gt;0,Datos!D18*100/Datos!$D$26,""),0)</f>
        <v>12.987284009012026</v>
      </c>
      <c r="E16" s="1029" t="str">
        <f>IF(Datos!$E$26&lt;&gt;0,Datos!E19*100/Datos!$E$26,"")</f>
        <v/>
      </c>
      <c r="F16" s="1029" t="str">
        <f>IF(Datos!$F$26&lt;&gt;0,Datos!F19*100/Datos!$F$26,"")</f>
        <v/>
      </c>
    </row>
    <row r="17" spans="2:7" s="1015" customFormat="1" ht="30" customHeight="1">
      <c r="B17" s="1012" t="s">
        <v>1232</v>
      </c>
      <c r="C17" s="1030">
        <f ca="1">IFERROR(IF(Datos!$C$26&lt;&gt;0,Datos!C19*100/Datos!$C$26,""),0)</f>
        <v>7.808116439958007</v>
      </c>
      <c r="D17" s="1030">
        <f>IFERROR(IF(Datos!$D$26&lt;&gt;0,Datos!D19*100/Datos!$D$26,""),0)</f>
        <v>6.915963041091219</v>
      </c>
      <c r="E17" s="1031" t="str">
        <f>IF(Datos!$E$26&lt;&gt;0,Datos!E20*100/Datos!$E$26,"")</f>
        <v/>
      </c>
      <c r="F17" s="1031" t="str">
        <f>IF(Datos!$F$26&lt;&gt;0,Datos!F20*100/Datos!$F$26,"")</f>
        <v/>
      </c>
    </row>
    <row r="18" spans="2:7" s="1015" customFormat="1" ht="30" customHeight="1">
      <c r="B18" s="1012" t="s">
        <v>40</v>
      </c>
      <c r="C18" s="1030">
        <f ca="1">IFERROR(IF(Datos!$C$26&lt;&gt;0,Datos!C20*100/Datos!$C$26,""),0)</f>
        <v>6.9072423692705636</v>
      </c>
      <c r="D18" s="1030">
        <f>IFERROR(IF(Datos!$D$26&lt;&gt;0,Datos!D20*100/Datos!$D$26,""),0)</f>
        <v>6.3663497685541746</v>
      </c>
      <c r="E18" s="1031" t="str">
        <f>IF(Datos!$E$26&lt;&gt;0,Datos!E21*100/Datos!$E$26,"")</f>
        <v/>
      </c>
      <c r="F18" s="1031" t="str">
        <f>IF(Datos!$F$26&lt;&gt;0,Datos!F21*100/Datos!$F$26,"")</f>
        <v/>
      </c>
    </row>
    <row r="19" spans="2:7" s="1027" customFormat="1" ht="30" customHeight="1">
      <c r="B19" s="1010" t="s">
        <v>1233</v>
      </c>
      <c r="C19" s="1028">
        <f ca="1">IFERROR(IF(Datos!$C$26&lt;&gt;0,Datos!C21*100/Datos!$C$26,""),0)</f>
        <v>0.90087407068744429</v>
      </c>
      <c r="D19" s="1028">
        <f>IFERROR(IF(Datos!$D$26&lt;&gt;0,Datos!D21*100/Datos!$D$26,""),0)</f>
        <v>0.54961327253704362</v>
      </c>
      <c r="E19" s="1029" t="str">
        <f>IF(Datos!$E$26&lt;&gt;0,Datos!E22*100/Datos!$E$26,"")</f>
        <v/>
      </c>
      <c r="F19" s="1029" t="str">
        <f>IF(Datos!$F$26&lt;&gt;0,Datos!F22*100/Datos!$F$26,"")</f>
        <v/>
      </c>
      <c r="G19" s="1015"/>
    </row>
    <row r="20" spans="2:7" s="1015" customFormat="1" ht="30" customHeight="1">
      <c r="B20" s="1012" t="s">
        <v>1234</v>
      </c>
      <c r="C20" s="1030">
        <f ca="1">IFERROR(IF(Datos!$C$26&lt;&gt;0,Datos!C22*100/Datos!$C$26,""),0)</f>
        <v>24.316863337501324</v>
      </c>
      <c r="D20" s="1030">
        <f>IFERROR(IF(Datos!$D$26&lt;&gt;0,Datos!D22*100/Datos!$D$26,""),0)</f>
        <v>23.354485154496171</v>
      </c>
      <c r="E20" s="1031" t="str">
        <f>IF(Datos!$E$26&lt;&gt;0,Datos!E23*100/Datos!$E$26,"")</f>
        <v/>
      </c>
      <c r="F20" s="1031" t="str">
        <f>IF(Datos!$F$26&lt;&gt;0,Datos!F23*100/Datos!$F$26,"")</f>
        <v/>
      </c>
    </row>
    <row r="21" spans="2:7" s="1015" customFormat="1" ht="30" customHeight="1">
      <c r="B21" s="1012" t="s">
        <v>1235</v>
      </c>
      <c r="C21" s="1030">
        <f ca="1">IFERROR(IF(Datos!$C$26&lt;&gt;0,Datos!C23*100/Datos!$C$26,""),0)</f>
        <v>24.287623210037658</v>
      </c>
      <c r="D21" s="1030">
        <f>IFERROR(IF(Datos!$D$26&lt;&gt;0,Datos!D23*100/Datos!$D$26,""),0)</f>
        <v>23.31525073777723</v>
      </c>
      <c r="E21" s="1031" t="str">
        <f>IF(Datos!$E$26&lt;&gt;0,Datos!E24*100/Datos!$E$26,"")</f>
        <v/>
      </c>
      <c r="F21" s="1031" t="str">
        <f>IF(Datos!$F$26&lt;&gt;0,Datos!F24*100/Datos!$F$26,"")</f>
        <v/>
      </c>
    </row>
    <row r="22" spans="2:7" s="1015" customFormat="1" ht="30" customHeight="1">
      <c r="B22" s="1012" t="s">
        <v>1236</v>
      </c>
      <c r="C22" s="1030">
        <f ca="1">IFERROR(IF(Datos!$C$26&lt;&gt;0,Datos!C24*100/Datos!$C$26,""),0)</f>
        <v>0</v>
      </c>
      <c r="D22" s="1030">
        <f>IFERROR(IF(Datos!$D$26&lt;&gt;0,Datos!D24*100/Datos!$D$26,""),0)</f>
        <v>0</v>
      </c>
      <c r="E22" s="1031" t="str">
        <f>IF(Datos!$E$26&lt;&gt;0,Datos!E25*100/Datos!$E$26,"")</f>
        <v/>
      </c>
      <c r="F22" s="1031" t="str">
        <f>IF(Datos!$F$26&lt;&gt;0,Datos!F25*100/Datos!$F$26,"")</f>
        <v/>
      </c>
    </row>
    <row r="23" spans="2:7" s="1027" customFormat="1" ht="30" customHeight="1">
      <c r="B23" s="1008" t="s">
        <v>1237</v>
      </c>
      <c r="C23" s="1032">
        <f ca="1">IFERROR(IF(Datos!$C$26&lt;&gt;0,Datos!C25*100/Datos!$C$26,""),0)</f>
        <v>2.9240127463665753E-2</v>
      </c>
      <c r="D23" s="1032">
        <f>IFERROR(IF(Datos!$D$26&lt;&gt;0,Datos!D25*100/Datos!$D$26,""),0)</f>
        <v>3.9234416718939881E-2</v>
      </c>
      <c r="E23" s="1014">
        <f>IF(Datos!$E$26&lt;&gt;0,Datos!E26*100/Datos!$E$26,0)</f>
        <v>0</v>
      </c>
      <c r="F23" s="1014" t="str">
        <f>IF(Datos!$F$26&lt;&gt;0,Datos!F26*100/Datos!$F$26,"")</f>
        <v/>
      </c>
      <c r="G23" s="1015"/>
    </row>
    <row r="24" spans="2:7" ht="13.8">
      <c r="G24" s="986"/>
    </row>
    <row r="25" spans="2:7" s="1015" customFormat="1" ht="30" customHeight="1">
      <c r="B25" s="1008" t="s">
        <v>53</v>
      </c>
      <c r="C25" s="1033"/>
      <c r="D25" s="1033"/>
      <c r="E25" s="1025"/>
      <c r="F25" s="1026"/>
    </row>
    <row r="26" spans="2:7" s="1027" customFormat="1" ht="30" customHeight="1">
      <c r="B26" s="1010" t="s">
        <v>1238</v>
      </c>
      <c r="C26" s="1028">
        <f ca="1">IFERROR(IF(Datos!$C$41&lt;&gt;0,Datos!C29*100/Datos!$C$41,""),0)</f>
        <v>96.725487371416179</v>
      </c>
      <c r="D26" s="1028">
        <f>IFERROR(IF(Datos!$D$41&lt;&gt;0,Datos!D29*100/Datos!$D$41,""),0)</f>
        <v>97.709033578801851</v>
      </c>
      <c r="E26" s="1011" t="str">
        <f>IF(Datos!$E$41&lt;&gt;0,Datos!E29*100/Datos!$E$41,"")</f>
        <v/>
      </c>
      <c r="F26" s="1011" t="str">
        <f>IF(Datos!$F$41&lt;&gt;0,Datos!F29*100/Datos!$F$41,"")</f>
        <v/>
      </c>
    </row>
    <row r="27" spans="2:7" s="1015" customFormat="1" ht="30" customHeight="1">
      <c r="B27" s="1012" t="s">
        <v>1239</v>
      </c>
      <c r="C27" s="1030">
        <f ca="1">IFERROR(IF(Datos!$C$41&lt;&gt;0,Datos!C30*100/Datos!$C$41,""),0)</f>
        <v>39.733352040725684</v>
      </c>
      <c r="D27" s="1030">
        <f>IFERROR(IF(Datos!$D$41&lt;&gt;0,Datos!D30*100/Datos!$D$41,""),0)</f>
        <v>43.630419793209825</v>
      </c>
      <c r="E27" s="1031" t="str">
        <f>IF(Datos!$E$41&lt;&gt;0,Datos!E30*100/Datos!$E$41,"")</f>
        <v/>
      </c>
      <c r="F27" s="1031" t="str">
        <f>IF(Datos!$F$41&lt;&gt;0,Datos!F30*100/Datos!$F$41,"")</f>
        <v/>
      </c>
    </row>
    <row r="28" spans="2:7" s="1015" customFormat="1" ht="30" customHeight="1">
      <c r="B28" s="1012" t="s">
        <v>1240</v>
      </c>
      <c r="C28" s="1030">
        <f ca="1">IFERROR(IF(Datos!$C$41&lt;&gt;0,Datos!C31*100/Datos!$C$41,""),0)</f>
        <v>46.096636011055899</v>
      </c>
      <c r="D28" s="1030">
        <f>IFERROR(IF(Datos!$D$41&lt;&gt;0,Datos!D31*100/Datos!$D$41,""),0)</f>
        <v>47.250377553774854</v>
      </c>
      <c r="E28" s="1031" t="str">
        <f>IF(Datos!$E$41&lt;&gt;0,Datos!E31*100/Datos!$E$41,"")</f>
        <v/>
      </c>
      <c r="F28" s="1031" t="str">
        <f>IF(Datos!$F$41&lt;&gt;0,Datos!F31*100/Datos!$F$41,"")</f>
        <v/>
      </c>
    </row>
    <row r="29" spans="2:7" s="1015" customFormat="1" ht="30" customHeight="1">
      <c r="B29" s="1012" t="s">
        <v>1241</v>
      </c>
      <c r="C29" s="1030">
        <f ca="1">IFERROR(IF(Datos!$C$41&lt;&gt;0,Datos!C32*100/Datos!$C$41,""),0)</f>
        <v>4.1553990444363587</v>
      </c>
      <c r="D29" s="1030">
        <f>IFERROR(IF(Datos!$D$41&lt;&gt;0,Datos!D32*100/Datos!$D$41,""),0)</f>
        <v>3.3674403981491805</v>
      </c>
      <c r="E29" s="1031" t="str">
        <f>IF(Datos!$E$41&lt;&gt;0,Datos!E32*100/Datos!$E$41,"")</f>
        <v/>
      </c>
      <c r="F29" s="1031" t="str">
        <f>IF(Datos!$F$41&lt;&gt;0,Datos!F32*100/Datos!$F$41,"")</f>
        <v/>
      </c>
    </row>
    <row r="30" spans="2:7" s="1015" customFormat="1" ht="30" customHeight="1">
      <c r="B30" s="1012" t="s">
        <v>1242</v>
      </c>
      <c r="C30" s="1030">
        <f ca="1">IFERROR(IF(Datos!$C$41&lt;&gt;0,Datos!C33*100/Datos!$C$41,""),0)</f>
        <v>6.7401002751982304</v>
      </c>
      <c r="D30" s="1030">
        <f>IFERROR(IF(Datos!$D$41&lt;&gt;0,Datos!D33*100/Datos!$D$41,""),0)</f>
        <v>3.4607958336679849</v>
      </c>
      <c r="E30" s="1031" t="str">
        <f>IF(Datos!$E$41&lt;&gt;0,Datos!E33*100/Datos!$E$41,"")</f>
        <v/>
      </c>
      <c r="F30" s="1031" t="str">
        <f>IF(Datos!$F$41&lt;&gt;0,Datos!F33*100/Datos!$F$41,"")</f>
        <v/>
      </c>
    </row>
    <row r="31" spans="2:7" s="1027" customFormat="1" ht="30" customHeight="1">
      <c r="B31" s="1010" t="s">
        <v>1243</v>
      </c>
      <c r="C31" s="1028">
        <f ca="1">IFERROR(IF(Datos!$C$41&lt;&gt;0,Datos!C34*100/Datos!$C$41,""),0)</f>
        <v>2.895978188359936</v>
      </c>
      <c r="D31" s="1028">
        <f>IFERROR(IF(Datos!$D$41&lt;&gt;0,Datos!D34*100/Datos!$D$41,""),0)</f>
        <v>1.9680784485684795</v>
      </c>
      <c r="E31" s="1011" t="str">
        <f>IF(Datos!$E$41&lt;&gt;0,Datos!E34*100/Datos!$E$41,"")</f>
        <v/>
      </c>
      <c r="F31" s="1011" t="str">
        <f>IF(Datos!$F$41&lt;&gt;0,Datos!F34*100/Datos!$F$41,"")</f>
        <v/>
      </c>
    </row>
    <row r="32" spans="2:7" s="1015" customFormat="1" ht="30" customHeight="1">
      <c r="B32" s="1012" t="s">
        <v>96</v>
      </c>
      <c r="C32" s="1030">
        <f ca="1">IFERROR(IF(Datos!$C$41&lt;&gt;0,Datos!C35*100/Datos!$C$41,""),0)</f>
        <v>0</v>
      </c>
      <c r="D32" s="1030">
        <f>IFERROR(IF(Datos!$D$41&lt;&gt;0,Datos!D35*100/Datos!$D$41,""),0)</f>
        <v>0</v>
      </c>
      <c r="E32" s="1031" t="str">
        <f>IF(Datos!$E$41&lt;&gt;0,Datos!E35*100/Datos!$E$41,"")</f>
        <v/>
      </c>
      <c r="F32" s="1031" t="str">
        <f>IF(Datos!$F$41&lt;&gt;0,Datos!F35*100/Datos!$F$41,"")</f>
        <v/>
      </c>
    </row>
    <row r="33" spans="2:6" s="1015" customFormat="1" ht="30" customHeight="1">
      <c r="B33" s="1012" t="s">
        <v>1244</v>
      </c>
      <c r="C33" s="1030">
        <f ca="1">IFERROR(IF(Datos!$C$41&lt;&gt;0,Datos!C36*100/Datos!$C$41,""),0)</f>
        <v>2.895978188359936</v>
      </c>
      <c r="D33" s="1030">
        <f>IFERROR(IF(Datos!$D$41&lt;&gt;0,Datos!D36*100/Datos!$D$41,""),0)</f>
        <v>1.9680784485684795</v>
      </c>
      <c r="E33" s="1031" t="str">
        <f>IF(Datos!$E$41&lt;&gt;0,Datos!E36*100/Datos!$E$41,"")</f>
        <v/>
      </c>
      <c r="F33" s="1031" t="str">
        <f>IF(Datos!$F$41&lt;&gt;0,Datos!F36*100/Datos!$F$41,"")</f>
        <v/>
      </c>
    </row>
    <row r="34" spans="2:6" s="1027" customFormat="1" ht="30" customHeight="1">
      <c r="B34" s="1010" t="s">
        <v>1245</v>
      </c>
      <c r="C34" s="1028">
        <f ca="1">IFERROR(IF(Datos!$C$41&lt;&gt;0,Datos!C37*100/Datos!$C$41,""),0)</f>
        <v>0.37853444022389027</v>
      </c>
      <c r="D34" s="1028">
        <f>IFERROR(IF(Datos!$D$41&lt;&gt;0,Datos!D37*100/Datos!$D$41,""),0)</f>
        <v>0.32288797262966973</v>
      </c>
      <c r="E34" s="1011" t="str">
        <f>IF(Datos!$E$41&lt;&gt;0,Datos!E37*100/Datos!$E$41,"")</f>
        <v/>
      </c>
      <c r="F34" s="1011" t="str">
        <f>IF(Datos!$F$41&lt;&gt;0,Datos!F37*100/Datos!$F$41,"")</f>
        <v/>
      </c>
    </row>
    <row r="35" spans="2:6" s="1015" customFormat="1" ht="30" customHeight="1">
      <c r="B35" s="1012" t="s">
        <v>99</v>
      </c>
      <c r="C35" s="1030">
        <f ca="1">IFERROR(IF(Datos!$C$41&lt;&gt;0,Datos!C38*100/Datos!$C$41,""),0)</f>
        <v>4.513473349201038E-2</v>
      </c>
      <c r="D35" s="1030">
        <f>IFERROR(IF(Datos!$D$41&lt;&gt;0,Datos!D38*100/Datos!$D$41,""),0)</f>
        <v>2.471633584890991E-2</v>
      </c>
      <c r="E35" s="1031" t="str">
        <f>IF(Datos!$E$41&lt;&gt;0,Datos!E38*100/Datos!$E$41,"")</f>
        <v/>
      </c>
      <c r="F35" s="1031" t="str">
        <f>IF(Datos!$F$41&lt;&gt;0,Datos!F38*100/Datos!$F$41,"")</f>
        <v/>
      </c>
    </row>
    <row r="36" spans="2:6" s="1015" customFormat="1" ht="30" customHeight="1">
      <c r="B36" s="1012" t="s">
        <v>1246</v>
      </c>
      <c r="C36" s="1030">
        <f ca="1">IFERROR(IF(Datos!$C$41&lt;&gt;0,Datos!C39*100/Datos!$C$41,""),0)</f>
        <v>0</v>
      </c>
      <c r="D36" s="1030">
        <f>IFERROR(IF(Datos!$D$41&lt;&gt;0,Datos!D39*100/Datos!$D$41,""),0)</f>
        <v>0</v>
      </c>
      <c r="E36" s="1031" t="str">
        <f>IF(Datos!$E$41&lt;&gt;0,Datos!E39*100/Datos!$E$41,"")</f>
        <v/>
      </c>
      <c r="F36" s="1031" t="str">
        <f>IF(Datos!$F$41&lt;&gt;0,Datos!F39*100/Datos!$F$41,"")</f>
        <v/>
      </c>
    </row>
    <row r="37" spans="2:6" s="1015" customFormat="1" ht="30" customHeight="1">
      <c r="B37" s="1012" t="s">
        <v>1247</v>
      </c>
      <c r="C37" s="1030">
        <f ca="1">IFERROR(IF(Datos!$C$41&lt;&gt;0,Datos!C40*100/Datos!$C$41,""),0)</f>
        <v>0.33339970673187985</v>
      </c>
      <c r="D37" s="1030">
        <f>IFERROR(IF(Datos!$D$41&lt;&gt;0,Datos!D40*100/Datos!$D$41,""),0)</f>
        <v>0.29817163678075981</v>
      </c>
      <c r="E37" s="1031" t="str">
        <f>IF(Datos!$E$41&lt;&gt;0,Datos!E40*100/Datos!$E$41,"")</f>
        <v/>
      </c>
      <c r="F37" s="1031" t="str">
        <f>IF(Datos!$F$41&lt;&gt;0,Datos!F40*100/Datos!$F$41,"")</f>
        <v/>
      </c>
    </row>
    <row r="38" spans="2:6" s="1027" customFormat="1" ht="30" customHeight="1">
      <c r="B38" s="1008" t="s">
        <v>108</v>
      </c>
      <c r="C38" s="1032">
        <f ca="1">IFERROR(IF(Datos!$C$41&lt;&gt;0,Datos!C41*100/Datos!$C$41,""),0)</f>
        <v>100</v>
      </c>
      <c r="D38" s="1032">
        <f>IFERROR(IF(Datos!$D$41&lt;&gt;0,Datos!D41*100/Datos!$D$41,""),0)</f>
        <v>100</v>
      </c>
      <c r="E38" s="1014" t="str">
        <f>IF(Datos!$E$41&lt;&gt;0,Datos!E41*100/Datos!$E$41,"")</f>
        <v/>
      </c>
      <c r="F38" s="1014" t="str">
        <f>IF(Datos!$F$41&lt;&gt;0,Datos!F41*100/Datos!$F$41,"")</f>
        <v/>
      </c>
    </row>
    <row r="39" spans="2:6" ht="8.25" customHeight="1"/>
    <row r="40" spans="2:6" ht="6" customHeight="1"/>
    <row r="41" spans="2:6" ht="6" customHeight="1"/>
    <row r="42" spans="2:6" s="1015" customFormat="1" ht="30" customHeight="1">
      <c r="B42" s="1008" t="s">
        <v>1248</v>
      </c>
      <c r="C42" s="1014"/>
      <c r="D42" s="1014"/>
      <c r="E42" s="1014"/>
      <c r="F42" s="1014"/>
    </row>
    <row r="43" spans="2:6" s="1027" customFormat="1" ht="30" customHeight="1">
      <c r="B43" s="1010" t="s">
        <v>1249</v>
      </c>
      <c r="C43" s="1029">
        <f ca="1">IFERROR(IF(Datos!C46&lt;&gt;0,Datos!C46*100/Datos!$C$46,0),0)</f>
        <v>100</v>
      </c>
      <c r="D43" s="1029">
        <f>IFERROR(IF(Datos!D46&lt;&gt;0,Datos!D46*100/Datos!$D$46,0),0)</f>
        <v>100</v>
      </c>
      <c r="E43" s="1029">
        <f>IF(Datos!E46&lt;&gt;0,Datos!E46*100/Datos!$E$46,0)</f>
        <v>0</v>
      </c>
      <c r="F43" s="1029">
        <f>IF(Datos!F46&lt;&gt;0,Datos!F46*100/Datos!$F$46,0)</f>
        <v>0</v>
      </c>
    </row>
    <row r="44" spans="2:6" s="1015" customFormat="1" ht="30" customHeight="1">
      <c r="B44" s="1012" t="s">
        <v>1250</v>
      </c>
      <c r="C44" s="1031">
        <f ca="1">IFERROR(IF(Datos!C47&lt;&gt;0,Datos!C47*100/Datos!$C$46,0),0)</f>
        <v>99.972693417355572</v>
      </c>
      <c r="D44" s="1031">
        <f>IFERROR(IF(Datos!D47&lt;&gt;0,Datos!D47*100/Datos!$D$46,0),0)</f>
        <v>99.777067693960618</v>
      </c>
      <c r="E44" s="1031">
        <f>IF(Datos!E47&lt;&gt;0,Datos!E47*100/Datos!$E$46,0)</f>
        <v>0</v>
      </c>
      <c r="F44" s="1031">
        <f>IF(Datos!F47&lt;&gt;0,Datos!F47*100/Datos!$F$46,0)</f>
        <v>0</v>
      </c>
    </row>
    <row r="45" spans="2:6" s="1015" customFormat="1" ht="30" customHeight="1">
      <c r="B45" s="1012" t="s">
        <v>1251</v>
      </c>
      <c r="C45" s="1031">
        <f ca="1">IFERROR(IF(Datos!C48&lt;&gt;0,Datos!C48*100/Datos!$C$46,0),0)</f>
        <v>2.7306582644430661E-2</v>
      </c>
      <c r="D45" s="1031">
        <f>IFERROR(IF(Datos!D48&lt;&gt;0,Datos!D48*100/Datos!$D$46,0),0)</f>
        <v>0.22293230603938571</v>
      </c>
      <c r="E45" s="1031">
        <f>IF(Datos!E48&lt;&gt;0,Datos!E48*100/Datos!$E$46,0)</f>
        <v>0</v>
      </c>
      <c r="F45" s="1031">
        <f>IF(Datos!F48&lt;&gt;0,Datos!F48*100/Datos!$F$46,0)</f>
        <v>0</v>
      </c>
    </row>
    <row r="46" spans="2:6" s="1027" customFormat="1" ht="30" customHeight="1">
      <c r="B46" s="1010" t="s">
        <v>1252</v>
      </c>
      <c r="C46" s="1029">
        <f ca="1">IFERROR(IF(Datos!C49&lt;&gt;0,Datos!C49*100/Datos!$C$46,0),0)</f>
        <v>80.641885734445722</v>
      </c>
      <c r="D46" s="1029">
        <f>IFERROR(IF(Datos!D49&lt;&gt;0,Datos!D49*100/Datos!$D$46,0),0)</f>
        <v>76.97180021666577</v>
      </c>
      <c r="E46" s="1029">
        <f>IF(Datos!E49&lt;&gt;0,Datos!E49*100/Datos!$E$46,0)</f>
        <v>0</v>
      </c>
      <c r="F46" s="1029">
        <f>IF(Datos!F49&lt;&gt;0,Datos!F49*100/Datos!$F$46,0)</f>
        <v>0</v>
      </c>
    </row>
    <row r="47" spans="2:6" s="1015" customFormat="1" ht="30" customHeight="1">
      <c r="B47" s="1012" t="s">
        <v>1253</v>
      </c>
      <c r="C47" s="1031">
        <f ca="1">IFERROR(IF(Datos!C50&lt;&gt;0,Datos!C50*100/Datos!$C$46,0),0)</f>
        <v>77.143556853191654</v>
      </c>
      <c r="D47" s="1031">
        <f>IFERROR(IF(Datos!D50&lt;&gt;0,Datos!D50*100/Datos!$D$46,0),0)</f>
        <v>78.322647666689079</v>
      </c>
      <c r="E47" s="1031">
        <f>IF(Datos!E50&lt;&gt;0,Datos!E50*100/Datos!$E$46,0)</f>
        <v>0</v>
      </c>
      <c r="F47" s="1031">
        <f>IF(Datos!F50&lt;&gt;0,Datos!F50*100/Datos!$F$46,0)</f>
        <v>0</v>
      </c>
    </row>
    <row r="48" spans="2:6" s="1015" customFormat="1" ht="30" customHeight="1">
      <c r="B48" s="1012" t="s">
        <v>1254</v>
      </c>
      <c r="C48" s="1031">
        <f ca="1">IFERROR(IF(Datos!C51&lt;&gt;0,Datos!C51*100/Datos!$C$46,0),0)</f>
        <v>3.4983288812540732</v>
      </c>
      <c r="D48" s="1031">
        <f>IFERROR(IF(Datos!D51&lt;&gt;0,Datos!D51*100/Datos!$D$46,0),0)</f>
        <v>-1.3508474500233074</v>
      </c>
      <c r="E48" s="1031">
        <f>IF(Datos!E51&lt;&gt;0,Datos!E51*100/Datos!$E$46,0)</f>
        <v>0</v>
      </c>
      <c r="F48" s="1031">
        <f>IF(Datos!F51&lt;&gt;0,Datos!F51*100/Datos!$F$46,0)</f>
        <v>0</v>
      </c>
    </row>
    <row r="49" spans="2:6" s="1015" customFormat="1" ht="30" customHeight="1">
      <c r="B49" s="1010" t="s">
        <v>1255</v>
      </c>
      <c r="C49" s="1029">
        <f ca="1">IFERROR(IF(Datos!C52&lt;&gt;0,Datos!C52*100/Datos!$C$46,0),0)</f>
        <v>19.358114265554274</v>
      </c>
      <c r="D49" s="1029">
        <f>IFERROR(IF(Datos!D52&lt;&gt;0,Datos!D52*100/Datos!$D$46,0),0)</f>
        <v>23.02819978333422</v>
      </c>
      <c r="E49" s="1029">
        <f>IF(Datos!E52&lt;&gt;0,Datos!E52*100/Datos!$E$46,0)</f>
        <v>0</v>
      </c>
      <c r="F49" s="1029">
        <f>IF(Datos!F52&lt;&gt;0,Datos!F52*100/Datos!$F$46,0)</f>
        <v>0</v>
      </c>
    </row>
    <row r="50" spans="2:6" s="1027" customFormat="1" ht="30" customHeight="1">
      <c r="B50" s="1010" t="s">
        <v>1256</v>
      </c>
      <c r="C50" s="1029">
        <f ca="1">IFERROR(IF(Datos!C53&lt;&gt;0,Datos!C53*100/Datos!$C$46,0),0)</f>
        <v>13.471753906518627</v>
      </c>
      <c r="D50" s="1029">
        <f>IFERROR(IF(Datos!D53&lt;&gt;0,Datos!D53*100/Datos!$D$46,0),0)</f>
        <v>13.939577835650185</v>
      </c>
      <c r="E50" s="1029">
        <f>IF(Datos!E53&lt;&gt;0,Datos!E53*100/Datos!$E$46,0)</f>
        <v>0</v>
      </c>
      <c r="F50" s="1029">
        <f>IF(Datos!F53&lt;&gt;0,Datos!F53*100/Datos!$F$46,0)</f>
        <v>0</v>
      </c>
    </row>
    <row r="51" spans="2:6" s="1015" customFormat="1" ht="30" customHeight="1">
      <c r="B51" s="1012" t="s">
        <v>1257</v>
      </c>
      <c r="C51" s="1031">
        <f ca="1">IFERROR(IF(Datos!C54&lt;&gt;0,Datos!C54*100/Datos!$C$46,0),0)</f>
        <v>5.4521285253762466</v>
      </c>
      <c r="D51" s="1031">
        <f>IFERROR(IF(Datos!D54&lt;&gt;0,Datos!D54*100/Datos!$D$46,0),0)</f>
        <v>5.8741369986379004</v>
      </c>
      <c r="E51" s="1031">
        <f>IF(Datos!E54&lt;&gt;0,Datos!E54*100/Datos!$E$46,0)</f>
        <v>0</v>
      </c>
      <c r="F51" s="1031">
        <f>IF(Datos!F54&lt;&gt;0,Datos!F54*100/Datos!$F$46,0)</f>
        <v>0</v>
      </c>
    </row>
    <row r="52" spans="2:6" s="1015" customFormat="1" ht="30" customHeight="1">
      <c r="B52" s="1012" t="s">
        <v>1258</v>
      </c>
      <c r="C52" s="1031">
        <f ca="1">IFERROR(IF(Datos!C55&lt;&gt;0,Datos!C55*100/Datos!$C$46,0),0)</f>
        <v>6.3408105183697909</v>
      </c>
      <c r="D52" s="1031">
        <f>IFERROR(IF(Datos!D55&lt;&gt;0,Datos!D55*100/Datos!$D$46,0),0)</f>
        <v>6.5574290953257321</v>
      </c>
      <c r="E52" s="1031">
        <f>IF(Datos!E55&lt;&gt;0,Datos!E55*100/Datos!$E$46,0)</f>
        <v>0</v>
      </c>
      <c r="F52" s="1031">
        <f>IF(Datos!F55&lt;&gt;0,Datos!F55*100/Datos!$F$46,0)</f>
        <v>0</v>
      </c>
    </row>
    <row r="53" spans="2:6" s="1015" customFormat="1" ht="30" customHeight="1">
      <c r="B53" s="1012" t="s">
        <v>1259</v>
      </c>
      <c r="C53" s="1031">
        <f ca="1">IFERROR(IF(Datos!C56&lt;&gt;0,Datos!C56*100/Datos!$C$46,0),0)</f>
        <v>0.14926183397370463</v>
      </c>
      <c r="D53" s="1031">
        <f>IFERROR(IF(Datos!D56&lt;&gt;0,Datos!D56*100/Datos!$D$46,0),0)</f>
        <v>1.0824459932024712E-3</v>
      </c>
      <c r="E53" s="1031">
        <f>IF(Datos!E56&lt;&gt;0,Datos!E56*100/Datos!$E$46,0)</f>
        <v>0</v>
      </c>
      <c r="F53" s="1031">
        <f>IF(Datos!F56&lt;&gt;0,Datos!F56*100/Datos!$F$46,0)</f>
        <v>0</v>
      </c>
    </row>
    <row r="54" spans="2:6" s="1015" customFormat="1" ht="30" customHeight="1">
      <c r="B54" s="1012" t="s">
        <v>1260</v>
      </c>
      <c r="C54" s="1031">
        <f ca="1">IFERROR(IF(Datos!C57&lt;&gt;0,Datos!C57*100/Datos!$C$46,0),0)</f>
        <v>0.29513881441341527</v>
      </c>
      <c r="D54" s="1031">
        <f>IFERROR(IF(Datos!D57&lt;&gt;0,Datos!D57*100/Datos!$D$46,0),0)</f>
        <v>0.2157074612362874</v>
      </c>
      <c r="E54" s="1031">
        <f>IF(Datos!E57&lt;&gt;0,Datos!E57*100/Datos!$E$46,0)</f>
        <v>0</v>
      </c>
      <c r="F54" s="1031">
        <f>IF(Datos!F57&lt;&gt;0,Datos!F57*100/Datos!$F$46,0)</f>
        <v>0</v>
      </c>
    </row>
    <row r="55" spans="2:6" s="1015" customFormat="1" ht="30" customHeight="1">
      <c r="B55" s="1012" t="s">
        <v>1261</v>
      </c>
      <c r="C55" s="1031">
        <f ca="1">IFERROR(IF(Datos!C58&lt;&gt;0,Datos!C58*100/Datos!$C$46,0),0)</f>
        <v>1.2344142143854713</v>
      </c>
      <c r="D55" s="1031">
        <f>IFERROR(IF(Datos!D58&lt;&gt;0,Datos!D58*100/Datos!$D$46,0),0)</f>
        <v>1.2912218344570636</v>
      </c>
      <c r="E55" s="1031">
        <f>IF(Datos!E58&lt;&gt;0,Datos!E58*100/Datos!$E$46,0)</f>
        <v>0</v>
      </c>
      <c r="F55" s="1031">
        <f>IF(Datos!F58&lt;&gt;0,Datos!F58*100/Datos!$F$46,0)</f>
        <v>0</v>
      </c>
    </row>
    <row r="56" spans="2:6" s="1027" customFormat="1" ht="30" customHeight="1">
      <c r="B56" s="1010" t="s">
        <v>1262</v>
      </c>
      <c r="C56" s="1029">
        <f ca="1">IFERROR(IF(Datos!C59&lt;&gt;0,Datos!C59*100/Datos!$C$46,0),0)</f>
        <v>5.886360359035649</v>
      </c>
      <c r="D56" s="1029">
        <f>IFERROR(IF(Datos!D59&lt;&gt;0,Datos!D59*100/Datos!$D$46,0),0)</f>
        <v>9.088621947684036</v>
      </c>
      <c r="E56" s="1029">
        <f>IF(Datos!E59&lt;&gt;0,Datos!E59*100/Datos!$E$46,0)</f>
        <v>0</v>
      </c>
      <c r="F56" s="1029">
        <f>IF(Datos!F59&lt;&gt;0,Datos!F59*100/Datos!$F$46,0)</f>
        <v>0</v>
      </c>
    </row>
    <row r="57" spans="2:6" s="1015" customFormat="1" ht="30" customHeight="1">
      <c r="B57" s="1012" t="s">
        <v>1263</v>
      </c>
      <c r="C57" s="1031">
        <f ca="1">IFERROR(IF(Datos!C60&lt;&gt;0,Datos!C60*100/Datos!$C$46,0),0)</f>
        <v>-17.392182327980407</v>
      </c>
      <c r="D57" s="1031">
        <f>IFERROR(IF(Datos!D60&lt;&gt;0,Datos!D60*100/Datos!$D$46,0),0)</f>
        <v>-9.9598074578829134</v>
      </c>
      <c r="E57" s="1031">
        <f>IF(Datos!E60&lt;&gt;0,Datos!E60*100/Datos!$E$46,0)</f>
        <v>0</v>
      </c>
      <c r="F57" s="1031">
        <f>IF(Datos!F60&lt;&gt;0,Datos!F60*100/Datos!$F$46,0)</f>
        <v>0</v>
      </c>
    </row>
    <row r="58" spans="2:6" s="1027" customFormat="1" ht="30" customHeight="1">
      <c r="B58" s="1010" t="s">
        <v>1264</v>
      </c>
      <c r="C58" s="1029">
        <f ca="1">IFERROR(IF(Datos!C61&lt;&gt;0,Datos!C61*100/Datos!$C$46,0),0)</f>
        <v>23.278542687016053</v>
      </c>
      <c r="D58" s="1029">
        <f>IFERROR(IF(Datos!D61&lt;&gt;0,Datos!D61*100/Datos!$D$46,0),0)</f>
        <v>19.048429405566949</v>
      </c>
      <c r="E58" s="1029">
        <f>IF(Datos!E61&lt;&gt;0,Datos!E61*100/Datos!$E$46,0)</f>
        <v>0</v>
      </c>
      <c r="F58" s="1029">
        <f>IF(Datos!F61&lt;&gt;0,Datos!F61*100/Datos!$F$46,0)</f>
        <v>0</v>
      </c>
    </row>
    <row r="59" spans="2:6" s="1015" customFormat="1" ht="30" customHeight="1">
      <c r="B59" s="1012" t="s">
        <v>1265</v>
      </c>
      <c r="C59" s="1031">
        <f ca="1">IFERROR(IF(Datos!C62&lt;&gt;0,Datos!C62*100/Datos!$C$46,0),0)</f>
        <v>3.4464267097689021</v>
      </c>
      <c r="D59" s="1031">
        <f>IFERROR(IF(Datos!D62&lt;&gt;0,Datos!D62*100/Datos!$D$46,0),0)</f>
        <v>2.3425090912525</v>
      </c>
      <c r="E59" s="1031">
        <f>IF(Datos!E62&lt;&gt;0,Datos!E62*100/Datos!$E$46,0)</f>
        <v>0</v>
      </c>
      <c r="F59" s="1031">
        <f>IF(Datos!F62&lt;&gt;0,Datos!F62*100/Datos!$F$46,0)</f>
        <v>0</v>
      </c>
    </row>
    <row r="60" spans="2:6" s="1027" customFormat="1" ht="30" customHeight="1">
      <c r="B60" s="1010" t="s">
        <v>1266</v>
      </c>
      <c r="C60" s="1029">
        <f ca="1">IFERROR(IF(Datos!C63&lt;&gt;0,Datos!C63*100/Datos!$C$46,0),0)</f>
        <v>19.832115977247156</v>
      </c>
      <c r="D60" s="1029">
        <f>IFERROR(IF(Datos!D63&lt;&gt;0,Datos!D63*100/Datos!$D$46,0),0)</f>
        <v>16.705920314314451</v>
      </c>
      <c r="E60" s="1029">
        <f>IF(Datos!E63&lt;&gt;0,Datos!E63*100/Datos!$E$46,0)</f>
        <v>0</v>
      </c>
      <c r="F60" s="1029">
        <f>IF(Datos!F63&lt;&gt;0,Datos!F63*100/Datos!$F$46,0)</f>
        <v>0</v>
      </c>
    </row>
    <row r="61" spans="2:6" s="1015" customFormat="1" ht="30" customHeight="1">
      <c r="B61" s="1012" t="s">
        <v>1267</v>
      </c>
      <c r="C61" s="1031">
        <f ca="1">IFERROR(IF(Datos!C64&lt;&gt;0,Datos!C64*100/Datos!$C$46,0),0)</f>
        <v>-6.456942823831793E-3</v>
      </c>
      <c r="D61" s="1031">
        <f>IFERROR(IF(Datos!D64&lt;&gt;0,Datos!D64*100/Datos!$D$46,0),0)</f>
        <v>3.2790197773733654E-2</v>
      </c>
      <c r="E61" s="1031">
        <f>IF(Datos!E64&lt;&gt;0,Datos!E64*100/Datos!$E$46,0)</f>
        <v>0</v>
      </c>
      <c r="F61" s="1031">
        <f>IF(Datos!F64&lt;&gt;0,Datos!F64*100/Datos!$F$46,0)</f>
        <v>0</v>
      </c>
    </row>
    <row r="62" spans="2:6" s="1027" customFormat="1" ht="30" customHeight="1">
      <c r="B62" s="1010" t="s">
        <v>1268</v>
      </c>
      <c r="C62" s="1029">
        <f ca="1">IFERROR(IF(Datos!C65&lt;&gt;0,Datos!C65*100/Datos!$C$46,0),0)</f>
        <v>19.838572920070987</v>
      </c>
      <c r="D62" s="1029">
        <f>IFERROR(IF(Datos!D65&lt;&gt;0,Datos!D65*100/Datos!$D$46,0),0)</f>
        <v>16.673130116540719</v>
      </c>
      <c r="E62" s="1029">
        <f>IF(Datos!E65&lt;&gt;0,Datos!E65*100/Datos!$E$46,0)</f>
        <v>0</v>
      </c>
      <c r="F62" s="1029">
        <f>IF(Datos!F65&lt;&gt;0,Datos!F65*100/Datos!$F$46,0)</f>
        <v>0</v>
      </c>
    </row>
    <row r="63" spans="2:6" ht="13.8"/>
    <row r="64" spans="2:6" ht="13.8"/>
  </sheetData>
  <mergeCells count="3">
    <mergeCell ref="C3:F3"/>
    <mergeCell ref="C6:D6"/>
    <mergeCell ref="B4:D4"/>
  </mergeCells>
  <pageMargins left="0.62992125984251968" right="0.70866141732283472" top="0.74803149606299213" bottom="0.74803149606299213" header="0.31496062992125984" footer="0.31496062992125984"/>
  <pageSetup paperSize="9" scale="41" orientation="portrait" r:id="rId1"/>
  <headerFooter>
    <oddFooter>&amp;C&amp;"Arial,Normal"&amp;12&amp;K03-024Ratios Económico-Financieros</oddFooter>
  </headerFooter>
  <colBreaks count="1" manualBreakCount="1">
    <brk id="6" max="1048575" man="1"/>
  </colBreaks>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40">
    <tabColor rgb="FFFFC000"/>
  </sheetPr>
  <dimension ref="B1:M77"/>
  <sheetViews>
    <sheetView showGridLines="0" showRowColHeaders="0" view="pageBreakPreview" zoomScale="130" zoomScaleNormal="130" zoomScaleSheetLayoutView="130" workbookViewId="0">
      <selection activeCell="H58" sqref="H58"/>
    </sheetView>
  </sheetViews>
  <sheetFormatPr baseColWidth="10" defaultColWidth="11.44140625" defaultRowHeight="13.2"/>
  <cols>
    <col min="1" max="1" width="1.44140625" style="986" customWidth="1"/>
    <col min="2" max="2" width="52.44140625" style="986" customWidth="1"/>
    <col min="3" max="4" width="25" style="986" customWidth="1"/>
    <col min="5" max="6" width="25" style="986" hidden="1" customWidth="1"/>
    <col min="7" max="7" width="25" style="986" customWidth="1"/>
    <col min="8" max="9" width="15" style="986" customWidth="1"/>
    <col min="10" max="11" width="3" style="986" hidden="1" customWidth="1"/>
    <col min="12" max="13" width="3" style="986" customWidth="1"/>
    <col min="14" max="14" width="5" style="986" customWidth="1"/>
    <col min="15" max="16384" width="11.44140625" style="986"/>
  </cols>
  <sheetData>
    <row r="1" spans="2:13" ht="42" customHeight="1"/>
    <row r="2" spans="2:13" ht="38.25" customHeight="1">
      <c r="B2" s="1037" t="s">
        <v>1571</v>
      </c>
      <c r="C2" s="1103" t="str">
        <f>Datos!B4</f>
        <v>MARIO PILATO BLAT, S.A.</v>
      </c>
      <c r="D2" s="1104"/>
      <c r="E2" s="1105"/>
      <c r="F2" s="1106"/>
      <c r="G2" s="1106"/>
      <c r="H2" s="1106"/>
      <c r="I2" s="1106"/>
    </row>
    <row r="3" spans="2:13" ht="22.5" customHeight="1"/>
    <row r="4" spans="2:13" ht="30" customHeight="1">
      <c r="B4" s="1066" t="s">
        <v>1270</v>
      </c>
      <c r="C4" s="1067">
        <f>Datos!C9</f>
        <v>2024</v>
      </c>
      <c r="D4" s="1067">
        <f>Datos!D9</f>
        <v>2023</v>
      </c>
      <c r="E4" s="1068"/>
      <c r="F4" s="1068"/>
      <c r="G4" s="1069" t="s">
        <v>1273</v>
      </c>
      <c r="H4" s="2652" t="s">
        <v>1274</v>
      </c>
      <c r="I4" s="2653"/>
      <c r="J4" s="1040"/>
      <c r="K4" s="1040"/>
    </row>
    <row r="5" spans="2:13">
      <c r="E5" s="991"/>
      <c r="F5" s="991"/>
    </row>
    <row r="6" spans="2:13" ht="20.25" customHeight="1">
      <c r="B6" s="2643" t="s">
        <v>1275</v>
      </c>
      <c r="C6" s="2644">
        <f ca="1">IF(Datos!C37=0,0,(Datos!C19+Datos!C22)/Datos!C37)</f>
        <v>84.866729057621541</v>
      </c>
      <c r="D6" s="2644">
        <f>IF(Datos!D37=0,0,(Datos!D19+Datos!D22)/Datos!D37)</f>
        <v>93.749073243757834</v>
      </c>
      <c r="E6" s="2638"/>
      <c r="F6" s="2639"/>
      <c r="G6" s="2654" t="s">
        <v>1278</v>
      </c>
      <c r="H6" s="2646">
        <f ca="1">IF(C6=0,"",+C6)</f>
        <v>84.866729057621541</v>
      </c>
      <c r="I6" s="2646">
        <f>IF(D6=0,"",+D6)</f>
        <v>93.749073243757834</v>
      </c>
      <c r="J6" s="1041" t="str">
        <f>IF(E6=0,"",+E6)</f>
        <v/>
      </c>
      <c r="K6" s="1041" t="str">
        <f>IF(F6=0,"",+F6)</f>
        <v/>
      </c>
    </row>
    <row r="7" spans="2:13" ht="20.25" customHeight="1">
      <c r="B7" s="2643"/>
      <c r="C7" s="2645"/>
      <c r="D7" s="2644"/>
      <c r="E7" s="2638"/>
      <c r="F7" s="2639"/>
      <c r="G7" s="2655"/>
      <c r="H7" s="2647"/>
      <c r="I7" s="2647"/>
      <c r="J7" s="1042"/>
      <c r="K7" s="1042"/>
    </row>
    <row r="8" spans="2:13" ht="20.25" customHeight="1">
      <c r="B8" s="1043" t="s">
        <v>1272</v>
      </c>
      <c r="C8" s="2642" t="s">
        <v>1271</v>
      </c>
      <c r="D8" s="1052"/>
      <c r="E8" s="1053"/>
      <c r="F8" s="1054"/>
      <c r="G8" s="1055"/>
      <c r="H8" s="1056"/>
      <c r="I8" s="1044"/>
      <c r="J8" s="1045"/>
      <c r="K8" s="1045"/>
      <c r="L8" s="1045"/>
      <c r="M8" s="1045"/>
    </row>
    <row r="9" spans="2:13" ht="20.25" customHeight="1">
      <c r="B9" s="2640" t="s">
        <v>1277</v>
      </c>
      <c r="C9" s="2642"/>
      <c r="D9" s="1052"/>
      <c r="E9" s="1053"/>
      <c r="F9" s="1054"/>
      <c r="G9" s="1055"/>
      <c r="H9" s="1056"/>
      <c r="I9" s="1044"/>
      <c r="J9" s="1045"/>
      <c r="K9" s="1045"/>
      <c r="L9" s="1045"/>
      <c r="M9" s="1045"/>
    </row>
    <row r="10" spans="2:13" ht="20.25" customHeight="1">
      <c r="B10" s="2641"/>
      <c r="C10" s="1050" t="s">
        <v>1276</v>
      </c>
      <c r="D10" s="1052"/>
      <c r="E10" s="1053"/>
      <c r="F10" s="1054"/>
      <c r="G10" s="1055"/>
      <c r="H10" s="1056"/>
      <c r="I10" s="1044"/>
      <c r="J10" s="1045"/>
      <c r="K10" s="1045"/>
      <c r="L10" s="1045"/>
      <c r="M10" s="1045"/>
    </row>
    <row r="11" spans="2:13" ht="20.25" customHeight="1">
      <c r="B11" s="2641"/>
      <c r="C11" s="1051" t="s">
        <v>1245</v>
      </c>
      <c r="D11" s="1052"/>
      <c r="E11" s="1053"/>
      <c r="F11" s="1054"/>
      <c r="G11" s="1055"/>
      <c r="H11" s="1056"/>
      <c r="I11" s="1044"/>
      <c r="J11" s="1045"/>
      <c r="K11" s="1045"/>
      <c r="L11" s="1045"/>
      <c r="M11" s="1045"/>
    </row>
    <row r="12" spans="2:13" ht="20.25" customHeight="1">
      <c r="C12" s="1046"/>
      <c r="D12" s="1046"/>
      <c r="E12" s="1047"/>
      <c r="F12" s="1048"/>
      <c r="G12" s="989"/>
    </row>
    <row r="13" spans="2:13" ht="20.25" customHeight="1">
      <c r="B13" s="2643" t="s">
        <v>1279</v>
      </c>
      <c r="C13" s="2644">
        <f ca="1">IF(Datos!C37=0,0,(Datos!C17+Datos!C19+Datos!C22)/Datos!C37)</f>
        <v>119.17117206791008</v>
      </c>
      <c r="D13" s="2644">
        <f>IF(Datos!D37=0,0,(Datos!D17+Datos!D19+Datos!D22)/Datos!D37)</f>
        <v>133.97133331507843</v>
      </c>
      <c r="E13" s="2638"/>
      <c r="F13" s="2639"/>
      <c r="G13" s="2648" t="s">
        <v>1282</v>
      </c>
      <c r="H13" s="2646">
        <f ca="1">IF(C13=0,"",+C13)</f>
        <v>119.17117206791008</v>
      </c>
      <c r="I13" s="2646">
        <f>IF(D13=0,"",+D13)</f>
        <v>133.97133331507843</v>
      </c>
      <c r="J13" s="1041" t="str">
        <f>IF(E13=0,"",+E13)</f>
        <v/>
      </c>
      <c r="K13" s="1041" t="str">
        <f>IF(F13=0,"",+F13)</f>
        <v/>
      </c>
    </row>
    <row r="14" spans="2:13" ht="20.25" customHeight="1">
      <c r="B14" s="2643"/>
      <c r="C14" s="2644"/>
      <c r="D14" s="2644"/>
      <c r="E14" s="2638"/>
      <c r="F14" s="2639"/>
      <c r="G14" s="2649"/>
      <c r="H14" s="2647"/>
      <c r="I14" s="2647"/>
      <c r="J14" s="1042"/>
      <c r="K14" s="1042"/>
    </row>
    <row r="15" spans="2:13" ht="20.25" customHeight="1">
      <c r="B15" s="1043" t="s">
        <v>1272</v>
      </c>
      <c r="C15" s="2642" t="s">
        <v>1271</v>
      </c>
      <c r="D15" s="1052"/>
      <c r="E15" s="1053"/>
      <c r="F15" s="1054"/>
      <c r="G15" s="1055"/>
      <c r="H15" s="1056"/>
      <c r="I15" s="1044"/>
      <c r="J15" s="1045"/>
      <c r="K15" s="1045"/>
      <c r="L15" s="1045"/>
      <c r="M15" s="1045"/>
    </row>
    <row r="16" spans="2:13" ht="20.25" customHeight="1">
      <c r="B16" s="2640" t="s">
        <v>1281</v>
      </c>
      <c r="C16" s="2642"/>
      <c r="D16" s="1052"/>
      <c r="E16" s="1053"/>
      <c r="F16" s="1054"/>
      <c r="G16" s="1055"/>
      <c r="H16" s="1056"/>
      <c r="I16" s="1044"/>
      <c r="J16" s="1045"/>
      <c r="K16" s="1045"/>
      <c r="L16" s="1045"/>
      <c r="M16" s="1045"/>
    </row>
    <row r="17" spans="2:13" ht="20.25" customHeight="1">
      <c r="B17" s="2641"/>
      <c r="C17" s="1050" t="s">
        <v>1280</v>
      </c>
      <c r="D17" s="1052"/>
      <c r="E17" s="1053"/>
      <c r="F17" s="1054"/>
      <c r="G17" s="1055"/>
      <c r="H17" s="1056"/>
      <c r="I17" s="1044"/>
      <c r="J17" s="1045"/>
      <c r="K17" s="1045"/>
      <c r="L17" s="1045"/>
      <c r="M17" s="1045"/>
    </row>
    <row r="18" spans="2:13" ht="20.25" customHeight="1">
      <c r="B18" s="2641"/>
      <c r="C18" s="1051" t="s">
        <v>1283</v>
      </c>
      <c r="D18" s="1052"/>
      <c r="E18" s="1053"/>
      <c r="F18" s="1054"/>
      <c r="G18" s="1055"/>
      <c r="H18" s="1056"/>
      <c r="I18" s="1044"/>
      <c r="J18" s="1045"/>
      <c r="K18" s="1045"/>
      <c r="L18" s="1045"/>
      <c r="M18" s="1045"/>
    </row>
    <row r="19" spans="2:13" ht="20.25" customHeight="1">
      <c r="C19" s="1046"/>
      <c r="D19" s="1046"/>
      <c r="E19" s="1047"/>
      <c r="F19" s="1048"/>
      <c r="G19" s="989"/>
    </row>
    <row r="20" spans="2:13" ht="20.25" customHeight="1">
      <c r="B20" s="2643" t="s">
        <v>1284</v>
      </c>
      <c r="C20" s="2644">
        <f ca="1">IF(Datos!C26=0,0,Datos!C29/Datos!C26)</f>
        <v>0.96725487371416174</v>
      </c>
      <c r="D20" s="2644">
        <f>IF(Datos!D26=0,0,Datos!D29/Datos!D26)</f>
        <v>0.97709033578801863</v>
      </c>
      <c r="E20" s="2638"/>
      <c r="F20" s="2639"/>
      <c r="G20" s="2648" t="s">
        <v>1286</v>
      </c>
      <c r="H20" s="2646">
        <f ca="1">IF(C20=0,"",+C20)</f>
        <v>0.96725487371416174</v>
      </c>
      <c r="I20" s="2646">
        <f>IF(D20=0,"",+D20)</f>
        <v>0.97709033578801863</v>
      </c>
      <c r="J20" s="1041" t="str">
        <f>IF(E20=0,"",+E20)</f>
        <v/>
      </c>
      <c r="K20" s="1041" t="str">
        <f>IF(F20=0,"",+F20)</f>
        <v/>
      </c>
    </row>
    <row r="21" spans="2:13" ht="20.25" customHeight="1">
      <c r="B21" s="2643"/>
      <c r="C21" s="2644"/>
      <c r="D21" s="2644"/>
      <c r="E21" s="2638"/>
      <c r="F21" s="2639"/>
      <c r="G21" s="2649"/>
      <c r="H21" s="2647"/>
      <c r="I21" s="2647"/>
      <c r="J21" s="1042"/>
      <c r="K21" s="1042"/>
    </row>
    <row r="22" spans="2:13" ht="20.25" customHeight="1">
      <c r="B22" s="1043" t="s">
        <v>1272</v>
      </c>
      <c r="C22" s="2642" t="s">
        <v>1271</v>
      </c>
      <c r="D22" s="1052"/>
      <c r="E22" s="1053"/>
      <c r="F22" s="1054"/>
      <c r="G22" s="1055"/>
      <c r="H22" s="1056"/>
      <c r="I22" s="1044"/>
      <c r="J22" s="1045"/>
      <c r="K22" s="1045"/>
      <c r="L22" s="1045"/>
      <c r="M22" s="1045"/>
    </row>
    <row r="23" spans="2:13" ht="20.25" customHeight="1">
      <c r="B23" s="2640" t="s">
        <v>1285</v>
      </c>
      <c r="C23" s="2642"/>
      <c r="D23" s="1052"/>
      <c r="E23" s="1053"/>
      <c r="F23" s="1054"/>
      <c r="G23" s="1055"/>
      <c r="H23" s="1056"/>
      <c r="I23" s="1044"/>
      <c r="J23" s="1045"/>
      <c r="K23" s="1045"/>
      <c r="L23" s="1045"/>
      <c r="M23" s="1045"/>
    </row>
    <row r="24" spans="2:13" ht="20.25" customHeight="1">
      <c r="B24" s="2641"/>
      <c r="C24" s="1050" t="s">
        <v>1238</v>
      </c>
      <c r="D24" s="1052"/>
      <c r="E24" s="1053"/>
      <c r="F24" s="1054"/>
      <c r="G24" s="1055"/>
      <c r="H24" s="1056"/>
      <c r="I24" s="1044"/>
      <c r="J24" s="1045"/>
      <c r="K24" s="1045"/>
      <c r="L24" s="1045"/>
      <c r="M24" s="1045"/>
    </row>
    <row r="25" spans="2:13" ht="20.25" customHeight="1">
      <c r="B25" s="2641"/>
      <c r="C25" s="1051" t="s">
        <v>1287</v>
      </c>
      <c r="D25" s="1052"/>
      <c r="E25" s="1053"/>
      <c r="F25" s="1054"/>
      <c r="G25" s="1055"/>
      <c r="H25" s="1056"/>
      <c r="I25" s="1044"/>
      <c r="J25" s="1045"/>
      <c r="K25" s="1045"/>
      <c r="L25" s="1045"/>
      <c r="M25" s="1045"/>
    </row>
    <row r="26" spans="2:13" ht="20.25" customHeight="1">
      <c r="C26" s="1046"/>
      <c r="D26" s="1046"/>
      <c r="E26" s="1047"/>
      <c r="F26" s="1048"/>
      <c r="G26" s="989"/>
    </row>
    <row r="27" spans="2:13" ht="20.25" customHeight="1">
      <c r="B27" s="2643" t="s">
        <v>1288</v>
      </c>
      <c r="C27" s="2644">
        <f ca="1">IF(Datos!C29=0,0,(Datos!C34+Datos!C37)/Datos!C41)</f>
        <v>3.2745126285838262E-2</v>
      </c>
      <c r="D27" s="2644">
        <f>IF(Datos!D29=0,0,(Datos!D34+Datos!D37)/Datos!D41)</f>
        <v>2.2909664211981491E-2</v>
      </c>
      <c r="E27" s="2638"/>
      <c r="F27" s="2639"/>
      <c r="G27" s="2648" t="s">
        <v>1291</v>
      </c>
      <c r="H27" s="2646">
        <f ca="1">IF(C27=0,"",+C27)</f>
        <v>3.2745126285838262E-2</v>
      </c>
      <c r="I27" s="2646">
        <f>IF(D27=0,"",+D27)</f>
        <v>2.2909664211981491E-2</v>
      </c>
      <c r="J27" s="1041" t="str">
        <f>IF(E27=0,"",+E27)</f>
        <v/>
      </c>
      <c r="K27" s="1041" t="str">
        <f>IF(F27=0,"",+F27)</f>
        <v/>
      </c>
    </row>
    <row r="28" spans="2:13" ht="20.25" customHeight="1">
      <c r="B28" s="2643"/>
      <c r="C28" s="2644"/>
      <c r="D28" s="2644"/>
      <c r="E28" s="2638"/>
      <c r="F28" s="2639"/>
      <c r="G28" s="2649"/>
      <c r="H28" s="2647"/>
      <c r="I28" s="2647"/>
      <c r="J28" s="1042"/>
      <c r="K28" s="1042"/>
    </row>
    <row r="29" spans="2:13" ht="20.25" customHeight="1">
      <c r="B29" s="1043" t="s">
        <v>1272</v>
      </c>
      <c r="C29" s="2642" t="s">
        <v>1271</v>
      </c>
      <c r="D29" s="1052"/>
      <c r="E29" s="1053"/>
      <c r="F29" s="1054"/>
      <c r="G29" s="1055"/>
      <c r="H29" s="1056"/>
      <c r="I29" s="1044"/>
      <c r="J29" s="1045"/>
      <c r="K29" s="1045"/>
      <c r="L29" s="1045"/>
      <c r="M29" s="1045"/>
    </row>
    <row r="30" spans="2:13" ht="20.25" customHeight="1">
      <c r="B30" s="2640" t="s">
        <v>1290</v>
      </c>
      <c r="C30" s="2642"/>
      <c r="D30" s="1052"/>
      <c r="E30" s="1053"/>
      <c r="F30" s="1054"/>
      <c r="G30" s="1055"/>
      <c r="H30" s="1056"/>
      <c r="I30" s="1044"/>
      <c r="J30" s="1045"/>
      <c r="K30" s="1045"/>
      <c r="L30" s="1045"/>
      <c r="M30" s="1045"/>
    </row>
    <row r="31" spans="2:13" ht="20.25" customHeight="1">
      <c r="B31" s="2641"/>
      <c r="C31" s="1050" t="s">
        <v>1289</v>
      </c>
      <c r="D31" s="1052"/>
      <c r="E31" s="1053"/>
      <c r="F31" s="1054"/>
      <c r="G31" s="1055"/>
      <c r="H31" s="1056"/>
      <c r="I31" s="1044"/>
      <c r="J31" s="1045"/>
      <c r="K31" s="1045"/>
      <c r="L31" s="1045"/>
      <c r="M31" s="1045"/>
    </row>
    <row r="32" spans="2:13" ht="20.25" customHeight="1">
      <c r="B32" s="2641"/>
      <c r="C32" s="1051" t="s">
        <v>108</v>
      </c>
      <c r="D32" s="1052"/>
      <c r="E32" s="1053"/>
      <c r="F32" s="1054"/>
      <c r="G32" s="1055"/>
      <c r="H32" s="1056"/>
      <c r="I32" s="1044"/>
      <c r="J32" s="1045"/>
      <c r="K32" s="1045"/>
      <c r="L32" s="1045"/>
      <c r="M32" s="1045"/>
    </row>
    <row r="33" spans="2:13" ht="20.25" customHeight="1">
      <c r="C33" s="1046"/>
      <c r="D33" s="1046"/>
      <c r="E33" s="1047"/>
      <c r="F33" s="1048"/>
      <c r="G33" s="989"/>
    </row>
    <row r="34" spans="2:13" ht="20.25" customHeight="1">
      <c r="B34" s="2643" t="s">
        <v>1292</v>
      </c>
      <c r="C34" s="2644">
        <f ca="1">IF(Datos!C29=0,0,Datos!C11/(Datos!C29+Datos!C34))</f>
        <v>0.55098172649862487</v>
      </c>
      <c r="D34" s="2644">
        <f>IF(Datos!D29=0,0,Datos!D11/(Datos!D29+Datos!D34))</f>
        <v>0.56926075245658936</v>
      </c>
      <c r="E34" s="2638"/>
      <c r="F34" s="2639"/>
      <c r="G34" s="2648" t="s">
        <v>1295</v>
      </c>
      <c r="H34" s="2646">
        <f ca="1">IF(C34=0,"",+C34)</f>
        <v>0.55098172649862487</v>
      </c>
      <c r="I34" s="2646">
        <f>IF(D34=0,"",+D34)</f>
        <v>0.56926075245658936</v>
      </c>
      <c r="J34" s="1041" t="str">
        <f>IF(E34=0,"",+E34)</f>
        <v/>
      </c>
      <c r="K34" s="1041" t="str">
        <f>IF(F34=0,"",+F34)</f>
        <v/>
      </c>
    </row>
    <row r="35" spans="2:13" ht="20.25" customHeight="1">
      <c r="B35" s="2643"/>
      <c r="C35" s="2644"/>
      <c r="D35" s="2644"/>
      <c r="E35" s="2638"/>
      <c r="F35" s="2639"/>
      <c r="G35" s="2649"/>
      <c r="H35" s="2647"/>
      <c r="I35" s="2647"/>
      <c r="J35" s="1042"/>
      <c r="K35" s="1042"/>
    </row>
    <row r="36" spans="2:13" ht="20.25" customHeight="1">
      <c r="B36" s="1043" t="s">
        <v>1272</v>
      </c>
      <c r="C36" s="2642" t="s">
        <v>1271</v>
      </c>
      <c r="D36" s="1052"/>
      <c r="E36" s="1053"/>
      <c r="F36" s="1054"/>
      <c r="G36" s="1055"/>
      <c r="H36" s="1056"/>
      <c r="I36" s="1044"/>
      <c r="J36" s="1045"/>
      <c r="K36" s="1045"/>
      <c r="L36" s="1045"/>
      <c r="M36" s="1045"/>
    </row>
    <row r="37" spans="2:13" ht="20.25" customHeight="1">
      <c r="B37" s="2640" t="s">
        <v>1294</v>
      </c>
      <c r="C37" s="2642"/>
      <c r="D37" s="1052"/>
      <c r="E37" s="1053"/>
      <c r="F37" s="1054"/>
      <c r="G37" s="1055"/>
      <c r="H37" s="1056"/>
      <c r="I37" s="1044"/>
      <c r="J37" s="1045"/>
      <c r="K37" s="1045"/>
      <c r="L37" s="1045"/>
      <c r="M37" s="1045"/>
    </row>
    <row r="38" spans="2:13" ht="20.25" customHeight="1">
      <c r="B38" s="2641"/>
      <c r="C38" s="1050" t="s">
        <v>1293</v>
      </c>
      <c r="D38" s="1052"/>
      <c r="E38" s="1053"/>
      <c r="F38" s="1054"/>
      <c r="G38" s="1055"/>
      <c r="H38" s="1056"/>
      <c r="I38" s="1044"/>
      <c r="J38" s="1045"/>
      <c r="K38" s="1045"/>
      <c r="L38" s="1045"/>
      <c r="M38" s="1045"/>
    </row>
    <row r="39" spans="2:13" ht="20.25" customHeight="1">
      <c r="B39" s="2641"/>
      <c r="C39" s="1051" t="s">
        <v>1296</v>
      </c>
      <c r="D39" s="1052"/>
      <c r="E39" s="1053"/>
      <c r="F39" s="1054"/>
      <c r="G39" s="1055"/>
      <c r="H39" s="1056"/>
      <c r="I39" s="1044"/>
      <c r="J39" s="1045"/>
      <c r="K39" s="1045"/>
      <c r="L39" s="1045"/>
      <c r="M39" s="1045"/>
    </row>
    <row r="40" spans="2:13" ht="20.25" customHeight="1">
      <c r="C40" s="1046"/>
      <c r="D40" s="1046"/>
      <c r="E40" s="1047"/>
      <c r="F40" s="1048"/>
      <c r="G40" s="989"/>
    </row>
    <row r="41" spans="2:13" ht="20.25" customHeight="1">
      <c r="B41" s="2651" t="s">
        <v>1297</v>
      </c>
      <c r="C41" s="2644">
        <f ca="1">Datos!C29+Datos!C34-Datos!C11</f>
        <v>157612184.53000003</v>
      </c>
      <c r="D41" s="2644">
        <f>Datos!D29+Datos!D34-Datos!D11</f>
        <v>137768062.74000001</v>
      </c>
      <c r="E41" s="2638"/>
      <c r="F41" s="2639"/>
      <c r="G41" s="2648" t="s">
        <v>1300</v>
      </c>
      <c r="H41" s="2646">
        <f ca="1">IF(C41=0,"",+C41)</f>
        <v>157612184.53000003</v>
      </c>
      <c r="I41" s="2646">
        <f>IF(D41=0,"",+D41)</f>
        <v>137768062.74000001</v>
      </c>
      <c r="J41" s="1041" t="str">
        <f>IF(E41=0,"",+E41)</f>
        <v/>
      </c>
      <c r="K41" s="1041" t="str">
        <f>IF(F41=0,"",+F41)</f>
        <v/>
      </c>
    </row>
    <row r="42" spans="2:13" ht="20.25" customHeight="1">
      <c r="B42" s="2651"/>
      <c r="C42" s="2644"/>
      <c r="D42" s="2644"/>
      <c r="E42" s="2638"/>
      <c r="F42" s="2639"/>
      <c r="G42" s="2649"/>
      <c r="H42" s="2647"/>
      <c r="I42" s="2647"/>
      <c r="J42" s="1042"/>
      <c r="K42" s="1042"/>
    </row>
    <row r="43" spans="2:13" ht="20.25" customHeight="1">
      <c r="B43" s="1043" t="s">
        <v>1272</v>
      </c>
      <c r="C43" s="2642" t="s">
        <v>1271</v>
      </c>
      <c r="D43" s="1052"/>
      <c r="E43" s="1053"/>
      <c r="F43" s="1054"/>
      <c r="G43" s="1055"/>
      <c r="H43" s="1056"/>
      <c r="I43" s="1044"/>
      <c r="J43" s="1045"/>
      <c r="K43" s="1045"/>
      <c r="L43" s="1045"/>
      <c r="M43" s="1045"/>
    </row>
    <row r="44" spans="2:13" ht="20.25" customHeight="1">
      <c r="B44" s="2640" t="s">
        <v>1299</v>
      </c>
      <c r="C44" s="2642"/>
      <c r="D44" s="1052"/>
      <c r="E44" s="1053"/>
      <c r="F44" s="1054"/>
      <c r="G44" s="1055"/>
      <c r="H44" s="1056"/>
      <c r="I44" s="1044"/>
      <c r="J44" s="1045"/>
      <c r="K44" s="1045"/>
      <c r="L44" s="1045"/>
      <c r="M44" s="1045"/>
    </row>
    <row r="45" spans="2:13" ht="20.25" customHeight="1">
      <c r="B45" s="2641"/>
      <c r="C45" s="2650" t="s">
        <v>1298</v>
      </c>
      <c r="D45" s="1052"/>
      <c r="E45" s="1053"/>
      <c r="F45" s="1054"/>
      <c r="G45" s="1055"/>
      <c r="H45" s="1056"/>
      <c r="I45" s="1044"/>
      <c r="J45" s="1045"/>
      <c r="K45" s="1045"/>
      <c r="L45" s="1045"/>
      <c r="M45" s="1045"/>
    </row>
    <row r="46" spans="2:13" ht="20.25" customHeight="1">
      <c r="B46" s="2641"/>
      <c r="C46" s="2650"/>
      <c r="D46" s="1052"/>
      <c r="E46" s="1053"/>
      <c r="F46" s="1054"/>
      <c r="G46" s="1055"/>
      <c r="H46" s="1056"/>
      <c r="I46" s="1044"/>
      <c r="J46" s="1045"/>
      <c r="K46" s="1045"/>
      <c r="L46" s="1045"/>
      <c r="M46" s="1045"/>
    </row>
    <row r="47" spans="2:13" ht="20.25" customHeight="1"/>
    <row r="48" spans="2:13">
      <c r="B48" s="1049"/>
      <c r="H48" s="1049"/>
    </row>
    <row r="49" spans="2:8">
      <c r="B49" s="1049"/>
      <c r="H49" s="1049"/>
    </row>
    <row r="50" spans="2:8">
      <c r="B50" s="1049"/>
      <c r="H50" s="1049"/>
    </row>
    <row r="51" spans="2:8">
      <c r="B51" s="1049"/>
      <c r="H51" s="1049"/>
    </row>
    <row r="52" spans="2:8">
      <c r="B52" s="1049"/>
      <c r="H52" s="1049"/>
    </row>
    <row r="53" spans="2:8">
      <c r="B53" s="1049"/>
      <c r="H53" s="1049"/>
    </row>
    <row r="54" spans="2:8">
      <c r="B54" s="1049"/>
      <c r="H54" s="1049"/>
    </row>
    <row r="55" spans="2:8">
      <c r="B55" s="1049"/>
      <c r="H55" s="1049"/>
    </row>
    <row r="56" spans="2:8">
      <c r="B56" s="1049"/>
      <c r="H56" s="1049"/>
    </row>
    <row r="57" spans="2:8">
      <c r="B57" s="1049"/>
      <c r="H57" s="1049"/>
    </row>
    <row r="58" spans="2:8">
      <c r="B58" s="1049"/>
      <c r="H58" s="1049"/>
    </row>
    <row r="59" spans="2:8">
      <c r="B59" s="1049"/>
      <c r="H59" s="1049"/>
    </row>
    <row r="60" spans="2:8">
      <c r="B60" s="1049"/>
      <c r="H60" s="1049"/>
    </row>
    <row r="61" spans="2:8">
      <c r="B61" s="1049"/>
      <c r="H61" s="1049"/>
    </row>
    <row r="62" spans="2:8">
      <c r="B62" s="1049"/>
      <c r="H62" s="1049"/>
    </row>
    <row r="64" spans="2:8">
      <c r="B64" s="1049"/>
      <c r="H64" s="1049"/>
    </row>
    <row r="65" spans="2:8">
      <c r="B65" s="1049"/>
      <c r="H65" s="1049"/>
    </row>
    <row r="66" spans="2:8">
      <c r="B66" s="1049"/>
      <c r="H66" s="1049"/>
    </row>
    <row r="67" spans="2:8">
      <c r="B67" s="1049"/>
      <c r="H67" s="1049"/>
    </row>
    <row r="68" spans="2:8">
      <c r="B68" s="1049"/>
      <c r="H68" s="1049"/>
    </row>
    <row r="69" spans="2:8">
      <c r="B69" s="1049"/>
      <c r="H69" s="1049"/>
    </row>
    <row r="70" spans="2:8">
      <c r="B70" s="1049"/>
      <c r="H70" s="1049"/>
    </row>
    <row r="71" spans="2:8">
      <c r="B71" s="1049"/>
      <c r="H71" s="1049"/>
    </row>
    <row r="72" spans="2:8">
      <c r="B72" s="1049"/>
      <c r="H72" s="1049"/>
    </row>
    <row r="73" spans="2:8">
      <c r="B73" s="1049"/>
      <c r="H73" s="1049"/>
    </row>
    <row r="74" spans="2:8">
      <c r="B74" s="1049"/>
      <c r="H74" s="1049"/>
    </row>
    <row r="75" spans="2:8">
      <c r="B75" s="1049"/>
      <c r="H75" s="1049"/>
    </row>
    <row r="76" spans="2:8">
      <c r="B76" s="1049"/>
      <c r="H76" s="1049"/>
    </row>
    <row r="77" spans="2:8">
      <c r="B77" s="1049"/>
      <c r="H77" s="1049"/>
    </row>
  </sheetData>
  <mergeCells count="62">
    <mergeCell ref="I20:I21"/>
    <mergeCell ref="G27:G28"/>
    <mergeCell ref="I27:I28"/>
    <mergeCell ref="G34:G35"/>
    <mergeCell ref="C22:C23"/>
    <mergeCell ref="C29:C30"/>
    <mergeCell ref="F27:F28"/>
    <mergeCell ref="H4:I4"/>
    <mergeCell ref="G6:G7"/>
    <mergeCell ref="H6:H7"/>
    <mergeCell ref="G13:G14"/>
    <mergeCell ref="H13:H14"/>
    <mergeCell ref="I13:I14"/>
    <mergeCell ref="I6:I7"/>
    <mergeCell ref="C36:C37"/>
    <mergeCell ref="B37:B39"/>
    <mergeCell ref="B34:B35"/>
    <mergeCell ref="C34:C35"/>
    <mergeCell ref="C43:C44"/>
    <mergeCell ref="B44:B46"/>
    <mergeCell ref="C45:C46"/>
    <mergeCell ref="B41:B42"/>
    <mergeCell ref="C41:C42"/>
    <mergeCell ref="I41:I42"/>
    <mergeCell ref="H34:H35"/>
    <mergeCell ref="I34:I35"/>
    <mergeCell ref="D34:D35"/>
    <mergeCell ref="E34:E35"/>
    <mergeCell ref="F34:F35"/>
    <mergeCell ref="D41:D42"/>
    <mergeCell ref="E41:E42"/>
    <mergeCell ref="F41:F42"/>
    <mergeCell ref="G41:G42"/>
    <mergeCell ref="H41:H42"/>
    <mergeCell ref="B30:B32"/>
    <mergeCell ref="H27:H28"/>
    <mergeCell ref="B16:B18"/>
    <mergeCell ref="B20:B21"/>
    <mergeCell ref="C20:C21"/>
    <mergeCell ref="D20:D21"/>
    <mergeCell ref="E20:E21"/>
    <mergeCell ref="F20:F21"/>
    <mergeCell ref="C15:C16"/>
    <mergeCell ref="B23:B25"/>
    <mergeCell ref="G20:G21"/>
    <mergeCell ref="H20:H21"/>
    <mergeCell ref="B27:B28"/>
    <mergeCell ref="C27:C28"/>
    <mergeCell ref="D27:D28"/>
    <mergeCell ref="E27:E28"/>
    <mergeCell ref="B13:B14"/>
    <mergeCell ref="C13:C14"/>
    <mergeCell ref="D13:D14"/>
    <mergeCell ref="E13:E14"/>
    <mergeCell ref="F13:F14"/>
    <mergeCell ref="E6:E7"/>
    <mergeCell ref="F6:F7"/>
    <mergeCell ref="B9:B11"/>
    <mergeCell ref="C8:C9"/>
    <mergeCell ref="B6:B7"/>
    <mergeCell ref="C6:C7"/>
    <mergeCell ref="D6:D7"/>
  </mergeCells>
  <conditionalFormatting sqref="H13:K13 J14:K14">
    <cfRule type="iconSet" priority="15">
      <iconSet iconSet="3TrafficLights2" showValue="0">
        <cfvo type="percent" val="0"/>
        <cfvo type="num" val="1.3"/>
        <cfvo type="num" val="1.5"/>
      </iconSet>
    </cfRule>
  </conditionalFormatting>
  <conditionalFormatting sqref="H6:K6 J8:M11 J7:K7">
    <cfRule type="iconSet" priority="14">
      <iconSet iconSet="3TrafficLights2" showValue="0">
        <cfvo type="percent" val="0"/>
        <cfvo type="num" val="0.4"/>
        <cfvo type="num" val="0.5"/>
      </iconSet>
    </cfRule>
  </conditionalFormatting>
  <conditionalFormatting sqref="J20:K21">
    <cfRule type="iconSet" priority="13">
      <iconSet iconSet="3TrafficLights2" showValue="0">
        <cfvo type="percent" val="0"/>
        <cfvo type="num" val="0.3"/>
        <cfvo type="num" val="0.4"/>
      </iconSet>
    </cfRule>
  </conditionalFormatting>
  <conditionalFormatting sqref="J27:K28">
    <cfRule type="iconSet" priority="12">
      <iconSet iconSet="3TrafficLights2" showValue="0" reverse="1">
        <cfvo type="percent" val="0"/>
        <cfvo type="num" val="0.6"/>
        <cfvo type="num" val="0.7"/>
      </iconSet>
    </cfRule>
  </conditionalFormatting>
  <conditionalFormatting sqref="J34:K35">
    <cfRule type="iconSet" priority="11">
      <iconSet iconSet="3TrafficLights2" showValue="0" reverse="1">
        <cfvo type="percent" val="0"/>
        <cfvo type="num" val="1"/>
        <cfvo type="num" val="1.1000000000000001"/>
      </iconSet>
    </cfRule>
  </conditionalFormatting>
  <conditionalFormatting sqref="J41:K42">
    <cfRule type="iconSet" priority="10">
      <iconSet iconSet="3TrafficLights2" showValue="0">
        <cfvo type="percent" val="0"/>
        <cfvo type="num" val="-1"/>
        <cfvo type="num" val="0"/>
      </iconSet>
    </cfRule>
  </conditionalFormatting>
  <conditionalFormatting sqref="J15:M18">
    <cfRule type="iconSet" priority="9">
      <iconSet iconSet="3TrafficLights2" showValue="0">
        <cfvo type="percent" val="0"/>
        <cfvo type="num" val="0.4"/>
        <cfvo type="num" val="0.5"/>
      </iconSet>
    </cfRule>
  </conditionalFormatting>
  <conditionalFormatting sqref="J22:M25">
    <cfRule type="iconSet" priority="8">
      <iconSet iconSet="3TrafficLights2" showValue="0">
        <cfvo type="percent" val="0"/>
        <cfvo type="num" val="0.4"/>
        <cfvo type="num" val="0.5"/>
      </iconSet>
    </cfRule>
  </conditionalFormatting>
  <conditionalFormatting sqref="J29:M32">
    <cfRule type="iconSet" priority="7">
      <iconSet iconSet="3TrafficLights2" showValue="0">
        <cfvo type="percent" val="0"/>
        <cfvo type="num" val="0.4"/>
        <cfvo type="num" val="0.5"/>
      </iconSet>
    </cfRule>
  </conditionalFormatting>
  <conditionalFormatting sqref="J36:M39">
    <cfRule type="iconSet" priority="6">
      <iconSet iconSet="3TrafficLights2" showValue="0">
        <cfvo type="percent" val="0"/>
        <cfvo type="num" val="0.4"/>
        <cfvo type="num" val="0.5"/>
      </iconSet>
    </cfRule>
  </conditionalFormatting>
  <conditionalFormatting sqref="J43:M46">
    <cfRule type="iconSet" priority="5">
      <iconSet iconSet="3TrafficLights2" showValue="0">
        <cfvo type="percent" val="0"/>
        <cfvo type="num" val="0.4"/>
        <cfvo type="num" val="0.5"/>
      </iconSet>
    </cfRule>
  </conditionalFormatting>
  <conditionalFormatting sqref="H20:I20">
    <cfRule type="iconSet" priority="4">
      <iconSet iconSet="3TrafficLights2" showValue="0">
        <cfvo type="percent" val="0"/>
        <cfvo type="num" val="0.4"/>
        <cfvo type="num" val="0.5"/>
      </iconSet>
    </cfRule>
  </conditionalFormatting>
  <conditionalFormatting sqref="H27:I27">
    <cfRule type="iconSet" priority="3">
      <iconSet iconSet="3TrafficLights2" showValue="0">
        <cfvo type="percent" val="0"/>
        <cfvo type="num" val="0.4"/>
        <cfvo type="num" val="0.5"/>
      </iconSet>
    </cfRule>
  </conditionalFormatting>
  <conditionalFormatting sqref="H34:I34">
    <cfRule type="iconSet" priority="2">
      <iconSet iconSet="3TrafficLights2" showValue="0">
        <cfvo type="percent" val="0"/>
        <cfvo type="num" val="0.4"/>
        <cfvo type="num" val="0.5"/>
      </iconSet>
    </cfRule>
  </conditionalFormatting>
  <conditionalFormatting sqref="H41:I41">
    <cfRule type="iconSet" priority="1">
      <iconSet iconSet="3TrafficLights2" showValue="0">
        <cfvo type="percent" val="0"/>
        <cfvo type="num" val="0.4"/>
        <cfvo type="num" val="0.5"/>
      </iconSet>
    </cfRule>
  </conditionalFormatting>
  <printOptions horizontalCentered="1"/>
  <pageMargins left="0.82677165354330717" right="0.70866141732283472" top="0.74803149606299213" bottom="1.1417322834645669" header="0.31496062992125984" footer="0.31496062992125984"/>
  <pageSetup paperSize="9" scale="54" fitToHeight="2" orientation="portrait" r:id="rId1"/>
  <headerFooter>
    <oddFooter>&amp;C&amp;"Arial,Normal"&amp;12&amp;K03-024Ratios Económico-Financieros</oddFooter>
  </headerFooter>
  <rowBreaks count="1" manualBreakCount="1">
    <brk id="46" min="1" max="8" man="1"/>
  </rowBreaks>
  <drawing r:id="rId2"/>
  <legacyDrawing r:id="rId3"/>
  <legacyDrawingHF r:id="rId4"/>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41">
    <tabColor rgb="FFFFC000"/>
    <pageSetUpPr fitToPage="1"/>
  </sheetPr>
  <dimension ref="B1:M79"/>
  <sheetViews>
    <sheetView showGridLines="0" showRowColHeaders="0" view="pageBreakPreview" zoomScale="115" zoomScaleNormal="100" zoomScaleSheetLayoutView="115" workbookViewId="0">
      <selection activeCell="H58" sqref="H58"/>
    </sheetView>
  </sheetViews>
  <sheetFormatPr baseColWidth="10" defaultColWidth="11.44140625" defaultRowHeight="13.2"/>
  <cols>
    <col min="1" max="1" width="3" style="986" customWidth="1"/>
    <col min="2" max="2" width="70" style="986" customWidth="1"/>
    <col min="3" max="4" width="36" style="986" customWidth="1"/>
    <col min="5" max="5" width="32" style="986" customWidth="1"/>
    <col min="6" max="6" width="6" style="986" hidden="1" customWidth="1"/>
    <col min="7" max="7" width="16.44140625" style="986" customWidth="1"/>
    <col min="8" max="8" width="9.5546875" style="986" customWidth="1"/>
    <col min="9" max="9" width="9" style="986" customWidth="1"/>
    <col min="10" max="16384" width="11.44140625" style="986"/>
  </cols>
  <sheetData>
    <row r="1" spans="2:13" ht="36" customHeight="1"/>
    <row r="2" spans="2:13" ht="38.25" customHeight="1">
      <c r="B2" s="1037" t="s">
        <v>1572</v>
      </c>
      <c r="C2" s="1103" t="str">
        <f>Datos!B4</f>
        <v>MARIO PILATO BLAT, S.A.</v>
      </c>
      <c r="D2" s="1037"/>
      <c r="E2"/>
      <c r="F2" s="1039"/>
      <c r="G2"/>
    </row>
    <row r="3" spans="2:13" ht="14.25" customHeight="1"/>
    <row r="4" spans="2:13" s="1015" customFormat="1" ht="30" customHeight="1">
      <c r="C4" s="1069">
        <f>Datos!C9</f>
        <v>2024</v>
      </c>
      <c r="D4" s="1069">
        <f>Datos!D9</f>
        <v>2023</v>
      </c>
      <c r="E4" s="1069"/>
      <c r="F4" s="1070"/>
      <c r="G4" s="574"/>
      <c r="H4" s="574"/>
    </row>
    <row r="5" spans="2:13" ht="7.5" customHeight="1">
      <c r="B5" s="1049"/>
      <c r="C5" s="1057"/>
      <c r="D5" s="1057"/>
      <c r="E5" s="1057"/>
      <c r="F5" s="1057"/>
      <c r="G5" s="553"/>
      <c r="H5" s="553"/>
    </row>
    <row r="6" spans="2:13" ht="13.8">
      <c r="B6" s="2643" t="s">
        <v>1301</v>
      </c>
      <c r="C6" s="2656">
        <f ca="1">IF(Datos!C41=0,0,(Datos!C65+Datos!C60)/Datos!C41)</f>
        <v>5.1242239901270687E-3</v>
      </c>
      <c r="D6" s="2656">
        <f>IF(Datos!D41=0,0,(Datos!D65+Datos!D60)/Datos!D41)</f>
        <v>1.355877017006385E-2</v>
      </c>
      <c r="E6" s="2657"/>
      <c r="F6" s="2658"/>
      <c r="G6" s="553"/>
      <c r="H6" s="553"/>
    </row>
    <row r="7" spans="2:13" ht="13.8">
      <c r="B7" s="2643"/>
      <c r="C7" s="2656"/>
      <c r="D7" s="2656"/>
      <c r="E7" s="2657"/>
      <c r="F7" s="2658"/>
      <c r="G7" s="553"/>
      <c r="H7" s="553"/>
    </row>
    <row r="8" spans="2:13" ht="18" customHeight="1">
      <c r="B8" s="1043" t="s">
        <v>1272</v>
      </c>
      <c r="C8" s="2642" t="s">
        <v>1271</v>
      </c>
      <c r="D8" s="1052"/>
      <c r="E8" s="1052"/>
      <c r="F8" s="1054"/>
      <c r="G8" s="1055"/>
      <c r="H8" s="1056"/>
      <c r="I8" s="1044"/>
      <c r="J8" s="1045"/>
      <c r="K8" s="1045"/>
      <c r="L8" s="1045"/>
      <c r="M8" s="1045"/>
    </row>
    <row r="9" spans="2:13" ht="18" customHeight="1">
      <c r="B9" s="2640" t="s">
        <v>1303</v>
      </c>
      <c r="C9" s="2642"/>
      <c r="D9" s="1052"/>
      <c r="E9" s="1052"/>
      <c r="F9" s="1054"/>
      <c r="G9" s="1055"/>
      <c r="H9" s="1056"/>
      <c r="I9" s="1044"/>
      <c r="J9" s="1045"/>
      <c r="K9" s="1045"/>
      <c r="L9" s="1045"/>
      <c r="M9" s="1045"/>
    </row>
    <row r="10" spans="2:13" ht="18" customHeight="1">
      <c r="B10" s="2641"/>
      <c r="C10" s="1050" t="s">
        <v>1302</v>
      </c>
      <c r="D10" s="1052"/>
      <c r="E10" s="1052"/>
      <c r="F10" s="1054"/>
      <c r="G10" s="1055"/>
      <c r="H10" s="1056"/>
      <c r="I10" s="1044"/>
      <c r="J10" s="1045"/>
      <c r="K10" s="1045"/>
      <c r="L10" s="1045"/>
      <c r="M10" s="1045"/>
    </row>
    <row r="11" spans="2:13" ht="18" customHeight="1">
      <c r="B11" s="2641"/>
      <c r="C11" s="1051" t="s">
        <v>1304</v>
      </c>
      <c r="D11" s="1052"/>
      <c r="E11" s="1052"/>
      <c r="F11" s="1054"/>
      <c r="G11" s="1055"/>
      <c r="H11" s="1056"/>
      <c r="I11" s="1044"/>
      <c r="J11" s="1045"/>
      <c r="K11" s="1045"/>
      <c r="L11" s="1045"/>
      <c r="M11" s="1045"/>
    </row>
    <row r="12" spans="2:13">
      <c r="B12" s="1058"/>
      <c r="C12" s="1059"/>
      <c r="D12" s="1059"/>
      <c r="E12" s="1059"/>
      <c r="F12" s="1060"/>
      <c r="H12" s="1061"/>
    </row>
    <row r="13" spans="2:13" ht="14.4">
      <c r="B13" s="2643" t="s">
        <v>1305</v>
      </c>
      <c r="C13" s="2656">
        <f ca="1">IF(Datos!C29=0,0,(Datos!C65/Datos!C29))</f>
        <v>4.2960745480454851E-2</v>
      </c>
      <c r="D13" s="2656">
        <f>IF(Datos!D29=0,0,(Datos!D65/Datos!D29))</f>
        <v>3.446396177312875E-2</v>
      </c>
      <c r="E13" s="2657"/>
      <c r="F13" s="2658"/>
      <c r="G13"/>
      <c r="H13"/>
    </row>
    <row r="14" spans="2:13" ht="14.4">
      <c r="B14" s="2643"/>
      <c r="C14" s="2656"/>
      <c r="D14" s="2656"/>
      <c r="E14" s="2657"/>
      <c r="F14" s="2658"/>
      <c r="G14"/>
      <c r="H14"/>
    </row>
    <row r="15" spans="2:13" ht="18" customHeight="1">
      <c r="B15" s="1043" t="s">
        <v>1272</v>
      </c>
      <c r="C15" s="2642" t="s">
        <v>1271</v>
      </c>
      <c r="D15" s="1052"/>
      <c r="E15" s="1052"/>
      <c r="F15" s="1054"/>
      <c r="G15" s="1055"/>
      <c r="H15" s="1056"/>
      <c r="I15" s="1044"/>
      <c r="J15" s="1045"/>
      <c r="K15" s="1045"/>
      <c r="L15" s="1045"/>
      <c r="M15" s="1045"/>
    </row>
    <row r="16" spans="2:13" ht="18" customHeight="1">
      <c r="B16" s="2640" t="s">
        <v>1307</v>
      </c>
      <c r="C16" s="2642"/>
      <c r="D16" s="1052"/>
      <c r="E16" s="1052"/>
      <c r="F16" s="1054"/>
      <c r="G16" s="1055"/>
      <c r="H16" s="1056"/>
      <c r="I16" s="1044"/>
      <c r="J16" s="1045"/>
      <c r="K16" s="1045"/>
      <c r="L16" s="1045"/>
      <c r="M16" s="1045"/>
    </row>
    <row r="17" spans="2:13" ht="18" customHeight="1">
      <c r="B17" s="2641"/>
      <c r="C17" s="1050" t="s">
        <v>1306</v>
      </c>
      <c r="D17" s="1052"/>
      <c r="E17" s="1052"/>
      <c r="F17" s="1054"/>
      <c r="G17" s="1055"/>
      <c r="H17" s="1056"/>
      <c r="I17" s="1044"/>
      <c r="J17" s="1045"/>
      <c r="K17" s="1045"/>
      <c r="L17" s="1045"/>
      <c r="M17" s="1045"/>
    </row>
    <row r="18" spans="2:13" ht="18" customHeight="1">
      <c r="B18" s="2641"/>
      <c r="C18" s="1051" t="s">
        <v>1238</v>
      </c>
      <c r="D18" s="1052"/>
      <c r="E18" s="1052"/>
      <c r="F18" s="1054"/>
      <c r="G18" s="1055"/>
      <c r="H18" s="1056"/>
      <c r="I18" s="1044"/>
      <c r="J18" s="1045"/>
      <c r="K18" s="1045"/>
      <c r="L18" s="1045"/>
      <c r="M18" s="1045"/>
    </row>
    <row r="19" spans="2:13">
      <c r="B19" s="1058"/>
      <c r="C19" s="1059"/>
      <c r="D19" s="1059"/>
      <c r="E19" s="1059"/>
      <c r="F19" s="1060"/>
      <c r="H19" s="1061"/>
    </row>
    <row r="20" spans="2:13" ht="12.75" customHeight="1">
      <c r="B20" s="2643" t="s">
        <v>1308</v>
      </c>
      <c r="C20" s="2656">
        <f ca="1">IF(Datos!C41=0,0,Datos!C65/Datos!C41)</f>
        <v>4.15539904443636E-2</v>
      </c>
      <c r="D20" s="2656">
        <f>IF(Datos!D41=0,0,Datos!D65/Datos!D41)</f>
        <v>3.3674403981491803E-2</v>
      </c>
      <c r="E20" s="2659"/>
      <c r="F20" s="2658"/>
      <c r="G20"/>
      <c r="H20"/>
    </row>
    <row r="21" spans="2:13" ht="14.4">
      <c r="B21" s="2643"/>
      <c r="C21" s="2656"/>
      <c r="D21" s="2656"/>
      <c r="E21" s="2659"/>
      <c r="F21" s="2658"/>
      <c r="G21"/>
      <c r="H21"/>
    </row>
    <row r="22" spans="2:13" ht="18" customHeight="1">
      <c r="B22" s="1043" t="s">
        <v>1272</v>
      </c>
      <c r="C22" s="2642" t="s">
        <v>1271</v>
      </c>
      <c r="D22" s="1052"/>
      <c r="E22" s="1052"/>
      <c r="F22" s="1054"/>
      <c r="G22" s="1055"/>
      <c r="H22" s="1056"/>
      <c r="I22" s="1044"/>
      <c r="J22" s="1045"/>
      <c r="K22" s="1045"/>
      <c r="L22" s="1045"/>
      <c r="M22" s="1045"/>
    </row>
    <row r="23" spans="2:13" ht="18" customHeight="1">
      <c r="B23" s="2640" t="s">
        <v>1309</v>
      </c>
      <c r="C23" s="2642"/>
      <c r="D23" s="1052"/>
      <c r="E23" s="1052"/>
      <c r="F23" s="1054"/>
      <c r="G23" s="1055"/>
      <c r="H23" s="1056"/>
      <c r="I23" s="1044"/>
      <c r="J23" s="1045"/>
      <c r="K23" s="1045"/>
      <c r="L23" s="1045"/>
      <c r="M23" s="1045"/>
    </row>
    <row r="24" spans="2:13" ht="18" customHeight="1">
      <c r="B24" s="2641"/>
      <c r="C24" s="1050" t="s">
        <v>1306</v>
      </c>
      <c r="D24" s="1052"/>
      <c r="E24" s="1052"/>
      <c r="F24" s="1054"/>
      <c r="G24" s="1055"/>
      <c r="H24" s="1056"/>
      <c r="I24" s="1044"/>
      <c r="J24" s="1045"/>
      <c r="K24" s="1045"/>
      <c r="L24" s="1045"/>
      <c r="M24" s="1045"/>
    </row>
    <row r="25" spans="2:13" ht="18" customHeight="1">
      <c r="B25" s="2641"/>
      <c r="C25" s="1051" t="s">
        <v>1310</v>
      </c>
      <c r="D25" s="1052"/>
      <c r="E25" s="1052"/>
      <c r="F25" s="1054"/>
      <c r="G25" s="1055"/>
      <c r="H25" s="1056"/>
      <c r="I25" s="1044"/>
      <c r="J25" s="1045"/>
      <c r="K25" s="1045"/>
      <c r="L25" s="1045"/>
      <c r="M25" s="1045"/>
    </row>
    <row r="26" spans="2:13">
      <c r="B26" s="1058"/>
      <c r="C26" s="1059"/>
      <c r="D26" s="1059"/>
      <c r="E26" s="1059"/>
      <c r="F26" s="1060"/>
      <c r="H26" s="1061"/>
    </row>
    <row r="27" spans="2:13" ht="14.4">
      <c r="B27" s="2643" t="s">
        <v>1311</v>
      </c>
      <c r="C27" s="2656">
        <f ca="1">IF(Datos!C30=0,0,Datos!C65/Datos!C30)</f>
        <v>0.1045821414759364</v>
      </c>
      <c r="D27" s="2656">
        <f>IF(Datos!D30=0,0,Datos!D65/Datos!D30)</f>
        <v>7.7181022188405654E-2</v>
      </c>
      <c r="E27" s="2659"/>
      <c r="F27" s="2658"/>
      <c r="G27"/>
      <c r="H27"/>
    </row>
    <row r="28" spans="2:13" ht="14.4">
      <c r="B28" s="2643"/>
      <c r="C28" s="2656"/>
      <c r="D28" s="2656"/>
      <c r="E28" s="2659"/>
      <c r="F28" s="2658"/>
      <c r="G28"/>
      <c r="H28"/>
    </row>
    <row r="29" spans="2:13" ht="18" customHeight="1">
      <c r="B29" s="1043" t="s">
        <v>1272</v>
      </c>
      <c r="C29" s="2642" t="s">
        <v>1271</v>
      </c>
      <c r="D29" s="1052"/>
      <c r="E29" s="1052"/>
      <c r="F29" s="1054"/>
      <c r="G29" s="1055"/>
      <c r="H29" s="1056"/>
      <c r="I29" s="1044"/>
      <c r="J29" s="1045"/>
      <c r="K29" s="1045"/>
      <c r="L29" s="1045"/>
      <c r="M29" s="1045"/>
    </row>
    <row r="30" spans="2:13" ht="18" customHeight="1">
      <c r="B30" s="2640" t="s">
        <v>1313</v>
      </c>
      <c r="C30" s="2642"/>
      <c r="D30" s="1052"/>
      <c r="E30" s="1052"/>
      <c r="F30" s="1054"/>
      <c r="G30" s="1055"/>
      <c r="H30" s="1056"/>
      <c r="I30" s="1044"/>
      <c r="J30" s="1045"/>
      <c r="K30" s="1045"/>
      <c r="L30" s="1045"/>
      <c r="M30" s="1045"/>
    </row>
    <row r="31" spans="2:13" ht="18" customHeight="1">
      <c r="B31" s="2641"/>
      <c r="C31" s="1050" t="s">
        <v>1312</v>
      </c>
      <c r="D31" s="1052"/>
      <c r="E31" s="1052"/>
      <c r="F31" s="1054"/>
      <c r="G31" s="1055"/>
      <c r="H31" s="1056"/>
      <c r="I31" s="1044"/>
      <c r="J31" s="1045"/>
      <c r="K31" s="1045"/>
      <c r="L31" s="1045"/>
      <c r="M31" s="1045"/>
    </row>
    <row r="32" spans="2:13" ht="18" customHeight="1">
      <c r="B32" s="2641"/>
      <c r="C32" s="1051" t="s">
        <v>283</v>
      </c>
      <c r="D32" s="1052"/>
      <c r="E32" s="1052"/>
      <c r="F32" s="1054"/>
      <c r="G32" s="1055"/>
      <c r="H32" s="1056"/>
      <c r="I32" s="1044"/>
      <c r="J32" s="1045"/>
      <c r="K32" s="1045"/>
      <c r="L32" s="1045"/>
      <c r="M32" s="1045"/>
    </row>
    <row r="33" spans="2:13">
      <c r="B33" s="1058"/>
      <c r="C33" s="1059"/>
      <c r="D33" s="1059"/>
      <c r="E33" s="1059"/>
      <c r="F33" s="1060"/>
      <c r="H33" s="1061"/>
    </row>
    <row r="34" spans="2:13" ht="14.4">
      <c r="B34" s="2643" t="s">
        <v>1314</v>
      </c>
      <c r="C34" s="2656">
        <f ca="1">IF(Datos!C46=0,0,Datos!C65/Datos!C47)</f>
        <v>0.19843991636047037</v>
      </c>
      <c r="D34" s="2656">
        <f>IF(Datos!D46=0,0,Datos!D65/Datos!D47)</f>
        <v>0.16710382958618378</v>
      </c>
      <c r="E34" s="2659"/>
      <c r="F34" s="2658"/>
      <c r="G34"/>
      <c r="H34"/>
    </row>
    <row r="35" spans="2:13" ht="14.4">
      <c r="B35" s="2643"/>
      <c r="C35" s="2656"/>
      <c r="D35" s="2656"/>
      <c r="E35" s="2659"/>
      <c r="F35" s="2658"/>
      <c r="G35"/>
      <c r="H35"/>
    </row>
    <row r="36" spans="2:13" ht="18" customHeight="1">
      <c r="B36" s="1043" t="s">
        <v>1272</v>
      </c>
      <c r="C36" s="2642" t="s">
        <v>1271</v>
      </c>
      <c r="D36" s="1052"/>
      <c r="E36" s="1052"/>
      <c r="F36" s="1054"/>
      <c r="G36" s="1055"/>
      <c r="H36" s="1056"/>
      <c r="I36" s="1044"/>
      <c r="J36" s="1045"/>
      <c r="K36" s="1045"/>
      <c r="L36" s="1045"/>
      <c r="M36" s="1045"/>
    </row>
    <row r="37" spans="2:13" ht="18" customHeight="1">
      <c r="B37" s="2640" t="s">
        <v>1315</v>
      </c>
      <c r="C37" s="2642"/>
      <c r="D37" s="1052"/>
      <c r="E37" s="1052"/>
      <c r="F37" s="1054"/>
      <c r="G37" s="1055"/>
      <c r="H37" s="1056"/>
      <c r="I37" s="1044"/>
      <c r="J37" s="1045"/>
      <c r="K37" s="1045"/>
      <c r="L37" s="1045"/>
      <c r="M37" s="1045"/>
    </row>
    <row r="38" spans="2:13" ht="18" customHeight="1">
      <c r="B38" s="2641"/>
      <c r="C38" s="1050" t="s">
        <v>1306</v>
      </c>
      <c r="D38" s="1052"/>
      <c r="E38" s="1052"/>
      <c r="F38" s="1054"/>
      <c r="G38" s="1055"/>
      <c r="H38" s="1056"/>
      <c r="I38" s="1044"/>
      <c r="J38" s="1045"/>
      <c r="K38" s="1045"/>
      <c r="L38" s="1045"/>
      <c r="M38" s="1045"/>
    </row>
    <row r="39" spans="2:13" ht="18" customHeight="1">
      <c r="B39" s="2641"/>
      <c r="C39" s="1051" t="s">
        <v>1316</v>
      </c>
      <c r="D39" s="1052"/>
      <c r="E39" s="1052"/>
      <c r="F39" s="1054"/>
      <c r="G39" s="1055"/>
      <c r="H39" s="1056"/>
      <c r="I39" s="1044"/>
      <c r="J39" s="1045"/>
      <c r="K39" s="1045"/>
      <c r="L39" s="1045"/>
      <c r="M39" s="1045"/>
    </row>
    <row r="40" spans="2:13">
      <c r="B40" s="1058"/>
      <c r="C40" s="1059"/>
      <c r="D40" s="1059"/>
      <c r="E40" s="1059"/>
      <c r="F40" s="1060"/>
      <c r="H40" s="1061"/>
    </row>
    <row r="41" spans="2:13" ht="14.4">
      <c r="B41" s="2643" t="s">
        <v>1317</v>
      </c>
      <c r="C41" s="2656">
        <f ca="1">IF(Datos!C47=0,0,(Datos!C47-Datos!C49)/Datos!C47)</f>
        <v>0.19336087707679947</v>
      </c>
      <c r="D41" s="2656">
        <f>IF(Datos!D47=0,0,(Datos!D47-Datos!D49)/Datos!D47)</f>
        <v>0.22856221378687813</v>
      </c>
      <c r="E41" s="2659"/>
      <c r="F41" s="2658"/>
      <c r="G41"/>
      <c r="H41"/>
    </row>
    <row r="42" spans="2:13" ht="14.4">
      <c r="B42" s="2643"/>
      <c r="C42" s="2656"/>
      <c r="D42" s="2656"/>
      <c r="E42" s="2659"/>
      <c r="F42" s="2658"/>
      <c r="G42"/>
      <c r="H42"/>
    </row>
    <row r="43" spans="2:13" ht="18" customHeight="1">
      <c r="B43" s="1043" t="s">
        <v>1272</v>
      </c>
      <c r="C43" s="2642" t="s">
        <v>1271</v>
      </c>
      <c r="D43" s="1052"/>
      <c r="E43" s="1052"/>
      <c r="F43" s="1054"/>
      <c r="G43" s="1055"/>
      <c r="H43" s="1056"/>
      <c r="I43" s="1044"/>
      <c r="J43" s="1045"/>
      <c r="K43" s="1045"/>
      <c r="L43" s="1045"/>
      <c r="M43" s="1045"/>
    </row>
    <row r="44" spans="2:13" ht="18" customHeight="1">
      <c r="B44" s="2640" t="s">
        <v>1319</v>
      </c>
      <c r="C44" s="2642"/>
      <c r="D44" s="1052"/>
      <c r="E44" s="1052"/>
      <c r="F44" s="1054"/>
      <c r="G44" s="1055"/>
      <c r="H44" s="1056"/>
      <c r="I44" s="1044"/>
      <c r="J44" s="1045"/>
      <c r="K44" s="1045"/>
      <c r="L44" s="1045"/>
      <c r="M44" s="1045"/>
    </row>
    <row r="45" spans="2:13" ht="18" customHeight="1">
      <c r="B45" s="2641"/>
      <c r="C45" s="1050" t="s">
        <v>1318</v>
      </c>
      <c r="D45" s="1052"/>
      <c r="E45" s="1052"/>
      <c r="F45" s="1054"/>
      <c r="G45" s="1055"/>
      <c r="H45" s="1056"/>
      <c r="I45" s="1044"/>
      <c r="J45" s="1045"/>
      <c r="K45" s="1045"/>
      <c r="L45" s="1045"/>
      <c r="M45" s="1045"/>
    </row>
    <row r="46" spans="2:13" ht="18" customHeight="1">
      <c r="B46" s="2641"/>
      <c r="C46" s="1051" t="s">
        <v>1316</v>
      </c>
      <c r="D46" s="1052"/>
      <c r="E46" s="1052"/>
      <c r="F46" s="1054"/>
      <c r="G46" s="1055"/>
      <c r="H46" s="1056"/>
      <c r="I46" s="1044"/>
      <c r="J46" s="1045"/>
      <c r="K46" s="1045"/>
      <c r="L46" s="1045"/>
      <c r="M46" s="1045"/>
    </row>
    <row r="47" spans="2:13" ht="14.25" customHeight="1">
      <c r="H47" s="1061"/>
    </row>
    <row r="48" spans="2:13">
      <c r="H48" s="1061"/>
    </row>
    <row r="49" spans="8:8">
      <c r="H49" s="1061"/>
    </row>
    <row r="50" spans="8:8">
      <c r="H50" s="1061"/>
    </row>
    <row r="51" spans="8:8">
      <c r="H51" s="1061"/>
    </row>
    <row r="52" spans="8:8">
      <c r="H52" s="1061"/>
    </row>
    <row r="53" spans="8:8">
      <c r="H53" s="1061"/>
    </row>
    <row r="54" spans="8:8">
      <c r="H54" s="1061"/>
    </row>
    <row r="55" spans="8:8">
      <c r="H55" s="1061"/>
    </row>
    <row r="56" spans="8:8">
      <c r="H56" s="1061"/>
    </row>
    <row r="57" spans="8:8">
      <c r="H57" s="1061"/>
    </row>
    <row r="58" spans="8:8">
      <c r="H58" s="1061"/>
    </row>
    <row r="59" spans="8:8">
      <c r="H59" s="1061"/>
    </row>
    <row r="60" spans="8:8">
      <c r="H60" s="1061"/>
    </row>
    <row r="61" spans="8:8">
      <c r="H61" s="1061"/>
    </row>
    <row r="62" spans="8:8">
      <c r="H62" s="1061"/>
    </row>
    <row r="63" spans="8:8">
      <c r="H63" s="1061"/>
    </row>
    <row r="64" spans="8:8">
      <c r="H64" s="1061"/>
    </row>
    <row r="65" spans="8:8">
      <c r="H65" s="1061"/>
    </row>
    <row r="66" spans="8:8">
      <c r="H66" s="1061"/>
    </row>
    <row r="67" spans="8:8">
      <c r="H67" s="1061"/>
    </row>
    <row r="68" spans="8:8">
      <c r="H68" s="1061"/>
    </row>
    <row r="69" spans="8:8">
      <c r="H69" s="1061"/>
    </row>
    <row r="70" spans="8:8">
      <c r="H70" s="1061"/>
    </row>
    <row r="71" spans="8:8">
      <c r="H71" s="1061"/>
    </row>
    <row r="72" spans="8:8">
      <c r="H72" s="1061"/>
    </row>
    <row r="73" spans="8:8">
      <c r="H73" s="1061"/>
    </row>
    <row r="74" spans="8:8">
      <c r="H74" s="1061"/>
    </row>
    <row r="75" spans="8:8">
      <c r="H75" s="1061"/>
    </row>
    <row r="76" spans="8:8">
      <c r="H76" s="1061"/>
    </row>
    <row r="77" spans="8:8">
      <c r="H77" s="1061"/>
    </row>
    <row r="78" spans="8:8">
      <c r="H78" s="1061"/>
    </row>
    <row r="79" spans="8:8">
      <c r="H79" s="1061"/>
    </row>
  </sheetData>
  <mergeCells count="42">
    <mergeCell ref="E34:E35"/>
    <mergeCell ref="F34:F35"/>
    <mergeCell ref="B41:B42"/>
    <mergeCell ref="C41:C42"/>
    <mergeCell ref="D41:D42"/>
    <mergeCell ref="E41:E42"/>
    <mergeCell ref="F41:F42"/>
    <mergeCell ref="C36:C37"/>
    <mergeCell ref="B37:B39"/>
    <mergeCell ref="E20:E21"/>
    <mergeCell ref="F20:F21"/>
    <mergeCell ref="B27:B28"/>
    <mergeCell ref="C27:C28"/>
    <mergeCell ref="D27:D28"/>
    <mergeCell ref="E27:E28"/>
    <mergeCell ref="F27:F28"/>
    <mergeCell ref="C22:C23"/>
    <mergeCell ref="B23:B25"/>
    <mergeCell ref="E6:E7"/>
    <mergeCell ref="F6:F7"/>
    <mergeCell ref="B13:B14"/>
    <mergeCell ref="C13:C14"/>
    <mergeCell ref="D13:D14"/>
    <mergeCell ref="E13:E14"/>
    <mergeCell ref="F13:F14"/>
    <mergeCell ref="C8:C9"/>
    <mergeCell ref="B9:B11"/>
    <mergeCell ref="C43:C44"/>
    <mergeCell ref="B44:B46"/>
    <mergeCell ref="B6:B7"/>
    <mergeCell ref="C6:C7"/>
    <mergeCell ref="D6:D7"/>
    <mergeCell ref="B20:B21"/>
    <mergeCell ref="C20:C21"/>
    <mergeCell ref="D20:D21"/>
    <mergeCell ref="C15:C16"/>
    <mergeCell ref="B16:B18"/>
    <mergeCell ref="B34:B35"/>
    <mergeCell ref="C34:C35"/>
    <mergeCell ref="D34:D35"/>
    <mergeCell ref="C29:C30"/>
    <mergeCell ref="B30:B32"/>
  </mergeCells>
  <conditionalFormatting sqref="J8:M11">
    <cfRule type="iconSet" priority="6">
      <iconSet iconSet="3TrafficLights2" showValue="0">
        <cfvo type="percent" val="0"/>
        <cfvo type="num" val="0.4"/>
        <cfvo type="num" val="0.5"/>
      </iconSet>
    </cfRule>
  </conditionalFormatting>
  <conditionalFormatting sqref="J15:M18">
    <cfRule type="iconSet" priority="5">
      <iconSet iconSet="3TrafficLights2" showValue="0">
        <cfvo type="percent" val="0"/>
        <cfvo type="num" val="0.4"/>
        <cfvo type="num" val="0.5"/>
      </iconSet>
    </cfRule>
  </conditionalFormatting>
  <conditionalFormatting sqref="J22:M25">
    <cfRule type="iconSet" priority="4">
      <iconSet iconSet="3TrafficLights2" showValue="0">
        <cfvo type="percent" val="0"/>
        <cfvo type="num" val="0.4"/>
        <cfvo type="num" val="0.5"/>
      </iconSet>
    </cfRule>
  </conditionalFormatting>
  <conditionalFormatting sqref="J29:M32">
    <cfRule type="iconSet" priority="3">
      <iconSet iconSet="3TrafficLights2" showValue="0">
        <cfvo type="percent" val="0"/>
        <cfvo type="num" val="0.4"/>
        <cfvo type="num" val="0.5"/>
      </iconSet>
    </cfRule>
  </conditionalFormatting>
  <conditionalFormatting sqref="J36:M39">
    <cfRule type="iconSet" priority="2">
      <iconSet iconSet="3TrafficLights2" showValue="0">
        <cfvo type="percent" val="0"/>
        <cfvo type="num" val="0.4"/>
        <cfvo type="num" val="0.5"/>
      </iconSet>
    </cfRule>
  </conditionalFormatting>
  <conditionalFormatting sqref="J43:M46">
    <cfRule type="iconSet" priority="1">
      <iconSet iconSet="3TrafficLights2" showValue="0">
        <cfvo type="percent" val="0"/>
        <cfvo type="num" val="0.4"/>
        <cfvo type="num" val="0.5"/>
      </iconSet>
    </cfRule>
  </conditionalFormatting>
  <printOptions horizontalCentered="1"/>
  <pageMargins left="0.82677165354330717" right="0.70866141732283472" top="0.74803149606299213" bottom="1.1417322834645669" header="0.31496062992125984" footer="0.31496062992125984"/>
  <pageSetup paperSize="9" scale="45" orientation="portrait" r:id="rId1"/>
  <headerFooter>
    <oddFooter>&amp;C&amp;"Arial,Normal"&amp;12&amp;K03-024Ratios Económico-Financieros</oddFooter>
  </headerFooter>
  <colBreaks count="1" manualBreakCount="1">
    <brk id="8" max="1048575" man="1"/>
  </colBreaks>
  <drawing r:id="rId2"/>
  <legacyDrawingHF r:id="rId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42">
    <tabColor rgb="FFFFC000"/>
    <pageSetUpPr fitToPage="1"/>
  </sheetPr>
  <dimension ref="B1:M73"/>
  <sheetViews>
    <sheetView showGridLines="0" showRowColHeaders="0" view="pageBreakPreview" zoomScale="115" zoomScaleNormal="115" zoomScaleSheetLayoutView="115" workbookViewId="0">
      <selection activeCell="H58" sqref="H58"/>
    </sheetView>
  </sheetViews>
  <sheetFormatPr baseColWidth="10" defaultColWidth="11.44140625" defaultRowHeight="12.75" customHeight="1"/>
  <cols>
    <col min="1" max="1" width="3" style="553" customWidth="1"/>
    <col min="2" max="2" width="58" style="553" customWidth="1"/>
    <col min="3" max="4" width="38" style="553" customWidth="1"/>
    <col min="5" max="5" width="31" style="553" customWidth="1"/>
    <col min="6" max="6" width="5" style="553" hidden="1" customWidth="1"/>
    <col min="7" max="7" width="21" style="553" customWidth="1"/>
    <col min="8" max="8" width="33" style="553" customWidth="1"/>
    <col min="9" max="10" width="11.44140625" style="553" customWidth="1"/>
    <col min="11" max="16384" width="11.44140625" style="553"/>
  </cols>
  <sheetData>
    <row r="1" spans="2:13" s="986" customFormat="1" ht="42" customHeight="1"/>
    <row r="2" spans="2:13" s="986" customFormat="1" ht="38.25" customHeight="1">
      <c r="B2" s="1037" t="s">
        <v>1573</v>
      </c>
      <c r="C2" s="1103" t="str">
        <f>Datos!B4</f>
        <v>MARIO PILATO BLAT, S.A.</v>
      </c>
      <c r="D2" s="1037"/>
      <c r="E2"/>
      <c r="F2" s="1039"/>
      <c r="G2"/>
    </row>
    <row r="3" spans="2:13" s="986" customFormat="1" ht="27.75" customHeight="1">
      <c r="G3"/>
    </row>
    <row r="4" spans="2:13" s="1015" customFormat="1" ht="30" customHeight="1">
      <c r="B4" s="1066" t="s">
        <v>1270</v>
      </c>
      <c r="C4" s="1067">
        <f>Datos!C9</f>
        <v>2024</v>
      </c>
      <c r="D4" s="1067">
        <f>Datos!D9</f>
        <v>2023</v>
      </c>
      <c r="E4" s="1067"/>
      <c r="F4" s="1068"/>
      <c r="G4" s="215"/>
      <c r="H4" s="215"/>
      <c r="I4" s="215"/>
      <c r="J4" s="1069"/>
      <c r="K4" s="1069"/>
    </row>
    <row r="5" spans="2:13" s="986" customFormat="1" ht="12" customHeight="1">
      <c r="B5" s="1058"/>
      <c r="C5" s="1057"/>
      <c r="D5" s="1057"/>
      <c r="E5" s="1057"/>
      <c r="F5" s="991"/>
      <c r="G5"/>
      <c r="H5"/>
      <c r="I5"/>
    </row>
    <row r="6" spans="2:13" s="986" customFormat="1" ht="20.25" customHeight="1">
      <c r="B6" s="2643" t="s">
        <v>1320</v>
      </c>
      <c r="C6" s="2660">
        <f ca="1">IF(Datos!C49=0,0,365*Datos!C17/Datos!C49)</f>
        <v>280.59869929244502</v>
      </c>
      <c r="D6" s="2660">
        <f>IF(Datos!D49=0,0,365*Datos!D17/Datos!D49)</f>
        <v>304.92763127125016</v>
      </c>
      <c r="E6" s="2662"/>
      <c r="F6" s="2663"/>
      <c r="G6"/>
      <c r="H6"/>
      <c r="I6"/>
      <c r="J6" s="986" t="s">
        <v>1107</v>
      </c>
    </row>
    <row r="7" spans="2:13" s="986" customFormat="1" ht="20.25" customHeight="1">
      <c r="B7" s="2643"/>
      <c r="C7" s="2661"/>
      <c r="D7" s="2660"/>
      <c r="E7" s="2662"/>
      <c r="F7" s="2663"/>
      <c r="G7"/>
      <c r="H7"/>
      <c r="I7"/>
    </row>
    <row r="8" spans="2:13" s="986" customFormat="1" ht="18" customHeight="1">
      <c r="B8" s="1043" t="s">
        <v>1272</v>
      </c>
      <c r="C8" s="2642" t="s">
        <v>1271</v>
      </c>
      <c r="D8" s="1052"/>
      <c r="E8" s="1052"/>
      <c r="F8" s="1054"/>
      <c r="G8"/>
      <c r="H8"/>
      <c r="I8"/>
      <c r="J8" s="1045"/>
      <c r="K8" s="1045"/>
      <c r="L8" s="1045"/>
      <c r="M8" s="1045"/>
    </row>
    <row r="9" spans="2:13" s="986" customFormat="1" ht="18" customHeight="1">
      <c r="B9" s="2640" t="s">
        <v>1322</v>
      </c>
      <c r="C9" s="2642"/>
      <c r="D9" s="1052"/>
      <c r="E9" s="1052"/>
      <c r="F9" s="1054"/>
      <c r="G9"/>
      <c r="H9"/>
      <c r="I9"/>
      <c r="J9" s="1045"/>
      <c r="K9" s="1045"/>
      <c r="L9" s="1045"/>
      <c r="M9" s="1045"/>
    </row>
    <row r="10" spans="2:13" s="986" customFormat="1" ht="18" customHeight="1">
      <c r="B10" s="2641"/>
      <c r="C10" s="1050" t="s">
        <v>1321</v>
      </c>
      <c r="D10" s="1052"/>
      <c r="E10" s="1052"/>
      <c r="F10" s="1054"/>
      <c r="G10"/>
      <c r="H10"/>
      <c r="I10"/>
      <c r="J10" s="1045"/>
      <c r="K10" s="1045"/>
      <c r="L10" s="1045"/>
      <c r="M10" s="1045"/>
    </row>
    <row r="11" spans="2:13" s="986" customFormat="1" ht="18" customHeight="1">
      <c r="B11" s="2641"/>
      <c r="C11" s="1051" t="s">
        <v>1323</v>
      </c>
      <c r="D11" s="1052"/>
      <c r="E11" s="1052"/>
      <c r="F11" s="1054"/>
      <c r="G11"/>
      <c r="H11"/>
      <c r="I11"/>
      <c r="J11" s="1045"/>
      <c r="K11" s="1045"/>
      <c r="L11" s="1045"/>
      <c r="M11" s="1045"/>
    </row>
    <row r="12" spans="2:13" s="986" customFormat="1" ht="12" customHeight="1">
      <c r="B12" s="1058"/>
      <c r="C12" s="1062"/>
      <c r="D12" s="1062"/>
      <c r="E12" s="1062"/>
      <c r="F12" s="1063"/>
      <c r="G12"/>
      <c r="H12"/>
      <c r="I12"/>
    </row>
    <row r="13" spans="2:13" s="986" customFormat="1" ht="20.25" customHeight="1">
      <c r="B13" s="2643" t="s">
        <v>1324</v>
      </c>
      <c r="C13" s="2660">
        <f ca="1">IF(Datos!C50=0,0,365*Datos!C38/Datos!C50)</f>
        <v>1.0195341572887573</v>
      </c>
      <c r="D13" s="2660">
        <f>IF(Datos!D50=0,0,365*Datos!D38/Datos!D50)</f>
        <v>0.57030452022079625</v>
      </c>
      <c r="E13" s="2662"/>
      <c r="F13" s="2663"/>
      <c r="G13"/>
      <c r="H13"/>
      <c r="I13"/>
      <c r="J13" s="986" t="s">
        <v>410</v>
      </c>
    </row>
    <row r="14" spans="2:13" s="986" customFormat="1" ht="20.25" customHeight="1">
      <c r="B14" s="2643"/>
      <c r="C14" s="2661"/>
      <c r="D14" s="2660"/>
      <c r="E14" s="2662"/>
      <c r="F14" s="2663"/>
      <c r="G14"/>
      <c r="H14"/>
      <c r="I14"/>
    </row>
    <row r="15" spans="2:13" s="986" customFormat="1" ht="18" customHeight="1">
      <c r="B15" s="1043" t="s">
        <v>1272</v>
      </c>
      <c r="C15" s="2642" t="s">
        <v>1271</v>
      </c>
      <c r="D15" s="1052"/>
      <c r="E15" s="1052"/>
      <c r="F15" s="1054"/>
      <c r="G15"/>
      <c r="H15"/>
      <c r="I15"/>
      <c r="J15" s="1045"/>
      <c r="K15" s="1045"/>
      <c r="L15" s="1045"/>
      <c r="M15" s="1045"/>
    </row>
    <row r="16" spans="2:13" s="986" customFormat="1" ht="18" customHeight="1">
      <c r="B16" s="2640" t="s">
        <v>1326</v>
      </c>
      <c r="C16" s="2642"/>
      <c r="D16" s="1052"/>
      <c r="E16" s="1052"/>
      <c r="F16" s="1054"/>
      <c r="G16"/>
      <c r="H16"/>
      <c r="I16"/>
      <c r="J16" s="1045"/>
      <c r="K16" s="1045"/>
      <c r="L16" s="1045"/>
      <c r="M16" s="1045"/>
    </row>
    <row r="17" spans="2:13" s="986" customFormat="1" ht="18" customHeight="1">
      <c r="B17" s="2641"/>
      <c r="C17" s="1050" t="s">
        <v>1325</v>
      </c>
      <c r="D17" s="1052"/>
      <c r="E17" s="1052"/>
      <c r="F17" s="1054"/>
      <c r="G17"/>
      <c r="H17"/>
      <c r="I17"/>
      <c r="J17" s="1045"/>
      <c r="K17" s="1045"/>
      <c r="L17" s="1045"/>
      <c r="M17" s="1045"/>
    </row>
    <row r="18" spans="2:13" s="986" customFormat="1" ht="18" customHeight="1">
      <c r="B18" s="2641"/>
      <c r="C18" s="1051" t="s">
        <v>1327</v>
      </c>
      <c r="D18" s="1052"/>
      <c r="E18" s="1052"/>
      <c r="F18" s="1054"/>
      <c r="G18"/>
      <c r="H18"/>
      <c r="I18"/>
      <c r="J18" s="1045"/>
      <c r="K18" s="1045"/>
      <c r="L18" s="1045"/>
      <c r="M18" s="1045"/>
    </row>
    <row r="19" spans="2:13" s="986" customFormat="1" ht="12" customHeight="1">
      <c r="B19" s="1058"/>
      <c r="C19" s="1062"/>
      <c r="D19" s="1062"/>
      <c r="E19" s="1062"/>
      <c r="F19" s="1063"/>
      <c r="G19"/>
      <c r="H19"/>
      <c r="I19"/>
    </row>
    <row r="20" spans="2:13" s="986" customFormat="1" ht="20.25" customHeight="1">
      <c r="B20" s="2643" t="s">
        <v>1328</v>
      </c>
      <c r="C20" s="2660">
        <f ca="1">IF(Datos!C47=0,0,365*Datos!C20/Datos!C47)</f>
        <v>120.39649933362659</v>
      </c>
      <c r="D20" s="2660">
        <f>IF(Datos!D47=0,0,365*Datos!D20/Datos!D47)</f>
        <v>115.31076273814918</v>
      </c>
      <c r="E20" s="2662"/>
      <c r="F20" s="2663"/>
      <c r="G20"/>
      <c r="H20"/>
      <c r="I20"/>
      <c r="J20" s="986" t="s">
        <v>420</v>
      </c>
    </row>
    <row r="21" spans="2:13" s="986" customFormat="1" ht="20.25" customHeight="1">
      <c r="B21" s="2643"/>
      <c r="C21" s="2661"/>
      <c r="D21" s="2660"/>
      <c r="E21" s="2662"/>
      <c r="F21" s="2663"/>
      <c r="G21"/>
      <c r="H21"/>
      <c r="I21"/>
    </row>
    <row r="22" spans="2:13" s="986" customFormat="1" ht="18" customHeight="1">
      <c r="B22" s="1043" t="s">
        <v>1272</v>
      </c>
      <c r="C22" s="2642" t="s">
        <v>1271</v>
      </c>
      <c r="D22" s="1052"/>
      <c r="E22" s="1052"/>
      <c r="F22" s="1054"/>
      <c r="G22"/>
      <c r="H22"/>
      <c r="I22"/>
      <c r="J22" s="1045"/>
      <c r="K22" s="1045"/>
      <c r="L22" s="1045"/>
      <c r="M22" s="1045"/>
    </row>
    <row r="23" spans="2:13" s="986" customFormat="1" ht="18" customHeight="1">
      <c r="B23" s="2640" t="s">
        <v>1330</v>
      </c>
      <c r="C23" s="2642"/>
      <c r="D23" s="1052"/>
      <c r="E23" s="1052"/>
      <c r="F23" s="1054"/>
      <c r="G23"/>
      <c r="H23"/>
      <c r="I23"/>
      <c r="J23" s="1045"/>
      <c r="K23" s="1045"/>
      <c r="L23" s="1045"/>
      <c r="M23" s="1045"/>
    </row>
    <row r="24" spans="2:13" s="986" customFormat="1" ht="18" customHeight="1">
      <c r="B24" s="2641"/>
      <c r="C24" s="1050" t="s">
        <v>1329</v>
      </c>
      <c r="D24" s="1052"/>
      <c r="E24" s="1052"/>
      <c r="F24" s="1054"/>
      <c r="G24"/>
      <c r="H24"/>
      <c r="I24"/>
      <c r="J24" s="1045"/>
      <c r="K24" s="1045"/>
      <c r="L24" s="1045"/>
      <c r="M24" s="1045"/>
    </row>
    <row r="25" spans="2:13" s="986" customFormat="1" ht="18" customHeight="1">
      <c r="B25" s="2641"/>
      <c r="C25" s="1051" t="s">
        <v>1316</v>
      </c>
      <c r="D25" s="1052"/>
      <c r="E25" s="1052"/>
      <c r="F25" s="1054"/>
      <c r="G25"/>
      <c r="H25"/>
      <c r="I25"/>
      <c r="J25" s="1045"/>
      <c r="K25" s="1045"/>
      <c r="L25" s="1045"/>
      <c r="M25" s="1045"/>
    </row>
    <row r="26" spans="2:13" s="986" customFormat="1" ht="12" customHeight="1">
      <c r="B26" s="1058"/>
      <c r="C26" s="1062"/>
      <c r="D26" s="1062"/>
      <c r="E26" s="1062"/>
      <c r="F26" s="1063"/>
      <c r="G26"/>
      <c r="H26"/>
      <c r="I26"/>
    </row>
    <row r="27" spans="2:13" s="986" customFormat="1" ht="20.25" customHeight="1">
      <c r="B27" s="2643" t="s">
        <v>1331</v>
      </c>
      <c r="C27" s="2660">
        <f ca="1">IF(Datos!C50=0,0,365*Datos!C22/Datos!C50)</f>
        <v>549.28590140216238</v>
      </c>
      <c r="D27" s="2660">
        <f>IF(Datos!D50=0,0,365*Datos!D22/Datos!D50)</f>
        <v>538.88118904267412</v>
      </c>
      <c r="E27" s="2662"/>
      <c r="F27" s="2663"/>
      <c r="G27"/>
      <c r="H27"/>
      <c r="I27"/>
      <c r="J27" s="986" t="s">
        <v>1275</v>
      </c>
    </row>
    <row r="28" spans="2:13" s="986" customFormat="1" ht="20.25" customHeight="1">
      <c r="B28" s="2643"/>
      <c r="C28" s="2661"/>
      <c r="D28" s="2660"/>
      <c r="E28" s="2662"/>
      <c r="F28" s="2663"/>
      <c r="G28"/>
      <c r="H28"/>
      <c r="I28"/>
    </row>
    <row r="29" spans="2:13" s="986" customFormat="1" ht="18" customHeight="1">
      <c r="B29" s="1043" t="s">
        <v>1272</v>
      </c>
      <c r="C29" s="2642" t="s">
        <v>1271</v>
      </c>
      <c r="D29" s="1052"/>
      <c r="E29" s="1052"/>
      <c r="F29" s="1054"/>
      <c r="G29"/>
      <c r="H29"/>
      <c r="I29"/>
      <c r="J29" s="1045"/>
      <c r="K29" s="1045"/>
      <c r="L29" s="1045"/>
      <c r="M29" s="1045"/>
    </row>
    <row r="30" spans="2:13" s="986" customFormat="1" ht="18" customHeight="1">
      <c r="B30" s="2640" t="s">
        <v>1333</v>
      </c>
      <c r="C30" s="2642"/>
      <c r="D30" s="1052"/>
      <c r="E30" s="1052"/>
      <c r="F30" s="1054"/>
      <c r="G30"/>
      <c r="H30"/>
      <c r="I30"/>
      <c r="J30" s="1045"/>
      <c r="K30" s="1045"/>
      <c r="L30" s="1045"/>
      <c r="M30" s="1045"/>
    </row>
    <row r="31" spans="2:13" s="986" customFormat="1" ht="18" customHeight="1">
      <c r="B31" s="2641"/>
      <c r="C31" s="1050" t="s">
        <v>1332</v>
      </c>
      <c r="D31" s="1052"/>
      <c r="E31" s="1052"/>
      <c r="F31" s="1054"/>
      <c r="G31"/>
      <c r="H31"/>
      <c r="I31"/>
      <c r="J31" s="1045"/>
      <c r="K31" s="1045"/>
      <c r="L31" s="1045"/>
      <c r="M31" s="1045"/>
    </row>
    <row r="32" spans="2:13" s="986" customFormat="1" ht="18" customHeight="1">
      <c r="B32" s="2641"/>
      <c r="C32" s="1051" t="s">
        <v>1327</v>
      </c>
      <c r="D32" s="1052"/>
      <c r="E32" s="1052"/>
      <c r="F32" s="1054"/>
      <c r="G32"/>
      <c r="H32"/>
      <c r="I32"/>
      <c r="J32" s="1045"/>
      <c r="K32" s="1045"/>
      <c r="L32" s="1045"/>
      <c r="M32" s="1045"/>
    </row>
    <row r="33" spans="2:13" s="986" customFormat="1" ht="14.4">
      <c r="B33" s="1064"/>
      <c r="C33" s="1065"/>
      <c r="D33" s="1065"/>
      <c r="E33" s="1065"/>
      <c r="F33" s="1063"/>
      <c r="G33"/>
      <c r="H33"/>
      <c r="I33"/>
    </row>
    <row r="34" spans="2:13" s="986" customFormat="1" ht="14.4">
      <c r="B34" s="2643" t="s">
        <v>1334</v>
      </c>
      <c r="C34" s="2660">
        <f ca="1">IF(Datos!C54=0,0,(Datos!C46-Datos!C49-Datos!C54-Datos!C55-Datos!C56)/(Datos!C54))</f>
        <v>1.3601868248919839</v>
      </c>
      <c r="D34" s="2660">
        <f>IF(Datos!D54=0,0,(Datos!D46-Datos!D49-Datos!D54-Datos!D55-Datos!D56)/(Datos!D54))</f>
        <v>1.8037630456753548</v>
      </c>
      <c r="E34" s="2662"/>
      <c r="F34" s="2663"/>
      <c r="G34"/>
      <c r="H34"/>
      <c r="I34"/>
    </row>
    <row r="35" spans="2:13" s="986" customFormat="1" ht="14.4">
      <c r="B35" s="2643"/>
      <c r="C35" s="2661"/>
      <c r="D35" s="2660"/>
      <c r="E35" s="2662"/>
      <c r="F35" s="2663"/>
      <c r="G35"/>
      <c r="H35"/>
      <c r="I35"/>
    </row>
    <row r="36" spans="2:13" s="986" customFormat="1" ht="18" customHeight="1">
      <c r="B36" s="1043" t="s">
        <v>1272</v>
      </c>
      <c r="C36" s="2642" t="s">
        <v>1271</v>
      </c>
      <c r="D36" s="1052"/>
      <c r="E36" s="1052"/>
      <c r="F36" s="1054"/>
      <c r="G36" s="1055"/>
      <c r="H36" s="1056"/>
      <c r="I36" s="1044"/>
      <c r="J36" s="1045"/>
      <c r="K36" s="1045"/>
      <c r="L36" s="1045"/>
      <c r="M36" s="1045"/>
    </row>
    <row r="37" spans="2:13" s="986" customFormat="1" ht="18" customHeight="1">
      <c r="B37" s="2640" t="s">
        <v>1336</v>
      </c>
      <c r="C37" s="2642"/>
      <c r="D37" s="1052"/>
      <c r="E37" s="1052"/>
      <c r="F37" s="1054"/>
      <c r="G37" s="1055"/>
      <c r="H37" s="1056"/>
      <c r="I37" s="1044"/>
      <c r="J37" s="1045"/>
      <c r="K37" s="1045"/>
      <c r="L37" s="1045"/>
      <c r="M37" s="1045"/>
    </row>
    <row r="38" spans="2:13" s="986" customFormat="1" ht="18" customHeight="1">
      <c r="B38" s="2641"/>
      <c r="C38" s="1050" t="s">
        <v>1335</v>
      </c>
      <c r="D38" s="1052"/>
      <c r="E38" s="1052"/>
      <c r="F38" s="1054"/>
      <c r="G38" s="1055"/>
      <c r="H38" s="1056"/>
      <c r="I38" s="1044"/>
      <c r="J38" s="1045"/>
      <c r="K38" s="1045"/>
      <c r="L38" s="1045"/>
      <c r="M38" s="1045"/>
    </row>
    <row r="39" spans="2:13" s="986" customFormat="1" ht="18" customHeight="1">
      <c r="B39" s="2641"/>
      <c r="C39" s="1051" t="s">
        <v>1337</v>
      </c>
      <c r="D39" s="1052"/>
      <c r="E39" s="1052"/>
      <c r="F39" s="1054"/>
      <c r="G39" s="1055"/>
      <c r="H39" s="1056"/>
      <c r="I39" s="1044"/>
      <c r="J39" s="1045"/>
      <c r="K39" s="1045"/>
      <c r="L39" s="1045"/>
      <c r="M39" s="1045"/>
    </row>
    <row r="40" spans="2:13" s="986" customFormat="1" ht="13.2"/>
    <row r="41" spans="2:13" s="986" customFormat="1" ht="13.2"/>
    <row r="42" spans="2:13" s="986" customFormat="1" ht="13.2"/>
    <row r="43" spans="2:13" s="986" customFormat="1" ht="13.2"/>
    <row r="44" spans="2:13" s="986" customFormat="1" ht="13.2"/>
    <row r="45" spans="2:13" s="986" customFormat="1" ht="13.2"/>
    <row r="46" spans="2:13" s="986" customFormat="1" ht="13.2"/>
    <row r="47" spans="2:13" s="986" customFormat="1" ht="13.2"/>
    <row r="48" spans="2:13" s="986" customFormat="1" ht="13.2"/>
    <row r="49" s="986" customFormat="1" ht="13.2"/>
    <row r="50" s="986" customFormat="1" ht="13.2"/>
    <row r="51" s="986" customFormat="1" ht="13.2"/>
    <row r="52" s="986" customFormat="1" ht="13.2"/>
    <row r="53" s="986" customFormat="1" ht="13.2"/>
    <row r="54" s="986" customFormat="1" ht="13.2"/>
    <row r="55" s="986" customFormat="1" ht="13.2"/>
    <row r="56" s="986" customFormat="1" ht="13.2"/>
    <row r="57" s="986" customFormat="1" ht="13.2"/>
    <row r="58" s="986" customFormat="1" ht="13.2"/>
    <row r="59" s="986" customFormat="1" ht="13.2"/>
    <row r="60" s="986" customFormat="1" ht="13.2"/>
    <row r="61" s="986" customFormat="1" ht="13.2"/>
    <row r="62" s="986" customFormat="1" ht="13.2"/>
    <row r="63" s="986" customFormat="1" ht="13.2"/>
    <row r="64" s="986" customFormat="1" ht="13.2"/>
    <row r="65" s="986" customFormat="1" ht="13.2"/>
    <row r="66" s="986" customFormat="1" ht="13.2"/>
    <row r="67" s="986" customFormat="1" ht="13.2"/>
    <row r="68" s="986" customFormat="1" ht="13.2"/>
    <row r="69" s="986" customFormat="1" ht="13.2"/>
    <row r="70" s="986" customFormat="1" ht="13.2"/>
    <row r="71" s="986" customFormat="1" ht="13.2"/>
    <row r="72" s="986" customFormat="1" ht="13.2"/>
    <row r="73" ht="13.8"/>
  </sheetData>
  <mergeCells count="35">
    <mergeCell ref="D27:D28"/>
    <mergeCell ref="E27:E28"/>
    <mergeCell ref="F27:F28"/>
    <mergeCell ref="B34:B35"/>
    <mergeCell ref="C34:C35"/>
    <mergeCell ref="D34:D35"/>
    <mergeCell ref="E34:E35"/>
    <mergeCell ref="F34:F35"/>
    <mergeCell ref="C29:C30"/>
    <mergeCell ref="B30:B32"/>
    <mergeCell ref="D13:D14"/>
    <mergeCell ref="E13:E14"/>
    <mergeCell ref="F13:F14"/>
    <mergeCell ref="B20:B21"/>
    <mergeCell ref="C20:C21"/>
    <mergeCell ref="D20:D21"/>
    <mergeCell ref="E20:E21"/>
    <mergeCell ref="F20:F21"/>
    <mergeCell ref="B6:B7"/>
    <mergeCell ref="C6:C7"/>
    <mergeCell ref="D6:D7"/>
    <mergeCell ref="E6:E7"/>
    <mergeCell ref="F6:F7"/>
    <mergeCell ref="C36:C37"/>
    <mergeCell ref="B37:B39"/>
    <mergeCell ref="C8:C9"/>
    <mergeCell ref="B9:B11"/>
    <mergeCell ref="C15:C16"/>
    <mergeCell ref="B16:B18"/>
    <mergeCell ref="C22:C23"/>
    <mergeCell ref="B23:B25"/>
    <mergeCell ref="B13:B14"/>
    <mergeCell ref="C13:C14"/>
    <mergeCell ref="B27:B28"/>
    <mergeCell ref="C27:C28"/>
  </mergeCells>
  <conditionalFormatting sqref="J8:M11">
    <cfRule type="iconSet" priority="5">
      <iconSet iconSet="3TrafficLights2" showValue="0">
        <cfvo type="percent" val="0"/>
        <cfvo type="num" val="0.4"/>
        <cfvo type="num" val="0.5"/>
      </iconSet>
    </cfRule>
  </conditionalFormatting>
  <conditionalFormatting sqref="J15:M18">
    <cfRule type="iconSet" priority="4">
      <iconSet iconSet="3TrafficLights2" showValue="0">
        <cfvo type="percent" val="0"/>
        <cfvo type="num" val="0.4"/>
        <cfvo type="num" val="0.5"/>
      </iconSet>
    </cfRule>
  </conditionalFormatting>
  <conditionalFormatting sqref="J22:M25">
    <cfRule type="iconSet" priority="3">
      <iconSet iconSet="3TrafficLights2" showValue="0">
        <cfvo type="percent" val="0"/>
        <cfvo type="num" val="0.4"/>
        <cfvo type="num" val="0.5"/>
      </iconSet>
    </cfRule>
  </conditionalFormatting>
  <conditionalFormatting sqref="J29:M32">
    <cfRule type="iconSet" priority="2">
      <iconSet iconSet="3TrafficLights2" showValue="0">
        <cfvo type="percent" val="0"/>
        <cfvo type="num" val="0.4"/>
        <cfvo type="num" val="0.5"/>
      </iconSet>
    </cfRule>
  </conditionalFormatting>
  <conditionalFormatting sqref="J36:M39">
    <cfRule type="iconSet" priority="1">
      <iconSet iconSet="3TrafficLights2" showValue="0">
        <cfvo type="percent" val="0"/>
        <cfvo type="num" val="0.4"/>
        <cfvo type="num" val="0.5"/>
      </iconSet>
    </cfRule>
  </conditionalFormatting>
  <printOptions horizontalCentered="1"/>
  <pageMargins left="0.82677165354330717" right="0.70866141732283472" top="0.74803149606299213" bottom="1.1417322834645669" header="0.31496062992125984" footer="0.31496062992125984"/>
  <pageSetup paperSize="9" scale="46" orientation="portrait" r:id="rId1"/>
  <headerFooter>
    <oddFooter>&amp;C&amp;"Arial,Normal"&amp;12&amp;K03-024Ratios Económico-Financieros</oddFooter>
  </headerFooter>
  <drawing r:id="rId2"/>
  <legacyDrawingHF r:id="rId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43">
    <tabColor rgb="FFFFC000"/>
    <pageSetUpPr fitToPage="1"/>
  </sheetPr>
  <dimension ref="B1:K29"/>
  <sheetViews>
    <sheetView showGridLines="0" showRowColHeaders="0" view="pageBreakPreview" zoomScale="130" zoomScaleNormal="100" zoomScaleSheetLayoutView="130" workbookViewId="0">
      <selection activeCell="H58" sqref="H58"/>
    </sheetView>
  </sheetViews>
  <sheetFormatPr baseColWidth="10" defaultColWidth="11.44140625" defaultRowHeight="12.75" customHeight="1"/>
  <cols>
    <col min="1" max="1" width="3" style="986" customWidth="1"/>
    <col min="2" max="2" width="7" style="996" customWidth="1"/>
    <col min="3" max="3" width="47" style="986" customWidth="1"/>
    <col min="4" max="4" width="19" style="986" customWidth="1"/>
    <col min="5" max="5" width="9" style="986" customWidth="1"/>
    <col min="6" max="6" width="11" style="986" customWidth="1"/>
    <col min="7" max="8" width="19" style="986" customWidth="1"/>
    <col min="9" max="10" width="13" style="986" hidden="1" customWidth="1"/>
    <col min="11" max="11" width="11.44140625" style="986" customWidth="1"/>
    <col min="12" max="16384" width="11.44140625" style="986"/>
  </cols>
  <sheetData>
    <row r="1" spans="2:10" ht="15"/>
    <row r="2" spans="2:10" ht="37.5" customHeight="1">
      <c r="B2" s="1082" t="s">
        <v>1359</v>
      </c>
      <c r="F2" s="1085"/>
      <c r="G2" s="1085"/>
      <c r="H2" s="1037"/>
      <c r="I2" s="1037"/>
    </row>
    <row r="3" spans="2:10" ht="33" customHeight="1">
      <c r="C3" s="1107" t="str">
        <f>Datos!B4</f>
        <v>MARIO PILATO BLAT, S.A.</v>
      </c>
      <c r="D3" s="1108"/>
      <c r="E3" s="1108"/>
      <c r="F3" s="1108"/>
      <c r="G3" s="1108"/>
      <c r="H3" s="1108"/>
      <c r="I3" s="948"/>
    </row>
    <row r="4" spans="2:10" ht="27.6" hidden="1">
      <c r="D4"/>
      <c r="E4"/>
      <c r="F4"/>
      <c r="G4"/>
      <c r="H4"/>
      <c r="I4" s="1038"/>
    </row>
    <row r="5" spans="2:10" ht="27" customHeight="1"/>
    <row r="6" spans="2:10" ht="24.9" customHeight="1">
      <c r="D6" s="2664" t="s">
        <v>1338</v>
      </c>
      <c r="E6" s="2665"/>
      <c r="F6" s="2666"/>
      <c r="G6" s="2670" t="s">
        <v>1223</v>
      </c>
      <c r="H6" s="2670"/>
      <c r="I6" s="2670"/>
      <c r="J6" s="2670"/>
    </row>
    <row r="7" spans="2:10" ht="24.9" customHeight="1">
      <c r="D7" s="2667"/>
      <c r="E7" s="2668"/>
      <c r="F7" s="2669"/>
      <c r="G7" s="1080">
        <f>Datos!C9</f>
        <v>2024</v>
      </c>
      <c r="H7" s="1080">
        <f>Datos!D9</f>
        <v>2023</v>
      </c>
      <c r="I7" s="1081">
        <f>Datos!E9</f>
        <v>0</v>
      </c>
      <c r="J7" s="1081">
        <f>Datos!F9</f>
        <v>0</v>
      </c>
    </row>
    <row r="8" spans="2:10" ht="15">
      <c r="G8" s="1071"/>
      <c r="H8" s="1071"/>
      <c r="I8" s="1072"/>
      <c r="J8" s="1072"/>
    </row>
    <row r="9" spans="2:10" ht="20.25" customHeight="1">
      <c r="B9" s="2671" t="s">
        <v>1339</v>
      </c>
      <c r="C9" s="2643" t="s">
        <v>1340</v>
      </c>
      <c r="D9" s="2674" t="s">
        <v>1316</v>
      </c>
      <c r="E9" s="2674"/>
      <c r="F9" s="2674"/>
      <c r="G9" s="2675">
        <f ca="1">IF(Datos!C26&lt;&gt;0,Datos!C47/Datos!C26,0)</f>
        <v>0.20940338620623025</v>
      </c>
      <c r="H9" s="2675">
        <f>IF(Datos!D26&lt;&gt;0,Datos!D47/Datos!D26,0)</f>
        <v>0.20151784710669507</v>
      </c>
      <c r="I9" s="2676">
        <f>IF(Datos!E26&lt;&gt;0,Datos!E46/Datos!E26,0)</f>
        <v>0</v>
      </c>
      <c r="J9" s="2676">
        <f>IF(Datos!F26&lt;&gt;0,Datos!F46/Datos!F26,0)</f>
        <v>0</v>
      </c>
    </row>
    <row r="10" spans="2:10" ht="20.25" customHeight="1">
      <c r="B10" s="2672"/>
      <c r="C10" s="2643"/>
      <c r="D10" s="2677" t="s">
        <v>3</v>
      </c>
      <c r="E10" s="2677"/>
      <c r="F10" s="2677"/>
      <c r="G10" s="2675"/>
      <c r="H10" s="2675"/>
      <c r="I10" s="2676"/>
      <c r="J10" s="2676"/>
    </row>
    <row r="11" spans="2:10" ht="20.25" customHeight="1">
      <c r="B11" s="2672"/>
      <c r="C11" s="1073"/>
      <c r="D11" s="989"/>
      <c r="E11" s="989"/>
      <c r="F11" s="989"/>
      <c r="G11" s="1074" t="s">
        <v>1341</v>
      </c>
      <c r="H11" s="1074" t="s">
        <v>1341</v>
      </c>
      <c r="I11" s="1075" t="s">
        <v>1341</v>
      </c>
      <c r="J11" s="1075" t="s">
        <v>1341</v>
      </c>
    </row>
    <row r="12" spans="2:10" ht="20.25" customHeight="1">
      <c r="B12" s="2672"/>
      <c r="C12" s="2643" t="s">
        <v>1342</v>
      </c>
      <c r="D12" s="2678" t="s">
        <v>1343</v>
      </c>
      <c r="E12" s="2679"/>
      <c r="F12" s="2680"/>
      <c r="G12" s="2681">
        <f ca="1">IF(Datos!C47&lt;&gt;0,Datos!C59/Datos!C47,0)</f>
        <v>5.8879681619278632E-2</v>
      </c>
      <c r="H12" s="2681">
        <f>IF(Datos!D47&lt;&gt;0,Datos!D59/Datos!D47,0)</f>
        <v>9.1089286924736501E-2</v>
      </c>
      <c r="I12" s="2683">
        <f>IF(Datos!E46&lt;&gt;0,Datos!E59/Datos!E46,0)</f>
        <v>0</v>
      </c>
      <c r="J12" s="2683">
        <f>IF(Datos!F46&lt;&gt;0,Datos!F59/Datos!F46,0)</f>
        <v>0</v>
      </c>
    </row>
    <row r="13" spans="2:10" ht="20.25" customHeight="1">
      <c r="B13" s="2673"/>
      <c r="C13" s="2643"/>
      <c r="D13" s="2685" t="s">
        <v>1316</v>
      </c>
      <c r="E13" s="2686"/>
      <c r="F13" s="2687"/>
      <c r="G13" s="2682"/>
      <c r="H13" s="2682"/>
      <c r="I13" s="2684"/>
      <c r="J13" s="2684"/>
    </row>
    <row r="14" spans="2:10" ht="20.25" customHeight="1">
      <c r="C14" s="1073"/>
      <c r="D14" s="989"/>
      <c r="E14" s="989"/>
      <c r="F14" s="989"/>
      <c r="G14" s="1074" t="s">
        <v>1341</v>
      </c>
      <c r="H14" s="1074" t="s">
        <v>1341</v>
      </c>
      <c r="I14" s="1075" t="s">
        <v>1341</v>
      </c>
      <c r="J14" s="1075" t="s">
        <v>1341</v>
      </c>
    </row>
    <row r="15" spans="2:10" ht="20.25" customHeight="1">
      <c r="B15" s="2671" t="s">
        <v>1301</v>
      </c>
      <c r="C15" s="2643" t="s">
        <v>1344</v>
      </c>
      <c r="D15" s="1076" t="s">
        <v>1345</v>
      </c>
      <c r="E15" s="2688" t="s">
        <v>1341</v>
      </c>
      <c r="F15" s="1077" t="s">
        <v>1346</v>
      </c>
      <c r="G15" s="2681">
        <f ca="1">IF(Datos!C59&lt;&gt;0,Datos!C26/Datos!C29*Datos!C61/Datos!C59,0)</f>
        <v>4.0885377885263985</v>
      </c>
      <c r="H15" s="2681">
        <f>IF(Datos!D59&lt;&gt;0,Datos!D26/Datos!D29*Datos!D61/Datos!D59,0)</f>
        <v>2.1449956518746878</v>
      </c>
      <c r="I15" s="2683">
        <f>IF(Datos!E59&lt;&gt;0,Datos!E26/Datos!E29*Datos!E61/Datos!E59,0)</f>
        <v>0</v>
      </c>
      <c r="J15" s="2683">
        <f>IF(Datos!F59&lt;&gt;0,Datos!F26/Datos!F29*Datos!F61/Datos!F59,0)</f>
        <v>0</v>
      </c>
    </row>
    <row r="16" spans="2:10" ht="20.25" customHeight="1">
      <c r="B16" s="2672"/>
      <c r="C16" s="2643"/>
      <c r="D16" s="1078" t="s">
        <v>1347</v>
      </c>
      <c r="E16" s="2689"/>
      <c r="F16" s="1079" t="s">
        <v>1348</v>
      </c>
      <c r="G16" s="2682"/>
      <c r="H16" s="2682"/>
      <c r="I16" s="2684"/>
      <c r="J16" s="2684"/>
    </row>
    <row r="17" spans="2:11" ht="13.8">
      <c r="B17" s="2672"/>
      <c r="C17" s="1073"/>
      <c r="D17" s="989"/>
      <c r="E17" s="989"/>
      <c r="F17" s="989"/>
      <c r="G17" s="1074" t="s">
        <v>1341</v>
      </c>
      <c r="H17" s="1074" t="s">
        <v>1341</v>
      </c>
      <c r="I17" s="1075" t="s">
        <v>1341</v>
      </c>
      <c r="J17" s="1075" t="s">
        <v>1341</v>
      </c>
    </row>
    <row r="18" spans="2:11" ht="20.25" customHeight="1">
      <c r="B18" s="2672"/>
      <c r="C18" s="2643" t="s">
        <v>1349</v>
      </c>
      <c r="D18" s="2678" t="s">
        <v>1350</v>
      </c>
      <c r="E18" s="2679"/>
      <c r="F18" s="2680"/>
      <c r="G18" s="2681">
        <f ca="1">IF((Datos!C61-Datos!C64),Datos!C65/(Datos!C61-Datos!C64),0)</f>
        <v>0.85198940242402743</v>
      </c>
      <c r="H18" s="2681">
        <f>IF((Datos!D61-Datos!D64),Datos!D65/(Datos!D61-Datos!D64),0)</f>
        <v>0.87681144632295804</v>
      </c>
      <c r="I18" s="2683">
        <f>IF(Datos!E61,Datos!E65/Datos!E61,0)</f>
        <v>0</v>
      </c>
      <c r="J18" s="2683">
        <f>IF(Datos!F61,Datos!F65/Datos!F61,0)</f>
        <v>0</v>
      </c>
      <c r="K18" s="2694"/>
    </row>
    <row r="19" spans="2:11" ht="20.25" customHeight="1">
      <c r="B19" s="2673"/>
      <c r="C19" s="2643"/>
      <c r="D19" s="2685" t="s">
        <v>1351</v>
      </c>
      <c r="E19" s="2686"/>
      <c r="F19" s="2687"/>
      <c r="G19" s="2682"/>
      <c r="H19" s="2682"/>
      <c r="I19" s="2684"/>
      <c r="J19" s="2684"/>
      <c r="K19" s="2694"/>
    </row>
    <row r="20" spans="2:11" ht="20.25" customHeight="1">
      <c r="C20" s="1064"/>
      <c r="G20" s="1074" t="s">
        <v>1352</v>
      </c>
      <c r="H20" s="1074" t="s">
        <v>1352</v>
      </c>
      <c r="I20" s="1075" t="s">
        <v>1352</v>
      </c>
      <c r="J20" s="1075" t="s">
        <v>1352</v>
      </c>
    </row>
    <row r="21" spans="2:11" ht="20.25" customHeight="1">
      <c r="C21" s="2643" t="s">
        <v>1353</v>
      </c>
      <c r="D21" s="2678" t="s">
        <v>1354</v>
      </c>
      <c r="E21" s="2679"/>
      <c r="F21" s="2680"/>
      <c r="G21" s="2681">
        <f ca="1">G9*G12*G15*G18</f>
        <v>4.2948832442806298E-2</v>
      </c>
      <c r="H21" s="2681">
        <f>H9*H12*H15*H18</f>
        <v>3.4523390757358954E-2</v>
      </c>
      <c r="I21" s="2683">
        <f>I9*I12*I15*I18</f>
        <v>0</v>
      </c>
      <c r="J21" s="2683">
        <f>J9*J12*J15*J18</f>
        <v>0</v>
      </c>
    </row>
    <row r="22" spans="2:11" ht="20.25" customHeight="1">
      <c r="C22" s="2643"/>
      <c r="D22" s="2685" t="s">
        <v>1355</v>
      </c>
      <c r="E22" s="2686"/>
      <c r="F22" s="2687"/>
      <c r="G22" s="2695"/>
      <c r="H22" s="2695"/>
      <c r="I22" s="2684"/>
      <c r="J22" s="2684"/>
    </row>
    <row r="23" spans="2:11" ht="20.25" customHeight="1">
      <c r="C23" s="1064"/>
      <c r="G23" s="1074" t="s">
        <v>1352</v>
      </c>
      <c r="H23" s="1074" t="s">
        <v>1356</v>
      </c>
      <c r="I23" s="1075" t="s">
        <v>1352</v>
      </c>
      <c r="J23" s="1075" t="s">
        <v>1352</v>
      </c>
    </row>
    <row r="24" spans="2:11" ht="20.25" customHeight="1">
      <c r="C24" s="2643" t="s">
        <v>1357</v>
      </c>
      <c r="D24" s="2696" t="s">
        <v>1358</v>
      </c>
      <c r="E24" s="2697"/>
      <c r="F24" s="2698"/>
      <c r="G24" s="2699">
        <f ca="1">G21</f>
        <v>4.2948832442806298E-2</v>
      </c>
      <c r="H24" s="2699">
        <f>H21</f>
        <v>3.4523390757358954E-2</v>
      </c>
      <c r="I24" s="2690">
        <f>I21</f>
        <v>0</v>
      </c>
      <c r="J24" s="2690">
        <f>J21</f>
        <v>0</v>
      </c>
    </row>
    <row r="25" spans="2:11" ht="20.25" customHeight="1">
      <c r="C25" s="2643"/>
      <c r="D25" s="2692" t="s">
        <v>1355</v>
      </c>
      <c r="E25" s="2689"/>
      <c r="F25" s="2693"/>
      <c r="G25" s="2700"/>
      <c r="H25" s="2700"/>
      <c r="I25" s="2691"/>
      <c r="J25" s="2691"/>
    </row>
    <row r="26" spans="2:11" ht="15"/>
    <row r="27" spans="2:11" ht="15"/>
    <row r="28" spans="2:11" ht="15"/>
    <row r="29" spans="2:11" ht="15"/>
  </sheetData>
  <mergeCells count="46">
    <mergeCell ref="J24:J25"/>
    <mergeCell ref="D25:F25"/>
    <mergeCell ref="K18:K19"/>
    <mergeCell ref="D19:F19"/>
    <mergeCell ref="C21:C22"/>
    <mergeCell ref="D21:F21"/>
    <mergeCell ref="G21:G22"/>
    <mergeCell ref="H21:H22"/>
    <mergeCell ref="I21:I22"/>
    <mergeCell ref="J21:J22"/>
    <mergeCell ref="D22:F22"/>
    <mergeCell ref="C24:C25"/>
    <mergeCell ref="D24:F24"/>
    <mergeCell ref="G24:G25"/>
    <mergeCell ref="H24:H25"/>
    <mergeCell ref="I24:I25"/>
    <mergeCell ref="H15:H16"/>
    <mergeCell ref="J15:J16"/>
    <mergeCell ref="C18:C19"/>
    <mergeCell ref="D18:F18"/>
    <mergeCell ref="G18:G19"/>
    <mergeCell ref="H18:H19"/>
    <mergeCell ref="I18:I19"/>
    <mergeCell ref="J18:J19"/>
    <mergeCell ref="I15:I16"/>
    <mergeCell ref="D13:F13"/>
    <mergeCell ref="B15:B19"/>
    <mergeCell ref="C15:C16"/>
    <mergeCell ref="E15:E16"/>
    <mergeCell ref="G15:G16"/>
    <mergeCell ref="D6:F7"/>
    <mergeCell ref="G6:J6"/>
    <mergeCell ref="B9:B13"/>
    <mergeCell ref="C9:C10"/>
    <mergeCell ref="D9:F9"/>
    <mergeCell ref="G9:G10"/>
    <mergeCell ref="H9:H10"/>
    <mergeCell ref="I9:I10"/>
    <mergeCell ref="J9:J10"/>
    <mergeCell ref="D10:F10"/>
    <mergeCell ref="C12:C13"/>
    <mergeCell ref="D12:F12"/>
    <mergeCell ref="G12:G13"/>
    <mergeCell ref="H12:H13"/>
    <mergeCell ref="I12:I13"/>
    <mergeCell ref="J12:J13"/>
  </mergeCells>
  <pageMargins left="0.62992125984251968" right="0.70866141732283472" top="0.74803149606299213" bottom="0.74803149606299213" header="0.31496062992125984" footer="0.31496062992125984"/>
  <pageSetup paperSize="9" scale="67" orientation="portrait" r:id="rId1"/>
  <headerFooter>
    <oddFooter>&amp;C&amp;"Arial,Normal"&amp;12&amp;K03-024Ratios Económico-Financieros</oddFooter>
  </headerFooter>
  <colBreaks count="1" manualBreakCount="1">
    <brk id="8" min="1" max="24" man="1"/>
  </colBreaks>
  <drawing r:id="rId2"/>
  <legacyDrawing r:id="rId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E466E-0482-4701-832D-04656EF727E2}">
  <sheetPr codeName="Hoja50">
    <tabColor rgb="FFFFC000"/>
    <pageSetUpPr autoPageBreaks="0"/>
  </sheetPr>
  <dimension ref="A3:M39"/>
  <sheetViews>
    <sheetView showGridLines="0" showRowColHeaders="0" showZeros="0" view="pageBreakPreview" topLeftCell="A4" zoomScale="85" zoomScaleNormal="70" zoomScaleSheetLayoutView="85" workbookViewId="0">
      <selection activeCell="H58" sqref="H58"/>
    </sheetView>
  </sheetViews>
  <sheetFormatPr baseColWidth="10" defaultColWidth="14" defaultRowHeight="13.8"/>
  <cols>
    <col min="1" max="1" width="10" style="970" customWidth="1"/>
    <col min="2" max="2" width="31" style="970" customWidth="1"/>
    <col min="3" max="3" width="31.44140625" style="970" customWidth="1"/>
    <col min="4" max="4" width="25" style="970" customWidth="1"/>
    <col min="5" max="5" width="26" style="970" customWidth="1"/>
    <col min="6" max="6" width="27" style="970" customWidth="1"/>
    <col min="7" max="7" width="28" style="970" customWidth="1"/>
    <col min="8" max="8" width="10" style="970" customWidth="1"/>
    <col min="9" max="9" width="16" style="970" customWidth="1"/>
    <col min="10" max="16384" width="14" style="970"/>
  </cols>
  <sheetData>
    <row r="3" spans="2:13" ht="99" customHeight="1">
      <c r="B3" s="1095"/>
      <c r="C3" s="1092"/>
      <c r="D3" s="1092"/>
      <c r="E3" s="1092"/>
      <c r="F3" s="1092"/>
      <c r="G3" s="1092"/>
    </row>
    <row r="4" spans="2:13" ht="90.75" customHeight="1">
      <c r="B4" s="1096"/>
      <c r="C4" s="1092"/>
      <c r="D4" s="1092"/>
      <c r="E4" s="1092"/>
      <c r="F4" s="1092"/>
      <c r="G4" s="1092"/>
    </row>
    <row r="5" spans="2:13" ht="54" customHeight="1">
      <c r="B5" s="1097"/>
      <c r="C5" s="1092"/>
      <c r="D5" s="1092"/>
      <c r="E5" s="1092"/>
      <c r="F5" s="1092"/>
      <c r="G5" s="1092"/>
    </row>
    <row r="6" spans="2:13" ht="101.25" customHeight="1">
      <c r="B6" s="1097"/>
    </row>
    <row r="7" spans="2:13" ht="58.5" customHeight="1"/>
    <row r="8" spans="2:13" ht="33.75" hidden="1" customHeight="1"/>
    <row r="9" spans="2:13" ht="17.399999999999999">
      <c r="J9" s="710"/>
      <c r="K9" s="710"/>
      <c r="L9" s="710"/>
      <c r="M9" s="710"/>
    </row>
    <row r="10" spans="2:13" ht="57" customHeight="1"/>
    <row r="12" spans="2:13" ht="44.4">
      <c r="B12" s="1093"/>
      <c r="C12" s="1093"/>
      <c r="D12" s="1093"/>
      <c r="E12" s="1093"/>
      <c r="F12" s="1093"/>
      <c r="G12" s="1093"/>
    </row>
    <row r="13" spans="2:13" ht="34.799999999999997">
      <c r="B13" s="1173"/>
      <c r="C13" s="1174"/>
      <c r="D13" s="1175"/>
      <c r="E13" s="1176"/>
      <c r="F13" s="1176"/>
      <c r="G13" s="1177"/>
      <c r="L13" s="1094"/>
    </row>
    <row r="14" spans="2:13" ht="8.25" customHeight="1">
      <c r="B14" s="1173"/>
      <c r="C14" s="1174"/>
      <c r="D14" s="1175"/>
      <c r="E14" s="1176"/>
      <c r="F14" s="1176"/>
      <c r="G14" s="1176"/>
    </row>
    <row r="15" spans="2:13" ht="34.799999999999997">
      <c r="B15" s="1178"/>
      <c r="C15" s="1174"/>
      <c r="D15" s="1175"/>
      <c r="E15" s="1176"/>
      <c r="F15" s="1176"/>
      <c r="G15" s="1176"/>
    </row>
    <row r="16" spans="2:13" ht="10.5" customHeight="1">
      <c r="B16" s="1177"/>
      <c r="C16" s="1174"/>
      <c r="D16" s="1178"/>
      <c r="E16" s="1177"/>
      <c r="F16" s="1177"/>
      <c r="G16" s="1177"/>
    </row>
    <row r="17" spans="1:8">
      <c r="B17" s="1177"/>
      <c r="C17" s="1177"/>
      <c r="D17" s="1177"/>
      <c r="E17" s="1177"/>
      <c r="F17" s="1177"/>
      <c r="G17" s="1177"/>
    </row>
    <row r="18" spans="1:8" ht="19.5" customHeight="1">
      <c r="B18" s="1177"/>
      <c r="C18" s="1174"/>
      <c r="D18" s="1177"/>
      <c r="E18" s="1177"/>
      <c r="F18" s="1177"/>
      <c r="G18" s="1177"/>
    </row>
    <row r="19" spans="1:8" ht="34.799999999999997">
      <c r="B19" s="1177"/>
      <c r="C19" s="1179"/>
      <c r="D19" s="1177"/>
      <c r="E19" s="1177"/>
      <c r="F19" s="1177"/>
      <c r="G19" s="1177"/>
    </row>
    <row r="20" spans="1:8" customFormat="1" ht="14.4"/>
    <row r="21" spans="1:8" ht="28.2">
      <c r="A21" s="1177"/>
      <c r="B21" s="2702"/>
      <c r="C21" s="2702"/>
      <c r="D21" s="2702"/>
      <c r="E21" s="2702"/>
      <c r="F21" s="2702"/>
      <c r="G21" s="2702"/>
    </row>
    <row r="22" spans="1:8" ht="14.4">
      <c r="A22" s="1177"/>
      <c r="B22" s="1180"/>
      <c r="C22" s="1177"/>
      <c r="D22" s="1177"/>
      <c r="E22" s="1177"/>
      <c r="F22" s="1177"/>
      <c r="G22" s="1177"/>
      <c r="H22" s="1177"/>
    </row>
    <row r="23" spans="1:8" ht="40.5" customHeight="1">
      <c r="A23" s="1177"/>
      <c r="B23" s="1177"/>
      <c r="C23" s="1177"/>
      <c r="D23" s="1181"/>
      <c r="E23" s="1177"/>
      <c r="F23" s="1177"/>
      <c r="G23" s="1177"/>
      <c r="H23" s="1177"/>
    </row>
    <row r="24" spans="1:8" customFormat="1" ht="14.4"/>
    <row r="25" spans="1:8" ht="37.5" customHeight="1">
      <c r="A25" s="1177"/>
      <c r="B25" s="1182"/>
      <c r="C25" s="1183"/>
      <c r="D25" s="1183"/>
      <c r="E25" s="1183"/>
      <c r="F25" s="1183"/>
      <c r="G25" s="1183"/>
    </row>
    <row r="26" spans="1:8" ht="37.5" customHeight="1">
      <c r="A26" s="2701"/>
      <c r="B26" s="2701"/>
      <c r="C26" s="2701"/>
      <c r="D26" s="2701"/>
      <c r="E26" s="2701"/>
      <c r="F26" s="2701"/>
      <c r="G26" s="2701"/>
      <c r="H26" s="2701"/>
    </row>
    <row r="27" spans="1:8" customFormat="1" ht="37.5" customHeight="1">
      <c r="A27" s="2703"/>
      <c r="B27" s="2703"/>
      <c r="C27" s="2703"/>
      <c r="D27" s="2703"/>
      <c r="E27" s="2703"/>
      <c r="F27" s="2703"/>
      <c r="G27" s="2703"/>
      <c r="H27" s="2703"/>
    </row>
    <row r="28" spans="1:8" ht="19.5" customHeight="1">
      <c r="A28" s="1177"/>
      <c r="B28" s="1177"/>
      <c r="C28" s="1184"/>
    </row>
    <row r="29" spans="1:8" ht="42.75" customHeight="1">
      <c r="B29" s="2704" t="s">
        <v>1584</v>
      </c>
      <c r="C29" s="2704"/>
      <c r="D29" s="2704"/>
      <c r="E29" s="2704"/>
      <c r="F29" s="2704"/>
      <c r="G29" s="2704"/>
    </row>
    <row r="30" spans="1:8" ht="19.5" customHeight="1"/>
    <row r="32" spans="1:8" ht="28.2">
      <c r="A32" s="2701"/>
      <c r="B32" s="2701"/>
      <c r="C32" s="2701"/>
      <c r="D32" s="2701"/>
      <c r="E32" s="2701"/>
      <c r="F32" s="2701"/>
      <c r="G32" s="2701"/>
      <c r="H32" s="2701"/>
    </row>
    <row r="33" spans="1:8" ht="28.2">
      <c r="A33" s="2701"/>
      <c r="B33" s="2701"/>
      <c r="C33" s="2701"/>
      <c r="D33" s="2701"/>
      <c r="E33" s="2701"/>
      <c r="F33" s="2701"/>
      <c r="G33" s="2701"/>
      <c r="H33" s="2701"/>
    </row>
    <row r="34" spans="1:8" ht="27.6">
      <c r="A34" s="2703"/>
      <c r="B34" s="2703"/>
      <c r="C34" s="2703"/>
      <c r="D34" s="2703"/>
      <c r="E34" s="2703"/>
      <c r="F34" s="2703"/>
      <c r="G34" s="2703"/>
      <c r="H34" s="2703"/>
    </row>
    <row r="36" spans="1:8" ht="28.2">
      <c r="A36" s="2701"/>
      <c r="B36" s="2701"/>
      <c r="C36" s="2701"/>
      <c r="D36" s="2701"/>
      <c r="E36" s="2701"/>
      <c r="F36" s="2701"/>
      <c r="G36" s="2701"/>
      <c r="H36" s="2701"/>
    </row>
    <row r="37" spans="1:8" ht="32.4">
      <c r="A37" s="2705" t="s">
        <v>1644</v>
      </c>
      <c r="B37" s="2705"/>
      <c r="C37" s="2705"/>
      <c r="D37" s="2705"/>
      <c r="E37" s="2705"/>
      <c r="F37" s="2705"/>
      <c r="G37" s="2705"/>
      <c r="H37" s="2705"/>
    </row>
    <row r="38" spans="1:8" ht="32.4">
      <c r="A38" s="2706" t="s">
        <v>1645</v>
      </c>
      <c r="B38" s="2706"/>
      <c r="C38" s="2706"/>
      <c r="D38" s="2706"/>
      <c r="E38" s="2706"/>
      <c r="F38" s="2706"/>
      <c r="G38" s="2706"/>
      <c r="H38" s="2706"/>
    </row>
    <row r="39" spans="1:8" ht="27.6">
      <c r="A39" s="2703"/>
      <c r="B39" s="2703"/>
      <c r="C39" s="2703"/>
      <c r="D39" s="2703"/>
      <c r="E39" s="2703"/>
      <c r="F39" s="2703"/>
      <c r="G39" s="2703"/>
      <c r="H39" s="2703"/>
    </row>
  </sheetData>
  <mergeCells count="11">
    <mergeCell ref="A34:H34"/>
    <mergeCell ref="A36:H36"/>
    <mergeCell ref="A37:H37"/>
    <mergeCell ref="A38:H38"/>
    <mergeCell ref="A39:H39"/>
    <mergeCell ref="A33:H33"/>
    <mergeCell ref="B21:G21"/>
    <mergeCell ref="A26:H26"/>
    <mergeCell ref="A27:H27"/>
    <mergeCell ref="B29:G29"/>
    <mergeCell ref="A32:H32"/>
  </mergeCells>
  <printOptions horizontalCentered="1"/>
  <pageMargins left="0.39370078740157483" right="0.39370078740157483" top="0.74803149606299213" bottom="0.74803149606299213" header="0.31496062992125984" footer="0.51181102362204722"/>
  <pageSetup paperSize="9" scale="49" orientation="portrait" r:id="rId1"/>
  <colBreaks count="1" manualBreakCount="1">
    <brk id="8" max="39"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C5EBDE99A4E2FF4FB2C94E1BFFAC5743" ma:contentTypeVersion="5" ma:contentTypeDescription="Crear nuevo documento." ma:contentTypeScope="" ma:versionID="613d0c5cb1cb869d4842faca356a8107">
  <xsd:schema xmlns:xsd="http://www.w3.org/2001/XMLSchema" xmlns:xs="http://www.w3.org/2001/XMLSchema" xmlns:p="http://schemas.microsoft.com/office/2006/metadata/properties" xmlns:ns2="d29c0c3f-bfaa-471d-aa5b-860735d31c55" targetNamespace="http://schemas.microsoft.com/office/2006/metadata/properties" ma:root="true" ma:fieldsID="75df7fc8fd61e5c3259ea51c9d790902" ns2:_="">
    <xsd:import namespace="d29c0c3f-bfaa-471d-aa5b-860735d31c5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9c0c3f-bfaa-471d-aa5b-860735d31c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91A712D-CC77-4B84-8902-F2DEE18BC416}">
  <ds:schemaRefs>
    <ds:schemaRef ds:uri="http://schemas.microsoft.com/sharepoint/v3/contenttype/forms"/>
  </ds:schemaRefs>
</ds:datastoreItem>
</file>

<file path=customXml/itemProps2.xml><?xml version="1.0" encoding="utf-8"?>
<ds:datastoreItem xmlns:ds="http://schemas.openxmlformats.org/officeDocument/2006/customXml" ds:itemID="{05B1F08F-FF27-45BA-ADB1-F15F336E2B2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9c0c3f-bfaa-471d-aa5b-860735d31c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00720B2-A0CE-406D-8DF9-A4C48B643339}">
  <ds:schemaRefs>
    <ds:schemaRef ds:uri="d29c0c3f-bfaa-471d-aa5b-860735d31c55"/>
    <ds:schemaRef ds:uri="http://purl.org/dc/elements/1.1/"/>
    <ds:schemaRef ds:uri="http://purl.org/dc/dcmitype/"/>
    <ds:schemaRef ds:uri="http://www.w3.org/XML/1998/namespace"/>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59</vt:i4>
      </vt:variant>
      <vt:variant>
        <vt:lpstr>Rangos con nombre</vt:lpstr>
      </vt:variant>
      <vt:variant>
        <vt:i4>82</vt:i4>
      </vt:variant>
    </vt:vector>
  </HeadingPairs>
  <TitlesOfParts>
    <vt:vector size="141" baseType="lpstr">
      <vt:lpstr>MENU</vt:lpstr>
      <vt:lpstr>PORTADA (sin indice)</vt:lpstr>
      <vt:lpstr>PORTADA</vt:lpstr>
      <vt:lpstr>instrucciones</vt:lpstr>
      <vt:lpstr>A3SOC</vt:lpstr>
      <vt:lpstr>SYS_cliente</vt:lpstr>
      <vt:lpstr>SYS_4_3_Digitos</vt:lpstr>
      <vt:lpstr>BALANCE</vt:lpstr>
      <vt:lpstr>asientos</vt:lpstr>
      <vt:lpstr>BCE ABREVIADO</vt:lpstr>
      <vt:lpstr>PG</vt:lpstr>
      <vt:lpstr>ENTPUB (TRIM)</vt:lpstr>
      <vt:lpstr>CUENTAS BCE</vt:lpstr>
      <vt:lpstr>CUENTAS PG</vt:lpstr>
      <vt:lpstr>Leasg.</vt:lpstr>
      <vt:lpstr>Leasg. (2)</vt:lpstr>
      <vt:lpstr>Revisión Exención Patrimonio</vt:lpstr>
      <vt:lpstr>Seguros coches</vt:lpstr>
      <vt:lpstr>Préstamos socios_Dividendos</vt:lpstr>
      <vt:lpstr>Inmovilizado</vt:lpstr>
      <vt:lpstr>Inversiones</vt:lpstr>
      <vt:lpstr>Leasg. (prueba)</vt:lpstr>
      <vt:lpstr>BASE DATOS LEASING</vt:lpstr>
      <vt:lpstr>IRPF (mensual)</vt:lpstr>
      <vt:lpstr>IRPF (TRIM)</vt:lpstr>
      <vt:lpstr>Retribución Administradores</vt:lpstr>
      <vt:lpstr>Arrendamiento (mensual)</vt:lpstr>
      <vt:lpstr>Arrendamiento (TRIM)</vt:lpstr>
      <vt:lpstr>AJUIRC (MES)</vt:lpstr>
      <vt:lpstr>AJUIRC (TRIM)</vt:lpstr>
      <vt:lpstr>MESIVA</vt:lpstr>
      <vt:lpstr>IVA (TRIM)</vt:lpstr>
      <vt:lpstr>MESIVA (check)</vt:lpstr>
      <vt:lpstr>IVA (check_TRIM)</vt:lpstr>
      <vt:lpstr>MESREGISTROIVA</vt:lpstr>
      <vt:lpstr>REGISTROIVA (TRIM)</vt:lpstr>
      <vt:lpstr>MESAJUIVA</vt:lpstr>
      <vt:lpstr>AJUIVA (TRIM)</vt:lpstr>
      <vt:lpstr>MESENTPUB</vt:lpstr>
      <vt:lpstr>MOROSOS</vt:lpstr>
      <vt:lpstr>EXISTENCIAS</vt:lpstr>
      <vt:lpstr>AJUIS</vt:lpstr>
      <vt:lpstr>CALCIS</vt:lpstr>
      <vt:lpstr>BONIFICACIONES</vt:lpstr>
      <vt:lpstr>MTTO.RESERV.CAP.</vt:lpstr>
      <vt:lpstr>MTTO.RESERV.NIV.</vt:lpstr>
      <vt:lpstr>PATRIMONIO NETO</vt:lpstr>
      <vt:lpstr>PAGOS PROVEEDORES</vt:lpstr>
      <vt:lpstr>PENDIENTES</vt:lpstr>
      <vt:lpstr>COVID19-OTRAS REVISIONES CIERRE</vt:lpstr>
      <vt:lpstr>DANA</vt:lpstr>
      <vt:lpstr>INCIDENCIAS</vt:lpstr>
      <vt:lpstr>Datos</vt:lpstr>
      <vt:lpstr>En %</vt:lpstr>
      <vt:lpstr>Financiero</vt:lpstr>
      <vt:lpstr>Rentabilidad</vt:lpstr>
      <vt:lpstr>Operativos</vt:lpstr>
      <vt:lpstr>Descomposición Rentabilidad</vt:lpstr>
      <vt:lpstr>CONTRAPORTADA</vt:lpstr>
      <vt:lpstr>'AJUIRC (MES)'!Área_de_impresión</vt:lpstr>
      <vt:lpstr>'AJUIRC (TRIM)'!Área_de_impresión</vt:lpstr>
      <vt:lpstr>AJUIS!Área_de_impresión</vt:lpstr>
      <vt:lpstr>'AJUIVA (TRIM)'!Área_de_impresión</vt:lpstr>
      <vt:lpstr>'Arrendamiento (mensual)'!Área_de_impresión</vt:lpstr>
      <vt:lpstr>'Arrendamiento (TRIM)'!Área_de_impresión</vt:lpstr>
      <vt:lpstr>asientos!Área_de_impresión</vt:lpstr>
      <vt:lpstr>BALANCE!Área_de_impresión</vt:lpstr>
      <vt:lpstr>'BCE ABREVIADO'!Área_de_impresión</vt:lpstr>
      <vt:lpstr>BONIFICACIONES!Área_de_impresión</vt:lpstr>
      <vt:lpstr>CALCIS!Área_de_impresión</vt:lpstr>
      <vt:lpstr>CONTRAPORTADA!Área_de_impresión</vt:lpstr>
      <vt:lpstr>'COVID19-OTRAS REVISIONES CIERRE'!Área_de_impresión</vt:lpstr>
      <vt:lpstr>Datos!Área_de_impresión</vt:lpstr>
      <vt:lpstr>'Descomposición Rentabilidad'!Área_de_impresión</vt:lpstr>
      <vt:lpstr>'En %'!Área_de_impresión</vt:lpstr>
      <vt:lpstr>'ENTPUB (TRIM)'!Área_de_impresión</vt:lpstr>
      <vt:lpstr>EXISTENCIAS!Área_de_impresión</vt:lpstr>
      <vt:lpstr>Financiero!Área_de_impresión</vt:lpstr>
      <vt:lpstr>INCIDENCIAS!Área_de_impresión</vt:lpstr>
      <vt:lpstr>Inmovilizado!Área_de_impresión</vt:lpstr>
      <vt:lpstr>instrucciones!Área_de_impresión</vt:lpstr>
      <vt:lpstr>Inversiones!Área_de_impresión</vt:lpstr>
      <vt:lpstr>'IRPF (mensual)'!Área_de_impresión</vt:lpstr>
      <vt:lpstr>'IRPF (TRIM)'!Área_de_impresión</vt:lpstr>
      <vt:lpstr>'IVA (check_TRIM)'!Área_de_impresión</vt:lpstr>
      <vt:lpstr>'IVA (TRIM)'!Área_de_impresión</vt:lpstr>
      <vt:lpstr>Leasg.!Área_de_impresión</vt:lpstr>
      <vt:lpstr>'Leasg. (2)'!Área_de_impresión</vt:lpstr>
      <vt:lpstr>'Leasg. (prueba)'!Área_de_impresión</vt:lpstr>
      <vt:lpstr>MESAJUIVA!Área_de_impresión</vt:lpstr>
      <vt:lpstr>MESENTPUB!Área_de_impresión</vt:lpstr>
      <vt:lpstr>MESIVA!Área_de_impresión</vt:lpstr>
      <vt:lpstr>'MESIVA (check)'!Área_de_impresión</vt:lpstr>
      <vt:lpstr>MESREGISTROIVA!Área_de_impresión</vt:lpstr>
      <vt:lpstr>MOROSOS!Área_de_impresión</vt:lpstr>
      <vt:lpstr>Operativos!Área_de_impresión</vt:lpstr>
      <vt:lpstr>'PATRIMONIO NETO'!Área_de_impresión</vt:lpstr>
      <vt:lpstr>PENDIENTES!Área_de_impresión</vt:lpstr>
      <vt:lpstr>PG!Área_de_impresión</vt:lpstr>
      <vt:lpstr>PORTADA!Área_de_impresión</vt:lpstr>
      <vt:lpstr>'PORTADA (sin indice)'!Área_de_impresión</vt:lpstr>
      <vt:lpstr>'REGISTROIVA (TRIM)'!Área_de_impresión</vt:lpstr>
      <vt:lpstr>Rentabilidad!Área_de_impresión</vt:lpstr>
      <vt:lpstr>'Seguros coches'!Área_de_impresión</vt:lpstr>
      <vt:lpstr>SYS_4_3_Digitos!Área_de_impresión</vt:lpstr>
      <vt:lpstr>NºSOC</vt:lpstr>
      <vt:lpstr>'AJUIRC (MES)'!Títulos_a_imprimir</vt:lpstr>
      <vt:lpstr>'AJUIRC (TRIM)'!Títulos_a_imprimir</vt:lpstr>
      <vt:lpstr>'AJUIVA (TRIM)'!Títulos_a_imprimir</vt:lpstr>
      <vt:lpstr>'Arrendamiento (mensual)'!Títulos_a_imprimir</vt:lpstr>
      <vt:lpstr>'Arrendamiento (TRIM)'!Títulos_a_imprimir</vt:lpstr>
      <vt:lpstr>asientos!Títulos_a_imprimir</vt:lpstr>
      <vt:lpstr>BALANCE!Títulos_a_imprimir</vt:lpstr>
      <vt:lpstr>'BCE ABREVIADO'!Títulos_a_imprimir</vt:lpstr>
      <vt:lpstr>BONIFICACIONES!Títulos_a_imprimir</vt:lpstr>
      <vt:lpstr>CALCIS!Títulos_a_imprimir</vt:lpstr>
      <vt:lpstr>'ENTPUB (TRIM)'!Títulos_a_imprimir</vt:lpstr>
      <vt:lpstr>EXISTENCIAS!Títulos_a_imprimir</vt:lpstr>
      <vt:lpstr>Financiero!Títulos_a_imprimir</vt:lpstr>
      <vt:lpstr>INCIDENCIAS!Títulos_a_imprimir</vt:lpstr>
      <vt:lpstr>Inmovilizado!Títulos_a_imprimir</vt:lpstr>
      <vt:lpstr>instrucciones!Títulos_a_imprimir</vt:lpstr>
      <vt:lpstr>Inversiones!Títulos_a_imprimir</vt:lpstr>
      <vt:lpstr>'IRPF (mensual)'!Títulos_a_imprimir</vt:lpstr>
      <vt:lpstr>'IRPF (TRIM)'!Títulos_a_imprimir</vt:lpstr>
      <vt:lpstr>'IVA (check_TRIM)'!Títulos_a_imprimir</vt:lpstr>
      <vt:lpstr>'IVA (TRIM)'!Títulos_a_imprimir</vt:lpstr>
      <vt:lpstr>Leasg.!Títulos_a_imprimir</vt:lpstr>
      <vt:lpstr>'Leasg. (2)'!Títulos_a_imprimir</vt:lpstr>
      <vt:lpstr>'Leasg. (prueba)'!Títulos_a_imprimir</vt:lpstr>
      <vt:lpstr>MESAJUIVA!Títulos_a_imprimir</vt:lpstr>
      <vt:lpstr>MESENTPUB!Títulos_a_imprimir</vt:lpstr>
      <vt:lpstr>MESIVA!Títulos_a_imprimir</vt:lpstr>
      <vt:lpstr>'MESIVA (check)'!Títulos_a_imprimir</vt:lpstr>
      <vt:lpstr>MESREGISTROIVA!Títulos_a_imprimir</vt:lpstr>
      <vt:lpstr>MOROSOS!Títulos_a_imprimir</vt:lpstr>
      <vt:lpstr>'PATRIMONIO NETO'!Títulos_a_imprimir</vt:lpstr>
      <vt:lpstr>PENDIENTES!Títulos_a_imprimir</vt:lpstr>
      <vt:lpstr>'REGISTROIVA (TRIM)'!Títulos_a_imprimir</vt:lpstr>
      <vt:lpstr>Rentabilidad!Títulos_a_imprimir</vt:lpstr>
      <vt:lpstr>SYS_4_3_Digitos!Títulos_a_imprimir</vt:lpstr>
    </vt:vector>
  </TitlesOfParts>
  <Company>apunte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gaspar.alvarez</dc:creator>
  <cp:lastModifiedBy>Jose Luis Izco</cp:lastModifiedBy>
  <cp:lastPrinted>2025-07-08T16:44:48Z</cp:lastPrinted>
  <dcterms:created xsi:type="dcterms:W3CDTF">2012-11-26T15:44:59Z</dcterms:created>
  <dcterms:modified xsi:type="dcterms:W3CDTF">2025-07-08T16:56:36Z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y fmtid="{D5CDD505-2E9C-101B-9397-08002B2CF9AE}" pid="3" name="ContentTypeId">
    <vt:lpwstr>0x010100C5EBDE99A4E2FF4FB2C94E1BFFAC5743</vt:lpwstr>
  </property>
</Properties>
</file>